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<sst xmlns="http://schemas.openxmlformats.org/spreadsheetml/2006/main" count="392" uniqueCount="61">
  <si>
    <t>Fine Structure Energy Levels for Ne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</si>
  <si>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</si>
  <si>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</si>
  <si>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</si>
  <si>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</si>
  <si>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</si>
  <si>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</si>
  <si>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</si>
  <si>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</si>
  <si>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</si>
  <si>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</si>
  <si>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</si>
  <si>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</t>
  </si>
  <si>
    <t>2P</t>
  </si>
  <si>
    <t>2s.2p2</t>
  </si>
  <si>
    <t>4P</t>
  </si>
  <si>
    <t>2D</t>
  </si>
  <si>
    <t>2S</t>
  </si>
  <si>
    <t>2p3</t>
  </si>
  <si>
    <t>4S</t>
  </si>
  <si>
    <t>2s2.3s</t>
  </si>
  <si>
    <t>2s2.3p</t>
  </si>
  <si>
    <t>2s2.3d</t>
  </si>
  <si>
    <t>2s.2p(3P).3s</t>
  </si>
  <si>
    <t>2s.2p(3P).3p</t>
  </si>
  <si>
    <t>4D</t>
  </si>
  <si>
    <t>2s.2p(3P).3d</t>
  </si>
  <si>
    <t>4F</t>
  </si>
  <si>
    <t>2s.2p(1P).3s</t>
  </si>
  <si>
    <t>2F</t>
  </si>
  <si>
    <t>2s2.4s</t>
  </si>
  <si>
    <t>2s.2p(1P).3p</t>
  </si>
  <si>
    <t>2s2.4p</t>
  </si>
  <si>
    <t>2s2.4d</t>
  </si>
  <si>
    <t>2s.2p(1P).3d</t>
  </si>
  <si>
    <t>2p2(3P).3s</t>
  </si>
  <si>
    <t>2p2(1D).3s</t>
  </si>
  <si>
    <t>2p2(3P).3p</t>
  </si>
  <si>
    <t>2s2.4f</t>
  </si>
  <si>
    <t>2p2(1D).3p</t>
  </si>
  <si>
    <t>2s.2p(3P).4s</t>
  </si>
  <si>
    <t>2p2(3P).3d</t>
  </si>
  <si>
    <t>2s.2p(3P).4p</t>
  </si>
  <si>
    <t>2s.2p(3P).4d</t>
  </si>
  <si>
    <t>2p2(1D).3d</t>
  </si>
  <si>
    <t>2G</t>
  </si>
  <si>
    <t>2p2(1S).3s</t>
  </si>
  <si>
    <t>2p2(1S).3p</t>
  </si>
  <si>
    <t>2s.2p(1P).4s</t>
  </si>
  <si>
    <t>2p2(1S).3d</t>
  </si>
  <si>
    <t>2s.2p(1P).4p</t>
  </si>
  <si>
    <t>2s.2p(1P).4d</t>
  </si>
  <si>
    <t>A-values for fine-structure transitions in Ne VI</t>
  </si>
  <si>
    <t>k</t>
  </si>
  <si>
    <t>WL Vac (A)</t>
  </si>
  <si>
    <t>A (s-1)</t>
  </si>
  <si>
    <t>A2E1(s-1)</t>
  </si>
  <si>
    <t>Effective Collision Strengths for Ne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</si>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</sst>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5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HYPERLINK("http://141.218.60.56/~jnz1568/getInfo.php?workbook=10_05.xlsx&amp;sheet=E0&amp;row=4&amp;col=10&amp;number=0&amp;sourceID=14","0")</f>
        <v>0</v>
      </c>
    </row>
    <row r="5" spans="1:10">
      <c r="A5" s="3">
        <v>10</v>
      </c>
      <c r="B5" s="3">
        <v>5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HYPERLINK("http://141.218.60.56/~jnz1568/getInfo.php?workbook=10_05.xlsx&amp;sheet=E0&amp;row=5&amp;col=10&amp;number=1308&amp;sourceID=14","1308")</f>
        <v>1308</v>
      </c>
    </row>
    <row r="6" spans="1:10">
      <c r="A6" s="3">
        <v>10</v>
      </c>
      <c r="B6" s="3">
        <v>5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HYPERLINK("http://141.218.60.56/~jnz1568/getInfo.php?workbook=10_05.xlsx&amp;sheet=E0&amp;row=6&amp;col=10&amp;number=100298&amp;sourceID=14","100298")</f>
        <v>100298</v>
      </c>
    </row>
    <row r="7" spans="1:10">
      <c r="A7" s="3">
        <v>10</v>
      </c>
      <c r="B7" s="3">
        <v>5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HYPERLINK("http://141.218.60.56/~jnz1568/getInfo.php?workbook=10_05.xlsx&amp;sheet=E0&amp;row=7&amp;col=10&amp;number=100742&amp;sourceID=14","100742")</f>
        <v>100742</v>
      </c>
    </row>
    <row r="8" spans="1:10">
      <c r="A8" s="3">
        <v>10</v>
      </c>
      <c r="B8" s="3">
        <v>5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HYPERLINK("http://141.218.60.56/~jnz1568/getInfo.php?workbook=10_05.xlsx&amp;sheet=E0&amp;row=8&amp;col=10&amp;number=101390&amp;sourceID=14","101390")</f>
        <v>101390</v>
      </c>
    </row>
    <row r="9" spans="1:10">
      <c r="A9" s="3">
        <v>10</v>
      </c>
      <c r="B9" s="3">
        <v>5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2.5</v>
      </c>
      <c r="J9" s="4" t="str">
        <f>HYPERLINK("http://141.218.60.56/~jnz1568/getInfo.php?workbook=10_05.xlsx&amp;sheet=E0&amp;row=9&amp;col=10&amp;number=179022&amp;sourceID=14","179022")</f>
        <v>179022</v>
      </c>
    </row>
    <row r="10" spans="1:10">
      <c r="A10" s="3">
        <v>10</v>
      </c>
      <c r="B10" s="3">
        <v>5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HYPERLINK("http://141.218.60.56/~jnz1568/getInfo.php?workbook=10_05.xlsx&amp;sheet=E0&amp;row=10&amp;col=10&amp;number=178992&amp;sourceID=14","178992")</f>
        <v>178992</v>
      </c>
    </row>
    <row r="11" spans="1:10">
      <c r="A11" s="3">
        <v>10</v>
      </c>
      <c r="B11" s="3">
        <v>5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HYPERLINK("http://141.218.60.56/~jnz1568/getInfo.php?workbook=10_05.xlsx&amp;sheet=E0&amp;row=11&amp;col=10&amp;number=230855&amp;sourceID=14","230855")</f>
        <v>230855</v>
      </c>
    </row>
    <row r="12" spans="1:10">
      <c r="A12" s="3">
        <v>10</v>
      </c>
      <c r="B12" s="3">
        <v>5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HYPERLINK("http://141.218.60.56/~jnz1568/getInfo.php?workbook=10_05.xlsx&amp;sheet=E0&amp;row=12&amp;col=10&amp;number=249281&amp;sourceID=14","249281")</f>
        <v>249281</v>
      </c>
    </row>
    <row r="13" spans="1:10">
      <c r="A13" s="3">
        <v>10</v>
      </c>
      <c r="B13" s="3">
        <v>5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HYPERLINK("http://141.218.60.56/~jnz1568/getInfo.php?workbook=10_05.xlsx&amp;sheet=E0&amp;row=13&amp;col=10&amp;number=250109&amp;sourceID=14","250109")</f>
        <v>250109</v>
      </c>
    </row>
    <row r="14" spans="1:10">
      <c r="A14" s="3">
        <v>10</v>
      </c>
      <c r="B14" s="3">
        <v>5</v>
      </c>
      <c r="C14" s="3">
        <v>11</v>
      </c>
      <c r="D14" s="3" t="s">
        <v>18</v>
      </c>
      <c r="E14" s="3" t="s">
        <v>19</v>
      </c>
      <c r="F14" s="3">
        <v>4</v>
      </c>
      <c r="G14" s="3">
        <v>0</v>
      </c>
      <c r="H14" s="3">
        <v>0</v>
      </c>
      <c r="I14" s="3">
        <v>1.5</v>
      </c>
      <c r="J14" s="4" t="str">
        <f>HYPERLINK("http://141.218.60.56/~jnz1568/getInfo.php?workbook=10_05.xlsx&amp;sheet=E0&amp;row=14&amp;col=10&amp;number=321617&amp;sourceID=14","321617")</f>
        <v>321617</v>
      </c>
    </row>
    <row r="15" spans="1:10">
      <c r="A15" s="3">
        <v>10</v>
      </c>
      <c r="B15" s="3">
        <v>5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HYPERLINK("http://141.218.60.56/~jnz1568/getInfo.php?workbook=10_05.xlsx&amp;sheet=E0&amp;row=15&amp;col=10&amp;number=359612&amp;sourceID=14","359612")</f>
        <v>359612</v>
      </c>
    </row>
    <row r="16" spans="1:10">
      <c r="A16" s="3">
        <v>10</v>
      </c>
      <c r="B16" s="3">
        <v>5</v>
      </c>
      <c r="C16" s="3">
        <v>13</v>
      </c>
      <c r="D16" s="3" t="s">
        <v>18</v>
      </c>
      <c r="E16" s="3" t="s">
        <v>16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HYPERLINK("http://141.218.60.56/~jnz1568/getInfo.php?workbook=10_05.xlsx&amp;sheet=E0&amp;row=16&amp;col=10&amp;number=359543&amp;sourceID=14","359543")</f>
        <v>359543</v>
      </c>
    </row>
    <row r="17" spans="1:10">
      <c r="A17" s="3">
        <v>10</v>
      </c>
      <c r="B17" s="3">
        <v>5</v>
      </c>
      <c r="C17" s="3">
        <v>14</v>
      </c>
      <c r="D17" s="3" t="s">
        <v>18</v>
      </c>
      <c r="E17" s="3" t="s">
        <v>13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HYPERLINK("http://141.218.60.56/~jnz1568/getInfo.php?workbook=10_05.xlsx&amp;sheet=E0&amp;row=17&amp;col=10&amp;number=406008&amp;sourceID=14","406008")</f>
        <v>406008</v>
      </c>
    </row>
    <row r="18" spans="1:10">
      <c r="A18" s="3">
        <v>10</v>
      </c>
      <c r="B18" s="3">
        <v>5</v>
      </c>
      <c r="C18" s="3">
        <v>15</v>
      </c>
      <c r="D18" s="3" t="s">
        <v>18</v>
      </c>
      <c r="E18" s="3" t="s">
        <v>13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HYPERLINK("http://141.218.60.56/~jnz1568/getInfo.php?workbook=10_05.xlsx&amp;sheet=E0&amp;row=18&amp;col=10&amp;number=406053&amp;sourceID=14","406053")</f>
        <v>406053</v>
      </c>
    </row>
    <row r="19" spans="1:10">
      <c r="A19" s="3">
        <v>10</v>
      </c>
      <c r="B19" s="3">
        <v>5</v>
      </c>
      <c r="C19" s="3">
        <v>16</v>
      </c>
      <c r="D19" s="3" t="s">
        <v>20</v>
      </c>
      <c r="E19" s="3" t="s">
        <v>17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HYPERLINK("http://141.218.60.56/~jnz1568/getInfo.php?workbook=10_05.xlsx&amp;sheet=E0&amp;row=19&amp;col=10&amp;number=722610&amp;sourceID=14","722610")</f>
        <v>722610</v>
      </c>
    </row>
    <row r="20" spans="1:10">
      <c r="A20" s="3">
        <v>10</v>
      </c>
      <c r="B20" s="3">
        <v>5</v>
      </c>
      <c r="C20" s="3">
        <v>17</v>
      </c>
      <c r="D20" s="3" t="s">
        <v>21</v>
      </c>
      <c r="E20" s="3" t="s">
        <v>13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HYPERLINK("http://141.218.60.56/~jnz1568/getInfo.php?workbook=10_05.xlsx&amp;sheet=E0&amp;row=20&amp;col=10&amp;number=771234.125&amp;sourceID=14","771234.125")</f>
        <v>771234.125</v>
      </c>
    </row>
    <row r="21" spans="1:10">
      <c r="A21" s="3">
        <v>10</v>
      </c>
      <c r="B21" s="3">
        <v>5</v>
      </c>
      <c r="C21" s="3">
        <v>18</v>
      </c>
      <c r="D21" s="3" t="s">
        <v>21</v>
      </c>
      <c r="E21" s="3" t="s">
        <v>13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HYPERLINK("http://141.218.60.56/~jnz1568/getInfo.php?workbook=10_05.xlsx&amp;sheet=E0&amp;row=21&amp;col=10&amp;number=771556.688&amp;sourceID=14","771556.688")</f>
        <v>771556.688</v>
      </c>
    </row>
    <row r="22" spans="1:10">
      <c r="A22" s="3">
        <v>10</v>
      </c>
      <c r="B22" s="3">
        <v>5</v>
      </c>
      <c r="C22" s="3">
        <v>19</v>
      </c>
      <c r="D22" s="3" t="s">
        <v>22</v>
      </c>
      <c r="E22" s="3" t="s">
        <v>16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HYPERLINK("http://141.218.60.56/~jnz1568/getInfo.php?workbook=10_05.xlsx&amp;sheet=E0&amp;row=22&amp;col=10&amp;number=816405&amp;sourceID=14","816405")</f>
        <v>816405</v>
      </c>
    </row>
    <row r="23" spans="1:10">
      <c r="A23" s="3">
        <v>10</v>
      </c>
      <c r="B23" s="3">
        <v>5</v>
      </c>
      <c r="C23" s="3">
        <v>20</v>
      </c>
      <c r="D23" s="3" t="s">
        <v>22</v>
      </c>
      <c r="E23" s="3" t="s">
        <v>16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HYPERLINK("http://141.218.60.56/~jnz1568/getInfo.php?workbook=10_05.xlsx&amp;sheet=E0&amp;row=23&amp;col=10&amp;number=816405&amp;sourceID=14","816405")</f>
        <v>816405</v>
      </c>
    </row>
    <row r="24" spans="1:10">
      <c r="A24" s="3">
        <v>10</v>
      </c>
      <c r="B24" s="3">
        <v>5</v>
      </c>
      <c r="C24" s="3">
        <v>21</v>
      </c>
      <c r="D24" s="3" t="s">
        <v>23</v>
      </c>
      <c r="E24" s="3" t="s">
        <v>15</v>
      </c>
      <c r="F24" s="3">
        <v>4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HYPERLINK("http://141.218.60.56/~jnz1568/getInfo.php?workbook=10_05.xlsx&amp;sheet=E0&amp;row=24&amp;col=10&amp;number=833570&amp;sourceID=14","833570")</f>
        <v>833570</v>
      </c>
    </row>
    <row r="25" spans="1:10">
      <c r="A25" s="3">
        <v>10</v>
      </c>
      <c r="B25" s="3">
        <v>5</v>
      </c>
      <c r="C25" s="3">
        <v>22</v>
      </c>
      <c r="D25" s="3" t="s">
        <v>23</v>
      </c>
      <c r="E25" s="3" t="s">
        <v>15</v>
      </c>
      <c r="F25" s="3">
        <v>4</v>
      </c>
      <c r="G25" s="3">
        <v>1</v>
      </c>
      <c r="H25" s="3">
        <v>1</v>
      </c>
      <c r="I25" s="3">
        <v>1.5</v>
      </c>
      <c r="J25" s="4" t="str">
        <f>HYPERLINK("http://141.218.60.56/~jnz1568/getInfo.php?workbook=10_05.xlsx&amp;sheet=E0&amp;row=25&amp;col=10&amp;number=834050&amp;sourceID=14","834050")</f>
        <v>834050</v>
      </c>
    </row>
    <row r="26" spans="1:10">
      <c r="A26" s="3">
        <v>10</v>
      </c>
      <c r="B26" s="3">
        <v>5</v>
      </c>
      <c r="C26" s="3">
        <v>23</v>
      </c>
      <c r="D26" s="3" t="s">
        <v>23</v>
      </c>
      <c r="E26" s="3" t="s">
        <v>15</v>
      </c>
      <c r="F26" s="3">
        <v>4</v>
      </c>
      <c r="G26" s="3">
        <v>1</v>
      </c>
      <c r="H26" s="3">
        <v>1</v>
      </c>
      <c r="I26" s="3">
        <v>2.5</v>
      </c>
      <c r="J26" s="4" t="str">
        <f>HYPERLINK("http://141.218.60.56/~jnz1568/getInfo.php?workbook=10_05.xlsx&amp;sheet=E0&amp;row=26&amp;col=10&amp;number=834810&amp;sourceID=14","834810")</f>
        <v>834810</v>
      </c>
    </row>
    <row r="27" spans="1:10">
      <c r="A27" s="3">
        <v>10</v>
      </c>
      <c r="B27" s="3">
        <v>5</v>
      </c>
      <c r="C27" s="3">
        <v>24</v>
      </c>
      <c r="D27" s="3" t="s">
        <v>23</v>
      </c>
      <c r="E27" s="3" t="s">
        <v>13</v>
      </c>
      <c r="F27" s="3">
        <v>2</v>
      </c>
      <c r="G27" s="3">
        <v>1</v>
      </c>
      <c r="H27" s="3">
        <v>1</v>
      </c>
      <c r="I27" s="3">
        <v>0.5</v>
      </c>
      <c r="J27" s="4" t="str">
        <f>HYPERLINK("http://141.218.60.56/~jnz1568/getInfo.php?workbook=10_05.xlsx&amp;sheet=E0&amp;row=27&amp;col=10&amp;number=855740&amp;sourceID=14","855740")</f>
        <v>855740</v>
      </c>
    </row>
    <row r="28" spans="1:10">
      <c r="A28" s="3">
        <v>10</v>
      </c>
      <c r="B28" s="3">
        <v>5</v>
      </c>
      <c r="C28" s="3">
        <v>25</v>
      </c>
      <c r="D28" s="3" t="s">
        <v>23</v>
      </c>
      <c r="E28" s="3" t="s">
        <v>13</v>
      </c>
      <c r="F28" s="3">
        <v>2</v>
      </c>
      <c r="G28" s="3">
        <v>1</v>
      </c>
      <c r="H28" s="3">
        <v>1</v>
      </c>
      <c r="I28" s="3">
        <v>1.5</v>
      </c>
      <c r="J28" s="4" t="str">
        <f>HYPERLINK("http://141.218.60.56/~jnz1568/getInfo.php?workbook=10_05.xlsx&amp;sheet=E0&amp;row=28&amp;col=10&amp;number=856560&amp;sourceID=14","856560")</f>
        <v>856560</v>
      </c>
    </row>
    <row r="29" spans="1:10">
      <c r="A29" s="3">
        <v>10</v>
      </c>
      <c r="B29" s="3">
        <v>5</v>
      </c>
      <c r="C29" s="3">
        <v>26</v>
      </c>
      <c r="D29" s="3" t="s">
        <v>24</v>
      </c>
      <c r="E29" s="3" t="s">
        <v>13</v>
      </c>
      <c r="F29" s="3">
        <v>2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HYPERLINK("http://141.218.60.56/~jnz1568/getInfo.php?workbook=10_05.xlsx&amp;sheet=E0&amp;row=29&amp;col=10&amp;number=876190&amp;sourceID=14","876190")</f>
        <v>876190</v>
      </c>
    </row>
    <row r="30" spans="1:10">
      <c r="A30" s="3">
        <v>10</v>
      </c>
      <c r="B30" s="3">
        <v>5</v>
      </c>
      <c r="C30" s="3">
        <v>27</v>
      </c>
      <c r="D30" s="3" t="s">
        <v>24</v>
      </c>
      <c r="E30" s="3" t="s">
        <v>13</v>
      </c>
      <c r="F30" s="3">
        <v>2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HYPERLINK("http://141.218.60.56/~jnz1568/getInfo.php?workbook=10_05.xlsx&amp;sheet=E0&amp;row=30&amp;col=10&amp;number=876660&amp;sourceID=14","876660")</f>
        <v>876660</v>
      </c>
    </row>
    <row r="31" spans="1:10">
      <c r="A31" s="3">
        <v>10</v>
      </c>
      <c r="B31" s="3">
        <v>5</v>
      </c>
      <c r="C31" s="3">
        <v>28</v>
      </c>
      <c r="D31" s="3" t="s">
        <v>24</v>
      </c>
      <c r="E31" s="3" t="s">
        <v>25</v>
      </c>
      <c r="F31" s="3">
        <v>4</v>
      </c>
      <c r="G31" s="3">
        <v>2</v>
      </c>
      <c r="H31" s="3">
        <v>0</v>
      </c>
      <c r="I31" s="3">
        <v>0.5</v>
      </c>
      <c r="J31" s="4" t="str">
        <f>HYPERLINK("http://141.218.60.56/~jnz1568/getInfo.php?workbook=10_05.xlsx&amp;sheet=E0&amp;row=31&amp;col=10&amp;number=0&amp;sourceID=14","0")</f>
        <v>0</v>
      </c>
    </row>
    <row r="32" spans="1:10">
      <c r="A32" s="3">
        <v>10</v>
      </c>
      <c r="B32" s="3">
        <v>5</v>
      </c>
      <c r="C32" s="3">
        <v>29</v>
      </c>
      <c r="D32" s="3" t="s">
        <v>24</v>
      </c>
      <c r="E32" s="3" t="s">
        <v>25</v>
      </c>
      <c r="F32" s="3">
        <v>4</v>
      </c>
      <c r="G32" s="3">
        <v>2</v>
      </c>
      <c r="H32" s="3">
        <v>0</v>
      </c>
      <c r="I32" s="3">
        <v>1.5</v>
      </c>
      <c r="J32" s="4" t="str">
        <f>HYPERLINK("http://141.218.60.56/~jnz1568/getInfo.php?workbook=10_05.xlsx&amp;sheet=E0&amp;row=32&amp;col=10&amp;number=0&amp;sourceID=14","0")</f>
        <v>0</v>
      </c>
    </row>
    <row r="33" spans="1:10">
      <c r="A33" s="3">
        <v>10</v>
      </c>
      <c r="B33" s="3">
        <v>5</v>
      </c>
      <c r="C33" s="3">
        <v>30</v>
      </c>
      <c r="D33" s="3" t="s">
        <v>24</v>
      </c>
      <c r="E33" s="3" t="s">
        <v>25</v>
      </c>
      <c r="F33" s="3">
        <v>4</v>
      </c>
      <c r="G33" s="3">
        <v>2</v>
      </c>
      <c r="H33" s="3">
        <v>0</v>
      </c>
      <c r="I33" s="3">
        <v>2.5</v>
      </c>
      <c r="J33" s="4" t="str">
        <f>HYPERLINK("http://141.218.60.56/~jnz1568/getInfo.php?workbook=10_05.xlsx&amp;sheet=E0&amp;row=33&amp;col=10&amp;number=878524.875&amp;sourceID=14","878524.875")</f>
        <v>878524.875</v>
      </c>
    </row>
    <row r="34" spans="1:10">
      <c r="A34" s="3">
        <v>10</v>
      </c>
      <c r="B34" s="3">
        <v>5</v>
      </c>
      <c r="C34" s="3">
        <v>31</v>
      </c>
      <c r="D34" s="3" t="s">
        <v>24</v>
      </c>
      <c r="E34" s="3" t="s">
        <v>25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HYPERLINK("http://141.218.60.56/~jnz1568/getInfo.php?workbook=10_05.xlsx&amp;sheet=E0&amp;row=34&amp;col=10&amp;number=879177.188&amp;sourceID=14","879177.188")</f>
        <v>879177.188</v>
      </c>
    </row>
    <row r="35" spans="1:10">
      <c r="A35" s="3">
        <v>10</v>
      </c>
      <c r="B35" s="3">
        <v>5</v>
      </c>
      <c r="C35" s="3">
        <v>32</v>
      </c>
      <c r="D35" s="3" t="s">
        <v>24</v>
      </c>
      <c r="E35" s="3" t="s">
        <v>19</v>
      </c>
      <c r="F35" s="3">
        <v>4</v>
      </c>
      <c r="G35" s="3">
        <v>0</v>
      </c>
      <c r="H35" s="3">
        <v>0</v>
      </c>
      <c r="I35" s="3">
        <v>1.5</v>
      </c>
      <c r="J35" s="4" t="str">
        <f>HYPERLINK("http://141.218.60.56/~jnz1568/getInfo.php?workbook=10_05.xlsx&amp;sheet=E0&amp;row=35&amp;col=10&amp;number=0&amp;sourceID=14","0")</f>
        <v>0</v>
      </c>
    </row>
    <row r="36" spans="1:10">
      <c r="A36" s="3">
        <v>10</v>
      </c>
      <c r="B36" s="3">
        <v>5</v>
      </c>
      <c r="C36" s="3">
        <v>33</v>
      </c>
      <c r="D36" s="3" t="s">
        <v>24</v>
      </c>
      <c r="E36" s="3" t="s">
        <v>15</v>
      </c>
      <c r="F36" s="3">
        <v>4</v>
      </c>
      <c r="G36" s="3">
        <v>1</v>
      </c>
      <c r="H36" s="3">
        <v>1</v>
      </c>
      <c r="I36" s="3">
        <v>0.5</v>
      </c>
      <c r="J36" s="4" t="str">
        <f>HYPERLINK("http://141.218.60.56/~jnz1568/getInfo.php?workbook=10_05.xlsx&amp;sheet=E0&amp;row=36&amp;col=10&amp;number=0&amp;sourceID=14","0")</f>
        <v>0</v>
      </c>
    </row>
    <row r="37" spans="1:10">
      <c r="A37" s="3">
        <v>10</v>
      </c>
      <c r="B37" s="3">
        <v>5</v>
      </c>
      <c r="C37" s="3">
        <v>34</v>
      </c>
      <c r="D37" s="3" t="s">
        <v>24</v>
      </c>
      <c r="E37" s="3" t="s">
        <v>15</v>
      </c>
      <c r="F37" s="3">
        <v>4</v>
      </c>
      <c r="G37" s="3">
        <v>1</v>
      </c>
      <c r="H37" s="3">
        <v>1</v>
      </c>
      <c r="I37" s="3">
        <v>1.5</v>
      </c>
      <c r="J37" s="4" t="str">
        <f>HYPERLINK("http://141.218.60.56/~jnz1568/getInfo.php?workbook=10_05.xlsx&amp;sheet=E0&amp;row=37&amp;col=10&amp;number=0&amp;sourceID=14","0")</f>
        <v>0</v>
      </c>
    </row>
    <row r="38" spans="1:10">
      <c r="A38" s="3">
        <v>10</v>
      </c>
      <c r="B38" s="3">
        <v>5</v>
      </c>
      <c r="C38" s="3">
        <v>35</v>
      </c>
      <c r="D38" s="3" t="s">
        <v>24</v>
      </c>
      <c r="E38" s="3" t="s">
        <v>15</v>
      </c>
      <c r="F38" s="3">
        <v>4</v>
      </c>
      <c r="G38" s="3">
        <v>1</v>
      </c>
      <c r="H38" s="3">
        <v>1</v>
      </c>
      <c r="I38" s="3">
        <v>2.5</v>
      </c>
      <c r="J38" s="4" t="str">
        <f>HYPERLINK("http://141.218.60.56/~jnz1568/getInfo.php?workbook=10_05.xlsx&amp;sheet=E0&amp;row=38&amp;col=10&amp;number=0&amp;sourceID=14","0")</f>
        <v>0</v>
      </c>
    </row>
    <row r="39" spans="1:10">
      <c r="A39" s="3">
        <v>10</v>
      </c>
      <c r="B39" s="3">
        <v>5</v>
      </c>
      <c r="C39" s="3">
        <v>36</v>
      </c>
      <c r="D39" s="3" t="s">
        <v>24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HYPERLINK("http://141.218.60.56/~jnz1568/getInfo.php?workbook=10_05.xlsx&amp;sheet=E0&amp;row=39&amp;col=10&amp;number=900100&amp;sourceID=14","900100")</f>
        <v>900100</v>
      </c>
    </row>
    <row r="40" spans="1:10">
      <c r="A40" s="3">
        <v>10</v>
      </c>
      <c r="B40" s="3">
        <v>5</v>
      </c>
      <c r="C40" s="3">
        <v>37</v>
      </c>
      <c r="D40" s="3" t="s">
        <v>24</v>
      </c>
      <c r="E40" s="3" t="s">
        <v>16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HYPERLINK("http://141.218.60.56/~jnz1568/getInfo.php?workbook=10_05.xlsx&amp;sheet=E0&amp;row=40&amp;col=10&amp;number=900900&amp;sourceID=14","900900")</f>
        <v>900900</v>
      </c>
    </row>
    <row r="41" spans="1:10">
      <c r="A41" s="3">
        <v>10</v>
      </c>
      <c r="B41" s="3">
        <v>5</v>
      </c>
      <c r="C41" s="3">
        <v>38</v>
      </c>
      <c r="D41" s="3" t="s">
        <v>26</v>
      </c>
      <c r="E41" s="3" t="s">
        <v>27</v>
      </c>
      <c r="F41" s="3">
        <v>4</v>
      </c>
      <c r="G41" s="3">
        <v>3</v>
      </c>
      <c r="H41" s="3">
        <v>1</v>
      </c>
      <c r="I41" s="3">
        <v>1.5</v>
      </c>
      <c r="J41" s="4" t="str">
        <f>HYPERLINK("http://141.218.60.56/~jnz1568/getInfo.php?workbook=10_05.xlsx&amp;sheet=E0&amp;row=41&amp;col=10&amp;number=0&amp;sourceID=14","0")</f>
        <v>0</v>
      </c>
    </row>
    <row r="42" spans="1:10">
      <c r="A42" s="3">
        <v>10</v>
      </c>
      <c r="B42" s="3">
        <v>5</v>
      </c>
      <c r="C42" s="3">
        <v>39</v>
      </c>
      <c r="D42" s="3" t="s">
        <v>26</v>
      </c>
      <c r="E42" s="3" t="s">
        <v>27</v>
      </c>
      <c r="F42" s="3">
        <v>4</v>
      </c>
      <c r="G42" s="3">
        <v>3</v>
      </c>
      <c r="H42" s="3">
        <v>1</v>
      </c>
      <c r="I42" s="3">
        <v>2.5</v>
      </c>
      <c r="J42" s="4" t="str">
        <f>HYPERLINK("http://141.218.60.56/~jnz1568/getInfo.php?workbook=10_05.xlsx&amp;sheet=E0&amp;row=42&amp;col=10&amp;number=0&amp;sourceID=14","0")</f>
        <v>0</v>
      </c>
    </row>
    <row r="43" spans="1:10">
      <c r="A43" s="3">
        <v>10</v>
      </c>
      <c r="B43" s="3">
        <v>5</v>
      </c>
      <c r="C43" s="3">
        <v>40</v>
      </c>
      <c r="D43" s="3" t="s">
        <v>24</v>
      </c>
      <c r="E43" s="3" t="s">
        <v>17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HYPERLINK("http://141.218.60.56/~jnz1568/getInfo.php?workbook=10_05.xlsx&amp;sheet=E0&amp;row=43&amp;col=10&amp;number=914860&amp;sourceID=14","914860")</f>
        <v>914860</v>
      </c>
    </row>
    <row r="44" spans="1:10">
      <c r="A44" s="3">
        <v>10</v>
      </c>
      <c r="B44" s="3">
        <v>5</v>
      </c>
      <c r="C44" s="3">
        <v>41</v>
      </c>
      <c r="D44" s="3" t="s">
        <v>26</v>
      </c>
      <c r="E44" s="3" t="s">
        <v>27</v>
      </c>
      <c r="F44" s="3">
        <v>4</v>
      </c>
      <c r="G44" s="3">
        <v>3</v>
      </c>
      <c r="H44" s="3">
        <v>1</v>
      </c>
      <c r="I44" s="3">
        <v>3.5</v>
      </c>
      <c r="J44" s="4" t="str">
        <f>HYPERLINK("http://141.218.60.56/~jnz1568/getInfo.php?workbook=10_05.xlsx&amp;sheet=E0&amp;row=44&amp;col=10&amp;number=0&amp;sourceID=14","0")</f>
        <v>0</v>
      </c>
    </row>
    <row r="45" spans="1:10">
      <c r="A45" s="3">
        <v>10</v>
      </c>
      <c r="B45" s="3">
        <v>5</v>
      </c>
      <c r="C45" s="3">
        <v>42</v>
      </c>
      <c r="D45" s="3" t="s">
        <v>26</v>
      </c>
      <c r="E45" s="3" t="s">
        <v>27</v>
      </c>
      <c r="F45" s="3">
        <v>4</v>
      </c>
      <c r="G45" s="3">
        <v>3</v>
      </c>
      <c r="H45" s="3">
        <v>1</v>
      </c>
      <c r="I45" s="3">
        <v>4.5</v>
      </c>
      <c r="J45" s="4" t="str">
        <f>HYPERLINK("http://141.218.60.56/~jnz1568/getInfo.php?workbook=10_05.xlsx&amp;sheet=E0&amp;row=45&amp;col=10&amp;number=0&amp;sourceID=14","0")</f>
        <v>0</v>
      </c>
    </row>
    <row r="46" spans="1:10">
      <c r="A46" s="3">
        <v>10</v>
      </c>
      <c r="B46" s="3">
        <v>5</v>
      </c>
      <c r="C46" s="3">
        <v>43</v>
      </c>
      <c r="D46" s="3" t="s">
        <v>26</v>
      </c>
      <c r="E46" s="3" t="s">
        <v>25</v>
      </c>
      <c r="F46" s="3">
        <v>4</v>
      </c>
      <c r="G46" s="3">
        <v>2</v>
      </c>
      <c r="H46" s="3">
        <v>0</v>
      </c>
      <c r="I46" s="3">
        <v>0.5</v>
      </c>
      <c r="J46" s="4" t="str">
        <f>HYPERLINK("http://141.218.60.56/~jnz1568/getInfo.php?workbook=10_05.xlsx&amp;sheet=E0&amp;row=46&amp;col=10&amp;number=926270&amp;sourceID=14","926270")</f>
        <v>926270</v>
      </c>
    </row>
    <row r="47" spans="1:10">
      <c r="A47" s="3">
        <v>10</v>
      </c>
      <c r="B47" s="3">
        <v>5</v>
      </c>
      <c r="C47" s="3">
        <v>44</v>
      </c>
      <c r="D47" s="3" t="s">
        <v>26</v>
      </c>
      <c r="E47" s="3" t="s">
        <v>25</v>
      </c>
      <c r="F47" s="3">
        <v>4</v>
      </c>
      <c r="G47" s="3">
        <v>2</v>
      </c>
      <c r="H47" s="3">
        <v>0</v>
      </c>
      <c r="I47" s="3">
        <v>1.5</v>
      </c>
      <c r="J47" s="4" t="str">
        <f>HYPERLINK("http://141.218.60.56/~jnz1568/getInfo.php?workbook=10_05.xlsx&amp;sheet=E0&amp;row=47&amp;col=10&amp;number=926370&amp;sourceID=14","926370")</f>
        <v>926370</v>
      </c>
    </row>
    <row r="48" spans="1:10">
      <c r="A48" s="3">
        <v>10</v>
      </c>
      <c r="B48" s="3">
        <v>5</v>
      </c>
      <c r="C48" s="3">
        <v>45</v>
      </c>
      <c r="D48" s="3" t="s">
        <v>26</v>
      </c>
      <c r="E48" s="3" t="s">
        <v>25</v>
      </c>
      <c r="F48" s="3">
        <v>4</v>
      </c>
      <c r="G48" s="3">
        <v>2</v>
      </c>
      <c r="H48" s="3">
        <v>0</v>
      </c>
      <c r="I48" s="3">
        <v>2.5</v>
      </c>
      <c r="J48" s="4" t="str">
        <f>HYPERLINK("http://141.218.60.56/~jnz1568/getInfo.php?workbook=10_05.xlsx&amp;sheet=E0&amp;row=48&amp;col=10&amp;number=926470&amp;sourceID=14","926470")</f>
        <v>926470</v>
      </c>
    </row>
    <row r="49" spans="1:10">
      <c r="A49" s="3">
        <v>10</v>
      </c>
      <c r="B49" s="3">
        <v>5</v>
      </c>
      <c r="C49" s="3">
        <v>46</v>
      </c>
      <c r="D49" s="3" t="s">
        <v>26</v>
      </c>
      <c r="E49" s="3" t="s">
        <v>25</v>
      </c>
      <c r="F49" s="3">
        <v>4</v>
      </c>
      <c r="G49" s="3">
        <v>2</v>
      </c>
      <c r="H49" s="3">
        <v>0</v>
      </c>
      <c r="I49" s="3">
        <v>3.5</v>
      </c>
      <c r="J49" s="4" t="str">
        <f>HYPERLINK("http://141.218.60.56/~jnz1568/getInfo.php?workbook=10_05.xlsx&amp;sheet=E0&amp;row=49&amp;col=10&amp;number=926770&amp;sourceID=14","926770")</f>
        <v>926770</v>
      </c>
    </row>
    <row r="50" spans="1:10">
      <c r="A50" s="3">
        <v>10</v>
      </c>
      <c r="B50" s="3">
        <v>5</v>
      </c>
      <c r="C50" s="3">
        <v>47</v>
      </c>
      <c r="D50" s="3" t="s">
        <v>26</v>
      </c>
      <c r="E50" s="3" t="s">
        <v>16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HYPERLINK("http://141.218.60.56/~jnz1568/getInfo.php?workbook=10_05.xlsx&amp;sheet=E0&amp;row=50&amp;col=10&amp;number=928020&amp;sourceID=14","928020")</f>
        <v>928020</v>
      </c>
    </row>
    <row r="51" spans="1:10">
      <c r="A51" s="3">
        <v>10</v>
      </c>
      <c r="B51" s="3">
        <v>5</v>
      </c>
      <c r="C51" s="3">
        <v>48</v>
      </c>
      <c r="D51" s="3" t="s">
        <v>26</v>
      </c>
      <c r="E51" s="3" t="s">
        <v>16</v>
      </c>
      <c r="F51" s="3">
        <v>2</v>
      </c>
      <c r="G51" s="3">
        <v>2</v>
      </c>
      <c r="H51" s="3">
        <v>0</v>
      </c>
      <c r="I51" s="3">
        <v>2.5</v>
      </c>
      <c r="J51" s="4" t="str">
        <f>HYPERLINK("http://141.218.60.56/~jnz1568/getInfo.php?workbook=10_05.xlsx&amp;sheet=E0&amp;row=51&amp;col=10&amp;number=928220&amp;sourceID=14","928220")</f>
        <v>928220</v>
      </c>
    </row>
    <row r="52" spans="1:10">
      <c r="A52" s="3">
        <v>10</v>
      </c>
      <c r="B52" s="3">
        <v>5</v>
      </c>
      <c r="C52" s="3">
        <v>49</v>
      </c>
      <c r="D52" s="3" t="s">
        <v>26</v>
      </c>
      <c r="E52" s="3" t="s">
        <v>15</v>
      </c>
      <c r="F52" s="3">
        <v>4</v>
      </c>
      <c r="G52" s="3">
        <v>1</v>
      </c>
      <c r="H52" s="3">
        <v>1</v>
      </c>
      <c r="I52" s="3">
        <v>2.5</v>
      </c>
      <c r="J52" s="4" t="str">
        <f>HYPERLINK("http://141.218.60.56/~jnz1568/getInfo.php?workbook=10_05.xlsx&amp;sheet=E0&amp;row=52&amp;col=10&amp;number=931600&amp;sourceID=14","931600")</f>
        <v>931600</v>
      </c>
    </row>
    <row r="53" spans="1:10">
      <c r="A53" s="3">
        <v>10</v>
      </c>
      <c r="B53" s="3">
        <v>5</v>
      </c>
      <c r="C53" s="3">
        <v>50</v>
      </c>
      <c r="D53" s="3" t="s">
        <v>26</v>
      </c>
      <c r="E53" s="3" t="s">
        <v>15</v>
      </c>
      <c r="F53" s="3">
        <v>4</v>
      </c>
      <c r="G53" s="3">
        <v>1</v>
      </c>
      <c r="H53" s="3">
        <v>1</v>
      </c>
      <c r="I53" s="3">
        <v>1.5</v>
      </c>
      <c r="J53" s="4" t="str">
        <f>HYPERLINK("http://141.218.60.56/~jnz1568/getInfo.php?workbook=10_05.xlsx&amp;sheet=E0&amp;row=53&amp;col=10&amp;number=931900&amp;sourceID=14","931900")</f>
        <v>931900</v>
      </c>
    </row>
    <row r="54" spans="1:10">
      <c r="A54" s="3">
        <v>10</v>
      </c>
      <c r="B54" s="3">
        <v>5</v>
      </c>
      <c r="C54" s="3">
        <v>51</v>
      </c>
      <c r="D54" s="3" t="s">
        <v>26</v>
      </c>
      <c r="E54" s="3" t="s">
        <v>15</v>
      </c>
      <c r="F54" s="3">
        <v>4</v>
      </c>
      <c r="G54" s="3">
        <v>1</v>
      </c>
      <c r="H54" s="3">
        <v>1</v>
      </c>
      <c r="I54" s="3">
        <v>0.5</v>
      </c>
      <c r="J54" s="4" t="str">
        <f>HYPERLINK("http://141.218.60.56/~jnz1568/getInfo.php?workbook=10_05.xlsx&amp;sheet=E0&amp;row=54&amp;col=10&amp;number=932150&amp;sourceID=14","932150")</f>
        <v>932150</v>
      </c>
    </row>
    <row r="55" spans="1:10">
      <c r="A55" s="3">
        <v>10</v>
      </c>
      <c r="B55" s="3">
        <v>5</v>
      </c>
      <c r="C55" s="3">
        <v>52</v>
      </c>
      <c r="D55" s="3" t="s">
        <v>28</v>
      </c>
      <c r="E55" s="3" t="s">
        <v>13</v>
      </c>
      <c r="F55" s="3">
        <v>2</v>
      </c>
      <c r="G55" s="3">
        <v>1</v>
      </c>
      <c r="H55" s="3">
        <v>1</v>
      </c>
      <c r="I55" s="3">
        <v>1.5</v>
      </c>
      <c r="J55" s="4" t="str">
        <f>HYPERLINK("http://141.218.60.56/~jnz1568/getInfo.php?workbook=10_05.xlsx&amp;sheet=E0&amp;row=55&amp;col=10&amp;number=940260&amp;sourceID=14","940260")</f>
        <v>940260</v>
      </c>
    </row>
    <row r="56" spans="1:10">
      <c r="A56" s="3">
        <v>10</v>
      </c>
      <c r="B56" s="3">
        <v>5</v>
      </c>
      <c r="C56" s="3">
        <v>53</v>
      </c>
      <c r="D56" s="3" t="s">
        <v>28</v>
      </c>
      <c r="E56" s="3" t="s">
        <v>13</v>
      </c>
      <c r="F56" s="3">
        <v>2</v>
      </c>
      <c r="G56" s="3">
        <v>1</v>
      </c>
      <c r="H56" s="3">
        <v>1</v>
      </c>
      <c r="I56" s="3">
        <v>0.5</v>
      </c>
      <c r="J56" s="4" t="str">
        <f>HYPERLINK("http://141.218.60.56/~jnz1568/getInfo.php?workbook=10_05.xlsx&amp;sheet=E0&amp;row=56&amp;col=10&amp;number=940260&amp;sourceID=14","940260")</f>
        <v>940260</v>
      </c>
    </row>
    <row r="57" spans="1:10">
      <c r="A57" s="3">
        <v>10</v>
      </c>
      <c r="B57" s="3">
        <v>5</v>
      </c>
      <c r="C57" s="3">
        <v>54</v>
      </c>
      <c r="D57" s="3" t="s">
        <v>26</v>
      </c>
      <c r="E57" s="3" t="s">
        <v>29</v>
      </c>
      <c r="F57" s="3">
        <v>2</v>
      </c>
      <c r="G57" s="3">
        <v>3</v>
      </c>
      <c r="H57" s="3">
        <v>1</v>
      </c>
      <c r="I57" s="3">
        <v>2.5</v>
      </c>
      <c r="J57" s="4" t="str">
        <f>HYPERLINK("http://141.218.60.56/~jnz1568/getInfo.php?workbook=10_05.xlsx&amp;sheet=E0&amp;row=57&amp;col=10&amp;number=945900&amp;sourceID=14","945900")</f>
        <v>945900</v>
      </c>
    </row>
    <row r="58" spans="1:10">
      <c r="A58" s="3">
        <v>10</v>
      </c>
      <c r="B58" s="3">
        <v>5</v>
      </c>
      <c r="C58" s="3">
        <v>55</v>
      </c>
      <c r="D58" s="3" t="s">
        <v>26</v>
      </c>
      <c r="E58" s="3" t="s">
        <v>29</v>
      </c>
      <c r="F58" s="3">
        <v>2</v>
      </c>
      <c r="G58" s="3">
        <v>3</v>
      </c>
      <c r="H58" s="3">
        <v>1</v>
      </c>
      <c r="I58" s="3">
        <v>3.5</v>
      </c>
      <c r="J58" s="4" t="str">
        <f>HYPERLINK("http://141.218.60.56/~jnz1568/getInfo.php?workbook=10_05.xlsx&amp;sheet=E0&amp;row=58&amp;col=10&amp;number=946700&amp;sourceID=14","946700")</f>
        <v>946700</v>
      </c>
    </row>
    <row r="59" spans="1:10">
      <c r="A59" s="3">
        <v>10</v>
      </c>
      <c r="B59" s="3">
        <v>5</v>
      </c>
      <c r="C59" s="3">
        <v>56</v>
      </c>
      <c r="D59" s="3" t="s">
        <v>26</v>
      </c>
      <c r="E59" s="3" t="s">
        <v>13</v>
      </c>
      <c r="F59" s="3">
        <v>2</v>
      </c>
      <c r="G59" s="3">
        <v>1</v>
      </c>
      <c r="H59" s="3">
        <v>1</v>
      </c>
      <c r="I59" s="3">
        <v>1.5</v>
      </c>
      <c r="J59" s="4" t="str">
        <f>HYPERLINK("http://141.218.60.56/~jnz1568/getInfo.php?workbook=10_05.xlsx&amp;sheet=E0&amp;row=59&amp;col=10&amp;number=952200&amp;sourceID=14","952200")</f>
        <v>952200</v>
      </c>
    </row>
    <row r="60" spans="1:10">
      <c r="A60" s="3">
        <v>10</v>
      </c>
      <c r="B60" s="3">
        <v>5</v>
      </c>
      <c r="C60" s="3">
        <v>57</v>
      </c>
      <c r="D60" s="3" t="s">
        <v>26</v>
      </c>
      <c r="E60" s="3" t="s">
        <v>13</v>
      </c>
      <c r="F60" s="3">
        <v>2</v>
      </c>
      <c r="G60" s="3">
        <v>1</v>
      </c>
      <c r="H60" s="3">
        <v>1</v>
      </c>
      <c r="I60" s="3">
        <v>0.5</v>
      </c>
      <c r="J60" s="4" t="str">
        <f>HYPERLINK("http://141.218.60.56/~jnz1568/getInfo.php?workbook=10_05.xlsx&amp;sheet=E0&amp;row=60&amp;col=10&amp;number=952610&amp;sourceID=14","952610")</f>
        <v>952610</v>
      </c>
    </row>
    <row r="61" spans="1:10">
      <c r="A61" s="3">
        <v>10</v>
      </c>
      <c r="B61" s="3">
        <v>5</v>
      </c>
      <c r="C61" s="3">
        <v>58</v>
      </c>
      <c r="D61" s="3" t="s">
        <v>30</v>
      </c>
      <c r="E61" s="3" t="s">
        <v>17</v>
      </c>
      <c r="F61" s="3">
        <v>2</v>
      </c>
      <c r="G61" s="3">
        <v>0</v>
      </c>
      <c r="H61" s="3">
        <v>0</v>
      </c>
      <c r="I61" s="3">
        <v>0.5</v>
      </c>
      <c r="J61" s="4" t="str">
        <f>HYPERLINK("http://141.218.60.56/~jnz1568/getInfo.php?workbook=10_05.xlsx&amp;sheet=E0&amp;row=61&amp;col=10&amp;number=983000&amp;sourceID=14","983000")</f>
        <v>983000</v>
      </c>
    </row>
    <row r="62" spans="1:10">
      <c r="A62" s="3">
        <v>10</v>
      </c>
      <c r="B62" s="3">
        <v>5</v>
      </c>
      <c r="C62" s="3">
        <v>59</v>
      </c>
      <c r="D62" s="3" t="s">
        <v>31</v>
      </c>
      <c r="E62" s="3" t="s">
        <v>16</v>
      </c>
      <c r="F62" s="3">
        <v>2</v>
      </c>
      <c r="G62" s="3">
        <v>2</v>
      </c>
      <c r="H62" s="3">
        <v>0</v>
      </c>
      <c r="I62" s="3">
        <v>1.5</v>
      </c>
      <c r="J62" s="4" t="str">
        <f>HYPERLINK("http://141.218.60.56/~jnz1568/getInfo.php?workbook=10_05.xlsx&amp;sheet=E0&amp;row=62&amp;col=10&amp;number=986000&amp;sourceID=14","986000")</f>
        <v>986000</v>
      </c>
    </row>
    <row r="63" spans="1:10">
      <c r="A63" s="3">
        <v>10</v>
      </c>
      <c r="B63" s="3">
        <v>5</v>
      </c>
      <c r="C63" s="3">
        <v>60</v>
      </c>
      <c r="D63" s="3" t="s">
        <v>31</v>
      </c>
      <c r="E63" s="3" t="s">
        <v>16</v>
      </c>
      <c r="F63" s="3">
        <v>2</v>
      </c>
      <c r="G63" s="3">
        <v>2</v>
      </c>
      <c r="H63" s="3">
        <v>0</v>
      </c>
      <c r="I63" s="3">
        <v>2.5</v>
      </c>
      <c r="J63" s="4" t="str">
        <f>HYPERLINK("http://141.218.60.56/~jnz1568/getInfo.php?workbook=10_05.xlsx&amp;sheet=E0&amp;row=63&amp;col=10&amp;number=986140&amp;sourceID=14","986140")</f>
        <v>986140</v>
      </c>
    </row>
    <row r="64" spans="1:10">
      <c r="A64" s="3">
        <v>10</v>
      </c>
      <c r="B64" s="3">
        <v>5</v>
      </c>
      <c r="C64" s="3">
        <v>61</v>
      </c>
      <c r="D64" s="3" t="s">
        <v>31</v>
      </c>
      <c r="E64" s="3" t="s">
        <v>13</v>
      </c>
      <c r="F64" s="3">
        <v>2</v>
      </c>
      <c r="G64" s="3">
        <v>1</v>
      </c>
      <c r="H64" s="3">
        <v>1</v>
      </c>
      <c r="I64" s="3">
        <v>0.5</v>
      </c>
      <c r="J64" s="4" t="str">
        <f>HYPERLINK("http://141.218.60.56/~jnz1568/getInfo.php?workbook=10_05.xlsx&amp;sheet=E0&amp;row=64&amp;col=10&amp;number=987650&amp;sourceID=14","987650")</f>
        <v>987650</v>
      </c>
    </row>
    <row r="65" spans="1:10">
      <c r="A65" s="3">
        <v>10</v>
      </c>
      <c r="B65" s="3">
        <v>5</v>
      </c>
      <c r="C65" s="3">
        <v>62</v>
      </c>
      <c r="D65" s="3" t="s">
        <v>31</v>
      </c>
      <c r="E65" s="3" t="s">
        <v>13</v>
      </c>
      <c r="F65" s="3">
        <v>2</v>
      </c>
      <c r="G65" s="3">
        <v>1</v>
      </c>
      <c r="H65" s="3">
        <v>1</v>
      </c>
      <c r="I65" s="3">
        <v>1.5</v>
      </c>
      <c r="J65" s="4" t="str">
        <f>HYPERLINK("http://141.218.60.56/~jnz1568/getInfo.php?workbook=10_05.xlsx&amp;sheet=E0&amp;row=65&amp;col=10&amp;number=987950&amp;sourceID=14","987950")</f>
        <v>987950</v>
      </c>
    </row>
    <row r="66" spans="1:10">
      <c r="A66" s="3">
        <v>10</v>
      </c>
      <c r="B66" s="3">
        <v>5</v>
      </c>
      <c r="C66" s="3">
        <v>63</v>
      </c>
      <c r="D66" s="3" t="s">
        <v>31</v>
      </c>
      <c r="E66" s="3" t="s">
        <v>17</v>
      </c>
      <c r="F66" s="3">
        <v>2</v>
      </c>
      <c r="G66" s="3">
        <v>0</v>
      </c>
      <c r="H66" s="3">
        <v>0</v>
      </c>
      <c r="I66" s="3">
        <v>0.5</v>
      </c>
      <c r="J66" s="4" t="str">
        <f>HYPERLINK("http://141.218.60.56/~jnz1568/getInfo.php?workbook=10_05.xlsx&amp;sheet=E0&amp;row=66&amp;col=10&amp;number=994000&amp;sourceID=14","994000")</f>
        <v>994000</v>
      </c>
    </row>
    <row r="67" spans="1:10">
      <c r="A67" s="3">
        <v>10</v>
      </c>
      <c r="B67" s="3">
        <v>5</v>
      </c>
      <c r="C67" s="3">
        <v>64</v>
      </c>
      <c r="D67" s="3" t="s">
        <v>32</v>
      </c>
      <c r="E67" s="3" t="s">
        <v>13</v>
      </c>
      <c r="F67" s="3">
        <v>2</v>
      </c>
      <c r="G67" s="3">
        <v>1</v>
      </c>
      <c r="H67" s="3">
        <v>1</v>
      </c>
      <c r="I67" s="3">
        <v>0.5</v>
      </c>
      <c r="J67" s="4" t="str">
        <f>HYPERLINK("http://141.218.60.56/~jnz1568/getInfo.php?workbook=10_05.xlsx&amp;sheet=E0&amp;row=67&amp;col=10&amp;number=0&amp;sourceID=14","0")</f>
        <v>0</v>
      </c>
    </row>
    <row r="68" spans="1:10">
      <c r="A68" s="3">
        <v>10</v>
      </c>
      <c r="B68" s="3">
        <v>5</v>
      </c>
      <c r="C68" s="3">
        <v>65</v>
      </c>
      <c r="D68" s="3" t="s">
        <v>32</v>
      </c>
      <c r="E68" s="3" t="s">
        <v>13</v>
      </c>
      <c r="F68" s="3">
        <v>2</v>
      </c>
      <c r="G68" s="3">
        <v>1</v>
      </c>
      <c r="H68" s="3">
        <v>1</v>
      </c>
      <c r="I68" s="3">
        <v>1.5</v>
      </c>
      <c r="J68" s="4" t="str">
        <f>HYPERLINK("http://141.218.60.56/~jnz1568/getInfo.php?workbook=10_05.xlsx&amp;sheet=E0&amp;row=68&amp;col=10&amp;number=0&amp;sourceID=14","0")</f>
        <v>0</v>
      </c>
    </row>
    <row r="69" spans="1:10">
      <c r="A69" s="3">
        <v>10</v>
      </c>
      <c r="B69" s="3">
        <v>5</v>
      </c>
      <c r="C69" s="3">
        <v>66</v>
      </c>
      <c r="D69" s="3" t="s">
        <v>33</v>
      </c>
      <c r="E69" s="3" t="s">
        <v>16</v>
      </c>
      <c r="F69" s="3">
        <v>2</v>
      </c>
      <c r="G69" s="3">
        <v>2</v>
      </c>
      <c r="H69" s="3">
        <v>0</v>
      </c>
      <c r="I69" s="3">
        <v>1.5</v>
      </c>
      <c r="J69" s="4" t="str">
        <f>HYPERLINK("http://141.218.60.56/~jnz1568/getInfo.php?workbook=10_05.xlsx&amp;sheet=E0&amp;row=69&amp;col=10&amp;number=1019050&amp;sourceID=14","1019050")</f>
        <v>1019050</v>
      </c>
    </row>
    <row r="70" spans="1:10">
      <c r="A70" s="3">
        <v>10</v>
      </c>
      <c r="B70" s="3">
        <v>5</v>
      </c>
      <c r="C70" s="3">
        <v>67</v>
      </c>
      <c r="D70" s="3" t="s">
        <v>33</v>
      </c>
      <c r="E70" s="3" t="s">
        <v>16</v>
      </c>
      <c r="F70" s="3">
        <v>2</v>
      </c>
      <c r="G70" s="3">
        <v>2</v>
      </c>
      <c r="H70" s="3">
        <v>0</v>
      </c>
      <c r="I70" s="3">
        <v>2.5</v>
      </c>
      <c r="J70" s="4" t="str">
        <f>HYPERLINK("http://141.218.60.56/~jnz1568/getInfo.php?workbook=10_05.xlsx&amp;sheet=E0&amp;row=70&amp;col=10&amp;number=1019050&amp;sourceID=14","1019050")</f>
        <v>1019050</v>
      </c>
    </row>
    <row r="71" spans="1:10">
      <c r="A71" s="3">
        <v>10</v>
      </c>
      <c r="B71" s="3">
        <v>5</v>
      </c>
      <c r="C71" s="3">
        <v>68</v>
      </c>
      <c r="D71" s="3" t="s">
        <v>34</v>
      </c>
      <c r="E71" s="3" t="s">
        <v>29</v>
      </c>
      <c r="F71" s="3">
        <v>2</v>
      </c>
      <c r="G71" s="3">
        <v>3</v>
      </c>
      <c r="H71" s="3">
        <v>1</v>
      </c>
      <c r="I71" s="3">
        <v>2.5</v>
      </c>
      <c r="J71" s="4" t="str">
        <f>HYPERLINK("http://141.218.60.56/~jnz1568/getInfo.php?workbook=10_05.xlsx&amp;sheet=E0&amp;row=71&amp;col=10&amp;number=1022000&amp;sourceID=14","1022000")</f>
        <v>1022000</v>
      </c>
    </row>
    <row r="72" spans="1:10">
      <c r="A72" s="3">
        <v>10</v>
      </c>
      <c r="B72" s="3">
        <v>5</v>
      </c>
      <c r="C72" s="3">
        <v>69</v>
      </c>
      <c r="D72" s="3" t="s">
        <v>34</v>
      </c>
      <c r="E72" s="3" t="s">
        <v>29</v>
      </c>
      <c r="F72" s="3">
        <v>2</v>
      </c>
      <c r="G72" s="3">
        <v>3</v>
      </c>
      <c r="H72" s="3">
        <v>1</v>
      </c>
      <c r="I72" s="3">
        <v>3.5</v>
      </c>
      <c r="J72" s="4" t="str">
        <f>HYPERLINK("http://141.218.60.56/~jnz1568/getInfo.php?workbook=10_05.xlsx&amp;sheet=E0&amp;row=72&amp;col=10&amp;number=1022000&amp;sourceID=14","1022000")</f>
        <v>1022000</v>
      </c>
    </row>
    <row r="73" spans="1:10">
      <c r="A73" s="3">
        <v>10</v>
      </c>
      <c r="B73" s="3">
        <v>5</v>
      </c>
      <c r="C73" s="3">
        <v>70</v>
      </c>
      <c r="D73" s="3" t="s">
        <v>35</v>
      </c>
      <c r="E73" s="3" t="s">
        <v>15</v>
      </c>
      <c r="F73" s="3">
        <v>4</v>
      </c>
      <c r="G73" s="3">
        <v>1</v>
      </c>
      <c r="H73" s="3">
        <v>1</v>
      </c>
      <c r="I73" s="3">
        <v>0.5</v>
      </c>
      <c r="J73" s="4" t="str">
        <f>HYPERLINK("http://141.218.60.56/~jnz1568/getInfo.php?workbook=10_05.xlsx&amp;sheet=E0&amp;row=73&amp;col=10&amp;number=1023230&amp;sourceID=14","1023230")</f>
        <v>1023230</v>
      </c>
    </row>
    <row r="74" spans="1:10">
      <c r="A74" s="3">
        <v>10</v>
      </c>
      <c r="B74" s="3">
        <v>5</v>
      </c>
      <c r="C74" s="3">
        <v>71</v>
      </c>
      <c r="D74" s="3" t="s">
        <v>35</v>
      </c>
      <c r="E74" s="3" t="s">
        <v>15</v>
      </c>
      <c r="F74" s="3">
        <v>4</v>
      </c>
      <c r="G74" s="3">
        <v>1</v>
      </c>
      <c r="H74" s="3">
        <v>1</v>
      </c>
      <c r="I74" s="3">
        <v>1.5</v>
      </c>
      <c r="J74" s="4" t="str">
        <f>HYPERLINK("http://141.218.60.56/~jnz1568/getInfo.php?workbook=10_05.xlsx&amp;sheet=E0&amp;row=74&amp;col=10&amp;number=1023230&amp;sourceID=14","1023230")</f>
        <v>1023230</v>
      </c>
    </row>
    <row r="75" spans="1:10">
      <c r="A75" s="3">
        <v>10</v>
      </c>
      <c r="B75" s="3">
        <v>5</v>
      </c>
      <c r="C75" s="3">
        <v>72</v>
      </c>
      <c r="D75" s="3" t="s">
        <v>35</v>
      </c>
      <c r="E75" s="3" t="s">
        <v>15</v>
      </c>
      <c r="F75" s="3">
        <v>4</v>
      </c>
      <c r="G75" s="3">
        <v>1</v>
      </c>
      <c r="H75" s="3">
        <v>1</v>
      </c>
      <c r="I75" s="3">
        <v>2.5</v>
      </c>
      <c r="J75" s="4" t="str">
        <f>HYPERLINK("http://141.218.60.56/~jnz1568/getInfo.php?workbook=10_05.xlsx&amp;sheet=E0&amp;row=75&amp;col=10&amp;number=1023230&amp;sourceID=14","1023230")</f>
        <v>1023230</v>
      </c>
    </row>
    <row r="76" spans="1:10">
      <c r="A76" s="3">
        <v>10</v>
      </c>
      <c r="B76" s="3">
        <v>5</v>
      </c>
      <c r="C76" s="3">
        <v>73</v>
      </c>
      <c r="D76" s="3" t="s">
        <v>34</v>
      </c>
      <c r="E76" s="3" t="s">
        <v>16</v>
      </c>
      <c r="F76" s="3">
        <v>2</v>
      </c>
      <c r="G76" s="3">
        <v>2</v>
      </c>
      <c r="H76" s="3">
        <v>0</v>
      </c>
      <c r="I76" s="3">
        <v>1.5</v>
      </c>
      <c r="J76" s="4" t="str">
        <f>HYPERLINK("http://141.218.60.56/~jnz1568/getInfo.php?workbook=10_05.xlsx&amp;sheet=E0&amp;row=76&amp;col=10&amp;number=1030110&amp;sourceID=14","1030110")</f>
        <v>1030110</v>
      </c>
    </row>
    <row r="77" spans="1:10">
      <c r="A77" s="3">
        <v>10</v>
      </c>
      <c r="B77" s="3">
        <v>5</v>
      </c>
      <c r="C77" s="3">
        <v>74</v>
      </c>
      <c r="D77" s="3" t="s">
        <v>34</v>
      </c>
      <c r="E77" s="3" t="s">
        <v>16</v>
      </c>
      <c r="F77" s="3">
        <v>2</v>
      </c>
      <c r="G77" s="3">
        <v>2</v>
      </c>
      <c r="H77" s="3">
        <v>0</v>
      </c>
      <c r="I77" s="3">
        <v>2.5</v>
      </c>
      <c r="J77" s="4" t="str">
        <f>HYPERLINK("http://141.218.60.56/~jnz1568/getInfo.php?workbook=10_05.xlsx&amp;sheet=E0&amp;row=77&amp;col=10&amp;number=1030230&amp;sourceID=14","1030230")</f>
        <v>1030230</v>
      </c>
    </row>
    <row r="78" spans="1:10">
      <c r="A78" s="3">
        <v>10</v>
      </c>
      <c r="B78" s="3">
        <v>5</v>
      </c>
      <c r="C78" s="3">
        <v>75</v>
      </c>
      <c r="D78" s="3" t="s">
        <v>34</v>
      </c>
      <c r="E78" s="3" t="s">
        <v>13</v>
      </c>
      <c r="F78" s="3">
        <v>2</v>
      </c>
      <c r="G78" s="3">
        <v>1</v>
      </c>
      <c r="H78" s="3">
        <v>1</v>
      </c>
      <c r="I78" s="3">
        <v>0.5</v>
      </c>
      <c r="J78" s="4" t="str">
        <f>HYPERLINK("http://141.218.60.56/~jnz1568/getInfo.php?workbook=10_05.xlsx&amp;sheet=E0&amp;row=78&amp;col=10&amp;number=1032330&amp;sourceID=14","1032330")</f>
        <v>1032330</v>
      </c>
    </row>
    <row r="79" spans="1:10">
      <c r="A79" s="3">
        <v>10</v>
      </c>
      <c r="B79" s="3">
        <v>5</v>
      </c>
      <c r="C79" s="3">
        <v>76</v>
      </c>
      <c r="D79" s="3" t="s">
        <v>34</v>
      </c>
      <c r="E79" s="3" t="s">
        <v>13</v>
      </c>
      <c r="F79" s="3">
        <v>2</v>
      </c>
      <c r="G79" s="3">
        <v>1</v>
      </c>
      <c r="H79" s="3">
        <v>1</v>
      </c>
      <c r="I79" s="3">
        <v>1.5</v>
      </c>
      <c r="J79" s="4" t="str">
        <f>HYPERLINK("http://141.218.60.56/~jnz1568/getInfo.php?workbook=10_05.xlsx&amp;sheet=E0&amp;row=79&amp;col=10&amp;number=1032330&amp;sourceID=14","1032330")</f>
        <v>1032330</v>
      </c>
    </row>
    <row r="80" spans="1:10">
      <c r="A80" s="3">
        <v>10</v>
      </c>
      <c r="B80" s="3">
        <v>5</v>
      </c>
      <c r="C80" s="3">
        <v>77</v>
      </c>
      <c r="D80" s="3" t="s">
        <v>35</v>
      </c>
      <c r="E80" s="3" t="s">
        <v>13</v>
      </c>
      <c r="F80" s="3">
        <v>2</v>
      </c>
      <c r="G80" s="3">
        <v>1</v>
      </c>
      <c r="H80" s="3">
        <v>1</v>
      </c>
      <c r="I80" s="3">
        <v>0.5</v>
      </c>
      <c r="J80" s="4" t="str">
        <f>HYPERLINK("http://141.218.60.56/~jnz1568/getInfo.php?workbook=10_05.xlsx&amp;sheet=E0&amp;row=80&amp;col=10&amp;number=0&amp;sourceID=14","0")</f>
        <v>0</v>
      </c>
    </row>
    <row r="81" spans="1:10">
      <c r="A81" s="3">
        <v>10</v>
      </c>
      <c r="B81" s="3">
        <v>5</v>
      </c>
      <c r="C81" s="3">
        <v>78</v>
      </c>
      <c r="D81" s="3" t="s">
        <v>35</v>
      </c>
      <c r="E81" s="3" t="s">
        <v>13</v>
      </c>
      <c r="F81" s="3">
        <v>2</v>
      </c>
      <c r="G81" s="3">
        <v>1</v>
      </c>
      <c r="H81" s="3">
        <v>1</v>
      </c>
      <c r="I81" s="3">
        <v>1.5</v>
      </c>
      <c r="J81" s="4" t="str">
        <f>HYPERLINK("http://141.218.60.56/~jnz1568/getInfo.php?workbook=10_05.xlsx&amp;sheet=E0&amp;row=81&amp;col=10&amp;number=0&amp;sourceID=14","0")</f>
        <v>0</v>
      </c>
    </row>
    <row r="82" spans="1:10">
      <c r="A82" s="3">
        <v>10</v>
      </c>
      <c r="B82" s="3">
        <v>5</v>
      </c>
      <c r="C82" s="3">
        <v>79</v>
      </c>
      <c r="D82" s="3" t="s">
        <v>35</v>
      </c>
      <c r="E82" s="3" t="s">
        <v>17</v>
      </c>
      <c r="F82" s="3">
        <v>2</v>
      </c>
      <c r="G82" s="3">
        <v>0</v>
      </c>
      <c r="H82" s="3">
        <v>0</v>
      </c>
      <c r="I82" s="3">
        <v>0.5</v>
      </c>
      <c r="J82" s="4" t="str">
        <f>HYPERLINK("http://141.218.60.56/~jnz1568/getInfo.php?workbook=10_05.xlsx&amp;sheet=E0&amp;row=82&amp;col=10&amp;number=0&amp;sourceID=14","0")</f>
        <v>0</v>
      </c>
    </row>
    <row r="83" spans="1:10">
      <c r="A83" s="3">
        <v>10</v>
      </c>
      <c r="B83" s="3">
        <v>5</v>
      </c>
      <c r="C83" s="3">
        <v>80</v>
      </c>
      <c r="D83" s="3" t="s">
        <v>36</v>
      </c>
      <c r="E83" s="3" t="s">
        <v>16</v>
      </c>
      <c r="F83" s="3">
        <v>2</v>
      </c>
      <c r="G83" s="3">
        <v>2</v>
      </c>
      <c r="H83" s="3">
        <v>0</v>
      </c>
      <c r="I83" s="3">
        <v>1.5</v>
      </c>
      <c r="J83" s="4" t="str">
        <f>HYPERLINK("http://141.218.60.56/~jnz1568/getInfo.php?workbook=10_05.xlsx&amp;sheet=E0&amp;row=83&amp;col=10&amp;number=1056230&amp;sourceID=14","1056230")</f>
        <v>1056230</v>
      </c>
    </row>
    <row r="84" spans="1:10">
      <c r="A84" s="3">
        <v>10</v>
      </c>
      <c r="B84" s="3">
        <v>5</v>
      </c>
      <c r="C84" s="3">
        <v>81</v>
      </c>
      <c r="D84" s="3" t="s">
        <v>36</v>
      </c>
      <c r="E84" s="3" t="s">
        <v>16</v>
      </c>
      <c r="F84" s="3">
        <v>2</v>
      </c>
      <c r="G84" s="3">
        <v>2</v>
      </c>
      <c r="H84" s="3">
        <v>0</v>
      </c>
      <c r="I84" s="3">
        <v>2.5</v>
      </c>
      <c r="J84" s="4" t="str">
        <f>HYPERLINK("http://141.218.60.56/~jnz1568/getInfo.php?workbook=10_05.xlsx&amp;sheet=E0&amp;row=84&amp;col=10&amp;number=1056230&amp;sourceID=14","1056230")</f>
        <v>1056230</v>
      </c>
    </row>
    <row r="85" spans="1:10">
      <c r="A85" s="3">
        <v>10</v>
      </c>
      <c r="B85" s="3">
        <v>5</v>
      </c>
      <c r="C85" s="3">
        <v>82</v>
      </c>
      <c r="D85" s="3" t="s">
        <v>37</v>
      </c>
      <c r="E85" s="3" t="s">
        <v>25</v>
      </c>
      <c r="F85" s="3">
        <v>4</v>
      </c>
      <c r="G85" s="3">
        <v>2</v>
      </c>
      <c r="H85" s="3">
        <v>0</v>
      </c>
      <c r="I85" s="3">
        <v>0.5</v>
      </c>
      <c r="J85" s="4" t="str">
        <f>HYPERLINK("http://141.218.60.56/~jnz1568/getInfo.php?workbook=10_05.xlsx&amp;sheet=E0&amp;row=85&amp;col=10&amp;number=1062050&amp;sourceID=14","1062050")</f>
        <v>1062050</v>
      </c>
    </row>
    <row r="86" spans="1:10">
      <c r="A86" s="3">
        <v>10</v>
      </c>
      <c r="B86" s="3">
        <v>5</v>
      </c>
      <c r="C86" s="3">
        <v>83</v>
      </c>
      <c r="D86" s="3" t="s">
        <v>37</v>
      </c>
      <c r="E86" s="3" t="s">
        <v>25</v>
      </c>
      <c r="F86" s="3">
        <v>4</v>
      </c>
      <c r="G86" s="3">
        <v>2</v>
      </c>
      <c r="H86" s="3">
        <v>0</v>
      </c>
      <c r="I86" s="3">
        <v>1.5</v>
      </c>
      <c r="J86" s="4" t="str">
        <f>HYPERLINK("http://141.218.60.56/~jnz1568/getInfo.php?workbook=10_05.xlsx&amp;sheet=E0&amp;row=86&amp;col=10&amp;number=1062050&amp;sourceID=14","1062050")</f>
        <v>1062050</v>
      </c>
    </row>
    <row r="87" spans="1:10">
      <c r="A87" s="3">
        <v>10</v>
      </c>
      <c r="B87" s="3">
        <v>5</v>
      </c>
      <c r="C87" s="3">
        <v>84</v>
      </c>
      <c r="D87" s="3" t="s">
        <v>37</v>
      </c>
      <c r="E87" s="3" t="s">
        <v>25</v>
      </c>
      <c r="F87" s="3">
        <v>4</v>
      </c>
      <c r="G87" s="3">
        <v>2</v>
      </c>
      <c r="H87" s="3">
        <v>0</v>
      </c>
      <c r="I87" s="3">
        <v>2.5</v>
      </c>
      <c r="J87" s="4" t="str">
        <f>HYPERLINK("http://141.218.60.56/~jnz1568/getInfo.php?workbook=10_05.xlsx&amp;sheet=E0&amp;row=87&amp;col=10&amp;number=1062050&amp;sourceID=14","1062050")</f>
        <v>1062050</v>
      </c>
    </row>
    <row r="88" spans="1:10">
      <c r="A88" s="3">
        <v>10</v>
      </c>
      <c r="B88" s="3">
        <v>5</v>
      </c>
      <c r="C88" s="3">
        <v>85</v>
      </c>
      <c r="D88" s="3" t="s">
        <v>37</v>
      </c>
      <c r="E88" s="3" t="s">
        <v>25</v>
      </c>
      <c r="F88" s="3">
        <v>4</v>
      </c>
      <c r="G88" s="3">
        <v>2</v>
      </c>
      <c r="H88" s="3">
        <v>0</v>
      </c>
      <c r="I88" s="3">
        <v>3.5</v>
      </c>
      <c r="J88" s="4" t="str">
        <f>HYPERLINK("http://141.218.60.56/~jnz1568/getInfo.php?workbook=10_05.xlsx&amp;sheet=E0&amp;row=88&amp;col=10&amp;number=1062050&amp;sourceID=14","1062050")</f>
        <v>1062050</v>
      </c>
    </row>
    <row r="89" spans="1:10">
      <c r="A89" s="3">
        <v>10</v>
      </c>
      <c r="B89" s="3">
        <v>5</v>
      </c>
      <c r="C89" s="3">
        <v>86</v>
      </c>
      <c r="D89" s="3" t="s">
        <v>38</v>
      </c>
      <c r="E89" s="3" t="s">
        <v>29</v>
      </c>
      <c r="F89" s="3">
        <v>2</v>
      </c>
      <c r="G89" s="3">
        <v>3</v>
      </c>
      <c r="H89" s="3">
        <v>1</v>
      </c>
      <c r="I89" s="3">
        <v>2.5</v>
      </c>
      <c r="J89" s="4" t="str">
        <f>HYPERLINK("http://141.218.60.56/~jnz1568/getInfo.php?workbook=10_05.xlsx&amp;sheet=E0&amp;row=89&amp;col=10&amp;number=0&amp;sourceID=14","0")</f>
        <v>0</v>
      </c>
    </row>
    <row r="90" spans="1:10">
      <c r="A90" s="3">
        <v>10</v>
      </c>
      <c r="B90" s="3">
        <v>5</v>
      </c>
      <c r="C90" s="3">
        <v>87</v>
      </c>
      <c r="D90" s="3" t="s">
        <v>38</v>
      </c>
      <c r="E90" s="3" t="s">
        <v>29</v>
      </c>
      <c r="F90" s="3">
        <v>2</v>
      </c>
      <c r="G90" s="3">
        <v>3</v>
      </c>
      <c r="H90" s="3">
        <v>1</v>
      </c>
      <c r="I90" s="3">
        <v>3.5</v>
      </c>
      <c r="J90" s="4" t="str">
        <f>HYPERLINK("http://141.218.60.56/~jnz1568/getInfo.php?workbook=10_05.xlsx&amp;sheet=E0&amp;row=90&amp;col=10&amp;number=0&amp;sourceID=14","0")</f>
        <v>0</v>
      </c>
    </row>
    <row r="91" spans="1:10">
      <c r="A91" s="3">
        <v>10</v>
      </c>
      <c r="B91" s="3">
        <v>5</v>
      </c>
      <c r="C91" s="3">
        <v>88</v>
      </c>
      <c r="D91" s="3" t="s">
        <v>37</v>
      </c>
      <c r="E91" s="3" t="s">
        <v>15</v>
      </c>
      <c r="F91" s="3">
        <v>4</v>
      </c>
      <c r="G91" s="3">
        <v>1</v>
      </c>
      <c r="H91" s="3">
        <v>1</v>
      </c>
      <c r="I91" s="3">
        <v>0.5</v>
      </c>
      <c r="J91" s="4" t="str">
        <f>HYPERLINK("http://141.218.60.56/~jnz1568/getInfo.php?workbook=10_05.xlsx&amp;sheet=E0&amp;row=91&amp;col=10&amp;number=1065200&amp;sourceID=14","1065200")</f>
        <v>1065200</v>
      </c>
    </row>
    <row r="92" spans="1:10">
      <c r="A92" s="3">
        <v>10</v>
      </c>
      <c r="B92" s="3">
        <v>5</v>
      </c>
      <c r="C92" s="3">
        <v>89</v>
      </c>
      <c r="D92" s="3" t="s">
        <v>37</v>
      </c>
      <c r="E92" s="3" t="s">
        <v>15</v>
      </c>
      <c r="F92" s="3">
        <v>4</v>
      </c>
      <c r="G92" s="3">
        <v>1</v>
      </c>
      <c r="H92" s="3">
        <v>1</v>
      </c>
      <c r="I92" s="3">
        <v>1.5</v>
      </c>
      <c r="J92" s="4" t="str">
        <f>HYPERLINK("http://141.218.60.56/~jnz1568/getInfo.php?workbook=10_05.xlsx&amp;sheet=E0&amp;row=92&amp;col=10&amp;number=1065570&amp;sourceID=14","1065570")</f>
        <v>1065570</v>
      </c>
    </row>
    <row r="93" spans="1:10">
      <c r="A93" s="3">
        <v>10</v>
      </c>
      <c r="B93" s="3">
        <v>5</v>
      </c>
      <c r="C93" s="3">
        <v>90</v>
      </c>
      <c r="D93" s="3" t="s">
        <v>37</v>
      </c>
      <c r="E93" s="3" t="s">
        <v>15</v>
      </c>
      <c r="F93" s="3">
        <v>4</v>
      </c>
      <c r="G93" s="3">
        <v>1</v>
      </c>
      <c r="H93" s="3">
        <v>1</v>
      </c>
      <c r="I93" s="3">
        <v>2.5</v>
      </c>
      <c r="J93" s="4" t="str">
        <f>HYPERLINK("http://141.218.60.56/~jnz1568/getInfo.php?workbook=10_05.xlsx&amp;sheet=E0&amp;row=93&amp;col=10&amp;number=1066140&amp;sourceID=14","1066140")</f>
        <v>1066140</v>
      </c>
    </row>
    <row r="94" spans="1:10">
      <c r="A94" s="3">
        <v>10</v>
      </c>
      <c r="B94" s="3">
        <v>5</v>
      </c>
      <c r="C94" s="3">
        <v>91</v>
      </c>
      <c r="D94" s="3" t="s">
        <v>37</v>
      </c>
      <c r="E94" s="3" t="s">
        <v>16</v>
      </c>
      <c r="F94" s="3">
        <v>2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HYPERLINK("http://141.218.60.56/~jnz1568/getInfo.php?workbook=10_05.xlsx&amp;sheet=E0&amp;row=94&amp;col=10&amp;number=0&amp;sourceID=14","0")</f>
        <v>0</v>
      </c>
    </row>
    <row r="95" spans="1:10">
      <c r="A95" s="3">
        <v>10</v>
      </c>
      <c r="B95" s="3">
        <v>5</v>
      </c>
      <c r="C95" s="3">
        <v>92</v>
      </c>
      <c r="D95" s="3" t="s">
        <v>37</v>
      </c>
      <c r="E95" s="3" t="s">
        <v>16</v>
      </c>
      <c r="F95" s="3">
        <v>2</v>
      </c>
      <c r="G95" s="3">
        <v>2</v>
      </c>
      <c r="H95" s="3">
        <v>0</v>
      </c>
      <c r="I95" s="3">
        <v>2.5</v>
      </c>
      <c r="J95" s="4" t="str">
        <f>HYPERLINK("http://141.218.60.56/~jnz1568/getInfo.php?workbook=10_05.xlsx&amp;sheet=E0&amp;row=95&amp;col=10&amp;number=0&amp;sourceID=14","0")</f>
        <v>0</v>
      </c>
    </row>
    <row r="96" spans="1:10">
      <c r="A96" s="3">
        <v>10</v>
      </c>
      <c r="B96" s="3">
        <v>5</v>
      </c>
      <c r="C96" s="3">
        <v>93</v>
      </c>
      <c r="D96" s="3" t="s">
        <v>37</v>
      </c>
      <c r="E96" s="3" t="s">
        <v>13</v>
      </c>
      <c r="F96" s="3">
        <v>2</v>
      </c>
      <c r="G96" s="3">
        <v>1</v>
      </c>
      <c r="H96" s="3">
        <v>1</v>
      </c>
      <c r="I96" s="3">
        <v>0.5</v>
      </c>
      <c r="J96" s="4" t="str">
        <f>HYPERLINK("http://141.218.60.56/~jnz1568/getInfo.php?workbook=10_05.xlsx&amp;sheet=E0&amp;row=96&amp;col=10&amp;number=0&amp;sourceID=14","0")</f>
        <v>0</v>
      </c>
    </row>
    <row r="97" spans="1:10">
      <c r="A97" s="3">
        <v>10</v>
      </c>
      <c r="B97" s="3">
        <v>5</v>
      </c>
      <c r="C97" s="3">
        <v>94</v>
      </c>
      <c r="D97" s="3" t="s">
        <v>37</v>
      </c>
      <c r="E97" s="3" t="s">
        <v>13</v>
      </c>
      <c r="F97" s="3">
        <v>2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HYPERLINK("http://141.218.60.56/~jnz1568/getInfo.php?workbook=10_05.xlsx&amp;sheet=E0&amp;row=97&amp;col=10&amp;number=0&amp;sourceID=14","0")</f>
        <v>0</v>
      </c>
    </row>
    <row r="98" spans="1:10">
      <c r="A98" s="3">
        <v>10</v>
      </c>
      <c r="B98" s="3">
        <v>5</v>
      </c>
      <c r="C98" s="3">
        <v>95</v>
      </c>
      <c r="D98" s="3" t="s">
        <v>37</v>
      </c>
      <c r="E98" s="3" t="s">
        <v>19</v>
      </c>
      <c r="F98" s="3">
        <v>4</v>
      </c>
      <c r="G98" s="3">
        <v>0</v>
      </c>
      <c r="H98" s="3">
        <v>0</v>
      </c>
      <c r="I98" s="3">
        <v>1.5</v>
      </c>
      <c r="J98" s="4" t="str">
        <f>HYPERLINK("http://141.218.60.56/~jnz1568/getInfo.php?workbook=10_05.xlsx&amp;sheet=E0&amp;row=98&amp;col=10&amp;number=1083040&amp;sourceID=14","1083040")</f>
        <v>1083040</v>
      </c>
    </row>
    <row r="99" spans="1:10">
      <c r="A99" s="3">
        <v>10</v>
      </c>
      <c r="B99" s="3">
        <v>5</v>
      </c>
      <c r="C99" s="3">
        <v>96</v>
      </c>
      <c r="D99" s="3" t="s">
        <v>39</v>
      </c>
      <c r="E99" s="3" t="s">
        <v>29</v>
      </c>
      <c r="F99" s="3">
        <v>2</v>
      </c>
      <c r="G99" s="3">
        <v>3</v>
      </c>
      <c r="H99" s="3">
        <v>1</v>
      </c>
      <c r="I99" s="3">
        <v>2.5</v>
      </c>
      <c r="J99" s="4" t="str">
        <f>HYPERLINK("http://141.218.60.56/~jnz1568/getInfo.php?workbook=10_05.xlsx&amp;sheet=E0&amp;row=99&amp;col=10&amp;number=1095830&amp;sourceID=14","1095830")</f>
        <v>1095830</v>
      </c>
    </row>
    <row r="100" spans="1:10">
      <c r="A100" s="3">
        <v>10</v>
      </c>
      <c r="B100" s="3">
        <v>5</v>
      </c>
      <c r="C100" s="3">
        <v>97</v>
      </c>
      <c r="D100" s="3" t="s">
        <v>39</v>
      </c>
      <c r="E100" s="3" t="s">
        <v>29</v>
      </c>
      <c r="F100" s="3">
        <v>2</v>
      </c>
      <c r="G100" s="3">
        <v>3</v>
      </c>
      <c r="H100" s="3">
        <v>1</v>
      </c>
      <c r="I100" s="3">
        <v>3.5</v>
      </c>
      <c r="J100" s="4" t="str">
        <f>HYPERLINK("http://141.218.60.56/~jnz1568/getInfo.php?workbook=10_05.xlsx&amp;sheet=E0&amp;row=100&amp;col=10&amp;number=1096170&amp;sourceID=14","1096170")</f>
        <v>1096170</v>
      </c>
    </row>
    <row r="101" spans="1:10">
      <c r="A101" s="3">
        <v>10</v>
      </c>
      <c r="B101" s="3">
        <v>5</v>
      </c>
      <c r="C101" s="3">
        <v>98</v>
      </c>
      <c r="D101" s="3" t="s">
        <v>40</v>
      </c>
      <c r="E101" s="3" t="s">
        <v>15</v>
      </c>
      <c r="F101" s="3">
        <v>4</v>
      </c>
      <c r="G101" s="3">
        <v>1</v>
      </c>
      <c r="H101" s="3">
        <v>1</v>
      </c>
      <c r="I101" s="3">
        <v>0.5</v>
      </c>
      <c r="J101" s="4" t="str">
        <f>HYPERLINK("http://141.218.60.56/~jnz1568/getInfo.php?workbook=10_05.xlsx&amp;sheet=E0&amp;row=101&amp;col=10&amp;number=0&amp;sourceID=14","0")</f>
        <v>0</v>
      </c>
    </row>
    <row r="102" spans="1:10">
      <c r="A102" s="3">
        <v>10</v>
      </c>
      <c r="B102" s="3">
        <v>5</v>
      </c>
      <c r="C102" s="3">
        <v>99</v>
      </c>
      <c r="D102" s="3" t="s">
        <v>41</v>
      </c>
      <c r="E102" s="3" t="s">
        <v>27</v>
      </c>
      <c r="F102" s="3">
        <v>4</v>
      </c>
      <c r="G102" s="3">
        <v>3</v>
      </c>
      <c r="H102" s="3">
        <v>1</v>
      </c>
      <c r="I102" s="3">
        <v>1.5</v>
      </c>
      <c r="J102" s="4" t="str">
        <f>HYPERLINK("http://141.218.60.56/~jnz1568/getInfo.php?workbook=10_05.xlsx&amp;sheet=E0&amp;row=102&amp;col=10&amp;number=0&amp;sourceID=14","0")</f>
        <v>0</v>
      </c>
    </row>
    <row r="103" spans="1:10">
      <c r="A103" s="3">
        <v>10</v>
      </c>
      <c r="B103" s="3">
        <v>5</v>
      </c>
      <c r="C103" s="3">
        <v>100</v>
      </c>
      <c r="D103" s="3" t="s">
        <v>41</v>
      </c>
      <c r="E103" s="3" t="s">
        <v>27</v>
      </c>
      <c r="F103" s="3">
        <v>4</v>
      </c>
      <c r="G103" s="3">
        <v>3</v>
      </c>
      <c r="H103" s="3">
        <v>1</v>
      </c>
      <c r="I103" s="3">
        <v>2.5</v>
      </c>
      <c r="J103" s="4" t="str">
        <f>HYPERLINK("http://141.218.60.56/~jnz1568/getInfo.php?workbook=10_05.xlsx&amp;sheet=E0&amp;row=103&amp;col=10&amp;number=0&amp;sourceID=14","0")</f>
        <v>0</v>
      </c>
    </row>
    <row r="104" spans="1:10">
      <c r="A104" s="3">
        <v>10</v>
      </c>
      <c r="B104" s="3">
        <v>5</v>
      </c>
      <c r="C104" s="3">
        <v>101</v>
      </c>
      <c r="D104" s="3" t="s">
        <v>40</v>
      </c>
      <c r="E104" s="3" t="s">
        <v>15</v>
      </c>
      <c r="F104" s="3">
        <v>4</v>
      </c>
      <c r="G104" s="3">
        <v>1</v>
      </c>
      <c r="H104" s="3">
        <v>1</v>
      </c>
      <c r="I104" s="3">
        <v>1.5</v>
      </c>
      <c r="J104" s="4" t="str">
        <f>HYPERLINK("http://141.218.60.56/~jnz1568/getInfo.php?workbook=10_05.xlsx&amp;sheet=E0&amp;row=104&amp;col=10&amp;number=0&amp;sourceID=14","0")</f>
        <v>0</v>
      </c>
    </row>
    <row r="105" spans="1:10">
      <c r="A105" s="3">
        <v>10</v>
      </c>
      <c r="B105" s="3">
        <v>5</v>
      </c>
      <c r="C105" s="3">
        <v>102</v>
      </c>
      <c r="D105" s="3" t="s">
        <v>41</v>
      </c>
      <c r="E105" s="3" t="s">
        <v>27</v>
      </c>
      <c r="F105" s="3">
        <v>4</v>
      </c>
      <c r="G105" s="3">
        <v>3</v>
      </c>
      <c r="H105" s="3">
        <v>1</v>
      </c>
      <c r="I105" s="3">
        <v>3.5</v>
      </c>
      <c r="J105" s="4" t="str">
        <f>HYPERLINK("http://141.218.60.56/~jnz1568/getInfo.php?workbook=10_05.xlsx&amp;sheet=E0&amp;row=105&amp;col=10&amp;number=0&amp;sourceID=14","0")</f>
        <v>0</v>
      </c>
    </row>
    <row r="106" spans="1:10">
      <c r="A106" s="3">
        <v>10</v>
      </c>
      <c r="B106" s="3">
        <v>5</v>
      </c>
      <c r="C106" s="3">
        <v>103</v>
      </c>
      <c r="D106" s="3" t="s">
        <v>40</v>
      </c>
      <c r="E106" s="3" t="s">
        <v>15</v>
      </c>
      <c r="F106" s="3">
        <v>4</v>
      </c>
      <c r="G106" s="3">
        <v>1</v>
      </c>
      <c r="H106" s="3">
        <v>1</v>
      </c>
      <c r="I106" s="3">
        <v>2.5</v>
      </c>
      <c r="J106" s="4" t="str">
        <f>HYPERLINK("http://141.218.60.56/~jnz1568/getInfo.php?workbook=10_05.xlsx&amp;sheet=E0&amp;row=106&amp;col=10&amp;number=0&amp;sourceID=14","0")</f>
        <v>0</v>
      </c>
    </row>
    <row r="107" spans="1:10">
      <c r="A107" s="3">
        <v>10</v>
      </c>
      <c r="B107" s="3">
        <v>5</v>
      </c>
      <c r="C107" s="3">
        <v>104</v>
      </c>
      <c r="D107" s="3" t="s">
        <v>41</v>
      </c>
      <c r="E107" s="3" t="s">
        <v>27</v>
      </c>
      <c r="F107" s="3">
        <v>4</v>
      </c>
      <c r="G107" s="3">
        <v>3</v>
      </c>
      <c r="H107" s="3">
        <v>1</v>
      </c>
      <c r="I107" s="3">
        <v>4.5</v>
      </c>
      <c r="J107" s="4" t="str">
        <f>HYPERLINK("http://141.218.60.56/~jnz1568/getInfo.php?workbook=10_05.xlsx&amp;sheet=E0&amp;row=107&amp;col=10&amp;number=0&amp;sourceID=14","0")</f>
        <v>0</v>
      </c>
    </row>
    <row r="108" spans="1:10">
      <c r="A108" s="3">
        <v>10</v>
      </c>
      <c r="B108" s="3">
        <v>5</v>
      </c>
      <c r="C108" s="3">
        <v>105</v>
      </c>
      <c r="D108" s="3" t="s">
        <v>41</v>
      </c>
      <c r="E108" s="3" t="s">
        <v>25</v>
      </c>
      <c r="F108" s="3">
        <v>4</v>
      </c>
      <c r="G108" s="3">
        <v>2</v>
      </c>
      <c r="H108" s="3">
        <v>0</v>
      </c>
      <c r="I108" s="3">
        <v>0.5</v>
      </c>
      <c r="J108" s="4" t="str">
        <f>HYPERLINK("http://141.218.60.56/~jnz1568/getInfo.php?workbook=10_05.xlsx&amp;sheet=E0&amp;row=108&amp;col=10&amp;number=0&amp;sourceID=14","0")</f>
        <v>0</v>
      </c>
    </row>
    <row r="109" spans="1:10">
      <c r="A109" s="3">
        <v>10</v>
      </c>
      <c r="B109" s="3">
        <v>5</v>
      </c>
      <c r="C109" s="3">
        <v>106</v>
      </c>
      <c r="D109" s="3" t="s">
        <v>41</v>
      </c>
      <c r="E109" s="3" t="s">
        <v>25</v>
      </c>
      <c r="F109" s="3">
        <v>4</v>
      </c>
      <c r="G109" s="3">
        <v>2</v>
      </c>
      <c r="H109" s="3">
        <v>0</v>
      </c>
      <c r="I109" s="3">
        <v>1.5</v>
      </c>
      <c r="J109" s="4" t="str">
        <f>HYPERLINK("http://141.218.60.56/~jnz1568/getInfo.php?workbook=10_05.xlsx&amp;sheet=E0&amp;row=109&amp;col=10&amp;number=0&amp;sourceID=14","0")</f>
        <v>0</v>
      </c>
    </row>
    <row r="110" spans="1:10">
      <c r="A110" s="3">
        <v>10</v>
      </c>
      <c r="B110" s="3">
        <v>5</v>
      </c>
      <c r="C110" s="3">
        <v>107</v>
      </c>
      <c r="D110" s="3" t="s">
        <v>41</v>
      </c>
      <c r="E110" s="3" t="s">
        <v>25</v>
      </c>
      <c r="F110" s="3">
        <v>4</v>
      </c>
      <c r="G110" s="3">
        <v>2</v>
      </c>
      <c r="H110" s="3">
        <v>0</v>
      </c>
      <c r="I110" s="3">
        <v>2.5</v>
      </c>
      <c r="J110" s="4" t="str">
        <f>HYPERLINK("http://141.218.60.56/~jnz1568/getInfo.php?workbook=10_05.xlsx&amp;sheet=E0&amp;row=110&amp;col=10&amp;number=0&amp;sourceID=14","0")</f>
        <v>0</v>
      </c>
    </row>
    <row r="111" spans="1:10">
      <c r="A111" s="3">
        <v>10</v>
      </c>
      <c r="B111" s="3">
        <v>5</v>
      </c>
      <c r="C111" s="3">
        <v>108</v>
      </c>
      <c r="D111" s="3" t="s">
        <v>41</v>
      </c>
      <c r="E111" s="3" t="s">
        <v>25</v>
      </c>
      <c r="F111" s="3">
        <v>4</v>
      </c>
      <c r="G111" s="3">
        <v>2</v>
      </c>
      <c r="H111" s="3">
        <v>0</v>
      </c>
      <c r="I111" s="3">
        <v>3.5</v>
      </c>
      <c r="J111" s="4" t="str">
        <f>HYPERLINK("http://141.218.60.56/~jnz1568/getInfo.php?workbook=10_05.xlsx&amp;sheet=E0&amp;row=111&amp;col=10&amp;number=0&amp;sourceID=14","0")</f>
        <v>0</v>
      </c>
    </row>
    <row r="112" spans="1:10">
      <c r="A112" s="3">
        <v>10</v>
      </c>
      <c r="B112" s="3">
        <v>5</v>
      </c>
      <c r="C112" s="3">
        <v>109</v>
      </c>
      <c r="D112" s="3" t="s">
        <v>41</v>
      </c>
      <c r="E112" s="3" t="s">
        <v>13</v>
      </c>
      <c r="F112" s="3">
        <v>2</v>
      </c>
      <c r="G112" s="3">
        <v>1</v>
      </c>
      <c r="H112" s="3">
        <v>1</v>
      </c>
      <c r="I112" s="3">
        <v>1.5</v>
      </c>
      <c r="J112" s="4" t="str">
        <f>HYPERLINK("http://141.218.60.56/~jnz1568/getInfo.php?workbook=10_05.xlsx&amp;sheet=E0&amp;row=112&amp;col=10&amp;number=0&amp;sourceID=14","0")</f>
        <v>0</v>
      </c>
    </row>
    <row r="113" spans="1:10">
      <c r="A113" s="3">
        <v>10</v>
      </c>
      <c r="B113" s="3">
        <v>5</v>
      </c>
      <c r="C113" s="3">
        <v>110</v>
      </c>
      <c r="D113" s="3" t="s">
        <v>40</v>
      </c>
      <c r="E113" s="3" t="s">
        <v>13</v>
      </c>
      <c r="F113" s="3">
        <v>2</v>
      </c>
      <c r="G113" s="3">
        <v>1</v>
      </c>
      <c r="H113" s="3">
        <v>1</v>
      </c>
      <c r="I113" s="3">
        <v>0.5</v>
      </c>
      <c r="J113" s="4" t="str">
        <f>HYPERLINK("http://141.218.60.56/~jnz1568/getInfo.php?workbook=10_05.xlsx&amp;sheet=E0&amp;row=113&amp;col=10&amp;number=0&amp;sourceID=14","0")</f>
        <v>0</v>
      </c>
    </row>
    <row r="114" spans="1:10">
      <c r="A114" s="3">
        <v>10</v>
      </c>
      <c r="B114" s="3">
        <v>5</v>
      </c>
      <c r="C114" s="3">
        <v>111</v>
      </c>
      <c r="D114" s="3" t="s">
        <v>41</v>
      </c>
      <c r="E114" s="3" t="s">
        <v>13</v>
      </c>
      <c r="F114" s="3">
        <v>2</v>
      </c>
      <c r="G114" s="3">
        <v>1</v>
      </c>
      <c r="H114" s="3">
        <v>1</v>
      </c>
      <c r="I114" s="3">
        <v>0.5</v>
      </c>
      <c r="J114" s="4" t="str">
        <f>HYPERLINK("http://141.218.60.56/~jnz1568/getInfo.php?workbook=10_05.xlsx&amp;sheet=E0&amp;row=114&amp;col=10&amp;number=0&amp;sourceID=14","0")</f>
        <v>0</v>
      </c>
    </row>
    <row r="115" spans="1:10">
      <c r="A115" s="3">
        <v>10</v>
      </c>
      <c r="B115" s="3">
        <v>5</v>
      </c>
      <c r="C115" s="3">
        <v>112</v>
      </c>
      <c r="D115" s="3" t="s">
        <v>40</v>
      </c>
      <c r="E115" s="3" t="s">
        <v>13</v>
      </c>
      <c r="F115" s="3">
        <v>2</v>
      </c>
      <c r="G115" s="3">
        <v>1</v>
      </c>
      <c r="H115" s="3">
        <v>1</v>
      </c>
      <c r="I115" s="3">
        <v>1.5</v>
      </c>
      <c r="J115" s="4" t="str">
        <f>HYPERLINK("http://141.218.60.56/~jnz1568/getInfo.php?workbook=10_05.xlsx&amp;sheet=E0&amp;row=115&amp;col=10&amp;number=0&amp;sourceID=14","0")</f>
        <v>0</v>
      </c>
    </row>
    <row r="116" spans="1:10">
      <c r="A116" s="3">
        <v>10</v>
      </c>
      <c r="B116" s="3">
        <v>5</v>
      </c>
      <c r="C116" s="3">
        <v>113</v>
      </c>
      <c r="D116" s="3" t="s">
        <v>39</v>
      </c>
      <c r="E116" s="3" t="s">
        <v>16</v>
      </c>
      <c r="F116" s="3">
        <v>2</v>
      </c>
      <c r="G116" s="3">
        <v>2</v>
      </c>
      <c r="H116" s="3">
        <v>0</v>
      </c>
      <c r="I116" s="3">
        <v>2.5</v>
      </c>
      <c r="J116" s="4" t="str">
        <f>HYPERLINK("http://141.218.60.56/~jnz1568/getInfo.php?workbook=10_05.xlsx&amp;sheet=E0&amp;row=116&amp;col=10&amp;number=1108360&amp;sourceID=14","1108360")</f>
        <v>1108360</v>
      </c>
    </row>
    <row r="117" spans="1:10">
      <c r="A117" s="3">
        <v>10</v>
      </c>
      <c r="B117" s="3">
        <v>5</v>
      </c>
      <c r="C117" s="3">
        <v>114</v>
      </c>
      <c r="D117" s="3" t="s">
        <v>39</v>
      </c>
      <c r="E117" s="3" t="s">
        <v>16</v>
      </c>
      <c r="F117" s="3">
        <v>2</v>
      </c>
      <c r="G117" s="3">
        <v>2</v>
      </c>
      <c r="H117" s="3">
        <v>0</v>
      </c>
      <c r="I117" s="3">
        <v>1.5</v>
      </c>
      <c r="J117" s="4" t="str">
        <f>HYPERLINK("http://141.218.60.56/~jnz1568/getInfo.php?workbook=10_05.xlsx&amp;sheet=E0&amp;row=117&amp;col=10&amp;number=1108360&amp;sourceID=14","1108360")</f>
        <v>1108360</v>
      </c>
    </row>
    <row r="118" spans="1:10">
      <c r="A118" s="3">
        <v>10</v>
      </c>
      <c r="B118" s="3">
        <v>5</v>
      </c>
      <c r="C118" s="3">
        <v>115</v>
      </c>
      <c r="D118" s="3" t="s">
        <v>41</v>
      </c>
      <c r="E118" s="3" t="s">
        <v>29</v>
      </c>
      <c r="F118" s="3">
        <v>2</v>
      </c>
      <c r="G118" s="3">
        <v>3</v>
      </c>
      <c r="H118" s="3">
        <v>1</v>
      </c>
      <c r="I118" s="3">
        <v>2.5</v>
      </c>
      <c r="J118" s="4" t="str">
        <f>HYPERLINK("http://141.218.60.56/~jnz1568/getInfo.php?workbook=10_05.xlsx&amp;sheet=E0&amp;row=118&amp;col=10&amp;number=0&amp;sourceID=14","0")</f>
        <v>0</v>
      </c>
    </row>
    <row r="119" spans="1:10">
      <c r="A119" s="3">
        <v>10</v>
      </c>
      <c r="B119" s="3">
        <v>5</v>
      </c>
      <c r="C119" s="3">
        <v>116</v>
      </c>
      <c r="D119" s="3" t="s">
        <v>41</v>
      </c>
      <c r="E119" s="3" t="s">
        <v>29</v>
      </c>
      <c r="F119" s="3">
        <v>2</v>
      </c>
      <c r="G119" s="3">
        <v>3</v>
      </c>
      <c r="H119" s="3">
        <v>1</v>
      </c>
      <c r="I119" s="3">
        <v>3.5</v>
      </c>
      <c r="J119" s="4" t="str">
        <f>HYPERLINK("http://141.218.60.56/~jnz1568/getInfo.php?workbook=10_05.xlsx&amp;sheet=E0&amp;row=119&amp;col=10&amp;number=0&amp;sourceID=14","0")</f>
        <v>0</v>
      </c>
    </row>
    <row r="120" spans="1:10">
      <c r="A120" s="3">
        <v>10</v>
      </c>
      <c r="B120" s="3">
        <v>5</v>
      </c>
      <c r="C120" s="3">
        <v>117</v>
      </c>
      <c r="D120" s="3" t="s">
        <v>41</v>
      </c>
      <c r="E120" s="3" t="s">
        <v>15</v>
      </c>
      <c r="F120" s="3">
        <v>4</v>
      </c>
      <c r="G120" s="3">
        <v>1</v>
      </c>
      <c r="H120" s="3">
        <v>1</v>
      </c>
      <c r="I120" s="3">
        <v>2.5</v>
      </c>
      <c r="J120" s="4" t="str">
        <f>HYPERLINK("http://141.218.60.56/~jnz1568/getInfo.php?workbook=10_05.xlsx&amp;sheet=E0&amp;row=120&amp;col=10&amp;number=0&amp;sourceID=14","0")</f>
        <v>0</v>
      </c>
    </row>
    <row r="121" spans="1:10">
      <c r="A121" s="3">
        <v>10</v>
      </c>
      <c r="B121" s="3">
        <v>5</v>
      </c>
      <c r="C121" s="3">
        <v>118</v>
      </c>
      <c r="D121" s="3" t="s">
        <v>41</v>
      </c>
      <c r="E121" s="3" t="s">
        <v>15</v>
      </c>
      <c r="F121" s="3">
        <v>4</v>
      </c>
      <c r="G121" s="3">
        <v>1</v>
      </c>
      <c r="H121" s="3">
        <v>1</v>
      </c>
      <c r="I121" s="3">
        <v>1.5</v>
      </c>
      <c r="J121" s="4" t="str">
        <f>HYPERLINK("http://141.218.60.56/~jnz1568/getInfo.php?workbook=10_05.xlsx&amp;sheet=E0&amp;row=121&amp;col=10&amp;number=0&amp;sourceID=14","0")</f>
        <v>0</v>
      </c>
    </row>
    <row r="122" spans="1:10">
      <c r="A122" s="3">
        <v>10</v>
      </c>
      <c r="B122" s="3">
        <v>5</v>
      </c>
      <c r="C122" s="3">
        <v>119</v>
      </c>
      <c r="D122" s="3" t="s">
        <v>41</v>
      </c>
      <c r="E122" s="3" t="s">
        <v>15</v>
      </c>
      <c r="F122" s="3">
        <v>4</v>
      </c>
      <c r="G122" s="3">
        <v>1</v>
      </c>
      <c r="H122" s="3">
        <v>1</v>
      </c>
      <c r="I122" s="3">
        <v>0.5</v>
      </c>
      <c r="J122" s="4" t="str">
        <f>HYPERLINK("http://141.218.60.56/~jnz1568/getInfo.php?workbook=10_05.xlsx&amp;sheet=E0&amp;row=122&amp;col=10&amp;number=0&amp;sourceID=14","0")</f>
        <v>0</v>
      </c>
    </row>
    <row r="123" spans="1:10">
      <c r="A123" s="3">
        <v>10</v>
      </c>
      <c r="B123" s="3">
        <v>5</v>
      </c>
      <c r="C123" s="3">
        <v>120</v>
      </c>
      <c r="D123" s="3" t="s">
        <v>42</v>
      </c>
      <c r="E123" s="3" t="s">
        <v>25</v>
      </c>
      <c r="F123" s="3">
        <v>4</v>
      </c>
      <c r="G123" s="3">
        <v>2</v>
      </c>
      <c r="H123" s="3">
        <v>0</v>
      </c>
      <c r="I123" s="3">
        <v>0.5</v>
      </c>
      <c r="J123" s="4" t="str">
        <f>HYPERLINK("http://141.218.60.56/~jnz1568/getInfo.php?workbook=10_05.xlsx&amp;sheet=E0&amp;row=123&amp;col=10&amp;number=0&amp;sourceID=14","0")</f>
        <v>0</v>
      </c>
    </row>
    <row r="124" spans="1:10">
      <c r="A124" s="3">
        <v>10</v>
      </c>
      <c r="B124" s="3">
        <v>5</v>
      </c>
      <c r="C124" s="3">
        <v>121</v>
      </c>
      <c r="D124" s="3" t="s">
        <v>42</v>
      </c>
      <c r="E124" s="3" t="s">
        <v>25</v>
      </c>
      <c r="F124" s="3">
        <v>4</v>
      </c>
      <c r="G124" s="3">
        <v>2</v>
      </c>
      <c r="H124" s="3">
        <v>0</v>
      </c>
      <c r="I124" s="3">
        <v>1.5</v>
      </c>
      <c r="J124" s="4" t="str">
        <f>HYPERLINK("http://141.218.60.56/~jnz1568/getInfo.php?workbook=10_05.xlsx&amp;sheet=E0&amp;row=124&amp;col=10&amp;number=0&amp;sourceID=14","0")</f>
        <v>0</v>
      </c>
    </row>
    <row r="125" spans="1:10">
      <c r="A125" s="3">
        <v>10</v>
      </c>
      <c r="B125" s="3">
        <v>5</v>
      </c>
      <c r="C125" s="3">
        <v>122</v>
      </c>
      <c r="D125" s="3" t="s">
        <v>42</v>
      </c>
      <c r="E125" s="3" t="s">
        <v>25</v>
      </c>
      <c r="F125" s="3">
        <v>4</v>
      </c>
      <c r="G125" s="3">
        <v>2</v>
      </c>
      <c r="H125" s="3">
        <v>0</v>
      </c>
      <c r="I125" s="3">
        <v>2.5</v>
      </c>
      <c r="J125" s="4" t="str">
        <f>HYPERLINK("http://141.218.60.56/~jnz1568/getInfo.php?workbook=10_05.xlsx&amp;sheet=E0&amp;row=125&amp;col=10&amp;number=0&amp;sourceID=14","0")</f>
        <v>0</v>
      </c>
    </row>
    <row r="126" spans="1:10">
      <c r="A126" s="3">
        <v>10</v>
      </c>
      <c r="B126" s="3">
        <v>5</v>
      </c>
      <c r="C126" s="3">
        <v>123</v>
      </c>
      <c r="D126" s="3" t="s">
        <v>42</v>
      </c>
      <c r="E126" s="3" t="s">
        <v>19</v>
      </c>
      <c r="F126" s="3">
        <v>4</v>
      </c>
      <c r="G126" s="3">
        <v>0</v>
      </c>
      <c r="H126" s="3">
        <v>0</v>
      </c>
      <c r="I126" s="3">
        <v>1.5</v>
      </c>
      <c r="J126" s="4" t="str">
        <f>HYPERLINK("http://141.218.60.56/~jnz1568/getInfo.php?workbook=10_05.xlsx&amp;sheet=E0&amp;row=126&amp;col=10&amp;number=0&amp;sourceID=14","0")</f>
        <v>0</v>
      </c>
    </row>
    <row r="127" spans="1:10">
      <c r="A127" s="3">
        <v>10</v>
      </c>
      <c r="B127" s="3">
        <v>5</v>
      </c>
      <c r="C127" s="3">
        <v>124</v>
      </c>
      <c r="D127" s="3" t="s">
        <v>42</v>
      </c>
      <c r="E127" s="3" t="s">
        <v>25</v>
      </c>
      <c r="F127" s="3">
        <v>4</v>
      </c>
      <c r="G127" s="3">
        <v>2</v>
      </c>
      <c r="H127" s="3">
        <v>0</v>
      </c>
      <c r="I127" s="3">
        <v>3.5</v>
      </c>
      <c r="J127" s="4" t="str">
        <f>HYPERLINK("http://141.218.60.56/~jnz1568/getInfo.php?workbook=10_05.xlsx&amp;sheet=E0&amp;row=127&amp;col=10&amp;number=0&amp;sourceID=14","0")</f>
        <v>0</v>
      </c>
    </row>
    <row r="128" spans="1:10">
      <c r="A128" s="3">
        <v>10</v>
      </c>
      <c r="B128" s="3">
        <v>5</v>
      </c>
      <c r="C128" s="3">
        <v>125</v>
      </c>
      <c r="D128" s="3" t="s">
        <v>42</v>
      </c>
      <c r="E128" s="3" t="s">
        <v>13</v>
      </c>
      <c r="F128" s="3">
        <v>2</v>
      </c>
      <c r="G128" s="3">
        <v>1</v>
      </c>
      <c r="H128" s="3">
        <v>1</v>
      </c>
      <c r="I128" s="3">
        <v>0.5</v>
      </c>
      <c r="J128" s="4" t="str">
        <f>HYPERLINK("http://141.218.60.56/~jnz1568/getInfo.php?workbook=10_05.xlsx&amp;sheet=E0&amp;row=128&amp;col=10&amp;number=0&amp;sourceID=14","0")</f>
        <v>0</v>
      </c>
    </row>
    <row r="129" spans="1:10">
      <c r="A129" s="3">
        <v>10</v>
      </c>
      <c r="B129" s="3">
        <v>5</v>
      </c>
      <c r="C129" s="3">
        <v>126</v>
      </c>
      <c r="D129" s="3" t="s">
        <v>42</v>
      </c>
      <c r="E129" s="3" t="s">
        <v>13</v>
      </c>
      <c r="F129" s="3">
        <v>2</v>
      </c>
      <c r="G129" s="3">
        <v>1</v>
      </c>
      <c r="H129" s="3">
        <v>1</v>
      </c>
      <c r="I129" s="3">
        <v>1.5</v>
      </c>
      <c r="J129" s="4" t="str">
        <f>HYPERLINK("http://141.218.60.56/~jnz1568/getInfo.php?workbook=10_05.xlsx&amp;sheet=E0&amp;row=129&amp;col=10&amp;number=0&amp;sourceID=14","0")</f>
        <v>0</v>
      </c>
    </row>
    <row r="130" spans="1:10">
      <c r="A130" s="3">
        <v>10</v>
      </c>
      <c r="B130" s="3">
        <v>5</v>
      </c>
      <c r="C130" s="3">
        <v>127</v>
      </c>
      <c r="D130" s="3" t="s">
        <v>39</v>
      </c>
      <c r="E130" s="3" t="s">
        <v>13</v>
      </c>
      <c r="F130" s="3">
        <v>2</v>
      </c>
      <c r="G130" s="3">
        <v>1</v>
      </c>
      <c r="H130" s="3">
        <v>1</v>
      </c>
      <c r="I130" s="3">
        <v>0.5</v>
      </c>
      <c r="J130" s="4" t="str">
        <f>HYPERLINK("http://141.218.60.56/~jnz1568/getInfo.php?workbook=10_05.xlsx&amp;sheet=E0&amp;row=130&amp;col=10&amp;number=0&amp;sourceID=14","0")</f>
        <v>0</v>
      </c>
    </row>
    <row r="131" spans="1:10">
      <c r="A131" s="3">
        <v>10</v>
      </c>
      <c r="B131" s="3">
        <v>5</v>
      </c>
      <c r="C131" s="3">
        <v>128</v>
      </c>
      <c r="D131" s="3" t="s">
        <v>39</v>
      </c>
      <c r="E131" s="3" t="s">
        <v>13</v>
      </c>
      <c r="F131" s="3">
        <v>2</v>
      </c>
      <c r="G131" s="3">
        <v>1</v>
      </c>
      <c r="H131" s="3">
        <v>1</v>
      </c>
      <c r="I131" s="3">
        <v>1.5</v>
      </c>
      <c r="J131" s="4" t="str">
        <f>HYPERLINK("http://141.218.60.56/~jnz1568/getInfo.php?workbook=10_05.xlsx&amp;sheet=E0&amp;row=131&amp;col=10&amp;number=0&amp;sourceID=14","0")</f>
        <v>0</v>
      </c>
    </row>
    <row r="132" spans="1:10">
      <c r="A132" s="3">
        <v>10</v>
      </c>
      <c r="B132" s="3">
        <v>5</v>
      </c>
      <c r="C132" s="3">
        <v>129</v>
      </c>
      <c r="D132" s="3" t="s">
        <v>42</v>
      </c>
      <c r="E132" s="3" t="s">
        <v>16</v>
      </c>
      <c r="F132" s="3">
        <v>2</v>
      </c>
      <c r="G132" s="3">
        <v>2</v>
      </c>
      <c r="H132" s="3">
        <v>0</v>
      </c>
      <c r="I132" s="3">
        <v>1.5</v>
      </c>
      <c r="J132" s="4" t="str">
        <f>HYPERLINK("http://141.218.60.56/~jnz1568/getInfo.php?workbook=10_05.xlsx&amp;sheet=E0&amp;row=132&amp;col=10&amp;number=1123640&amp;sourceID=14","1123640")</f>
        <v>1123640</v>
      </c>
    </row>
    <row r="133" spans="1:10">
      <c r="A133" s="3">
        <v>10</v>
      </c>
      <c r="B133" s="3">
        <v>5</v>
      </c>
      <c r="C133" s="3">
        <v>130</v>
      </c>
      <c r="D133" s="3" t="s">
        <v>42</v>
      </c>
      <c r="E133" s="3" t="s">
        <v>16</v>
      </c>
      <c r="F133" s="3">
        <v>2</v>
      </c>
      <c r="G133" s="3">
        <v>2</v>
      </c>
      <c r="H133" s="3">
        <v>0</v>
      </c>
      <c r="I133" s="3">
        <v>2.5</v>
      </c>
      <c r="J133" s="4" t="str">
        <f>HYPERLINK("http://141.218.60.56/~jnz1568/getInfo.php?workbook=10_05.xlsx&amp;sheet=E0&amp;row=133&amp;col=10&amp;number=1123640&amp;sourceID=14","1123640")</f>
        <v>1123640</v>
      </c>
    </row>
    <row r="134" spans="1:10">
      <c r="A134" s="3">
        <v>10</v>
      </c>
      <c r="B134" s="3">
        <v>5</v>
      </c>
      <c r="C134" s="3">
        <v>131</v>
      </c>
      <c r="D134" s="3" t="s">
        <v>42</v>
      </c>
      <c r="E134" s="3" t="s">
        <v>15</v>
      </c>
      <c r="F134" s="3">
        <v>4</v>
      </c>
      <c r="G134" s="3">
        <v>1</v>
      </c>
      <c r="H134" s="3">
        <v>1</v>
      </c>
      <c r="I134" s="3">
        <v>0.5</v>
      </c>
      <c r="J134" s="4" t="str">
        <f>HYPERLINK("http://141.218.60.56/~jnz1568/getInfo.php?workbook=10_05.xlsx&amp;sheet=E0&amp;row=134&amp;col=10&amp;number=0&amp;sourceID=14","0")</f>
        <v>0</v>
      </c>
    </row>
    <row r="135" spans="1:10">
      <c r="A135" s="3">
        <v>10</v>
      </c>
      <c r="B135" s="3">
        <v>5</v>
      </c>
      <c r="C135" s="3">
        <v>132</v>
      </c>
      <c r="D135" s="3" t="s">
        <v>42</v>
      </c>
      <c r="E135" s="3" t="s">
        <v>15</v>
      </c>
      <c r="F135" s="3">
        <v>4</v>
      </c>
      <c r="G135" s="3">
        <v>1</v>
      </c>
      <c r="H135" s="3">
        <v>1</v>
      </c>
      <c r="I135" s="3">
        <v>1.5</v>
      </c>
      <c r="J135" s="4" t="str">
        <f>HYPERLINK("http://141.218.60.56/~jnz1568/getInfo.php?workbook=10_05.xlsx&amp;sheet=E0&amp;row=135&amp;col=10&amp;number=0&amp;sourceID=14","0")</f>
        <v>0</v>
      </c>
    </row>
    <row r="136" spans="1:10">
      <c r="A136" s="3">
        <v>10</v>
      </c>
      <c r="B136" s="3">
        <v>5</v>
      </c>
      <c r="C136" s="3">
        <v>133</v>
      </c>
      <c r="D136" s="3" t="s">
        <v>42</v>
      </c>
      <c r="E136" s="3" t="s">
        <v>15</v>
      </c>
      <c r="F136" s="3">
        <v>4</v>
      </c>
      <c r="G136" s="3">
        <v>1</v>
      </c>
      <c r="H136" s="3">
        <v>1</v>
      </c>
      <c r="I136" s="3">
        <v>2.5</v>
      </c>
      <c r="J136" s="4" t="str">
        <f>HYPERLINK("http://141.218.60.56/~jnz1568/getInfo.php?workbook=10_05.xlsx&amp;sheet=E0&amp;row=136&amp;col=10&amp;number=0&amp;sourceID=14","0")</f>
        <v>0</v>
      </c>
    </row>
    <row r="137" spans="1:10">
      <c r="A137" s="3">
        <v>10</v>
      </c>
      <c r="B137" s="3">
        <v>5</v>
      </c>
      <c r="C137" s="3">
        <v>134</v>
      </c>
      <c r="D137" s="3" t="s">
        <v>43</v>
      </c>
      <c r="E137" s="3" t="s">
        <v>27</v>
      </c>
      <c r="F137" s="3">
        <v>4</v>
      </c>
      <c r="G137" s="3">
        <v>3</v>
      </c>
      <c r="H137" s="3">
        <v>1</v>
      </c>
      <c r="I137" s="3">
        <v>1.5</v>
      </c>
      <c r="J137" s="4" t="str">
        <f>HYPERLINK("http://141.218.60.56/~jnz1568/getInfo.php?workbook=10_05.xlsx&amp;sheet=E0&amp;row=137&amp;col=10&amp;number=0&amp;sourceID=14","0")</f>
        <v>0</v>
      </c>
    </row>
    <row r="138" spans="1:10">
      <c r="A138" s="3">
        <v>10</v>
      </c>
      <c r="B138" s="3">
        <v>5</v>
      </c>
      <c r="C138" s="3">
        <v>135</v>
      </c>
      <c r="D138" s="3" t="s">
        <v>43</v>
      </c>
      <c r="E138" s="3" t="s">
        <v>27</v>
      </c>
      <c r="F138" s="3">
        <v>4</v>
      </c>
      <c r="G138" s="3">
        <v>3</v>
      </c>
      <c r="H138" s="3">
        <v>1</v>
      </c>
      <c r="I138" s="3">
        <v>2.5</v>
      </c>
      <c r="J138" s="4" t="str">
        <f>HYPERLINK("http://141.218.60.56/~jnz1568/getInfo.php?workbook=10_05.xlsx&amp;sheet=E0&amp;row=138&amp;col=10&amp;number=0&amp;sourceID=14","0")</f>
        <v>0</v>
      </c>
    </row>
    <row r="139" spans="1:10">
      <c r="A139" s="3">
        <v>10</v>
      </c>
      <c r="B139" s="3">
        <v>5</v>
      </c>
      <c r="C139" s="3">
        <v>136</v>
      </c>
      <c r="D139" s="3" t="s">
        <v>43</v>
      </c>
      <c r="E139" s="3" t="s">
        <v>27</v>
      </c>
      <c r="F139" s="3">
        <v>4</v>
      </c>
      <c r="G139" s="3">
        <v>3</v>
      </c>
      <c r="H139" s="3">
        <v>1</v>
      </c>
      <c r="I139" s="3">
        <v>3.5</v>
      </c>
      <c r="J139" s="4" t="str">
        <f>HYPERLINK("http://141.218.60.56/~jnz1568/getInfo.php?workbook=10_05.xlsx&amp;sheet=E0&amp;row=139&amp;col=10&amp;number=0&amp;sourceID=14","0")</f>
        <v>0</v>
      </c>
    </row>
    <row r="140" spans="1:10">
      <c r="A140" s="3">
        <v>10</v>
      </c>
      <c r="B140" s="3">
        <v>5</v>
      </c>
      <c r="C140" s="3">
        <v>137</v>
      </c>
      <c r="D140" s="3" t="s">
        <v>43</v>
      </c>
      <c r="E140" s="3" t="s">
        <v>27</v>
      </c>
      <c r="F140" s="3">
        <v>4</v>
      </c>
      <c r="G140" s="3">
        <v>3</v>
      </c>
      <c r="H140" s="3">
        <v>1</v>
      </c>
      <c r="I140" s="3">
        <v>4.5</v>
      </c>
      <c r="J140" s="4" t="str">
        <f>HYPERLINK("http://141.218.60.56/~jnz1568/getInfo.php?workbook=10_05.xlsx&amp;sheet=E0&amp;row=140&amp;col=10&amp;number=0&amp;sourceID=14","0")</f>
        <v>0</v>
      </c>
    </row>
    <row r="141" spans="1:10">
      <c r="A141" s="3">
        <v>10</v>
      </c>
      <c r="B141" s="3">
        <v>5</v>
      </c>
      <c r="C141" s="3">
        <v>138</v>
      </c>
      <c r="D141" s="3" t="s">
        <v>44</v>
      </c>
      <c r="E141" s="3" t="s">
        <v>45</v>
      </c>
      <c r="F141" s="3">
        <v>2</v>
      </c>
      <c r="G141" s="3">
        <v>4</v>
      </c>
      <c r="H141" s="3">
        <v>0</v>
      </c>
      <c r="I141" s="3">
        <v>3.5</v>
      </c>
      <c r="J141" s="4" t="str">
        <f>HYPERLINK("http://141.218.60.56/~jnz1568/getInfo.php?workbook=10_05.xlsx&amp;sheet=E0&amp;row=141&amp;col=10&amp;number=0&amp;sourceID=14","0")</f>
        <v>0</v>
      </c>
    </row>
    <row r="142" spans="1:10">
      <c r="A142" s="3">
        <v>10</v>
      </c>
      <c r="B142" s="3">
        <v>5</v>
      </c>
      <c r="C142" s="3">
        <v>139</v>
      </c>
      <c r="D142" s="3" t="s">
        <v>44</v>
      </c>
      <c r="E142" s="3" t="s">
        <v>45</v>
      </c>
      <c r="F142" s="3">
        <v>2</v>
      </c>
      <c r="G142" s="3">
        <v>4</v>
      </c>
      <c r="H142" s="3">
        <v>0</v>
      </c>
      <c r="I142" s="3">
        <v>4.5</v>
      </c>
      <c r="J142" s="4" t="str">
        <f>HYPERLINK("http://141.218.60.56/~jnz1568/getInfo.php?workbook=10_05.xlsx&amp;sheet=E0&amp;row=142&amp;col=10&amp;number=0&amp;sourceID=14","0")</f>
        <v>0</v>
      </c>
    </row>
    <row r="143" spans="1:10">
      <c r="A143" s="3">
        <v>10</v>
      </c>
      <c r="B143" s="3">
        <v>5</v>
      </c>
      <c r="C143" s="3">
        <v>140</v>
      </c>
      <c r="D143" s="3" t="s">
        <v>42</v>
      </c>
      <c r="E143" s="3" t="s">
        <v>17</v>
      </c>
      <c r="F143" s="3">
        <v>2</v>
      </c>
      <c r="G143" s="3">
        <v>0</v>
      </c>
      <c r="H143" s="3">
        <v>0</v>
      </c>
      <c r="I143" s="3">
        <v>0.5</v>
      </c>
      <c r="J143" s="4" t="str">
        <f>HYPERLINK("http://141.218.60.56/~jnz1568/getInfo.php?workbook=10_05.xlsx&amp;sheet=E0&amp;row=143&amp;col=10&amp;number=0&amp;sourceID=14","0")</f>
        <v>0</v>
      </c>
    </row>
    <row r="144" spans="1:10">
      <c r="A144" s="3">
        <v>10</v>
      </c>
      <c r="B144" s="3">
        <v>5</v>
      </c>
      <c r="C144" s="3">
        <v>141</v>
      </c>
      <c r="D144" s="3" t="s">
        <v>43</v>
      </c>
      <c r="E144" s="3" t="s">
        <v>25</v>
      </c>
      <c r="F144" s="3">
        <v>4</v>
      </c>
      <c r="G144" s="3">
        <v>2</v>
      </c>
      <c r="H144" s="3">
        <v>0</v>
      </c>
      <c r="I144" s="3">
        <v>0.5</v>
      </c>
      <c r="J144" s="4" t="str">
        <f>HYPERLINK("http://141.218.60.56/~jnz1568/getInfo.php?workbook=10_05.xlsx&amp;sheet=E0&amp;row=144&amp;col=10&amp;number=0&amp;sourceID=14","0")</f>
        <v>0</v>
      </c>
    </row>
    <row r="145" spans="1:10">
      <c r="A145" s="3">
        <v>10</v>
      </c>
      <c r="B145" s="3">
        <v>5</v>
      </c>
      <c r="C145" s="3">
        <v>142</v>
      </c>
      <c r="D145" s="3" t="s">
        <v>43</v>
      </c>
      <c r="E145" s="3" t="s">
        <v>25</v>
      </c>
      <c r="F145" s="3">
        <v>4</v>
      </c>
      <c r="G145" s="3">
        <v>2</v>
      </c>
      <c r="H145" s="3">
        <v>0</v>
      </c>
      <c r="I145" s="3">
        <v>1.5</v>
      </c>
      <c r="J145" s="4" t="str">
        <f>HYPERLINK("http://141.218.60.56/~jnz1568/getInfo.php?workbook=10_05.xlsx&amp;sheet=E0&amp;row=145&amp;col=10&amp;number=1130650&amp;sourceID=14","1130650")</f>
        <v>1130650</v>
      </c>
    </row>
    <row r="146" spans="1:10">
      <c r="A146" s="3">
        <v>10</v>
      </c>
      <c r="B146" s="3">
        <v>5</v>
      </c>
      <c r="C146" s="3">
        <v>143</v>
      </c>
      <c r="D146" s="3" t="s">
        <v>43</v>
      </c>
      <c r="E146" s="3" t="s">
        <v>25</v>
      </c>
      <c r="F146" s="3">
        <v>4</v>
      </c>
      <c r="G146" s="3">
        <v>2</v>
      </c>
      <c r="H146" s="3">
        <v>0</v>
      </c>
      <c r="I146" s="3">
        <v>2.5</v>
      </c>
      <c r="J146" s="4" t="str">
        <f>HYPERLINK("http://141.218.60.56/~jnz1568/getInfo.php?workbook=10_05.xlsx&amp;sheet=E0&amp;row=146&amp;col=10&amp;number=1130900&amp;sourceID=14","1130900")</f>
        <v>1130900</v>
      </c>
    </row>
    <row r="147" spans="1:10">
      <c r="A147" s="3">
        <v>10</v>
      </c>
      <c r="B147" s="3">
        <v>5</v>
      </c>
      <c r="C147" s="3">
        <v>144</v>
      </c>
      <c r="D147" s="3" t="s">
        <v>43</v>
      </c>
      <c r="E147" s="3" t="s">
        <v>25</v>
      </c>
      <c r="F147" s="3">
        <v>4</v>
      </c>
      <c r="G147" s="3">
        <v>2</v>
      </c>
      <c r="H147" s="3">
        <v>0</v>
      </c>
      <c r="I147" s="3">
        <v>3.5</v>
      </c>
      <c r="J147" s="4" t="str">
        <f>HYPERLINK("http://141.218.60.56/~jnz1568/getInfo.php?workbook=10_05.xlsx&amp;sheet=E0&amp;row=147&amp;col=10&amp;number=1131100&amp;sourceID=14","1131100")</f>
        <v>1131100</v>
      </c>
    </row>
    <row r="148" spans="1:10">
      <c r="A148" s="3">
        <v>10</v>
      </c>
      <c r="B148" s="3">
        <v>5</v>
      </c>
      <c r="C148" s="3">
        <v>145</v>
      </c>
      <c r="D148" s="3" t="s">
        <v>43</v>
      </c>
      <c r="E148" s="3" t="s">
        <v>16</v>
      </c>
      <c r="F148" s="3">
        <v>2</v>
      </c>
      <c r="G148" s="3">
        <v>2</v>
      </c>
      <c r="H148" s="3">
        <v>0</v>
      </c>
      <c r="I148" s="3">
        <v>1.5</v>
      </c>
      <c r="J148" s="4" t="str">
        <f>HYPERLINK("http://141.218.60.56/~jnz1568/getInfo.php?workbook=10_05.xlsx&amp;sheet=E0&amp;row=148&amp;col=10&amp;number=1132010&amp;sourceID=14","1132010")</f>
        <v>1132010</v>
      </c>
    </row>
    <row r="149" spans="1:10">
      <c r="A149" s="3">
        <v>10</v>
      </c>
      <c r="B149" s="3">
        <v>5</v>
      </c>
      <c r="C149" s="3">
        <v>146</v>
      </c>
      <c r="D149" s="3" t="s">
        <v>43</v>
      </c>
      <c r="E149" s="3" t="s">
        <v>16</v>
      </c>
      <c r="F149" s="3">
        <v>2</v>
      </c>
      <c r="G149" s="3">
        <v>2</v>
      </c>
      <c r="H149" s="3">
        <v>0</v>
      </c>
      <c r="I149" s="3">
        <v>2.5</v>
      </c>
      <c r="J149" s="4" t="str">
        <f>HYPERLINK("http://141.218.60.56/~jnz1568/getInfo.php?workbook=10_05.xlsx&amp;sheet=E0&amp;row=149&amp;col=10&amp;number=1132010&amp;sourceID=14","1132010")</f>
        <v>1132010</v>
      </c>
    </row>
    <row r="150" spans="1:10">
      <c r="A150" s="3">
        <v>10</v>
      </c>
      <c r="B150" s="3">
        <v>5</v>
      </c>
      <c r="C150" s="3">
        <v>147</v>
      </c>
      <c r="D150" s="3" t="s">
        <v>43</v>
      </c>
      <c r="E150" s="3" t="s">
        <v>15</v>
      </c>
      <c r="F150" s="3">
        <v>4</v>
      </c>
      <c r="G150" s="3">
        <v>1</v>
      </c>
      <c r="H150" s="3">
        <v>1</v>
      </c>
      <c r="I150" s="3">
        <v>2.5</v>
      </c>
      <c r="J150" s="4" t="str">
        <f>HYPERLINK("http://141.218.60.56/~jnz1568/getInfo.php?workbook=10_05.xlsx&amp;sheet=E0&amp;row=150&amp;col=10&amp;number=1132600&amp;sourceID=14","1132600")</f>
        <v>1132600</v>
      </c>
    </row>
    <row r="151" spans="1:10">
      <c r="A151" s="3">
        <v>10</v>
      </c>
      <c r="B151" s="3">
        <v>5</v>
      </c>
      <c r="C151" s="3">
        <v>148</v>
      </c>
      <c r="D151" s="3" t="s">
        <v>43</v>
      </c>
      <c r="E151" s="3" t="s">
        <v>15</v>
      </c>
      <c r="F151" s="3">
        <v>4</v>
      </c>
      <c r="G151" s="3">
        <v>1</v>
      </c>
      <c r="H151" s="3">
        <v>1</v>
      </c>
      <c r="I151" s="3">
        <v>1.5</v>
      </c>
      <c r="J151" s="4" t="str">
        <f>HYPERLINK("http://141.218.60.56/~jnz1568/getInfo.php?workbook=10_05.xlsx&amp;sheet=E0&amp;row=151&amp;col=10&amp;number=1132700&amp;sourceID=14","1132700")</f>
        <v>1132700</v>
      </c>
    </row>
    <row r="152" spans="1:10">
      <c r="A152" s="3">
        <v>10</v>
      </c>
      <c r="B152" s="3">
        <v>5</v>
      </c>
      <c r="C152" s="3">
        <v>149</v>
      </c>
      <c r="D152" s="3" t="s">
        <v>43</v>
      </c>
      <c r="E152" s="3" t="s">
        <v>15</v>
      </c>
      <c r="F152" s="3">
        <v>4</v>
      </c>
      <c r="G152" s="3">
        <v>1</v>
      </c>
      <c r="H152" s="3">
        <v>1</v>
      </c>
      <c r="I152" s="3">
        <v>0.5</v>
      </c>
      <c r="J152" s="4" t="str">
        <f>HYPERLINK("http://141.218.60.56/~jnz1568/getInfo.php?workbook=10_05.xlsx&amp;sheet=E0&amp;row=152&amp;col=10&amp;number=1132800&amp;sourceID=14","1132800")</f>
        <v>1132800</v>
      </c>
    </row>
    <row r="153" spans="1:10">
      <c r="A153" s="3">
        <v>10</v>
      </c>
      <c r="B153" s="3">
        <v>5</v>
      </c>
      <c r="C153" s="3">
        <v>150</v>
      </c>
      <c r="D153" s="3" t="s">
        <v>44</v>
      </c>
      <c r="E153" s="3" t="s">
        <v>16</v>
      </c>
      <c r="F153" s="3">
        <v>2</v>
      </c>
      <c r="G153" s="3">
        <v>2</v>
      </c>
      <c r="H153" s="3">
        <v>0</v>
      </c>
      <c r="I153" s="3">
        <v>1.5</v>
      </c>
      <c r="J153" s="4" t="str">
        <f>HYPERLINK("http://141.218.60.56/~jnz1568/getInfo.php?workbook=10_05.xlsx&amp;sheet=E0&amp;row=153&amp;col=10&amp;number=0&amp;sourceID=14","0")</f>
        <v>0</v>
      </c>
    </row>
    <row r="154" spans="1:10">
      <c r="A154" s="3">
        <v>10</v>
      </c>
      <c r="B154" s="3">
        <v>5</v>
      </c>
      <c r="C154" s="3">
        <v>151</v>
      </c>
      <c r="D154" s="3" t="s">
        <v>44</v>
      </c>
      <c r="E154" s="3" t="s">
        <v>16</v>
      </c>
      <c r="F154" s="3">
        <v>2</v>
      </c>
      <c r="G154" s="3">
        <v>2</v>
      </c>
      <c r="H154" s="3">
        <v>0</v>
      </c>
      <c r="I154" s="3">
        <v>2.5</v>
      </c>
      <c r="J154" s="4" t="str">
        <f>HYPERLINK("http://141.218.60.56/~jnz1568/getInfo.php?workbook=10_05.xlsx&amp;sheet=E0&amp;row=154&amp;col=10&amp;number=0&amp;sourceID=14","0")</f>
        <v>0</v>
      </c>
    </row>
    <row r="155" spans="1:10">
      <c r="A155" s="3">
        <v>10</v>
      </c>
      <c r="B155" s="3">
        <v>5</v>
      </c>
      <c r="C155" s="3">
        <v>152</v>
      </c>
      <c r="D155" s="3" t="s">
        <v>43</v>
      </c>
      <c r="E155" s="3" t="s">
        <v>29</v>
      </c>
      <c r="F155" s="3">
        <v>2</v>
      </c>
      <c r="G155" s="3">
        <v>3</v>
      </c>
      <c r="H155" s="3">
        <v>1</v>
      </c>
      <c r="I155" s="3">
        <v>2.5</v>
      </c>
      <c r="J155" s="4" t="str">
        <f>HYPERLINK("http://141.218.60.56/~jnz1568/getInfo.php?workbook=10_05.xlsx&amp;sheet=E0&amp;row=155&amp;col=10&amp;number=1138160&amp;sourceID=14","1138160")</f>
        <v>1138160</v>
      </c>
    </row>
    <row r="156" spans="1:10">
      <c r="A156" s="3">
        <v>10</v>
      </c>
      <c r="B156" s="3">
        <v>5</v>
      </c>
      <c r="C156" s="3">
        <v>153</v>
      </c>
      <c r="D156" s="3" t="s">
        <v>43</v>
      </c>
      <c r="E156" s="3" t="s">
        <v>29</v>
      </c>
      <c r="F156" s="3">
        <v>2</v>
      </c>
      <c r="G156" s="3">
        <v>3</v>
      </c>
      <c r="H156" s="3">
        <v>1</v>
      </c>
      <c r="I156" s="3">
        <v>3.5</v>
      </c>
      <c r="J156" s="4" t="str">
        <f>HYPERLINK("http://141.218.60.56/~jnz1568/getInfo.php?workbook=10_05.xlsx&amp;sheet=E0&amp;row=156&amp;col=10&amp;number=1138960&amp;sourceID=14","1138960")</f>
        <v>1138960</v>
      </c>
    </row>
    <row r="157" spans="1:10">
      <c r="A157" s="3">
        <v>10</v>
      </c>
      <c r="B157" s="3">
        <v>5</v>
      </c>
      <c r="C157" s="3">
        <v>154</v>
      </c>
      <c r="D157" s="3" t="s">
        <v>44</v>
      </c>
      <c r="E157" s="3" t="s">
        <v>29</v>
      </c>
      <c r="F157" s="3">
        <v>2</v>
      </c>
      <c r="G157" s="3">
        <v>3</v>
      </c>
      <c r="H157" s="3">
        <v>1</v>
      </c>
      <c r="I157" s="3">
        <v>3.5</v>
      </c>
      <c r="J157" s="4" t="str">
        <f>HYPERLINK("http://141.218.60.56/~jnz1568/getInfo.php?workbook=10_05.xlsx&amp;sheet=E0&amp;row=157&amp;col=10&amp;number=1139610&amp;sourceID=14","1139610")</f>
        <v>1139610</v>
      </c>
    </row>
    <row r="158" spans="1:10">
      <c r="A158" s="3">
        <v>10</v>
      </c>
      <c r="B158" s="3">
        <v>5</v>
      </c>
      <c r="C158" s="3">
        <v>155</v>
      </c>
      <c r="D158" s="3" t="s">
        <v>44</v>
      </c>
      <c r="E158" s="3" t="s">
        <v>29</v>
      </c>
      <c r="F158" s="3">
        <v>2</v>
      </c>
      <c r="G158" s="3">
        <v>3</v>
      </c>
      <c r="H158" s="3">
        <v>1</v>
      </c>
      <c r="I158" s="3">
        <v>2.5</v>
      </c>
      <c r="J158" s="4" t="str">
        <f>HYPERLINK("http://141.218.60.56/~jnz1568/getInfo.php?workbook=10_05.xlsx&amp;sheet=E0&amp;row=158&amp;col=10&amp;number=1139610&amp;sourceID=14","1139610")</f>
        <v>1139610</v>
      </c>
    </row>
    <row r="159" spans="1:10">
      <c r="A159" s="3">
        <v>10</v>
      </c>
      <c r="B159" s="3">
        <v>5</v>
      </c>
      <c r="C159" s="3">
        <v>156</v>
      </c>
      <c r="D159" s="3" t="s">
        <v>41</v>
      </c>
      <c r="E159" s="3" t="s">
        <v>16</v>
      </c>
      <c r="F159" s="3">
        <v>2</v>
      </c>
      <c r="G159" s="3">
        <v>2</v>
      </c>
      <c r="H159" s="3">
        <v>0</v>
      </c>
      <c r="I159" s="3">
        <v>1.5</v>
      </c>
      <c r="J159" s="4" t="str">
        <f>HYPERLINK("http://141.218.60.56/~jnz1568/getInfo.php?workbook=10_05.xlsx&amp;sheet=E0&amp;row=159&amp;col=10&amp;number=0&amp;sourceID=14","0")</f>
        <v>0</v>
      </c>
    </row>
    <row r="160" spans="1:10">
      <c r="A160" s="3">
        <v>10</v>
      </c>
      <c r="B160" s="3">
        <v>5</v>
      </c>
      <c r="C160" s="3">
        <v>157</v>
      </c>
      <c r="D160" s="3" t="s">
        <v>41</v>
      </c>
      <c r="E160" s="3" t="s">
        <v>16</v>
      </c>
      <c r="F160" s="3">
        <v>2</v>
      </c>
      <c r="G160" s="3">
        <v>2</v>
      </c>
      <c r="H160" s="3">
        <v>0</v>
      </c>
      <c r="I160" s="3">
        <v>2.5</v>
      </c>
      <c r="J160" s="4" t="str">
        <f>HYPERLINK("http://141.218.60.56/~jnz1568/getInfo.php?workbook=10_05.xlsx&amp;sheet=E0&amp;row=160&amp;col=10&amp;number=0&amp;sourceID=14","0")</f>
        <v>0</v>
      </c>
    </row>
    <row r="161" spans="1:10">
      <c r="A161" s="3">
        <v>10</v>
      </c>
      <c r="B161" s="3">
        <v>5</v>
      </c>
      <c r="C161" s="3">
        <v>158</v>
      </c>
      <c r="D161" s="3" t="s">
        <v>43</v>
      </c>
      <c r="E161" s="3" t="s">
        <v>13</v>
      </c>
      <c r="F161" s="3">
        <v>2</v>
      </c>
      <c r="G161" s="3">
        <v>1</v>
      </c>
      <c r="H161" s="3">
        <v>1</v>
      </c>
      <c r="I161" s="3">
        <v>1.5</v>
      </c>
      <c r="J161" s="4" t="str">
        <f>HYPERLINK("http://141.218.60.56/~jnz1568/getInfo.php?workbook=10_05.xlsx&amp;sheet=E0&amp;row=161&amp;col=10&amp;number=0&amp;sourceID=14","0")</f>
        <v>0</v>
      </c>
    </row>
    <row r="162" spans="1:10">
      <c r="A162" s="3">
        <v>10</v>
      </c>
      <c r="B162" s="3">
        <v>5</v>
      </c>
      <c r="C162" s="3">
        <v>159</v>
      </c>
      <c r="D162" s="3" t="s">
        <v>43</v>
      </c>
      <c r="E162" s="3" t="s">
        <v>13</v>
      </c>
      <c r="F162" s="3">
        <v>2</v>
      </c>
      <c r="G162" s="3">
        <v>1</v>
      </c>
      <c r="H162" s="3">
        <v>1</v>
      </c>
      <c r="I162" s="3">
        <v>0.5</v>
      </c>
      <c r="J162" s="4" t="str">
        <f>HYPERLINK("http://141.218.60.56/~jnz1568/getInfo.php?workbook=10_05.xlsx&amp;sheet=E0&amp;row=162&amp;col=10&amp;number=0&amp;sourceID=14","0")</f>
        <v>0</v>
      </c>
    </row>
    <row r="163" spans="1:10">
      <c r="A163" s="3">
        <v>10</v>
      </c>
      <c r="B163" s="3">
        <v>5</v>
      </c>
      <c r="C163" s="3">
        <v>160</v>
      </c>
      <c r="D163" s="3" t="s">
        <v>46</v>
      </c>
      <c r="E163" s="3" t="s">
        <v>17</v>
      </c>
      <c r="F163" s="3">
        <v>2</v>
      </c>
      <c r="G163" s="3">
        <v>0</v>
      </c>
      <c r="H163" s="3">
        <v>0</v>
      </c>
      <c r="I163" s="3">
        <v>0.5</v>
      </c>
      <c r="J163" s="4" t="str">
        <f>HYPERLINK("http://141.218.60.56/~jnz1568/getInfo.php?workbook=10_05.xlsx&amp;sheet=E0&amp;row=163&amp;col=10&amp;number=0&amp;sourceID=14","0")</f>
        <v>0</v>
      </c>
    </row>
    <row r="164" spans="1:10">
      <c r="A164" s="3">
        <v>10</v>
      </c>
      <c r="B164" s="3">
        <v>5</v>
      </c>
      <c r="C164" s="3">
        <v>161</v>
      </c>
      <c r="D164" s="3" t="s">
        <v>44</v>
      </c>
      <c r="E164" s="3" t="s">
        <v>13</v>
      </c>
      <c r="F164" s="3">
        <v>2</v>
      </c>
      <c r="G164" s="3">
        <v>1</v>
      </c>
      <c r="H164" s="3">
        <v>1</v>
      </c>
      <c r="I164" s="3">
        <v>0.5</v>
      </c>
      <c r="J164" s="4" t="str">
        <f>HYPERLINK("http://141.218.60.56/~jnz1568/getInfo.php?workbook=10_05.xlsx&amp;sheet=E0&amp;row=164&amp;col=10&amp;number=1142200&amp;sourceID=14","1142200")</f>
        <v>1142200</v>
      </c>
    </row>
    <row r="165" spans="1:10">
      <c r="A165" s="3">
        <v>10</v>
      </c>
      <c r="B165" s="3">
        <v>5</v>
      </c>
      <c r="C165" s="3">
        <v>162</v>
      </c>
      <c r="D165" s="3" t="s">
        <v>44</v>
      </c>
      <c r="E165" s="3" t="s">
        <v>13</v>
      </c>
      <c r="F165" s="3">
        <v>2</v>
      </c>
      <c r="G165" s="3">
        <v>1</v>
      </c>
      <c r="H165" s="3">
        <v>1</v>
      </c>
      <c r="I165" s="3">
        <v>1.5</v>
      </c>
      <c r="J165" s="4" t="str">
        <f>HYPERLINK("http://141.218.60.56/~jnz1568/getInfo.php?workbook=10_05.xlsx&amp;sheet=E0&amp;row=165&amp;col=10&amp;number=1142500&amp;sourceID=14","1142500")</f>
        <v>1142500</v>
      </c>
    </row>
    <row r="166" spans="1:10">
      <c r="A166" s="3">
        <v>10</v>
      </c>
      <c r="B166" s="3">
        <v>5</v>
      </c>
      <c r="C166" s="3">
        <v>163</v>
      </c>
      <c r="D166" s="3" t="s">
        <v>44</v>
      </c>
      <c r="E166" s="3" t="s">
        <v>17</v>
      </c>
      <c r="F166" s="3">
        <v>2</v>
      </c>
      <c r="G166" s="3">
        <v>0</v>
      </c>
      <c r="H166" s="3">
        <v>0</v>
      </c>
      <c r="I166" s="3">
        <v>0.5</v>
      </c>
      <c r="J166" s="4" t="str">
        <f>HYPERLINK("http://141.218.60.56/~jnz1568/getInfo.php?workbook=10_05.xlsx&amp;sheet=E0&amp;row=166&amp;col=10&amp;number=0&amp;sourceID=14","0")</f>
        <v>0</v>
      </c>
    </row>
    <row r="167" spans="1:10">
      <c r="A167" s="3">
        <v>10</v>
      </c>
      <c r="B167" s="3">
        <v>5</v>
      </c>
      <c r="C167" s="3">
        <v>164</v>
      </c>
      <c r="D167" s="3" t="s">
        <v>47</v>
      </c>
      <c r="E167" s="3" t="s">
        <v>13</v>
      </c>
      <c r="F167" s="3">
        <v>2</v>
      </c>
      <c r="G167" s="3">
        <v>1</v>
      </c>
      <c r="H167" s="3">
        <v>1</v>
      </c>
      <c r="I167" s="3">
        <v>0.5</v>
      </c>
      <c r="J167" s="4" t="str">
        <f>HYPERLINK("http://141.218.60.56/~jnz1568/getInfo.php?workbook=10_05.xlsx&amp;sheet=E0&amp;row=167&amp;col=10&amp;number=0&amp;sourceID=14","0")</f>
        <v>0</v>
      </c>
    </row>
    <row r="168" spans="1:10">
      <c r="A168" s="3">
        <v>10</v>
      </c>
      <c r="B168" s="3">
        <v>5</v>
      </c>
      <c r="C168" s="3">
        <v>165</v>
      </c>
      <c r="D168" s="3" t="s">
        <v>47</v>
      </c>
      <c r="E168" s="3" t="s">
        <v>13</v>
      </c>
      <c r="F168" s="3">
        <v>2</v>
      </c>
      <c r="G168" s="3">
        <v>1</v>
      </c>
      <c r="H168" s="3">
        <v>1</v>
      </c>
      <c r="I168" s="3">
        <v>1.5</v>
      </c>
      <c r="J168" s="4" t="str">
        <f>HYPERLINK("http://141.218.60.56/~jnz1568/getInfo.php?workbook=10_05.xlsx&amp;sheet=E0&amp;row=168&amp;col=10&amp;number=0&amp;sourceID=14","0")</f>
        <v>0</v>
      </c>
    </row>
    <row r="169" spans="1:10">
      <c r="A169" s="3">
        <v>10</v>
      </c>
      <c r="B169" s="3">
        <v>5</v>
      </c>
      <c r="C169" s="3">
        <v>166</v>
      </c>
      <c r="D169" s="3" t="s">
        <v>48</v>
      </c>
      <c r="E169" s="3" t="s">
        <v>13</v>
      </c>
      <c r="F169" s="3">
        <v>2</v>
      </c>
      <c r="G169" s="3">
        <v>1</v>
      </c>
      <c r="H169" s="3">
        <v>1</v>
      </c>
      <c r="I169" s="3">
        <v>0.5</v>
      </c>
      <c r="J169" s="4" t="str">
        <f>HYPERLINK("http://141.218.60.56/~jnz1568/getInfo.php?workbook=10_05.xlsx&amp;sheet=E0&amp;row=169&amp;col=10&amp;number=0&amp;sourceID=14","0")</f>
        <v>0</v>
      </c>
    </row>
    <row r="170" spans="1:10">
      <c r="A170" s="3">
        <v>10</v>
      </c>
      <c r="B170" s="3">
        <v>5</v>
      </c>
      <c r="C170" s="3">
        <v>167</v>
      </c>
      <c r="D170" s="3" t="s">
        <v>48</v>
      </c>
      <c r="E170" s="3" t="s">
        <v>13</v>
      </c>
      <c r="F170" s="3">
        <v>2</v>
      </c>
      <c r="G170" s="3">
        <v>1</v>
      </c>
      <c r="H170" s="3">
        <v>1</v>
      </c>
      <c r="I170" s="3">
        <v>1.5</v>
      </c>
      <c r="J170" s="4" t="str">
        <f>HYPERLINK("http://141.218.60.56/~jnz1568/getInfo.php?workbook=10_05.xlsx&amp;sheet=E0&amp;row=170&amp;col=10&amp;number=0&amp;sourceID=14","0")</f>
        <v>0</v>
      </c>
    </row>
    <row r="171" spans="1:10">
      <c r="A171" s="3">
        <v>10</v>
      </c>
      <c r="B171" s="3">
        <v>5</v>
      </c>
      <c r="C171" s="3">
        <v>168</v>
      </c>
      <c r="D171" s="3" t="s">
        <v>49</v>
      </c>
      <c r="E171" s="3" t="s">
        <v>16</v>
      </c>
      <c r="F171" s="3">
        <v>2</v>
      </c>
      <c r="G171" s="3">
        <v>2</v>
      </c>
      <c r="H171" s="3">
        <v>0</v>
      </c>
      <c r="I171" s="3">
        <v>2.5</v>
      </c>
      <c r="J171" s="4" t="str">
        <f>HYPERLINK("http://141.218.60.56/~jnz1568/getInfo.php?workbook=10_05.xlsx&amp;sheet=E0&amp;row=171&amp;col=10&amp;number=0&amp;sourceID=14","0")</f>
        <v>0</v>
      </c>
    </row>
    <row r="172" spans="1:10">
      <c r="A172" s="3">
        <v>10</v>
      </c>
      <c r="B172" s="3">
        <v>5</v>
      </c>
      <c r="C172" s="3">
        <v>169</v>
      </c>
      <c r="D172" s="3" t="s">
        <v>49</v>
      </c>
      <c r="E172" s="3" t="s">
        <v>16</v>
      </c>
      <c r="F172" s="3">
        <v>2</v>
      </c>
      <c r="G172" s="3">
        <v>2</v>
      </c>
      <c r="H172" s="3">
        <v>0</v>
      </c>
      <c r="I172" s="3">
        <v>1.5</v>
      </c>
      <c r="J172" s="4" t="str">
        <f>HYPERLINK("http://141.218.60.56/~jnz1568/getInfo.php?workbook=10_05.xlsx&amp;sheet=E0&amp;row=172&amp;col=10&amp;number=0&amp;sourceID=14","0")</f>
        <v>0</v>
      </c>
    </row>
    <row r="173" spans="1:10">
      <c r="A173" s="3">
        <v>10</v>
      </c>
      <c r="B173" s="3">
        <v>5</v>
      </c>
      <c r="C173" s="3">
        <v>170</v>
      </c>
      <c r="D173" s="3" t="s">
        <v>50</v>
      </c>
      <c r="E173" s="3" t="s">
        <v>13</v>
      </c>
      <c r="F173" s="3">
        <v>2</v>
      </c>
      <c r="G173" s="3">
        <v>1</v>
      </c>
      <c r="H173" s="3">
        <v>1</v>
      </c>
      <c r="I173" s="3">
        <v>0.5</v>
      </c>
      <c r="J173" s="4" t="str">
        <f>HYPERLINK("http://141.218.60.56/~jnz1568/getInfo.php?workbook=10_05.xlsx&amp;sheet=E0&amp;row=173&amp;col=10&amp;number=0&amp;sourceID=14","0")</f>
        <v>0</v>
      </c>
    </row>
    <row r="174" spans="1:10">
      <c r="A174" s="3">
        <v>10</v>
      </c>
      <c r="B174" s="3">
        <v>5</v>
      </c>
      <c r="C174" s="3">
        <v>171</v>
      </c>
      <c r="D174" s="3" t="s">
        <v>50</v>
      </c>
      <c r="E174" s="3" t="s">
        <v>13</v>
      </c>
      <c r="F174" s="3">
        <v>2</v>
      </c>
      <c r="G174" s="3">
        <v>1</v>
      </c>
      <c r="H174" s="3">
        <v>1</v>
      </c>
      <c r="I174" s="3">
        <v>1.5</v>
      </c>
      <c r="J174" s="4" t="str">
        <f>HYPERLINK("http://141.218.60.56/~jnz1568/getInfo.php?workbook=10_05.xlsx&amp;sheet=E0&amp;row=174&amp;col=10&amp;number=0&amp;sourceID=14","0")</f>
        <v>0</v>
      </c>
    </row>
    <row r="175" spans="1:10">
      <c r="A175" s="3">
        <v>10</v>
      </c>
      <c r="B175" s="3">
        <v>5</v>
      </c>
      <c r="C175" s="3">
        <v>172</v>
      </c>
      <c r="D175" s="3" t="s">
        <v>50</v>
      </c>
      <c r="E175" s="3" t="s">
        <v>16</v>
      </c>
      <c r="F175" s="3">
        <v>2</v>
      </c>
      <c r="G175" s="3">
        <v>2</v>
      </c>
      <c r="H175" s="3">
        <v>0</v>
      </c>
      <c r="I175" s="3">
        <v>1.5</v>
      </c>
      <c r="J175" s="4" t="str">
        <f>HYPERLINK("http://141.218.60.56/~jnz1568/getInfo.php?workbook=10_05.xlsx&amp;sheet=E0&amp;row=175&amp;col=10&amp;number=0&amp;sourceID=14","0")</f>
        <v>0</v>
      </c>
    </row>
    <row r="176" spans="1:10">
      <c r="A176" s="3">
        <v>10</v>
      </c>
      <c r="B176" s="3">
        <v>5</v>
      </c>
      <c r="C176" s="3">
        <v>173</v>
      </c>
      <c r="D176" s="3" t="s">
        <v>50</v>
      </c>
      <c r="E176" s="3" t="s">
        <v>16</v>
      </c>
      <c r="F176" s="3">
        <v>2</v>
      </c>
      <c r="G176" s="3">
        <v>2</v>
      </c>
      <c r="H176" s="3">
        <v>0</v>
      </c>
      <c r="I176" s="3">
        <v>2.5</v>
      </c>
      <c r="J176" s="4" t="str">
        <f>HYPERLINK("http://141.218.60.56/~jnz1568/getInfo.php?workbook=10_05.xlsx&amp;sheet=E0&amp;row=176&amp;col=10&amp;number=0&amp;sourceID=14","0")</f>
        <v>0</v>
      </c>
    </row>
    <row r="177" spans="1:10">
      <c r="A177" s="3">
        <v>10</v>
      </c>
      <c r="B177" s="3">
        <v>5</v>
      </c>
      <c r="C177" s="3">
        <v>174</v>
      </c>
      <c r="D177" s="3" t="s">
        <v>50</v>
      </c>
      <c r="E177" s="3" t="s">
        <v>17</v>
      </c>
      <c r="F177" s="3">
        <v>2</v>
      </c>
      <c r="G177" s="3">
        <v>0</v>
      </c>
      <c r="H177" s="3">
        <v>0</v>
      </c>
      <c r="I177" s="3">
        <v>0.5</v>
      </c>
      <c r="J177" s="4" t="str">
        <f>HYPERLINK("http://141.218.60.56/~jnz1568/getInfo.php?workbook=10_05.xlsx&amp;sheet=E0&amp;row=177&amp;col=10&amp;number=0&amp;sourceID=14","0")</f>
        <v>0</v>
      </c>
    </row>
    <row r="178" spans="1:10">
      <c r="A178" s="3">
        <v>10</v>
      </c>
      <c r="B178" s="3">
        <v>5</v>
      </c>
      <c r="C178" s="3">
        <v>175</v>
      </c>
      <c r="D178" s="3" t="s">
        <v>51</v>
      </c>
      <c r="E178" s="3" t="s">
        <v>29</v>
      </c>
      <c r="F178" s="3">
        <v>2</v>
      </c>
      <c r="G178" s="3">
        <v>3</v>
      </c>
      <c r="H178" s="3">
        <v>1</v>
      </c>
      <c r="I178" s="3">
        <v>3.5</v>
      </c>
      <c r="J178" s="4" t="str">
        <f>HYPERLINK("http://141.218.60.56/~jnz1568/getInfo.php?workbook=10_05.xlsx&amp;sheet=E0&amp;row=178&amp;col=10&amp;number=0&amp;sourceID=14","0")</f>
        <v>0</v>
      </c>
    </row>
    <row r="179" spans="1:10">
      <c r="A179" s="3">
        <v>10</v>
      </c>
      <c r="B179" s="3">
        <v>5</v>
      </c>
      <c r="C179" s="3">
        <v>176</v>
      </c>
      <c r="D179" s="3" t="s">
        <v>51</v>
      </c>
      <c r="E179" s="3" t="s">
        <v>29</v>
      </c>
      <c r="F179" s="3">
        <v>2</v>
      </c>
      <c r="G179" s="3">
        <v>3</v>
      </c>
      <c r="H179" s="3">
        <v>1</v>
      </c>
      <c r="I179" s="3">
        <v>2.5</v>
      </c>
      <c r="J179" s="4" t="str">
        <f>HYPERLINK("http://141.218.60.56/~jnz1568/getInfo.php?workbook=10_05.xlsx&amp;sheet=E0&amp;row=179&amp;col=10&amp;number=0&amp;sourceID=14","0")</f>
        <v>0</v>
      </c>
    </row>
    <row r="180" spans="1:10">
      <c r="A180" s="3">
        <v>10</v>
      </c>
      <c r="B180" s="3">
        <v>5</v>
      </c>
      <c r="C180" s="3">
        <v>177</v>
      </c>
      <c r="D180" s="3" t="s">
        <v>51</v>
      </c>
      <c r="E180" s="3" t="s">
        <v>16</v>
      </c>
      <c r="F180" s="3">
        <v>2</v>
      </c>
      <c r="G180" s="3">
        <v>2</v>
      </c>
      <c r="H180" s="3">
        <v>0</v>
      </c>
      <c r="I180" s="3">
        <v>1.5</v>
      </c>
      <c r="J180" s="4" t="str">
        <f>HYPERLINK("http://141.218.60.56/~jnz1568/getInfo.php?workbook=10_05.xlsx&amp;sheet=E0&amp;row=180&amp;col=10&amp;number=0&amp;sourceID=14","0")</f>
        <v>0</v>
      </c>
    </row>
    <row r="181" spans="1:10">
      <c r="A181" s="3">
        <v>10</v>
      </c>
      <c r="B181" s="3">
        <v>5</v>
      </c>
      <c r="C181" s="3">
        <v>178</v>
      </c>
      <c r="D181" s="3" t="s">
        <v>51</v>
      </c>
      <c r="E181" s="3" t="s">
        <v>16</v>
      </c>
      <c r="F181" s="3">
        <v>2</v>
      </c>
      <c r="G181" s="3">
        <v>2</v>
      </c>
      <c r="H181" s="3">
        <v>0</v>
      </c>
      <c r="I181" s="3">
        <v>2.5</v>
      </c>
      <c r="J181" s="4" t="str">
        <f>HYPERLINK("http://141.218.60.56/~jnz1568/getInfo.php?workbook=10_05.xlsx&amp;sheet=E0&amp;row=181&amp;col=10&amp;number=0&amp;sourceID=14","0")</f>
        <v>0</v>
      </c>
    </row>
    <row r="182" spans="1:10">
      <c r="A182" s="3">
        <v>10</v>
      </c>
      <c r="B182" s="3">
        <v>5</v>
      </c>
      <c r="C182" s="3">
        <v>179</v>
      </c>
      <c r="D182" s="3" t="s">
        <v>51</v>
      </c>
      <c r="E182" s="3" t="s">
        <v>13</v>
      </c>
      <c r="F182" s="3">
        <v>2</v>
      </c>
      <c r="G182" s="3">
        <v>1</v>
      </c>
      <c r="H182" s="3">
        <v>1</v>
      </c>
      <c r="I182" s="3">
        <v>0.5</v>
      </c>
      <c r="J182" s="4" t="str">
        <f>HYPERLINK("http://141.218.60.56/~jnz1568/getInfo.php?workbook=10_05.xlsx&amp;sheet=E0&amp;row=182&amp;col=10&amp;number=0&amp;sourceID=14","0")</f>
        <v>0</v>
      </c>
    </row>
    <row r="183" spans="1:10">
      <c r="A183" s="3">
        <v>10</v>
      </c>
      <c r="B183" s="3">
        <v>5</v>
      </c>
      <c r="C183" s="3">
        <v>180</v>
      </c>
      <c r="D183" s="3" t="s">
        <v>51</v>
      </c>
      <c r="E183" s="3" t="s">
        <v>13</v>
      </c>
      <c r="F183" s="3">
        <v>2</v>
      </c>
      <c r="G183" s="3">
        <v>1</v>
      </c>
      <c r="H183" s="3">
        <v>1</v>
      </c>
      <c r="I183" s="3">
        <v>1.5</v>
      </c>
      <c r="J183" s="4" t="str">
        <f>HYPERLINK("http://141.218.60.56/~jnz1568/getInfo.php?workbook=10_05.xlsx&amp;sheet=E0&amp;row=183&amp;col=10&amp;number=0&amp;sourceID=14","0")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52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3.7109375" customWidth="1"/>
    <col min="6" max="6" width="13.7109375" customWidth="1"/>
    <col min="7" max="7" width="10.7109375" customWidth="1"/>
  </cols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54</v>
      </c>
      <c r="F3" s="2" t="s">
        <v>55</v>
      </c>
      <c r="G3" s="2" t="s">
        <v>56</v>
      </c>
    </row>
    <row r="4" spans="1:7">
      <c r="A4" s="3">
        <v>10</v>
      </c>
      <c r="B4" s="3">
        <v>5</v>
      </c>
      <c r="C4" s="3">
        <v>2</v>
      </c>
      <c r="D4" s="3">
        <v>1</v>
      </c>
      <c r="E4" s="3">
        <v>76452.599</v>
      </c>
      <c r="F4" s="4" t="str">
        <f>HYPERLINK("http://141.218.60.56/~jnz1568/getInfo.php?workbook=10_05.xlsx&amp;sheet=A0&amp;row=4&amp;col=6&amp;number=0.02028&amp;sourceID=14","0.02028")</f>
        <v>0.02028</v>
      </c>
      <c r="G4" s="4" t="str">
        <f>HYPERLINK("http://141.218.60.56/~jnz1568/getInfo.php?workbook=10_05.xlsx&amp;sheet=A0&amp;row=4&amp;col=7&amp;number=0&amp;sourceID=14","0")</f>
        <v>0</v>
      </c>
    </row>
    <row r="5" spans="1:7">
      <c r="A5" s="3">
        <v>10</v>
      </c>
      <c r="B5" s="3">
        <v>5</v>
      </c>
      <c r="C5" s="3">
        <v>3</v>
      </c>
      <c r="D5" s="3">
        <v>1</v>
      </c>
      <c r="E5" s="3">
        <v>997.031</v>
      </c>
      <c r="F5" s="4" t="str">
        <f>HYPERLINK("http://141.218.60.56/~jnz1568/getInfo.php?workbook=10_05.xlsx&amp;sheet=A0&amp;row=5&amp;col=6&amp;number=11800&amp;sourceID=14","11800")</f>
        <v>11800</v>
      </c>
      <c r="G5" s="4" t="str">
        <f>HYPERLINK("http://141.218.60.56/~jnz1568/getInfo.php?workbook=10_05.xlsx&amp;sheet=A0&amp;row=5&amp;col=7&amp;number=0&amp;sourceID=14","0")</f>
        <v>0</v>
      </c>
    </row>
    <row r="6" spans="1:7">
      <c r="A6" s="3">
        <v>10</v>
      </c>
      <c r="B6" s="3">
        <v>5</v>
      </c>
      <c r="C6" s="3">
        <v>4</v>
      </c>
      <c r="D6" s="3">
        <v>1</v>
      </c>
      <c r="E6" s="3">
        <v>992.636</v>
      </c>
      <c r="F6" s="4" t="str">
        <f>HYPERLINK("http://141.218.60.56/~jnz1568/getInfo.php?workbook=10_05.xlsx&amp;sheet=A0&amp;row=6&amp;col=6&amp;number=321&amp;sourceID=14","321")</f>
        <v>321</v>
      </c>
      <c r="G6" s="4" t="str">
        <f>HYPERLINK("http://141.218.60.56/~jnz1568/getInfo.php?workbook=10_05.xlsx&amp;sheet=A0&amp;row=6&amp;col=7&amp;number=0&amp;sourceID=14","0")</f>
        <v>0</v>
      </c>
    </row>
    <row r="7" spans="1:7">
      <c r="A7" s="3">
        <v>10</v>
      </c>
      <c r="B7" s="3">
        <v>5</v>
      </c>
      <c r="C7" s="3">
        <v>7</v>
      </c>
      <c r="D7" s="3">
        <v>1</v>
      </c>
      <c r="E7" s="3">
        <v>558.685</v>
      </c>
      <c r="F7" s="4" t="str">
        <f>HYPERLINK("http://141.218.60.56/~jnz1568/getInfo.php?workbook=10_05.xlsx&amp;sheet=A0&amp;row=7&amp;col=6&amp;number=1020000000&amp;sourceID=14","1020000000")</f>
        <v>1020000000</v>
      </c>
      <c r="G7" s="4" t="str">
        <f>HYPERLINK("http://141.218.60.56/~jnz1568/getInfo.php?workbook=10_05.xlsx&amp;sheet=A0&amp;row=7&amp;col=7&amp;number=0&amp;sourceID=14","0")</f>
        <v>0</v>
      </c>
    </row>
    <row r="8" spans="1:7">
      <c r="A8" s="3">
        <v>10</v>
      </c>
      <c r="B8" s="3">
        <v>5</v>
      </c>
      <c r="C8" s="3">
        <v>8</v>
      </c>
      <c r="D8" s="3">
        <v>1</v>
      </c>
      <c r="E8" s="3">
        <v>433.173</v>
      </c>
      <c r="F8" s="4" t="str">
        <f>HYPERLINK("http://141.218.60.56/~jnz1568/getInfo.php?workbook=10_05.xlsx&amp;sheet=A0&amp;row=8&amp;col=6&amp;number=2130000000&amp;sourceID=14","2130000000")</f>
        <v>2130000000</v>
      </c>
      <c r="G8" s="4" t="str">
        <f>HYPERLINK("http://141.218.60.56/~jnz1568/getInfo.php?workbook=10_05.xlsx&amp;sheet=A0&amp;row=8&amp;col=7&amp;number=0&amp;sourceID=14","0")</f>
        <v>0</v>
      </c>
    </row>
    <row r="9" spans="1:7">
      <c r="A9" s="3">
        <v>10</v>
      </c>
      <c r="B9" s="3">
        <v>5</v>
      </c>
      <c r="C9" s="3">
        <v>9</v>
      </c>
      <c r="D9" s="3">
        <v>1</v>
      </c>
      <c r="E9" s="3">
        <v>401.154</v>
      </c>
      <c r="F9" s="4" t="str">
        <f>HYPERLINK("http://141.218.60.56/~jnz1568/getInfo.php?workbook=10_05.xlsx&amp;sheet=A0&amp;row=9&amp;col=6&amp;number=6540000000&amp;sourceID=14","6540000000")</f>
        <v>6540000000</v>
      </c>
      <c r="G9" s="4" t="str">
        <f>HYPERLINK("http://141.218.60.56/~jnz1568/getInfo.php?workbook=10_05.xlsx&amp;sheet=A0&amp;row=9&amp;col=7&amp;number=0&amp;sourceID=14","0")</f>
        <v>0</v>
      </c>
    </row>
    <row r="10" spans="1:7">
      <c r="A10" s="3">
        <v>10</v>
      </c>
      <c r="B10" s="3">
        <v>5</v>
      </c>
      <c r="C10" s="3">
        <v>10</v>
      </c>
      <c r="D10" s="3">
        <v>1</v>
      </c>
      <c r="E10" s="3">
        <v>399.826</v>
      </c>
      <c r="F10" s="4" t="str">
        <f>HYPERLINK("http://141.218.60.56/~jnz1568/getInfo.php?workbook=10_05.xlsx&amp;sheet=A0&amp;row=10&amp;col=6&amp;number=1730000000&amp;sourceID=14","1730000000")</f>
        <v>1730000000</v>
      </c>
      <c r="G10" s="4" t="str">
        <f>HYPERLINK("http://141.218.60.56/~jnz1568/getInfo.php?workbook=10_05.xlsx&amp;sheet=A0&amp;row=10&amp;col=7&amp;number=0&amp;sourceID=14","0")</f>
        <v>0</v>
      </c>
    </row>
    <row r="11" spans="1:7">
      <c r="A11" s="3">
        <v>10</v>
      </c>
      <c r="B11" s="3">
        <v>5</v>
      </c>
      <c r="C11" s="3">
        <v>16</v>
      </c>
      <c r="D11" s="3">
        <v>1</v>
      </c>
      <c r="E11" s="3">
        <v>138.387</v>
      </c>
      <c r="F11" s="4" t="str">
        <f>HYPERLINK("http://141.218.60.56/~jnz1568/getInfo.php?workbook=10_05.xlsx&amp;sheet=A0&amp;row=11&amp;col=6&amp;number=9330000000&amp;sourceID=14","9330000000")</f>
        <v>9330000000</v>
      </c>
      <c r="G11" s="4" t="str">
        <f>HYPERLINK("http://141.218.60.56/~jnz1568/getInfo.php?workbook=10_05.xlsx&amp;sheet=A0&amp;row=11&amp;col=7&amp;number=0&amp;sourceID=14","0")</f>
        <v>0</v>
      </c>
    </row>
    <row r="12" spans="1:7">
      <c r="A12" s="3">
        <v>10</v>
      </c>
      <c r="B12" s="3">
        <v>5</v>
      </c>
      <c r="C12" s="3">
        <v>19</v>
      </c>
      <c r="D12" s="3">
        <v>1</v>
      </c>
      <c r="E12" s="3">
        <v>122.488</v>
      </c>
      <c r="F12" s="4" t="str">
        <f>HYPERLINK("http://141.218.60.56/~jnz1568/getInfo.php?workbook=10_05.xlsx&amp;sheet=A0&amp;row=12&amp;col=6&amp;number=126000000000&amp;sourceID=14","126000000000")</f>
        <v>126000000000</v>
      </c>
      <c r="G12" s="4" t="str">
        <f>HYPERLINK("http://141.218.60.56/~jnz1568/getInfo.php?workbook=10_05.xlsx&amp;sheet=A0&amp;row=12&amp;col=7&amp;number=0&amp;sourceID=14","0")</f>
        <v>0</v>
      </c>
    </row>
    <row r="13" spans="1:7">
      <c r="A13" s="3">
        <v>10</v>
      </c>
      <c r="B13" s="3">
        <v>5</v>
      </c>
      <c r="C13" s="3">
        <v>26</v>
      </c>
      <c r="D13" s="3">
        <v>1</v>
      </c>
      <c r="E13" s="3">
        <v>114.131</v>
      </c>
      <c r="F13" s="4" t="str">
        <f>HYPERLINK("http://141.218.60.56/~jnz1568/getInfo.php?workbook=10_05.xlsx&amp;sheet=A0&amp;row=13&amp;col=6&amp;number=34700000000&amp;sourceID=14","34700000000")</f>
        <v>34700000000</v>
      </c>
      <c r="G13" s="4" t="str">
        <f>HYPERLINK("http://141.218.60.56/~jnz1568/getInfo.php?workbook=10_05.xlsx&amp;sheet=A0&amp;row=13&amp;col=7&amp;number=0&amp;sourceID=14","0")</f>
        <v>0</v>
      </c>
    </row>
    <row r="14" spans="1:7">
      <c r="A14" s="3">
        <v>10</v>
      </c>
      <c r="B14" s="3">
        <v>5</v>
      </c>
      <c r="C14" s="3">
        <v>27</v>
      </c>
      <c r="D14" s="3">
        <v>1</v>
      </c>
      <c r="E14" s="3">
        <v>114.07</v>
      </c>
      <c r="F14" s="4" t="str">
        <f>HYPERLINK("http://141.218.60.56/~jnz1568/getInfo.php?workbook=10_05.xlsx&amp;sheet=A0&amp;row=14&amp;col=6&amp;number=9220000000&amp;sourceID=14","9220000000")</f>
        <v>9220000000</v>
      </c>
      <c r="G14" s="4" t="str">
        <f>HYPERLINK("http://141.218.60.56/~jnz1568/getInfo.php?workbook=10_05.xlsx&amp;sheet=A0&amp;row=14&amp;col=7&amp;number=0&amp;sourceID=14","0")</f>
        <v>0</v>
      </c>
    </row>
    <row r="15" spans="1:7">
      <c r="A15" s="3">
        <v>10</v>
      </c>
      <c r="B15" s="3">
        <v>5</v>
      </c>
      <c r="C15" s="3">
        <v>28</v>
      </c>
      <c r="D15" s="3">
        <v>1</v>
      </c>
      <c r="E15" s="3">
        <v>-113.914</v>
      </c>
      <c r="F15" s="4" t="str">
        <f>HYPERLINK("http://141.218.60.56/~jnz1568/getInfo.php?workbook=10_05.xlsx&amp;sheet=A0&amp;row=15&amp;col=6&amp;number=1250000000&amp;sourceID=14","1250000000")</f>
        <v>1250000000</v>
      </c>
      <c r="G15" s="4" t="str">
        <f>HYPERLINK("http://141.218.60.56/~jnz1568/getInfo.php?workbook=10_05.xlsx&amp;sheet=A0&amp;row=15&amp;col=7&amp;number=0&amp;sourceID=14","0")</f>
        <v>0</v>
      </c>
    </row>
    <row r="16" spans="1:7">
      <c r="A16" s="3">
        <v>10</v>
      </c>
      <c r="B16" s="3">
        <v>5</v>
      </c>
      <c r="C16" s="3">
        <v>29</v>
      </c>
      <c r="D16" s="3">
        <v>1</v>
      </c>
      <c r="E16" s="3">
        <v>-113.883</v>
      </c>
      <c r="F16" s="4" t="str">
        <f>HYPERLINK("http://141.218.60.56/~jnz1568/getInfo.php?workbook=10_05.xlsx&amp;sheet=A0&amp;row=16&amp;col=6&amp;number=189000000&amp;sourceID=14","189000000")</f>
        <v>189000000</v>
      </c>
      <c r="G16" s="4" t="str">
        <f>HYPERLINK("http://141.218.60.56/~jnz1568/getInfo.php?workbook=10_05.xlsx&amp;sheet=A0&amp;row=16&amp;col=7&amp;number=0&amp;sourceID=14","0")</f>
        <v>0</v>
      </c>
    </row>
    <row r="17" spans="1:7">
      <c r="A17" s="3">
        <v>10</v>
      </c>
      <c r="B17" s="3">
        <v>5</v>
      </c>
      <c r="C17" s="3">
        <v>32</v>
      </c>
      <c r="D17" s="3">
        <v>1</v>
      </c>
      <c r="E17" s="3">
        <v>-112.778</v>
      </c>
      <c r="F17" s="4" t="str">
        <f>HYPERLINK("http://141.218.60.56/~jnz1568/getInfo.php?workbook=10_05.xlsx&amp;sheet=A0&amp;row=17&amp;col=6&amp;number=9330000&amp;sourceID=14","9330000")</f>
        <v>9330000</v>
      </c>
      <c r="G17" s="4" t="str">
        <f>HYPERLINK("http://141.218.60.56/~jnz1568/getInfo.php?workbook=10_05.xlsx&amp;sheet=A0&amp;row=17&amp;col=7&amp;number=0&amp;sourceID=14","0")</f>
        <v>0</v>
      </c>
    </row>
    <row r="18" spans="1:7">
      <c r="A18" s="3">
        <v>10</v>
      </c>
      <c r="B18" s="3">
        <v>5</v>
      </c>
      <c r="C18" s="3">
        <v>33</v>
      </c>
      <c r="D18" s="3">
        <v>1</v>
      </c>
      <c r="E18" s="3">
        <v>-111.756</v>
      </c>
      <c r="F18" s="4" t="str">
        <f>HYPERLINK("http://141.218.60.56/~jnz1568/getInfo.php?workbook=10_05.xlsx&amp;sheet=A0&amp;row=18&amp;col=6&amp;number=7090000&amp;sourceID=14","7090000")</f>
        <v>7090000</v>
      </c>
      <c r="G18" s="4" t="str">
        <f>HYPERLINK("http://141.218.60.56/~jnz1568/getInfo.php?workbook=10_05.xlsx&amp;sheet=A0&amp;row=18&amp;col=7&amp;number=0&amp;sourceID=14","0")</f>
        <v>0</v>
      </c>
    </row>
    <row r="19" spans="1:7">
      <c r="A19" s="3">
        <v>10</v>
      </c>
      <c r="B19" s="3">
        <v>5</v>
      </c>
      <c r="C19" s="3">
        <v>34</v>
      </c>
      <c r="D19" s="3">
        <v>1</v>
      </c>
      <c r="E19" s="3">
        <v>-111.719</v>
      </c>
      <c r="F19" s="4" t="str">
        <f>HYPERLINK("http://141.218.60.56/~jnz1568/getInfo.php?workbook=10_05.xlsx&amp;sheet=A0&amp;row=19&amp;col=6&amp;number=4560000&amp;sourceID=14","4560000")</f>
        <v>4560000</v>
      </c>
      <c r="G19" s="4" t="str">
        <f>HYPERLINK("http://141.218.60.56/~jnz1568/getInfo.php?workbook=10_05.xlsx&amp;sheet=A0&amp;row=19&amp;col=7&amp;number=0&amp;sourceID=14","0")</f>
        <v>0</v>
      </c>
    </row>
    <row r="20" spans="1:7">
      <c r="A20" s="3">
        <v>10</v>
      </c>
      <c r="B20" s="3">
        <v>5</v>
      </c>
      <c r="C20" s="3">
        <v>36</v>
      </c>
      <c r="D20" s="3">
        <v>1</v>
      </c>
      <c r="E20" s="3">
        <v>111.099</v>
      </c>
      <c r="F20" s="4" t="str">
        <f>HYPERLINK("http://141.218.60.56/~jnz1568/getInfo.php?workbook=10_05.xlsx&amp;sheet=A0&amp;row=20&amp;col=6&amp;number=44600000000&amp;sourceID=14","44600000000")</f>
        <v>44600000000</v>
      </c>
      <c r="G20" s="4" t="str">
        <f>HYPERLINK("http://141.218.60.56/~jnz1568/getInfo.php?workbook=10_05.xlsx&amp;sheet=A0&amp;row=20&amp;col=7&amp;number=0&amp;sourceID=14","0")</f>
        <v>0</v>
      </c>
    </row>
    <row r="21" spans="1:7">
      <c r="A21" s="3">
        <v>10</v>
      </c>
      <c r="B21" s="3">
        <v>5</v>
      </c>
      <c r="C21" s="3">
        <v>40</v>
      </c>
      <c r="D21" s="3">
        <v>1</v>
      </c>
      <c r="E21" s="3">
        <v>109.307</v>
      </c>
      <c r="F21" s="4" t="str">
        <f>HYPERLINK("http://141.218.60.56/~jnz1568/getInfo.php?workbook=10_05.xlsx&amp;sheet=A0&amp;row=21&amp;col=6&amp;number=16200000000&amp;sourceID=14","16200000000")</f>
        <v>16200000000</v>
      </c>
      <c r="G21" s="4" t="str">
        <f>HYPERLINK("http://141.218.60.56/~jnz1568/getInfo.php?workbook=10_05.xlsx&amp;sheet=A0&amp;row=21&amp;col=7&amp;number=0&amp;sourceID=14","0")</f>
        <v>0</v>
      </c>
    </row>
    <row r="22" spans="1:7">
      <c r="A22" s="3">
        <v>10</v>
      </c>
      <c r="B22" s="3">
        <v>5</v>
      </c>
      <c r="C22" s="3">
        <v>58</v>
      </c>
      <c r="D22" s="3">
        <v>1</v>
      </c>
      <c r="E22" s="3">
        <v>101.73</v>
      </c>
      <c r="F22" s="4" t="str">
        <f>HYPERLINK("http://141.218.60.56/~jnz1568/getInfo.php?workbook=10_05.xlsx&amp;sheet=A0&amp;row=22&amp;col=6&amp;number=7140000000&amp;sourceID=14","7140000000")</f>
        <v>7140000000</v>
      </c>
      <c r="G22" s="4" t="str">
        <f>HYPERLINK("http://141.218.60.56/~jnz1568/getInfo.php?workbook=10_05.xlsx&amp;sheet=A0&amp;row=22&amp;col=7&amp;number=0&amp;sourceID=14","0")</f>
        <v>0</v>
      </c>
    </row>
    <row r="23" spans="1:7">
      <c r="A23" s="3">
        <v>10</v>
      </c>
      <c r="B23" s="3">
        <v>5</v>
      </c>
      <c r="C23" s="3">
        <v>59</v>
      </c>
      <c r="D23" s="3">
        <v>1</v>
      </c>
      <c r="E23" s="3">
        <v>101.42</v>
      </c>
      <c r="F23" s="4" t="str">
        <f>HYPERLINK("http://141.218.60.56/~jnz1568/getInfo.php?workbook=10_05.xlsx&amp;sheet=A0&amp;row=23&amp;col=6&amp;number=4850000000&amp;sourceID=14","4850000000")</f>
        <v>4850000000</v>
      </c>
      <c r="G23" s="4" t="str">
        <f>HYPERLINK("http://141.218.60.56/~jnz1568/getInfo.php?workbook=10_05.xlsx&amp;sheet=A0&amp;row=23&amp;col=7&amp;number=0&amp;sourceID=14","0")</f>
        <v>0</v>
      </c>
    </row>
    <row r="24" spans="1:7">
      <c r="A24" s="3">
        <v>10</v>
      </c>
      <c r="B24" s="3">
        <v>5</v>
      </c>
      <c r="C24" s="3">
        <v>61</v>
      </c>
      <c r="D24" s="3">
        <v>1</v>
      </c>
      <c r="E24" s="3">
        <v>101.251</v>
      </c>
      <c r="F24" s="4" t="str">
        <f>HYPERLINK("http://141.218.60.56/~jnz1568/getInfo.php?workbook=10_05.xlsx&amp;sheet=A0&amp;row=24&amp;col=6&amp;number=11700000000&amp;sourceID=14","11700000000")</f>
        <v>11700000000</v>
      </c>
      <c r="G24" s="4" t="str">
        <f>HYPERLINK("http://141.218.60.56/~jnz1568/getInfo.php?workbook=10_05.xlsx&amp;sheet=A0&amp;row=24&amp;col=7&amp;number=0&amp;sourceID=14","0")</f>
        <v>0</v>
      </c>
    </row>
    <row r="25" spans="1:7">
      <c r="A25" s="3">
        <v>10</v>
      </c>
      <c r="B25" s="3">
        <v>5</v>
      </c>
      <c r="C25" s="3">
        <v>62</v>
      </c>
      <c r="D25" s="3">
        <v>1</v>
      </c>
      <c r="E25" s="3">
        <v>101.22</v>
      </c>
      <c r="F25" s="4" t="str">
        <f>HYPERLINK("http://141.218.60.56/~jnz1568/getInfo.php?workbook=10_05.xlsx&amp;sheet=A0&amp;row=25&amp;col=6&amp;number=5370000000&amp;sourceID=14","5370000000")</f>
        <v>5370000000</v>
      </c>
      <c r="G25" s="4" t="str">
        <f>HYPERLINK("http://141.218.60.56/~jnz1568/getInfo.php?workbook=10_05.xlsx&amp;sheet=A0&amp;row=25&amp;col=7&amp;number=0&amp;sourceID=14","0")</f>
        <v>0</v>
      </c>
    </row>
    <row r="26" spans="1:7">
      <c r="A26" s="3">
        <v>10</v>
      </c>
      <c r="B26" s="3">
        <v>5</v>
      </c>
      <c r="C26" s="3">
        <v>63</v>
      </c>
      <c r="D26" s="3">
        <v>1</v>
      </c>
      <c r="E26" s="3">
        <v>100.604</v>
      </c>
      <c r="F26" s="4" t="str">
        <f>HYPERLINK("http://141.218.60.56/~jnz1568/getInfo.php?workbook=10_05.xlsx&amp;sheet=A0&amp;row=26&amp;col=6&amp;number=1560000000&amp;sourceID=14","1560000000")</f>
        <v>1560000000</v>
      </c>
      <c r="G26" s="4" t="str">
        <f>HYPERLINK("http://141.218.60.56/~jnz1568/getInfo.php?workbook=10_05.xlsx&amp;sheet=A0&amp;row=26&amp;col=7&amp;number=0&amp;sourceID=14","0")</f>
        <v>0</v>
      </c>
    </row>
    <row r="27" spans="1:7">
      <c r="A27" s="3">
        <v>10</v>
      </c>
      <c r="B27" s="3">
        <v>5</v>
      </c>
      <c r="C27" s="3">
        <v>66</v>
      </c>
      <c r="D27" s="3">
        <v>1</v>
      </c>
      <c r="E27" s="3">
        <v>98.131</v>
      </c>
      <c r="F27" s="4" t="str">
        <f>HYPERLINK("http://141.218.60.56/~jnz1568/getInfo.php?workbook=10_05.xlsx&amp;sheet=A0&amp;row=27&amp;col=6&amp;number=42400000000&amp;sourceID=14","42400000000")</f>
        <v>42400000000</v>
      </c>
      <c r="G27" s="4" t="str">
        <f>HYPERLINK("http://141.218.60.56/~jnz1568/getInfo.php?workbook=10_05.xlsx&amp;sheet=A0&amp;row=27&amp;col=7&amp;number=0&amp;sourceID=14","0")</f>
        <v>0</v>
      </c>
    </row>
    <row r="28" spans="1:7">
      <c r="A28" s="3">
        <v>10</v>
      </c>
      <c r="B28" s="3">
        <v>5</v>
      </c>
      <c r="C28" s="3">
        <v>70</v>
      </c>
      <c r="D28" s="3">
        <v>1</v>
      </c>
      <c r="E28" s="3">
        <v>97.73</v>
      </c>
      <c r="F28" s="4" t="str">
        <f>HYPERLINK("http://141.218.60.56/~jnz1568/getInfo.php?workbook=10_05.xlsx&amp;sheet=A0&amp;row=28&amp;col=6&amp;number=2040000&amp;sourceID=14","2040000")</f>
        <v>2040000</v>
      </c>
      <c r="G28" s="4" t="str">
        <f>HYPERLINK("http://141.218.60.56/~jnz1568/getInfo.php?workbook=10_05.xlsx&amp;sheet=A0&amp;row=28&amp;col=7&amp;number=0&amp;sourceID=14","0")</f>
        <v>0</v>
      </c>
    </row>
    <row r="29" spans="1:7">
      <c r="A29" s="3">
        <v>10</v>
      </c>
      <c r="B29" s="3">
        <v>5</v>
      </c>
      <c r="C29" s="3">
        <v>71</v>
      </c>
      <c r="D29" s="3">
        <v>1</v>
      </c>
      <c r="E29" s="3">
        <v>97.73</v>
      </c>
      <c r="F29" s="4" t="str">
        <f>HYPERLINK("http://141.218.60.56/~jnz1568/getInfo.php?workbook=10_05.xlsx&amp;sheet=A0&amp;row=29&amp;col=6&amp;number=59700&amp;sourceID=14","59700")</f>
        <v>59700</v>
      </c>
      <c r="G29" s="4" t="str">
        <f>HYPERLINK("http://141.218.60.56/~jnz1568/getInfo.php?workbook=10_05.xlsx&amp;sheet=A0&amp;row=29&amp;col=7&amp;number=0&amp;sourceID=14","0")</f>
        <v>0</v>
      </c>
    </row>
    <row r="30" spans="1:7">
      <c r="A30" s="3">
        <v>10</v>
      </c>
      <c r="B30" s="3">
        <v>5</v>
      </c>
      <c r="C30" s="3">
        <v>77</v>
      </c>
      <c r="D30" s="3">
        <v>1</v>
      </c>
      <c r="E30" s="3">
        <v>-95.46</v>
      </c>
      <c r="F30" s="4" t="str">
        <f>HYPERLINK("http://141.218.60.56/~jnz1568/getInfo.php?workbook=10_05.xlsx&amp;sheet=A0&amp;row=30&amp;col=6&amp;number=253000000&amp;sourceID=14","253000000")</f>
        <v>253000000</v>
      </c>
      <c r="G30" s="4" t="str">
        <f>HYPERLINK("http://141.218.60.56/~jnz1568/getInfo.php?workbook=10_05.xlsx&amp;sheet=A0&amp;row=30&amp;col=7&amp;number=0&amp;sourceID=14","0")</f>
        <v>0</v>
      </c>
    </row>
    <row r="31" spans="1:7">
      <c r="A31" s="3">
        <v>10</v>
      </c>
      <c r="B31" s="3">
        <v>5</v>
      </c>
      <c r="C31" s="3">
        <v>78</v>
      </c>
      <c r="D31" s="3">
        <v>1</v>
      </c>
      <c r="E31" s="3">
        <v>-95.384</v>
      </c>
      <c r="F31" s="4" t="str">
        <f>HYPERLINK("http://141.218.60.56/~jnz1568/getInfo.php?workbook=10_05.xlsx&amp;sheet=A0&amp;row=31&amp;col=6&amp;number=62100000&amp;sourceID=14","62100000")</f>
        <v>62100000</v>
      </c>
      <c r="G31" s="4" t="str">
        <f>HYPERLINK("http://141.218.60.56/~jnz1568/getInfo.php?workbook=10_05.xlsx&amp;sheet=A0&amp;row=31&amp;col=7&amp;number=0&amp;sourceID=14","0")</f>
        <v>0</v>
      </c>
    </row>
    <row r="32" spans="1:7">
      <c r="A32" s="3">
        <v>10</v>
      </c>
      <c r="B32" s="3">
        <v>5</v>
      </c>
      <c r="C32" s="3">
        <v>80</v>
      </c>
      <c r="D32" s="3">
        <v>1</v>
      </c>
      <c r="E32" s="3">
        <v>94.677</v>
      </c>
      <c r="F32" s="4" t="str">
        <f>HYPERLINK("http://141.218.60.56/~jnz1568/getInfo.php?workbook=10_05.xlsx&amp;sheet=A0&amp;row=32&amp;col=6&amp;number=3460000&amp;sourceID=14","3460000")</f>
        <v>3460000</v>
      </c>
      <c r="G32" s="4" t="str">
        <f>HYPERLINK("http://141.218.60.56/~jnz1568/getInfo.php?workbook=10_05.xlsx&amp;sheet=A0&amp;row=32&amp;col=7&amp;number=0&amp;sourceID=14","0")</f>
        <v>0</v>
      </c>
    </row>
    <row r="33" spans="1:7">
      <c r="A33" s="3">
        <v>10</v>
      </c>
      <c r="B33" s="3">
        <v>5</v>
      </c>
      <c r="C33" s="3">
        <v>99</v>
      </c>
      <c r="D33" s="3">
        <v>1</v>
      </c>
      <c r="E33" s="3">
        <v>-90.945</v>
      </c>
      <c r="F33" s="4" t="str">
        <f>HYPERLINK("http://141.218.60.56/~jnz1568/getInfo.php?workbook=10_05.xlsx&amp;sheet=A0&amp;row=33&amp;col=6&amp;number=1450000&amp;sourceID=14","1450000")</f>
        <v>1450000</v>
      </c>
      <c r="G33" s="4" t="str">
        <f>HYPERLINK("http://141.218.60.56/~jnz1568/getInfo.php?workbook=10_05.xlsx&amp;sheet=A0&amp;row=33&amp;col=7&amp;number=0&amp;sourceID=14","0")</f>
        <v>0</v>
      </c>
    </row>
    <row r="34" spans="1:7">
      <c r="A34" s="3">
        <v>10</v>
      </c>
      <c r="B34" s="3">
        <v>5</v>
      </c>
      <c r="C34" s="3">
        <v>105</v>
      </c>
      <c r="D34" s="3">
        <v>1</v>
      </c>
      <c r="E34" s="3">
        <v>-90.454</v>
      </c>
      <c r="F34" s="4" t="str">
        <f>HYPERLINK("http://141.218.60.56/~jnz1568/getInfo.php?workbook=10_05.xlsx&amp;sheet=A0&amp;row=34&amp;col=6&amp;number=307000000&amp;sourceID=14","307000000")</f>
        <v>307000000</v>
      </c>
      <c r="G34" s="4" t="str">
        <f>HYPERLINK("http://141.218.60.56/~jnz1568/getInfo.php?workbook=10_05.xlsx&amp;sheet=A0&amp;row=34&amp;col=7&amp;number=0&amp;sourceID=14","0")</f>
        <v>0</v>
      </c>
    </row>
    <row r="35" spans="1:7">
      <c r="A35" s="3">
        <v>10</v>
      </c>
      <c r="B35" s="3">
        <v>5</v>
      </c>
      <c r="C35" s="3">
        <v>106</v>
      </c>
      <c r="D35" s="3">
        <v>1</v>
      </c>
      <c r="E35" s="3">
        <v>-90.443</v>
      </c>
      <c r="F35" s="4" t="str">
        <f>HYPERLINK("http://141.218.60.56/~jnz1568/getInfo.php?workbook=10_05.xlsx&amp;sheet=A0&amp;row=35&amp;col=6&amp;number=120000000&amp;sourceID=14","120000000")</f>
        <v>120000000</v>
      </c>
      <c r="G35" s="4" t="str">
        <f>HYPERLINK("http://141.218.60.56/~jnz1568/getInfo.php?workbook=10_05.xlsx&amp;sheet=A0&amp;row=35&amp;col=7&amp;number=0&amp;sourceID=14","0")</f>
        <v>0</v>
      </c>
    </row>
    <row r="36" spans="1:7">
      <c r="A36" s="3">
        <v>10</v>
      </c>
      <c r="B36" s="3">
        <v>5</v>
      </c>
      <c r="C36" s="3">
        <v>109</v>
      </c>
      <c r="D36" s="3">
        <v>1</v>
      </c>
      <c r="E36" s="3">
        <v>-90.363</v>
      </c>
      <c r="F36" s="4" t="str">
        <f>HYPERLINK("http://141.218.60.56/~jnz1568/getInfo.php?workbook=10_05.xlsx&amp;sheet=A0&amp;row=36&amp;col=6&amp;number=1440000000&amp;sourceID=14","1440000000")</f>
        <v>1440000000</v>
      </c>
      <c r="G36" s="4" t="str">
        <f>HYPERLINK("http://141.218.60.56/~jnz1568/getInfo.php?workbook=10_05.xlsx&amp;sheet=A0&amp;row=36&amp;col=7&amp;number=0&amp;sourceID=14","0")</f>
        <v>0</v>
      </c>
    </row>
    <row r="37" spans="1:7">
      <c r="A37" s="3">
        <v>10</v>
      </c>
      <c r="B37" s="3">
        <v>5</v>
      </c>
      <c r="C37" s="3">
        <v>111</v>
      </c>
      <c r="D37" s="3">
        <v>1</v>
      </c>
      <c r="E37" s="3">
        <v>-90.314</v>
      </c>
      <c r="F37" s="4" t="str">
        <f>HYPERLINK("http://141.218.60.56/~jnz1568/getInfo.php?workbook=10_05.xlsx&amp;sheet=A0&amp;row=37&amp;col=6&amp;number=5820000000&amp;sourceID=14","5820000000")</f>
        <v>5820000000</v>
      </c>
      <c r="G37" s="4" t="str">
        <f>HYPERLINK("http://141.218.60.56/~jnz1568/getInfo.php?workbook=10_05.xlsx&amp;sheet=A0&amp;row=37&amp;col=7&amp;number=0&amp;sourceID=14","0")</f>
        <v>0</v>
      </c>
    </row>
    <row r="38" spans="1:7">
      <c r="A38" s="3">
        <v>10</v>
      </c>
      <c r="B38" s="3">
        <v>5</v>
      </c>
      <c r="C38" s="3">
        <v>118</v>
      </c>
      <c r="D38" s="3">
        <v>1</v>
      </c>
      <c r="E38" s="3">
        <v>-89.66</v>
      </c>
      <c r="F38" s="4" t="str">
        <f>HYPERLINK("http://141.218.60.56/~jnz1568/getInfo.php?workbook=10_05.xlsx&amp;sheet=A0&amp;row=38&amp;col=6&amp;number=5060000&amp;sourceID=14","5060000")</f>
        <v>5060000</v>
      </c>
      <c r="G38" s="4" t="str">
        <f>HYPERLINK("http://141.218.60.56/~jnz1568/getInfo.php?workbook=10_05.xlsx&amp;sheet=A0&amp;row=38&amp;col=7&amp;number=0&amp;sourceID=14","0")</f>
        <v>0</v>
      </c>
    </row>
    <row r="39" spans="1:7">
      <c r="A39" s="3">
        <v>10</v>
      </c>
      <c r="B39" s="3">
        <v>5</v>
      </c>
      <c r="C39" s="3">
        <v>119</v>
      </c>
      <c r="D39" s="3">
        <v>1</v>
      </c>
      <c r="E39" s="3">
        <v>-89.656</v>
      </c>
      <c r="F39" s="4" t="str">
        <f>HYPERLINK("http://141.218.60.56/~jnz1568/getInfo.php?workbook=10_05.xlsx&amp;sheet=A0&amp;row=39&amp;col=6&amp;number=32600&amp;sourceID=14","32600")</f>
        <v>32600</v>
      </c>
      <c r="G39" s="4" t="str">
        <f>HYPERLINK("http://141.218.60.56/~jnz1568/getInfo.php?workbook=10_05.xlsx&amp;sheet=A0&amp;row=39&amp;col=7&amp;number=0&amp;sourceID=14","0")</f>
        <v>0</v>
      </c>
    </row>
    <row r="40" spans="1:7">
      <c r="A40" s="3">
        <v>10</v>
      </c>
      <c r="B40" s="3">
        <v>5</v>
      </c>
      <c r="C40" s="3">
        <v>120</v>
      </c>
      <c r="D40" s="3">
        <v>1</v>
      </c>
      <c r="E40" s="3">
        <v>-89.403</v>
      </c>
      <c r="F40" s="4" t="str">
        <f>HYPERLINK("http://141.218.60.56/~jnz1568/getInfo.php?workbook=10_05.xlsx&amp;sheet=A0&amp;row=40&amp;col=6&amp;number=318000000&amp;sourceID=14","318000000")</f>
        <v>318000000</v>
      </c>
      <c r="G40" s="4" t="str">
        <f>HYPERLINK("http://141.218.60.56/~jnz1568/getInfo.php?workbook=10_05.xlsx&amp;sheet=A0&amp;row=40&amp;col=7&amp;number=0&amp;sourceID=14","0")</f>
        <v>0</v>
      </c>
    </row>
    <row r="41" spans="1:7">
      <c r="A41" s="3">
        <v>10</v>
      </c>
      <c r="B41" s="3">
        <v>5</v>
      </c>
      <c r="C41" s="3">
        <v>121</v>
      </c>
      <c r="D41" s="3">
        <v>1</v>
      </c>
      <c r="E41" s="3">
        <v>-89.385</v>
      </c>
      <c r="F41" s="4" t="str">
        <f>HYPERLINK("http://141.218.60.56/~jnz1568/getInfo.php?workbook=10_05.xlsx&amp;sheet=A0&amp;row=41&amp;col=6&amp;number=6300000&amp;sourceID=14","6300000")</f>
        <v>6300000</v>
      </c>
      <c r="G41" s="4" t="str">
        <f>HYPERLINK("http://141.218.60.56/~jnz1568/getInfo.php?workbook=10_05.xlsx&amp;sheet=A0&amp;row=41&amp;col=7&amp;number=0&amp;sourceID=14","0")</f>
        <v>0</v>
      </c>
    </row>
    <row r="42" spans="1:7">
      <c r="A42" s="3">
        <v>10</v>
      </c>
      <c r="B42" s="3">
        <v>5</v>
      </c>
      <c r="C42" s="3">
        <v>123</v>
      </c>
      <c r="D42" s="3">
        <v>1</v>
      </c>
      <c r="E42" s="3">
        <v>-89.332</v>
      </c>
      <c r="F42" s="4" t="str">
        <f>HYPERLINK("http://141.218.60.56/~jnz1568/getInfo.php?workbook=10_05.xlsx&amp;sheet=A0&amp;row=42&amp;col=6&amp;number=125000000&amp;sourceID=14","125000000")</f>
        <v>125000000</v>
      </c>
      <c r="G42" s="4" t="str">
        <f>HYPERLINK("http://141.218.60.56/~jnz1568/getInfo.php?workbook=10_05.xlsx&amp;sheet=A0&amp;row=42&amp;col=7&amp;number=0&amp;sourceID=14","0")</f>
        <v>0</v>
      </c>
    </row>
    <row r="43" spans="1:7">
      <c r="A43" s="3">
        <v>10</v>
      </c>
      <c r="B43" s="3">
        <v>5</v>
      </c>
      <c r="C43" s="3">
        <v>125</v>
      </c>
      <c r="D43" s="3">
        <v>1</v>
      </c>
      <c r="E43" s="3">
        <v>-89.241</v>
      </c>
      <c r="F43" s="4" t="str">
        <f>HYPERLINK("http://141.218.60.56/~jnz1568/getInfo.php?workbook=10_05.xlsx&amp;sheet=A0&amp;row=43&amp;col=6&amp;number=12500000000&amp;sourceID=14","12500000000")</f>
        <v>12500000000</v>
      </c>
      <c r="G43" s="4" t="str">
        <f>HYPERLINK("http://141.218.60.56/~jnz1568/getInfo.php?workbook=10_05.xlsx&amp;sheet=A0&amp;row=43&amp;col=7&amp;number=0&amp;sourceID=14","0")</f>
        <v>0</v>
      </c>
    </row>
    <row r="44" spans="1:7">
      <c r="A44" s="3">
        <v>10</v>
      </c>
      <c r="B44" s="3">
        <v>5</v>
      </c>
      <c r="C44" s="3">
        <v>126</v>
      </c>
      <c r="D44" s="3">
        <v>1</v>
      </c>
      <c r="E44" s="3">
        <v>-89.22</v>
      </c>
      <c r="F44" s="4" t="str">
        <f>HYPERLINK("http://141.218.60.56/~jnz1568/getInfo.php?workbook=10_05.xlsx&amp;sheet=A0&amp;row=44&amp;col=6&amp;number=4860000000&amp;sourceID=14","4860000000")</f>
        <v>4860000000</v>
      </c>
      <c r="G44" s="4" t="str">
        <f>HYPERLINK("http://141.218.60.56/~jnz1568/getInfo.php?workbook=10_05.xlsx&amp;sheet=A0&amp;row=44&amp;col=7&amp;number=0&amp;sourceID=14","0")</f>
        <v>0</v>
      </c>
    </row>
    <row r="45" spans="1:7">
      <c r="A45" s="3">
        <v>10</v>
      </c>
      <c r="B45" s="3">
        <v>5</v>
      </c>
      <c r="C45" s="3">
        <v>129</v>
      </c>
      <c r="D45" s="3">
        <v>1</v>
      </c>
      <c r="E45" s="3">
        <v>88.997</v>
      </c>
      <c r="F45" s="4" t="str">
        <f>HYPERLINK("http://141.218.60.56/~jnz1568/getInfo.php?workbook=10_05.xlsx&amp;sheet=A0&amp;row=45&amp;col=6&amp;number=21700000000&amp;sourceID=14","21700000000")</f>
        <v>21700000000</v>
      </c>
      <c r="G45" s="4" t="str">
        <f>HYPERLINK("http://141.218.60.56/~jnz1568/getInfo.php?workbook=10_05.xlsx&amp;sheet=A0&amp;row=45&amp;col=7&amp;number=0&amp;sourceID=14","0")</f>
        <v>0</v>
      </c>
    </row>
    <row r="46" spans="1:7">
      <c r="A46" s="3">
        <v>10</v>
      </c>
      <c r="B46" s="3">
        <v>5</v>
      </c>
      <c r="C46" s="3">
        <v>131</v>
      </c>
      <c r="D46" s="3">
        <v>1</v>
      </c>
      <c r="E46" s="3">
        <v>-88.953</v>
      </c>
      <c r="F46" s="4" t="str">
        <f>HYPERLINK("http://141.218.60.56/~jnz1568/getInfo.php?workbook=10_05.xlsx&amp;sheet=A0&amp;row=46&amp;col=6&amp;number=28700000&amp;sourceID=14","28700000")</f>
        <v>28700000</v>
      </c>
      <c r="G46" s="4" t="str">
        <f>HYPERLINK("http://141.218.60.56/~jnz1568/getInfo.php?workbook=10_05.xlsx&amp;sheet=A0&amp;row=46&amp;col=7&amp;number=0&amp;sourceID=14","0")</f>
        <v>0</v>
      </c>
    </row>
    <row r="47" spans="1:7">
      <c r="A47" s="3">
        <v>10</v>
      </c>
      <c r="B47" s="3">
        <v>5</v>
      </c>
      <c r="C47" s="3">
        <v>132</v>
      </c>
      <c r="D47" s="3">
        <v>1</v>
      </c>
      <c r="E47" s="3">
        <v>-88.942</v>
      </c>
      <c r="F47" s="4" t="str">
        <f>HYPERLINK("http://141.218.60.56/~jnz1568/getInfo.php?workbook=10_05.xlsx&amp;sheet=A0&amp;row=47&amp;col=6&amp;number=76800000&amp;sourceID=14","76800000")</f>
        <v>76800000</v>
      </c>
      <c r="G47" s="4" t="str">
        <f>HYPERLINK("http://141.218.60.56/~jnz1568/getInfo.php?workbook=10_05.xlsx&amp;sheet=A0&amp;row=47&amp;col=7&amp;number=0&amp;sourceID=14","0")</f>
        <v>0</v>
      </c>
    </row>
    <row r="48" spans="1:7">
      <c r="A48" s="3">
        <v>10</v>
      </c>
      <c r="B48" s="3">
        <v>5</v>
      </c>
      <c r="C48" s="3">
        <v>140</v>
      </c>
      <c r="D48" s="3">
        <v>1</v>
      </c>
      <c r="E48" s="3">
        <v>-88.544</v>
      </c>
      <c r="F48" s="4" t="str">
        <f>HYPERLINK("http://141.218.60.56/~jnz1568/getInfo.php?workbook=10_05.xlsx&amp;sheet=A0&amp;row=48&amp;col=6&amp;number=4500000000&amp;sourceID=14","4500000000")</f>
        <v>4500000000</v>
      </c>
      <c r="G48" s="4" t="str">
        <f>HYPERLINK("http://141.218.60.56/~jnz1568/getInfo.php?workbook=10_05.xlsx&amp;sheet=A0&amp;row=48&amp;col=7&amp;number=0&amp;sourceID=14","0")</f>
        <v>0</v>
      </c>
    </row>
    <row r="49" spans="1:7">
      <c r="A49" s="3">
        <v>10</v>
      </c>
      <c r="B49" s="3">
        <v>5</v>
      </c>
      <c r="C49" s="3">
        <v>150</v>
      </c>
      <c r="D49" s="3">
        <v>1</v>
      </c>
      <c r="E49" s="3">
        <v>-88.004</v>
      </c>
      <c r="F49" s="4" t="str">
        <f>HYPERLINK("http://141.218.60.56/~jnz1568/getInfo.php?workbook=10_05.xlsx&amp;sheet=A0&amp;row=49&amp;col=6&amp;number=848000000&amp;sourceID=14","848000000")</f>
        <v>848000000</v>
      </c>
      <c r="G49" s="4" t="str">
        <f>HYPERLINK("http://141.218.60.56/~jnz1568/getInfo.php?workbook=10_05.xlsx&amp;sheet=A0&amp;row=49&amp;col=7&amp;number=0&amp;sourceID=14","0")</f>
        <v>0</v>
      </c>
    </row>
    <row r="50" spans="1:7">
      <c r="A50" s="3">
        <v>10</v>
      </c>
      <c r="B50" s="3">
        <v>5</v>
      </c>
      <c r="C50" s="3">
        <v>156</v>
      </c>
      <c r="D50" s="3">
        <v>1</v>
      </c>
      <c r="E50" s="3">
        <v>-87.686</v>
      </c>
      <c r="F50" s="4" t="str">
        <f>HYPERLINK("http://141.218.60.56/~jnz1568/getInfo.php?workbook=10_05.xlsx&amp;sheet=A0&amp;row=50&amp;col=6&amp;number=789000&amp;sourceID=14","789000")</f>
        <v>789000</v>
      </c>
      <c r="G50" s="4" t="str">
        <f>HYPERLINK("http://141.218.60.56/~jnz1568/getInfo.php?workbook=10_05.xlsx&amp;sheet=A0&amp;row=50&amp;col=7&amp;number=0&amp;sourceID=14","0")</f>
        <v>0</v>
      </c>
    </row>
    <row r="51" spans="1:7">
      <c r="A51" s="3">
        <v>10</v>
      </c>
      <c r="B51" s="3">
        <v>5</v>
      </c>
      <c r="C51" s="3">
        <v>160</v>
      </c>
      <c r="D51" s="3">
        <v>1</v>
      </c>
      <c r="E51" s="3">
        <v>-87.575</v>
      </c>
      <c r="F51" s="4" t="str">
        <f>HYPERLINK("http://141.218.60.56/~jnz1568/getInfo.php?workbook=10_05.xlsx&amp;sheet=A0&amp;row=51&amp;col=6&amp;number=2660000000&amp;sourceID=14","2660000000")</f>
        <v>2660000000</v>
      </c>
      <c r="G51" s="4" t="str">
        <f>HYPERLINK("http://141.218.60.56/~jnz1568/getInfo.php?workbook=10_05.xlsx&amp;sheet=A0&amp;row=51&amp;col=7&amp;number=0&amp;sourceID=14","0")</f>
        <v>0</v>
      </c>
    </row>
    <row r="52" spans="1:7">
      <c r="A52" s="3">
        <v>10</v>
      </c>
      <c r="B52" s="3">
        <v>5</v>
      </c>
      <c r="C52" s="3">
        <v>161</v>
      </c>
      <c r="D52" s="3">
        <v>1</v>
      </c>
      <c r="E52" s="3">
        <v>87.551</v>
      </c>
      <c r="F52" s="4" t="str">
        <f>HYPERLINK("http://141.218.60.56/~jnz1568/getInfo.php?workbook=10_05.xlsx&amp;sheet=A0&amp;row=52&amp;col=6&amp;number=1890000000&amp;sourceID=14","1890000000")</f>
        <v>1890000000</v>
      </c>
      <c r="G52" s="4" t="str">
        <f>HYPERLINK("http://141.218.60.56/~jnz1568/getInfo.php?workbook=10_05.xlsx&amp;sheet=A0&amp;row=52&amp;col=7&amp;number=0&amp;sourceID=14","0")</f>
        <v>0</v>
      </c>
    </row>
    <row r="53" spans="1:7">
      <c r="A53" s="3">
        <v>10</v>
      </c>
      <c r="B53" s="3">
        <v>5</v>
      </c>
      <c r="C53" s="3">
        <v>162</v>
      </c>
      <c r="D53" s="3">
        <v>1</v>
      </c>
      <c r="E53" s="3">
        <v>87.528</v>
      </c>
      <c r="F53" s="4" t="str">
        <f>HYPERLINK("http://141.218.60.56/~jnz1568/getInfo.php?workbook=10_05.xlsx&amp;sheet=A0&amp;row=53&amp;col=6&amp;number=464000000&amp;sourceID=14","464000000")</f>
        <v>464000000</v>
      </c>
      <c r="G53" s="4" t="str">
        <f>HYPERLINK("http://141.218.60.56/~jnz1568/getInfo.php?workbook=10_05.xlsx&amp;sheet=A0&amp;row=53&amp;col=7&amp;number=0&amp;sourceID=14","0")</f>
        <v>0</v>
      </c>
    </row>
    <row r="54" spans="1:7">
      <c r="A54" s="3">
        <v>10</v>
      </c>
      <c r="B54" s="3">
        <v>5</v>
      </c>
      <c r="C54" s="3">
        <v>163</v>
      </c>
      <c r="D54" s="3">
        <v>1</v>
      </c>
      <c r="E54" s="3">
        <v>-86.502</v>
      </c>
      <c r="F54" s="4" t="str">
        <f>HYPERLINK("http://141.218.60.56/~jnz1568/getInfo.php?workbook=10_05.xlsx&amp;sheet=A0&amp;row=54&amp;col=6&amp;number=726000000&amp;sourceID=14","726000000")</f>
        <v>726000000</v>
      </c>
      <c r="G54" s="4" t="str">
        <f>HYPERLINK("http://141.218.60.56/~jnz1568/getInfo.php?workbook=10_05.xlsx&amp;sheet=A0&amp;row=54&amp;col=7&amp;number=0&amp;sourceID=14","0")</f>
        <v>0</v>
      </c>
    </row>
    <row r="55" spans="1:7">
      <c r="A55" s="3">
        <v>10</v>
      </c>
      <c r="B55" s="3">
        <v>5</v>
      </c>
      <c r="C55" s="3">
        <v>169</v>
      </c>
      <c r="D55" s="3">
        <v>1</v>
      </c>
      <c r="E55" s="3">
        <v>-81.782</v>
      </c>
      <c r="F55" s="4" t="str">
        <f>HYPERLINK("http://141.218.60.56/~jnz1568/getInfo.php?workbook=10_05.xlsx&amp;sheet=A0&amp;row=55&amp;col=6&amp;number=3800000000&amp;sourceID=14","3800000000")</f>
        <v>3800000000</v>
      </c>
      <c r="G55" s="4" t="str">
        <f>HYPERLINK("http://141.218.60.56/~jnz1568/getInfo.php?workbook=10_05.xlsx&amp;sheet=A0&amp;row=55&amp;col=7&amp;number=0&amp;sourceID=14","0")</f>
        <v>0</v>
      </c>
    </row>
    <row r="56" spans="1:7">
      <c r="A56" s="3">
        <v>10</v>
      </c>
      <c r="B56" s="3">
        <v>5</v>
      </c>
      <c r="C56" s="3">
        <v>170</v>
      </c>
      <c r="D56" s="3">
        <v>1</v>
      </c>
      <c r="E56" s="3">
        <v>-81.16</v>
      </c>
      <c r="F56" s="4" t="str">
        <f>HYPERLINK("http://141.218.60.56/~jnz1568/getInfo.php?workbook=10_05.xlsx&amp;sheet=A0&amp;row=56&amp;col=6&amp;number=5160000000&amp;sourceID=14","5160000000")</f>
        <v>5160000000</v>
      </c>
      <c r="G56" s="4" t="str">
        <f>HYPERLINK("http://141.218.60.56/~jnz1568/getInfo.php?workbook=10_05.xlsx&amp;sheet=A0&amp;row=56&amp;col=7&amp;number=0&amp;sourceID=14","0")</f>
        <v>0</v>
      </c>
    </row>
    <row r="57" spans="1:7">
      <c r="A57" s="3">
        <v>10</v>
      </c>
      <c r="B57" s="3">
        <v>5</v>
      </c>
      <c r="C57" s="3">
        <v>171</v>
      </c>
      <c r="D57" s="3">
        <v>1</v>
      </c>
      <c r="E57" s="3">
        <v>-81.154</v>
      </c>
      <c r="F57" s="4" t="str">
        <f>HYPERLINK("http://141.218.60.56/~jnz1568/getInfo.php?workbook=10_05.xlsx&amp;sheet=A0&amp;row=57&amp;col=6&amp;number=1260000000&amp;sourceID=14","1260000000")</f>
        <v>1260000000</v>
      </c>
      <c r="G57" s="4" t="str">
        <f>HYPERLINK("http://141.218.60.56/~jnz1568/getInfo.php?workbook=10_05.xlsx&amp;sheet=A0&amp;row=57&amp;col=7&amp;number=0&amp;sourceID=14","0")</f>
        <v>0</v>
      </c>
    </row>
    <row r="58" spans="1:7">
      <c r="A58" s="3">
        <v>10</v>
      </c>
      <c r="B58" s="3">
        <v>5</v>
      </c>
      <c r="C58" s="3">
        <v>172</v>
      </c>
      <c r="D58" s="3">
        <v>1</v>
      </c>
      <c r="E58" s="3">
        <v>-81.025</v>
      </c>
      <c r="F58" s="4" t="str">
        <f>HYPERLINK("http://141.218.60.56/~jnz1568/getInfo.php?workbook=10_05.xlsx&amp;sheet=A0&amp;row=58&amp;col=6&amp;number=1980000000&amp;sourceID=14","1980000000")</f>
        <v>1980000000</v>
      </c>
      <c r="G58" s="4" t="str">
        <f>HYPERLINK("http://141.218.60.56/~jnz1568/getInfo.php?workbook=10_05.xlsx&amp;sheet=A0&amp;row=58&amp;col=7&amp;number=0&amp;sourceID=14","0")</f>
        <v>0</v>
      </c>
    </row>
    <row r="59" spans="1:7">
      <c r="A59" s="3">
        <v>10</v>
      </c>
      <c r="B59" s="3">
        <v>5</v>
      </c>
      <c r="C59" s="3">
        <v>174</v>
      </c>
      <c r="D59" s="3">
        <v>1</v>
      </c>
      <c r="E59" s="3">
        <v>-80.886</v>
      </c>
      <c r="F59" s="4" t="str">
        <f>HYPERLINK("http://141.218.60.56/~jnz1568/getInfo.php?workbook=10_05.xlsx&amp;sheet=A0&amp;row=59&amp;col=6&amp;number=2510000000&amp;sourceID=14","2510000000")</f>
        <v>2510000000</v>
      </c>
      <c r="G59" s="4" t="str">
        <f>HYPERLINK("http://141.218.60.56/~jnz1568/getInfo.php?workbook=10_05.xlsx&amp;sheet=A0&amp;row=59&amp;col=7&amp;number=0&amp;sourceID=14","0")</f>
        <v>0</v>
      </c>
    </row>
    <row r="60" spans="1:7">
      <c r="A60" s="3">
        <v>10</v>
      </c>
      <c r="B60" s="3">
        <v>5</v>
      </c>
      <c r="C60" s="3">
        <v>3</v>
      </c>
      <c r="D60" s="3">
        <v>2</v>
      </c>
      <c r="E60" s="3">
        <v>1010.205</v>
      </c>
      <c r="F60" s="4" t="str">
        <f>HYPERLINK("http://141.218.60.56/~jnz1568/getInfo.php?workbook=10_05.xlsx&amp;sheet=A0&amp;row=60&amp;col=6&amp;number=10600&amp;sourceID=14","10600")</f>
        <v>10600</v>
      </c>
      <c r="G60" s="4" t="str">
        <f>HYPERLINK("http://141.218.60.56/~jnz1568/getInfo.php?workbook=10_05.xlsx&amp;sheet=A0&amp;row=60&amp;col=7&amp;number=0&amp;sourceID=14","0")</f>
        <v>0</v>
      </c>
    </row>
    <row r="61" spans="1:7">
      <c r="A61" s="3">
        <v>10</v>
      </c>
      <c r="B61" s="3">
        <v>5</v>
      </c>
      <c r="C61" s="3">
        <v>4</v>
      </c>
      <c r="D61" s="3">
        <v>2</v>
      </c>
      <c r="E61" s="3">
        <v>1005.694</v>
      </c>
      <c r="F61" s="4" t="str">
        <f>HYPERLINK("http://141.218.60.56/~jnz1568/getInfo.php?workbook=10_05.xlsx&amp;sheet=A0&amp;row=61&amp;col=6&amp;number=2920&amp;sourceID=14","2920")</f>
        <v>2920</v>
      </c>
      <c r="G61" s="4" t="str">
        <f>HYPERLINK("http://141.218.60.56/~jnz1568/getInfo.php?workbook=10_05.xlsx&amp;sheet=A0&amp;row=61&amp;col=7&amp;number=0&amp;sourceID=14","0")</f>
        <v>0</v>
      </c>
    </row>
    <row r="62" spans="1:7">
      <c r="A62" s="3">
        <v>10</v>
      </c>
      <c r="B62" s="3">
        <v>5</v>
      </c>
      <c r="C62" s="3">
        <v>5</v>
      </c>
      <c r="D62" s="3">
        <v>2</v>
      </c>
      <c r="E62" s="3">
        <v>999.183</v>
      </c>
      <c r="F62" s="4" t="str">
        <f>HYPERLINK("http://141.218.60.56/~jnz1568/getInfo.php?workbook=10_05.xlsx&amp;sheet=A0&amp;row=62&amp;col=6&amp;number=9080&amp;sourceID=14","9080")</f>
        <v>9080</v>
      </c>
      <c r="G62" s="4" t="str">
        <f>HYPERLINK("http://141.218.60.56/~jnz1568/getInfo.php?workbook=10_05.xlsx&amp;sheet=A0&amp;row=62&amp;col=7&amp;number=0&amp;sourceID=14","0")</f>
        <v>0</v>
      </c>
    </row>
    <row r="63" spans="1:7">
      <c r="A63" s="3">
        <v>10</v>
      </c>
      <c r="B63" s="3">
        <v>5</v>
      </c>
      <c r="C63" s="3">
        <v>6</v>
      </c>
      <c r="D63" s="3">
        <v>2</v>
      </c>
      <c r="E63" s="3">
        <v>562.703</v>
      </c>
      <c r="F63" s="4" t="str">
        <f>HYPERLINK("http://141.218.60.56/~jnz1568/getInfo.php?workbook=10_05.xlsx&amp;sheet=A0&amp;row=63&amp;col=6&amp;number=1170000000&amp;sourceID=14","1170000000")</f>
        <v>1170000000</v>
      </c>
      <c r="G63" s="4" t="str">
        <f>HYPERLINK("http://141.218.60.56/~jnz1568/getInfo.php?workbook=10_05.xlsx&amp;sheet=A0&amp;row=63&amp;col=7&amp;number=0&amp;sourceID=14","0")</f>
        <v>0</v>
      </c>
    </row>
    <row r="64" spans="1:7">
      <c r="A64" s="3">
        <v>10</v>
      </c>
      <c r="B64" s="3">
        <v>5</v>
      </c>
      <c r="C64" s="3">
        <v>7</v>
      </c>
      <c r="D64" s="3">
        <v>2</v>
      </c>
      <c r="E64" s="3">
        <v>562.798</v>
      </c>
      <c r="F64" s="4" t="str">
        <f>HYPERLINK("http://141.218.60.56/~jnz1568/getInfo.php?workbook=10_05.xlsx&amp;sheet=A0&amp;row=64&amp;col=6&amp;number=184000000&amp;sourceID=14","184000000")</f>
        <v>184000000</v>
      </c>
      <c r="G64" s="4" t="str">
        <f>HYPERLINK("http://141.218.60.56/~jnz1568/getInfo.php?workbook=10_05.xlsx&amp;sheet=A0&amp;row=64&amp;col=7&amp;number=0&amp;sourceID=14","0")</f>
        <v>0</v>
      </c>
    </row>
    <row r="65" spans="1:7">
      <c r="A65" s="3">
        <v>10</v>
      </c>
      <c r="B65" s="3">
        <v>5</v>
      </c>
      <c r="C65" s="3">
        <v>8</v>
      </c>
      <c r="D65" s="3">
        <v>2</v>
      </c>
      <c r="E65" s="3">
        <v>435.641</v>
      </c>
      <c r="F65" s="4" t="str">
        <f>HYPERLINK("http://141.218.60.56/~jnz1568/getInfo.php?workbook=10_05.xlsx&amp;sheet=A0&amp;row=65&amp;col=6&amp;number=3170000000&amp;sourceID=14","3170000000")</f>
        <v>3170000000</v>
      </c>
      <c r="G65" s="4" t="str">
        <f>HYPERLINK("http://141.218.60.56/~jnz1568/getInfo.php?workbook=10_05.xlsx&amp;sheet=A0&amp;row=65&amp;col=7&amp;number=0&amp;sourceID=14","0")</f>
        <v>0</v>
      </c>
    </row>
    <row r="66" spans="1:7">
      <c r="A66" s="3">
        <v>10</v>
      </c>
      <c r="B66" s="3">
        <v>5</v>
      </c>
      <c r="C66" s="3">
        <v>9</v>
      </c>
      <c r="D66" s="3">
        <v>2</v>
      </c>
      <c r="E66" s="3">
        <v>403.27</v>
      </c>
      <c r="F66" s="4" t="str">
        <f>HYPERLINK("http://141.218.60.56/~jnz1568/getInfo.php?workbook=10_05.xlsx&amp;sheet=A0&amp;row=66&amp;col=6&amp;number=3850000000&amp;sourceID=14","3850000000")</f>
        <v>3850000000</v>
      </c>
      <c r="G66" s="4" t="str">
        <f>HYPERLINK("http://141.218.60.56/~jnz1568/getInfo.php?workbook=10_05.xlsx&amp;sheet=A0&amp;row=66&amp;col=7&amp;number=0&amp;sourceID=14","0")</f>
        <v>0</v>
      </c>
    </row>
    <row r="67" spans="1:7">
      <c r="A67" s="3">
        <v>10</v>
      </c>
      <c r="B67" s="3">
        <v>5</v>
      </c>
      <c r="C67" s="3">
        <v>10</v>
      </c>
      <c r="D67" s="3">
        <v>2</v>
      </c>
      <c r="E67" s="3">
        <v>401.928</v>
      </c>
      <c r="F67" s="4" t="str">
        <f>HYPERLINK("http://141.218.60.56/~jnz1568/getInfo.php?workbook=10_05.xlsx&amp;sheet=A0&amp;row=67&amp;col=6&amp;number=8700000000&amp;sourceID=14","8700000000")</f>
        <v>8700000000</v>
      </c>
      <c r="G67" s="4" t="str">
        <f>HYPERLINK("http://141.218.60.56/~jnz1568/getInfo.php?workbook=10_05.xlsx&amp;sheet=A0&amp;row=67&amp;col=7&amp;number=0&amp;sourceID=14","0")</f>
        <v>0</v>
      </c>
    </row>
    <row r="68" spans="1:7">
      <c r="A68" s="3">
        <v>10</v>
      </c>
      <c r="B68" s="3">
        <v>5</v>
      </c>
      <c r="C68" s="3">
        <v>16</v>
      </c>
      <c r="D68" s="3">
        <v>2</v>
      </c>
      <c r="E68" s="3">
        <v>138.638</v>
      </c>
      <c r="F68" s="4" t="str">
        <f>HYPERLINK("http://141.218.60.56/~jnz1568/getInfo.php?workbook=10_05.xlsx&amp;sheet=A0&amp;row=68&amp;col=6&amp;number=18800000000&amp;sourceID=14","18800000000")</f>
        <v>18800000000</v>
      </c>
      <c r="G68" s="4" t="str">
        <f>HYPERLINK("http://141.218.60.56/~jnz1568/getInfo.php?workbook=10_05.xlsx&amp;sheet=A0&amp;row=68&amp;col=7&amp;number=0&amp;sourceID=14","0")</f>
        <v>0</v>
      </c>
    </row>
    <row r="69" spans="1:7">
      <c r="A69" s="3">
        <v>10</v>
      </c>
      <c r="B69" s="3">
        <v>5</v>
      </c>
      <c r="C69" s="3">
        <v>19</v>
      </c>
      <c r="D69" s="3">
        <v>2</v>
      </c>
      <c r="E69" s="3">
        <v>122.685</v>
      </c>
      <c r="F69" s="4" t="str">
        <f>HYPERLINK("http://141.218.60.56/~jnz1568/getInfo.php?workbook=10_05.xlsx&amp;sheet=A0&amp;row=69&amp;col=6&amp;number=25200000000&amp;sourceID=14","25200000000")</f>
        <v>25200000000</v>
      </c>
      <c r="G69" s="4" t="str">
        <f>HYPERLINK("http://141.218.60.56/~jnz1568/getInfo.php?workbook=10_05.xlsx&amp;sheet=A0&amp;row=69&amp;col=7&amp;number=0&amp;sourceID=14","0")</f>
        <v>0</v>
      </c>
    </row>
    <row r="70" spans="1:7">
      <c r="A70" s="3">
        <v>10</v>
      </c>
      <c r="B70" s="3">
        <v>5</v>
      </c>
      <c r="C70" s="3">
        <v>20</v>
      </c>
      <c r="D70" s="3">
        <v>2</v>
      </c>
      <c r="E70" s="3">
        <v>122.685</v>
      </c>
      <c r="F70" s="4" t="str">
        <f>HYPERLINK("http://141.218.60.56/~jnz1568/getInfo.php?workbook=10_05.xlsx&amp;sheet=A0&amp;row=70&amp;col=6&amp;number=151000000000&amp;sourceID=14","151000000000")</f>
        <v>151000000000</v>
      </c>
      <c r="G70" s="4" t="str">
        <f>HYPERLINK("http://141.218.60.56/~jnz1568/getInfo.php?workbook=10_05.xlsx&amp;sheet=A0&amp;row=70&amp;col=7&amp;number=0&amp;sourceID=14","0")</f>
        <v>0</v>
      </c>
    </row>
    <row r="71" spans="1:7">
      <c r="A71" s="3">
        <v>10</v>
      </c>
      <c r="B71" s="3">
        <v>5</v>
      </c>
      <c r="C71" s="3">
        <v>26</v>
      </c>
      <c r="D71" s="3">
        <v>2</v>
      </c>
      <c r="E71" s="3">
        <v>114.301</v>
      </c>
      <c r="F71" s="4" t="str">
        <f>HYPERLINK("http://141.218.60.56/~jnz1568/getInfo.php?workbook=10_05.xlsx&amp;sheet=A0&amp;row=71&amp;col=6&amp;number=16400000000&amp;sourceID=14","16400000000")</f>
        <v>16400000000</v>
      </c>
      <c r="G71" s="4" t="str">
        <f>HYPERLINK("http://141.218.60.56/~jnz1568/getInfo.php?workbook=10_05.xlsx&amp;sheet=A0&amp;row=71&amp;col=7&amp;number=0&amp;sourceID=14","0")</f>
        <v>0</v>
      </c>
    </row>
    <row r="72" spans="1:7">
      <c r="A72" s="3">
        <v>10</v>
      </c>
      <c r="B72" s="3">
        <v>5</v>
      </c>
      <c r="C72" s="3">
        <v>27</v>
      </c>
      <c r="D72" s="3">
        <v>2</v>
      </c>
      <c r="E72" s="3">
        <v>114.24</v>
      </c>
      <c r="F72" s="4" t="str">
        <f>HYPERLINK("http://141.218.60.56/~jnz1568/getInfo.php?workbook=10_05.xlsx&amp;sheet=A0&amp;row=72&amp;col=6&amp;number=42500000000&amp;sourceID=14","42500000000")</f>
        <v>42500000000</v>
      </c>
      <c r="G72" s="4" t="str">
        <f>HYPERLINK("http://141.218.60.56/~jnz1568/getInfo.php?workbook=10_05.xlsx&amp;sheet=A0&amp;row=72&amp;col=7&amp;number=0&amp;sourceID=14","0")</f>
        <v>0</v>
      </c>
    </row>
    <row r="73" spans="1:7">
      <c r="A73" s="3">
        <v>10</v>
      </c>
      <c r="B73" s="3">
        <v>5</v>
      </c>
      <c r="C73" s="3">
        <v>28</v>
      </c>
      <c r="D73" s="3">
        <v>2</v>
      </c>
      <c r="E73" s="3">
        <v>-114.084</v>
      </c>
      <c r="F73" s="4" t="str">
        <f>HYPERLINK("http://141.218.60.56/~jnz1568/getInfo.php?workbook=10_05.xlsx&amp;sheet=A0&amp;row=73&amp;col=6&amp;number=587000000&amp;sourceID=14","587000000")</f>
        <v>587000000</v>
      </c>
      <c r="G73" s="4" t="str">
        <f>HYPERLINK("http://141.218.60.56/~jnz1568/getInfo.php?workbook=10_05.xlsx&amp;sheet=A0&amp;row=73&amp;col=7&amp;number=0&amp;sourceID=14","0")</f>
        <v>0</v>
      </c>
    </row>
    <row r="74" spans="1:7">
      <c r="A74" s="3">
        <v>10</v>
      </c>
      <c r="B74" s="3">
        <v>5</v>
      </c>
      <c r="C74" s="3">
        <v>29</v>
      </c>
      <c r="D74" s="3">
        <v>2</v>
      </c>
      <c r="E74" s="3">
        <v>-114.053</v>
      </c>
      <c r="F74" s="4" t="str">
        <f>HYPERLINK("http://141.218.60.56/~jnz1568/getInfo.php?workbook=10_05.xlsx&amp;sheet=A0&amp;row=74&amp;col=6&amp;number=834000000&amp;sourceID=14","834000000")</f>
        <v>834000000</v>
      </c>
      <c r="G74" s="4" t="str">
        <f>HYPERLINK("http://141.218.60.56/~jnz1568/getInfo.php?workbook=10_05.xlsx&amp;sheet=A0&amp;row=74&amp;col=7&amp;number=0&amp;sourceID=14","0")</f>
        <v>0</v>
      </c>
    </row>
    <row r="75" spans="1:7">
      <c r="A75" s="3">
        <v>10</v>
      </c>
      <c r="B75" s="3">
        <v>5</v>
      </c>
      <c r="C75" s="3">
        <v>30</v>
      </c>
      <c r="D75" s="3">
        <v>2</v>
      </c>
      <c r="E75" s="3">
        <v>113.997</v>
      </c>
      <c r="F75" s="4" t="str">
        <f>HYPERLINK("http://141.218.60.56/~jnz1568/getInfo.php?workbook=10_05.xlsx&amp;sheet=A0&amp;row=75&amp;col=6&amp;number=105000&amp;sourceID=14","105000")</f>
        <v>105000</v>
      </c>
      <c r="G75" s="4" t="str">
        <f>HYPERLINK("http://141.218.60.56/~jnz1568/getInfo.php?workbook=10_05.xlsx&amp;sheet=A0&amp;row=75&amp;col=7&amp;number=0&amp;sourceID=14","0")</f>
        <v>0</v>
      </c>
    </row>
    <row r="76" spans="1:7">
      <c r="A76" s="3">
        <v>10</v>
      </c>
      <c r="B76" s="3">
        <v>5</v>
      </c>
      <c r="C76" s="3">
        <v>32</v>
      </c>
      <c r="D76" s="3">
        <v>2</v>
      </c>
      <c r="E76" s="3">
        <v>-112.944</v>
      </c>
      <c r="F76" s="4" t="str">
        <f>HYPERLINK("http://141.218.60.56/~jnz1568/getInfo.php?workbook=10_05.xlsx&amp;sheet=A0&amp;row=76&amp;col=6&amp;number=42100000&amp;sourceID=14","42100000")</f>
        <v>42100000</v>
      </c>
      <c r="G76" s="4" t="str">
        <f>HYPERLINK("http://141.218.60.56/~jnz1568/getInfo.php?workbook=10_05.xlsx&amp;sheet=A0&amp;row=76&amp;col=7&amp;number=0&amp;sourceID=14","0")</f>
        <v>0</v>
      </c>
    </row>
    <row r="77" spans="1:7">
      <c r="A77" s="3">
        <v>10</v>
      </c>
      <c r="B77" s="3">
        <v>5</v>
      </c>
      <c r="C77" s="3">
        <v>33</v>
      </c>
      <c r="D77" s="3">
        <v>2</v>
      </c>
      <c r="E77" s="3">
        <v>-111.919</v>
      </c>
      <c r="F77" s="4" t="str">
        <f>HYPERLINK("http://141.218.60.56/~jnz1568/getInfo.php?workbook=10_05.xlsx&amp;sheet=A0&amp;row=77&amp;col=6&amp;number=3380000&amp;sourceID=14","3380000")</f>
        <v>3380000</v>
      </c>
      <c r="G77" s="4" t="str">
        <f>HYPERLINK("http://141.218.60.56/~jnz1568/getInfo.php?workbook=10_05.xlsx&amp;sheet=A0&amp;row=77&amp;col=7&amp;number=0&amp;sourceID=14","0")</f>
        <v>0</v>
      </c>
    </row>
    <row r="78" spans="1:7">
      <c r="A78" s="3">
        <v>10</v>
      </c>
      <c r="B78" s="3">
        <v>5</v>
      </c>
      <c r="C78" s="3">
        <v>34</v>
      </c>
      <c r="D78" s="3">
        <v>2</v>
      </c>
      <c r="E78" s="3">
        <v>-111.882</v>
      </c>
      <c r="F78" s="4" t="str">
        <f>HYPERLINK("http://141.218.60.56/~jnz1568/getInfo.php?workbook=10_05.xlsx&amp;sheet=A0&amp;row=78&amp;col=6&amp;number=8080000&amp;sourceID=14","8080000")</f>
        <v>8080000</v>
      </c>
      <c r="G78" s="4" t="str">
        <f>HYPERLINK("http://141.218.60.56/~jnz1568/getInfo.php?workbook=10_05.xlsx&amp;sheet=A0&amp;row=78&amp;col=7&amp;number=0&amp;sourceID=14","0")</f>
        <v>0</v>
      </c>
    </row>
    <row r="79" spans="1:7">
      <c r="A79" s="3">
        <v>10</v>
      </c>
      <c r="B79" s="3">
        <v>5</v>
      </c>
      <c r="C79" s="3">
        <v>35</v>
      </c>
      <c r="D79" s="3">
        <v>2</v>
      </c>
      <c r="E79" s="3">
        <v>-111.829</v>
      </c>
      <c r="F79" s="4" t="str">
        <f>HYPERLINK("http://141.218.60.56/~jnz1568/getInfo.php?workbook=10_05.xlsx&amp;sheet=A0&amp;row=79&amp;col=6&amp;number=57300000&amp;sourceID=14","57300000")</f>
        <v>57300000</v>
      </c>
      <c r="G79" s="4" t="str">
        <f>HYPERLINK("http://141.218.60.56/~jnz1568/getInfo.php?workbook=10_05.xlsx&amp;sheet=A0&amp;row=79&amp;col=7&amp;number=0&amp;sourceID=14","0")</f>
        <v>0</v>
      </c>
    </row>
    <row r="80" spans="1:7">
      <c r="A80" s="3">
        <v>10</v>
      </c>
      <c r="B80" s="3">
        <v>5</v>
      </c>
      <c r="C80" s="3">
        <v>36</v>
      </c>
      <c r="D80" s="3">
        <v>2</v>
      </c>
      <c r="E80" s="3">
        <v>111.261</v>
      </c>
      <c r="F80" s="4" t="str">
        <f>HYPERLINK("http://141.218.60.56/~jnz1568/getInfo.php?workbook=10_05.xlsx&amp;sheet=A0&amp;row=80&amp;col=6&amp;number=9520000000&amp;sourceID=14","9520000000")</f>
        <v>9520000000</v>
      </c>
      <c r="G80" s="4" t="str">
        <f>HYPERLINK("http://141.218.60.56/~jnz1568/getInfo.php?workbook=10_05.xlsx&amp;sheet=A0&amp;row=80&amp;col=7&amp;number=0&amp;sourceID=14","0")</f>
        <v>0</v>
      </c>
    </row>
    <row r="81" spans="1:7">
      <c r="A81" s="3">
        <v>10</v>
      </c>
      <c r="B81" s="3">
        <v>5</v>
      </c>
      <c r="C81" s="3">
        <v>37</v>
      </c>
      <c r="D81" s="3">
        <v>2</v>
      </c>
      <c r="E81" s="3">
        <v>111.162</v>
      </c>
      <c r="F81" s="4" t="str">
        <f>HYPERLINK("http://141.218.60.56/~jnz1568/getInfo.php?workbook=10_05.xlsx&amp;sheet=A0&amp;row=81&amp;col=6&amp;number=54100000000&amp;sourceID=14","54100000000")</f>
        <v>54100000000</v>
      </c>
      <c r="G81" s="4" t="str">
        <f>HYPERLINK("http://141.218.60.56/~jnz1568/getInfo.php?workbook=10_05.xlsx&amp;sheet=A0&amp;row=81&amp;col=7&amp;number=0&amp;sourceID=14","0")</f>
        <v>0</v>
      </c>
    </row>
    <row r="82" spans="1:7">
      <c r="A82" s="3">
        <v>10</v>
      </c>
      <c r="B82" s="3">
        <v>5</v>
      </c>
      <c r="C82" s="3">
        <v>40</v>
      </c>
      <c r="D82" s="3">
        <v>2</v>
      </c>
      <c r="E82" s="3">
        <v>109.463</v>
      </c>
      <c r="F82" s="4" t="str">
        <f>HYPERLINK("http://141.218.60.56/~jnz1568/getInfo.php?workbook=10_05.xlsx&amp;sheet=A0&amp;row=82&amp;col=6&amp;number=33700000000&amp;sourceID=14","33700000000")</f>
        <v>33700000000</v>
      </c>
      <c r="G82" s="4" t="str">
        <f>HYPERLINK("http://141.218.60.56/~jnz1568/getInfo.php?workbook=10_05.xlsx&amp;sheet=A0&amp;row=82&amp;col=7&amp;number=0&amp;sourceID=14","0")</f>
        <v>0</v>
      </c>
    </row>
    <row r="83" spans="1:7">
      <c r="A83" s="3">
        <v>10</v>
      </c>
      <c r="B83" s="3">
        <v>5</v>
      </c>
      <c r="C83" s="3">
        <v>58</v>
      </c>
      <c r="D83" s="3">
        <v>2</v>
      </c>
      <c r="E83" s="3">
        <v>101.865</v>
      </c>
      <c r="F83" s="4" t="str">
        <f>HYPERLINK("http://141.218.60.56/~jnz1568/getInfo.php?workbook=10_05.xlsx&amp;sheet=A0&amp;row=83&amp;col=6&amp;number=14800000000&amp;sourceID=14","14800000000")</f>
        <v>14800000000</v>
      </c>
      <c r="G83" s="4" t="str">
        <f>HYPERLINK("http://141.218.60.56/~jnz1568/getInfo.php?workbook=10_05.xlsx&amp;sheet=A0&amp;row=83&amp;col=7&amp;number=0&amp;sourceID=14","0")</f>
        <v>0</v>
      </c>
    </row>
    <row r="84" spans="1:7">
      <c r="A84" s="3">
        <v>10</v>
      </c>
      <c r="B84" s="3">
        <v>5</v>
      </c>
      <c r="C84" s="3">
        <v>59</v>
      </c>
      <c r="D84" s="3">
        <v>2</v>
      </c>
      <c r="E84" s="3">
        <v>101.555</v>
      </c>
      <c r="F84" s="4" t="str">
        <f>HYPERLINK("http://141.218.60.56/~jnz1568/getInfo.php?workbook=10_05.xlsx&amp;sheet=A0&amp;row=84&amp;col=6&amp;number=4610000000&amp;sourceID=14","4610000000")</f>
        <v>4610000000</v>
      </c>
      <c r="G84" s="4" t="str">
        <f>HYPERLINK("http://141.218.60.56/~jnz1568/getInfo.php?workbook=10_05.xlsx&amp;sheet=A0&amp;row=84&amp;col=7&amp;number=0&amp;sourceID=14","0")</f>
        <v>0</v>
      </c>
    </row>
    <row r="85" spans="1:7">
      <c r="A85" s="3">
        <v>10</v>
      </c>
      <c r="B85" s="3">
        <v>5</v>
      </c>
      <c r="C85" s="3">
        <v>60</v>
      </c>
      <c r="D85" s="3">
        <v>2</v>
      </c>
      <c r="E85" s="3">
        <v>101.54</v>
      </c>
      <c r="F85" s="4" t="str">
        <f>HYPERLINK("http://141.218.60.56/~jnz1568/getInfo.php?workbook=10_05.xlsx&amp;sheet=A0&amp;row=85&amp;col=6&amp;number=9010000000&amp;sourceID=14","9010000000")</f>
        <v>9010000000</v>
      </c>
      <c r="G85" s="4" t="str">
        <f>HYPERLINK("http://141.218.60.56/~jnz1568/getInfo.php?workbook=10_05.xlsx&amp;sheet=A0&amp;row=85&amp;col=7&amp;number=0&amp;sourceID=14","0")</f>
        <v>0</v>
      </c>
    </row>
    <row r="86" spans="1:7">
      <c r="A86" s="3">
        <v>10</v>
      </c>
      <c r="B86" s="3">
        <v>5</v>
      </c>
      <c r="C86" s="3">
        <v>61</v>
      </c>
      <c r="D86" s="3">
        <v>2</v>
      </c>
      <c r="E86" s="3">
        <v>101.385</v>
      </c>
      <c r="F86" s="4" t="str">
        <f>HYPERLINK("http://141.218.60.56/~jnz1568/getInfo.php?workbook=10_05.xlsx&amp;sheet=A0&amp;row=86&amp;col=6&amp;number=6060000000&amp;sourceID=14","6060000000")</f>
        <v>6060000000</v>
      </c>
      <c r="G86" s="4" t="str">
        <f>HYPERLINK("http://141.218.60.56/~jnz1568/getInfo.php?workbook=10_05.xlsx&amp;sheet=A0&amp;row=86&amp;col=7&amp;number=0&amp;sourceID=14","0")</f>
        <v>0</v>
      </c>
    </row>
    <row r="87" spans="1:7">
      <c r="A87" s="3">
        <v>10</v>
      </c>
      <c r="B87" s="3">
        <v>5</v>
      </c>
      <c r="C87" s="3">
        <v>62</v>
      </c>
      <c r="D87" s="3">
        <v>2</v>
      </c>
      <c r="E87" s="3">
        <v>101.354</v>
      </c>
      <c r="F87" s="4" t="str">
        <f>HYPERLINK("http://141.218.60.56/~jnz1568/getInfo.php?workbook=10_05.xlsx&amp;sheet=A0&amp;row=87&amp;col=6&amp;number=11900000000&amp;sourceID=14","11900000000")</f>
        <v>11900000000</v>
      </c>
      <c r="G87" s="4" t="str">
        <f>HYPERLINK("http://141.218.60.56/~jnz1568/getInfo.php?workbook=10_05.xlsx&amp;sheet=A0&amp;row=87&amp;col=7&amp;number=0&amp;sourceID=14","0")</f>
        <v>0</v>
      </c>
    </row>
    <row r="88" spans="1:7">
      <c r="A88" s="3">
        <v>10</v>
      </c>
      <c r="B88" s="3">
        <v>5</v>
      </c>
      <c r="C88" s="3">
        <v>63</v>
      </c>
      <c r="D88" s="3">
        <v>2</v>
      </c>
      <c r="E88" s="3">
        <v>100.736</v>
      </c>
      <c r="F88" s="4" t="str">
        <f>HYPERLINK("http://141.218.60.56/~jnz1568/getInfo.php?workbook=10_05.xlsx&amp;sheet=A0&amp;row=88&amp;col=6&amp;number=2990000000&amp;sourceID=14","2990000000")</f>
        <v>2990000000</v>
      </c>
      <c r="G88" s="4" t="str">
        <f>HYPERLINK("http://141.218.60.56/~jnz1568/getInfo.php?workbook=10_05.xlsx&amp;sheet=A0&amp;row=88&amp;col=7&amp;number=0&amp;sourceID=14","0")</f>
        <v>0</v>
      </c>
    </row>
    <row r="89" spans="1:7">
      <c r="A89" s="3">
        <v>10</v>
      </c>
      <c r="B89" s="3">
        <v>5</v>
      </c>
      <c r="C89" s="3">
        <v>66</v>
      </c>
      <c r="D89" s="3">
        <v>2</v>
      </c>
      <c r="E89" s="3">
        <v>98.257</v>
      </c>
      <c r="F89" s="4" t="str">
        <f>HYPERLINK("http://141.218.60.56/~jnz1568/getInfo.php?workbook=10_05.xlsx&amp;sheet=A0&amp;row=89&amp;col=6&amp;number=8470000000&amp;sourceID=14","8470000000")</f>
        <v>8470000000</v>
      </c>
      <c r="G89" s="4" t="str">
        <f>HYPERLINK("http://141.218.60.56/~jnz1568/getInfo.php?workbook=10_05.xlsx&amp;sheet=A0&amp;row=89&amp;col=7&amp;number=0&amp;sourceID=14","0")</f>
        <v>0</v>
      </c>
    </row>
    <row r="90" spans="1:7">
      <c r="A90" s="3">
        <v>10</v>
      </c>
      <c r="B90" s="3">
        <v>5</v>
      </c>
      <c r="C90" s="3">
        <v>67</v>
      </c>
      <c r="D90" s="3">
        <v>2</v>
      </c>
      <c r="E90" s="3">
        <v>98.257</v>
      </c>
      <c r="F90" s="4" t="str">
        <f>HYPERLINK("http://141.218.60.56/~jnz1568/getInfo.php?workbook=10_05.xlsx&amp;sheet=A0&amp;row=90&amp;col=6&amp;number=50900000000&amp;sourceID=14","50900000000")</f>
        <v>50900000000</v>
      </c>
      <c r="G90" s="4" t="str">
        <f>HYPERLINK("http://141.218.60.56/~jnz1568/getInfo.php?workbook=10_05.xlsx&amp;sheet=A0&amp;row=90&amp;col=7&amp;number=0&amp;sourceID=14","0")</f>
        <v>0</v>
      </c>
    </row>
    <row r="91" spans="1:7">
      <c r="A91" s="3">
        <v>10</v>
      </c>
      <c r="B91" s="3">
        <v>5</v>
      </c>
      <c r="C91" s="3">
        <v>70</v>
      </c>
      <c r="D91" s="3">
        <v>2</v>
      </c>
      <c r="E91" s="3">
        <v>97.855</v>
      </c>
      <c r="F91" s="4" t="str">
        <f>HYPERLINK("http://141.218.60.56/~jnz1568/getInfo.php?workbook=10_05.xlsx&amp;sheet=A0&amp;row=91&amp;col=6&amp;number=695000&amp;sourceID=14","695000")</f>
        <v>695000</v>
      </c>
      <c r="G91" s="4" t="str">
        <f>HYPERLINK("http://141.218.60.56/~jnz1568/getInfo.php?workbook=10_05.xlsx&amp;sheet=A0&amp;row=91&amp;col=7&amp;number=0&amp;sourceID=14","0")</f>
        <v>0</v>
      </c>
    </row>
    <row r="92" spans="1:7">
      <c r="A92" s="3">
        <v>10</v>
      </c>
      <c r="B92" s="3">
        <v>5</v>
      </c>
      <c r="C92" s="3">
        <v>71</v>
      </c>
      <c r="D92" s="3">
        <v>2</v>
      </c>
      <c r="E92" s="3">
        <v>97.855</v>
      </c>
      <c r="F92" s="4" t="str">
        <f>HYPERLINK("http://141.218.60.56/~jnz1568/getInfo.php?workbook=10_05.xlsx&amp;sheet=A0&amp;row=92&amp;col=6&amp;number=1030000&amp;sourceID=14","1030000")</f>
        <v>1030000</v>
      </c>
      <c r="G92" s="4" t="str">
        <f>HYPERLINK("http://141.218.60.56/~jnz1568/getInfo.php?workbook=10_05.xlsx&amp;sheet=A0&amp;row=92&amp;col=7&amp;number=0&amp;sourceID=14","0")</f>
        <v>0</v>
      </c>
    </row>
    <row r="93" spans="1:7">
      <c r="A93" s="3">
        <v>10</v>
      </c>
      <c r="B93" s="3">
        <v>5</v>
      </c>
      <c r="C93" s="3">
        <v>72</v>
      </c>
      <c r="D93" s="3">
        <v>2</v>
      </c>
      <c r="E93" s="3">
        <v>97.855</v>
      </c>
      <c r="F93" s="4" t="str">
        <f>HYPERLINK("http://141.218.60.56/~jnz1568/getInfo.php?workbook=10_05.xlsx&amp;sheet=A0&amp;row=93&amp;col=6&amp;number=281000&amp;sourceID=14","281000")</f>
        <v>281000</v>
      </c>
      <c r="G93" s="4" t="str">
        <f>HYPERLINK("http://141.218.60.56/~jnz1568/getInfo.php?workbook=10_05.xlsx&amp;sheet=A0&amp;row=93&amp;col=7&amp;number=0&amp;sourceID=14","0")</f>
        <v>0</v>
      </c>
    </row>
    <row r="94" spans="1:7">
      <c r="A94" s="3">
        <v>10</v>
      </c>
      <c r="B94" s="3">
        <v>5</v>
      </c>
      <c r="C94" s="3">
        <v>77</v>
      </c>
      <c r="D94" s="3">
        <v>2</v>
      </c>
      <c r="E94" s="3">
        <v>-95.579</v>
      </c>
      <c r="F94" s="4" t="str">
        <f>HYPERLINK("http://141.218.60.56/~jnz1568/getInfo.php?workbook=10_05.xlsx&amp;sheet=A0&amp;row=94&amp;col=6&amp;number=129000000&amp;sourceID=14","129000000")</f>
        <v>129000000</v>
      </c>
      <c r="G94" s="4" t="str">
        <f>HYPERLINK("http://141.218.60.56/~jnz1568/getInfo.php?workbook=10_05.xlsx&amp;sheet=A0&amp;row=94&amp;col=7&amp;number=0&amp;sourceID=14","0")</f>
        <v>0</v>
      </c>
    </row>
    <row r="95" spans="1:7">
      <c r="A95" s="3">
        <v>10</v>
      </c>
      <c r="B95" s="3">
        <v>5</v>
      </c>
      <c r="C95" s="3">
        <v>78</v>
      </c>
      <c r="D95" s="3">
        <v>2</v>
      </c>
      <c r="E95" s="3">
        <v>-95.503</v>
      </c>
      <c r="F95" s="4" t="str">
        <f>HYPERLINK("http://141.218.60.56/~jnz1568/getInfo.php?workbook=10_05.xlsx&amp;sheet=A0&amp;row=95&amp;col=6&amp;number=302000000&amp;sourceID=14","302000000")</f>
        <v>302000000</v>
      </c>
      <c r="G95" s="4" t="str">
        <f>HYPERLINK("http://141.218.60.56/~jnz1568/getInfo.php?workbook=10_05.xlsx&amp;sheet=A0&amp;row=95&amp;col=7&amp;number=0&amp;sourceID=14","0")</f>
        <v>0</v>
      </c>
    </row>
    <row r="96" spans="1:7">
      <c r="A96" s="3">
        <v>10</v>
      </c>
      <c r="B96" s="3">
        <v>5</v>
      </c>
      <c r="C96" s="3">
        <v>80</v>
      </c>
      <c r="D96" s="3">
        <v>2</v>
      </c>
      <c r="E96" s="3">
        <v>94.794</v>
      </c>
      <c r="F96" s="4" t="str">
        <f>HYPERLINK("http://141.218.60.56/~jnz1568/getInfo.php?workbook=10_05.xlsx&amp;sheet=A0&amp;row=96&amp;col=6&amp;number=881000&amp;sourceID=14","881000")</f>
        <v>881000</v>
      </c>
      <c r="G96" s="4" t="str">
        <f>HYPERLINK("http://141.218.60.56/~jnz1568/getInfo.php?workbook=10_05.xlsx&amp;sheet=A0&amp;row=96&amp;col=7&amp;number=0&amp;sourceID=14","0")</f>
        <v>0</v>
      </c>
    </row>
    <row r="97" spans="1:7">
      <c r="A97" s="3">
        <v>10</v>
      </c>
      <c r="B97" s="3">
        <v>5</v>
      </c>
      <c r="C97" s="3">
        <v>81</v>
      </c>
      <c r="D97" s="3">
        <v>2</v>
      </c>
      <c r="E97" s="3">
        <v>94.794</v>
      </c>
      <c r="F97" s="4" t="str">
        <f>HYPERLINK("http://141.218.60.56/~jnz1568/getInfo.php?workbook=10_05.xlsx&amp;sheet=A0&amp;row=97&amp;col=6&amp;number=6880000&amp;sourceID=14","6880000")</f>
        <v>6880000</v>
      </c>
      <c r="G97" s="4" t="str">
        <f>HYPERLINK("http://141.218.60.56/~jnz1568/getInfo.php?workbook=10_05.xlsx&amp;sheet=A0&amp;row=97&amp;col=7&amp;number=0&amp;sourceID=14","0")</f>
        <v>0</v>
      </c>
    </row>
    <row r="98" spans="1:7">
      <c r="A98" s="3">
        <v>10</v>
      </c>
      <c r="B98" s="3">
        <v>5</v>
      </c>
      <c r="C98" s="3">
        <v>99</v>
      </c>
      <c r="D98" s="3">
        <v>2</v>
      </c>
      <c r="E98" s="3">
        <v>-91.054</v>
      </c>
      <c r="F98" s="4" t="str">
        <f>HYPERLINK("http://141.218.60.56/~jnz1568/getInfo.php?workbook=10_05.xlsx&amp;sheet=A0&amp;row=98&amp;col=6&amp;number=93400&amp;sourceID=14","93400")</f>
        <v>93400</v>
      </c>
      <c r="G98" s="4" t="str">
        <f>HYPERLINK("http://141.218.60.56/~jnz1568/getInfo.php?workbook=10_05.xlsx&amp;sheet=A0&amp;row=98&amp;col=7&amp;number=0&amp;sourceID=14","0")</f>
        <v>0</v>
      </c>
    </row>
    <row r="99" spans="1:7">
      <c r="A99" s="3">
        <v>10</v>
      </c>
      <c r="B99" s="3">
        <v>5</v>
      </c>
      <c r="C99" s="3">
        <v>100</v>
      </c>
      <c r="D99" s="3">
        <v>2</v>
      </c>
      <c r="E99" s="3">
        <v>-91.032</v>
      </c>
      <c r="F99" s="4" t="str">
        <f>HYPERLINK("http://141.218.60.56/~jnz1568/getInfo.php?workbook=10_05.xlsx&amp;sheet=A0&amp;row=99&amp;col=6&amp;number=628000&amp;sourceID=14","628000")</f>
        <v>628000</v>
      </c>
      <c r="G99" s="4" t="str">
        <f>HYPERLINK("http://141.218.60.56/~jnz1568/getInfo.php?workbook=10_05.xlsx&amp;sheet=A0&amp;row=99&amp;col=7&amp;number=0&amp;sourceID=14","0")</f>
        <v>0</v>
      </c>
    </row>
    <row r="100" spans="1:7">
      <c r="A100" s="3">
        <v>10</v>
      </c>
      <c r="B100" s="3">
        <v>5</v>
      </c>
      <c r="C100" s="3">
        <v>105</v>
      </c>
      <c r="D100" s="3">
        <v>2</v>
      </c>
      <c r="E100" s="3">
        <v>-90.561</v>
      </c>
      <c r="F100" s="4" t="str">
        <f>HYPERLINK("http://141.218.60.56/~jnz1568/getInfo.php?workbook=10_05.xlsx&amp;sheet=A0&amp;row=100&amp;col=6&amp;number=145000000&amp;sourceID=14","145000000")</f>
        <v>145000000</v>
      </c>
      <c r="G100" s="4" t="str">
        <f>HYPERLINK("http://141.218.60.56/~jnz1568/getInfo.php?workbook=10_05.xlsx&amp;sheet=A0&amp;row=100&amp;col=7&amp;number=0&amp;sourceID=14","0")</f>
        <v>0</v>
      </c>
    </row>
    <row r="101" spans="1:7">
      <c r="A101" s="3">
        <v>10</v>
      </c>
      <c r="B101" s="3">
        <v>5</v>
      </c>
      <c r="C101" s="3">
        <v>106</v>
      </c>
      <c r="D101" s="3">
        <v>2</v>
      </c>
      <c r="E101" s="3">
        <v>-90.55</v>
      </c>
      <c r="F101" s="4" t="str">
        <f>HYPERLINK("http://141.218.60.56/~jnz1568/getInfo.php?workbook=10_05.xlsx&amp;sheet=A0&amp;row=101&amp;col=6&amp;number=543000000&amp;sourceID=14","543000000")</f>
        <v>543000000</v>
      </c>
      <c r="G101" s="4" t="str">
        <f>HYPERLINK("http://141.218.60.56/~jnz1568/getInfo.php?workbook=10_05.xlsx&amp;sheet=A0&amp;row=101&amp;col=7&amp;number=0&amp;sourceID=14","0")</f>
        <v>0</v>
      </c>
    </row>
    <row r="102" spans="1:7">
      <c r="A102" s="3">
        <v>10</v>
      </c>
      <c r="B102" s="3">
        <v>5</v>
      </c>
      <c r="C102" s="3">
        <v>107</v>
      </c>
      <c r="D102" s="3">
        <v>2</v>
      </c>
      <c r="E102" s="3">
        <v>-90.527</v>
      </c>
      <c r="F102" s="4" t="str">
        <f>HYPERLINK("http://141.218.60.56/~jnz1568/getInfo.php?workbook=10_05.xlsx&amp;sheet=A0&amp;row=102&amp;col=6&amp;number=105000&amp;sourceID=14","105000")</f>
        <v>105000</v>
      </c>
      <c r="G102" s="4" t="str">
        <f>HYPERLINK("http://141.218.60.56/~jnz1568/getInfo.php?workbook=10_05.xlsx&amp;sheet=A0&amp;row=102&amp;col=7&amp;number=0&amp;sourceID=14","0")</f>
        <v>0</v>
      </c>
    </row>
    <row r="103" spans="1:7">
      <c r="A103" s="3">
        <v>10</v>
      </c>
      <c r="B103" s="3">
        <v>5</v>
      </c>
      <c r="C103" s="3">
        <v>109</v>
      </c>
      <c r="D103" s="3">
        <v>2</v>
      </c>
      <c r="E103" s="3">
        <v>-90.47</v>
      </c>
      <c r="F103" s="4" t="str">
        <f>HYPERLINK("http://141.218.60.56/~jnz1568/getInfo.php?workbook=10_05.xlsx&amp;sheet=A0&amp;row=103&amp;col=6&amp;number=6170000000&amp;sourceID=14","6170000000")</f>
        <v>6170000000</v>
      </c>
      <c r="G103" s="4" t="str">
        <f>HYPERLINK("http://141.218.60.56/~jnz1568/getInfo.php?workbook=10_05.xlsx&amp;sheet=A0&amp;row=103&amp;col=7&amp;number=0&amp;sourceID=14","0")</f>
        <v>0</v>
      </c>
    </row>
    <row r="104" spans="1:7">
      <c r="A104" s="3">
        <v>10</v>
      </c>
      <c r="B104" s="3">
        <v>5</v>
      </c>
      <c r="C104" s="3">
        <v>111</v>
      </c>
      <c r="D104" s="3">
        <v>2</v>
      </c>
      <c r="E104" s="3">
        <v>-90.421</v>
      </c>
      <c r="F104" s="4" t="str">
        <f>HYPERLINK("http://141.218.60.56/~jnz1568/getInfo.php?workbook=10_05.xlsx&amp;sheet=A0&amp;row=104&amp;col=6&amp;number=2750000000&amp;sourceID=14","2750000000")</f>
        <v>2750000000</v>
      </c>
      <c r="G104" s="4" t="str">
        <f>HYPERLINK("http://141.218.60.56/~jnz1568/getInfo.php?workbook=10_05.xlsx&amp;sheet=A0&amp;row=104&amp;col=7&amp;number=0&amp;sourceID=14","0")</f>
        <v>0</v>
      </c>
    </row>
    <row r="105" spans="1:7">
      <c r="A105" s="3">
        <v>10</v>
      </c>
      <c r="B105" s="3">
        <v>5</v>
      </c>
      <c r="C105" s="3">
        <v>115</v>
      </c>
      <c r="D105" s="3">
        <v>2</v>
      </c>
      <c r="E105" s="3">
        <v>-89.862</v>
      </c>
      <c r="F105" s="4" t="str">
        <f>HYPERLINK("http://141.218.60.56/~jnz1568/getInfo.php?workbook=10_05.xlsx&amp;sheet=A0&amp;row=105&amp;col=6&amp;number=632&amp;sourceID=14","632")</f>
        <v>632</v>
      </c>
      <c r="G105" s="4" t="str">
        <f>HYPERLINK("http://141.218.60.56/~jnz1568/getInfo.php?workbook=10_05.xlsx&amp;sheet=A0&amp;row=105&amp;col=7&amp;number=0&amp;sourceID=14","0")</f>
        <v>0</v>
      </c>
    </row>
    <row r="106" spans="1:7">
      <c r="A106" s="3">
        <v>10</v>
      </c>
      <c r="B106" s="3">
        <v>5</v>
      </c>
      <c r="C106" s="3">
        <v>117</v>
      </c>
      <c r="D106" s="3">
        <v>2</v>
      </c>
      <c r="E106" s="3">
        <v>-89.772</v>
      </c>
      <c r="F106" s="4" t="str">
        <f>HYPERLINK("http://141.218.60.56/~jnz1568/getInfo.php?workbook=10_05.xlsx&amp;sheet=A0&amp;row=106&amp;col=6&amp;number=10400000&amp;sourceID=14","10400000")</f>
        <v>10400000</v>
      </c>
      <c r="G106" s="4" t="str">
        <f>HYPERLINK("http://141.218.60.56/~jnz1568/getInfo.php?workbook=10_05.xlsx&amp;sheet=A0&amp;row=106&amp;col=7&amp;number=0&amp;sourceID=14","0")</f>
        <v>0</v>
      </c>
    </row>
    <row r="107" spans="1:7">
      <c r="A107" s="3">
        <v>10</v>
      </c>
      <c r="B107" s="3">
        <v>5</v>
      </c>
      <c r="C107" s="3">
        <v>118</v>
      </c>
      <c r="D107" s="3">
        <v>2</v>
      </c>
      <c r="E107" s="3">
        <v>-89.765</v>
      </c>
      <c r="F107" s="4" t="str">
        <f>HYPERLINK("http://141.218.60.56/~jnz1568/getInfo.php?workbook=10_05.xlsx&amp;sheet=A0&amp;row=107&amp;col=6&amp;number=1560000&amp;sourceID=14","1560000")</f>
        <v>1560000</v>
      </c>
      <c r="G107" s="4" t="str">
        <f>HYPERLINK("http://141.218.60.56/~jnz1568/getInfo.php?workbook=10_05.xlsx&amp;sheet=A0&amp;row=107&amp;col=7&amp;number=0&amp;sourceID=14","0")</f>
        <v>0</v>
      </c>
    </row>
    <row r="108" spans="1:7">
      <c r="A108" s="3">
        <v>10</v>
      </c>
      <c r="B108" s="3">
        <v>5</v>
      </c>
      <c r="C108" s="3">
        <v>119</v>
      </c>
      <c r="D108" s="3">
        <v>2</v>
      </c>
      <c r="E108" s="3">
        <v>-89.761</v>
      </c>
      <c r="F108" s="4" t="str">
        <f>HYPERLINK("http://141.218.60.56/~jnz1568/getInfo.php?workbook=10_05.xlsx&amp;sheet=A0&amp;row=108&amp;col=6&amp;number=2540000&amp;sourceID=14","2540000")</f>
        <v>2540000</v>
      </c>
      <c r="G108" s="4" t="str">
        <f>HYPERLINK("http://141.218.60.56/~jnz1568/getInfo.php?workbook=10_05.xlsx&amp;sheet=A0&amp;row=108&amp;col=7&amp;number=0&amp;sourceID=14","0")</f>
        <v>0</v>
      </c>
    </row>
    <row r="109" spans="1:7">
      <c r="A109" s="3">
        <v>10</v>
      </c>
      <c r="B109" s="3">
        <v>5</v>
      </c>
      <c r="C109" s="3">
        <v>120</v>
      </c>
      <c r="D109" s="3">
        <v>2</v>
      </c>
      <c r="E109" s="3">
        <v>-89.507</v>
      </c>
      <c r="F109" s="4" t="str">
        <f>HYPERLINK("http://141.218.60.56/~jnz1568/getInfo.php?workbook=10_05.xlsx&amp;sheet=A0&amp;row=109&amp;col=6&amp;number=133000000&amp;sourceID=14","133000000")</f>
        <v>133000000</v>
      </c>
      <c r="G109" s="4" t="str">
        <f>HYPERLINK("http://141.218.60.56/~jnz1568/getInfo.php?workbook=10_05.xlsx&amp;sheet=A0&amp;row=109&amp;col=7&amp;number=0&amp;sourceID=14","0")</f>
        <v>0</v>
      </c>
    </row>
    <row r="110" spans="1:7">
      <c r="A110" s="3">
        <v>10</v>
      </c>
      <c r="B110" s="3">
        <v>5</v>
      </c>
      <c r="C110" s="3">
        <v>121</v>
      </c>
      <c r="D110" s="3">
        <v>2</v>
      </c>
      <c r="E110" s="3">
        <v>-89.489</v>
      </c>
      <c r="F110" s="4" t="str">
        <f>HYPERLINK("http://141.218.60.56/~jnz1568/getInfo.php?workbook=10_05.xlsx&amp;sheet=A0&amp;row=110&amp;col=6&amp;number=213000000&amp;sourceID=14","213000000")</f>
        <v>213000000</v>
      </c>
      <c r="G110" s="4" t="str">
        <f>HYPERLINK("http://141.218.60.56/~jnz1568/getInfo.php?workbook=10_05.xlsx&amp;sheet=A0&amp;row=110&amp;col=7&amp;number=0&amp;sourceID=14","0")</f>
        <v>0</v>
      </c>
    </row>
    <row r="111" spans="1:7">
      <c r="A111" s="3">
        <v>10</v>
      </c>
      <c r="B111" s="3">
        <v>5</v>
      </c>
      <c r="C111" s="3">
        <v>122</v>
      </c>
      <c r="D111" s="3">
        <v>2</v>
      </c>
      <c r="E111" s="3">
        <v>-89.46</v>
      </c>
      <c r="F111" s="4" t="str">
        <f>HYPERLINK("http://141.218.60.56/~jnz1568/getInfo.php?workbook=10_05.xlsx&amp;sheet=A0&amp;row=111&amp;col=6&amp;number=32200000&amp;sourceID=14","32200000")</f>
        <v>32200000</v>
      </c>
      <c r="G111" s="4" t="str">
        <f>HYPERLINK("http://141.218.60.56/~jnz1568/getInfo.php?workbook=10_05.xlsx&amp;sheet=A0&amp;row=111&amp;col=7&amp;number=0&amp;sourceID=14","0")</f>
        <v>0</v>
      </c>
    </row>
    <row r="112" spans="1:7">
      <c r="A112" s="3">
        <v>10</v>
      </c>
      <c r="B112" s="3">
        <v>5</v>
      </c>
      <c r="C112" s="3">
        <v>123</v>
      </c>
      <c r="D112" s="3">
        <v>2</v>
      </c>
      <c r="E112" s="3">
        <v>-89.436</v>
      </c>
      <c r="F112" s="4" t="str">
        <f>HYPERLINK("http://141.218.60.56/~jnz1568/getInfo.php?workbook=10_05.xlsx&amp;sheet=A0&amp;row=112&amp;col=6&amp;number=414000000&amp;sourceID=14","414000000")</f>
        <v>414000000</v>
      </c>
      <c r="G112" s="4" t="str">
        <f>HYPERLINK("http://141.218.60.56/~jnz1568/getInfo.php?workbook=10_05.xlsx&amp;sheet=A0&amp;row=112&amp;col=7&amp;number=0&amp;sourceID=14","0")</f>
        <v>0</v>
      </c>
    </row>
    <row r="113" spans="1:7">
      <c r="A113" s="3">
        <v>10</v>
      </c>
      <c r="B113" s="3">
        <v>5</v>
      </c>
      <c r="C113" s="3">
        <v>125</v>
      </c>
      <c r="D113" s="3">
        <v>2</v>
      </c>
      <c r="E113" s="3">
        <v>-89.346</v>
      </c>
      <c r="F113" s="4" t="str">
        <f>HYPERLINK("http://141.218.60.56/~jnz1568/getInfo.php?workbook=10_05.xlsx&amp;sheet=A0&amp;row=113&amp;col=6&amp;number=5190000000&amp;sourceID=14","5190000000")</f>
        <v>5190000000</v>
      </c>
      <c r="G113" s="4" t="str">
        <f>HYPERLINK("http://141.218.60.56/~jnz1568/getInfo.php?workbook=10_05.xlsx&amp;sheet=A0&amp;row=113&amp;col=7&amp;number=0&amp;sourceID=14","0")</f>
        <v>0</v>
      </c>
    </row>
    <row r="114" spans="1:7">
      <c r="A114" s="3">
        <v>10</v>
      </c>
      <c r="B114" s="3">
        <v>5</v>
      </c>
      <c r="C114" s="3">
        <v>126</v>
      </c>
      <c r="D114" s="3">
        <v>2</v>
      </c>
      <c r="E114" s="3">
        <v>-89.324</v>
      </c>
      <c r="F114" s="4" t="str">
        <f>HYPERLINK("http://141.218.60.56/~jnz1568/getInfo.php?workbook=10_05.xlsx&amp;sheet=A0&amp;row=114&amp;col=6&amp;number=13300000000&amp;sourceID=14","13300000000")</f>
        <v>13300000000</v>
      </c>
      <c r="G114" s="4" t="str">
        <f>HYPERLINK("http://141.218.60.56/~jnz1568/getInfo.php?workbook=10_05.xlsx&amp;sheet=A0&amp;row=114&amp;col=7&amp;number=0&amp;sourceID=14","0")</f>
        <v>0</v>
      </c>
    </row>
    <row r="115" spans="1:7">
      <c r="A115" s="3">
        <v>10</v>
      </c>
      <c r="B115" s="3">
        <v>5</v>
      </c>
      <c r="C115" s="3">
        <v>129</v>
      </c>
      <c r="D115" s="3">
        <v>2</v>
      </c>
      <c r="E115" s="3">
        <v>89.1</v>
      </c>
      <c r="F115" s="4" t="str">
        <f>HYPERLINK("http://141.218.60.56/~jnz1568/getInfo.php?workbook=10_05.xlsx&amp;sheet=A0&amp;row=115&amp;col=6&amp;number=6630000000&amp;sourceID=14","6630000000")</f>
        <v>6630000000</v>
      </c>
      <c r="G115" s="4" t="str">
        <f>HYPERLINK("http://141.218.60.56/~jnz1568/getInfo.php?workbook=10_05.xlsx&amp;sheet=A0&amp;row=115&amp;col=7&amp;number=0&amp;sourceID=14","0")</f>
        <v>0</v>
      </c>
    </row>
    <row r="116" spans="1:7">
      <c r="A116" s="3">
        <v>10</v>
      </c>
      <c r="B116" s="3">
        <v>5</v>
      </c>
      <c r="C116" s="3">
        <v>130</v>
      </c>
      <c r="D116" s="3">
        <v>2</v>
      </c>
      <c r="E116" s="3">
        <v>89.1</v>
      </c>
      <c r="F116" s="4" t="str">
        <f>HYPERLINK("http://141.218.60.56/~jnz1568/getInfo.php?workbook=10_05.xlsx&amp;sheet=A0&amp;row=116&amp;col=6&amp;number=23100000000&amp;sourceID=14","23100000000")</f>
        <v>23100000000</v>
      </c>
      <c r="G116" s="4" t="str">
        <f>HYPERLINK("http://141.218.60.56/~jnz1568/getInfo.php?workbook=10_05.xlsx&amp;sheet=A0&amp;row=116&amp;col=7&amp;number=0&amp;sourceID=14","0")</f>
        <v>0</v>
      </c>
    </row>
    <row r="117" spans="1:7">
      <c r="A117" s="3">
        <v>10</v>
      </c>
      <c r="B117" s="3">
        <v>5</v>
      </c>
      <c r="C117" s="3">
        <v>131</v>
      </c>
      <c r="D117" s="3">
        <v>2</v>
      </c>
      <c r="E117" s="3">
        <v>-89.057</v>
      </c>
      <c r="F117" s="4" t="str">
        <f>HYPERLINK("http://141.218.60.56/~jnz1568/getInfo.php?workbook=10_05.xlsx&amp;sheet=A0&amp;row=117&amp;col=6&amp;number=13200000&amp;sourceID=14","13200000")</f>
        <v>13200000</v>
      </c>
      <c r="G117" s="4" t="str">
        <f>HYPERLINK("http://141.218.60.56/~jnz1568/getInfo.php?workbook=10_05.xlsx&amp;sheet=A0&amp;row=117&amp;col=7&amp;number=0&amp;sourceID=14","0")</f>
        <v>0</v>
      </c>
    </row>
    <row r="118" spans="1:7">
      <c r="A118" s="3">
        <v>10</v>
      </c>
      <c r="B118" s="3">
        <v>5</v>
      </c>
      <c r="C118" s="3">
        <v>132</v>
      </c>
      <c r="D118" s="3">
        <v>2</v>
      </c>
      <c r="E118" s="3">
        <v>-89.045</v>
      </c>
      <c r="F118" s="4" t="str">
        <f>HYPERLINK("http://141.218.60.56/~jnz1568/getInfo.php?workbook=10_05.xlsx&amp;sheet=A0&amp;row=118&amp;col=6&amp;number=1600&amp;sourceID=14","1600")</f>
        <v>1600</v>
      </c>
      <c r="G118" s="4" t="str">
        <f>HYPERLINK("http://141.218.60.56/~jnz1568/getInfo.php?workbook=10_05.xlsx&amp;sheet=A0&amp;row=118&amp;col=7&amp;number=0&amp;sourceID=14","0")</f>
        <v>0</v>
      </c>
    </row>
    <row r="119" spans="1:7">
      <c r="A119" s="3">
        <v>10</v>
      </c>
      <c r="B119" s="3">
        <v>5</v>
      </c>
      <c r="C119" s="3">
        <v>133</v>
      </c>
      <c r="D119" s="3">
        <v>2</v>
      </c>
      <c r="E119" s="3">
        <v>-89.028</v>
      </c>
      <c r="F119" s="4" t="str">
        <f>HYPERLINK("http://141.218.60.56/~jnz1568/getInfo.php?workbook=10_05.xlsx&amp;sheet=A0&amp;row=119&amp;col=6&amp;number=5250000000&amp;sourceID=14","5250000000")</f>
        <v>5250000000</v>
      </c>
      <c r="G119" s="4" t="str">
        <f>HYPERLINK("http://141.218.60.56/~jnz1568/getInfo.php?workbook=10_05.xlsx&amp;sheet=A0&amp;row=119&amp;col=7&amp;number=0&amp;sourceID=14","0")</f>
        <v>0</v>
      </c>
    </row>
    <row r="120" spans="1:7">
      <c r="A120" s="3">
        <v>10</v>
      </c>
      <c r="B120" s="3">
        <v>5</v>
      </c>
      <c r="C120" s="3">
        <v>140</v>
      </c>
      <c r="D120" s="3">
        <v>2</v>
      </c>
      <c r="E120" s="3">
        <v>-88.647</v>
      </c>
      <c r="F120" s="4" t="str">
        <f>HYPERLINK("http://141.218.60.56/~jnz1568/getInfo.php?workbook=10_05.xlsx&amp;sheet=A0&amp;row=120&amp;col=6&amp;number=10900000000&amp;sourceID=14","10900000000")</f>
        <v>10900000000</v>
      </c>
      <c r="G120" s="4" t="str">
        <f>HYPERLINK("http://141.218.60.56/~jnz1568/getInfo.php?workbook=10_05.xlsx&amp;sheet=A0&amp;row=120&amp;col=7&amp;number=0&amp;sourceID=14","0")</f>
        <v>0</v>
      </c>
    </row>
    <row r="121" spans="1:7">
      <c r="A121" s="3">
        <v>10</v>
      </c>
      <c r="B121" s="3">
        <v>5</v>
      </c>
      <c r="C121" s="3">
        <v>150</v>
      </c>
      <c r="D121" s="3">
        <v>2</v>
      </c>
      <c r="E121" s="3">
        <v>-88.105</v>
      </c>
      <c r="F121" s="4" t="str">
        <f>HYPERLINK("http://141.218.60.56/~jnz1568/getInfo.php?workbook=10_05.xlsx&amp;sheet=A0&amp;row=121&amp;col=6&amp;number=174000000&amp;sourceID=14","174000000")</f>
        <v>174000000</v>
      </c>
      <c r="G121" s="4" t="str">
        <f>HYPERLINK("http://141.218.60.56/~jnz1568/getInfo.php?workbook=10_05.xlsx&amp;sheet=A0&amp;row=121&amp;col=7&amp;number=0&amp;sourceID=14","0")</f>
        <v>0</v>
      </c>
    </row>
    <row r="122" spans="1:7">
      <c r="A122" s="3">
        <v>10</v>
      </c>
      <c r="B122" s="3">
        <v>5</v>
      </c>
      <c r="C122" s="3">
        <v>151</v>
      </c>
      <c r="D122" s="3">
        <v>2</v>
      </c>
      <c r="E122" s="3">
        <v>-88.103</v>
      </c>
      <c r="F122" s="4" t="str">
        <f>HYPERLINK("http://141.218.60.56/~jnz1568/getInfo.php?workbook=10_05.xlsx&amp;sheet=A0&amp;row=122&amp;col=6&amp;number=467000000&amp;sourceID=14","467000000")</f>
        <v>467000000</v>
      </c>
      <c r="G122" s="4" t="str">
        <f>HYPERLINK("http://141.218.60.56/~jnz1568/getInfo.php?workbook=10_05.xlsx&amp;sheet=A0&amp;row=122&amp;col=7&amp;number=0&amp;sourceID=14","0")</f>
        <v>0</v>
      </c>
    </row>
    <row r="123" spans="1:7">
      <c r="A123" s="3">
        <v>10</v>
      </c>
      <c r="B123" s="3">
        <v>5</v>
      </c>
      <c r="C123" s="3">
        <v>155</v>
      </c>
      <c r="D123" s="3">
        <v>2</v>
      </c>
      <c r="E123" s="3">
        <v>87.85</v>
      </c>
      <c r="F123" s="4" t="str">
        <f>HYPERLINK("http://141.218.60.56/~jnz1568/getInfo.php?workbook=10_05.xlsx&amp;sheet=A0&amp;row=123&amp;col=6&amp;number=616000000&amp;sourceID=14","616000000")</f>
        <v>616000000</v>
      </c>
      <c r="G123" s="4" t="str">
        <f>HYPERLINK("http://141.218.60.56/~jnz1568/getInfo.php?workbook=10_05.xlsx&amp;sheet=A0&amp;row=123&amp;col=7&amp;number=0&amp;sourceID=14","0")</f>
        <v>0</v>
      </c>
    </row>
    <row r="124" spans="1:7">
      <c r="A124" s="3">
        <v>10</v>
      </c>
      <c r="B124" s="3">
        <v>5</v>
      </c>
      <c r="C124" s="3">
        <v>156</v>
      </c>
      <c r="D124" s="3">
        <v>2</v>
      </c>
      <c r="E124" s="3">
        <v>-87.786</v>
      </c>
      <c r="F124" s="4" t="str">
        <f>HYPERLINK("http://141.218.60.56/~jnz1568/getInfo.php?workbook=10_05.xlsx&amp;sheet=A0&amp;row=124&amp;col=6&amp;number=3350000&amp;sourceID=14","3350000")</f>
        <v>3350000</v>
      </c>
      <c r="G124" s="4" t="str">
        <f>HYPERLINK("http://141.218.60.56/~jnz1568/getInfo.php?workbook=10_05.xlsx&amp;sheet=A0&amp;row=124&amp;col=7&amp;number=0&amp;sourceID=14","0")</f>
        <v>0</v>
      </c>
    </row>
    <row r="125" spans="1:7">
      <c r="A125" s="3">
        <v>10</v>
      </c>
      <c r="B125" s="3">
        <v>5</v>
      </c>
      <c r="C125" s="3">
        <v>157</v>
      </c>
      <c r="D125" s="3">
        <v>2</v>
      </c>
      <c r="E125" s="3">
        <v>-87.772</v>
      </c>
      <c r="F125" s="4" t="str">
        <f>HYPERLINK("http://141.218.60.56/~jnz1568/getInfo.php?workbook=10_05.xlsx&amp;sheet=A0&amp;row=125&amp;col=6&amp;number=22100000&amp;sourceID=14","22100000")</f>
        <v>22100000</v>
      </c>
      <c r="G125" s="4" t="str">
        <f>HYPERLINK("http://141.218.60.56/~jnz1568/getInfo.php?workbook=10_05.xlsx&amp;sheet=A0&amp;row=125&amp;col=7&amp;number=0&amp;sourceID=14","0")</f>
        <v>0</v>
      </c>
    </row>
    <row r="126" spans="1:7">
      <c r="A126" s="3">
        <v>10</v>
      </c>
      <c r="B126" s="3">
        <v>5</v>
      </c>
      <c r="C126" s="3">
        <v>160</v>
      </c>
      <c r="D126" s="3">
        <v>2</v>
      </c>
      <c r="E126" s="3">
        <v>-87.675</v>
      </c>
      <c r="F126" s="4" t="str">
        <f>HYPERLINK("http://141.218.60.56/~jnz1568/getInfo.php?workbook=10_05.xlsx&amp;sheet=A0&amp;row=126&amp;col=6&amp;number=5720000000&amp;sourceID=14","5720000000")</f>
        <v>5720000000</v>
      </c>
      <c r="G126" s="4" t="str">
        <f>HYPERLINK("http://141.218.60.56/~jnz1568/getInfo.php?workbook=10_05.xlsx&amp;sheet=A0&amp;row=126&amp;col=7&amp;number=0&amp;sourceID=14","0")</f>
        <v>0</v>
      </c>
    </row>
    <row r="127" spans="1:7">
      <c r="A127" s="3">
        <v>10</v>
      </c>
      <c r="B127" s="3">
        <v>5</v>
      </c>
      <c r="C127" s="3">
        <v>161</v>
      </c>
      <c r="D127" s="3">
        <v>2</v>
      </c>
      <c r="E127" s="3">
        <v>87.651</v>
      </c>
      <c r="F127" s="4" t="str">
        <f>HYPERLINK("http://141.218.60.56/~jnz1568/getInfo.php?workbook=10_05.xlsx&amp;sheet=A0&amp;row=127&amp;col=6&amp;number=956000000&amp;sourceID=14","956000000")</f>
        <v>956000000</v>
      </c>
      <c r="G127" s="4" t="str">
        <f>HYPERLINK("http://141.218.60.56/~jnz1568/getInfo.php?workbook=10_05.xlsx&amp;sheet=A0&amp;row=127&amp;col=7&amp;number=0&amp;sourceID=14","0")</f>
        <v>0</v>
      </c>
    </row>
    <row r="128" spans="1:7">
      <c r="A128" s="3">
        <v>10</v>
      </c>
      <c r="B128" s="3">
        <v>5</v>
      </c>
      <c r="C128" s="3">
        <v>162</v>
      </c>
      <c r="D128" s="3">
        <v>2</v>
      </c>
      <c r="E128" s="3">
        <v>87.628</v>
      </c>
      <c r="F128" s="4" t="str">
        <f>HYPERLINK("http://141.218.60.56/~jnz1568/getInfo.php?workbook=10_05.xlsx&amp;sheet=A0&amp;row=128&amp;col=6&amp;number=2420000000&amp;sourceID=14","2420000000")</f>
        <v>2420000000</v>
      </c>
      <c r="G128" s="4" t="str">
        <f>HYPERLINK("http://141.218.60.56/~jnz1568/getInfo.php?workbook=10_05.xlsx&amp;sheet=A0&amp;row=128&amp;col=7&amp;number=0&amp;sourceID=14","0")</f>
        <v>0</v>
      </c>
    </row>
    <row r="129" spans="1:7">
      <c r="A129" s="3">
        <v>10</v>
      </c>
      <c r="B129" s="3">
        <v>5</v>
      </c>
      <c r="C129" s="3">
        <v>163</v>
      </c>
      <c r="D129" s="3">
        <v>2</v>
      </c>
      <c r="E129" s="3">
        <v>-86.599</v>
      </c>
      <c r="F129" s="4" t="str">
        <f>HYPERLINK("http://141.218.60.56/~jnz1568/getInfo.php?workbook=10_05.xlsx&amp;sheet=A0&amp;row=129&amp;col=6&amp;number=1520000000&amp;sourceID=14","1520000000")</f>
        <v>1520000000</v>
      </c>
      <c r="G129" s="4" t="str">
        <f>HYPERLINK("http://141.218.60.56/~jnz1568/getInfo.php?workbook=10_05.xlsx&amp;sheet=A0&amp;row=129&amp;col=7&amp;number=0&amp;sourceID=14","0")</f>
        <v>0</v>
      </c>
    </row>
    <row r="130" spans="1:7">
      <c r="A130" s="3">
        <v>10</v>
      </c>
      <c r="B130" s="3">
        <v>5</v>
      </c>
      <c r="C130" s="3">
        <v>168</v>
      </c>
      <c r="D130" s="3">
        <v>2</v>
      </c>
      <c r="E130" s="3">
        <v>-81.873</v>
      </c>
      <c r="F130" s="4" t="str">
        <f>HYPERLINK("http://141.218.60.56/~jnz1568/getInfo.php?workbook=10_05.xlsx&amp;sheet=A0&amp;row=130&amp;col=6&amp;number=4650000000&amp;sourceID=14","4650000000")</f>
        <v>4650000000</v>
      </c>
      <c r="G130" s="4" t="str">
        <f>HYPERLINK("http://141.218.60.56/~jnz1568/getInfo.php?workbook=10_05.xlsx&amp;sheet=A0&amp;row=130&amp;col=7&amp;number=0&amp;sourceID=14","0")</f>
        <v>0</v>
      </c>
    </row>
    <row r="131" spans="1:7">
      <c r="A131" s="3">
        <v>10</v>
      </c>
      <c r="B131" s="3">
        <v>5</v>
      </c>
      <c r="C131" s="3">
        <v>169</v>
      </c>
      <c r="D131" s="3">
        <v>2</v>
      </c>
      <c r="E131" s="3">
        <v>-81.869</v>
      </c>
      <c r="F131" s="4" t="str">
        <f>HYPERLINK("http://141.218.60.56/~jnz1568/getInfo.php?workbook=10_05.xlsx&amp;sheet=A0&amp;row=131&amp;col=6&amp;number=793000000&amp;sourceID=14","793000000")</f>
        <v>793000000</v>
      </c>
      <c r="G131" s="4" t="str">
        <f>HYPERLINK("http://141.218.60.56/~jnz1568/getInfo.php?workbook=10_05.xlsx&amp;sheet=A0&amp;row=131&amp;col=7&amp;number=0&amp;sourceID=14","0")</f>
        <v>0</v>
      </c>
    </row>
    <row r="132" spans="1:7">
      <c r="A132" s="3">
        <v>10</v>
      </c>
      <c r="B132" s="3">
        <v>5</v>
      </c>
      <c r="C132" s="3">
        <v>170</v>
      </c>
      <c r="D132" s="3">
        <v>2</v>
      </c>
      <c r="E132" s="3">
        <v>-81.246</v>
      </c>
      <c r="F132" s="4" t="str">
        <f>HYPERLINK("http://141.218.60.56/~jnz1568/getInfo.php?workbook=10_05.xlsx&amp;sheet=A0&amp;row=132&amp;col=6&amp;number=2800000000&amp;sourceID=14","2800000000")</f>
        <v>2800000000</v>
      </c>
      <c r="G132" s="4" t="str">
        <f>HYPERLINK("http://141.218.60.56/~jnz1568/getInfo.php?workbook=10_05.xlsx&amp;sheet=A0&amp;row=132&amp;col=7&amp;number=0&amp;sourceID=14","0")</f>
        <v>0</v>
      </c>
    </row>
    <row r="133" spans="1:7">
      <c r="A133" s="3">
        <v>10</v>
      </c>
      <c r="B133" s="3">
        <v>5</v>
      </c>
      <c r="C133" s="3">
        <v>171</v>
      </c>
      <c r="D133" s="3">
        <v>2</v>
      </c>
      <c r="E133" s="3">
        <v>-81.24</v>
      </c>
      <c r="F133" s="4" t="str">
        <f>HYPERLINK("http://141.218.60.56/~jnz1568/getInfo.php?workbook=10_05.xlsx&amp;sheet=A0&amp;row=133&amp;col=6&amp;number=6780000000&amp;sourceID=14","6780000000")</f>
        <v>6780000000</v>
      </c>
      <c r="G133" s="4" t="str">
        <f>HYPERLINK("http://141.218.60.56/~jnz1568/getInfo.php?workbook=10_05.xlsx&amp;sheet=A0&amp;row=133&amp;col=7&amp;number=0&amp;sourceID=14","0")</f>
        <v>0</v>
      </c>
    </row>
    <row r="134" spans="1:7">
      <c r="A134" s="3">
        <v>10</v>
      </c>
      <c r="B134" s="3">
        <v>5</v>
      </c>
      <c r="C134" s="3">
        <v>172</v>
      </c>
      <c r="D134" s="3">
        <v>2</v>
      </c>
      <c r="E134" s="3">
        <v>-81.111</v>
      </c>
      <c r="F134" s="4" t="str">
        <f>HYPERLINK("http://141.218.60.56/~jnz1568/getInfo.php?workbook=10_05.xlsx&amp;sheet=A0&amp;row=134&amp;col=6&amp;number=339000000&amp;sourceID=14","339000000")</f>
        <v>339000000</v>
      </c>
      <c r="G134" s="4" t="str">
        <f>HYPERLINK("http://141.218.60.56/~jnz1568/getInfo.php?workbook=10_05.xlsx&amp;sheet=A0&amp;row=134&amp;col=7&amp;number=0&amp;sourceID=14","0")</f>
        <v>0</v>
      </c>
    </row>
    <row r="135" spans="1:7">
      <c r="A135" s="3">
        <v>10</v>
      </c>
      <c r="B135" s="3">
        <v>5</v>
      </c>
      <c r="C135" s="3">
        <v>173</v>
      </c>
      <c r="D135" s="3">
        <v>2</v>
      </c>
      <c r="E135" s="3">
        <v>-81.11</v>
      </c>
      <c r="F135" s="4" t="str">
        <f>HYPERLINK("http://141.218.60.56/~jnz1568/getInfo.php?workbook=10_05.xlsx&amp;sheet=A0&amp;row=135&amp;col=6&amp;number=2400000000&amp;sourceID=14","2400000000")</f>
        <v>2400000000</v>
      </c>
      <c r="G135" s="4" t="str">
        <f>HYPERLINK("http://141.218.60.56/~jnz1568/getInfo.php?workbook=10_05.xlsx&amp;sheet=A0&amp;row=135&amp;col=7&amp;number=0&amp;sourceID=14","0")</f>
        <v>0</v>
      </c>
    </row>
    <row r="136" spans="1:7">
      <c r="A136" s="3">
        <v>10</v>
      </c>
      <c r="B136" s="3">
        <v>5</v>
      </c>
      <c r="C136" s="3">
        <v>174</v>
      </c>
      <c r="D136" s="3">
        <v>2</v>
      </c>
      <c r="E136" s="3">
        <v>-80.971</v>
      </c>
      <c r="F136" s="4" t="str">
        <f>HYPERLINK("http://141.218.60.56/~jnz1568/getInfo.php?workbook=10_05.xlsx&amp;sheet=A0&amp;row=136&amp;col=6&amp;number=4800000000&amp;sourceID=14","4800000000")</f>
        <v>4800000000</v>
      </c>
      <c r="G136" s="4" t="str">
        <f>HYPERLINK("http://141.218.60.56/~jnz1568/getInfo.php?workbook=10_05.xlsx&amp;sheet=A0&amp;row=136&amp;col=7&amp;number=0&amp;sourceID=14","0")</f>
        <v>0</v>
      </c>
    </row>
    <row r="137" spans="1:7">
      <c r="A137" s="3">
        <v>10</v>
      </c>
      <c r="B137" s="3">
        <v>5</v>
      </c>
      <c r="C137" s="3">
        <v>11</v>
      </c>
      <c r="D137" s="3">
        <v>3</v>
      </c>
      <c r="E137" s="3">
        <v>451.837</v>
      </c>
      <c r="F137" s="4" t="str">
        <f>HYPERLINK("http://141.218.60.56/~jnz1568/getInfo.php?workbook=10_05.xlsx&amp;sheet=A0&amp;row=137&amp;col=6&amp;number=1570000000&amp;sourceID=14","1570000000")</f>
        <v>1570000000</v>
      </c>
      <c r="G137" s="4" t="str">
        <f>HYPERLINK("http://141.218.60.56/~jnz1568/getInfo.php?workbook=10_05.xlsx&amp;sheet=A0&amp;row=137&amp;col=7&amp;number=0&amp;sourceID=14","0")</f>
        <v>0</v>
      </c>
    </row>
    <row r="138" spans="1:7">
      <c r="A138" s="3">
        <v>10</v>
      </c>
      <c r="B138" s="3">
        <v>5</v>
      </c>
      <c r="C138" s="3">
        <v>12</v>
      </c>
      <c r="D138" s="3">
        <v>3</v>
      </c>
      <c r="E138" s="3">
        <v>385.634</v>
      </c>
      <c r="F138" s="4" t="str">
        <f>HYPERLINK("http://141.218.60.56/~jnz1568/getInfo.php?workbook=10_05.xlsx&amp;sheet=A0&amp;row=138&amp;col=6&amp;number=9850&amp;sourceID=14","9850")</f>
        <v>9850</v>
      </c>
      <c r="G138" s="4" t="str">
        <f>HYPERLINK("http://141.218.60.56/~jnz1568/getInfo.php?workbook=10_05.xlsx&amp;sheet=A0&amp;row=138&amp;col=7&amp;number=0&amp;sourceID=14","0")</f>
        <v>0</v>
      </c>
    </row>
    <row r="139" spans="1:7">
      <c r="A139" s="3">
        <v>10</v>
      </c>
      <c r="B139" s="3">
        <v>5</v>
      </c>
      <c r="C139" s="3">
        <v>14</v>
      </c>
      <c r="D139" s="3">
        <v>3</v>
      </c>
      <c r="E139" s="3">
        <v>327.108</v>
      </c>
      <c r="F139" s="4" t="str">
        <f>HYPERLINK("http://141.218.60.56/~jnz1568/getInfo.php?workbook=10_05.xlsx&amp;sheet=A0&amp;row=139&amp;col=6&amp;number=108000&amp;sourceID=14","108000")</f>
        <v>108000</v>
      </c>
      <c r="G139" s="4" t="str">
        <f>HYPERLINK("http://141.218.60.56/~jnz1568/getInfo.php?workbook=10_05.xlsx&amp;sheet=A0&amp;row=139&amp;col=7&amp;number=0&amp;sourceID=14","0")</f>
        <v>0</v>
      </c>
    </row>
    <row r="140" spans="1:7">
      <c r="A140" s="3">
        <v>10</v>
      </c>
      <c r="B140" s="3">
        <v>5</v>
      </c>
      <c r="C140" s="3">
        <v>15</v>
      </c>
      <c r="D140" s="3">
        <v>3</v>
      </c>
      <c r="E140" s="3">
        <v>327.06</v>
      </c>
      <c r="F140" s="4" t="str">
        <f>HYPERLINK("http://141.218.60.56/~jnz1568/getInfo.php?workbook=10_05.xlsx&amp;sheet=A0&amp;row=140&amp;col=6&amp;number=3820&amp;sourceID=14","3820")</f>
        <v>3820</v>
      </c>
      <c r="G140" s="4" t="str">
        <f>HYPERLINK("http://141.218.60.56/~jnz1568/getInfo.php?workbook=10_05.xlsx&amp;sheet=A0&amp;row=140&amp;col=7&amp;number=0&amp;sourceID=14","0")</f>
        <v>0</v>
      </c>
    </row>
    <row r="141" spans="1:7">
      <c r="A141" s="3">
        <v>10</v>
      </c>
      <c r="B141" s="3">
        <v>5</v>
      </c>
      <c r="C141" s="3">
        <v>17</v>
      </c>
      <c r="D141" s="3">
        <v>3</v>
      </c>
      <c r="E141" s="3">
        <v>149.046</v>
      </c>
      <c r="F141" s="4" t="str">
        <f>HYPERLINK("http://141.218.60.56/~jnz1568/getInfo.php?workbook=10_05.xlsx&amp;sheet=A0&amp;row=141&amp;col=6&amp;number=36700&amp;sourceID=14","36700")</f>
        <v>36700</v>
      </c>
      <c r="G141" s="4" t="str">
        <f>HYPERLINK("http://141.218.60.56/~jnz1568/getInfo.php?workbook=10_05.xlsx&amp;sheet=A0&amp;row=141&amp;col=7&amp;number=0&amp;sourceID=14","0")</f>
        <v>0</v>
      </c>
    </row>
    <row r="142" spans="1:7">
      <c r="A142" s="3">
        <v>10</v>
      </c>
      <c r="B142" s="3">
        <v>5</v>
      </c>
      <c r="C142" s="3">
        <v>18</v>
      </c>
      <c r="D142" s="3">
        <v>3</v>
      </c>
      <c r="E142" s="3">
        <v>148.974</v>
      </c>
      <c r="F142" s="4" t="str">
        <f>HYPERLINK("http://141.218.60.56/~jnz1568/getInfo.php?workbook=10_05.xlsx&amp;sheet=A0&amp;row=142&amp;col=6&amp;number=8990&amp;sourceID=14","8990")</f>
        <v>8990</v>
      </c>
      <c r="G142" s="4" t="str">
        <f>HYPERLINK("http://141.218.60.56/~jnz1568/getInfo.php?workbook=10_05.xlsx&amp;sheet=A0&amp;row=142&amp;col=7&amp;number=0&amp;sourceID=14","0")</f>
        <v>0</v>
      </c>
    </row>
    <row r="143" spans="1:7">
      <c r="A143" s="3">
        <v>10</v>
      </c>
      <c r="B143" s="3">
        <v>5</v>
      </c>
      <c r="C143" s="3">
        <v>21</v>
      </c>
      <c r="D143" s="3">
        <v>3</v>
      </c>
      <c r="E143" s="3">
        <v>136.375</v>
      </c>
      <c r="F143" s="4" t="str">
        <f>HYPERLINK("http://141.218.60.56/~jnz1568/getInfo.php?workbook=10_05.xlsx&amp;sheet=A0&amp;row=143&amp;col=6&amp;number=6010000000&amp;sourceID=14","6010000000")</f>
        <v>6010000000</v>
      </c>
      <c r="G143" s="4" t="str">
        <f>HYPERLINK("http://141.218.60.56/~jnz1568/getInfo.php?workbook=10_05.xlsx&amp;sheet=A0&amp;row=143&amp;col=7&amp;number=0&amp;sourceID=14","0")</f>
        <v>0</v>
      </c>
    </row>
    <row r="144" spans="1:7">
      <c r="A144" s="3">
        <v>10</v>
      </c>
      <c r="B144" s="3">
        <v>5</v>
      </c>
      <c r="C144" s="3">
        <v>22</v>
      </c>
      <c r="D144" s="3">
        <v>3</v>
      </c>
      <c r="E144" s="3">
        <v>136.286</v>
      </c>
      <c r="F144" s="4" t="str">
        <f>HYPERLINK("http://141.218.60.56/~jnz1568/getInfo.php?workbook=10_05.xlsx&amp;sheet=A0&amp;row=144&amp;col=6&amp;number=15000000000&amp;sourceID=14","15000000000")</f>
        <v>15000000000</v>
      </c>
      <c r="G144" s="4" t="str">
        <f>HYPERLINK("http://141.218.60.56/~jnz1568/getInfo.php?workbook=10_05.xlsx&amp;sheet=A0&amp;row=144&amp;col=7&amp;number=0&amp;sourceID=14","0")</f>
        <v>0</v>
      </c>
    </row>
    <row r="145" spans="1:7">
      <c r="A145" s="3">
        <v>10</v>
      </c>
      <c r="B145" s="3">
        <v>5</v>
      </c>
      <c r="C145" s="3">
        <v>24</v>
      </c>
      <c r="D145" s="3">
        <v>3</v>
      </c>
      <c r="E145" s="3">
        <v>132.373</v>
      </c>
      <c r="F145" s="4" t="str">
        <f>HYPERLINK("http://141.218.60.56/~jnz1568/getInfo.php?workbook=10_05.xlsx&amp;sheet=A0&amp;row=145&amp;col=6&amp;number=86600&amp;sourceID=14","86600")</f>
        <v>86600</v>
      </c>
      <c r="G145" s="4" t="str">
        <f>HYPERLINK("http://141.218.60.56/~jnz1568/getInfo.php?workbook=10_05.xlsx&amp;sheet=A0&amp;row=145&amp;col=7&amp;number=0&amp;sourceID=14","0")</f>
        <v>0</v>
      </c>
    </row>
    <row r="146" spans="1:7">
      <c r="A146" s="3">
        <v>10</v>
      </c>
      <c r="B146" s="3">
        <v>5</v>
      </c>
      <c r="C146" s="3">
        <v>25</v>
      </c>
      <c r="D146" s="3">
        <v>3</v>
      </c>
      <c r="E146" s="3">
        <v>132.23</v>
      </c>
      <c r="F146" s="4" t="str">
        <f>HYPERLINK("http://141.218.60.56/~jnz1568/getInfo.php?workbook=10_05.xlsx&amp;sheet=A0&amp;row=146&amp;col=6&amp;number=1610000&amp;sourceID=14","1610000")</f>
        <v>1610000</v>
      </c>
      <c r="G146" s="4" t="str">
        <f>HYPERLINK("http://141.218.60.56/~jnz1568/getInfo.php?workbook=10_05.xlsx&amp;sheet=A0&amp;row=146&amp;col=7&amp;number=0&amp;sourceID=14","0")</f>
        <v>0</v>
      </c>
    </row>
    <row r="147" spans="1:7">
      <c r="A147" s="3">
        <v>10</v>
      </c>
      <c r="B147" s="3">
        <v>5</v>
      </c>
      <c r="C147" s="3">
        <v>38</v>
      </c>
      <c r="D147" s="3">
        <v>3</v>
      </c>
      <c r="E147" s="3">
        <v>-122.819</v>
      </c>
      <c r="F147" s="4" t="str">
        <f>HYPERLINK("http://141.218.60.56/~jnz1568/getInfo.php?workbook=10_05.xlsx&amp;sheet=A0&amp;row=147&amp;col=6&amp;number=51300000&amp;sourceID=14","51300000")</f>
        <v>51300000</v>
      </c>
      <c r="G147" s="4" t="str">
        <f>HYPERLINK("http://141.218.60.56/~jnz1568/getInfo.php?workbook=10_05.xlsx&amp;sheet=A0&amp;row=147&amp;col=7&amp;number=0&amp;sourceID=14","0")</f>
        <v>0</v>
      </c>
    </row>
    <row r="148" spans="1:7">
      <c r="A148" s="3">
        <v>10</v>
      </c>
      <c r="B148" s="3">
        <v>5</v>
      </c>
      <c r="C148" s="3">
        <v>43</v>
      </c>
      <c r="D148" s="3">
        <v>3</v>
      </c>
      <c r="E148" s="3">
        <v>121.07</v>
      </c>
      <c r="F148" s="4" t="str">
        <f>HYPERLINK("http://141.218.60.56/~jnz1568/getInfo.php?workbook=10_05.xlsx&amp;sheet=A0&amp;row=148&amp;col=6&amp;number=198000000000&amp;sourceID=14","198000000000")</f>
        <v>198000000000</v>
      </c>
      <c r="G148" s="4" t="str">
        <f>HYPERLINK("http://141.218.60.56/~jnz1568/getInfo.php?workbook=10_05.xlsx&amp;sheet=A0&amp;row=148&amp;col=7&amp;number=0&amp;sourceID=14","0")</f>
        <v>0</v>
      </c>
    </row>
    <row r="149" spans="1:7">
      <c r="A149" s="3">
        <v>10</v>
      </c>
      <c r="B149" s="3">
        <v>5</v>
      </c>
      <c r="C149" s="3">
        <v>44</v>
      </c>
      <c r="D149" s="3">
        <v>3</v>
      </c>
      <c r="E149" s="3">
        <v>121.055</v>
      </c>
      <c r="F149" s="4" t="str">
        <f>HYPERLINK("http://141.218.60.56/~jnz1568/getInfo.php?workbook=10_05.xlsx&amp;sheet=A0&amp;row=149&amp;col=6&amp;number=107000000000&amp;sourceID=14","107000000000")</f>
        <v>107000000000</v>
      </c>
      <c r="G149" s="4" t="str">
        <f>HYPERLINK("http://141.218.60.56/~jnz1568/getInfo.php?workbook=10_05.xlsx&amp;sheet=A0&amp;row=149&amp;col=7&amp;number=0&amp;sourceID=14","0")</f>
        <v>0</v>
      </c>
    </row>
    <row r="150" spans="1:7">
      <c r="A150" s="3">
        <v>10</v>
      </c>
      <c r="B150" s="3">
        <v>5</v>
      </c>
      <c r="C150" s="3">
        <v>47</v>
      </c>
      <c r="D150" s="3">
        <v>3</v>
      </c>
      <c r="E150" s="3">
        <v>120.814</v>
      </c>
      <c r="F150" s="4" t="str">
        <f>HYPERLINK("http://141.218.60.56/~jnz1568/getInfo.php?workbook=10_05.xlsx&amp;sheet=A0&amp;row=150&amp;col=6&amp;number=16300000&amp;sourceID=14","16300000")</f>
        <v>16300000</v>
      </c>
      <c r="G150" s="4" t="str">
        <f>HYPERLINK("http://141.218.60.56/~jnz1568/getInfo.php?workbook=10_05.xlsx&amp;sheet=A0&amp;row=150&amp;col=7&amp;number=0&amp;sourceID=14","0")</f>
        <v>0</v>
      </c>
    </row>
    <row r="151" spans="1:7">
      <c r="A151" s="3">
        <v>10</v>
      </c>
      <c r="B151" s="3">
        <v>5</v>
      </c>
      <c r="C151" s="3">
        <v>50</v>
      </c>
      <c r="D151" s="3">
        <v>3</v>
      </c>
      <c r="E151" s="3">
        <v>120.25</v>
      </c>
      <c r="F151" s="4" t="str">
        <f>HYPERLINK("http://141.218.60.56/~jnz1568/getInfo.php?workbook=10_05.xlsx&amp;sheet=A0&amp;row=151&amp;col=6&amp;number=43300000000&amp;sourceID=14","43300000000")</f>
        <v>43300000000</v>
      </c>
      <c r="G151" s="4" t="str">
        <f>HYPERLINK("http://141.218.60.56/~jnz1568/getInfo.php?workbook=10_05.xlsx&amp;sheet=A0&amp;row=151&amp;col=7&amp;number=0&amp;sourceID=14","0")</f>
        <v>0</v>
      </c>
    </row>
    <row r="152" spans="1:7">
      <c r="A152" s="3">
        <v>10</v>
      </c>
      <c r="B152" s="3">
        <v>5</v>
      </c>
      <c r="C152" s="3">
        <v>51</v>
      </c>
      <c r="D152" s="3">
        <v>3</v>
      </c>
      <c r="E152" s="3">
        <v>120.214</v>
      </c>
      <c r="F152" s="4" t="str">
        <f>HYPERLINK("http://141.218.60.56/~jnz1568/getInfo.php?workbook=10_05.xlsx&amp;sheet=A0&amp;row=152&amp;col=6&amp;number=16700000000&amp;sourceID=14","16700000000")</f>
        <v>16700000000</v>
      </c>
      <c r="G152" s="4" t="str">
        <f>HYPERLINK("http://141.218.60.56/~jnz1568/getInfo.php?workbook=10_05.xlsx&amp;sheet=A0&amp;row=152&amp;col=7&amp;number=0&amp;sourceID=14","0")</f>
        <v>0</v>
      </c>
    </row>
    <row r="153" spans="1:7">
      <c r="A153" s="3">
        <v>10</v>
      </c>
      <c r="B153" s="3">
        <v>5</v>
      </c>
      <c r="C153" s="3">
        <v>52</v>
      </c>
      <c r="D153" s="3">
        <v>3</v>
      </c>
      <c r="E153" s="3">
        <v>119.053</v>
      </c>
      <c r="F153" s="4" t="str">
        <f>HYPERLINK("http://141.218.60.56/~jnz1568/getInfo.php?workbook=10_05.xlsx&amp;sheet=A0&amp;row=153&amp;col=6&amp;number=1030000&amp;sourceID=14","1030000")</f>
        <v>1030000</v>
      </c>
      <c r="G153" s="4" t="str">
        <f>HYPERLINK("http://141.218.60.56/~jnz1568/getInfo.php?workbook=10_05.xlsx&amp;sheet=A0&amp;row=153&amp;col=7&amp;number=0&amp;sourceID=14","0")</f>
        <v>0</v>
      </c>
    </row>
    <row r="154" spans="1:7">
      <c r="A154" s="3">
        <v>10</v>
      </c>
      <c r="B154" s="3">
        <v>5</v>
      </c>
      <c r="C154" s="3">
        <v>53</v>
      </c>
      <c r="D154" s="3">
        <v>3</v>
      </c>
      <c r="E154" s="3">
        <v>119.053</v>
      </c>
      <c r="F154" s="4" t="str">
        <f>HYPERLINK("http://141.218.60.56/~jnz1568/getInfo.php?workbook=10_05.xlsx&amp;sheet=A0&amp;row=154&amp;col=6&amp;number=3510000&amp;sourceID=14","3510000")</f>
        <v>3510000</v>
      </c>
      <c r="G154" s="4" t="str">
        <f>HYPERLINK("http://141.218.60.56/~jnz1568/getInfo.php?workbook=10_05.xlsx&amp;sheet=A0&amp;row=154&amp;col=7&amp;number=0&amp;sourceID=14","0")</f>
        <v>0</v>
      </c>
    </row>
    <row r="155" spans="1:7">
      <c r="A155" s="3">
        <v>10</v>
      </c>
      <c r="B155" s="3">
        <v>5</v>
      </c>
      <c r="C155" s="3">
        <v>56</v>
      </c>
      <c r="D155" s="3">
        <v>3</v>
      </c>
      <c r="E155" s="3">
        <v>117.385</v>
      </c>
      <c r="F155" s="4" t="str">
        <f>HYPERLINK("http://141.218.60.56/~jnz1568/getInfo.php?workbook=10_05.xlsx&amp;sheet=A0&amp;row=155&amp;col=6&amp;number=4290000&amp;sourceID=14","4290000")</f>
        <v>4290000</v>
      </c>
      <c r="G155" s="4" t="str">
        <f>HYPERLINK("http://141.218.60.56/~jnz1568/getInfo.php?workbook=10_05.xlsx&amp;sheet=A0&amp;row=155&amp;col=7&amp;number=0&amp;sourceID=14","0")</f>
        <v>0</v>
      </c>
    </row>
    <row r="156" spans="1:7">
      <c r="A156" s="3">
        <v>10</v>
      </c>
      <c r="B156" s="3">
        <v>5</v>
      </c>
      <c r="C156" s="3">
        <v>57</v>
      </c>
      <c r="D156" s="3">
        <v>3</v>
      </c>
      <c r="E156" s="3">
        <v>117.328</v>
      </c>
      <c r="F156" s="4" t="str">
        <f>HYPERLINK("http://141.218.60.56/~jnz1568/getInfo.php?workbook=10_05.xlsx&amp;sheet=A0&amp;row=156&amp;col=6&amp;number=11900000&amp;sourceID=14","11900000")</f>
        <v>11900000</v>
      </c>
      <c r="G156" s="4" t="str">
        <f>HYPERLINK("http://141.218.60.56/~jnz1568/getInfo.php?workbook=10_05.xlsx&amp;sheet=A0&amp;row=156&amp;col=7&amp;number=0&amp;sourceID=14","0")</f>
        <v>0</v>
      </c>
    </row>
    <row r="157" spans="1:7">
      <c r="A157" s="3">
        <v>10</v>
      </c>
      <c r="B157" s="3">
        <v>5</v>
      </c>
      <c r="C157" s="3">
        <v>64</v>
      </c>
      <c r="D157" s="3">
        <v>3</v>
      </c>
      <c r="E157" s="3">
        <v>-110.469</v>
      </c>
      <c r="F157" s="4" t="str">
        <f>HYPERLINK("http://141.218.60.56/~jnz1568/getInfo.php?workbook=10_05.xlsx&amp;sheet=A0&amp;row=157&amp;col=6&amp;number=334000&amp;sourceID=14","334000")</f>
        <v>334000</v>
      </c>
      <c r="G157" s="4" t="str">
        <f>HYPERLINK("http://141.218.60.56/~jnz1568/getInfo.php?workbook=10_05.xlsx&amp;sheet=A0&amp;row=157&amp;col=7&amp;number=0&amp;sourceID=14","0")</f>
        <v>0</v>
      </c>
    </row>
    <row r="158" spans="1:7">
      <c r="A158" s="3">
        <v>10</v>
      </c>
      <c r="B158" s="3">
        <v>5</v>
      </c>
      <c r="C158" s="3">
        <v>65</v>
      </c>
      <c r="D158" s="3">
        <v>3</v>
      </c>
      <c r="E158" s="3">
        <v>-110.454</v>
      </c>
      <c r="F158" s="4" t="str">
        <f>HYPERLINK("http://141.218.60.56/~jnz1568/getInfo.php?workbook=10_05.xlsx&amp;sheet=A0&amp;row=158&amp;col=6&amp;number=228000&amp;sourceID=14","228000")</f>
        <v>228000</v>
      </c>
      <c r="G158" s="4" t="str">
        <f>HYPERLINK("http://141.218.60.56/~jnz1568/getInfo.php?workbook=10_05.xlsx&amp;sheet=A0&amp;row=158&amp;col=7&amp;number=0&amp;sourceID=14","0")</f>
        <v>0</v>
      </c>
    </row>
    <row r="159" spans="1:7">
      <c r="A159" s="3">
        <v>10</v>
      </c>
      <c r="B159" s="3">
        <v>5</v>
      </c>
      <c r="C159" s="3">
        <v>73</v>
      </c>
      <c r="D159" s="3">
        <v>3</v>
      </c>
      <c r="E159" s="3">
        <v>107.549</v>
      </c>
      <c r="F159" s="4" t="str">
        <f>HYPERLINK("http://141.218.60.56/~jnz1568/getInfo.php?workbook=10_05.xlsx&amp;sheet=A0&amp;row=159&amp;col=6&amp;number=45800&amp;sourceID=14","45800")</f>
        <v>45800</v>
      </c>
      <c r="G159" s="4" t="str">
        <f>HYPERLINK("http://141.218.60.56/~jnz1568/getInfo.php?workbook=10_05.xlsx&amp;sheet=A0&amp;row=159&amp;col=7&amp;number=0&amp;sourceID=14","0")</f>
        <v>0</v>
      </c>
    </row>
    <row r="160" spans="1:7">
      <c r="A160" s="3">
        <v>10</v>
      </c>
      <c r="B160" s="3">
        <v>5</v>
      </c>
      <c r="C160" s="3">
        <v>75</v>
      </c>
      <c r="D160" s="3">
        <v>3</v>
      </c>
      <c r="E160" s="3">
        <v>107.293</v>
      </c>
      <c r="F160" s="4" t="str">
        <f>HYPERLINK("http://141.218.60.56/~jnz1568/getInfo.php?workbook=10_05.xlsx&amp;sheet=A0&amp;row=160&amp;col=6&amp;number=2000000&amp;sourceID=14","2000000")</f>
        <v>2000000</v>
      </c>
      <c r="G160" s="4" t="str">
        <f>HYPERLINK("http://141.218.60.56/~jnz1568/getInfo.php?workbook=10_05.xlsx&amp;sheet=A0&amp;row=160&amp;col=7&amp;number=0&amp;sourceID=14","0")</f>
        <v>0</v>
      </c>
    </row>
    <row r="161" spans="1:7">
      <c r="A161" s="3">
        <v>10</v>
      </c>
      <c r="B161" s="3">
        <v>5</v>
      </c>
      <c r="C161" s="3">
        <v>76</v>
      </c>
      <c r="D161" s="3">
        <v>3</v>
      </c>
      <c r="E161" s="3">
        <v>107.293</v>
      </c>
      <c r="F161" s="4" t="str">
        <f>HYPERLINK("http://141.218.60.56/~jnz1568/getInfo.php?workbook=10_05.xlsx&amp;sheet=A0&amp;row=161&amp;col=6&amp;number=2150000&amp;sourceID=14","2150000")</f>
        <v>2150000</v>
      </c>
      <c r="G161" s="4" t="str">
        <f>HYPERLINK("http://141.218.60.56/~jnz1568/getInfo.php?workbook=10_05.xlsx&amp;sheet=A0&amp;row=161&amp;col=7&amp;number=0&amp;sourceID=14","0")</f>
        <v>0</v>
      </c>
    </row>
    <row r="162" spans="1:7">
      <c r="A162" s="3">
        <v>10</v>
      </c>
      <c r="B162" s="3">
        <v>5</v>
      </c>
      <c r="C162" s="3">
        <v>79</v>
      </c>
      <c r="D162" s="3">
        <v>3</v>
      </c>
      <c r="E162" s="3">
        <v>-104.743</v>
      </c>
      <c r="F162" s="4" t="str">
        <f>HYPERLINK("http://141.218.60.56/~jnz1568/getInfo.php?workbook=10_05.xlsx&amp;sheet=A0&amp;row=162&amp;col=6&amp;number=7100000&amp;sourceID=14","7100000")</f>
        <v>7100000</v>
      </c>
      <c r="G162" s="4" t="str">
        <f>HYPERLINK("http://141.218.60.56/~jnz1568/getInfo.php?workbook=10_05.xlsx&amp;sheet=A0&amp;row=162&amp;col=7&amp;number=0&amp;sourceID=14","0")</f>
        <v>0</v>
      </c>
    </row>
    <row r="163" spans="1:7">
      <c r="A163" s="3">
        <v>10</v>
      </c>
      <c r="B163" s="3">
        <v>5</v>
      </c>
      <c r="C163" s="3">
        <v>82</v>
      </c>
      <c r="D163" s="3">
        <v>3</v>
      </c>
      <c r="E163" s="3">
        <v>103.977</v>
      </c>
      <c r="F163" s="4" t="str">
        <f>HYPERLINK("http://141.218.60.56/~jnz1568/getInfo.php?workbook=10_05.xlsx&amp;sheet=A0&amp;row=163&amp;col=6&amp;number=14300000000&amp;sourceID=14","14300000000")</f>
        <v>14300000000</v>
      </c>
      <c r="G163" s="4" t="str">
        <f>HYPERLINK("http://141.218.60.56/~jnz1568/getInfo.php?workbook=10_05.xlsx&amp;sheet=A0&amp;row=163&amp;col=7&amp;number=0&amp;sourceID=14","0")</f>
        <v>0</v>
      </c>
    </row>
    <row r="164" spans="1:7">
      <c r="A164" s="3">
        <v>10</v>
      </c>
      <c r="B164" s="3">
        <v>5</v>
      </c>
      <c r="C164" s="3">
        <v>83</v>
      </c>
      <c r="D164" s="3">
        <v>3</v>
      </c>
      <c r="E164" s="3">
        <v>103.977</v>
      </c>
      <c r="F164" s="4" t="str">
        <f>HYPERLINK("http://141.218.60.56/~jnz1568/getInfo.php?workbook=10_05.xlsx&amp;sheet=A0&amp;row=164&amp;col=6&amp;number=7750000000&amp;sourceID=14","7750000000")</f>
        <v>7750000000</v>
      </c>
      <c r="G164" s="4" t="str">
        <f>HYPERLINK("http://141.218.60.56/~jnz1568/getInfo.php?workbook=10_05.xlsx&amp;sheet=A0&amp;row=164&amp;col=7&amp;number=0&amp;sourceID=14","0")</f>
        <v>0</v>
      </c>
    </row>
    <row r="165" spans="1:7">
      <c r="A165" s="3">
        <v>10</v>
      </c>
      <c r="B165" s="3">
        <v>5</v>
      </c>
      <c r="C165" s="3">
        <v>88</v>
      </c>
      <c r="D165" s="3">
        <v>3</v>
      </c>
      <c r="E165" s="3">
        <v>103.638</v>
      </c>
      <c r="F165" s="4" t="str">
        <f>HYPERLINK("http://141.218.60.56/~jnz1568/getInfo.php?workbook=10_05.xlsx&amp;sheet=A0&amp;row=165&amp;col=6&amp;number=4150000000&amp;sourceID=14","4150000000")</f>
        <v>4150000000</v>
      </c>
      <c r="G165" s="4" t="str">
        <f>HYPERLINK("http://141.218.60.56/~jnz1568/getInfo.php?workbook=10_05.xlsx&amp;sheet=A0&amp;row=165&amp;col=7&amp;number=0&amp;sourceID=14","0")</f>
        <v>0</v>
      </c>
    </row>
    <row r="166" spans="1:7">
      <c r="A166" s="3">
        <v>10</v>
      </c>
      <c r="B166" s="3">
        <v>5</v>
      </c>
      <c r="C166" s="3">
        <v>89</v>
      </c>
      <c r="D166" s="3">
        <v>3</v>
      </c>
      <c r="E166" s="3">
        <v>103.598</v>
      </c>
      <c r="F166" s="4" t="str">
        <f>HYPERLINK("http://141.218.60.56/~jnz1568/getInfo.php?workbook=10_05.xlsx&amp;sheet=A0&amp;row=166&amp;col=6&amp;number=10800000000&amp;sourceID=14","10800000000")</f>
        <v>10800000000</v>
      </c>
      <c r="G166" s="4" t="str">
        <f>HYPERLINK("http://141.218.60.56/~jnz1568/getInfo.php?workbook=10_05.xlsx&amp;sheet=A0&amp;row=166&amp;col=7&amp;number=0&amp;sourceID=14","0")</f>
        <v>0</v>
      </c>
    </row>
    <row r="167" spans="1:7">
      <c r="A167" s="3">
        <v>10</v>
      </c>
      <c r="B167" s="3">
        <v>5</v>
      </c>
      <c r="C167" s="3">
        <v>91</v>
      </c>
      <c r="D167" s="3">
        <v>3</v>
      </c>
      <c r="E167" s="3">
        <v>-102.696</v>
      </c>
      <c r="F167" s="4" t="str">
        <f>HYPERLINK("http://141.218.60.56/~jnz1568/getInfo.php?workbook=10_05.xlsx&amp;sheet=A0&amp;row=167&amp;col=6&amp;number=7240000&amp;sourceID=14","7240000")</f>
        <v>7240000</v>
      </c>
      <c r="G167" s="4" t="str">
        <f>HYPERLINK("http://141.218.60.56/~jnz1568/getInfo.php?workbook=10_05.xlsx&amp;sheet=A0&amp;row=167&amp;col=7&amp;number=0&amp;sourceID=14","0")</f>
        <v>0</v>
      </c>
    </row>
    <row r="168" spans="1:7">
      <c r="A168" s="3">
        <v>10</v>
      </c>
      <c r="B168" s="3">
        <v>5</v>
      </c>
      <c r="C168" s="3">
        <v>93</v>
      </c>
      <c r="D168" s="3">
        <v>3</v>
      </c>
      <c r="E168" s="3">
        <v>-101.797</v>
      </c>
      <c r="F168" s="4" t="str">
        <f>HYPERLINK("http://141.218.60.56/~jnz1568/getInfo.php?workbook=10_05.xlsx&amp;sheet=A0&amp;row=168&amp;col=6&amp;number=3010000&amp;sourceID=14","3010000")</f>
        <v>3010000</v>
      </c>
      <c r="G168" s="4" t="str">
        <f>HYPERLINK("http://141.218.60.56/~jnz1568/getInfo.php?workbook=10_05.xlsx&amp;sheet=A0&amp;row=168&amp;col=7&amp;number=0&amp;sourceID=14","0")</f>
        <v>0</v>
      </c>
    </row>
    <row r="169" spans="1:7">
      <c r="A169" s="3">
        <v>10</v>
      </c>
      <c r="B169" s="3">
        <v>5</v>
      </c>
      <c r="C169" s="3">
        <v>94</v>
      </c>
      <c r="D169" s="3">
        <v>3</v>
      </c>
      <c r="E169" s="3">
        <v>-101.781</v>
      </c>
      <c r="F169" s="4" t="str">
        <f>HYPERLINK("http://141.218.60.56/~jnz1568/getInfo.php?workbook=10_05.xlsx&amp;sheet=A0&amp;row=169&amp;col=6&amp;number=2020000&amp;sourceID=14","2020000")</f>
        <v>2020000</v>
      </c>
      <c r="G169" s="4" t="str">
        <f>HYPERLINK("http://141.218.60.56/~jnz1568/getInfo.php?workbook=10_05.xlsx&amp;sheet=A0&amp;row=169&amp;col=7&amp;number=0&amp;sourceID=14","0")</f>
        <v>0</v>
      </c>
    </row>
    <row r="170" spans="1:7">
      <c r="A170" s="3">
        <v>10</v>
      </c>
      <c r="B170" s="3">
        <v>5</v>
      </c>
      <c r="C170" s="3">
        <v>95</v>
      </c>
      <c r="D170" s="3">
        <v>3</v>
      </c>
      <c r="E170" s="3">
        <v>101.756</v>
      </c>
      <c r="F170" s="4" t="str">
        <f>HYPERLINK("http://141.218.60.56/~jnz1568/getInfo.php?workbook=10_05.xlsx&amp;sheet=A0&amp;row=170&amp;col=6&amp;number=4640000000&amp;sourceID=14","4640000000")</f>
        <v>4640000000</v>
      </c>
      <c r="G170" s="4" t="str">
        <f>HYPERLINK("http://141.218.60.56/~jnz1568/getInfo.php?workbook=10_05.xlsx&amp;sheet=A0&amp;row=170&amp;col=7&amp;number=0&amp;sourceID=14","0")</f>
        <v>0</v>
      </c>
    </row>
    <row r="171" spans="1:7">
      <c r="A171" s="3">
        <v>10</v>
      </c>
      <c r="B171" s="3">
        <v>5</v>
      </c>
      <c r="C171" s="3">
        <v>98</v>
      </c>
      <c r="D171" s="3">
        <v>3</v>
      </c>
      <c r="E171" s="3">
        <v>-100.082</v>
      </c>
      <c r="F171" s="4" t="str">
        <f>HYPERLINK("http://141.218.60.56/~jnz1568/getInfo.php?workbook=10_05.xlsx&amp;sheet=A0&amp;row=171&amp;col=6&amp;number=713000000&amp;sourceID=14","713000000")</f>
        <v>713000000</v>
      </c>
      <c r="G171" s="4" t="str">
        <f>HYPERLINK("http://141.218.60.56/~jnz1568/getInfo.php?workbook=10_05.xlsx&amp;sheet=A0&amp;row=171&amp;col=7&amp;number=0&amp;sourceID=14","0")</f>
        <v>0</v>
      </c>
    </row>
    <row r="172" spans="1:7">
      <c r="A172" s="3">
        <v>10</v>
      </c>
      <c r="B172" s="3">
        <v>5</v>
      </c>
      <c r="C172" s="3">
        <v>101</v>
      </c>
      <c r="D172" s="3">
        <v>3</v>
      </c>
      <c r="E172" s="3">
        <v>-100.039</v>
      </c>
      <c r="F172" s="4" t="str">
        <f>HYPERLINK("http://141.218.60.56/~jnz1568/getInfo.php?workbook=10_05.xlsx&amp;sheet=A0&amp;row=172&amp;col=6&amp;number=1830000000&amp;sourceID=14","1830000000")</f>
        <v>1830000000</v>
      </c>
      <c r="G172" s="4" t="str">
        <f>HYPERLINK("http://141.218.60.56/~jnz1568/getInfo.php?workbook=10_05.xlsx&amp;sheet=A0&amp;row=172&amp;col=7&amp;number=0&amp;sourceID=14","0")</f>
        <v>0</v>
      </c>
    </row>
    <row r="173" spans="1:7">
      <c r="A173" s="3">
        <v>10</v>
      </c>
      <c r="B173" s="3">
        <v>5</v>
      </c>
      <c r="C173" s="3">
        <v>110</v>
      </c>
      <c r="D173" s="3">
        <v>3</v>
      </c>
      <c r="E173" s="3">
        <v>-99.338</v>
      </c>
      <c r="F173" s="4" t="str">
        <f>HYPERLINK("http://141.218.60.56/~jnz1568/getInfo.php?workbook=10_05.xlsx&amp;sheet=A0&amp;row=173&amp;col=6&amp;number=471000&amp;sourceID=14","471000")</f>
        <v>471000</v>
      </c>
      <c r="G173" s="4" t="str">
        <f>HYPERLINK("http://141.218.60.56/~jnz1568/getInfo.php?workbook=10_05.xlsx&amp;sheet=A0&amp;row=173&amp;col=7&amp;number=0&amp;sourceID=14","0")</f>
        <v>0</v>
      </c>
    </row>
    <row r="174" spans="1:7">
      <c r="A174" s="3">
        <v>10</v>
      </c>
      <c r="B174" s="3">
        <v>5</v>
      </c>
      <c r="C174" s="3">
        <v>112</v>
      </c>
      <c r="D174" s="3">
        <v>3</v>
      </c>
      <c r="E174" s="3">
        <v>-99.274</v>
      </c>
      <c r="F174" s="4" t="str">
        <f>HYPERLINK("http://141.218.60.56/~jnz1568/getInfo.php?workbook=10_05.xlsx&amp;sheet=A0&amp;row=174&amp;col=6&amp;number=4120000&amp;sourceID=14","4120000")</f>
        <v>4120000</v>
      </c>
      <c r="G174" s="4" t="str">
        <f>HYPERLINK("http://141.218.60.56/~jnz1568/getInfo.php?workbook=10_05.xlsx&amp;sheet=A0&amp;row=174&amp;col=7&amp;number=0&amp;sourceID=14","0")</f>
        <v>0</v>
      </c>
    </row>
    <row r="175" spans="1:7">
      <c r="A175" s="3">
        <v>10</v>
      </c>
      <c r="B175" s="3">
        <v>5</v>
      </c>
      <c r="C175" s="3">
        <v>114</v>
      </c>
      <c r="D175" s="3">
        <v>3</v>
      </c>
      <c r="E175" s="3">
        <v>99.2</v>
      </c>
      <c r="F175" s="4" t="str">
        <f>HYPERLINK("http://141.218.60.56/~jnz1568/getInfo.php?workbook=10_05.xlsx&amp;sheet=A0&amp;row=175&amp;col=6&amp;number=42600&amp;sourceID=14","42600")</f>
        <v>42600</v>
      </c>
      <c r="G175" s="4" t="str">
        <f>HYPERLINK("http://141.218.60.56/~jnz1568/getInfo.php?workbook=10_05.xlsx&amp;sheet=A0&amp;row=175&amp;col=7&amp;number=0&amp;sourceID=14","0")</f>
        <v>0</v>
      </c>
    </row>
    <row r="176" spans="1:7">
      <c r="A176" s="3">
        <v>10</v>
      </c>
      <c r="B176" s="3">
        <v>5</v>
      </c>
      <c r="C176" s="3">
        <v>127</v>
      </c>
      <c r="D176" s="3">
        <v>3</v>
      </c>
      <c r="E176" s="3">
        <v>-97.972</v>
      </c>
      <c r="F176" s="4" t="str">
        <f>HYPERLINK("http://141.218.60.56/~jnz1568/getInfo.php?workbook=10_05.xlsx&amp;sheet=A0&amp;row=176&amp;col=6&amp;number=15200000&amp;sourceID=14","15200000")</f>
        <v>15200000</v>
      </c>
      <c r="G176" s="4" t="str">
        <f>HYPERLINK("http://141.218.60.56/~jnz1568/getInfo.php?workbook=10_05.xlsx&amp;sheet=A0&amp;row=176&amp;col=7&amp;number=0&amp;sourceID=14","0")</f>
        <v>0</v>
      </c>
    </row>
    <row r="177" spans="1:7">
      <c r="A177" s="3">
        <v>10</v>
      </c>
      <c r="B177" s="3">
        <v>5</v>
      </c>
      <c r="C177" s="3">
        <v>128</v>
      </c>
      <c r="D177" s="3">
        <v>3</v>
      </c>
      <c r="E177" s="3">
        <v>-97.929</v>
      </c>
      <c r="F177" s="4" t="str">
        <f>HYPERLINK("http://141.218.60.56/~jnz1568/getInfo.php?workbook=10_05.xlsx&amp;sheet=A0&amp;row=177&amp;col=6&amp;number=15000000&amp;sourceID=14","15000000")</f>
        <v>15000000</v>
      </c>
      <c r="G177" s="4" t="str">
        <f>HYPERLINK("http://141.218.60.56/~jnz1568/getInfo.php?workbook=10_05.xlsx&amp;sheet=A0&amp;row=177&amp;col=7&amp;number=0&amp;sourceID=14","0")</f>
        <v>0</v>
      </c>
    </row>
    <row r="178" spans="1:7">
      <c r="A178" s="3">
        <v>10</v>
      </c>
      <c r="B178" s="3">
        <v>5</v>
      </c>
      <c r="C178" s="3">
        <v>134</v>
      </c>
      <c r="D178" s="3">
        <v>3</v>
      </c>
      <c r="E178" s="3">
        <v>-97.502</v>
      </c>
      <c r="F178" s="4" t="str">
        <f>HYPERLINK("http://141.218.60.56/~jnz1568/getInfo.php?workbook=10_05.xlsx&amp;sheet=A0&amp;row=178&amp;col=6&amp;number=127000000&amp;sourceID=14","127000000")</f>
        <v>127000000</v>
      </c>
      <c r="G178" s="4" t="str">
        <f>HYPERLINK("http://141.218.60.56/~jnz1568/getInfo.php?workbook=10_05.xlsx&amp;sheet=A0&amp;row=178&amp;col=7&amp;number=0&amp;sourceID=14","0")</f>
        <v>0</v>
      </c>
    </row>
    <row r="179" spans="1:7">
      <c r="A179" s="3">
        <v>10</v>
      </c>
      <c r="B179" s="3">
        <v>5</v>
      </c>
      <c r="C179" s="3">
        <v>141</v>
      </c>
      <c r="D179" s="3">
        <v>3</v>
      </c>
      <c r="E179" s="3">
        <v>-97.056</v>
      </c>
      <c r="F179" s="4" t="str">
        <f>HYPERLINK("http://141.218.60.56/~jnz1568/getInfo.php?workbook=10_05.xlsx&amp;sheet=A0&amp;row=179&amp;col=6&amp;number=71000000000&amp;sourceID=14","71000000000")</f>
        <v>71000000000</v>
      </c>
      <c r="G179" s="4" t="str">
        <f>HYPERLINK("http://141.218.60.56/~jnz1568/getInfo.php?workbook=10_05.xlsx&amp;sheet=A0&amp;row=179&amp;col=7&amp;number=0&amp;sourceID=14","0")</f>
        <v>0</v>
      </c>
    </row>
    <row r="180" spans="1:7">
      <c r="A180" s="3">
        <v>10</v>
      </c>
      <c r="B180" s="3">
        <v>5</v>
      </c>
      <c r="C180" s="3">
        <v>142</v>
      </c>
      <c r="D180" s="3">
        <v>3</v>
      </c>
      <c r="E180" s="3">
        <v>97.054</v>
      </c>
      <c r="F180" s="4" t="str">
        <f>HYPERLINK("http://141.218.60.56/~jnz1568/getInfo.php?workbook=10_05.xlsx&amp;sheet=A0&amp;row=180&amp;col=6&amp;number=43700000000&amp;sourceID=14","43700000000")</f>
        <v>43700000000</v>
      </c>
      <c r="G180" s="4" t="str">
        <f>HYPERLINK("http://141.218.60.56/~jnz1568/getInfo.php?workbook=10_05.xlsx&amp;sheet=A0&amp;row=180&amp;col=7&amp;number=0&amp;sourceID=14","0")</f>
        <v>0</v>
      </c>
    </row>
    <row r="181" spans="1:7">
      <c r="A181" s="3">
        <v>10</v>
      </c>
      <c r="B181" s="3">
        <v>5</v>
      </c>
      <c r="C181" s="3">
        <v>145</v>
      </c>
      <c r="D181" s="3">
        <v>3</v>
      </c>
      <c r="E181" s="3">
        <v>96.926</v>
      </c>
      <c r="F181" s="4" t="str">
        <f>HYPERLINK("http://141.218.60.56/~jnz1568/getInfo.php?workbook=10_05.xlsx&amp;sheet=A0&amp;row=181&amp;col=6&amp;number=3660000000&amp;sourceID=14","3660000000")</f>
        <v>3660000000</v>
      </c>
      <c r="G181" s="4" t="str">
        <f>HYPERLINK("http://141.218.60.56/~jnz1568/getInfo.php?workbook=10_05.xlsx&amp;sheet=A0&amp;row=181&amp;col=7&amp;number=0&amp;sourceID=14","0")</f>
        <v>0</v>
      </c>
    </row>
    <row r="182" spans="1:7">
      <c r="A182" s="3">
        <v>10</v>
      </c>
      <c r="B182" s="3">
        <v>5</v>
      </c>
      <c r="C182" s="3">
        <v>148</v>
      </c>
      <c r="D182" s="3">
        <v>3</v>
      </c>
      <c r="E182" s="3">
        <v>96.862</v>
      </c>
      <c r="F182" s="4" t="str">
        <f>HYPERLINK("http://141.218.60.56/~jnz1568/getInfo.php?workbook=10_05.xlsx&amp;sheet=A0&amp;row=182&amp;col=6&amp;number=4800000000&amp;sourceID=14","4800000000")</f>
        <v>4800000000</v>
      </c>
      <c r="G182" s="4" t="str">
        <f>HYPERLINK("http://141.218.60.56/~jnz1568/getInfo.php?workbook=10_05.xlsx&amp;sheet=A0&amp;row=182&amp;col=7&amp;number=0&amp;sourceID=14","0")</f>
        <v>0</v>
      </c>
    </row>
    <row r="183" spans="1:7">
      <c r="A183" s="3">
        <v>10</v>
      </c>
      <c r="B183" s="3">
        <v>5</v>
      </c>
      <c r="C183" s="3">
        <v>149</v>
      </c>
      <c r="D183" s="3">
        <v>3</v>
      </c>
      <c r="E183" s="3">
        <v>96.852</v>
      </c>
      <c r="F183" s="4" t="str">
        <f>HYPERLINK("http://141.218.60.56/~jnz1568/getInfo.php?workbook=10_05.xlsx&amp;sheet=A0&amp;row=183&amp;col=6&amp;number=3210000000&amp;sourceID=14","3210000000")</f>
        <v>3210000000</v>
      </c>
      <c r="G183" s="4" t="str">
        <f>HYPERLINK("http://141.218.60.56/~jnz1568/getInfo.php?workbook=10_05.xlsx&amp;sheet=A0&amp;row=183&amp;col=7&amp;number=0&amp;sourceID=14","0")</f>
        <v>0</v>
      </c>
    </row>
    <row r="184" spans="1:7">
      <c r="A184" s="3">
        <v>10</v>
      </c>
      <c r="B184" s="3">
        <v>5</v>
      </c>
      <c r="C184" s="3">
        <v>158</v>
      </c>
      <c r="D184" s="3">
        <v>3</v>
      </c>
      <c r="E184" s="3">
        <v>-96.109</v>
      </c>
      <c r="F184" s="4" t="str">
        <f>HYPERLINK("http://141.218.60.56/~jnz1568/getInfo.php?workbook=10_05.xlsx&amp;sheet=A0&amp;row=184&amp;col=6&amp;number=23700000&amp;sourceID=14","23700000")</f>
        <v>23700000</v>
      </c>
      <c r="G184" s="4" t="str">
        <f>HYPERLINK("http://141.218.60.56/~jnz1568/getInfo.php?workbook=10_05.xlsx&amp;sheet=A0&amp;row=184&amp;col=7&amp;number=0&amp;sourceID=14","0")</f>
        <v>0</v>
      </c>
    </row>
    <row r="185" spans="1:7">
      <c r="A185" s="3">
        <v>10</v>
      </c>
      <c r="B185" s="3">
        <v>5</v>
      </c>
      <c r="C185" s="3">
        <v>159</v>
      </c>
      <c r="D185" s="3">
        <v>3</v>
      </c>
      <c r="E185" s="3">
        <v>-96.07</v>
      </c>
      <c r="F185" s="4" t="str">
        <f>HYPERLINK("http://141.218.60.56/~jnz1568/getInfo.php?workbook=10_05.xlsx&amp;sheet=A0&amp;row=185&amp;col=6&amp;number=48800000&amp;sourceID=14","48800000")</f>
        <v>48800000</v>
      </c>
      <c r="G185" s="4" t="str">
        <f>HYPERLINK("http://141.218.60.56/~jnz1568/getInfo.php?workbook=10_05.xlsx&amp;sheet=A0&amp;row=185&amp;col=7&amp;number=0&amp;sourceID=14","0")</f>
        <v>0</v>
      </c>
    </row>
    <row r="186" spans="1:7">
      <c r="A186" s="3">
        <v>10</v>
      </c>
      <c r="B186" s="3">
        <v>5</v>
      </c>
      <c r="C186" s="3">
        <v>164</v>
      </c>
      <c r="D186" s="3">
        <v>3</v>
      </c>
      <c r="E186" s="3">
        <v>-91.993</v>
      </c>
      <c r="F186" s="4" t="str">
        <f>HYPERLINK("http://141.218.60.56/~jnz1568/getInfo.php?workbook=10_05.xlsx&amp;sheet=A0&amp;row=186&amp;col=6&amp;number=19600&amp;sourceID=14","19600")</f>
        <v>19600</v>
      </c>
      <c r="G186" s="4" t="str">
        <f>HYPERLINK("http://141.218.60.56/~jnz1568/getInfo.php?workbook=10_05.xlsx&amp;sheet=A0&amp;row=186&amp;col=7&amp;number=0&amp;sourceID=14","0")</f>
        <v>0</v>
      </c>
    </row>
    <row r="187" spans="1:7">
      <c r="A187" s="3">
        <v>10</v>
      </c>
      <c r="B187" s="3">
        <v>5</v>
      </c>
      <c r="C187" s="3">
        <v>165</v>
      </c>
      <c r="D187" s="3">
        <v>3</v>
      </c>
      <c r="E187" s="3">
        <v>-91.982</v>
      </c>
      <c r="F187" s="4" t="str">
        <f>HYPERLINK("http://141.218.60.56/~jnz1568/getInfo.php?workbook=10_05.xlsx&amp;sheet=A0&amp;row=187&amp;col=6&amp;number=58700&amp;sourceID=14","58700")</f>
        <v>58700</v>
      </c>
      <c r="G187" s="4" t="str">
        <f>HYPERLINK("http://141.218.60.56/~jnz1568/getInfo.php?workbook=10_05.xlsx&amp;sheet=A0&amp;row=187&amp;col=7&amp;number=0&amp;sourceID=14","0")</f>
        <v>0</v>
      </c>
    </row>
    <row r="188" spans="1:7">
      <c r="A188" s="3">
        <v>10</v>
      </c>
      <c r="B188" s="3">
        <v>5</v>
      </c>
      <c r="C188" s="3">
        <v>166</v>
      </c>
      <c r="D188" s="3">
        <v>3</v>
      </c>
      <c r="E188" s="3">
        <v>-89.746</v>
      </c>
      <c r="F188" s="4" t="str">
        <f>HYPERLINK("http://141.218.60.56/~jnz1568/getInfo.php?workbook=10_05.xlsx&amp;sheet=A0&amp;row=188&amp;col=6&amp;number=48700&amp;sourceID=14","48700")</f>
        <v>48700</v>
      </c>
      <c r="G188" s="4" t="str">
        <f>HYPERLINK("http://141.218.60.56/~jnz1568/getInfo.php?workbook=10_05.xlsx&amp;sheet=A0&amp;row=188&amp;col=7&amp;number=0&amp;sourceID=14","0")</f>
        <v>0</v>
      </c>
    </row>
    <row r="189" spans="1:7">
      <c r="A189" s="3">
        <v>10</v>
      </c>
      <c r="B189" s="3">
        <v>5</v>
      </c>
      <c r="C189" s="3">
        <v>167</v>
      </c>
      <c r="D189" s="3">
        <v>3</v>
      </c>
      <c r="E189" s="3">
        <v>-89.743</v>
      </c>
      <c r="F189" s="4" t="str">
        <f>HYPERLINK("http://141.218.60.56/~jnz1568/getInfo.php?workbook=10_05.xlsx&amp;sheet=A0&amp;row=189&amp;col=6&amp;number=17400&amp;sourceID=14","17400")</f>
        <v>17400</v>
      </c>
      <c r="G189" s="4" t="str">
        <f>HYPERLINK("http://141.218.60.56/~jnz1568/getInfo.php?workbook=10_05.xlsx&amp;sheet=A0&amp;row=189&amp;col=7&amp;number=0&amp;sourceID=14","0")</f>
        <v>0</v>
      </c>
    </row>
    <row r="190" spans="1:7">
      <c r="A190" s="3">
        <v>10</v>
      </c>
      <c r="B190" s="3">
        <v>5</v>
      </c>
      <c r="C190" s="3">
        <v>177</v>
      </c>
      <c r="D190" s="3">
        <v>3</v>
      </c>
      <c r="E190" s="3">
        <v>-87.21</v>
      </c>
      <c r="F190" s="4" t="str">
        <f>HYPERLINK("http://141.218.60.56/~jnz1568/getInfo.php?workbook=10_05.xlsx&amp;sheet=A0&amp;row=190&amp;col=6&amp;number=24300&amp;sourceID=14","24300")</f>
        <v>24300</v>
      </c>
      <c r="G190" s="4" t="str">
        <f>HYPERLINK("http://141.218.60.56/~jnz1568/getInfo.php?workbook=10_05.xlsx&amp;sheet=A0&amp;row=190&amp;col=7&amp;number=0&amp;sourceID=14","0")</f>
        <v>0</v>
      </c>
    </row>
    <row r="191" spans="1:7">
      <c r="A191" s="3">
        <v>10</v>
      </c>
      <c r="B191" s="3">
        <v>5</v>
      </c>
      <c r="C191" s="3">
        <v>179</v>
      </c>
      <c r="D191" s="3">
        <v>3</v>
      </c>
      <c r="E191" s="3">
        <v>-86.899</v>
      </c>
      <c r="F191" s="4" t="str">
        <f>HYPERLINK("http://141.218.60.56/~jnz1568/getInfo.php?workbook=10_05.xlsx&amp;sheet=A0&amp;row=191&amp;col=6&amp;number=18700&amp;sourceID=14","18700")</f>
        <v>18700</v>
      </c>
      <c r="G191" s="4" t="str">
        <f>HYPERLINK("http://141.218.60.56/~jnz1568/getInfo.php?workbook=10_05.xlsx&amp;sheet=A0&amp;row=191&amp;col=7&amp;number=0&amp;sourceID=14","0")</f>
        <v>0</v>
      </c>
    </row>
    <row r="192" spans="1:7">
      <c r="A192" s="3">
        <v>10</v>
      </c>
      <c r="B192" s="3">
        <v>5</v>
      </c>
      <c r="C192" s="3">
        <v>180</v>
      </c>
      <c r="D192" s="3">
        <v>3</v>
      </c>
      <c r="E192" s="3">
        <v>-86.896</v>
      </c>
      <c r="F192" s="4" t="str">
        <f>HYPERLINK("http://141.218.60.56/~jnz1568/getInfo.php?workbook=10_05.xlsx&amp;sheet=A0&amp;row=192&amp;col=6&amp;number=385&amp;sourceID=14","385")</f>
        <v>385</v>
      </c>
      <c r="G192" s="4" t="str">
        <f>HYPERLINK("http://141.218.60.56/~jnz1568/getInfo.php?workbook=10_05.xlsx&amp;sheet=A0&amp;row=192&amp;col=7&amp;number=0&amp;sourceID=14","0")</f>
        <v>0</v>
      </c>
    </row>
    <row r="193" spans="1:7">
      <c r="A193" s="3">
        <v>10</v>
      </c>
      <c r="B193" s="3">
        <v>5</v>
      </c>
      <c r="C193" s="3">
        <v>11</v>
      </c>
      <c r="D193" s="3">
        <v>4</v>
      </c>
      <c r="E193" s="3">
        <v>452.746</v>
      </c>
      <c r="F193" s="4" t="str">
        <f>HYPERLINK("http://141.218.60.56/~jnz1568/getInfo.php?workbook=10_05.xlsx&amp;sheet=A0&amp;row=193&amp;col=6&amp;number=3130000000&amp;sourceID=14","3130000000")</f>
        <v>3130000000</v>
      </c>
      <c r="G193" s="4" t="str">
        <f>HYPERLINK("http://141.218.60.56/~jnz1568/getInfo.php?workbook=10_05.xlsx&amp;sheet=A0&amp;row=193&amp;col=7&amp;number=0&amp;sourceID=14","0")</f>
        <v>0</v>
      </c>
    </row>
    <row r="194" spans="1:7">
      <c r="A194" s="3">
        <v>10</v>
      </c>
      <c r="B194" s="3">
        <v>5</v>
      </c>
      <c r="C194" s="3">
        <v>12</v>
      </c>
      <c r="D194" s="3">
        <v>4</v>
      </c>
      <c r="E194" s="3">
        <v>386.295</v>
      </c>
      <c r="F194" s="4" t="str">
        <f>HYPERLINK("http://141.218.60.56/~jnz1568/getInfo.php?workbook=10_05.xlsx&amp;sheet=A0&amp;row=194&amp;col=6&amp;number=121000&amp;sourceID=14","121000")</f>
        <v>121000</v>
      </c>
      <c r="G194" s="4" t="str">
        <f>HYPERLINK("http://141.218.60.56/~jnz1568/getInfo.php?workbook=10_05.xlsx&amp;sheet=A0&amp;row=194&amp;col=7&amp;number=0&amp;sourceID=14","0")</f>
        <v>0</v>
      </c>
    </row>
    <row r="195" spans="1:7">
      <c r="A195" s="3">
        <v>10</v>
      </c>
      <c r="B195" s="3">
        <v>5</v>
      </c>
      <c r="C195" s="3">
        <v>13</v>
      </c>
      <c r="D195" s="3">
        <v>4</v>
      </c>
      <c r="E195" s="3">
        <v>386.398</v>
      </c>
      <c r="F195" s="4" t="str">
        <f>HYPERLINK("http://141.218.60.56/~jnz1568/getInfo.php?workbook=10_05.xlsx&amp;sheet=A0&amp;row=195&amp;col=6&amp;number=13900&amp;sourceID=14","13900")</f>
        <v>13900</v>
      </c>
      <c r="G195" s="4" t="str">
        <f>HYPERLINK("http://141.218.60.56/~jnz1568/getInfo.php?workbook=10_05.xlsx&amp;sheet=A0&amp;row=195&amp;col=7&amp;number=0&amp;sourceID=14","0")</f>
        <v>0</v>
      </c>
    </row>
    <row r="196" spans="1:7">
      <c r="A196" s="3">
        <v>10</v>
      </c>
      <c r="B196" s="3">
        <v>5</v>
      </c>
      <c r="C196" s="3">
        <v>14</v>
      </c>
      <c r="D196" s="3">
        <v>4</v>
      </c>
      <c r="E196" s="3">
        <v>327.584</v>
      </c>
      <c r="F196" s="4" t="str">
        <f>HYPERLINK("http://141.218.60.56/~jnz1568/getInfo.php?workbook=10_05.xlsx&amp;sheet=A0&amp;row=196&amp;col=6&amp;number=21800&amp;sourceID=14","21800")</f>
        <v>21800</v>
      </c>
      <c r="G196" s="4" t="str">
        <f>HYPERLINK("http://141.218.60.56/~jnz1568/getInfo.php?workbook=10_05.xlsx&amp;sheet=A0&amp;row=196&amp;col=7&amp;number=0&amp;sourceID=14","0")</f>
        <v>0</v>
      </c>
    </row>
    <row r="197" spans="1:7">
      <c r="A197" s="3">
        <v>10</v>
      </c>
      <c r="B197" s="3">
        <v>5</v>
      </c>
      <c r="C197" s="3">
        <v>15</v>
      </c>
      <c r="D197" s="3">
        <v>4</v>
      </c>
      <c r="E197" s="3">
        <v>327.535</v>
      </c>
      <c r="F197" s="4" t="str">
        <f>HYPERLINK("http://141.218.60.56/~jnz1568/getInfo.php?workbook=10_05.xlsx&amp;sheet=A0&amp;row=197&amp;col=6&amp;number=252000&amp;sourceID=14","252000")</f>
        <v>252000</v>
      </c>
      <c r="G197" s="4" t="str">
        <f>HYPERLINK("http://141.218.60.56/~jnz1568/getInfo.php?workbook=10_05.xlsx&amp;sheet=A0&amp;row=197&amp;col=7&amp;number=0&amp;sourceID=14","0")</f>
        <v>0</v>
      </c>
    </row>
    <row r="198" spans="1:7">
      <c r="A198" s="3">
        <v>10</v>
      </c>
      <c r="B198" s="3">
        <v>5</v>
      </c>
      <c r="C198" s="3">
        <v>17</v>
      </c>
      <c r="D198" s="3">
        <v>4</v>
      </c>
      <c r="E198" s="3">
        <v>149.144</v>
      </c>
      <c r="F198" s="4" t="str">
        <f>HYPERLINK("http://141.218.60.56/~jnz1568/getInfo.php?workbook=10_05.xlsx&amp;sheet=A0&amp;row=198&amp;col=6&amp;number=93100&amp;sourceID=14","93100")</f>
        <v>93100</v>
      </c>
      <c r="G198" s="4" t="str">
        <f>HYPERLINK("http://141.218.60.56/~jnz1568/getInfo.php?workbook=10_05.xlsx&amp;sheet=A0&amp;row=198&amp;col=7&amp;number=0&amp;sourceID=14","0")</f>
        <v>0</v>
      </c>
    </row>
    <row r="199" spans="1:7">
      <c r="A199" s="3">
        <v>10</v>
      </c>
      <c r="B199" s="3">
        <v>5</v>
      </c>
      <c r="C199" s="3">
        <v>18</v>
      </c>
      <c r="D199" s="3">
        <v>4</v>
      </c>
      <c r="E199" s="3">
        <v>149.073</v>
      </c>
      <c r="F199" s="4" t="str">
        <f>HYPERLINK("http://141.218.60.56/~jnz1568/getInfo.php?workbook=10_05.xlsx&amp;sheet=A0&amp;row=199&amp;col=6&amp;number=1390&amp;sourceID=14","1390")</f>
        <v>1390</v>
      </c>
      <c r="G199" s="4" t="str">
        <f>HYPERLINK("http://141.218.60.56/~jnz1568/getInfo.php?workbook=10_05.xlsx&amp;sheet=A0&amp;row=199&amp;col=7&amp;number=0&amp;sourceID=14","0")</f>
        <v>0</v>
      </c>
    </row>
    <row r="200" spans="1:7">
      <c r="A200" s="3">
        <v>10</v>
      </c>
      <c r="B200" s="3">
        <v>5</v>
      </c>
      <c r="C200" s="3">
        <v>21</v>
      </c>
      <c r="D200" s="3">
        <v>4</v>
      </c>
      <c r="E200" s="3">
        <v>136.458</v>
      </c>
      <c r="F200" s="4" t="str">
        <f>HYPERLINK("http://141.218.60.56/~jnz1568/getInfo.php?workbook=10_05.xlsx&amp;sheet=A0&amp;row=200&amp;col=6&amp;number=30000000000&amp;sourceID=14","30000000000")</f>
        <v>30000000000</v>
      </c>
      <c r="G200" s="4" t="str">
        <f>HYPERLINK("http://141.218.60.56/~jnz1568/getInfo.php?workbook=10_05.xlsx&amp;sheet=A0&amp;row=200&amp;col=7&amp;number=0&amp;sourceID=14","0")</f>
        <v>0</v>
      </c>
    </row>
    <row r="201" spans="1:7">
      <c r="A201" s="3">
        <v>10</v>
      </c>
      <c r="B201" s="3">
        <v>5</v>
      </c>
      <c r="C201" s="3">
        <v>22</v>
      </c>
      <c r="D201" s="3">
        <v>4</v>
      </c>
      <c r="E201" s="3">
        <v>136.369</v>
      </c>
      <c r="F201" s="4" t="str">
        <f>HYPERLINK("http://141.218.60.56/~jnz1568/getInfo.php?workbook=10_05.xlsx&amp;sheet=A0&amp;row=201&amp;col=6&amp;number=4790000000&amp;sourceID=14","4790000000")</f>
        <v>4790000000</v>
      </c>
      <c r="G201" s="4" t="str">
        <f>HYPERLINK("http://141.218.60.56/~jnz1568/getInfo.php?workbook=10_05.xlsx&amp;sheet=A0&amp;row=201&amp;col=7&amp;number=0&amp;sourceID=14","0")</f>
        <v>0</v>
      </c>
    </row>
    <row r="202" spans="1:7">
      <c r="A202" s="3">
        <v>10</v>
      </c>
      <c r="B202" s="3">
        <v>5</v>
      </c>
      <c r="C202" s="3">
        <v>23</v>
      </c>
      <c r="D202" s="3">
        <v>4</v>
      </c>
      <c r="E202" s="3">
        <v>136.227</v>
      </c>
      <c r="F202" s="4" t="str">
        <f>HYPERLINK("http://141.218.60.56/~jnz1568/getInfo.php?workbook=10_05.xlsx&amp;sheet=A0&amp;row=202&amp;col=6&amp;number=10900000000&amp;sourceID=14","10900000000")</f>
        <v>10900000000</v>
      </c>
      <c r="G202" s="4" t="str">
        <f>HYPERLINK("http://141.218.60.56/~jnz1568/getInfo.php?workbook=10_05.xlsx&amp;sheet=A0&amp;row=202&amp;col=7&amp;number=0&amp;sourceID=14","0")</f>
        <v>0</v>
      </c>
    </row>
    <row r="203" spans="1:7">
      <c r="A203" s="3">
        <v>10</v>
      </c>
      <c r="B203" s="3">
        <v>5</v>
      </c>
      <c r="C203" s="3">
        <v>24</v>
      </c>
      <c r="D203" s="3">
        <v>4</v>
      </c>
      <c r="E203" s="3">
        <v>132.451</v>
      </c>
      <c r="F203" s="4" t="str">
        <f>HYPERLINK("http://141.218.60.56/~jnz1568/getInfo.php?workbook=10_05.xlsx&amp;sheet=A0&amp;row=203&amp;col=6&amp;number=1340000&amp;sourceID=14","1340000")</f>
        <v>1340000</v>
      </c>
      <c r="G203" s="4" t="str">
        <f>HYPERLINK("http://141.218.60.56/~jnz1568/getInfo.php?workbook=10_05.xlsx&amp;sheet=A0&amp;row=203&amp;col=7&amp;number=0&amp;sourceID=14","0")</f>
        <v>0</v>
      </c>
    </row>
    <row r="204" spans="1:7">
      <c r="A204" s="3">
        <v>10</v>
      </c>
      <c r="B204" s="3">
        <v>5</v>
      </c>
      <c r="C204" s="3">
        <v>25</v>
      </c>
      <c r="D204" s="3">
        <v>4</v>
      </c>
      <c r="E204" s="3">
        <v>132.307</v>
      </c>
      <c r="F204" s="4" t="str">
        <f>HYPERLINK("http://141.218.60.56/~jnz1568/getInfo.php?workbook=10_05.xlsx&amp;sheet=A0&amp;row=204&amp;col=6&amp;number=1010000&amp;sourceID=14","1010000")</f>
        <v>1010000</v>
      </c>
      <c r="G204" s="4" t="str">
        <f>HYPERLINK("http://141.218.60.56/~jnz1568/getInfo.php?workbook=10_05.xlsx&amp;sheet=A0&amp;row=204&amp;col=7&amp;number=0&amp;sourceID=14","0")</f>
        <v>0</v>
      </c>
    </row>
    <row r="205" spans="1:7">
      <c r="A205" s="3">
        <v>10</v>
      </c>
      <c r="B205" s="3">
        <v>5</v>
      </c>
      <c r="C205" s="3">
        <v>38</v>
      </c>
      <c r="D205" s="3">
        <v>4</v>
      </c>
      <c r="E205" s="3">
        <v>-122.885</v>
      </c>
      <c r="F205" s="4" t="str">
        <f>HYPERLINK("http://141.218.60.56/~jnz1568/getInfo.php?workbook=10_05.xlsx&amp;sheet=A0&amp;row=205&amp;col=6&amp;number=63800000&amp;sourceID=14","63800000")</f>
        <v>63800000</v>
      </c>
      <c r="G205" s="4" t="str">
        <f>HYPERLINK("http://141.218.60.56/~jnz1568/getInfo.php?workbook=10_05.xlsx&amp;sheet=A0&amp;row=205&amp;col=7&amp;number=0&amp;sourceID=14","0")</f>
        <v>0</v>
      </c>
    </row>
    <row r="206" spans="1:7">
      <c r="A206" s="3">
        <v>10</v>
      </c>
      <c r="B206" s="3">
        <v>5</v>
      </c>
      <c r="C206" s="3">
        <v>39</v>
      </c>
      <c r="D206" s="3">
        <v>4</v>
      </c>
      <c r="E206" s="3">
        <v>-122.844</v>
      </c>
      <c r="F206" s="4" t="str">
        <f>HYPERLINK("http://141.218.60.56/~jnz1568/getInfo.php?workbook=10_05.xlsx&amp;sheet=A0&amp;row=206&amp;col=6&amp;number=180000000&amp;sourceID=14","180000000")</f>
        <v>180000000</v>
      </c>
      <c r="G206" s="4" t="str">
        <f>HYPERLINK("http://141.218.60.56/~jnz1568/getInfo.php?workbook=10_05.xlsx&amp;sheet=A0&amp;row=206&amp;col=7&amp;number=0&amp;sourceID=14","0")</f>
        <v>0</v>
      </c>
    </row>
    <row r="207" spans="1:7">
      <c r="A207" s="3">
        <v>10</v>
      </c>
      <c r="B207" s="3">
        <v>5</v>
      </c>
      <c r="C207" s="3">
        <v>43</v>
      </c>
      <c r="D207" s="3">
        <v>4</v>
      </c>
      <c r="E207" s="3">
        <v>121.135</v>
      </c>
      <c r="F207" s="4" t="str">
        <f>HYPERLINK("http://141.218.60.56/~jnz1568/getInfo.php?workbook=10_05.xlsx&amp;sheet=A0&amp;row=207&amp;col=6&amp;number=33600000000&amp;sourceID=14","33600000000")</f>
        <v>33600000000</v>
      </c>
      <c r="G207" s="4" t="str">
        <f>HYPERLINK("http://141.218.60.56/~jnz1568/getInfo.php?workbook=10_05.xlsx&amp;sheet=A0&amp;row=207&amp;col=7&amp;number=0&amp;sourceID=14","0")</f>
        <v>0</v>
      </c>
    </row>
    <row r="208" spans="1:7">
      <c r="A208" s="3">
        <v>10</v>
      </c>
      <c r="B208" s="3">
        <v>5</v>
      </c>
      <c r="C208" s="3">
        <v>44</v>
      </c>
      <c r="D208" s="3">
        <v>4</v>
      </c>
      <c r="E208" s="3">
        <v>121.12</v>
      </c>
      <c r="F208" s="4" t="str">
        <f>HYPERLINK("http://141.218.60.56/~jnz1568/getInfo.php?workbook=10_05.xlsx&amp;sheet=A0&amp;row=208&amp;col=6&amp;number=116000000000&amp;sourceID=14","116000000000")</f>
        <v>116000000000</v>
      </c>
      <c r="G208" s="4" t="str">
        <f>HYPERLINK("http://141.218.60.56/~jnz1568/getInfo.php?workbook=10_05.xlsx&amp;sheet=A0&amp;row=208&amp;col=7&amp;number=0&amp;sourceID=14","0")</f>
        <v>0</v>
      </c>
    </row>
    <row r="209" spans="1:7">
      <c r="A209" s="3">
        <v>10</v>
      </c>
      <c r="B209" s="3">
        <v>5</v>
      </c>
      <c r="C209" s="3">
        <v>45</v>
      </c>
      <c r="D209" s="3">
        <v>4</v>
      </c>
      <c r="E209" s="3">
        <v>121.105</v>
      </c>
      <c r="F209" s="4" t="str">
        <f>HYPERLINK("http://141.218.60.56/~jnz1568/getInfo.php?workbook=10_05.xlsx&amp;sheet=A0&amp;row=209&amp;col=6&amp;number=176000000000&amp;sourceID=14","176000000000")</f>
        <v>176000000000</v>
      </c>
      <c r="G209" s="4" t="str">
        <f>HYPERLINK("http://141.218.60.56/~jnz1568/getInfo.php?workbook=10_05.xlsx&amp;sheet=A0&amp;row=209&amp;col=7&amp;number=0&amp;sourceID=14","0")</f>
        <v>0</v>
      </c>
    </row>
    <row r="210" spans="1:7">
      <c r="A210" s="3">
        <v>10</v>
      </c>
      <c r="B210" s="3">
        <v>5</v>
      </c>
      <c r="C210" s="3">
        <v>47</v>
      </c>
      <c r="D210" s="3">
        <v>4</v>
      </c>
      <c r="E210" s="3">
        <v>120.879</v>
      </c>
      <c r="F210" s="4" t="str">
        <f>HYPERLINK("http://141.218.60.56/~jnz1568/getInfo.php?workbook=10_05.xlsx&amp;sheet=A0&amp;row=210&amp;col=6&amp;number=328000000&amp;sourceID=14","328000000")</f>
        <v>328000000</v>
      </c>
      <c r="G210" s="4" t="str">
        <f>HYPERLINK("http://141.218.60.56/~jnz1568/getInfo.php?workbook=10_05.xlsx&amp;sheet=A0&amp;row=210&amp;col=7&amp;number=0&amp;sourceID=14","0")</f>
        <v>0</v>
      </c>
    </row>
    <row r="211" spans="1:7">
      <c r="A211" s="3">
        <v>10</v>
      </c>
      <c r="B211" s="3">
        <v>5</v>
      </c>
      <c r="C211" s="3">
        <v>48</v>
      </c>
      <c r="D211" s="3">
        <v>4</v>
      </c>
      <c r="E211" s="3">
        <v>120.849</v>
      </c>
      <c r="F211" s="4" t="str">
        <f>HYPERLINK("http://141.218.60.56/~jnz1568/getInfo.php?workbook=10_05.xlsx&amp;sheet=A0&amp;row=211&amp;col=6&amp;number=186000000&amp;sourceID=14","186000000")</f>
        <v>186000000</v>
      </c>
      <c r="G211" s="4" t="str">
        <f>HYPERLINK("http://141.218.60.56/~jnz1568/getInfo.php?workbook=10_05.xlsx&amp;sheet=A0&amp;row=211&amp;col=7&amp;number=0&amp;sourceID=14","0")</f>
        <v>0</v>
      </c>
    </row>
    <row r="212" spans="1:7">
      <c r="A212" s="3">
        <v>10</v>
      </c>
      <c r="B212" s="3">
        <v>5</v>
      </c>
      <c r="C212" s="3">
        <v>49</v>
      </c>
      <c r="D212" s="3">
        <v>4</v>
      </c>
      <c r="E212" s="3">
        <v>120.358</v>
      </c>
      <c r="F212" s="4" t="str">
        <f>HYPERLINK("http://141.218.60.56/~jnz1568/getInfo.php?workbook=10_05.xlsx&amp;sheet=A0&amp;row=212&amp;col=6&amp;number=24600000000&amp;sourceID=14","24600000000")</f>
        <v>24600000000</v>
      </c>
      <c r="G212" s="4" t="str">
        <f>HYPERLINK("http://141.218.60.56/~jnz1568/getInfo.php?workbook=10_05.xlsx&amp;sheet=A0&amp;row=212&amp;col=7&amp;number=0&amp;sourceID=14","0")</f>
        <v>0</v>
      </c>
    </row>
    <row r="213" spans="1:7">
      <c r="A213" s="3">
        <v>10</v>
      </c>
      <c r="B213" s="3">
        <v>5</v>
      </c>
      <c r="C213" s="3">
        <v>50</v>
      </c>
      <c r="D213" s="3">
        <v>4</v>
      </c>
      <c r="E213" s="3">
        <v>120.314</v>
      </c>
      <c r="F213" s="4" t="str">
        <f>HYPERLINK("http://141.218.60.56/~jnz1568/getInfo.php?workbook=10_05.xlsx&amp;sheet=A0&amp;row=213&amp;col=6&amp;number=24700000000&amp;sourceID=14","24700000000")</f>
        <v>24700000000</v>
      </c>
      <c r="G213" s="4" t="str">
        <f>HYPERLINK("http://141.218.60.56/~jnz1568/getInfo.php?workbook=10_05.xlsx&amp;sheet=A0&amp;row=213&amp;col=7&amp;number=0&amp;sourceID=14","0")</f>
        <v>0</v>
      </c>
    </row>
    <row r="214" spans="1:7">
      <c r="A214" s="3">
        <v>10</v>
      </c>
      <c r="B214" s="3">
        <v>5</v>
      </c>
      <c r="C214" s="3">
        <v>51</v>
      </c>
      <c r="D214" s="3">
        <v>4</v>
      </c>
      <c r="E214" s="3">
        <v>120.278</v>
      </c>
      <c r="F214" s="4" t="str">
        <f>HYPERLINK("http://141.218.60.56/~jnz1568/getInfo.php?workbook=10_05.xlsx&amp;sheet=A0&amp;row=214&amp;col=6&amp;number=113000000000&amp;sourceID=14","113000000000")</f>
        <v>113000000000</v>
      </c>
      <c r="G214" s="4" t="str">
        <f>HYPERLINK("http://141.218.60.56/~jnz1568/getInfo.php?workbook=10_05.xlsx&amp;sheet=A0&amp;row=214&amp;col=7&amp;number=0&amp;sourceID=14","0")</f>
        <v>0</v>
      </c>
    </row>
    <row r="215" spans="1:7">
      <c r="A215" s="3">
        <v>10</v>
      </c>
      <c r="B215" s="3">
        <v>5</v>
      </c>
      <c r="C215" s="3">
        <v>52</v>
      </c>
      <c r="D215" s="3">
        <v>4</v>
      </c>
      <c r="E215" s="3">
        <v>119.116</v>
      </c>
      <c r="F215" s="4" t="str">
        <f>HYPERLINK("http://141.218.60.56/~jnz1568/getInfo.php?workbook=10_05.xlsx&amp;sheet=A0&amp;row=215&amp;col=6&amp;number=1310000&amp;sourceID=14","1310000")</f>
        <v>1310000</v>
      </c>
      <c r="G215" s="4" t="str">
        <f>HYPERLINK("http://141.218.60.56/~jnz1568/getInfo.php?workbook=10_05.xlsx&amp;sheet=A0&amp;row=215&amp;col=7&amp;number=0&amp;sourceID=14","0")</f>
        <v>0</v>
      </c>
    </row>
    <row r="216" spans="1:7">
      <c r="A216" s="3">
        <v>10</v>
      </c>
      <c r="B216" s="3">
        <v>5</v>
      </c>
      <c r="C216" s="3">
        <v>53</v>
      </c>
      <c r="D216" s="3">
        <v>4</v>
      </c>
      <c r="E216" s="3">
        <v>119.116</v>
      </c>
      <c r="F216" s="4" t="str">
        <f>HYPERLINK("http://141.218.60.56/~jnz1568/getInfo.php?workbook=10_05.xlsx&amp;sheet=A0&amp;row=216&amp;col=6&amp;number=887000&amp;sourceID=14","887000")</f>
        <v>887000</v>
      </c>
      <c r="G216" s="4" t="str">
        <f>HYPERLINK("http://141.218.60.56/~jnz1568/getInfo.php?workbook=10_05.xlsx&amp;sheet=A0&amp;row=216&amp;col=7&amp;number=0&amp;sourceID=14","0")</f>
        <v>0</v>
      </c>
    </row>
    <row r="217" spans="1:7">
      <c r="A217" s="3">
        <v>10</v>
      </c>
      <c r="B217" s="3">
        <v>5</v>
      </c>
      <c r="C217" s="3">
        <v>54</v>
      </c>
      <c r="D217" s="3">
        <v>4</v>
      </c>
      <c r="E217" s="3">
        <v>118.321</v>
      </c>
      <c r="F217" s="4" t="str">
        <f>HYPERLINK("http://141.218.60.56/~jnz1568/getInfo.php?workbook=10_05.xlsx&amp;sheet=A0&amp;row=217&amp;col=6&amp;number=85700&amp;sourceID=14","85700")</f>
        <v>85700</v>
      </c>
      <c r="G217" s="4" t="str">
        <f>HYPERLINK("http://141.218.60.56/~jnz1568/getInfo.php?workbook=10_05.xlsx&amp;sheet=A0&amp;row=217&amp;col=7&amp;number=0&amp;sourceID=14","0")</f>
        <v>0</v>
      </c>
    </row>
    <row r="218" spans="1:7">
      <c r="A218" s="3">
        <v>10</v>
      </c>
      <c r="B218" s="3">
        <v>5</v>
      </c>
      <c r="C218" s="3">
        <v>56</v>
      </c>
      <c r="D218" s="3">
        <v>4</v>
      </c>
      <c r="E218" s="3">
        <v>117.446</v>
      </c>
      <c r="F218" s="4" t="str">
        <f>HYPERLINK("http://141.218.60.56/~jnz1568/getInfo.php?workbook=10_05.xlsx&amp;sheet=A0&amp;row=218&amp;col=6&amp;number=3070000&amp;sourceID=14","3070000")</f>
        <v>3070000</v>
      </c>
      <c r="G218" s="4" t="str">
        <f>HYPERLINK("http://141.218.60.56/~jnz1568/getInfo.php?workbook=10_05.xlsx&amp;sheet=A0&amp;row=218&amp;col=7&amp;number=0&amp;sourceID=14","0")</f>
        <v>0</v>
      </c>
    </row>
    <row r="219" spans="1:7">
      <c r="A219" s="3">
        <v>10</v>
      </c>
      <c r="B219" s="3">
        <v>5</v>
      </c>
      <c r="C219" s="3">
        <v>57</v>
      </c>
      <c r="D219" s="3">
        <v>4</v>
      </c>
      <c r="E219" s="3">
        <v>117.389</v>
      </c>
      <c r="F219" s="4" t="str">
        <f>HYPERLINK("http://141.218.60.56/~jnz1568/getInfo.php?workbook=10_05.xlsx&amp;sheet=A0&amp;row=219&amp;col=6&amp;number=551000&amp;sourceID=14","551000")</f>
        <v>551000</v>
      </c>
      <c r="G219" s="4" t="str">
        <f>HYPERLINK("http://141.218.60.56/~jnz1568/getInfo.php?workbook=10_05.xlsx&amp;sheet=A0&amp;row=219&amp;col=7&amp;number=0&amp;sourceID=14","0")</f>
        <v>0</v>
      </c>
    </row>
    <row r="220" spans="1:7">
      <c r="A220" s="3">
        <v>10</v>
      </c>
      <c r="B220" s="3">
        <v>5</v>
      </c>
      <c r="C220" s="3">
        <v>64</v>
      </c>
      <c r="D220" s="3">
        <v>4</v>
      </c>
      <c r="E220" s="3">
        <v>-110.523</v>
      </c>
      <c r="F220" s="4" t="str">
        <f>HYPERLINK("http://141.218.60.56/~jnz1568/getInfo.php?workbook=10_05.xlsx&amp;sheet=A0&amp;row=220&amp;col=6&amp;number=35700&amp;sourceID=14","35700")</f>
        <v>35700</v>
      </c>
      <c r="G220" s="4" t="str">
        <f>HYPERLINK("http://141.218.60.56/~jnz1568/getInfo.php?workbook=10_05.xlsx&amp;sheet=A0&amp;row=220&amp;col=7&amp;number=0&amp;sourceID=14","0")</f>
        <v>0</v>
      </c>
    </row>
    <row r="221" spans="1:7">
      <c r="A221" s="3">
        <v>10</v>
      </c>
      <c r="B221" s="3">
        <v>5</v>
      </c>
      <c r="C221" s="3">
        <v>65</v>
      </c>
      <c r="D221" s="3">
        <v>4</v>
      </c>
      <c r="E221" s="3">
        <v>-110.508</v>
      </c>
      <c r="F221" s="4" t="str">
        <f>HYPERLINK("http://141.218.60.56/~jnz1568/getInfo.php?workbook=10_05.xlsx&amp;sheet=A0&amp;row=221&amp;col=6&amp;number=7110&amp;sourceID=14","7110")</f>
        <v>7110</v>
      </c>
      <c r="G221" s="4" t="str">
        <f>HYPERLINK("http://141.218.60.56/~jnz1568/getInfo.php?workbook=10_05.xlsx&amp;sheet=A0&amp;row=221&amp;col=7&amp;number=0&amp;sourceID=14","0")</f>
        <v>0</v>
      </c>
    </row>
    <row r="222" spans="1:7">
      <c r="A222" s="3">
        <v>10</v>
      </c>
      <c r="B222" s="3">
        <v>5</v>
      </c>
      <c r="C222" s="3">
        <v>68</v>
      </c>
      <c r="D222" s="3">
        <v>4</v>
      </c>
      <c r="E222" s="3">
        <v>108.547</v>
      </c>
      <c r="F222" s="4" t="str">
        <f>HYPERLINK("http://141.218.60.56/~jnz1568/getInfo.php?workbook=10_05.xlsx&amp;sheet=A0&amp;row=222&amp;col=6&amp;number=97700&amp;sourceID=14","97700")</f>
        <v>97700</v>
      </c>
      <c r="G222" s="4" t="str">
        <f>HYPERLINK("http://141.218.60.56/~jnz1568/getInfo.php?workbook=10_05.xlsx&amp;sheet=A0&amp;row=222&amp;col=7&amp;number=0&amp;sourceID=14","0")</f>
        <v>0</v>
      </c>
    </row>
    <row r="223" spans="1:7">
      <c r="A223" s="3">
        <v>10</v>
      </c>
      <c r="B223" s="3">
        <v>5</v>
      </c>
      <c r="C223" s="3">
        <v>73</v>
      </c>
      <c r="D223" s="3">
        <v>4</v>
      </c>
      <c r="E223" s="3">
        <v>107.6</v>
      </c>
      <c r="F223" s="4" t="str">
        <f>HYPERLINK("http://141.218.60.56/~jnz1568/getInfo.php?workbook=10_05.xlsx&amp;sheet=A0&amp;row=223&amp;col=6&amp;number=199000&amp;sourceID=14","199000")</f>
        <v>199000</v>
      </c>
      <c r="G223" s="4" t="str">
        <f>HYPERLINK("http://141.218.60.56/~jnz1568/getInfo.php?workbook=10_05.xlsx&amp;sheet=A0&amp;row=223&amp;col=7&amp;number=0&amp;sourceID=14","0")</f>
        <v>0</v>
      </c>
    </row>
    <row r="224" spans="1:7">
      <c r="A224" s="3">
        <v>10</v>
      </c>
      <c r="B224" s="3">
        <v>5</v>
      </c>
      <c r="C224" s="3">
        <v>74</v>
      </c>
      <c r="D224" s="3">
        <v>4</v>
      </c>
      <c r="E224" s="3">
        <v>107.586</v>
      </c>
      <c r="F224" s="4" t="str">
        <f>HYPERLINK("http://141.218.60.56/~jnz1568/getInfo.php?workbook=10_05.xlsx&amp;sheet=A0&amp;row=224&amp;col=6&amp;number=95600&amp;sourceID=14","95600")</f>
        <v>95600</v>
      </c>
      <c r="G224" s="4" t="str">
        <f>HYPERLINK("http://141.218.60.56/~jnz1568/getInfo.php?workbook=10_05.xlsx&amp;sheet=A0&amp;row=224&amp;col=7&amp;number=0&amp;sourceID=14","0")</f>
        <v>0</v>
      </c>
    </row>
    <row r="225" spans="1:7">
      <c r="A225" s="3">
        <v>10</v>
      </c>
      <c r="B225" s="3">
        <v>5</v>
      </c>
      <c r="C225" s="3">
        <v>75</v>
      </c>
      <c r="D225" s="3">
        <v>4</v>
      </c>
      <c r="E225" s="3">
        <v>107.344</v>
      </c>
      <c r="F225" s="4" t="str">
        <f>HYPERLINK("http://141.218.60.56/~jnz1568/getInfo.php?workbook=10_05.xlsx&amp;sheet=A0&amp;row=225&amp;col=6&amp;number=142000&amp;sourceID=14","142000")</f>
        <v>142000</v>
      </c>
      <c r="G225" s="4" t="str">
        <f>HYPERLINK("http://141.218.60.56/~jnz1568/getInfo.php?workbook=10_05.xlsx&amp;sheet=A0&amp;row=225&amp;col=7&amp;number=0&amp;sourceID=14","0")</f>
        <v>0</v>
      </c>
    </row>
    <row r="226" spans="1:7">
      <c r="A226" s="3">
        <v>10</v>
      </c>
      <c r="B226" s="3">
        <v>5</v>
      </c>
      <c r="C226" s="3">
        <v>76</v>
      </c>
      <c r="D226" s="3">
        <v>4</v>
      </c>
      <c r="E226" s="3">
        <v>107.344</v>
      </c>
      <c r="F226" s="4" t="str">
        <f>HYPERLINK("http://141.218.60.56/~jnz1568/getInfo.php?workbook=10_05.xlsx&amp;sheet=A0&amp;row=226&amp;col=6&amp;number=39200&amp;sourceID=14","39200")</f>
        <v>39200</v>
      </c>
      <c r="G226" s="4" t="str">
        <f>HYPERLINK("http://141.218.60.56/~jnz1568/getInfo.php?workbook=10_05.xlsx&amp;sheet=A0&amp;row=226&amp;col=7&amp;number=0&amp;sourceID=14","0")</f>
        <v>0</v>
      </c>
    </row>
    <row r="227" spans="1:7">
      <c r="A227" s="3">
        <v>10</v>
      </c>
      <c r="B227" s="3">
        <v>5</v>
      </c>
      <c r="C227" s="3">
        <v>79</v>
      </c>
      <c r="D227" s="3">
        <v>4</v>
      </c>
      <c r="E227" s="3">
        <v>-104.792</v>
      </c>
      <c r="F227" s="4" t="str">
        <f>HYPERLINK("http://141.218.60.56/~jnz1568/getInfo.php?workbook=10_05.xlsx&amp;sheet=A0&amp;row=227&amp;col=6&amp;number=25700000&amp;sourceID=14","25700000")</f>
        <v>25700000</v>
      </c>
      <c r="G227" s="4" t="str">
        <f>HYPERLINK("http://141.218.60.56/~jnz1568/getInfo.php?workbook=10_05.xlsx&amp;sheet=A0&amp;row=227&amp;col=7&amp;number=0&amp;sourceID=14","0")</f>
        <v>0</v>
      </c>
    </row>
    <row r="228" spans="1:7">
      <c r="A228" s="3">
        <v>10</v>
      </c>
      <c r="B228" s="3">
        <v>5</v>
      </c>
      <c r="C228" s="3">
        <v>82</v>
      </c>
      <c r="D228" s="3">
        <v>4</v>
      </c>
      <c r="E228" s="3">
        <v>104.025</v>
      </c>
      <c r="F228" s="4" t="str">
        <f>HYPERLINK("http://141.218.60.56/~jnz1568/getInfo.php?workbook=10_05.xlsx&amp;sheet=A0&amp;row=228&amp;col=6&amp;number=2420000000&amp;sourceID=14","2420000000")</f>
        <v>2420000000</v>
      </c>
      <c r="G228" s="4" t="str">
        <f>HYPERLINK("http://141.218.60.56/~jnz1568/getInfo.php?workbook=10_05.xlsx&amp;sheet=A0&amp;row=228&amp;col=7&amp;number=0&amp;sourceID=14","0")</f>
        <v>0</v>
      </c>
    </row>
    <row r="229" spans="1:7">
      <c r="A229" s="3">
        <v>10</v>
      </c>
      <c r="B229" s="3">
        <v>5</v>
      </c>
      <c r="C229" s="3">
        <v>83</v>
      </c>
      <c r="D229" s="3">
        <v>4</v>
      </c>
      <c r="E229" s="3">
        <v>104.025</v>
      </c>
      <c r="F229" s="4" t="str">
        <f>HYPERLINK("http://141.218.60.56/~jnz1568/getInfo.php?workbook=10_05.xlsx&amp;sheet=A0&amp;row=229&amp;col=6&amp;number=8410000000&amp;sourceID=14","8410000000")</f>
        <v>8410000000</v>
      </c>
      <c r="G229" s="4" t="str">
        <f>HYPERLINK("http://141.218.60.56/~jnz1568/getInfo.php?workbook=10_05.xlsx&amp;sheet=A0&amp;row=229&amp;col=7&amp;number=0&amp;sourceID=14","0")</f>
        <v>0</v>
      </c>
    </row>
    <row r="230" spans="1:7">
      <c r="A230" s="3">
        <v>10</v>
      </c>
      <c r="B230" s="3">
        <v>5</v>
      </c>
      <c r="C230" s="3">
        <v>84</v>
      </c>
      <c r="D230" s="3">
        <v>4</v>
      </c>
      <c r="E230" s="3">
        <v>104.025</v>
      </c>
      <c r="F230" s="4" t="str">
        <f>HYPERLINK("http://141.218.60.56/~jnz1568/getInfo.php?workbook=10_05.xlsx&amp;sheet=A0&amp;row=230&amp;col=6&amp;number=12600000000&amp;sourceID=14","12600000000")</f>
        <v>12600000000</v>
      </c>
      <c r="G230" s="4" t="str">
        <f>HYPERLINK("http://141.218.60.56/~jnz1568/getInfo.php?workbook=10_05.xlsx&amp;sheet=A0&amp;row=230&amp;col=7&amp;number=0&amp;sourceID=14","0")</f>
        <v>0</v>
      </c>
    </row>
    <row r="231" spans="1:7">
      <c r="A231" s="3">
        <v>10</v>
      </c>
      <c r="B231" s="3">
        <v>5</v>
      </c>
      <c r="C231" s="3">
        <v>86</v>
      </c>
      <c r="D231" s="3">
        <v>4</v>
      </c>
      <c r="E231" s="3">
        <v>-103.923</v>
      </c>
      <c r="F231" s="4" t="str">
        <f>HYPERLINK("http://141.218.60.56/~jnz1568/getInfo.php?workbook=10_05.xlsx&amp;sheet=A0&amp;row=231&amp;col=6&amp;number=30100000&amp;sourceID=14","30100000")</f>
        <v>30100000</v>
      </c>
      <c r="G231" s="4" t="str">
        <f>HYPERLINK("http://141.218.60.56/~jnz1568/getInfo.php?workbook=10_05.xlsx&amp;sheet=A0&amp;row=231&amp;col=7&amp;number=0&amp;sourceID=14","0")</f>
        <v>0</v>
      </c>
    </row>
    <row r="232" spans="1:7">
      <c r="A232" s="3">
        <v>10</v>
      </c>
      <c r="B232" s="3">
        <v>5</v>
      </c>
      <c r="C232" s="3">
        <v>88</v>
      </c>
      <c r="D232" s="3">
        <v>4</v>
      </c>
      <c r="E232" s="3">
        <v>103.685</v>
      </c>
      <c r="F232" s="4" t="str">
        <f>HYPERLINK("http://141.218.60.56/~jnz1568/getInfo.php?workbook=10_05.xlsx&amp;sheet=A0&amp;row=232&amp;col=6&amp;number=23100000000&amp;sourceID=14","23100000000")</f>
        <v>23100000000</v>
      </c>
      <c r="G232" s="4" t="str">
        <f>HYPERLINK("http://141.218.60.56/~jnz1568/getInfo.php?workbook=10_05.xlsx&amp;sheet=A0&amp;row=232&amp;col=7&amp;number=0&amp;sourceID=14","0")</f>
        <v>0</v>
      </c>
    </row>
    <row r="233" spans="1:7">
      <c r="A233" s="3">
        <v>10</v>
      </c>
      <c r="B233" s="3">
        <v>5</v>
      </c>
      <c r="C233" s="3">
        <v>89</v>
      </c>
      <c r="D233" s="3">
        <v>4</v>
      </c>
      <c r="E233" s="3">
        <v>103.646</v>
      </c>
      <c r="F233" s="4" t="str">
        <f>HYPERLINK("http://141.218.60.56/~jnz1568/getInfo.php?workbook=10_05.xlsx&amp;sheet=A0&amp;row=233&amp;col=6&amp;number=4380000000&amp;sourceID=14","4380000000")</f>
        <v>4380000000</v>
      </c>
      <c r="G233" s="4" t="str">
        <f>HYPERLINK("http://141.218.60.56/~jnz1568/getInfo.php?workbook=10_05.xlsx&amp;sheet=A0&amp;row=233&amp;col=7&amp;number=0&amp;sourceID=14","0")</f>
        <v>0</v>
      </c>
    </row>
    <row r="234" spans="1:7">
      <c r="A234" s="3">
        <v>10</v>
      </c>
      <c r="B234" s="3">
        <v>5</v>
      </c>
      <c r="C234" s="3">
        <v>90</v>
      </c>
      <c r="D234" s="3">
        <v>4</v>
      </c>
      <c r="E234" s="3">
        <v>103.584</v>
      </c>
      <c r="F234" s="4" t="str">
        <f>HYPERLINK("http://141.218.60.56/~jnz1568/getInfo.php?workbook=10_05.xlsx&amp;sheet=A0&amp;row=234&amp;col=6&amp;number=7180000000&amp;sourceID=14","7180000000")</f>
        <v>7180000000</v>
      </c>
      <c r="G234" s="4" t="str">
        <f>HYPERLINK("http://141.218.60.56/~jnz1568/getInfo.php?workbook=10_05.xlsx&amp;sheet=A0&amp;row=234&amp;col=7&amp;number=0&amp;sourceID=14","0")</f>
        <v>0</v>
      </c>
    </row>
    <row r="235" spans="1:7">
      <c r="A235" s="3">
        <v>10</v>
      </c>
      <c r="B235" s="3">
        <v>5</v>
      </c>
      <c r="C235" s="3">
        <v>91</v>
      </c>
      <c r="D235" s="3">
        <v>4</v>
      </c>
      <c r="E235" s="3">
        <v>-102.742</v>
      </c>
      <c r="F235" s="4" t="str">
        <f>HYPERLINK("http://141.218.60.56/~jnz1568/getInfo.php?workbook=10_05.xlsx&amp;sheet=A0&amp;row=235&amp;col=6&amp;number=2600000&amp;sourceID=14","2600000")</f>
        <v>2600000</v>
      </c>
      <c r="G235" s="4" t="str">
        <f>HYPERLINK("http://141.218.60.56/~jnz1568/getInfo.php?workbook=10_05.xlsx&amp;sheet=A0&amp;row=235&amp;col=7&amp;number=0&amp;sourceID=14","0")</f>
        <v>0</v>
      </c>
    </row>
    <row r="236" spans="1:7">
      <c r="A236" s="3">
        <v>10</v>
      </c>
      <c r="B236" s="3">
        <v>5</v>
      </c>
      <c r="C236" s="3">
        <v>92</v>
      </c>
      <c r="D236" s="3">
        <v>4</v>
      </c>
      <c r="E236" s="3">
        <v>-102.654</v>
      </c>
      <c r="F236" s="4" t="str">
        <f>HYPERLINK("http://141.218.60.56/~jnz1568/getInfo.php?workbook=10_05.xlsx&amp;sheet=A0&amp;row=236&amp;col=6&amp;number=25700000&amp;sourceID=14","25700000")</f>
        <v>25700000</v>
      </c>
      <c r="G236" s="4" t="str">
        <f>HYPERLINK("http://141.218.60.56/~jnz1568/getInfo.php?workbook=10_05.xlsx&amp;sheet=A0&amp;row=236&amp;col=7&amp;number=0&amp;sourceID=14","0")</f>
        <v>0</v>
      </c>
    </row>
    <row r="237" spans="1:7">
      <c r="A237" s="3">
        <v>10</v>
      </c>
      <c r="B237" s="3">
        <v>5</v>
      </c>
      <c r="C237" s="3">
        <v>93</v>
      </c>
      <c r="D237" s="3">
        <v>4</v>
      </c>
      <c r="E237" s="3">
        <v>-101.843</v>
      </c>
      <c r="F237" s="4" t="str">
        <f>HYPERLINK("http://141.218.60.56/~jnz1568/getInfo.php?workbook=10_05.xlsx&amp;sheet=A0&amp;row=237&amp;col=6&amp;number=2090000&amp;sourceID=14","2090000")</f>
        <v>2090000</v>
      </c>
      <c r="G237" s="4" t="str">
        <f>HYPERLINK("http://141.218.60.56/~jnz1568/getInfo.php?workbook=10_05.xlsx&amp;sheet=A0&amp;row=237&amp;col=7&amp;number=0&amp;sourceID=14","0")</f>
        <v>0</v>
      </c>
    </row>
    <row r="238" spans="1:7">
      <c r="A238" s="3">
        <v>10</v>
      </c>
      <c r="B238" s="3">
        <v>5</v>
      </c>
      <c r="C238" s="3">
        <v>94</v>
      </c>
      <c r="D238" s="3">
        <v>4</v>
      </c>
      <c r="E238" s="3">
        <v>-101.827</v>
      </c>
      <c r="F238" s="4" t="str">
        <f>HYPERLINK("http://141.218.60.56/~jnz1568/getInfo.php?workbook=10_05.xlsx&amp;sheet=A0&amp;row=238&amp;col=6&amp;number=494&amp;sourceID=14","494")</f>
        <v>494</v>
      </c>
      <c r="G238" s="4" t="str">
        <f>HYPERLINK("http://141.218.60.56/~jnz1568/getInfo.php?workbook=10_05.xlsx&amp;sheet=A0&amp;row=238&amp;col=7&amp;number=0&amp;sourceID=14","0")</f>
        <v>0</v>
      </c>
    </row>
    <row r="239" spans="1:7">
      <c r="A239" s="3">
        <v>10</v>
      </c>
      <c r="B239" s="3">
        <v>5</v>
      </c>
      <c r="C239" s="3">
        <v>95</v>
      </c>
      <c r="D239" s="3">
        <v>4</v>
      </c>
      <c r="E239" s="3">
        <v>101.802</v>
      </c>
      <c r="F239" s="4" t="str">
        <f>HYPERLINK("http://141.218.60.56/~jnz1568/getInfo.php?workbook=10_05.xlsx&amp;sheet=A0&amp;row=239&amp;col=6&amp;number=9700000000&amp;sourceID=14","9700000000")</f>
        <v>9700000000</v>
      </c>
      <c r="G239" s="4" t="str">
        <f>HYPERLINK("http://141.218.60.56/~jnz1568/getInfo.php?workbook=10_05.xlsx&amp;sheet=A0&amp;row=239&amp;col=7&amp;number=0&amp;sourceID=14","0")</f>
        <v>0</v>
      </c>
    </row>
    <row r="240" spans="1:7">
      <c r="A240" s="3">
        <v>10</v>
      </c>
      <c r="B240" s="3">
        <v>5</v>
      </c>
      <c r="C240" s="3">
        <v>96</v>
      </c>
      <c r="D240" s="3">
        <v>4</v>
      </c>
      <c r="E240" s="3">
        <v>100.494</v>
      </c>
      <c r="F240" s="4" t="str">
        <f>HYPERLINK("http://141.218.60.56/~jnz1568/getInfo.php?workbook=10_05.xlsx&amp;sheet=A0&amp;row=240&amp;col=6&amp;number=98600&amp;sourceID=14","98600")</f>
        <v>98600</v>
      </c>
      <c r="G240" s="4" t="str">
        <f>HYPERLINK("http://141.218.60.56/~jnz1568/getInfo.php?workbook=10_05.xlsx&amp;sheet=A0&amp;row=240&amp;col=7&amp;number=0&amp;sourceID=14","0")</f>
        <v>0</v>
      </c>
    </row>
    <row r="241" spans="1:7">
      <c r="A241" s="3">
        <v>10</v>
      </c>
      <c r="B241" s="3">
        <v>5</v>
      </c>
      <c r="C241" s="3">
        <v>98</v>
      </c>
      <c r="D241" s="3">
        <v>4</v>
      </c>
      <c r="E241" s="3">
        <v>-100.126</v>
      </c>
      <c r="F241" s="4" t="str">
        <f>HYPERLINK("http://141.218.60.56/~jnz1568/getInfo.php?workbook=10_05.xlsx&amp;sheet=A0&amp;row=241&amp;col=6&amp;number=3500000000&amp;sourceID=14","3500000000")</f>
        <v>3500000000</v>
      </c>
      <c r="G241" s="4" t="str">
        <f>HYPERLINK("http://141.218.60.56/~jnz1568/getInfo.php?workbook=10_05.xlsx&amp;sheet=A0&amp;row=241&amp;col=7&amp;number=0&amp;sourceID=14","0")</f>
        <v>0</v>
      </c>
    </row>
    <row r="242" spans="1:7">
      <c r="A242" s="3">
        <v>10</v>
      </c>
      <c r="B242" s="3">
        <v>5</v>
      </c>
      <c r="C242" s="3">
        <v>101</v>
      </c>
      <c r="D242" s="3">
        <v>4</v>
      </c>
      <c r="E242" s="3">
        <v>-100.083</v>
      </c>
      <c r="F242" s="4" t="str">
        <f>HYPERLINK("http://141.218.60.56/~jnz1568/getInfo.php?workbook=10_05.xlsx&amp;sheet=A0&amp;row=242&amp;col=6&amp;number=582000000&amp;sourceID=14","582000000")</f>
        <v>582000000</v>
      </c>
      <c r="G242" s="4" t="str">
        <f>HYPERLINK("http://141.218.60.56/~jnz1568/getInfo.php?workbook=10_05.xlsx&amp;sheet=A0&amp;row=242&amp;col=7&amp;number=0&amp;sourceID=14","0")</f>
        <v>0</v>
      </c>
    </row>
    <row r="243" spans="1:7">
      <c r="A243" s="3">
        <v>10</v>
      </c>
      <c r="B243" s="3">
        <v>5</v>
      </c>
      <c r="C243" s="3">
        <v>103</v>
      </c>
      <c r="D243" s="3">
        <v>4</v>
      </c>
      <c r="E243" s="3">
        <v>-100.008</v>
      </c>
      <c r="F243" s="4" t="str">
        <f>HYPERLINK("http://141.218.60.56/~jnz1568/getInfo.php?workbook=10_05.xlsx&amp;sheet=A0&amp;row=243&amp;col=6&amp;number=1340000000&amp;sourceID=14","1340000000")</f>
        <v>1340000000</v>
      </c>
      <c r="G243" s="4" t="str">
        <f>HYPERLINK("http://141.218.60.56/~jnz1568/getInfo.php?workbook=10_05.xlsx&amp;sheet=A0&amp;row=243&amp;col=7&amp;number=0&amp;sourceID=14","0")</f>
        <v>0</v>
      </c>
    </row>
    <row r="244" spans="1:7">
      <c r="A244" s="3">
        <v>10</v>
      </c>
      <c r="B244" s="3">
        <v>5</v>
      </c>
      <c r="C244" s="3">
        <v>110</v>
      </c>
      <c r="D244" s="3">
        <v>4</v>
      </c>
      <c r="E244" s="3">
        <v>-99.382</v>
      </c>
      <c r="F244" s="4" t="str">
        <f>HYPERLINK("http://141.218.60.56/~jnz1568/getInfo.php?workbook=10_05.xlsx&amp;sheet=A0&amp;row=244&amp;col=6&amp;number=1550000&amp;sourceID=14","1550000")</f>
        <v>1550000</v>
      </c>
      <c r="G244" s="4" t="str">
        <f>HYPERLINK("http://141.218.60.56/~jnz1568/getInfo.php?workbook=10_05.xlsx&amp;sheet=A0&amp;row=244&amp;col=7&amp;number=0&amp;sourceID=14","0")</f>
        <v>0</v>
      </c>
    </row>
    <row r="245" spans="1:7">
      <c r="A245" s="3">
        <v>10</v>
      </c>
      <c r="B245" s="3">
        <v>5</v>
      </c>
      <c r="C245" s="3">
        <v>112</v>
      </c>
      <c r="D245" s="3">
        <v>4</v>
      </c>
      <c r="E245" s="3">
        <v>-99.317</v>
      </c>
      <c r="F245" s="4" t="str">
        <f>HYPERLINK("http://141.218.60.56/~jnz1568/getInfo.php?workbook=10_05.xlsx&amp;sheet=A0&amp;row=245&amp;col=6&amp;number=2310000&amp;sourceID=14","2310000")</f>
        <v>2310000</v>
      </c>
      <c r="G245" s="4" t="str">
        <f>HYPERLINK("http://141.218.60.56/~jnz1568/getInfo.php?workbook=10_05.xlsx&amp;sheet=A0&amp;row=245&amp;col=7&amp;number=0&amp;sourceID=14","0")</f>
        <v>0</v>
      </c>
    </row>
    <row r="246" spans="1:7">
      <c r="A246" s="3">
        <v>10</v>
      </c>
      <c r="B246" s="3">
        <v>5</v>
      </c>
      <c r="C246" s="3">
        <v>113</v>
      </c>
      <c r="D246" s="3">
        <v>4</v>
      </c>
      <c r="E246" s="3">
        <v>99.244</v>
      </c>
      <c r="F246" s="4" t="str">
        <f>HYPERLINK("http://141.218.60.56/~jnz1568/getInfo.php?workbook=10_05.xlsx&amp;sheet=A0&amp;row=246&amp;col=6&amp;number=123000&amp;sourceID=14","123000")</f>
        <v>123000</v>
      </c>
      <c r="G246" s="4" t="str">
        <f>HYPERLINK("http://141.218.60.56/~jnz1568/getInfo.php?workbook=10_05.xlsx&amp;sheet=A0&amp;row=246&amp;col=7&amp;number=0&amp;sourceID=14","0")</f>
        <v>0</v>
      </c>
    </row>
    <row r="247" spans="1:7">
      <c r="A247" s="3">
        <v>10</v>
      </c>
      <c r="B247" s="3">
        <v>5</v>
      </c>
      <c r="C247" s="3">
        <v>114</v>
      </c>
      <c r="D247" s="3">
        <v>4</v>
      </c>
      <c r="E247" s="3">
        <v>99.244</v>
      </c>
      <c r="F247" s="4" t="str">
        <f>HYPERLINK("http://141.218.60.56/~jnz1568/getInfo.php?workbook=10_05.xlsx&amp;sheet=A0&amp;row=247&amp;col=6&amp;number=35800&amp;sourceID=14","35800")</f>
        <v>35800</v>
      </c>
      <c r="G247" s="4" t="str">
        <f>HYPERLINK("http://141.218.60.56/~jnz1568/getInfo.php?workbook=10_05.xlsx&amp;sheet=A0&amp;row=247&amp;col=7&amp;number=0&amp;sourceID=14","0")</f>
        <v>0</v>
      </c>
    </row>
    <row r="248" spans="1:7">
      <c r="A248" s="3">
        <v>10</v>
      </c>
      <c r="B248" s="3">
        <v>5</v>
      </c>
      <c r="C248" s="3">
        <v>127</v>
      </c>
      <c r="D248" s="3">
        <v>4</v>
      </c>
      <c r="E248" s="3">
        <v>-98.014</v>
      </c>
      <c r="F248" s="4" t="str">
        <f>HYPERLINK("http://141.218.60.56/~jnz1568/getInfo.php?workbook=10_05.xlsx&amp;sheet=A0&amp;row=248&amp;col=6&amp;number=134000&amp;sourceID=14","134000")</f>
        <v>134000</v>
      </c>
      <c r="G248" s="4" t="str">
        <f>HYPERLINK("http://141.218.60.56/~jnz1568/getInfo.php?workbook=10_05.xlsx&amp;sheet=A0&amp;row=248&amp;col=7&amp;number=0&amp;sourceID=14","0")</f>
        <v>0</v>
      </c>
    </row>
    <row r="249" spans="1:7">
      <c r="A249" s="3">
        <v>10</v>
      </c>
      <c r="B249" s="3">
        <v>5</v>
      </c>
      <c r="C249" s="3">
        <v>128</v>
      </c>
      <c r="D249" s="3">
        <v>4</v>
      </c>
      <c r="E249" s="3">
        <v>-97.971</v>
      </c>
      <c r="F249" s="4" t="str">
        <f>HYPERLINK("http://141.218.60.56/~jnz1568/getInfo.php?workbook=10_05.xlsx&amp;sheet=A0&amp;row=249&amp;col=6&amp;number=6900000&amp;sourceID=14","6900000")</f>
        <v>6900000</v>
      </c>
      <c r="G249" s="4" t="str">
        <f>HYPERLINK("http://141.218.60.56/~jnz1568/getInfo.php?workbook=10_05.xlsx&amp;sheet=A0&amp;row=249&amp;col=7&amp;number=0&amp;sourceID=14","0")</f>
        <v>0</v>
      </c>
    </row>
    <row r="250" spans="1:7">
      <c r="A250" s="3">
        <v>10</v>
      </c>
      <c r="B250" s="3">
        <v>5</v>
      </c>
      <c r="C250" s="3">
        <v>134</v>
      </c>
      <c r="D250" s="3">
        <v>4</v>
      </c>
      <c r="E250" s="3">
        <v>-97.543</v>
      </c>
      <c r="F250" s="4" t="str">
        <f>HYPERLINK("http://141.218.60.56/~jnz1568/getInfo.php?workbook=10_05.xlsx&amp;sheet=A0&amp;row=250&amp;col=6&amp;number=145000000&amp;sourceID=14","145000000")</f>
        <v>145000000</v>
      </c>
      <c r="G250" s="4" t="str">
        <f>HYPERLINK("http://141.218.60.56/~jnz1568/getInfo.php?workbook=10_05.xlsx&amp;sheet=A0&amp;row=250&amp;col=7&amp;number=0&amp;sourceID=14","0")</f>
        <v>0</v>
      </c>
    </row>
    <row r="251" spans="1:7">
      <c r="A251" s="3">
        <v>10</v>
      </c>
      <c r="B251" s="3">
        <v>5</v>
      </c>
      <c r="C251" s="3">
        <v>135</v>
      </c>
      <c r="D251" s="3">
        <v>4</v>
      </c>
      <c r="E251" s="3">
        <v>-97.52</v>
      </c>
      <c r="F251" s="4" t="str">
        <f>HYPERLINK("http://141.218.60.56/~jnz1568/getInfo.php?workbook=10_05.xlsx&amp;sheet=A0&amp;row=251&amp;col=6&amp;number=464000000&amp;sourceID=14","464000000")</f>
        <v>464000000</v>
      </c>
      <c r="G251" s="4" t="str">
        <f>HYPERLINK("http://141.218.60.56/~jnz1568/getInfo.php?workbook=10_05.xlsx&amp;sheet=A0&amp;row=251&amp;col=7&amp;number=0&amp;sourceID=14","0")</f>
        <v>0</v>
      </c>
    </row>
    <row r="252" spans="1:7">
      <c r="A252" s="3">
        <v>10</v>
      </c>
      <c r="B252" s="3">
        <v>5</v>
      </c>
      <c r="C252" s="3">
        <v>141</v>
      </c>
      <c r="D252" s="3">
        <v>4</v>
      </c>
      <c r="E252" s="3">
        <v>-97.097</v>
      </c>
      <c r="F252" s="4" t="str">
        <f>HYPERLINK("http://141.218.60.56/~jnz1568/getInfo.php?workbook=10_05.xlsx&amp;sheet=A0&amp;row=252&amp;col=6&amp;number=8460000000&amp;sourceID=14","8460000000")</f>
        <v>8460000000</v>
      </c>
      <c r="G252" s="4" t="str">
        <f>HYPERLINK("http://141.218.60.56/~jnz1568/getInfo.php?workbook=10_05.xlsx&amp;sheet=A0&amp;row=252&amp;col=7&amp;number=0&amp;sourceID=14","0")</f>
        <v>0</v>
      </c>
    </row>
    <row r="253" spans="1:7">
      <c r="A253" s="3">
        <v>10</v>
      </c>
      <c r="B253" s="3">
        <v>5</v>
      </c>
      <c r="C253" s="3">
        <v>142</v>
      </c>
      <c r="D253" s="3">
        <v>4</v>
      </c>
      <c r="E253" s="3">
        <v>97.096</v>
      </c>
      <c r="F253" s="4" t="str">
        <f>HYPERLINK("http://141.218.60.56/~jnz1568/getInfo.php?workbook=10_05.xlsx&amp;sheet=A0&amp;row=253&amp;col=6&amp;number=33100000000&amp;sourceID=14","33100000000")</f>
        <v>33100000000</v>
      </c>
      <c r="G253" s="4" t="str">
        <f>HYPERLINK("http://141.218.60.56/~jnz1568/getInfo.php?workbook=10_05.xlsx&amp;sheet=A0&amp;row=253&amp;col=7&amp;number=0&amp;sourceID=14","0")</f>
        <v>0</v>
      </c>
    </row>
    <row r="254" spans="1:7">
      <c r="A254" s="3">
        <v>10</v>
      </c>
      <c r="B254" s="3">
        <v>5</v>
      </c>
      <c r="C254" s="3">
        <v>143</v>
      </c>
      <c r="D254" s="3">
        <v>4</v>
      </c>
      <c r="E254" s="3">
        <v>97.073</v>
      </c>
      <c r="F254" s="4" t="str">
        <f>HYPERLINK("http://141.218.60.56/~jnz1568/getInfo.php?workbook=10_05.xlsx&amp;sheet=A0&amp;row=254&amp;col=6&amp;number=67900000000&amp;sourceID=14","67900000000")</f>
        <v>67900000000</v>
      </c>
      <c r="G254" s="4" t="str">
        <f>HYPERLINK("http://141.218.60.56/~jnz1568/getInfo.php?workbook=10_05.xlsx&amp;sheet=A0&amp;row=254&amp;col=7&amp;number=0&amp;sourceID=14","0")</f>
        <v>0</v>
      </c>
    </row>
    <row r="255" spans="1:7">
      <c r="A255" s="3">
        <v>10</v>
      </c>
      <c r="B255" s="3">
        <v>5</v>
      </c>
      <c r="C255" s="3">
        <v>145</v>
      </c>
      <c r="D255" s="3">
        <v>4</v>
      </c>
      <c r="E255" s="3">
        <v>96.968</v>
      </c>
      <c r="F255" s="4" t="str">
        <f>HYPERLINK("http://141.218.60.56/~jnz1568/getInfo.php?workbook=10_05.xlsx&amp;sheet=A0&amp;row=255&amp;col=6&amp;number=3880000000&amp;sourceID=14","3880000000")</f>
        <v>3880000000</v>
      </c>
      <c r="G255" s="4" t="str">
        <f>HYPERLINK("http://141.218.60.56/~jnz1568/getInfo.php?workbook=10_05.xlsx&amp;sheet=A0&amp;row=255&amp;col=7&amp;number=0&amp;sourceID=14","0")</f>
        <v>0</v>
      </c>
    </row>
    <row r="256" spans="1:7">
      <c r="A256" s="3">
        <v>10</v>
      </c>
      <c r="B256" s="3">
        <v>5</v>
      </c>
      <c r="C256" s="3">
        <v>146</v>
      </c>
      <c r="D256" s="3">
        <v>4</v>
      </c>
      <c r="E256" s="3">
        <v>96.968</v>
      </c>
      <c r="F256" s="4" t="str">
        <f>HYPERLINK("http://141.218.60.56/~jnz1568/getInfo.php?workbook=10_05.xlsx&amp;sheet=A0&amp;row=256&amp;col=6&amp;number=1010000000&amp;sourceID=14","1010000000")</f>
        <v>1010000000</v>
      </c>
      <c r="G256" s="4" t="str">
        <f>HYPERLINK("http://141.218.60.56/~jnz1568/getInfo.php?workbook=10_05.xlsx&amp;sheet=A0&amp;row=256&amp;col=7&amp;number=0&amp;sourceID=14","0")</f>
        <v>0</v>
      </c>
    </row>
    <row r="257" spans="1:7">
      <c r="A257" s="3">
        <v>10</v>
      </c>
      <c r="B257" s="3">
        <v>5</v>
      </c>
      <c r="C257" s="3">
        <v>147</v>
      </c>
      <c r="D257" s="3">
        <v>4</v>
      </c>
      <c r="E257" s="3">
        <v>96.913</v>
      </c>
      <c r="F257" s="4" t="str">
        <f>HYPERLINK("http://141.218.60.56/~jnz1568/getInfo.php?workbook=10_05.xlsx&amp;sheet=A0&amp;row=257&amp;col=6&amp;number=250000000&amp;sourceID=14","250000000")</f>
        <v>250000000</v>
      </c>
      <c r="G257" s="4" t="str">
        <f>HYPERLINK("http://141.218.60.56/~jnz1568/getInfo.php?workbook=10_05.xlsx&amp;sheet=A0&amp;row=257&amp;col=7&amp;number=0&amp;sourceID=14","0")</f>
        <v>0</v>
      </c>
    </row>
    <row r="258" spans="1:7">
      <c r="A258" s="3">
        <v>10</v>
      </c>
      <c r="B258" s="3">
        <v>5</v>
      </c>
      <c r="C258" s="3">
        <v>148</v>
      </c>
      <c r="D258" s="3">
        <v>4</v>
      </c>
      <c r="E258" s="3">
        <v>96.903</v>
      </c>
      <c r="F258" s="4" t="str">
        <f>HYPERLINK("http://141.218.60.56/~jnz1568/getInfo.php?workbook=10_05.xlsx&amp;sheet=A0&amp;row=258&amp;col=6&amp;number=11700000000&amp;sourceID=14","11700000000")</f>
        <v>11700000000</v>
      </c>
      <c r="G258" s="4" t="str">
        <f>HYPERLINK("http://141.218.60.56/~jnz1568/getInfo.php?workbook=10_05.xlsx&amp;sheet=A0&amp;row=258&amp;col=7&amp;number=0&amp;sourceID=14","0")</f>
        <v>0</v>
      </c>
    </row>
    <row r="259" spans="1:7">
      <c r="A259" s="3">
        <v>10</v>
      </c>
      <c r="B259" s="3">
        <v>5</v>
      </c>
      <c r="C259" s="3">
        <v>149</v>
      </c>
      <c r="D259" s="3">
        <v>4</v>
      </c>
      <c r="E259" s="3">
        <v>96.894</v>
      </c>
      <c r="F259" s="4" t="str">
        <f>HYPERLINK("http://141.218.60.56/~jnz1568/getInfo.php?workbook=10_05.xlsx&amp;sheet=A0&amp;row=259&amp;col=6&amp;number=43000000000&amp;sourceID=14","43000000000")</f>
        <v>43000000000</v>
      </c>
      <c r="G259" s="4" t="str">
        <f>HYPERLINK("http://141.218.60.56/~jnz1568/getInfo.php?workbook=10_05.xlsx&amp;sheet=A0&amp;row=259&amp;col=7&amp;number=0&amp;sourceID=14","0")</f>
        <v>0</v>
      </c>
    </row>
    <row r="260" spans="1:7">
      <c r="A260" s="3">
        <v>10</v>
      </c>
      <c r="B260" s="3">
        <v>5</v>
      </c>
      <c r="C260" s="3">
        <v>152</v>
      </c>
      <c r="D260" s="3">
        <v>4</v>
      </c>
      <c r="E260" s="3">
        <v>96.393</v>
      </c>
      <c r="F260" s="4" t="str">
        <f>HYPERLINK("http://141.218.60.56/~jnz1568/getInfo.php?workbook=10_05.xlsx&amp;sheet=A0&amp;row=260&amp;col=6&amp;number=1380000&amp;sourceID=14","1380000")</f>
        <v>1380000</v>
      </c>
      <c r="G260" s="4" t="str">
        <f>HYPERLINK("http://141.218.60.56/~jnz1568/getInfo.php?workbook=10_05.xlsx&amp;sheet=A0&amp;row=260&amp;col=7&amp;number=0&amp;sourceID=14","0")</f>
        <v>0</v>
      </c>
    </row>
    <row r="261" spans="1:7">
      <c r="A261" s="3">
        <v>10</v>
      </c>
      <c r="B261" s="3">
        <v>5</v>
      </c>
      <c r="C261" s="3">
        <v>158</v>
      </c>
      <c r="D261" s="3">
        <v>4</v>
      </c>
      <c r="E261" s="3">
        <v>-96.15</v>
      </c>
      <c r="F261" s="4" t="str">
        <f>HYPERLINK("http://141.218.60.56/~jnz1568/getInfo.php?workbook=10_05.xlsx&amp;sheet=A0&amp;row=261&amp;col=6&amp;number=9210000&amp;sourceID=14","9210000")</f>
        <v>9210000</v>
      </c>
      <c r="G261" s="4" t="str">
        <f>HYPERLINK("http://141.218.60.56/~jnz1568/getInfo.php?workbook=10_05.xlsx&amp;sheet=A0&amp;row=261&amp;col=7&amp;number=0&amp;sourceID=14","0")</f>
        <v>0</v>
      </c>
    </row>
    <row r="262" spans="1:7">
      <c r="A262" s="3">
        <v>10</v>
      </c>
      <c r="B262" s="3">
        <v>5</v>
      </c>
      <c r="C262" s="3">
        <v>159</v>
      </c>
      <c r="D262" s="3">
        <v>4</v>
      </c>
      <c r="E262" s="3">
        <v>-96.11</v>
      </c>
      <c r="F262" s="4" t="str">
        <f>HYPERLINK("http://141.218.60.56/~jnz1568/getInfo.php?workbook=10_05.xlsx&amp;sheet=A0&amp;row=262&amp;col=6&amp;number=1880000&amp;sourceID=14","1880000")</f>
        <v>1880000</v>
      </c>
      <c r="G262" s="4" t="str">
        <f>HYPERLINK("http://141.218.60.56/~jnz1568/getInfo.php?workbook=10_05.xlsx&amp;sheet=A0&amp;row=262&amp;col=7&amp;number=0&amp;sourceID=14","0")</f>
        <v>0</v>
      </c>
    </row>
    <row r="263" spans="1:7">
      <c r="A263" s="3">
        <v>10</v>
      </c>
      <c r="B263" s="3">
        <v>5</v>
      </c>
      <c r="C263" s="3">
        <v>164</v>
      </c>
      <c r="D263" s="3">
        <v>4</v>
      </c>
      <c r="E263" s="3">
        <v>-92.03</v>
      </c>
      <c r="F263" s="4" t="str">
        <f>HYPERLINK("http://141.218.60.56/~jnz1568/getInfo.php?workbook=10_05.xlsx&amp;sheet=A0&amp;row=263&amp;col=6&amp;number=2580&amp;sourceID=14","2580")</f>
        <v>2580</v>
      </c>
      <c r="G263" s="4" t="str">
        <f>HYPERLINK("http://141.218.60.56/~jnz1568/getInfo.php?workbook=10_05.xlsx&amp;sheet=A0&amp;row=263&amp;col=7&amp;number=0&amp;sourceID=14","0")</f>
        <v>0</v>
      </c>
    </row>
    <row r="264" spans="1:7">
      <c r="A264" s="3">
        <v>10</v>
      </c>
      <c r="B264" s="3">
        <v>5</v>
      </c>
      <c r="C264" s="3">
        <v>165</v>
      </c>
      <c r="D264" s="3">
        <v>4</v>
      </c>
      <c r="E264" s="3">
        <v>-92.019</v>
      </c>
      <c r="F264" s="4" t="str">
        <f>HYPERLINK("http://141.218.60.56/~jnz1568/getInfo.php?workbook=10_05.xlsx&amp;sheet=A0&amp;row=264&amp;col=6&amp;number=15300&amp;sourceID=14","15300")</f>
        <v>15300</v>
      </c>
      <c r="G264" s="4" t="str">
        <f>HYPERLINK("http://141.218.60.56/~jnz1568/getInfo.php?workbook=10_05.xlsx&amp;sheet=A0&amp;row=264&amp;col=7&amp;number=0&amp;sourceID=14","0")</f>
        <v>0</v>
      </c>
    </row>
    <row r="265" spans="1:7">
      <c r="A265" s="3">
        <v>10</v>
      </c>
      <c r="B265" s="3">
        <v>5</v>
      </c>
      <c r="C265" s="3">
        <v>166</v>
      </c>
      <c r="D265" s="3">
        <v>4</v>
      </c>
      <c r="E265" s="3">
        <v>-89.782</v>
      </c>
      <c r="F265" s="4" t="str">
        <f>HYPERLINK("http://141.218.60.56/~jnz1568/getInfo.php?workbook=10_05.xlsx&amp;sheet=A0&amp;row=265&amp;col=6&amp;number=255&amp;sourceID=14","255")</f>
        <v>255</v>
      </c>
      <c r="G265" s="4" t="str">
        <f>HYPERLINK("http://141.218.60.56/~jnz1568/getInfo.php?workbook=10_05.xlsx&amp;sheet=A0&amp;row=265&amp;col=7&amp;number=0&amp;sourceID=14","0")</f>
        <v>0</v>
      </c>
    </row>
    <row r="266" spans="1:7">
      <c r="A266" s="3">
        <v>10</v>
      </c>
      <c r="B266" s="3">
        <v>5</v>
      </c>
      <c r="C266" s="3">
        <v>167</v>
      </c>
      <c r="D266" s="3">
        <v>4</v>
      </c>
      <c r="E266" s="3">
        <v>-89.778</v>
      </c>
      <c r="F266" s="4" t="str">
        <f>HYPERLINK("http://141.218.60.56/~jnz1568/getInfo.php?workbook=10_05.xlsx&amp;sheet=A0&amp;row=266&amp;col=6&amp;number=12200&amp;sourceID=14","12200")</f>
        <v>12200</v>
      </c>
      <c r="G266" s="4" t="str">
        <f>HYPERLINK("http://141.218.60.56/~jnz1568/getInfo.php?workbook=10_05.xlsx&amp;sheet=A0&amp;row=266&amp;col=7&amp;number=0&amp;sourceID=14","0")</f>
        <v>0</v>
      </c>
    </row>
    <row r="267" spans="1:7">
      <c r="A267" s="3">
        <v>10</v>
      </c>
      <c r="B267" s="3">
        <v>5</v>
      </c>
      <c r="C267" s="3">
        <v>176</v>
      </c>
      <c r="D267" s="3">
        <v>4</v>
      </c>
      <c r="E267" s="3">
        <v>-87.311</v>
      </c>
      <c r="F267" s="4" t="str">
        <f>HYPERLINK("http://141.218.60.56/~jnz1568/getInfo.php?workbook=10_05.xlsx&amp;sheet=A0&amp;row=267&amp;col=6&amp;number=24100&amp;sourceID=14","24100")</f>
        <v>24100</v>
      </c>
      <c r="G267" s="4" t="str">
        <f>HYPERLINK("http://141.218.60.56/~jnz1568/getInfo.php?workbook=10_05.xlsx&amp;sheet=A0&amp;row=267&amp;col=7&amp;number=0&amp;sourceID=14","0")</f>
        <v>0</v>
      </c>
    </row>
    <row r="268" spans="1:7">
      <c r="A268" s="3">
        <v>10</v>
      </c>
      <c r="B268" s="3">
        <v>5</v>
      </c>
      <c r="C268" s="3">
        <v>177</v>
      </c>
      <c r="D268" s="3">
        <v>4</v>
      </c>
      <c r="E268" s="3">
        <v>-87.243</v>
      </c>
      <c r="F268" s="4" t="str">
        <f>HYPERLINK("http://141.218.60.56/~jnz1568/getInfo.php?workbook=10_05.xlsx&amp;sheet=A0&amp;row=268&amp;col=6&amp;number=27700&amp;sourceID=14","27700")</f>
        <v>27700</v>
      </c>
      <c r="G268" s="4" t="str">
        <f>HYPERLINK("http://141.218.60.56/~jnz1568/getInfo.php?workbook=10_05.xlsx&amp;sheet=A0&amp;row=268&amp;col=7&amp;number=0&amp;sourceID=14","0")</f>
        <v>0</v>
      </c>
    </row>
    <row r="269" spans="1:7">
      <c r="A269" s="3">
        <v>10</v>
      </c>
      <c r="B269" s="3">
        <v>5</v>
      </c>
      <c r="C269" s="3">
        <v>178</v>
      </c>
      <c r="D269" s="3">
        <v>4</v>
      </c>
      <c r="E269" s="3">
        <v>-87.24</v>
      </c>
      <c r="F269" s="4" t="str">
        <f>HYPERLINK("http://141.218.60.56/~jnz1568/getInfo.php?workbook=10_05.xlsx&amp;sheet=A0&amp;row=269&amp;col=6&amp;number=49200&amp;sourceID=14","49200")</f>
        <v>49200</v>
      </c>
      <c r="G269" s="4" t="str">
        <f>HYPERLINK("http://141.218.60.56/~jnz1568/getInfo.php?workbook=10_05.xlsx&amp;sheet=A0&amp;row=269&amp;col=7&amp;number=0&amp;sourceID=14","0")</f>
        <v>0</v>
      </c>
    </row>
    <row r="270" spans="1:7">
      <c r="A270" s="3">
        <v>10</v>
      </c>
      <c r="B270" s="3">
        <v>5</v>
      </c>
      <c r="C270" s="3">
        <v>179</v>
      </c>
      <c r="D270" s="3">
        <v>4</v>
      </c>
      <c r="E270" s="3">
        <v>-86.932</v>
      </c>
      <c r="F270" s="4" t="str">
        <f>HYPERLINK("http://141.218.60.56/~jnz1568/getInfo.php?workbook=10_05.xlsx&amp;sheet=A0&amp;row=270&amp;col=6&amp;number=16400&amp;sourceID=14","16400")</f>
        <v>16400</v>
      </c>
      <c r="G270" s="4" t="str">
        <f>HYPERLINK("http://141.218.60.56/~jnz1568/getInfo.php?workbook=10_05.xlsx&amp;sheet=A0&amp;row=270&amp;col=7&amp;number=0&amp;sourceID=14","0")</f>
        <v>0</v>
      </c>
    </row>
    <row r="271" spans="1:7">
      <c r="A271" s="3">
        <v>10</v>
      </c>
      <c r="B271" s="3">
        <v>5</v>
      </c>
      <c r="C271" s="3">
        <v>180</v>
      </c>
      <c r="D271" s="3">
        <v>4</v>
      </c>
      <c r="E271" s="3">
        <v>-86.93</v>
      </c>
      <c r="F271" s="4" t="str">
        <f>HYPERLINK("http://141.218.60.56/~jnz1568/getInfo.php?workbook=10_05.xlsx&amp;sheet=A0&amp;row=271&amp;col=6&amp;number=14100&amp;sourceID=14","14100")</f>
        <v>14100</v>
      </c>
      <c r="G271" s="4" t="str">
        <f>HYPERLINK("http://141.218.60.56/~jnz1568/getInfo.php?workbook=10_05.xlsx&amp;sheet=A0&amp;row=271&amp;col=7&amp;number=0&amp;sourceID=14","0")</f>
        <v>0</v>
      </c>
    </row>
    <row r="272" spans="1:7">
      <c r="A272" s="3">
        <v>10</v>
      </c>
      <c r="B272" s="3">
        <v>5</v>
      </c>
      <c r="C272" s="3">
        <v>11</v>
      </c>
      <c r="D272" s="3">
        <v>5</v>
      </c>
      <c r="E272" s="3">
        <v>454.078</v>
      </c>
      <c r="F272" s="4" t="str">
        <f>HYPERLINK("http://141.218.60.56/~jnz1568/getInfo.php?workbook=10_05.xlsx&amp;sheet=A0&amp;row=272&amp;col=6&amp;number=4650000000&amp;sourceID=14","4650000000")</f>
        <v>4650000000</v>
      </c>
      <c r="G272" s="4" t="str">
        <f>HYPERLINK("http://141.218.60.56/~jnz1568/getInfo.php?workbook=10_05.xlsx&amp;sheet=A0&amp;row=272&amp;col=7&amp;number=0&amp;sourceID=14","0")</f>
        <v>0</v>
      </c>
    </row>
    <row r="273" spans="1:7">
      <c r="A273" s="3">
        <v>10</v>
      </c>
      <c r="B273" s="3">
        <v>5</v>
      </c>
      <c r="C273" s="3">
        <v>12</v>
      </c>
      <c r="D273" s="3">
        <v>5</v>
      </c>
      <c r="E273" s="3">
        <v>387.264</v>
      </c>
      <c r="F273" s="4" t="str">
        <f>HYPERLINK("http://141.218.60.56/~jnz1568/getInfo.php?workbook=10_05.xlsx&amp;sheet=A0&amp;row=273&amp;col=6&amp;number=33300&amp;sourceID=14","33300")</f>
        <v>33300</v>
      </c>
      <c r="G273" s="4" t="str">
        <f>HYPERLINK("http://141.218.60.56/~jnz1568/getInfo.php?workbook=10_05.xlsx&amp;sheet=A0&amp;row=273&amp;col=7&amp;number=0&amp;sourceID=14","0")</f>
        <v>0</v>
      </c>
    </row>
    <row r="274" spans="1:7">
      <c r="A274" s="3">
        <v>10</v>
      </c>
      <c r="B274" s="3">
        <v>5</v>
      </c>
      <c r="C274" s="3">
        <v>13</v>
      </c>
      <c r="D274" s="3">
        <v>5</v>
      </c>
      <c r="E274" s="3">
        <v>387.368</v>
      </c>
      <c r="F274" s="4" t="str">
        <f>HYPERLINK("http://141.218.60.56/~jnz1568/getInfo.php?workbook=10_05.xlsx&amp;sheet=A0&amp;row=274&amp;col=6&amp;number=394000&amp;sourceID=14","394000")</f>
        <v>394000</v>
      </c>
      <c r="G274" s="4" t="str">
        <f>HYPERLINK("http://141.218.60.56/~jnz1568/getInfo.php?workbook=10_05.xlsx&amp;sheet=A0&amp;row=274&amp;col=7&amp;number=0&amp;sourceID=14","0")</f>
        <v>0</v>
      </c>
    </row>
    <row r="275" spans="1:7">
      <c r="A275" s="3">
        <v>10</v>
      </c>
      <c r="B275" s="3">
        <v>5</v>
      </c>
      <c r="C275" s="3">
        <v>15</v>
      </c>
      <c r="D275" s="3">
        <v>5</v>
      </c>
      <c r="E275" s="3">
        <v>328.232</v>
      </c>
      <c r="F275" s="4" t="str">
        <f>HYPERLINK("http://141.218.60.56/~jnz1568/getInfo.php?workbook=10_05.xlsx&amp;sheet=A0&amp;row=275&amp;col=6&amp;number=109000&amp;sourceID=14","109000")</f>
        <v>109000</v>
      </c>
      <c r="G275" s="4" t="str">
        <f>HYPERLINK("http://141.218.60.56/~jnz1568/getInfo.php?workbook=10_05.xlsx&amp;sheet=A0&amp;row=275&amp;col=7&amp;number=0&amp;sourceID=14","0")</f>
        <v>0</v>
      </c>
    </row>
    <row r="276" spans="1:7">
      <c r="A276" s="3">
        <v>10</v>
      </c>
      <c r="B276" s="3">
        <v>5</v>
      </c>
      <c r="C276" s="3">
        <v>18</v>
      </c>
      <c r="D276" s="3">
        <v>5</v>
      </c>
      <c r="E276" s="3">
        <v>149.217</v>
      </c>
      <c r="F276" s="4" t="str">
        <f>HYPERLINK("http://141.218.60.56/~jnz1568/getInfo.php?workbook=10_05.xlsx&amp;sheet=A0&amp;row=276&amp;col=6&amp;number=310000&amp;sourceID=14","310000")</f>
        <v>310000</v>
      </c>
      <c r="G276" s="4" t="str">
        <f>HYPERLINK("http://141.218.60.56/~jnz1568/getInfo.php?workbook=10_05.xlsx&amp;sheet=A0&amp;row=276&amp;col=7&amp;number=0&amp;sourceID=14","0")</f>
        <v>0</v>
      </c>
    </row>
    <row r="277" spans="1:7">
      <c r="A277" s="3">
        <v>10</v>
      </c>
      <c r="B277" s="3">
        <v>5</v>
      </c>
      <c r="C277" s="3">
        <v>22</v>
      </c>
      <c r="D277" s="3">
        <v>5</v>
      </c>
      <c r="E277" s="3">
        <v>136.489</v>
      </c>
      <c r="F277" s="4" t="str">
        <f>HYPERLINK("http://141.218.60.56/~jnz1568/getInfo.php?workbook=10_05.xlsx&amp;sheet=A0&amp;row=277&amp;col=6&amp;number=16300000000&amp;sourceID=14","16300000000")</f>
        <v>16300000000</v>
      </c>
      <c r="G277" s="4" t="str">
        <f>HYPERLINK("http://141.218.60.56/~jnz1568/getInfo.php?workbook=10_05.xlsx&amp;sheet=A0&amp;row=277&amp;col=7&amp;number=0&amp;sourceID=14","0")</f>
        <v>0</v>
      </c>
    </row>
    <row r="278" spans="1:7">
      <c r="A278" s="3">
        <v>10</v>
      </c>
      <c r="B278" s="3">
        <v>5</v>
      </c>
      <c r="C278" s="3">
        <v>23</v>
      </c>
      <c r="D278" s="3">
        <v>5</v>
      </c>
      <c r="E278" s="3">
        <v>136.348</v>
      </c>
      <c r="F278" s="4" t="str">
        <f>HYPERLINK("http://141.218.60.56/~jnz1568/getInfo.php?workbook=10_05.xlsx&amp;sheet=A0&amp;row=278&amp;col=6&amp;number=25300000000&amp;sourceID=14","25300000000")</f>
        <v>25300000000</v>
      </c>
      <c r="G278" s="4" t="str">
        <f>HYPERLINK("http://141.218.60.56/~jnz1568/getInfo.php?workbook=10_05.xlsx&amp;sheet=A0&amp;row=278&amp;col=7&amp;number=0&amp;sourceID=14","0")</f>
        <v>0</v>
      </c>
    </row>
    <row r="279" spans="1:7">
      <c r="A279" s="3">
        <v>10</v>
      </c>
      <c r="B279" s="3">
        <v>5</v>
      </c>
      <c r="C279" s="3">
        <v>25</v>
      </c>
      <c r="D279" s="3">
        <v>5</v>
      </c>
      <c r="E279" s="3">
        <v>132.421</v>
      </c>
      <c r="F279" s="4" t="str">
        <f>HYPERLINK("http://141.218.60.56/~jnz1568/getInfo.php?workbook=10_05.xlsx&amp;sheet=A0&amp;row=279&amp;col=6&amp;number=991000&amp;sourceID=14","991000")</f>
        <v>991000</v>
      </c>
      <c r="G279" s="4" t="str">
        <f>HYPERLINK("http://141.218.60.56/~jnz1568/getInfo.php?workbook=10_05.xlsx&amp;sheet=A0&amp;row=279&amp;col=7&amp;number=0&amp;sourceID=14","0")</f>
        <v>0</v>
      </c>
    </row>
    <row r="280" spans="1:7">
      <c r="A280" s="3">
        <v>10</v>
      </c>
      <c r="B280" s="3">
        <v>5</v>
      </c>
      <c r="C280" s="3">
        <v>38</v>
      </c>
      <c r="D280" s="3">
        <v>5</v>
      </c>
      <c r="E280" s="3">
        <v>-122.981</v>
      </c>
      <c r="F280" s="4" t="str">
        <f>HYPERLINK("http://141.218.60.56/~jnz1568/getInfo.php?workbook=10_05.xlsx&amp;sheet=A0&amp;row=280&amp;col=6&amp;number=5690000&amp;sourceID=14","5690000")</f>
        <v>5690000</v>
      </c>
      <c r="G280" s="4" t="str">
        <f>HYPERLINK("http://141.218.60.56/~jnz1568/getInfo.php?workbook=10_05.xlsx&amp;sheet=A0&amp;row=280&amp;col=7&amp;number=0&amp;sourceID=14","0")</f>
        <v>0</v>
      </c>
    </row>
    <row r="281" spans="1:7">
      <c r="A281" s="3">
        <v>10</v>
      </c>
      <c r="B281" s="3">
        <v>5</v>
      </c>
      <c r="C281" s="3">
        <v>39</v>
      </c>
      <c r="D281" s="3">
        <v>5</v>
      </c>
      <c r="E281" s="3">
        <v>-122.94</v>
      </c>
      <c r="F281" s="4" t="str">
        <f>HYPERLINK("http://141.218.60.56/~jnz1568/getInfo.php?workbook=10_05.xlsx&amp;sheet=A0&amp;row=281&amp;col=6&amp;number=73400000&amp;sourceID=14","73400000")</f>
        <v>73400000</v>
      </c>
      <c r="G281" s="4" t="str">
        <f>HYPERLINK("http://141.218.60.56/~jnz1568/getInfo.php?workbook=10_05.xlsx&amp;sheet=A0&amp;row=281&amp;col=7&amp;number=0&amp;sourceID=14","0")</f>
        <v>0</v>
      </c>
    </row>
    <row r="282" spans="1:7">
      <c r="A282" s="3">
        <v>10</v>
      </c>
      <c r="B282" s="3">
        <v>5</v>
      </c>
      <c r="C282" s="3">
        <v>41</v>
      </c>
      <c r="D282" s="3">
        <v>5</v>
      </c>
      <c r="E282" s="3">
        <v>-122.884</v>
      </c>
      <c r="F282" s="4" t="str">
        <f>HYPERLINK("http://141.218.60.56/~jnz1568/getInfo.php?workbook=10_05.xlsx&amp;sheet=A0&amp;row=282&amp;col=6&amp;number=281000000&amp;sourceID=14","281000000")</f>
        <v>281000000</v>
      </c>
      <c r="G282" s="4" t="str">
        <f>HYPERLINK("http://141.218.60.56/~jnz1568/getInfo.php?workbook=10_05.xlsx&amp;sheet=A0&amp;row=282&amp;col=7&amp;number=0&amp;sourceID=14","0")</f>
        <v>0</v>
      </c>
    </row>
    <row r="283" spans="1:7">
      <c r="A283" s="3">
        <v>10</v>
      </c>
      <c r="B283" s="3">
        <v>5</v>
      </c>
      <c r="C283" s="3">
        <v>44</v>
      </c>
      <c r="D283" s="3">
        <v>5</v>
      </c>
      <c r="E283" s="3">
        <v>121.215</v>
      </c>
      <c r="F283" s="4" t="str">
        <f>HYPERLINK("http://141.218.60.56/~jnz1568/getInfo.php?workbook=10_05.xlsx&amp;sheet=A0&amp;row=283&amp;col=6&amp;number=7920000000&amp;sourceID=14","7920000000")</f>
        <v>7920000000</v>
      </c>
      <c r="G283" s="4" t="str">
        <f>HYPERLINK("http://141.218.60.56/~jnz1568/getInfo.php?workbook=10_05.xlsx&amp;sheet=A0&amp;row=283&amp;col=7&amp;number=0&amp;sourceID=14","0")</f>
        <v>0</v>
      </c>
    </row>
    <row r="284" spans="1:7">
      <c r="A284" s="3">
        <v>10</v>
      </c>
      <c r="B284" s="3">
        <v>5</v>
      </c>
      <c r="C284" s="3">
        <v>45</v>
      </c>
      <c r="D284" s="3">
        <v>5</v>
      </c>
      <c r="E284" s="3">
        <v>121.201</v>
      </c>
      <c r="F284" s="4" t="str">
        <f>HYPERLINK("http://141.218.60.56/~jnz1568/getInfo.php?workbook=10_05.xlsx&amp;sheet=A0&amp;row=284&amp;col=6&amp;number=54300000000&amp;sourceID=14","54300000000")</f>
        <v>54300000000</v>
      </c>
      <c r="G284" s="4" t="str">
        <f>HYPERLINK("http://141.218.60.56/~jnz1568/getInfo.php?workbook=10_05.xlsx&amp;sheet=A0&amp;row=284&amp;col=7&amp;number=0&amp;sourceID=14","0")</f>
        <v>0</v>
      </c>
    </row>
    <row r="285" spans="1:7">
      <c r="A285" s="3">
        <v>10</v>
      </c>
      <c r="B285" s="3">
        <v>5</v>
      </c>
      <c r="C285" s="3">
        <v>46</v>
      </c>
      <c r="D285" s="3">
        <v>5</v>
      </c>
      <c r="E285" s="3">
        <v>121.157</v>
      </c>
      <c r="F285" s="4" t="str">
        <f>HYPERLINK("http://141.218.60.56/~jnz1568/getInfo.php?workbook=10_05.xlsx&amp;sheet=A0&amp;row=285&amp;col=6&amp;number=232000000000&amp;sourceID=14","232000000000")</f>
        <v>232000000000</v>
      </c>
      <c r="G285" s="4" t="str">
        <f>HYPERLINK("http://141.218.60.56/~jnz1568/getInfo.php?workbook=10_05.xlsx&amp;sheet=A0&amp;row=285&amp;col=7&amp;number=0&amp;sourceID=14","0")</f>
        <v>0</v>
      </c>
    </row>
    <row r="286" spans="1:7">
      <c r="A286" s="3">
        <v>10</v>
      </c>
      <c r="B286" s="3">
        <v>5</v>
      </c>
      <c r="C286" s="3">
        <v>47</v>
      </c>
      <c r="D286" s="3">
        <v>5</v>
      </c>
      <c r="E286" s="3">
        <v>120.973</v>
      </c>
      <c r="F286" s="4" t="str">
        <f>HYPERLINK("http://141.218.60.56/~jnz1568/getInfo.php?workbook=10_05.xlsx&amp;sheet=A0&amp;row=286&amp;col=6&amp;number=294000000&amp;sourceID=14","294000000")</f>
        <v>294000000</v>
      </c>
      <c r="G286" s="4" t="str">
        <f>HYPERLINK("http://141.218.60.56/~jnz1568/getInfo.php?workbook=10_05.xlsx&amp;sheet=A0&amp;row=286&amp;col=7&amp;number=0&amp;sourceID=14","0")</f>
        <v>0</v>
      </c>
    </row>
    <row r="287" spans="1:7">
      <c r="A287" s="3">
        <v>10</v>
      </c>
      <c r="B287" s="3">
        <v>5</v>
      </c>
      <c r="C287" s="3">
        <v>48</v>
      </c>
      <c r="D287" s="3">
        <v>5</v>
      </c>
      <c r="E287" s="3">
        <v>120.944</v>
      </c>
      <c r="F287" s="4" t="str">
        <f>HYPERLINK("http://141.218.60.56/~jnz1568/getInfo.php?workbook=10_05.xlsx&amp;sheet=A0&amp;row=287&amp;col=6&amp;number=4860000000&amp;sourceID=14","4860000000")</f>
        <v>4860000000</v>
      </c>
      <c r="G287" s="4" t="str">
        <f>HYPERLINK("http://141.218.60.56/~jnz1568/getInfo.php?workbook=10_05.xlsx&amp;sheet=A0&amp;row=287&amp;col=7&amp;number=0&amp;sourceID=14","0")</f>
        <v>0</v>
      </c>
    </row>
    <row r="288" spans="1:7">
      <c r="A288" s="3">
        <v>10</v>
      </c>
      <c r="B288" s="3">
        <v>5</v>
      </c>
      <c r="C288" s="3">
        <v>49</v>
      </c>
      <c r="D288" s="3">
        <v>5</v>
      </c>
      <c r="E288" s="3">
        <v>120.452</v>
      </c>
      <c r="F288" s="4" t="str">
        <f>HYPERLINK("http://141.218.60.56/~jnz1568/getInfo.php?workbook=10_05.xlsx&amp;sheet=A0&amp;row=288&amp;col=6&amp;number=101000000000&amp;sourceID=14","101000000000")</f>
        <v>101000000000</v>
      </c>
      <c r="G288" s="4" t="str">
        <f>HYPERLINK("http://141.218.60.56/~jnz1568/getInfo.php?workbook=10_05.xlsx&amp;sheet=A0&amp;row=288&amp;col=7&amp;number=0&amp;sourceID=14","0")</f>
        <v>0</v>
      </c>
    </row>
    <row r="289" spans="1:7">
      <c r="A289" s="3">
        <v>10</v>
      </c>
      <c r="B289" s="3">
        <v>5</v>
      </c>
      <c r="C289" s="3">
        <v>50</v>
      </c>
      <c r="D289" s="3">
        <v>5</v>
      </c>
      <c r="E289" s="3">
        <v>120.408</v>
      </c>
      <c r="F289" s="4" t="str">
        <f>HYPERLINK("http://141.218.60.56/~jnz1568/getInfo.php?workbook=10_05.xlsx&amp;sheet=A0&amp;row=289&amp;col=6&amp;number=61700000000&amp;sourceID=14","61700000000")</f>
        <v>61700000000</v>
      </c>
      <c r="G289" s="4" t="str">
        <f>HYPERLINK("http://141.218.60.56/~jnz1568/getInfo.php?workbook=10_05.xlsx&amp;sheet=A0&amp;row=289&amp;col=7&amp;number=0&amp;sourceID=14","0")</f>
        <v>0</v>
      </c>
    </row>
    <row r="290" spans="1:7">
      <c r="A290" s="3">
        <v>10</v>
      </c>
      <c r="B290" s="3">
        <v>5</v>
      </c>
      <c r="C290" s="3">
        <v>52</v>
      </c>
      <c r="D290" s="3">
        <v>5</v>
      </c>
      <c r="E290" s="3">
        <v>119.208</v>
      </c>
      <c r="F290" s="4" t="str">
        <f>HYPERLINK("http://141.218.60.56/~jnz1568/getInfo.php?workbook=10_05.xlsx&amp;sheet=A0&amp;row=290&amp;col=6&amp;number=213000&amp;sourceID=14","213000")</f>
        <v>213000</v>
      </c>
      <c r="G290" s="4" t="str">
        <f>HYPERLINK("http://141.218.60.56/~jnz1568/getInfo.php?workbook=10_05.xlsx&amp;sheet=A0&amp;row=290&amp;col=7&amp;number=0&amp;sourceID=14","0")</f>
        <v>0</v>
      </c>
    </row>
    <row r="291" spans="1:7">
      <c r="A291" s="3">
        <v>10</v>
      </c>
      <c r="B291" s="3">
        <v>5</v>
      </c>
      <c r="C291" s="3">
        <v>54</v>
      </c>
      <c r="D291" s="3">
        <v>5</v>
      </c>
      <c r="E291" s="3">
        <v>118.412</v>
      </c>
      <c r="F291" s="4" t="str">
        <f>HYPERLINK("http://141.218.60.56/~jnz1568/getInfo.php?workbook=10_05.xlsx&amp;sheet=A0&amp;row=291&amp;col=6&amp;number=116000&amp;sourceID=14","116000")</f>
        <v>116000</v>
      </c>
      <c r="G291" s="4" t="str">
        <f>HYPERLINK("http://141.218.60.56/~jnz1568/getInfo.php?workbook=10_05.xlsx&amp;sheet=A0&amp;row=291&amp;col=7&amp;number=0&amp;sourceID=14","0")</f>
        <v>0</v>
      </c>
    </row>
    <row r="292" spans="1:7">
      <c r="A292" s="3">
        <v>10</v>
      </c>
      <c r="B292" s="3">
        <v>5</v>
      </c>
      <c r="C292" s="3">
        <v>55</v>
      </c>
      <c r="D292" s="3">
        <v>5</v>
      </c>
      <c r="E292" s="3">
        <v>118.3</v>
      </c>
      <c r="F292" s="4" t="str">
        <f>HYPERLINK("http://141.218.60.56/~jnz1568/getInfo.php?workbook=10_05.xlsx&amp;sheet=A0&amp;row=292&amp;col=6&amp;number=968000&amp;sourceID=14","968000")</f>
        <v>968000</v>
      </c>
      <c r="G292" s="4" t="str">
        <f>HYPERLINK("http://141.218.60.56/~jnz1568/getInfo.php?workbook=10_05.xlsx&amp;sheet=A0&amp;row=292&amp;col=7&amp;number=0&amp;sourceID=14","0")</f>
        <v>0</v>
      </c>
    </row>
    <row r="293" spans="1:7">
      <c r="A293" s="3">
        <v>10</v>
      </c>
      <c r="B293" s="3">
        <v>5</v>
      </c>
      <c r="C293" s="3">
        <v>56</v>
      </c>
      <c r="D293" s="3">
        <v>5</v>
      </c>
      <c r="E293" s="3">
        <v>117.535</v>
      </c>
      <c r="F293" s="4" t="str">
        <f>HYPERLINK("http://141.218.60.56/~jnz1568/getInfo.php?workbook=10_05.xlsx&amp;sheet=A0&amp;row=293&amp;col=6&amp;number=572000&amp;sourceID=14","572000")</f>
        <v>572000</v>
      </c>
      <c r="G293" s="4" t="str">
        <f>HYPERLINK("http://141.218.60.56/~jnz1568/getInfo.php?workbook=10_05.xlsx&amp;sheet=A0&amp;row=293&amp;col=7&amp;number=0&amp;sourceID=14","0")</f>
        <v>0</v>
      </c>
    </row>
    <row r="294" spans="1:7">
      <c r="A294" s="3">
        <v>10</v>
      </c>
      <c r="B294" s="3">
        <v>5</v>
      </c>
      <c r="C294" s="3">
        <v>65</v>
      </c>
      <c r="D294" s="3">
        <v>5</v>
      </c>
      <c r="E294" s="3">
        <v>-110.586</v>
      </c>
      <c r="F294" s="4" t="str">
        <f>HYPERLINK("http://141.218.60.56/~jnz1568/getInfo.php?workbook=10_05.xlsx&amp;sheet=A0&amp;row=294&amp;col=6&amp;number=63400&amp;sourceID=14","63400")</f>
        <v>63400</v>
      </c>
      <c r="G294" s="4" t="str">
        <f>HYPERLINK("http://141.218.60.56/~jnz1568/getInfo.php?workbook=10_05.xlsx&amp;sheet=A0&amp;row=294&amp;col=7&amp;number=0&amp;sourceID=14","0")</f>
        <v>0</v>
      </c>
    </row>
    <row r="295" spans="1:7">
      <c r="A295" s="3">
        <v>10</v>
      </c>
      <c r="B295" s="3">
        <v>5</v>
      </c>
      <c r="C295" s="3">
        <v>68</v>
      </c>
      <c r="D295" s="3">
        <v>5</v>
      </c>
      <c r="E295" s="3">
        <v>108.624</v>
      </c>
      <c r="F295" s="4" t="str">
        <f>HYPERLINK("http://141.218.60.56/~jnz1568/getInfo.php?workbook=10_05.xlsx&amp;sheet=A0&amp;row=295&amp;col=6&amp;number=45000&amp;sourceID=14","45000")</f>
        <v>45000</v>
      </c>
      <c r="G295" s="4" t="str">
        <f>HYPERLINK("http://141.218.60.56/~jnz1568/getInfo.php?workbook=10_05.xlsx&amp;sheet=A0&amp;row=295&amp;col=7&amp;number=0&amp;sourceID=14","0")</f>
        <v>0</v>
      </c>
    </row>
    <row r="296" spans="1:7">
      <c r="A296" s="3">
        <v>10</v>
      </c>
      <c r="B296" s="3">
        <v>5</v>
      </c>
      <c r="C296" s="3">
        <v>69</v>
      </c>
      <c r="D296" s="3">
        <v>5</v>
      </c>
      <c r="E296" s="3">
        <v>108.624</v>
      </c>
      <c r="F296" s="4" t="str">
        <f>HYPERLINK("http://141.218.60.56/~jnz1568/getInfo.php?workbook=10_05.xlsx&amp;sheet=A0&amp;row=296&amp;col=6&amp;number=622000&amp;sourceID=14","622000")</f>
        <v>622000</v>
      </c>
      <c r="G296" s="4" t="str">
        <f>HYPERLINK("http://141.218.60.56/~jnz1568/getInfo.php?workbook=10_05.xlsx&amp;sheet=A0&amp;row=296&amp;col=7&amp;number=0&amp;sourceID=14","0")</f>
        <v>0</v>
      </c>
    </row>
    <row r="297" spans="1:7">
      <c r="A297" s="3">
        <v>10</v>
      </c>
      <c r="B297" s="3">
        <v>5</v>
      </c>
      <c r="C297" s="3">
        <v>73</v>
      </c>
      <c r="D297" s="3">
        <v>5</v>
      </c>
      <c r="E297" s="3">
        <v>107.675</v>
      </c>
      <c r="F297" s="4" t="str">
        <f>HYPERLINK("http://141.218.60.56/~jnz1568/getInfo.php?workbook=10_05.xlsx&amp;sheet=A0&amp;row=297&amp;col=6&amp;number=55800&amp;sourceID=14","55800")</f>
        <v>55800</v>
      </c>
      <c r="G297" s="4" t="str">
        <f>HYPERLINK("http://141.218.60.56/~jnz1568/getInfo.php?workbook=10_05.xlsx&amp;sheet=A0&amp;row=297&amp;col=7&amp;number=0&amp;sourceID=14","0")</f>
        <v>0</v>
      </c>
    </row>
    <row r="298" spans="1:7">
      <c r="A298" s="3">
        <v>10</v>
      </c>
      <c r="B298" s="3">
        <v>5</v>
      </c>
      <c r="C298" s="3">
        <v>74</v>
      </c>
      <c r="D298" s="3">
        <v>5</v>
      </c>
      <c r="E298" s="3">
        <v>107.661</v>
      </c>
      <c r="F298" s="4" t="str">
        <f>HYPERLINK("http://141.218.60.56/~jnz1568/getInfo.php?workbook=10_05.xlsx&amp;sheet=A0&amp;row=298&amp;col=6&amp;number=491000&amp;sourceID=14","491000")</f>
        <v>491000</v>
      </c>
      <c r="G298" s="4" t="str">
        <f>HYPERLINK("http://141.218.60.56/~jnz1568/getInfo.php?workbook=10_05.xlsx&amp;sheet=A0&amp;row=298&amp;col=7&amp;number=0&amp;sourceID=14","0")</f>
        <v>0</v>
      </c>
    </row>
    <row r="299" spans="1:7">
      <c r="A299" s="3">
        <v>10</v>
      </c>
      <c r="B299" s="3">
        <v>5</v>
      </c>
      <c r="C299" s="3">
        <v>76</v>
      </c>
      <c r="D299" s="3">
        <v>5</v>
      </c>
      <c r="E299" s="3">
        <v>107.419</v>
      </c>
      <c r="F299" s="4" t="str">
        <f>HYPERLINK("http://141.218.60.56/~jnz1568/getInfo.php?workbook=10_05.xlsx&amp;sheet=A0&amp;row=299&amp;col=6&amp;number=179000&amp;sourceID=14","179000")</f>
        <v>179000</v>
      </c>
      <c r="G299" s="4" t="str">
        <f>HYPERLINK("http://141.218.60.56/~jnz1568/getInfo.php?workbook=10_05.xlsx&amp;sheet=A0&amp;row=299&amp;col=7&amp;number=0&amp;sourceID=14","0")</f>
        <v>0</v>
      </c>
    </row>
    <row r="300" spans="1:7">
      <c r="A300" s="3">
        <v>10</v>
      </c>
      <c r="B300" s="3">
        <v>5</v>
      </c>
      <c r="C300" s="3">
        <v>83</v>
      </c>
      <c r="D300" s="3">
        <v>5</v>
      </c>
      <c r="E300" s="3">
        <v>104.095</v>
      </c>
      <c r="F300" s="4" t="str">
        <f>HYPERLINK("http://141.218.60.56/~jnz1568/getInfo.php?workbook=10_05.xlsx&amp;sheet=A0&amp;row=300&amp;col=6&amp;number=586000000&amp;sourceID=14","586000000")</f>
        <v>586000000</v>
      </c>
      <c r="G300" s="4" t="str">
        <f>HYPERLINK("http://141.218.60.56/~jnz1568/getInfo.php?workbook=10_05.xlsx&amp;sheet=A0&amp;row=300&amp;col=7&amp;number=0&amp;sourceID=14","0")</f>
        <v>0</v>
      </c>
    </row>
    <row r="301" spans="1:7">
      <c r="A301" s="3">
        <v>10</v>
      </c>
      <c r="B301" s="3">
        <v>5</v>
      </c>
      <c r="C301" s="3">
        <v>84</v>
      </c>
      <c r="D301" s="3">
        <v>5</v>
      </c>
      <c r="E301" s="3">
        <v>104.095</v>
      </c>
      <c r="F301" s="4" t="str">
        <f>HYPERLINK("http://141.218.60.56/~jnz1568/getInfo.php?workbook=10_05.xlsx&amp;sheet=A0&amp;row=301&amp;col=6&amp;number=4090000000&amp;sourceID=14","4090000000")</f>
        <v>4090000000</v>
      </c>
      <c r="G301" s="4" t="str">
        <f>HYPERLINK("http://141.218.60.56/~jnz1568/getInfo.php?workbook=10_05.xlsx&amp;sheet=A0&amp;row=301&amp;col=7&amp;number=0&amp;sourceID=14","0")</f>
        <v>0</v>
      </c>
    </row>
    <row r="302" spans="1:7">
      <c r="A302" s="3">
        <v>10</v>
      </c>
      <c r="B302" s="3">
        <v>5</v>
      </c>
      <c r="C302" s="3">
        <v>85</v>
      </c>
      <c r="D302" s="3">
        <v>5</v>
      </c>
      <c r="E302" s="3">
        <v>104.095</v>
      </c>
      <c r="F302" s="4" t="str">
        <f>HYPERLINK("http://141.218.60.56/~jnz1568/getInfo.php?workbook=10_05.xlsx&amp;sheet=A0&amp;row=302&amp;col=6&amp;number=16700000000&amp;sourceID=14","16700000000")</f>
        <v>16700000000</v>
      </c>
      <c r="G302" s="4" t="str">
        <f>HYPERLINK("http://141.218.60.56/~jnz1568/getInfo.php?workbook=10_05.xlsx&amp;sheet=A0&amp;row=302&amp;col=7&amp;number=0&amp;sourceID=14","0")</f>
        <v>0</v>
      </c>
    </row>
    <row r="303" spans="1:7">
      <c r="A303" s="3">
        <v>10</v>
      </c>
      <c r="B303" s="3">
        <v>5</v>
      </c>
      <c r="C303" s="3">
        <v>86</v>
      </c>
      <c r="D303" s="3">
        <v>5</v>
      </c>
      <c r="E303" s="3">
        <v>-103.991</v>
      </c>
      <c r="F303" s="4" t="str">
        <f>HYPERLINK("http://141.218.60.56/~jnz1568/getInfo.php?workbook=10_05.xlsx&amp;sheet=A0&amp;row=303&amp;col=6&amp;number=11100000&amp;sourceID=14","11100000")</f>
        <v>11100000</v>
      </c>
      <c r="G303" s="4" t="str">
        <f>HYPERLINK("http://141.218.60.56/~jnz1568/getInfo.php?workbook=10_05.xlsx&amp;sheet=A0&amp;row=303&amp;col=7&amp;number=0&amp;sourceID=14","0")</f>
        <v>0</v>
      </c>
    </row>
    <row r="304" spans="1:7">
      <c r="A304" s="3">
        <v>10</v>
      </c>
      <c r="B304" s="3">
        <v>5</v>
      </c>
      <c r="C304" s="3">
        <v>87</v>
      </c>
      <c r="D304" s="3">
        <v>5</v>
      </c>
      <c r="E304" s="3">
        <v>-103.99</v>
      </c>
      <c r="F304" s="4" t="str">
        <f>HYPERLINK("http://141.218.60.56/~jnz1568/getInfo.php?workbook=10_05.xlsx&amp;sheet=A0&amp;row=304&amp;col=6&amp;number=82000000&amp;sourceID=14","82000000")</f>
        <v>82000000</v>
      </c>
      <c r="G304" s="4" t="str">
        <f>HYPERLINK("http://141.218.60.56/~jnz1568/getInfo.php?workbook=10_05.xlsx&amp;sheet=A0&amp;row=304&amp;col=7&amp;number=0&amp;sourceID=14","0")</f>
        <v>0</v>
      </c>
    </row>
    <row r="305" spans="1:7">
      <c r="A305" s="3">
        <v>10</v>
      </c>
      <c r="B305" s="3">
        <v>5</v>
      </c>
      <c r="C305" s="3">
        <v>89</v>
      </c>
      <c r="D305" s="3">
        <v>5</v>
      </c>
      <c r="E305" s="3">
        <v>103.715</v>
      </c>
      <c r="F305" s="4" t="str">
        <f>HYPERLINK("http://141.218.60.56/~jnz1568/getInfo.php?workbook=10_05.xlsx&amp;sheet=A0&amp;row=305&amp;col=6&amp;number=12000000000&amp;sourceID=14","12000000000")</f>
        <v>12000000000</v>
      </c>
      <c r="G305" s="4" t="str">
        <f>HYPERLINK("http://141.218.60.56/~jnz1568/getInfo.php?workbook=10_05.xlsx&amp;sheet=A0&amp;row=305&amp;col=7&amp;number=0&amp;sourceID=14","0")</f>
        <v>0</v>
      </c>
    </row>
    <row r="306" spans="1:7">
      <c r="A306" s="3">
        <v>10</v>
      </c>
      <c r="B306" s="3">
        <v>5</v>
      </c>
      <c r="C306" s="3">
        <v>90</v>
      </c>
      <c r="D306" s="3">
        <v>5</v>
      </c>
      <c r="E306" s="3">
        <v>103.654</v>
      </c>
      <c r="F306" s="4" t="str">
        <f>HYPERLINK("http://141.218.60.56/~jnz1568/getInfo.php?workbook=10_05.xlsx&amp;sheet=A0&amp;row=306&amp;col=6&amp;number=20000000000&amp;sourceID=14","20000000000")</f>
        <v>20000000000</v>
      </c>
      <c r="G306" s="4" t="str">
        <f>HYPERLINK("http://141.218.60.56/~jnz1568/getInfo.php?workbook=10_05.xlsx&amp;sheet=A0&amp;row=306&amp;col=7&amp;number=0&amp;sourceID=14","0")</f>
        <v>0</v>
      </c>
    </row>
    <row r="307" spans="1:7">
      <c r="A307" s="3">
        <v>10</v>
      </c>
      <c r="B307" s="3">
        <v>5</v>
      </c>
      <c r="C307" s="3">
        <v>91</v>
      </c>
      <c r="D307" s="3">
        <v>5</v>
      </c>
      <c r="E307" s="3">
        <v>-102.809</v>
      </c>
      <c r="F307" s="4" t="str">
        <f>HYPERLINK("http://141.218.60.56/~jnz1568/getInfo.php?workbook=10_05.xlsx&amp;sheet=A0&amp;row=307&amp;col=6&amp;number=7520000&amp;sourceID=14","7520000")</f>
        <v>7520000</v>
      </c>
      <c r="G307" s="4" t="str">
        <f>HYPERLINK("http://141.218.60.56/~jnz1568/getInfo.php?workbook=10_05.xlsx&amp;sheet=A0&amp;row=307&amp;col=7&amp;number=0&amp;sourceID=14","0")</f>
        <v>0</v>
      </c>
    </row>
    <row r="308" spans="1:7">
      <c r="A308" s="3">
        <v>10</v>
      </c>
      <c r="B308" s="3">
        <v>5</v>
      </c>
      <c r="C308" s="3">
        <v>92</v>
      </c>
      <c r="D308" s="3">
        <v>5</v>
      </c>
      <c r="E308" s="3">
        <v>-102.721</v>
      </c>
      <c r="F308" s="4" t="str">
        <f>HYPERLINK("http://141.218.60.56/~jnz1568/getInfo.php?workbook=10_05.xlsx&amp;sheet=A0&amp;row=308&amp;col=6&amp;number=66100000&amp;sourceID=14","66100000")</f>
        <v>66100000</v>
      </c>
      <c r="G308" s="4" t="str">
        <f>HYPERLINK("http://141.218.60.56/~jnz1568/getInfo.php?workbook=10_05.xlsx&amp;sheet=A0&amp;row=308&amp;col=7&amp;number=0&amp;sourceID=14","0")</f>
        <v>0</v>
      </c>
    </row>
    <row r="309" spans="1:7">
      <c r="A309" s="3">
        <v>10</v>
      </c>
      <c r="B309" s="3">
        <v>5</v>
      </c>
      <c r="C309" s="3">
        <v>94</v>
      </c>
      <c r="D309" s="3">
        <v>5</v>
      </c>
      <c r="E309" s="3">
        <v>-101.893</v>
      </c>
      <c r="F309" s="4" t="str">
        <f>HYPERLINK("http://141.218.60.56/~jnz1568/getInfo.php?workbook=10_05.xlsx&amp;sheet=A0&amp;row=309&amp;col=6&amp;number=8020000&amp;sourceID=14","8020000")</f>
        <v>8020000</v>
      </c>
      <c r="G309" s="4" t="str">
        <f>HYPERLINK("http://141.218.60.56/~jnz1568/getInfo.php?workbook=10_05.xlsx&amp;sheet=A0&amp;row=309&amp;col=7&amp;number=0&amp;sourceID=14","0")</f>
        <v>0</v>
      </c>
    </row>
    <row r="310" spans="1:7">
      <c r="A310" s="3">
        <v>10</v>
      </c>
      <c r="B310" s="3">
        <v>5</v>
      </c>
      <c r="C310" s="3">
        <v>95</v>
      </c>
      <c r="D310" s="3">
        <v>5</v>
      </c>
      <c r="E310" s="3">
        <v>101.869</v>
      </c>
      <c r="F310" s="4" t="str">
        <f>HYPERLINK("http://141.218.60.56/~jnz1568/getInfo.php?workbook=10_05.xlsx&amp;sheet=A0&amp;row=310&amp;col=6&amp;number=15600000000&amp;sourceID=14","15600000000")</f>
        <v>15600000000</v>
      </c>
      <c r="G310" s="4" t="str">
        <f>HYPERLINK("http://141.218.60.56/~jnz1568/getInfo.php?workbook=10_05.xlsx&amp;sheet=A0&amp;row=310&amp;col=7&amp;number=0&amp;sourceID=14","0")</f>
        <v>0</v>
      </c>
    </row>
    <row r="311" spans="1:7">
      <c r="A311" s="3">
        <v>10</v>
      </c>
      <c r="B311" s="3">
        <v>5</v>
      </c>
      <c r="C311" s="3">
        <v>96</v>
      </c>
      <c r="D311" s="3">
        <v>5</v>
      </c>
      <c r="E311" s="3">
        <v>100.559</v>
      </c>
      <c r="F311" s="4" t="str">
        <f>HYPERLINK("http://141.218.60.56/~jnz1568/getInfo.php?workbook=10_05.xlsx&amp;sheet=A0&amp;row=311&amp;col=6&amp;number=39700&amp;sourceID=14","39700")</f>
        <v>39700</v>
      </c>
      <c r="G311" s="4" t="str">
        <f>HYPERLINK("http://141.218.60.56/~jnz1568/getInfo.php?workbook=10_05.xlsx&amp;sheet=A0&amp;row=311&amp;col=7&amp;number=0&amp;sourceID=14","0")</f>
        <v>0</v>
      </c>
    </row>
    <row r="312" spans="1:7">
      <c r="A312" s="3">
        <v>10</v>
      </c>
      <c r="B312" s="3">
        <v>5</v>
      </c>
      <c r="C312" s="3">
        <v>97</v>
      </c>
      <c r="D312" s="3">
        <v>5</v>
      </c>
      <c r="E312" s="3">
        <v>100.525</v>
      </c>
      <c r="F312" s="4" t="str">
        <f>HYPERLINK("http://141.218.60.56/~jnz1568/getInfo.php?workbook=10_05.xlsx&amp;sheet=A0&amp;row=312&amp;col=6&amp;number=697000&amp;sourceID=14","697000")</f>
        <v>697000</v>
      </c>
      <c r="G312" s="4" t="str">
        <f>HYPERLINK("http://141.218.60.56/~jnz1568/getInfo.php?workbook=10_05.xlsx&amp;sheet=A0&amp;row=312&amp;col=7&amp;number=0&amp;sourceID=14","0")</f>
        <v>0</v>
      </c>
    </row>
    <row r="313" spans="1:7">
      <c r="A313" s="3">
        <v>10</v>
      </c>
      <c r="B313" s="3">
        <v>5</v>
      </c>
      <c r="C313" s="3">
        <v>101</v>
      </c>
      <c r="D313" s="3">
        <v>5</v>
      </c>
      <c r="E313" s="3">
        <v>-100.146</v>
      </c>
      <c r="F313" s="4" t="str">
        <f>HYPERLINK("http://141.218.60.56/~jnz1568/getInfo.php?workbook=10_05.xlsx&amp;sheet=A0&amp;row=313&amp;col=6&amp;number=1850000000&amp;sourceID=14","1850000000")</f>
        <v>1850000000</v>
      </c>
      <c r="G313" s="4" t="str">
        <f>HYPERLINK("http://141.218.60.56/~jnz1568/getInfo.php?workbook=10_05.xlsx&amp;sheet=A0&amp;row=313&amp;col=7&amp;number=0&amp;sourceID=14","0")</f>
        <v>0</v>
      </c>
    </row>
    <row r="314" spans="1:7">
      <c r="A314" s="3">
        <v>10</v>
      </c>
      <c r="B314" s="3">
        <v>5</v>
      </c>
      <c r="C314" s="3">
        <v>103</v>
      </c>
      <c r="D314" s="3">
        <v>5</v>
      </c>
      <c r="E314" s="3">
        <v>-100.072</v>
      </c>
      <c r="F314" s="4" t="str">
        <f>HYPERLINK("http://141.218.60.56/~jnz1568/getInfo.php?workbook=10_05.xlsx&amp;sheet=A0&amp;row=314&amp;col=6&amp;number=3030000000&amp;sourceID=14","3030000000")</f>
        <v>3030000000</v>
      </c>
      <c r="G314" s="4" t="str">
        <f>HYPERLINK("http://141.218.60.56/~jnz1568/getInfo.php?workbook=10_05.xlsx&amp;sheet=A0&amp;row=314&amp;col=7&amp;number=0&amp;sourceID=14","0")</f>
        <v>0</v>
      </c>
    </row>
    <row r="315" spans="1:7">
      <c r="A315" s="3">
        <v>10</v>
      </c>
      <c r="B315" s="3">
        <v>5</v>
      </c>
      <c r="C315" s="3">
        <v>112</v>
      </c>
      <c r="D315" s="3">
        <v>5</v>
      </c>
      <c r="E315" s="3">
        <v>-99.38</v>
      </c>
      <c r="F315" s="4" t="str">
        <f>HYPERLINK("http://141.218.60.56/~jnz1568/getInfo.php?workbook=10_05.xlsx&amp;sheet=A0&amp;row=315&amp;col=6&amp;number=277000&amp;sourceID=14","277000")</f>
        <v>277000</v>
      </c>
      <c r="G315" s="4" t="str">
        <f>HYPERLINK("http://141.218.60.56/~jnz1568/getInfo.php?workbook=10_05.xlsx&amp;sheet=A0&amp;row=315&amp;col=7&amp;number=0&amp;sourceID=14","0")</f>
        <v>0</v>
      </c>
    </row>
    <row r="316" spans="1:7">
      <c r="A316" s="3">
        <v>10</v>
      </c>
      <c r="B316" s="3">
        <v>5</v>
      </c>
      <c r="C316" s="3">
        <v>113</v>
      </c>
      <c r="D316" s="3">
        <v>5</v>
      </c>
      <c r="E316" s="3">
        <v>99.308</v>
      </c>
      <c r="F316" s="4" t="str">
        <f>HYPERLINK("http://141.218.60.56/~jnz1568/getInfo.php?workbook=10_05.xlsx&amp;sheet=A0&amp;row=316&amp;col=6&amp;number=46100&amp;sourceID=14","46100")</f>
        <v>46100</v>
      </c>
      <c r="G316" s="4" t="str">
        <f>HYPERLINK("http://141.218.60.56/~jnz1568/getInfo.php?workbook=10_05.xlsx&amp;sheet=A0&amp;row=316&amp;col=7&amp;number=0&amp;sourceID=14","0")</f>
        <v>0</v>
      </c>
    </row>
    <row r="317" spans="1:7">
      <c r="A317" s="3">
        <v>10</v>
      </c>
      <c r="B317" s="3">
        <v>5</v>
      </c>
      <c r="C317" s="3">
        <v>114</v>
      </c>
      <c r="D317" s="3">
        <v>5</v>
      </c>
      <c r="E317" s="3">
        <v>99.308</v>
      </c>
      <c r="F317" s="4" t="str">
        <f>HYPERLINK("http://141.218.60.56/~jnz1568/getInfo.php?workbook=10_05.xlsx&amp;sheet=A0&amp;row=317&amp;col=6&amp;number=17700&amp;sourceID=14","17700")</f>
        <v>17700</v>
      </c>
      <c r="G317" s="4" t="str">
        <f>HYPERLINK("http://141.218.60.56/~jnz1568/getInfo.php?workbook=10_05.xlsx&amp;sheet=A0&amp;row=317&amp;col=7&amp;number=0&amp;sourceID=14","0")</f>
        <v>0</v>
      </c>
    </row>
    <row r="318" spans="1:7">
      <c r="A318" s="3">
        <v>10</v>
      </c>
      <c r="B318" s="3">
        <v>5</v>
      </c>
      <c r="C318" s="3">
        <v>128</v>
      </c>
      <c r="D318" s="3">
        <v>5</v>
      </c>
      <c r="E318" s="3">
        <v>-98.032</v>
      </c>
      <c r="F318" s="4" t="str">
        <f>HYPERLINK("http://141.218.60.56/~jnz1568/getInfo.php?workbook=10_05.xlsx&amp;sheet=A0&amp;row=318&amp;col=6&amp;number=2070000&amp;sourceID=14","2070000")</f>
        <v>2070000</v>
      </c>
      <c r="G318" s="4" t="str">
        <f>HYPERLINK("http://141.218.60.56/~jnz1568/getInfo.php?workbook=10_05.xlsx&amp;sheet=A0&amp;row=318&amp;col=7&amp;number=0&amp;sourceID=14","0")</f>
        <v>0</v>
      </c>
    </row>
    <row r="319" spans="1:7">
      <c r="A319" s="3">
        <v>10</v>
      </c>
      <c r="B319" s="3">
        <v>5</v>
      </c>
      <c r="C319" s="3">
        <v>134</v>
      </c>
      <c r="D319" s="3">
        <v>5</v>
      </c>
      <c r="E319" s="3">
        <v>-97.604</v>
      </c>
      <c r="F319" s="4" t="str">
        <f>HYPERLINK("http://141.218.60.56/~jnz1568/getInfo.php?workbook=10_05.xlsx&amp;sheet=A0&amp;row=319&amp;col=6&amp;number=11000000&amp;sourceID=14","11000000")</f>
        <v>11000000</v>
      </c>
      <c r="G319" s="4" t="str">
        <f>HYPERLINK("http://141.218.60.56/~jnz1568/getInfo.php?workbook=10_05.xlsx&amp;sheet=A0&amp;row=319&amp;col=7&amp;number=0&amp;sourceID=14","0")</f>
        <v>0</v>
      </c>
    </row>
    <row r="320" spans="1:7">
      <c r="A320" s="3">
        <v>10</v>
      </c>
      <c r="B320" s="3">
        <v>5</v>
      </c>
      <c r="C320" s="3">
        <v>135</v>
      </c>
      <c r="D320" s="3">
        <v>5</v>
      </c>
      <c r="E320" s="3">
        <v>-97.581</v>
      </c>
      <c r="F320" s="4" t="str">
        <f>HYPERLINK("http://141.218.60.56/~jnz1568/getInfo.php?workbook=10_05.xlsx&amp;sheet=A0&amp;row=320&amp;col=6&amp;number=158000000&amp;sourceID=14","158000000")</f>
        <v>158000000</v>
      </c>
      <c r="G320" s="4" t="str">
        <f>HYPERLINK("http://141.218.60.56/~jnz1568/getInfo.php?workbook=10_05.xlsx&amp;sheet=A0&amp;row=320&amp;col=7&amp;number=0&amp;sourceID=14","0")</f>
        <v>0</v>
      </c>
    </row>
    <row r="321" spans="1:7">
      <c r="A321" s="3">
        <v>10</v>
      </c>
      <c r="B321" s="3">
        <v>5</v>
      </c>
      <c r="C321" s="3">
        <v>136</v>
      </c>
      <c r="D321" s="3">
        <v>5</v>
      </c>
      <c r="E321" s="3">
        <v>-97.546</v>
      </c>
      <c r="F321" s="4" t="str">
        <f>HYPERLINK("http://141.218.60.56/~jnz1568/getInfo.php?workbook=10_05.xlsx&amp;sheet=A0&amp;row=321&amp;col=6&amp;number=728000000&amp;sourceID=14","728000000")</f>
        <v>728000000</v>
      </c>
      <c r="G321" s="4" t="str">
        <f>HYPERLINK("http://141.218.60.56/~jnz1568/getInfo.php?workbook=10_05.xlsx&amp;sheet=A0&amp;row=321&amp;col=7&amp;number=0&amp;sourceID=14","0")</f>
        <v>0</v>
      </c>
    </row>
    <row r="322" spans="1:7">
      <c r="A322" s="3">
        <v>10</v>
      </c>
      <c r="B322" s="3">
        <v>5</v>
      </c>
      <c r="C322" s="3">
        <v>142</v>
      </c>
      <c r="D322" s="3">
        <v>5</v>
      </c>
      <c r="E322" s="3">
        <v>97.157</v>
      </c>
      <c r="F322" s="4" t="str">
        <f>HYPERLINK("http://141.218.60.56/~jnz1568/getInfo.php?workbook=10_05.xlsx&amp;sheet=A0&amp;row=322&amp;col=6&amp;number=773000000&amp;sourceID=14","773000000")</f>
        <v>773000000</v>
      </c>
      <c r="G322" s="4" t="str">
        <f>HYPERLINK("http://141.218.60.56/~jnz1568/getInfo.php?workbook=10_05.xlsx&amp;sheet=A0&amp;row=322&amp;col=7&amp;number=0&amp;sourceID=14","0")</f>
        <v>0</v>
      </c>
    </row>
    <row r="323" spans="1:7">
      <c r="A323" s="3">
        <v>10</v>
      </c>
      <c r="B323" s="3">
        <v>5</v>
      </c>
      <c r="C323" s="3">
        <v>143</v>
      </c>
      <c r="D323" s="3">
        <v>5</v>
      </c>
      <c r="E323" s="3">
        <v>97.134</v>
      </c>
      <c r="F323" s="4" t="str">
        <f>HYPERLINK("http://141.218.60.56/~jnz1568/getInfo.php?workbook=10_05.xlsx&amp;sheet=A0&amp;row=323&amp;col=6&amp;number=6420000000&amp;sourceID=14","6420000000")</f>
        <v>6420000000</v>
      </c>
      <c r="G323" s="4" t="str">
        <f>HYPERLINK("http://141.218.60.56/~jnz1568/getInfo.php?workbook=10_05.xlsx&amp;sheet=A0&amp;row=323&amp;col=7&amp;number=0&amp;sourceID=14","0")</f>
        <v>0</v>
      </c>
    </row>
    <row r="324" spans="1:7">
      <c r="A324" s="3">
        <v>10</v>
      </c>
      <c r="B324" s="3">
        <v>5</v>
      </c>
      <c r="C324" s="3">
        <v>144</v>
      </c>
      <c r="D324" s="3">
        <v>5</v>
      </c>
      <c r="E324" s="3">
        <v>97.115</v>
      </c>
      <c r="F324" s="4" t="str">
        <f>HYPERLINK("http://141.218.60.56/~jnz1568/getInfo.php?workbook=10_05.xlsx&amp;sheet=A0&amp;row=324&amp;col=6&amp;number=79200000000&amp;sourceID=14","79200000000")</f>
        <v>79200000000</v>
      </c>
      <c r="G324" s="4" t="str">
        <f>HYPERLINK("http://141.218.60.56/~jnz1568/getInfo.php?workbook=10_05.xlsx&amp;sheet=A0&amp;row=324&amp;col=7&amp;number=0&amp;sourceID=14","0")</f>
        <v>0</v>
      </c>
    </row>
    <row r="325" spans="1:7">
      <c r="A325" s="3">
        <v>10</v>
      </c>
      <c r="B325" s="3">
        <v>5</v>
      </c>
      <c r="C325" s="3">
        <v>145</v>
      </c>
      <c r="D325" s="3">
        <v>5</v>
      </c>
      <c r="E325" s="3">
        <v>97.029</v>
      </c>
      <c r="F325" s="4" t="str">
        <f>HYPERLINK("http://141.218.60.56/~jnz1568/getInfo.php?workbook=10_05.xlsx&amp;sheet=A0&amp;row=325&amp;col=6&amp;number=7340000000&amp;sourceID=14","7340000000")</f>
        <v>7340000000</v>
      </c>
      <c r="G325" s="4" t="str">
        <f>HYPERLINK("http://141.218.60.56/~jnz1568/getInfo.php?workbook=10_05.xlsx&amp;sheet=A0&amp;row=325&amp;col=7&amp;number=0&amp;sourceID=14","0")</f>
        <v>0</v>
      </c>
    </row>
    <row r="326" spans="1:7">
      <c r="A326" s="3">
        <v>10</v>
      </c>
      <c r="B326" s="3">
        <v>5</v>
      </c>
      <c r="C326" s="3">
        <v>146</v>
      </c>
      <c r="D326" s="3">
        <v>5</v>
      </c>
      <c r="E326" s="3">
        <v>97.029</v>
      </c>
      <c r="F326" s="4" t="str">
        <f>HYPERLINK("http://141.218.60.56/~jnz1568/getInfo.php?workbook=10_05.xlsx&amp;sheet=A0&amp;row=326&amp;col=6&amp;number=3880000000&amp;sourceID=14","3880000000")</f>
        <v>3880000000</v>
      </c>
      <c r="G326" s="4" t="str">
        <f>HYPERLINK("http://141.218.60.56/~jnz1568/getInfo.php?workbook=10_05.xlsx&amp;sheet=A0&amp;row=326&amp;col=7&amp;number=0&amp;sourceID=14","0")</f>
        <v>0</v>
      </c>
    </row>
    <row r="327" spans="1:7">
      <c r="A327" s="3">
        <v>10</v>
      </c>
      <c r="B327" s="3">
        <v>5</v>
      </c>
      <c r="C327" s="3">
        <v>147</v>
      </c>
      <c r="D327" s="3">
        <v>5</v>
      </c>
      <c r="E327" s="3">
        <v>96.974</v>
      </c>
      <c r="F327" s="4" t="str">
        <f>HYPERLINK("http://141.218.60.56/~jnz1568/getInfo.php?workbook=10_05.xlsx&amp;sheet=A0&amp;row=327&amp;col=6&amp;number=45500000000&amp;sourceID=14","45500000000")</f>
        <v>45500000000</v>
      </c>
      <c r="G327" s="4" t="str">
        <f>HYPERLINK("http://141.218.60.56/~jnz1568/getInfo.php?workbook=10_05.xlsx&amp;sheet=A0&amp;row=327&amp;col=7&amp;number=0&amp;sourceID=14","0")</f>
        <v>0</v>
      </c>
    </row>
    <row r="328" spans="1:7">
      <c r="A328" s="3">
        <v>10</v>
      </c>
      <c r="B328" s="3">
        <v>5</v>
      </c>
      <c r="C328" s="3">
        <v>148</v>
      </c>
      <c r="D328" s="3">
        <v>5</v>
      </c>
      <c r="E328" s="3">
        <v>96.964</v>
      </c>
      <c r="F328" s="4" t="str">
        <f>HYPERLINK("http://141.218.60.56/~jnz1568/getInfo.php?workbook=10_05.xlsx&amp;sheet=A0&amp;row=328&amp;col=6&amp;number=16400000000&amp;sourceID=14","16400000000")</f>
        <v>16400000000</v>
      </c>
      <c r="G328" s="4" t="str">
        <f>HYPERLINK("http://141.218.60.56/~jnz1568/getInfo.php?workbook=10_05.xlsx&amp;sheet=A0&amp;row=328&amp;col=7&amp;number=0&amp;sourceID=14","0")</f>
        <v>0</v>
      </c>
    </row>
    <row r="329" spans="1:7">
      <c r="A329" s="3">
        <v>10</v>
      </c>
      <c r="B329" s="3">
        <v>5</v>
      </c>
      <c r="C329" s="3">
        <v>152</v>
      </c>
      <c r="D329" s="3">
        <v>5</v>
      </c>
      <c r="E329" s="3">
        <v>96.454</v>
      </c>
      <c r="F329" s="4" t="str">
        <f>HYPERLINK("http://141.218.60.56/~jnz1568/getInfo.php?workbook=10_05.xlsx&amp;sheet=A0&amp;row=329&amp;col=6&amp;number=1810000&amp;sourceID=14","1810000")</f>
        <v>1810000</v>
      </c>
      <c r="G329" s="4" t="str">
        <f>HYPERLINK("http://141.218.60.56/~jnz1568/getInfo.php?workbook=10_05.xlsx&amp;sheet=A0&amp;row=329&amp;col=7&amp;number=0&amp;sourceID=14","0")</f>
        <v>0</v>
      </c>
    </row>
    <row r="330" spans="1:7">
      <c r="A330" s="3">
        <v>10</v>
      </c>
      <c r="B330" s="3">
        <v>5</v>
      </c>
      <c r="C330" s="3">
        <v>153</v>
      </c>
      <c r="D330" s="3">
        <v>5</v>
      </c>
      <c r="E330" s="3">
        <v>96.379</v>
      </c>
      <c r="F330" s="4" t="str">
        <f>HYPERLINK("http://141.218.60.56/~jnz1568/getInfo.php?workbook=10_05.xlsx&amp;sheet=A0&amp;row=330&amp;col=6&amp;number=14900000&amp;sourceID=14","14900000")</f>
        <v>14900000</v>
      </c>
      <c r="G330" s="4" t="str">
        <f>HYPERLINK("http://141.218.60.56/~jnz1568/getInfo.php?workbook=10_05.xlsx&amp;sheet=A0&amp;row=330&amp;col=7&amp;number=0&amp;sourceID=14","0")</f>
        <v>0</v>
      </c>
    </row>
    <row r="331" spans="1:7">
      <c r="A331" s="3">
        <v>10</v>
      </c>
      <c r="B331" s="3">
        <v>5</v>
      </c>
      <c r="C331" s="3">
        <v>158</v>
      </c>
      <c r="D331" s="3">
        <v>5</v>
      </c>
      <c r="E331" s="3">
        <v>-96.209</v>
      </c>
      <c r="F331" s="4" t="str">
        <f>HYPERLINK("http://141.218.60.56/~jnz1568/getInfo.php?workbook=10_05.xlsx&amp;sheet=A0&amp;row=331&amp;col=6&amp;number=1130000&amp;sourceID=14","1130000")</f>
        <v>1130000</v>
      </c>
      <c r="G331" s="4" t="str">
        <f>HYPERLINK("http://141.218.60.56/~jnz1568/getInfo.php?workbook=10_05.xlsx&amp;sheet=A0&amp;row=331&amp;col=7&amp;number=0&amp;sourceID=14","0")</f>
        <v>0</v>
      </c>
    </row>
    <row r="332" spans="1:7">
      <c r="A332" s="3">
        <v>10</v>
      </c>
      <c r="B332" s="3">
        <v>5</v>
      </c>
      <c r="C332" s="3">
        <v>165</v>
      </c>
      <c r="D332" s="3">
        <v>5</v>
      </c>
      <c r="E332" s="3">
        <v>-92.073</v>
      </c>
      <c r="F332" s="4" t="str">
        <f>HYPERLINK("http://141.218.60.56/~jnz1568/getInfo.php?workbook=10_05.xlsx&amp;sheet=A0&amp;row=332&amp;col=6&amp;number=4110&amp;sourceID=14","4110")</f>
        <v>4110</v>
      </c>
      <c r="G332" s="4" t="str">
        <f>HYPERLINK("http://141.218.60.56/~jnz1568/getInfo.php?workbook=10_05.xlsx&amp;sheet=A0&amp;row=332&amp;col=7&amp;number=0&amp;sourceID=14","0")</f>
        <v>0</v>
      </c>
    </row>
    <row r="333" spans="1:7">
      <c r="A333" s="3">
        <v>10</v>
      </c>
      <c r="B333" s="3">
        <v>5</v>
      </c>
      <c r="C333" s="3">
        <v>167</v>
      </c>
      <c r="D333" s="3">
        <v>5</v>
      </c>
      <c r="E333" s="3">
        <v>-89.829</v>
      </c>
      <c r="F333" s="4" t="str">
        <f>HYPERLINK("http://141.218.60.56/~jnz1568/getInfo.php?workbook=10_05.xlsx&amp;sheet=A0&amp;row=333&amp;col=6&amp;number=64100&amp;sourceID=14","64100")</f>
        <v>64100</v>
      </c>
      <c r="G333" s="4" t="str">
        <f>HYPERLINK("http://141.218.60.56/~jnz1568/getInfo.php?workbook=10_05.xlsx&amp;sheet=A0&amp;row=333&amp;col=7&amp;number=0&amp;sourceID=14","0")</f>
        <v>0</v>
      </c>
    </row>
    <row r="334" spans="1:7">
      <c r="A334" s="3">
        <v>10</v>
      </c>
      <c r="B334" s="3">
        <v>5</v>
      </c>
      <c r="C334" s="3">
        <v>175</v>
      </c>
      <c r="D334" s="3">
        <v>5</v>
      </c>
      <c r="E334" s="3">
        <v>-87.359</v>
      </c>
      <c r="F334" s="4" t="str">
        <f>HYPERLINK("http://141.218.60.56/~jnz1568/getInfo.php?workbook=10_05.xlsx&amp;sheet=A0&amp;row=334&amp;col=6&amp;number=212000&amp;sourceID=14","212000")</f>
        <v>212000</v>
      </c>
      <c r="G334" s="4" t="str">
        <f>HYPERLINK("http://141.218.60.56/~jnz1568/getInfo.php?workbook=10_05.xlsx&amp;sheet=A0&amp;row=334&amp;col=7&amp;number=0&amp;sourceID=14","0")</f>
        <v>0</v>
      </c>
    </row>
    <row r="335" spans="1:7">
      <c r="A335" s="3">
        <v>10</v>
      </c>
      <c r="B335" s="3">
        <v>5</v>
      </c>
      <c r="C335" s="3">
        <v>176</v>
      </c>
      <c r="D335" s="3">
        <v>5</v>
      </c>
      <c r="E335" s="3">
        <v>-87.359</v>
      </c>
      <c r="F335" s="4" t="str">
        <f>HYPERLINK("http://141.218.60.56/~jnz1568/getInfo.php?workbook=10_05.xlsx&amp;sheet=A0&amp;row=335&amp;col=6&amp;number=15200&amp;sourceID=14","15200")</f>
        <v>15200</v>
      </c>
      <c r="G335" s="4" t="str">
        <f>HYPERLINK("http://141.218.60.56/~jnz1568/getInfo.php?workbook=10_05.xlsx&amp;sheet=A0&amp;row=335&amp;col=7&amp;number=0&amp;sourceID=14","0")</f>
        <v>0</v>
      </c>
    </row>
    <row r="336" spans="1:7">
      <c r="A336" s="3">
        <v>10</v>
      </c>
      <c r="B336" s="3">
        <v>5</v>
      </c>
      <c r="C336" s="3">
        <v>177</v>
      </c>
      <c r="D336" s="3">
        <v>5</v>
      </c>
      <c r="E336" s="3">
        <v>-87.291</v>
      </c>
      <c r="F336" s="4" t="str">
        <f>HYPERLINK("http://141.218.60.56/~jnz1568/getInfo.php?workbook=10_05.xlsx&amp;sheet=A0&amp;row=336&amp;col=6&amp;number=4190&amp;sourceID=14","4190")</f>
        <v>4190</v>
      </c>
      <c r="G336" s="4" t="str">
        <f>HYPERLINK("http://141.218.60.56/~jnz1568/getInfo.php?workbook=10_05.xlsx&amp;sheet=A0&amp;row=336&amp;col=7&amp;number=0&amp;sourceID=14","0")</f>
        <v>0</v>
      </c>
    </row>
    <row r="337" spans="1:7">
      <c r="A337" s="3">
        <v>10</v>
      </c>
      <c r="B337" s="3">
        <v>5</v>
      </c>
      <c r="C337" s="3">
        <v>178</v>
      </c>
      <c r="D337" s="3">
        <v>5</v>
      </c>
      <c r="E337" s="3">
        <v>-87.288</v>
      </c>
      <c r="F337" s="4" t="str">
        <f>HYPERLINK("http://141.218.60.56/~jnz1568/getInfo.php?workbook=10_05.xlsx&amp;sheet=A0&amp;row=337&amp;col=6&amp;number=42100&amp;sourceID=14","42100")</f>
        <v>42100</v>
      </c>
      <c r="G337" s="4" t="str">
        <f>HYPERLINK("http://141.218.60.56/~jnz1568/getInfo.php?workbook=10_05.xlsx&amp;sheet=A0&amp;row=337&amp;col=7&amp;number=0&amp;sourceID=14","0")</f>
        <v>0</v>
      </c>
    </row>
    <row r="338" spans="1:7">
      <c r="A338" s="3">
        <v>10</v>
      </c>
      <c r="B338" s="3">
        <v>5</v>
      </c>
      <c r="C338" s="3">
        <v>180</v>
      </c>
      <c r="D338" s="3">
        <v>5</v>
      </c>
      <c r="E338" s="3">
        <v>-86.978</v>
      </c>
      <c r="F338" s="4" t="str">
        <f>HYPERLINK("http://141.218.60.56/~jnz1568/getInfo.php?workbook=10_05.xlsx&amp;sheet=A0&amp;row=338&amp;col=6&amp;number=13200&amp;sourceID=14","13200")</f>
        <v>13200</v>
      </c>
      <c r="G338" s="4" t="str">
        <f>HYPERLINK("http://141.218.60.56/~jnz1568/getInfo.php?workbook=10_05.xlsx&amp;sheet=A0&amp;row=338&amp;col=7&amp;number=0&amp;sourceID=14","0")</f>
        <v>0</v>
      </c>
    </row>
    <row r="339" spans="1:7">
      <c r="A339" s="3">
        <v>10</v>
      </c>
      <c r="B339" s="3">
        <v>5</v>
      </c>
      <c r="C339" s="3">
        <v>11</v>
      </c>
      <c r="D339" s="3">
        <v>6</v>
      </c>
      <c r="E339" s="3">
        <v>701.288</v>
      </c>
      <c r="F339" s="4" t="str">
        <f>HYPERLINK("http://141.218.60.56/~jnz1568/getInfo.php?workbook=10_05.xlsx&amp;sheet=A0&amp;row=339&amp;col=6&amp;number=1620&amp;sourceID=14","1620")</f>
        <v>1620</v>
      </c>
      <c r="G339" s="4" t="str">
        <f>HYPERLINK("http://141.218.60.56/~jnz1568/getInfo.php?workbook=10_05.xlsx&amp;sheet=A0&amp;row=339&amp;col=7&amp;number=0&amp;sourceID=14","0")</f>
        <v>0</v>
      </c>
    </row>
    <row r="340" spans="1:7">
      <c r="A340" s="3">
        <v>10</v>
      </c>
      <c r="B340" s="3">
        <v>5</v>
      </c>
      <c r="C340" s="3">
        <v>12</v>
      </c>
      <c r="D340" s="3">
        <v>6</v>
      </c>
      <c r="E340" s="3">
        <v>553.742</v>
      </c>
      <c r="F340" s="4" t="str">
        <f>HYPERLINK("http://141.218.60.56/~jnz1568/getInfo.php?workbook=10_05.xlsx&amp;sheet=A0&amp;row=340&amp;col=6&amp;number=262000000&amp;sourceID=14","262000000")</f>
        <v>262000000</v>
      </c>
      <c r="G340" s="4" t="str">
        <f>HYPERLINK("http://141.218.60.56/~jnz1568/getInfo.php?workbook=10_05.xlsx&amp;sheet=A0&amp;row=340&amp;col=7&amp;number=0&amp;sourceID=14","0")</f>
        <v>0</v>
      </c>
    </row>
    <row r="341" spans="1:7">
      <c r="A341" s="3">
        <v>10</v>
      </c>
      <c r="B341" s="3">
        <v>5</v>
      </c>
      <c r="C341" s="3">
        <v>13</v>
      </c>
      <c r="D341" s="3">
        <v>6</v>
      </c>
      <c r="E341" s="3">
        <v>553.953</v>
      </c>
      <c r="F341" s="4" t="str">
        <f>HYPERLINK("http://141.218.60.56/~jnz1568/getInfo.php?workbook=10_05.xlsx&amp;sheet=A0&amp;row=341&amp;col=6&amp;number=2210000000&amp;sourceID=14","2210000000")</f>
        <v>2210000000</v>
      </c>
      <c r="G341" s="4" t="str">
        <f>HYPERLINK("http://141.218.60.56/~jnz1568/getInfo.php?workbook=10_05.xlsx&amp;sheet=A0&amp;row=341&amp;col=7&amp;number=0&amp;sourceID=14","0")</f>
        <v>0</v>
      </c>
    </row>
    <row r="342" spans="1:7">
      <c r="A342" s="3">
        <v>10</v>
      </c>
      <c r="B342" s="3">
        <v>5</v>
      </c>
      <c r="C342" s="3">
        <v>15</v>
      </c>
      <c r="D342" s="3">
        <v>6</v>
      </c>
      <c r="E342" s="3">
        <v>440.469</v>
      </c>
      <c r="F342" s="4" t="str">
        <f>HYPERLINK("http://141.218.60.56/~jnz1568/getInfo.php?workbook=10_05.xlsx&amp;sheet=A0&amp;row=342&amp;col=6&amp;number=3850000000&amp;sourceID=14","3850000000")</f>
        <v>3850000000</v>
      </c>
      <c r="G342" s="4" t="str">
        <f>HYPERLINK("http://141.218.60.56/~jnz1568/getInfo.php?workbook=10_05.xlsx&amp;sheet=A0&amp;row=342&amp;col=7&amp;number=0&amp;sourceID=14","0")</f>
        <v>0</v>
      </c>
    </row>
    <row r="343" spans="1:7">
      <c r="A343" s="3">
        <v>10</v>
      </c>
      <c r="B343" s="3">
        <v>5</v>
      </c>
      <c r="C343" s="3">
        <v>18</v>
      </c>
      <c r="D343" s="3">
        <v>6</v>
      </c>
      <c r="E343" s="3">
        <v>168.767</v>
      </c>
      <c r="F343" s="4" t="str">
        <f>HYPERLINK("http://141.218.60.56/~jnz1568/getInfo.php?workbook=10_05.xlsx&amp;sheet=A0&amp;row=343&amp;col=6&amp;number=2820000000&amp;sourceID=14","2820000000")</f>
        <v>2820000000</v>
      </c>
      <c r="G343" s="4" t="str">
        <f>HYPERLINK("http://141.218.60.56/~jnz1568/getInfo.php?workbook=10_05.xlsx&amp;sheet=A0&amp;row=343&amp;col=7&amp;number=0&amp;sourceID=14","0")</f>
        <v>0</v>
      </c>
    </row>
    <row r="344" spans="1:7">
      <c r="A344" s="3">
        <v>10</v>
      </c>
      <c r="B344" s="3">
        <v>5</v>
      </c>
      <c r="C344" s="3">
        <v>22</v>
      </c>
      <c r="D344" s="3">
        <v>6</v>
      </c>
      <c r="E344" s="3">
        <v>152.666</v>
      </c>
      <c r="F344" s="4" t="str">
        <f>HYPERLINK("http://141.218.60.56/~jnz1568/getInfo.php?workbook=10_05.xlsx&amp;sheet=A0&amp;row=344&amp;col=6&amp;number=1700000&amp;sourceID=14","1700000")</f>
        <v>1700000</v>
      </c>
      <c r="G344" s="4" t="str">
        <f>HYPERLINK("http://141.218.60.56/~jnz1568/getInfo.php?workbook=10_05.xlsx&amp;sheet=A0&amp;row=344&amp;col=7&amp;number=0&amp;sourceID=14","0")</f>
        <v>0</v>
      </c>
    </row>
    <row r="345" spans="1:7">
      <c r="A345" s="3">
        <v>10</v>
      </c>
      <c r="B345" s="3">
        <v>5</v>
      </c>
      <c r="C345" s="3">
        <v>23</v>
      </c>
      <c r="D345" s="3">
        <v>6</v>
      </c>
      <c r="E345" s="3">
        <v>152.489</v>
      </c>
      <c r="F345" s="4" t="str">
        <f>HYPERLINK("http://141.218.60.56/~jnz1568/getInfo.php?workbook=10_05.xlsx&amp;sheet=A0&amp;row=345&amp;col=6&amp;number=1400000&amp;sourceID=14","1400000")</f>
        <v>1400000</v>
      </c>
      <c r="G345" s="4" t="str">
        <f>HYPERLINK("http://141.218.60.56/~jnz1568/getInfo.php?workbook=10_05.xlsx&amp;sheet=A0&amp;row=345&amp;col=7&amp;number=0&amp;sourceID=14","0")</f>
        <v>0</v>
      </c>
    </row>
    <row r="346" spans="1:7">
      <c r="A346" s="3">
        <v>10</v>
      </c>
      <c r="B346" s="3">
        <v>5</v>
      </c>
      <c r="C346" s="3">
        <v>25</v>
      </c>
      <c r="D346" s="3">
        <v>6</v>
      </c>
      <c r="E346" s="3">
        <v>147.593</v>
      </c>
      <c r="F346" s="4" t="str">
        <f>HYPERLINK("http://141.218.60.56/~jnz1568/getInfo.php?workbook=10_05.xlsx&amp;sheet=A0&amp;row=346&amp;col=6&amp;number=16300000000&amp;sourceID=14","16300000000")</f>
        <v>16300000000</v>
      </c>
      <c r="G346" s="4" t="str">
        <f>HYPERLINK("http://141.218.60.56/~jnz1568/getInfo.php?workbook=10_05.xlsx&amp;sheet=A0&amp;row=346&amp;col=7&amp;number=0&amp;sourceID=14","0")</f>
        <v>0</v>
      </c>
    </row>
    <row r="347" spans="1:7">
      <c r="A347" s="3">
        <v>10</v>
      </c>
      <c r="B347" s="3">
        <v>5</v>
      </c>
      <c r="C347" s="3">
        <v>38</v>
      </c>
      <c r="D347" s="3">
        <v>6</v>
      </c>
      <c r="E347" s="3">
        <v>-135.966</v>
      </c>
      <c r="F347" s="4" t="str">
        <f>HYPERLINK("http://141.218.60.56/~jnz1568/getInfo.php?workbook=10_05.xlsx&amp;sheet=A0&amp;row=347&amp;col=6&amp;number=3730000&amp;sourceID=14","3730000")</f>
        <v>3730000</v>
      </c>
      <c r="G347" s="4" t="str">
        <f>HYPERLINK("http://141.218.60.56/~jnz1568/getInfo.php?workbook=10_05.xlsx&amp;sheet=A0&amp;row=347&amp;col=7&amp;number=0&amp;sourceID=14","0")</f>
        <v>0</v>
      </c>
    </row>
    <row r="348" spans="1:7">
      <c r="A348" s="3">
        <v>10</v>
      </c>
      <c r="B348" s="3">
        <v>5</v>
      </c>
      <c r="C348" s="3">
        <v>39</v>
      </c>
      <c r="D348" s="3">
        <v>6</v>
      </c>
      <c r="E348" s="3">
        <v>-135.915</v>
      </c>
      <c r="F348" s="4" t="str">
        <f>HYPERLINK("http://141.218.60.56/~jnz1568/getInfo.php?workbook=10_05.xlsx&amp;sheet=A0&amp;row=348&amp;col=6&amp;number=21900000&amp;sourceID=14","21900000")</f>
        <v>21900000</v>
      </c>
      <c r="G348" s="4" t="str">
        <f>HYPERLINK("http://141.218.60.56/~jnz1568/getInfo.php?workbook=10_05.xlsx&amp;sheet=A0&amp;row=348&amp;col=7&amp;number=0&amp;sourceID=14","0")</f>
        <v>0</v>
      </c>
    </row>
    <row r="349" spans="1:7">
      <c r="A349" s="3">
        <v>10</v>
      </c>
      <c r="B349" s="3">
        <v>5</v>
      </c>
      <c r="C349" s="3">
        <v>41</v>
      </c>
      <c r="D349" s="3">
        <v>6</v>
      </c>
      <c r="E349" s="3">
        <v>-135.846</v>
      </c>
      <c r="F349" s="4" t="str">
        <f>HYPERLINK("http://141.218.60.56/~jnz1568/getInfo.php?workbook=10_05.xlsx&amp;sheet=A0&amp;row=349&amp;col=6&amp;number=10300000&amp;sourceID=14","10300000")</f>
        <v>10300000</v>
      </c>
      <c r="G349" s="4" t="str">
        <f>HYPERLINK("http://141.218.60.56/~jnz1568/getInfo.php?workbook=10_05.xlsx&amp;sheet=A0&amp;row=349&amp;col=7&amp;number=0&amp;sourceID=14","0")</f>
        <v>0</v>
      </c>
    </row>
    <row r="350" spans="1:7">
      <c r="A350" s="3">
        <v>10</v>
      </c>
      <c r="B350" s="3">
        <v>5</v>
      </c>
      <c r="C350" s="3">
        <v>44</v>
      </c>
      <c r="D350" s="3">
        <v>6</v>
      </c>
      <c r="E350" s="3">
        <v>133.807</v>
      </c>
      <c r="F350" s="4" t="str">
        <f>HYPERLINK("http://141.218.60.56/~jnz1568/getInfo.php?workbook=10_05.xlsx&amp;sheet=A0&amp;row=350&amp;col=6&amp;number=13000000&amp;sourceID=14","13000000")</f>
        <v>13000000</v>
      </c>
      <c r="G350" s="4" t="str">
        <f>HYPERLINK("http://141.218.60.56/~jnz1568/getInfo.php?workbook=10_05.xlsx&amp;sheet=A0&amp;row=350&amp;col=7&amp;number=0&amp;sourceID=14","0")</f>
        <v>0</v>
      </c>
    </row>
    <row r="351" spans="1:7">
      <c r="A351" s="3">
        <v>10</v>
      </c>
      <c r="B351" s="3">
        <v>5</v>
      </c>
      <c r="C351" s="3">
        <v>45</v>
      </c>
      <c r="D351" s="3">
        <v>6</v>
      </c>
      <c r="E351" s="3">
        <v>133.789</v>
      </c>
      <c r="F351" s="4" t="str">
        <f>HYPERLINK("http://141.218.60.56/~jnz1568/getInfo.php?workbook=10_05.xlsx&amp;sheet=A0&amp;row=351&amp;col=6&amp;number=106000000&amp;sourceID=14","106000000")</f>
        <v>106000000</v>
      </c>
      <c r="G351" s="4" t="str">
        <f>HYPERLINK("http://141.218.60.56/~jnz1568/getInfo.php?workbook=10_05.xlsx&amp;sheet=A0&amp;row=351&amp;col=7&amp;number=0&amp;sourceID=14","0")</f>
        <v>0</v>
      </c>
    </row>
    <row r="352" spans="1:7">
      <c r="A352" s="3">
        <v>10</v>
      </c>
      <c r="B352" s="3">
        <v>5</v>
      </c>
      <c r="C352" s="3">
        <v>46</v>
      </c>
      <c r="D352" s="3">
        <v>6</v>
      </c>
      <c r="E352" s="3">
        <v>133.735</v>
      </c>
      <c r="F352" s="4" t="str">
        <f>HYPERLINK("http://141.218.60.56/~jnz1568/getInfo.php?workbook=10_05.xlsx&amp;sheet=A0&amp;row=352&amp;col=6&amp;number=334000&amp;sourceID=14","334000")</f>
        <v>334000</v>
      </c>
      <c r="G352" s="4" t="str">
        <f>HYPERLINK("http://141.218.60.56/~jnz1568/getInfo.php?workbook=10_05.xlsx&amp;sheet=A0&amp;row=352&amp;col=7&amp;number=0&amp;sourceID=14","0")</f>
        <v>0</v>
      </c>
    </row>
    <row r="353" spans="1:7">
      <c r="A353" s="3">
        <v>10</v>
      </c>
      <c r="B353" s="3">
        <v>5</v>
      </c>
      <c r="C353" s="3">
        <v>47</v>
      </c>
      <c r="D353" s="3">
        <v>6</v>
      </c>
      <c r="E353" s="3">
        <v>133.512</v>
      </c>
      <c r="F353" s="4" t="str">
        <f>HYPERLINK("http://141.218.60.56/~jnz1568/getInfo.php?workbook=10_05.xlsx&amp;sheet=A0&amp;row=353&amp;col=6&amp;number=6070000000&amp;sourceID=14","6070000000")</f>
        <v>6070000000</v>
      </c>
      <c r="G353" s="4" t="str">
        <f>HYPERLINK("http://141.218.60.56/~jnz1568/getInfo.php?workbook=10_05.xlsx&amp;sheet=A0&amp;row=353&amp;col=7&amp;number=0&amp;sourceID=14","0")</f>
        <v>0</v>
      </c>
    </row>
    <row r="354" spans="1:7">
      <c r="A354" s="3">
        <v>10</v>
      </c>
      <c r="B354" s="3">
        <v>5</v>
      </c>
      <c r="C354" s="3">
        <v>48</v>
      </c>
      <c r="D354" s="3">
        <v>6</v>
      </c>
      <c r="E354" s="3">
        <v>133.476</v>
      </c>
      <c r="F354" s="4" t="str">
        <f>HYPERLINK("http://141.218.60.56/~jnz1568/getInfo.php?workbook=10_05.xlsx&amp;sheet=A0&amp;row=354&amp;col=6&amp;number=56700000000&amp;sourceID=14","56700000000")</f>
        <v>56700000000</v>
      </c>
      <c r="G354" s="4" t="str">
        <f>HYPERLINK("http://141.218.60.56/~jnz1568/getInfo.php?workbook=10_05.xlsx&amp;sheet=A0&amp;row=354&amp;col=7&amp;number=0&amp;sourceID=14","0")</f>
        <v>0</v>
      </c>
    </row>
    <row r="355" spans="1:7">
      <c r="A355" s="3">
        <v>10</v>
      </c>
      <c r="B355" s="3">
        <v>5</v>
      </c>
      <c r="C355" s="3">
        <v>49</v>
      </c>
      <c r="D355" s="3">
        <v>6</v>
      </c>
      <c r="E355" s="3">
        <v>132.877</v>
      </c>
      <c r="F355" s="4" t="str">
        <f>HYPERLINK("http://141.218.60.56/~jnz1568/getInfo.php?workbook=10_05.xlsx&amp;sheet=A0&amp;row=355&amp;col=6&amp;number=2160000000&amp;sourceID=14","2160000000")</f>
        <v>2160000000</v>
      </c>
      <c r="G355" s="4" t="str">
        <f>HYPERLINK("http://141.218.60.56/~jnz1568/getInfo.php?workbook=10_05.xlsx&amp;sheet=A0&amp;row=355&amp;col=7&amp;number=0&amp;sourceID=14","0")</f>
        <v>0</v>
      </c>
    </row>
    <row r="356" spans="1:7">
      <c r="A356" s="3">
        <v>10</v>
      </c>
      <c r="B356" s="3">
        <v>5</v>
      </c>
      <c r="C356" s="3">
        <v>50</v>
      </c>
      <c r="D356" s="3">
        <v>6</v>
      </c>
      <c r="E356" s="3">
        <v>132.824</v>
      </c>
      <c r="F356" s="4" t="str">
        <f>HYPERLINK("http://141.218.60.56/~jnz1568/getInfo.php?workbook=10_05.xlsx&amp;sheet=A0&amp;row=356&amp;col=6&amp;number=31800000&amp;sourceID=14","31800000")</f>
        <v>31800000</v>
      </c>
      <c r="G356" s="4" t="str">
        <f>HYPERLINK("http://141.218.60.56/~jnz1568/getInfo.php?workbook=10_05.xlsx&amp;sheet=A0&amp;row=356&amp;col=7&amp;number=0&amp;sourceID=14","0")</f>
        <v>0</v>
      </c>
    </row>
    <row r="357" spans="1:7">
      <c r="A357" s="3">
        <v>10</v>
      </c>
      <c r="B357" s="3">
        <v>5</v>
      </c>
      <c r="C357" s="3">
        <v>52</v>
      </c>
      <c r="D357" s="3">
        <v>6</v>
      </c>
      <c r="E357" s="3">
        <v>131.365</v>
      </c>
      <c r="F357" s="4" t="str">
        <f>HYPERLINK("http://141.218.60.56/~jnz1568/getInfo.php?workbook=10_05.xlsx&amp;sheet=A0&amp;row=357&amp;col=6&amp;number=18200000000&amp;sourceID=14","18200000000")</f>
        <v>18200000000</v>
      </c>
      <c r="G357" s="4" t="str">
        <f>HYPERLINK("http://141.218.60.56/~jnz1568/getInfo.php?workbook=10_05.xlsx&amp;sheet=A0&amp;row=357&amp;col=7&amp;number=0&amp;sourceID=14","0")</f>
        <v>0</v>
      </c>
    </row>
    <row r="358" spans="1:7">
      <c r="A358" s="3">
        <v>10</v>
      </c>
      <c r="B358" s="3">
        <v>5</v>
      </c>
      <c r="C358" s="3">
        <v>54</v>
      </c>
      <c r="D358" s="3">
        <v>6</v>
      </c>
      <c r="E358" s="3">
        <v>130.399</v>
      </c>
      <c r="F358" s="4" t="str">
        <f>HYPERLINK("http://141.218.60.56/~jnz1568/getInfo.php?workbook=10_05.xlsx&amp;sheet=A0&amp;row=358&amp;col=6&amp;number=10500000000&amp;sourceID=14","10500000000")</f>
        <v>10500000000</v>
      </c>
      <c r="G358" s="4" t="str">
        <f>HYPERLINK("http://141.218.60.56/~jnz1568/getInfo.php?workbook=10_05.xlsx&amp;sheet=A0&amp;row=358&amp;col=7&amp;number=0&amp;sourceID=14","0")</f>
        <v>0</v>
      </c>
    </row>
    <row r="359" spans="1:7">
      <c r="A359" s="3">
        <v>10</v>
      </c>
      <c r="B359" s="3">
        <v>5</v>
      </c>
      <c r="C359" s="3">
        <v>55</v>
      </c>
      <c r="D359" s="3">
        <v>6</v>
      </c>
      <c r="E359" s="3">
        <v>130.263</v>
      </c>
      <c r="F359" s="4" t="str">
        <f>HYPERLINK("http://141.218.60.56/~jnz1568/getInfo.php?workbook=10_05.xlsx&amp;sheet=A0&amp;row=359&amp;col=6&amp;number=145000000000&amp;sourceID=14","145000000000")</f>
        <v>145000000000</v>
      </c>
      <c r="G359" s="4" t="str">
        <f>HYPERLINK("http://141.218.60.56/~jnz1568/getInfo.php?workbook=10_05.xlsx&amp;sheet=A0&amp;row=359&amp;col=7&amp;number=0&amp;sourceID=14","0")</f>
        <v>0</v>
      </c>
    </row>
    <row r="360" spans="1:7">
      <c r="A360" s="3">
        <v>10</v>
      </c>
      <c r="B360" s="3">
        <v>5</v>
      </c>
      <c r="C360" s="3">
        <v>56</v>
      </c>
      <c r="D360" s="3">
        <v>6</v>
      </c>
      <c r="E360" s="3">
        <v>129.337</v>
      </c>
      <c r="F360" s="4" t="str">
        <f>HYPERLINK("http://141.218.60.56/~jnz1568/getInfo.php?workbook=10_05.xlsx&amp;sheet=A0&amp;row=360&amp;col=6&amp;number=470000000&amp;sourceID=14","470000000")</f>
        <v>470000000</v>
      </c>
      <c r="G360" s="4" t="str">
        <f>HYPERLINK("http://141.218.60.56/~jnz1568/getInfo.php?workbook=10_05.xlsx&amp;sheet=A0&amp;row=360&amp;col=7&amp;number=0&amp;sourceID=14","0")</f>
        <v>0</v>
      </c>
    </row>
    <row r="361" spans="1:7">
      <c r="A361" s="3">
        <v>10</v>
      </c>
      <c r="B361" s="3">
        <v>5</v>
      </c>
      <c r="C361" s="3">
        <v>65</v>
      </c>
      <c r="D361" s="3">
        <v>6</v>
      </c>
      <c r="E361" s="3">
        <v>-120.974</v>
      </c>
      <c r="F361" s="4" t="str">
        <f>HYPERLINK("http://141.218.60.56/~jnz1568/getInfo.php?workbook=10_05.xlsx&amp;sheet=A0&amp;row=361&amp;col=6&amp;number=1300000000&amp;sourceID=14","1300000000")</f>
        <v>1300000000</v>
      </c>
      <c r="G361" s="4" t="str">
        <f>HYPERLINK("http://141.218.60.56/~jnz1568/getInfo.php?workbook=10_05.xlsx&amp;sheet=A0&amp;row=361&amp;col=7&amp;number=0&amp;sourceID=14","0")</f>
        <v>0</v>
      </c>
    </row>
    <row r="362" spans="1:7">
      <c r="A362" s="3">
        <v>10</v>
      </c>
      <c r="B362" s="3">
        <v>5</v>
      </c>
      <c r="C362" s="3">
        <v>68</v>
      </c>
      <c r="D362" s="3">
        <v>6</v>
      </c>
      <c r="E362" s="3">
        <v>118.627</v>
      </c>
      <c r="F362" s="4" t="str">
        <f>HYPERLINK("http://141.218.60.56/~jnz1568/getInfo.php?workbook=10_05.xlsx&amp;sheet=A0&amp;row=362&amp;col=6&amp;number=5130000000&amp;sourceID=14","5130000000")</f>
        <v>5130000000</v>
      </c>
      <c r="G362" s="4" t="str">
        <f>HYPERLINK("http://141.218.60.56/~jnz1568/getInfo.php?workbook=10_05.xlsx&amp;sheet=A0&amp;row=362&amp;col=7&amp;number=0&amp;sourceID=14","0")</f>
        <v>0</v>
      </c>
    </row>
    <row r="363" spans="1:7">
      <c r="A363" s="3">
        <v>10</v>
      </c>
      <c r="B363" s="3">
        <v>5</v>
      </c>
      <c r="C363" s="3">
        <v>69</v>
      </c>
      <c r="D363" s="3">
        <v>6</v>
      </c>
      <c r="E363" s="3">
        <v>118.627</v>
      </c>
      <c r="F363" s="4" t="str">
        <f>HYPERLINK("http://141.218.60.56/~jnz1568/getInfo.php?workbook=10_05.xlsx&amp;sheet=A0&amp;row=363&amp;col=6&amp;number=76400000000&amp;sourceID=14","76400000000")</f>
        <v>76400000000</v>
      </c>
      <c r="G363" s="4" t="str">
        <f>HYPERLINK("http://141.218.60.56/~jnz1568/getInfo.php?workbook=10_05.xlsx&amp;sheet=A0&amp;row=363&amp;col=7&amp;number=0&amp;sourceID=14","0")</f>
        <v>0</v>
      </c>
    </row>
    <row r="364" spans="1:7">
      <c r="A364" s="3">
        <v>10</v>
      </c>
      <c r="B364" s="3">
        <v>5</v>
      </c>
      <c r="C364" s="3">
        <v>73</v>
      </c>
      <c r="D364" s="3">
        <v>6</v>
      </c>
      <c r="E364" s="3">
        <v>117.497</v>
      </c>
      <c r="F364" s="4" t="str">
        <f>HYPERLINK("http://141.218.60.56/~jnz1568/getInfo.php?workbook=10_05.xlsx&amp;sheet=A0&amp;row=364&amp;col=6&amp;number=2340000000&amp;sourceID=14","2340000000")</f>
        <v>2340000000</v>
      </c>
      <c r="G364" s="4" t="str">
        <f>HYPERLINK("http://141.218.60.56/~jnz1568/getInfo.php?workbook=10_05.xlsx&amp;sheet=A0&amp;row=364&amp;col=7&amp;number=0&amp;sourceID=14","0")</f>
        <v>0</v>
      </c>
    </row>
    <row r="365" spans="1:7">
      <c r="A365" s="3">
        <v>10</v>
      </c>
      <c r="B365" s="3">
        <v>5</v>
      </c>
      <c r="C365" s="3">
        <v>74</v>
      </c>
      <c r="D365" s="3">
        <v>6</v>
      </c>
      <c r="E365" s="3">
        <v>117.48</v>
      </c>
      <c r="F365" s="4" t="str">
        <f>HYPERLINK("http://141.218.60.56/~jnz1568/getInfo.php?workbook=10_05.xlsx&amp;sheet=A0&amp;row=365&amp;col=6&amp;number=21800000000&amp;sourceID=14","21800000000")</f>
        <v>21800000000</v>
      </c>
      <c r="G365" s="4" t="str">
        <f>HYPERLINK("http://141.218.60.56/~jnz1568/getInfo.php?workbook=10_05.xlsx&amp;sheet=A0&amp;row=365&amp;col=7&amp;number=0&amp;sourceID=14","0")</f>
        <v>0</v>
      </c>
    </row>
    <row r="366" spans="1:7">
      <c r="A366" s="3">
        <v>10</v>
      </c>
      <c r="B366" s="3">
        <v>5</v>
      </c>
      <c r="C366" s="3">
        <v>76</v>
      </c>
      <c r="D366" s="3">
        <v>6</v>
      </c>
      <c r="E366" s="3">
        <v>117.191</v>
      </c>
      <c r="F366" s="4" t="str">
        <f>HYPERLINK("http://141.218.60.56/~jnz1568/getInfo.php?workbook=10_05.xlsx&amp;sheet=A0&amp;row=366&amp;col=6&amp;number=2260000000&amp;sourceID=14","2260000000")</f>
        <v>2260000000</v>
      </c>
      <c r="G366" s="4" t="str">
        <f>HYPERLINK("http://141.218.60.56/~jnz1568/getInfo.php?workbook=10_05.xlsx&amp;sheet=A0&amp;row=366&amp;col=7&amp;number=0&amp;sourceID=14","0")</f>
        <v>0</v>
      </c>
    </row>
    <row r="367" spans="1:7">
      <c r="A367" s="3">
        <v>10</v>
      </c>
      <c r="B367" s="3">
        <v>5</v>
      </c>
      <c r="C367" s="3">
        <v>83</v>
      </c>
      <c r="D367" s="3">
        <v>6</v>
      </c>
      <c r="E367" s="3">
        <v>113.247</v>
      </c>
      <c r="F367" s="4" t="str">
        <f>HYPERLINK("http://141.218.60.56/~jnz1568/getInfo.php?workbook=10_05.xlsx&amp;sheet=A0&amp;row=367&amp;col=6&amp;number=3210000&amp;sourceID=14","3210000")</f>
        <v>3210000</v>
      </c>
      <c r="G367" s="4" t="str">
        <f>HYPERLINK("http://141.218.60.56/~jnz1568/getInfo.php?workbook=10_05.xlsx&amp;sheet=A0&amp;row=367&amp;col=7&amp;number=0&amp;sourceID=14","0")</f>
        <v>0</v>
      </c>
    </row>
    <row r="368" spans="1:7">
      <c r="A368" s="3">
        <v>10</v>
      </c>
      <c r="B368" s="3">
        <v>5</v>
      </c>
      <c r="C368" s="3">
        <v>84</v>
      </c>
      <c r="D368" s="3">
        <v>6</v>
      </c>
      <c r="E368" s="3">
        <v>113.247</v>
      </c>
      <c r="F368" s="4" t="str">
        <f>HYPERLINK("http://141.218.60.56/~jnz1568/getInfo.php?workbook=10_05.xlsx&amp;sheet=A0&amp;row=368&amp;col=6&amp;number=4870000&amp;sourceID=14","4870000")</f>
        <v>4870000</v>
      </c>
      <c r="G368" s="4" t="str">
        <f>HYPERLINK("http://141.218.60.56/~jnz1568/getInfo.php?workbook=10_05.xlsx&amp;sheet=A0&amp;row=368&amp;col=7&amp;number=0&amp;sourceID=14","0")</f>
        <v>0</v>
      </c>
    </row>
    <row r="369" spans="1:7">
      <c r="A369" s="3">
        <v>10</v>
      </c>
      <c r="B369" s="3">
        <v>5</v>
      </c>
      <c r="C369" s="3">
        <v>85</v>
      </c>
      <c r="D369" s="3">
        <v>6</v>
      </c>
      <c r="E369" s="3">
        <v>113.247</v>
      </c>
      <c r="F369" s="4" t="str">
        <f>HYPERLINK("http://141.218.60.56/~jnz1568/getInfo.php?workbook=10_05.xlsx&amp;sheet=A0&amp;row=369&amp;col=6&amp;number=142000000&amp;sourceID=14","142000000")</f>
        <v>142000000</v>
      </c>
      <c r="G369" s="4" t="str">
        <f>HYPERLINK("http://141.218.60.56/~jnz1568/getInfo.php?workbook=10_05.xlsx&amp;sheet=A0&amp;row=369&amp;col=7&amp;number=0&amp;sourceID=14","0")</f>
        <v>0</v>
      </c>
    </row>
    <row r="370" spans="1:7">
      <c r="A370" s="3">
        <v>10</v>
      </c>
      <c r="B370" s="3">
        <v>5</v>
      </c>
      <c r="C370" s="3">
        <v>86</v>
      </c>
      <c r="D370" s="3">
        <v>6</v>
      </c>
      <c r="E370" s="3">
        <v>-113.126</v>
      </c>
      <c r="F370" s="4" t="str">
        <f>HYPERLINK("http://141.218.60.56/~jnz1568/getInfo.php?workbook=10_05.xlsx&amp;sheet=A0&amp;row=370&amp;col=6&amp;number=2200000000&amp;sourceID=14","2200000000")</f>
        <v>2200000000</v>
      </c>
      <c r="G370" s="4" t="str">
        <f>HYPERLINK("http://141.218.60.56/~jnz1568/getInfo.php?workbook=10_05.xlsx&amp;sheet=A0&amp;row=370&amp;col=7&amp;number=0&amp;sourceID=14","0")</f>
        <v>0</v>
      </c>
    </row>
    <row r="371" spans="1:7">
      <c r="A371" s="3">
        <v>10</v>
      </c>
      <c r="B371" s="3">
        <v>5</v>
      </c>
      <c r="C371" s="3">
        <v>87</v>
      </c>
      <c r="D371" s="3">
        <v>6</v>
      </c>
      <c r="E371" s="3">
        <v>-113.125</v>
      </c>
      <c r="F371" s="4" t="str">
        <f>HYPERLINK("http://141.218.60.56/~jnz1568/getInfo.php?workbook=10_05.xlsx&amp;sheet=A0&amp;row=371&amp;col=6&amp;number=32600000000&amp;sourceID=14","32600000000")</f>
        <v>32600000000</v>
      </c>
      <c r="G371" s="4" t="str">
        <f>HYPERLINK("http://141.218.60.56/~jnz1568/getInfo.php?workbook=10_05.xlsx&amp;sheet=A0&amp;row=371&amp;col=7&amp;number=0&amp;sourceID=14","0")</f>
        <v>0</v>
      </c>
    </row>
    <row r="372" spans="1:7">
      <c r="A372" s="3">
        <v>10</v>
      </c>
      <c r="B372" s="3">
        <v>5</v>
      </c>
      <c r="C372" s="3">
        <v>89</v>
      </c>
      <c r="D372" s="3">
        <v>6</v>
      </c>
      <c r="E372" s="3">
        <v>112.797</v>
      </c>
      <c r="F372" s="4" t="str">
        <f>HYPERLINK("http://141.218.60.56/~jnz1568/getInfo.php?workbook=10_05.xlsx&amp;sheet=A0&amp;row=372&amp;col=6&amp;number=1690000&amp;sourceID=14","1690000")</f>
        <v>1690000</v>
      </c>
      <c r="G372" s="4" t="str">
        <f>HYPERLINK("http://141.218.60.56/~jnz1568/getInfo.php?workbook=10_05.xlsx&amp;sheet=A0&amp;row=372&amp;col=7&amp;number=0&amp;sourceID=14","0")</f>
        <v>0</v>
      </c>
    </row>
    <row r="373" spans="1:7">
      <c r="A373" s="3">
        <v>10</v>
      </c>
      <c r="B373" s="3">
        <v>5</v>
      </c>
      <c r="C373" s="3">
        <v>90</v>
      </c>
      <c r="D373" s="3">
        <v>6</v>
      </c>
      <c r="E373" s="3">
        <v>112.725</v>
      </c>
      <c r="F373" s="4" t="str">
        <f>HYPERLINK("http://141.218.60.56/~jnz1568/getInfo.php?workbook=10_05.xlsx&amp;sheet=A0&amp;row=373&amp;col=6&amp;number=7640000&amp;sourceID=14","7640000")</f>
        <v>7640000</v>
      </c>
      <c r="G373" s="4" t="str">
        <f>HYPERLINK("http://141.218.60.56/~jnz1568/getInfo.php?workbook=10_05.xlsx&amp;sheet=A0&amp;row=373&amp;col=7&amp;number=0&amp;sourceID=14","0")</f>
        <v>0</v>
      </c>
    </row>
    <row r="374" spans="1:7">
      <c r="A374" s="3">
        <v>10</v>
      </c>
      <c r="B374" s="3">
        <v>5</v>
      </c>
      <c r="C374" s="3">
        <v>91</v>
      </c>
      <c r="D374" s="3">
        <v>6</v>
      </c>
      <c r="E374" s="3">
        <v>-111.729</v>
      </c>
      <c r="F374" s="4" t="str">
        <f>HYPERLINK("http://141.218.60.56/~jnz1568/getInfo.php?workbook=10_05.xlsx&amp;sheet=A0&amp;row=374&amp;col=6&amp;number=272000000&amp;sourceID=14","272000000")</f>
        <v>272000000</v>
      </c>
      <c r="G374" s="4" t="str">
        <f>HYPERLINK("http://141.218.60.56/~jnz1568/getInfo.php?workbook=10_05.xlsx&amp;sheet=A0&amp;row=374&amp;col=7&amp;number=0&amp;sourceID=14","0")</f>
        <v>0</v>
      </c>
    </row>
    <row r="375" spans="1:7">
      <c r="A375" s="3">
        <v>10</v>
      </c>
      <c r="B375" s="3">
        <v>5</v>
      </c>
      <c r="C375" s="3">
        <v>92</v>
      </c>
      <c r="D375" s="3">
        <v>6</v>
      </c>
      <c r="E375" s="3">
        <v>-111.625</v>
      </c>
      <c r="F375" s="4" t="str">
        <f>HYPERLINK("http://141.218.60.56/~jnz1568/getInfo.php?workbook=10_05.xlsx&amp;sheet=A0&amp;row=375&amp;col=6&amp;number=2530000000&amp;sourceID=14","2530000000")</f>
        <v>2530000000</v>
      </c>
      <c r="G375" s="4" t="str">
        <f>HYPERLINK("http://141.218.60.56/~jnz1568/getInfo.php?workbook=10_05.xlsx&amp;sheet=A0&amp;row=375&amp;col=7&amp;number=0&amp;sourceID=14","0")</f>
        <v>0</v>
      </c>
    </row>
    <row r="376" spans="1:7">
      <c r="A376" s="3">
        <v>10</v>
      </c>
      <c r="B376" s="3">
        <v>5</v>
      </c>
      <c r="C376" s="3">
        <v>94</v>
      </c>
      <c r="D376" s="3">
        <v>6</v>
      </c>
      <c r="E376" s="3">
        <v>-110.647</v>
      </c>
      <c r="F376" s="4" t="str">
        <f>HYPERLINK("http://141.218.60.56/~jnz1568/getInfo.php?workbook=10_05.xlsx&amp;sheet=A0&amp;row=376&amp;col=6&amp;number=12600000000&amp;sourceID=14","12600000000")</f>
        <v>12600000000</v>
      </c>
      <c r="G376" s="4" t="str">
        <f>HYPERLINK("http://141.218.60.56/~jnz1568/getInfo.php?workbook=10_05.xlsx&amp;sheet=A0&amp;row=376&amp;col=7&amp;number=0&amp;sourceID=14","0")</f>
        <v>0</v>
      </c>
    </row>
    <row r="377" spans="1:7">
      <c r="A377" s="3">
        <v>10</v>
      </c>
      <c r="B377" s="3">
        <v>5</v>
      </c>
      <c r="C377" s="3">
        <v>95</v>
      </c>
      <c r="D377" s="3">
        <v>6</v>
      </c>
      <c r="E377" s="3">
        <v>110.617</v>
      </c>
      <c r="F377" s="4" t="str">
        <f>HYPERLINK("http://141.218.60.56/~jnz1568/getInfo.php?workbook=10_05.xlsx&amp;sheet=A0&amp;row=377&amp;col=6&amp;number=6770000&amp;sourceID=14","6770000")</f>
        <v>6770000</v>
      </c>
      <c r="G377" s="4" t="str">
        <f>HYPERLINK("http://141.218.60.56/~jnz1568/getInfo.php?workbook=10_05.xlsx&amp;sheet=A0&amp;row=377&amp;col=7&amp;number=0&amp;sourceID=14","0")</f>
        <v>0</v>
      </c>
    </row>
    <row r="378" spans="1:7">
      <c r="A378" s="3">
        <v>10</v>
      </c>
      <c r="B378" s="3">
        <v>5</v>
      </c>
      <c r="C378" s="3">
        <v>96</v>
      </c>
      <c r="D378" s="3">
        <v>6</v>
      </c>
      <c r="E378" s="3">
        <v>109.074</v>
      </c>
      <c r="F378" s="4" t="str">
        <f>HYPERLINK("http://141.218.60.56/~jnz1568/getInfo.php?workbook=10_05.xlsx&amp;sheet=A0&amp;row=378&amp;col=6&amp;number=668000000&amp;sourceID=14","668000000")</f>
        <v>668000000</v>
      </c>
      <c r="G378" s="4" t="str">
        <f>HYPERLINK("http://141.218.60.56/~jnz1568/getInfo.php?workbook=10_05.xlsx&amp;sheet=A0&amp;row=378&amp;col=7&amp;number=0&amp;sourceID=14","0")</f>
        <v>0</v>
      </c>
    </row>
    <row r="379" spans="1:7">
      <c r="A379" s="3">
        <v>10</v>
      </c>
      <c r="B379" s="3">
        <v>5</v>
      </c>
      <c r="C379" s="3">
        <v>97</v>
      </c>
      <c r="D379" s="3">
        <v>6</v>
      </c>
      <c r="E379" s="3">
        <v>109.034</v>
      </c>
      <c r="F379" s="4" t="str">
        <f>HYPERLINK("http://141.218.60.56/~jnz1568/getInfo.php?workbook=10_05.xlsx&amp;sheet=A0&amp;row=379&amp;col=6&amp;number=12400000000&amp;sourceID=14","12400000000")</f>
        <v>12400000000</v>
      </c>
      <c r="G379" s="4" t="str">
        <f>HYPERLINK("http://141.218.60.56/~jnz1568/getInfo.php?workbook=10_05.xlsx&amp;sheet=A0&amp;row=379&amp;col=7&amp;number=0&amp;sourceID=14","0")</f>
        <v>0</v>
      </c>
    </row>
    <row r="380" spans="1:7">
      <c r="A380" s="3">
        <v>10</v>
      </c>
      <c r="B380" s="3">
        <v>5</v>
      </c>
      <c r="C380" s="3">
        <v>101</v>
      </c>
      <c r="D380" s="3">
        <v>6</v>
      </c>
      <c r="E380" s="3">
        <v>-108.591</v>
      </c>
      <c r="F380" s="4" t="str">
        <f>HYPERLINK("http://141.218.60.56/~jnz1568/getInfo.php?workbook=10_05.xlsx&amp;sheet=A0&amp;row=380&amp;col=6&amp;number=88400&amp;sourceID=14","88400")</f>
        <v>88400</v>
      </c>
      <c r="G380" s="4" t="str">
        <f>HYPERLINK("http://141.218.60.56/~jnz1568/getInfo.php?workbook=10_05.xlsx&amp;sheet=A0&amp;row=380&amp;col=7&amp;number=0&amp;sourceID=14","0")</f>
        <v>0</v>
      </c>
    </row>
    <row r="381" spans="1:7">
      <c r="A381" s="3">
        <v>10</v>
      </c>
      <c r="B381" s="3">
        <v>5</v>
      </c>
      <c r="C381" s="3">
        <v>103</v>
      </c>
      <c r="D381" s="3">
        <v>6</v>
      </c>
      <c r="E381" s="3">
        <v>-108.504</v>
      </c>
      <c r="F381" s="4" t="str">
        <f>HYPERLINK("http://141.218.60.56/~jnz1568/getInfo.php?workbook=10_05.xlsx&amp;sheet=A0&amp;row=381&amp;col=6&amp;number=556000&amp;sourceID=14","556000")</f>
        <v>556000</v>
      </c>
      <c r="G381" s="4" t="str">
        <f>HYPERLINK("http://141.218.60.56/~jnz1568/getInfo.php?workbook=10_05.xlsx&amp;sheet=A0&amp;row=381&amp;col=7&amp;number=0&amp;sourceID=14","0")</f>
        <v>0</v>
      </c>
    </row>
    <row r="382" spans="1:7">
      <c r="A382" s="3">
        <v>10</v>
      </c>
      <c r="B382" s="3">
        <v>5</v>
      </c>
      <c r="C382" s="3">
        <v>112</v>
      </c>
      <c r="D382" s="3">
        <v>6</v>
      </c>
      <c r="E382" s="3">
        <v>-107.69</v>
      </c>
      <c r="F382" s="4" t="str">
        <f>HYPERLINK("http://141.218.60.56/~jnz1568/getInfo.php?workbook=10_05.xlsx&amp;sheet=A0&amp;row=382&amp;col=6&amp;number=2250000&amp;sourceID=14","2250000")</f>
        <v>2250000</v>
      </c>
      <c r="G382" s="4" t="str">
        <f>HYPERLINK("http://141.218.60.56/~jnz1568/getInfo.php?workbook=10_05.xlsx&amp;sheet=A0&amp;row=382&amp;col=7&amp;number=0&amp;sourceID=14","0")</f>
        <v>0</v>
      </c>
    </row>
    <row r="383" spans="1:7">
      <c r="A383" s="3">
        <v>10</v>
      </c>
      <c r="B383" s="3">
        <v>5</v>
      </c>
      <c r="C383" s="3">
        <v>113</v>
      </c>
      <c r="D383" s="3">
        <v>6</v>
      </c>
      <c r="E383" s="3">
        <v>107.604</v>
      </c>
      <c r="F383" s="4" t="str">
        <f>HYPERLINK("http://141.218.60.56/~jnz1568/getInfo.php?workbook=10_05.xlsx&amp;sheet=A0&amp;row=383&amp;col=6&amp;number=23500000000&amp;sourceID=14","23500000000")</f>
        <v>23500000000</v>
      </c>
      <c r="G383" s="4" t="str">
        <f>HYPERLINK("http://141.218.60.56/~jnz1568/getInfo.php?workbook=10_05.xlsx&amp;sheet=A0&amp;row=383&amp;col=7&amp;number=0&amp;sourceID=14","0")</f>
        <v>0</v>
      </c>
    </row>
    <row r="384" spans="1:7">
      <c r="A384" s="3">
        <v>10</v>
      </c>
      <c r="B384" s="3">
        <v>5</v>
      </c>
      <c r="C384" s="3">
        <v>114</v>
      </c>
      <c r="D384" s="3">
        <v>6</v>
      </c>
      <c r="E384" s="3">
        <v>107.604</v>
      </c>
      <c r="F384" s="4" t="str">
        <f>HYPERLINK("http://141.218.60.56/~jnz1568/getInfo.php?workbook=10_05.xlsx&amp;sheet=A0&amp;row=384&amp;col=6&amp;number=3140000000&amp;sourceID=14","3140000000")</f>
        <v>3140000000</v>
      </c>
      <c r="G384" s="4" t="str">
        <f>HYPERLINK("http://141.218.60.56/~jnz1568/getInfo.php?workbook=10_05.xlsx&amp;sheet=A0&amp;row=384&amp;col=7&amp;number=0&amp;sourceID=14","0")</f>
        <v>0</v>
      </c>
    </row>
    <row r="385" spans="1:7">
      <c r="A385" s="3">
        <v>10</v>
      </c>
      <c r="B385" s="3">
        <v>5</v>
      </c>
      <c r="C385" s="3">
        <v>128</v>
      </c>
      <c r="D385" s="3">
        <v>6</v>
      </c>
      <c r="E385" s="3">
        <v>-106.11</v>
      </c>
      <c r="F385" s="4" t="str">
        <f>HYPERLINK("http://141.218.60.56/~jnz1568/getInfo.php?workbook=10_05.xlsx&amp;sheet=A0&amp;row=385&amp;col=6&amp;number=18000000000&amp;sourceID=14","18000000000")</f>
        <v>18000000000</v>
      </c>
      <c r="G385" s="4" t="str">
        <f>HYPERLINK("http://141.218.60.56/~jnz1568/getInfo.php?workbook=10_05.xlsx&amp;sheet=A0&amp;row=385&amp;col=7&amp;number=0&amp;sourceID=14","0")</f>
        <v>0</v>
      </c>
    </row>
    <row r="386" spans="1:7">
      <c r="A386" s="3">
        <v>10</v>
      </c>
      <c r="B386" s="3">
        <v>5</v>
      </c>
      <c r="C386" s="3">
        <v>134</v>
      </c>
      <c r="D386" s="3">
        <v>6</v>
      </c>
      <c r="E386" s="3">
        <v>-105.608</v>
      </c>
      <c r="F386" s="4" t="str">
        <f>HYPERLINK("http://141.218.60.56/~jnz1568/getInfo.php?workbook=10_05.xlsx&amp;sheet=A0&amp;row=386&amp;col=6&amp;number=3000000&amp;sourceID=14","3000000")</f>
        <v>3000000</v>
      </c>
      <c r="G386" s="4" t="str">
        <f>HYPERLINK("http://141.218.60.56/~jnz1568/getInfo.php?workbook=10_05.xlsx&amp;sheet=A0&amp;row=386&amp;col=7&amp;number=0&amp;sourceID=14","0")</f>
        <v>0</v>
      </c>
    </row>
    <row r="387" spans="1:7">
      <c r="A387" s="3">
        <v>10</v>
      </c>
      <c r="B387" s="3">
        <v>5</v>
      </c>
      <c r="C387" s="3">
        <v>135</v>
      </c>
      <c r="D387" s="3">
        <v>6</v>
      </c>
      <c r="E387" s="3">
        <v>-105.581</v>
      </c>
      <c r="F387" s="4" t="str">
        <f>HYPERLINK("http://141.218.60.56/~jnz1568/getInfo.php?workbook=10_05.xlsx&amp;sheet=A0&amp;row=387&amp;col=6&amp;number=22600000&amp;sourceID=14","22600000")</f>
        <v>22600000</v>
      </c>
      <c r="G387" s="4" t="str">
        <f>HYPERLINK("http://141.218.60.56/~jnz1568/getInfo.php?workbook=10_05.xlsx&amp;sheet=A0&amp;row=387&amp;col=7&amp;number=0&amp;sourceID=14","0")</f>
        <v>0</v>
      </c>
    </row>
    <row r="388" spans="1:7">
      <c r="A388" s="3">
        <v>10</v>
      </c>
      <c r="B388" s="3">
        <v>5</v>
      </c>
      <c r="C388" s="3">
        <v>136</v>
      </c>
      <c r="D388" s="3">
        <v>6</v>
      </c>
      <c r="E388" s="3">
        <v>-105.541</v>
      </c>
      <c r="F388" s="4" t="str">
        <f>HYPERLINK("http://141.218.60.56/~jnz1568/getInfo.php?workbook=10_05.xlsx&amp;sheet=A0&amp;row=388&amp;col=6&amp;number=33000000&amp;sourceID=14","33000000")</f>
        <v>33000000</v>
      </c>
      <c r="G388" s="4" t="str">
        <f>HYPERLINK("http://141.218.60.56/~jnz1568/getInfo.php?workbook=10_05.xlsx&amp;sheet=A0&amp;row=388&amp;col=7&amp;number=0&amp;sourceID=14","0")</f>
        <v>0</v>
      </c>
    </row>
    <row r="389" spans="1:7">
      <c r="A389" s="3">
        <v>10</v>
      </c>
      <c r="B389" s="3">
        <v>5</v>
      </c>
      <c r="C389" s="3">
        <v>142</v>
      </c>
      <c r="D389" s="3">
        <v>6</v>
      </c>
      <c r="E389" s="3">
        <v>105.083</v>
      </c>
      <c r="F389" s="4" t="str">
        <f>HYPERLINK("http://141.218.60.56/~jnz1568/getInfo.php?workbook=10_05.xlsx&amp;sheet=A0&amp;row=389&amp;col=6&amp;number=37400000&amp;sourceID=14","37400000")</f>
        <v>37400000</v>
      </c>
      <c r="G389" s="4" t="str">
        <f>HYPERLINK("http://141.218.60.56/~jnz1568/getInfo.php?workbook=10_05.xlsx&amp;sheet=A0&amp;row=389&amp;col=7&amp;number=0&amp;sourceID=14","0")</f>
        <v>0</v>
      </c>
    </row>
    <row r="390" spans="1:7">
      <c r="A390" s="3">
        <v>10</v>
      </c>
      <c r="B390" s="3">
        <v>5</v>
      </c>
      <c r="C390" s="3">
        <v>143</v>
      </c>
      <c r="D390" s="3">
        <v>6</v>
      </c>
      <c r="E390" s="3">
        <v>105.056</v>
      </c>
      <c r="F390" s="4" t="str">
        <f>HYPERLINK("http://141.218.60.56/~jnz1568/getInfo.php?workbook=10_05.xlsx&amp;sheet=A0&amp;row=390&amp;col=6&amp;number=137000000&amp;sourceID=14","137000000")</f>
        <v>137000000</v>
      </c>
      <c r="G390" s="4" t="str">
        <f>HYPERLINK("http://141.218.60.56/~jnz1568/getInfo.php?workbook=10_05.xlsx&amp;sheet=A0&amp;row=390&amp;col=7&amp;number=0&amp;sourceID=14","0")</f>
        <v>0</v>
      </c>
    </row>
    <row r="391" spans="1:7">
      <c r="A391" s="3">
        <v>10</v>
      </c>
      <c r="B391" s="3">
        <v>5</v>
      </c>
      <c r="C391" s="3">
        <v>144</v>
      </c>
      <c r="D391" s="3">
        <v>6</v>
      </c>
      <c r="E391" s="3">
        <v>105.034</v>
      </c>
      <c r="F391" s="4" t="str">
        <f>HYPERLINK("http://141.218.60.56/~jnz1568/getInfo.php?workbook=10_05.xlsx&amp;sheet=A0&amp;row=391&amp;col=6&amp;number=15400000&amp;sourceID=14","15400000")</f>
        <v>15400000</v>
      </c>
      <c r="G391" s="4" t="str">
        <f>HYPERLINK("http://141.218.60.56/~jnz1568/getInfo.php?workbook=10_05.xlsx&amp;sheet=A0&amp;row=391&amp;col=7&amp;number=0&amp;sourceID=14","0")</f>
        <v>0</v>
      </c>
    </row>
    <row r="392" spans="1:7">
      <c r="A392" s="3">
        <v>10</v>
      </c>
      <c r="B392" s="3">
        <v>5</v>
      </c>
      <c r="C392" s="3">
        <v>145</v>
      </c>
      <c r="D392" s="3">
        <v>6</v>
      </c>
      <c r="E392" s="3">
        <v>104.933</v>
      </c>
      <c r="F392" s="4" t="str">
        <f>HYPERLINK("http://141.218.60.56/~jnz1568/getInfo.php?workbook=10_05.xlsx&amp;sheet=A0&amp;row=392&amp;col=6&amp;number=864000000&amp;sourceID=14","864000000")</f>
        <v>864000000</v>
      </c>
      <c r="G392" s="4" t="str">
        <f>HYPERLINK("http://141.218.60.56/~jnz1568/getInfo.php?workbook=10_05.xlsx&amp;sheet=A0&amp;row=392&amp;col=7&amp;number=0&amp;sourceID=14","0")</f>
        <v>0</v>
      </c>
    </row>
    <row r="393" spans="1:7">
      <c r="A393" s="3">
        <v>10</v>
      </c>
      <c r="B393" s="3">
        <v>5</v>
      </c>
      <c r="C393" s="3">
        <v>146</v>
      </c>
      <c r="D393" s="3">
        <v>6</v>
      </c>
      <c r="E393" s="3">
        <v>104.933</v>
      </c>
      <c r="F393" s="4" t="str">
        <f>HYPERLINK("http://141.218.60.56/~jnz1568/getInfo.php?workbook=10_05.xlsx&amp;sheet=A0&amp;row=393&amp;col=6&amp;number=12700000000&amp;sourceID=14","12700000000")</f>
        <v>12700000000</v>
      </c>
      <c r="G393" s="4" t="str">
        <f>HYPERLINK("http://141.218.60.56/~jnz1568/getInfo.php?workbook=10_05.xlsx&amp;sheet=A0&amp;row=393&amp;col=7&amp;number=0&amp;sourceID=14","0")</f>
        <v>0</v>
      </c>
    </row>
    <row r="394" spans="1:7">
      <c r="A394" s="3">
        <v>10</v>
      </c>
      <c r="B394" s="3">
        <v>5</v>
      </c>
      <c r="C394" s="3">
        <v>147</v>
      </c>
      <c r="D394" s="3">
        <v>6</v>
      </c>
      <c r="E394" s="3">
        <v>104.868</v>
      </c>
      <c r="F394" s="4" t="str">
        <f>HYPERLINK("http://141.218.60.56/~jnz1568/getInfo.php?workbook=10_05.xlsx&amp;sheet=A0&amp;row=394&amp;col=6&amp;number=1350000000&amp;sourceID=14","1350000000")</f>
        <v>1350000000</v>
      </c>
      <c r="G394" s="4" t="str">
        <f>HYPERLINK("http://141.218.60.56/~jnz1568/getInfo.php?workbook=10_05.xlsx&amp;sheet=A0&amp;row=394&amp;col=7&amp;number=0&amp;sourceID=14","0")</f>
        <v>0</v>
      </c>
    </row>
    <row r="395" spans="1:7">
      <c r="A395" s="3">
        <v>10</v>
      </c>
      <c r="B395" s="3">
        <v>5</v>
      </c>
      <c r="C395" s="3">
        <v>148</v>
      </c>
      <c r="D395" s="3">
        <v>6</v>
      </c>
      <c r="E395" s="3">
        <v>104.857</v>
      </c>
      <c r="F395" s="4" t="str">
        <f>HYPERLINK("http://141.218.60.56/~jnz1568/getInfo.php?workbook=10_05.xlsx&amp;sheet=A0&amp;row=395&amp;col=6&amp;number=444000000&amp;sourceID=14","444000000")</f>
        <v>444000000</v>
      </c>
      <c r="G395" s="4" t="str">
        <f>HYPERLINK("http://141.218.60.56/~jnz1568/getInfo.php?workbook=10_05.xlsx&amp;sheet=A0&amp;row=395&amp;col=7&amp;number=0&amp;sourceID=14","0")</f>
        <v>0</v>
      </c>
    </row>
    <row r="396" spans="1:7">
      <c r="A396" s="3">
        <v>10</v>
      </c>
      <c r="B396" s="3">
        <v>5</v>
      </c>
      <c r="C396" s="3">
        <v>152</v>
      </c>
      <c r="D396" s="3">
        <v>6</v>
      </c>
      <c r="E396" s="3">
        <v>104.26</v>
      </c>
      <c r="F396" s="4" t="str">
        <f>HYPERLINK("http://141.218.60.56/~jnz1568/getInfo.php?workbook=10_05.xlsx&amp;sheet=A0&amp;row=396&amp;col=6&amp;number=6150000000&amp;sourceID=14","6150000000")</f>
        <v>6150000000</v>
      </c>
      <c r="G396" s="4" t="str">
        <f>HYPERLINK("http://141.218.60.56/~jnz1568/getInfo.php?workbook=10_05.xlsx&amp;sheet=A0&amp;row=396&amp;col=7&amp;number=0&amp;sourceID=14","0")</f>
        <v>0</v>
      </c>
    </row>
    <row r="397" spans="1:7">
      <c r="A397" s="3">
        <v>10</v>
      </c>
      <c r="B397" s="3">
        <v>5</v>
      </c>
      <c r="C397" s="3">
        <v>153</v>
      </c>
      <c r="D397" s="3">
        <v>6</v>
      </c>
      <c r="E397" s="3">
        <v>104.174</v>
      </c>
      <c r="F397" s="4" t="str">
        <f>HYPERLINK("http://141.218.60.56/~jnz1568/getInfo.php?workbook=10_05.xlsx&amp;sheet=A0&amp;row=397&amp;col=6&amp;number=77800000000&amp;sourceID=14","77800000000")</f>
        <v>77800000000</v>
      </c>
      <c r="G397" s="4" t="str">
        <f>HYPERLINK("http://141.218.60.56/~jnz1568/getInfo.php?workbook=10_05.xlsx&amp;sheet=A0&amp;row=397&amp;col=7&amp;number=0&amp;sourceID=14","0")</f>
        <v>0</v>
      </c>
    </row>
    <row r="398" spans="1:7">
      <c r="A398" s="3">
        <v>10</v>
      </c>
      <c r="B398" s="3">
        <v>5</v>
      </c>
      <c r="C398" s="3">
        <v>158</v>
      </c>
      <c r="D398" s="3">
        <v>6</v>
      </c>
      <c r="E398" s="3">
        <v>-103.976</v>
      </c>
      <c r="F398" s="4" t="str">
        <f>HYPERLINK("http://141.218.60.56/~jnz1568/getInfo.php?workbook=10_05.xlsx&amp;sheet=A0&amp;row=398&amp;col=6&amp;number=4840000000&amp;sourceID=14","4840000000")</f>
        <v>4840000000</v>
      </c>
      <c r="G398" s="4" t="str">
        <f>HYPERLINK("http://141.218.60.56/~jnz1568/getInfo.php?workbook=10_05.xlsx&amp;sheet=A0&amp;row=398&amp;col=7&amp;number=0&amp;sourceID=14","0")</f>
        <v>0</v>
      </c>
    </row>
    <row r="399" spans="1:7">
      <c r="A399" s="3">
        <v>10</v>
      </c>
      <c r="B399" s="3">
        <v>5</v>
      </c>
      <c r="C399" s="3">
        <v>165</v>
      </c>
      <c r="D399" s="3">
        <v>6</v>
      </c>
      <c r="E399" s="3">
        <v>-99.162</v>
      </c>
      <c r="F399" s="4" t="str">
        <f>HYPERLINK("http://141.218.60.56/~jnz1568/getInfo.php?workbook=10_05.xlsx&amp;sheet=A0&amp;row=399&amp;col=6&amp;number=43000000&amp;sourceID=14","43000000")</f>
        <v>43000000</v>
      </c>
      <c r="G399" s="4" t="str">
        <f>HYPERLINK("http://141.218.60.56/~jnz1568/getInfo.php?workbook=10_05.xlsx&amp;sheet=A0&amp;row=399&amp;col=7&amp;number=0&amp;sourceID=14","0")</f>
        <v>0</v>
      </c>
    </row>
    <row r="400" spans="1:7">
      <c r="A400" s="3">
        <v>10</v>
      </c>
      <c r="B400" s="3">
        <v>5</v>
      </c>
      <c r="C400" s="3">
        <v>167</v>
      </c>
      <c r="D400" s="3">
        <v>6</v>
      </c>
      <c r="E400" s="3">
        <v>-96.565</v>
      </c>
      <c r="F400" s="4" t="str">
        <f>HYPERLINK("http://141.218.60.56/~jnz1568/getInfo.php?workbook=10_05.xlsx&amp;sheet=A0&amp;row=400&amp;col=6&amp;number=1960000000&amp;sourceID=14","1960000000")</f>
        <v>1960000000</v>
      </c>
      <c r="G400" s="4" t="str">
        <f>HYPERLINK("http://141.218.60.56/~jnz1568/getInfo.php?workbook=10_05.xlsx&amp;sheet=A0&amp;row=400&amp;col=7&amp;number=0&amp;sourceID=14","0")</f>
        <v>0</v>
      </c>
    </row>
    <row r="401" spans="1:7">
      <c r="A401" s="3">
        <v>10</v>
      </c>
      <c r="B401" s="3">
        <v>5</v>
      </c>
      <c r="C401" s="3">
        <v>175</v>
      </c>
      <c r="D401" s="3">
        <v>6</v>
      </c>
      <c r="E401" s="3">
        <v>-93.717</v>
      </c>
      <c r="F401" s="4" t="str">
        <f>HYPERLINK("http://141.218.60.56/~jnz1568/getInfo.php?workbook=10_05.xlsx&amp;sheet=A0&amp;row=401&amp;col=6&amp;number=32400000000&amp;sourceID=14","32400000000")</f>
        <v>32400000000</v>
      </c>
      <c r="G401" s="4" t="str">
        <f>HYPERLINK("http://141.218.60.56/~jnz1568/getInfo.php?workbook=10_05.xlsx&amp;sheet=A0&amp;row=401&amp;col=7&amp;number=0&amp;sourceID=14","0")</f>
        <v>0</v>
      </c>
    </row>
    <row r="402" spans="1:7">
      <c r="A402" s="3">
        <v>10</v>
      </c>
      <c r="B402" s="3">
        <v>5</v>
      </c>
      <c r="C402" s="3">
        <v>176</v>
      </c>
      <c r="D402" s="3">
        <v>6</v>
      </c>
      <c r="E402" s="3">
        <v>-93.717</v>
      </c>
      <c r="F402" s="4" t="str">
        <f>HYPERLINK("http://141.218.60.56/~jnz1568/getInfo.php?workbook=10_05.xlsx&amp;sheet=A0&amp;row=402&amp;col=6&amp;number=2210000000&amp;sourceID=14","2210000000")</f>
        <v>2210000000</v>
      </c>
      <c r="G402" s="4" t="str">
        <f>HYPERLINK("http://141.218.60.56/~jnz1568/getInfo.php?workbook=10_05.xlsx&amp;sheet=A0&amp;row=402&amp;col=7&amp;number=0&amp;sourceID=14","0")</f>
        <v>0</v>
      </c>
    </row>
    <row r="403" spans="1:7">
      <c r="A403" s="3">
        <v>10</v>
      </c>
      <c r="B403" s="3">
        <v>5</v>
      </c>
      <c r="C403" s="3">
        <v>177</v>
      </c>
      <c r="D403" s="3">
        <v>6</v>
      </c>
      <c r="E403" s="3">
        <v>-93.638</v>
      </c>
      <c r="F403" s="4" t="str">
        <f>HYPERLINK("http://141.218.60.56/~jnz1568/getInfo.php?workbook=10_05.xlsx&amp;sheet=A0&amp;row=403&amp;col=6&amp;number=774000000&amp;sourceID=14","774000000")</f>
        <v>774000000</v>
      </c>
      <c r="G403" s="4" t="str">
        <f>HYPERLINK("http://141.218.60.56/~jnz1568/getInfo.php?workbook=10_05.xlsx&amp;sheet=A0&amp;row=403&amp;col=7&amp;number=0&amp;sourceID=14","0")</f>
        <v>0</v>
      </c>
    </row>
    <row r="404" spans="1:7">
      <c r="A404" s="3">
        <v>10</v>
      </c>
      <c r="B404" s="3">
        <v>5</v>
      </c>
      <c r="C404" s="3">
        <v>178</v>
      </c>
      <c r="D404" s="3">
        <v>6</v>
      </c>
      <c r="E404" s="3">
        <v>-93.635</v>
      </c>
      <c r="F404" s="4" t="str">
        <f>HYPERLINK("http://141.218.60.56/~jnz1568/getInfo.php?workbook=10_05.xlsx&amp;sheet=A0&amp;row=404&amp;col=6&amp;number=7220000000&amp;sourceID=14","7220000000")</f>
        <v>7220000000</v>
      </c>
      <c r="G404" s="4" t="str">
        <f>HYPERLINK("http://141.218.60.56/~jnz1568/getInfo.php?workbook=10_05.xlsx&amp;sheet=A0&amp;row=404&amp;col=7&amp;number=0&amp;sourceID=14","0")</f>
        <v>0</v>
      </c>
    </row>
    <row r="405" spans="1:7">
      <c r="A405" s="3">
        <v>10</v>
      </c>
      <c r="B405" s="3">
        <v>5</v>
      </c>
      <c r="C405" s="3">
        <v>180</v>
      </c>
      <c r="D405" s="3">
        <v>6</v>
      </c>
      <c r="E405" s="3">
        <v>-93.278</v>
      </c>
      <c r="F405" s="4" t="str">
        <f>HYPERLINK("http://141.218.60.56/~jnz1568/getInfo.php?workbook=10_05.xlsx&amp;sheet=A0&amp;row=405&amp;col=6&amp;number=1160000000&amp;sourceID=14","1160000000")</f>
        <v>1160000000</v>
      </c>
      <c r="G405" s="4" t="str">
        <f>HYPERLINK("http://141.218.60.56/~jnz1568/getInfo.php?workbook=10_05.xlsx&amp;sheet=A0&amp;row=405&amp;col=7&amp;number=0&amp;sourceID=14","0")</f>
        <v>0</v>
      </c>
    </row>
    <row r="406" spans="1:7">
      <c r="A406" s="3">
        <v>10</v>
      </c>
      <c r="B406" s="3">
        <v>5</v>
      </c>
      <c r="C406" s="3">
        <v>11</v>
      </c>
      <c r="D406" s="3">
        <v>7</v>
      </c>
      <c r="E406" s="3">
        <v>701.141</v>
      </c>
      <c r="F406" s="4" t="str">
        <f>HYPERLINK("http://141.218.60.56/~jnz1568/getInfo.php?workbook=10_05.xlsx&amp;sheet=A0&amp;row=406&amp;col=6&amp;number=21.6&amp;sourceID=14","21.6")</f>
        <v>21.6</v>
      </c>
      <c r="G406" s="4" t="str">
        <f>HYPERLINK("http://141.218.60.56/~jnz1568/getInfo.php?workbook=10_05.xlsx&amp;sheet=A0&amp;row=406&amp;col=7&amp;number=0&amp;sourceID=14","0")</f>
        <v>0</v>
      </c>
    </row>
    <row r="407" spans="1:7">
      <c r="A407" s="3">
        <v>10</v>
      </c>
      <c r="B407" s="3">
        <v>5</v>
      </c>
      <c r="C407" s="3">
        <v>12</v>
      </c>
      <c r="D407" s="3">
        <v>7</v>
      </c>
      <c r="E407" s="3">
        <v>553.65</v>
      </c>
      <c r="F407" s="4" t="str">
        <f>HYPERLINK("http://141.218.60.56/~jnz1568/getInfo.php?workbook=10_05.xlsx&amp;sheet=A0&amp;row=407&amp;col=6&amp;number=2090000000&amp;sourceID=14","2090000000")</f>
        <v>2090000000</v>
      </c>
      <c r="G407" s="4" t="str">
        <f>HYPERLINK("http://141.218.60.56/~jnz1568/getInfo.php?workbook=10_05.xlsx&amp;sheet=A0&amp;row=407&amp;col=7&amp;number=0&amp;sourceID=14","0")</f>
        <v>0</v>
      </c>
    </row>
    <row r="408" spans="1:7">
      <c r="A408" s="3">
        <v>10</v>
      </c>
      <c r="B408" s="3">
        <v>5</v>
      </c>
      <c r="C408" s="3">
        <v>13</v>
      </c>
      <c r="D408" s="3">
        <v>7</v>
      </c>
      <c r="E408" s="3">
        <v>553.861</v>
      </c>
      <c r="F408" s="4" t="str">
        <f>HYPERLINK("http://141.218.60.56/~jnz1568/getInfo.php?workbook=10_05.xlsx&amp;sheet=A0&amp;row=408&amp;col=6&amp;number=168000000&amp;sourceID=14","168000000")</f>
        <v>168000000</v>
      </c>
      <c r="G408" s="4" t="str">
        <f>HYPERLINK("http://141.218.60.56/~jnz1568/getInfo.php?workbook=10_05.xlsx&amp;sheet=A0&amp;row=408&amp;col=7&amp;number=0&amp;sourceID=14","0")</f>
        <v>0</v>
      </c>
    </row>
    <row r="409" spans="1:7">
      <c r="A409" s="3">
        <v>10</v>
      </c>
      <c r="B409" s="3">
        <v>5</v>
      </c>
      <c r="C409" s="3">
        <v>14</v>
      </c>
      <c r="D409" s="3">
        <v>7</v>
      </c>
      <c r="E409" s="3">
        <v>440.498</v>
      </c>
      <c r="F409" s="4" t="str">
        <f>HYPERLINK("http://141.218.60.56/~jnz1568/getInfo.php?workbook=10_05.xlsx&amp;sheet=A0&amp;row=409&amp;col=6&amp;number=4370000000&amp;sourceID=14","4370000000")</f>
        <v>4370000000</v>
      </c>
      <c r="G409" s="4" t="str">
        <f>HYPERLINK("http://141.218.60.56/~jnz1568/getInfo.php?workbook=10_05.xlsx&amp;sheet=A0&amp;row=409&amp;col=7&amp;number=0&amp;sourceID=14","0")</f>
        <v>0</v>
      </c>
    </row>
    <row r="410" spans="1:7">
      <c r="A410" s="3">
        <v>10</v>
      </c>
      <c r="B410" s="3">
        <v>5</v>
      </c>
      <c r="C410" s="3">
        <v>15</v>
      </c>
      <c r="D410" s="3">
        <v>7</v>
      </c>
      <c r="E410" s="3">
        <v>440.411</v>
      </c>
      <c r="F410" s="4" t="str">
        <f>HYPERLINK("http://141.218.60.56/~jnz1568/getInfo.php?workbook=10_05.xlsx&amp;sheet=A0&amp;row=410&amp;col=6&amp;number=458000000&amp;sourceID=14","458000000")</f>
        <v>458000000</v>
      </c>
      <c r="G410" s="4" t="str">
        <f>HYPERLINK("http://141.218.60.56/~jnz1568/getInfo.php?workbook=10_05.xlsx&amp;sheet=A0&amp;row=410&amp;col=7&amp;number=0&amp;sourceID=14","0")</f>
        <v>0</v>
      </c>
    </row>
    <row r="411" spans="1:7">
      <c r="A411" s="3">
        <v>10</v>
      </c>
      <c r="B411" s="3">
        <v>5</v>
      </c>
      <c r="C411" s="3">
        <v>17</v>
      </c>
      <c r="D411" s="3">
        <v>7</v>
      </c>
      <c r="E411" s="3">
        <v>168.85</v>
      </c>
      <c r="F411" s="4" t="str">
        <f>HYPERLINK("http://141.218.60.56/~jnz1568/getInfo.php?workbook=10_05.xlsx&amp;sheet=A0&amp;row=411&amp;col=6&amp;number=3130000000&amp;sourceID=14","3130000000")</f>
        <v>3130000000</v>
      </c>
      <c r="G411" s="4" t="str">
        <f>HYPERLINK("http://141.218.60.56/~jnz1568/getInfo.php?workbook=10_05.xlsx&amp;sheet=A0&amp;row=411&amp;col=7&amp;number=0&amp;sourceID=14","0")</f>
        <v>0</v>
      </c>
    </row>
    <row r="412" spans="1:7">
      <c r="A412" s="3">
        <v>10</v>
      </c>
      <c r="B412" s="3">
        <v>5</v>
      </c>
      <c r="C412" s="3">
        <v>18</v>
      </c>
      <c r="D412" s="3">
        <v>7</v>
      </c>
      <c r="E412" s="3">
        <v>168.758</v>
      </c>
      <c r="F412" s="4" t="str">
        <f>HYPERLINK("http://141.218.60.56/~jnz1568/getInfo.php?workbook=10_05.xlsx&amp;sheet=A0&amp;row=412&amp;col=6&amp;number=311000000&amp;sourceID=14","311000000")</f>
        <v>311000000</v>
      </c>
      <c r="G412" s="4" t="str">
        <f>HYPERLINK("http://141.218.60.56/~jnz1568/getInfo.php?workbook=10_05.xlsx&amp;sheet=A0&amp;row=412&amp;col=7&amp;number=0&amp;sourceID=14","0")</f>
        <v>0</v>
      </c>
    </row>
    <row r="413" spans="1:7">
      <c r="A413" s="3">
        <v>10</v>
      </c>
      <c r="B413" s="3">
        <v>5</v>
      </c>
      <c r="C413" s="3">
        <v>21</v>
      </c>
      <c r="D413" s="3">
        <v>7</v>
      </c>
      <c r="E413" s="3">
        <v>152.77</v>
      </c>
      <c r="F413" s="4" t="str">
        <f>HYPERLINK("http://141.218.60.56/~jnz1568/getInfo.php?workbook=10_05.xlsx&amp;sheet=A0&amp;row=413&amp;col=6&amp;number=966000&amp;sourceID=14","966000")</f>
        <v>966000</v>
      </c>
      <c r="G413" s="4" t="str">
        <f>HYPERLINK("http://141.218.60.56/~jnz1568/getInfo.php?workbook=10_05.xlsx&amp;sheet=A0&amp;row=413&amp;col=7&amp;number=0&amp;sourceID=14","0")</f>
        <v>0</v>
      </c>
    </row>
    <row r="414" spans="1:7">
      <c r="A414" s="3">
        <v>10</v>
      </c>
      <c r="B414" s="3">
        <v>5</v>
      </c>
      <c r="C414" s="3">
        <v>22</v>
      </c>
      <c r="D414" s="3">
        <v>7</v>
      </c>
      <c r="E414" s="3">
        <v>152.659</v>
      </c>
      <c r="F414" s="4" t="str">
        <f>HYPERLINK("http://141.218.60.56/~jnz1568/getInfo.php?workbook=10_05.xlsx&amp;sheet=A0&amp;row=414&amp;col=6&amp;number=920000&amp;sourceID=14","920000")</f>
        <v>920000</v>
      </c>
      <c r="G414" s="4" t="str">
        <f>HYPERLINK("http://141.218.60.56/~jnz1568/getInfo.php?workbook=10_05.xlsx&amp;sheet=A0&amp;row=414&amp;col=7&amp;number=0&amp;sourceID=14","0")</f>
        <v>0</v>
      </c>
    </row>
    <row r="415" spans="1:7">
      <c r="A415" s="3">
        <v>10</v>
      </c>
      <c r="B415" s="3">
        <v>5</v>
      </c>
      <c r="C415" s="3">
        <v>23</v>
      </c>
      <c r="D415" s="3">
        <v>7</v>
      </c>
      <c r="E415" s="3">
        <v>152.482</v>
      </c>
      <c r="F415" s="4" t="str">
        <f>HYPERLINK("http://141.218.60.56/~jnz1568/getInfo.php?workbook=10_05.xlsx&amp;sheet=A0&amp;row=415&amp;col=6&amp;number=97200&amp;sourceID=14","97200")</f>
        <v>97200</v>
      </c>
      <c r="G415" s="4" t="str">
        <f>HYPERLINK("http://141.218.60.56/~jnz1568/getInfo.php?workbook=10_05.xlsx&amp;sheet=A0&amp;row=415&amp;col=7&amp;number=0&amp;sourceID=14","0")</f>
        <v>0</v>
      </c>
    </row>
    <row r="416" spans="1:7">
      <c r="A416" s="3">
        <v>10</v>
      </c>
      <c r="B416" s="3">
        <v>5</v>
      </c>
      <c r="C416" s="3">
        <v>24</v>
      </c>
      <c r="D416" s="3">
        <v>7</v>
      </c>
      <c r="E416" s="3">
        <v>147.766</v>
      </c>
      <c r="F416" s="4" t="str">
        <f>HYPERLINK("http://141.218.60.56/~jnz1568/getInfo.php?workbook=10_05.xlsx&amp;sheet=A0&amp;row=416&amp;col=6&amp;number=17900000000&amp;sourceID=14","17900000000")</f>
        <v>17900000000</v>
      </c>
      <c r="G416" s="4" t="str">
        <f>HYPERLINK("http://141.218.60.56/~jnz1568/getInfo.php?workbook=10_05.xlsx&amp;sheet=A0&amp;row=416&amp;col=7&amp;number=0&amp;sourceID=14","0")</f>
        <v>0</v>
      </c>
    </row>
    <row r="417" spans="1:7">
      <c r="A417" s="3">
        <v>10</v>
      </c>
      <c r="B417" s="3">
        <v>5</v>
      </c>
      <c r="C417" s="3">
        <v>25</v>
      </c>
      <c r="D417" s="3">
        <v>7</v>
      </c>
      <c r="E417" s="3">
        <v>147.587</v>
      </c>
      <c r="F417" s="4" t="str">
        <f>HYPERLINK("http://141.218.60.56/~jnz1568/getInfo.php?workbook=10_05.xlsx&amp;sheet=A0&amp;row=417&amp;col=6&amp;number=1780000000&amp;sourceID=14","1780000000")</f>
        <v>1780000000</v>
      </c>
      <c r="G417" s="4" t="str">
        <f>HYPERLINK("http://141.218.60.56/~jnz1568/getInfo.php?workbook=10_05.xlsx&amp;sheet=A0&amp;row=417&amp;col=7&amp;number=0&amp;sourceID=14","0")</f>
        <v>0</v>
      </c>
    </row>
    <row r="418" spans="1:7">
      <c r="A418" s="3">
        <v>10</v>
      </c>
      <c r="B418" s="3">
        <v>5</v>
      </c>
      <c r="C418" s="3">
        <v>38</v>
      </c>
      <c r="D418" s="3">
        <v>7</v>
      </c>
      <c r="E418" s="3">
        <v>-135.972</v>
      </c>
      <c r="F418" s="4" t="str">
        <f>HYPERLINK("http://141.218.60.56/~jnz1568/getInfo.php?workbook=10_05.xlsx&amp;sheet=A0&amp;row=418&amp;col=6&amp;number=35100000&amp;sourceID=14","35100000")</f>
        <v>35100000</v>
      </c>
      <c r="G418" s="4" t="str">
        <f>HYPERLINK("http://141.218.60.56/~jnz1568/getInfo.php?workbook=10_05.xlsx&amp;sheet=A0&amp;row=418&amp;col=7&amp;number=0&amp;sourceID=14","0")</f>
        <v>0</v>
      </c>
    </row>
    <row r="419" spans="1:7">
      <c r="A419" s="3">
        <v>10</v>
      </c>
      <c r="B419" s="3">
        <v>5</v>
      </c>
      <c r="C419" s="3">
        <v>39</v>
      </c>
      <c r="D419" s="3">
        <v>7</v>
      </c>
      <c r="E419" s="3">
        <v>-135.921</v>
      </c>
      <c r="F419" s="4" t="str">
        <f>HYPERLINK("http://141.218.60.56/~jnz1568/getInfo.php?workbook=10_05.xlsx&amp;sheet=A0&amp;row=419&amp;col=6&amp;number=2400000&amp;sourceID=14","2400000")</f>
        <v>2400000</v>
      </c>
      <c r="G419" s="4" t="str">
        <f>HYPERLINK("http://141.218.60.56/~jnz1568/getInfo.php?workbook=10_05.xlsx&amp;sheet=A0&amp;row=419&amp;col=7&amp;number=0&amp;sourceID=14","0")</f>
        <v>0</v>
      </c>
    </row>
    <row r="420" spans="1:7">
      <c r="A420" s="3">
        <v>10</v>
      </c>
      <c r="B420" s="3">
        <v>5</v>
      </c>
      <c r="C420" s="3">
        <v>43</v>
      </c>
      <c r="D420" s="3">
        <v>7</v>
      </c>
      <c r="E420" s="3">
        <v>133.819</v>
      </c>
      <c r="F420" s="4" t="str">
        <f>HYPERLINK("http://141.218.60.56/~jnz1568/getInfo.php?workbook=10_05.xlsx&amp;sheet=A0&amp;row=420&amp;col=6&amp;number=3810000&amp;sourceID=14","3810000")</f>
        <v>3810000</v>
      </c>
      <c r="G420" s="4" t="str">
        <f>HYPERLINK("http://141.218.60.56/~jnz1568/getInfo.php?workbook=10_05.xlsx&amp;sheet=A0&amp;row=420&amp;col=7&amp;number=0&amp;sourceID=14","0")</f>
        <v>0</v>
      </c>
    </row>
    <row r="421" spans="1:7">
      <c r="A421" s="3">
        <v>10</v>
      </c>
      <c r="B421" s="3">
        <v>5</v>
      </c>
      <c r="C421" s="3">
        <v>44</v>
      </c>
      <c r="D421" s="3">
        <v>7</v>
      </c>
      <c r="E421" s="3">
        <v>133.801</v>
      </c>
      <c r="F421" s="4" t="str">
        <f>HYPERLINK("http://141.218.60.56/~jnz1568/getInfo.php?workbook=10_05.xlsx&amp;sheet=A0&amp;row=421&amp;col=6&amp;number=43900000&amp;sourceID=14","43900000")</f>
        <v>43900000</v>
      </c>
      <c r="G421" s="4" t="str">
        <f>HYPERLINK("http://141.218.60.56/~jnz1568/getInfo.php?workbook=10_05.xlsx&amp;sheet=A0&amp;row=421&amp;col=7&amp;number=0&amp;sourceID=14","0")</f>
        <v>0</v>
      </c>
    </row>
    <row r="422" spans="1:7">
      <c r="A422" s="3">
        <v>10</v>
      </c>
      <c r="B422" s="3">
        <v>5</v>
      </c>
      <c r="C422" s="3">
        <v>45</v>
      </c>
      <c r="D422" s="3">
        <v>7</v>
      </c>
      <c r="E422" s="3">
        <v>133.783</v>
      </c>
      <c r="F422" s="4" t="str">
        <f>HYPERLINK("http://141.218.60.56/~jnz1568/getInfo.php?workbook=10_05.xlsx&amp;sheet=A0&amp;row=422&amp;col=6&amp;number=10400000&amp;sourceID=14","10400000")</f>
        <v>10400000</v>
      </c>
      <c r="G422" s="4" t="str">
        <f>HYPERLINK("http://141.218.60.56/~jnz1568/getInfo.php?workbook=10_05.xlsx&amp;sheet=A0&amp;row=422&amp;col=7&amp;number=0&amp;sourceID=14","0")</f>
        <v>0</v>
      </c>
    </row>
    <row r="423" spans="1:7">
      <c r="A423" s="3">
        <v>10</v>
      </c>
      <c r="B423" s="3">
        <v>5</v>
      </c>
      <c r="C423" s="3">
        <v>47</v>
      </c>
      <c r="D423" s="3">
        <v>7</v>
      </c>
      <c r="E423" s="3">
        <v>133.507</v>
      </c>
      <c r="F423" s="4" t="str">
        <f>HYPERLINK("http://141.218.60.56/~jnz1568/getInfo.php?workbook=10_05.xlsx&amp;sheet=A0&amp;row=423&amp;col=6&amp;number=57200000000&amp;sourceID=14","57200000000")</f>
        <v>57200000000</v>
      </c>
      <c r="G423" s="4" t="str">
        <f>HYPERLINK("http://141.218.60.56/~jnz1568/getInfo.php?workbook=10_05.xlsx&amp;sheet=A0&amp;row=423&amp;col=7&amp;number=0&amp;sourceID=14","0")</f>
        <v>0</v>
      </c>
    </row>
    <row r="424" spans="1:7">
      <c r="A424" s="3">
        <v>10</v>
      </c>
      <c r="B424" s="3">
        <v>5</v>
      </c>
      <c r="C424" s="3">
        <v>48</v>
      </c>
      <c r="D424" s="3">
        <v>7</v>
      </c>
      <c r="E424" s="3">
        <v>133.471</v>
      </c>
      <c r="F424" s="4" t="str">
        <f>HYPERLINK("http://141.218.60.56/~jnz1568/getInfo.php?workbook=10_05.xlsx&amp;sheet=A0&amp;row=424&amp;col=6&amp;number=5000000000&amp;sourceID=14","5000000000")</f>
        <v>5000000000</v>
      </c>
      <c r="G424" s="4" t="str">
        <f>HYPERLINK("http://141.218.60.56/~jnz1568/getInfo.php?workbook=10_05.xlsx&amp;sheet=A0&amp;row=424&amp;col=7&amp;number=0&amp;sourceID=14","0")</f>
        <v>0</v>
      </c>
    </row>
    <row r="425" spans="1:7">
      <c r="A425" s="3">
        <v>10</v>
      </c>
      <c r="B425" s="3">
        <v>5</v>
      </c>
      <c r="C425" s="3">
        <v>49</v>
      </c>
      <c r="D425" s="3">
        <v>7</v>
      </c>
      <c r="E425" s="3">
        <v>132.872</v>
      </c>
      <c r="F425" s="4" t="str">
        <f>HYPERLINK("http://141.218.60.56/~jnz1568/getInfo.php?workbook=10_05.xlsx&amp;sheet=A0&amp;row=425&amp;col=6&amp;number=195000000&amp;sourceID=14","195000000")</f>
        <v>195000000</v>
      </c>
      <c r="G425" s="4" t="str">
        <f>HYPERLINK("http://141.218.60.56/~jnz1568/getInfo.php?workbook=10_05.xlsx&amp;sheet=A0&amp;row=425&amp;col=7&amp;number=0&amp;sourceID=14","0")</f>
        <v>0</v>
      </c>
    </row>
    <row r="426" spans="1:7">
      <c r="A426" s="3">
        <v>10</v>
      </c>
      <c r="B426" s="3">
        <v>5</v>
      </c>
      <c r="C426" s="3">
        <v>50</v>
      </c>
      <c r="D426" s="3">
        <v>7</v>
      </c>
      <c r="E426" s="3">
        <v>132.819</v>
      </c>
      <c r="F426" s="4" t="str">
        <f>HYPERLINK("http://141.218.60.56/~jnz1568/getInfo.php?workbook=10_05.xlsx&amp;sheet=A0&amp;row=426&amp;col=6&amp;number=209000000&amp;sourceID=14","209000000")</f>
        <v>209000000</v>
      </c>
      <c r="G426" s="4" t="str">
        <f>HYPERLINK("http://141.218.60.56/~jnz1568/getInfo.php?workbook=10_05.xlsx&amp;sheet=A0&amp;row=426&amp;col=7&amp;number=0&amp;sourceID=14","0")</f>
        <v>0</v>
      </c>
    </row>
    <row r="427" spans="1:7">
      <c r="A427" s="3">
        <v>10</v>
      </c>
      <c r="B427" s="3">
        <v>5</v>
      </c>
      <c r="C427" s="3">
        <v>51</v>
      </c>
      <c r="D427" s="3">
        <v>7</v>
      </c>
      <c r="E427" s="3">
        <v>132.775</v>
      </c>
      <c r="F427" s="4" t="str">
        <f>HYPERLINK("http://141.218.60.56/~jnz1568/getInfo.php?workbook=10_05.xlsx&amp;sheet=A0&amp;row=427&amp;col=6&amp;number=329000&amp;sourceID=14","329000")</f>
        <v>329000</v>
      </c>
      <c r="G427" s="4" t="str">
        <f>HYPERLINK("http://141.218.60.56/~jnz1568/getInfo.php?workbook=10_05.xlsx&amp;sheet=A0&amp;row=427&amp;col=7&amp;number=0&amp;sourceID=14","0")</f>
        <v>0</v>
      </c>
    </row>
    <row r="428" spans="1:7">
      <c r="A428" s="3">
        <v>10</v>
      </c>
      <c r="B428" s="3">
        <v>5</v>
      </c>
      <c r="C428" s="3">
        <v>52</v>
      </c>
      <c r="D428" s="3">
        <v>7</v>
      </c>
      <c r="E428" s="3">
        <v>131.36</v>
      </c>
      <c r="F428" s="4" t="str">
        <f>HYPERLINK("http://141.218.60.56/~jnz1568/getInfo.php?workbook=10_05.xlsx&amp;sheet=A0&amp;row=428&amp;col=6&amp;number=1850000000&amp;sourceID=14","1850000000")</f>
        <v>1850000000</v>
      </c>
      <c r="G428" s="4" t="str">
        <f>HYPERLINK("http://141.218.60.56/~jnz1568/getInfo.php?workbook=10_05.xlsx&amp;sheet=A0&amp;row=428&amp;col=7&amp;number=0&amp;sourceID=14","0")</f>
        <v>0</v>
      </c>
    </row>
    <row r="429" spans="1:7">
      <c r="A429" s="3">
        <v>10</v>
      </c>
      <c r="B429" s="3">
        <v>5</v>
      </c>
      <c r="C429" s="3">
        <v>53</v>
      </c>
      <c r="D429" s="3">
        <v>7</v>
      </c>
      <c r="E429" s="3">
        <v>131.36</v>
      </c>
      <c r="F429" s="4" t="str">
        <f>HYPERLINK("http://141.218.60.56/~jnz1568/getInfo.php?workbook=10_05.xlsx&amp;sheet=A0&amp;row=429&amp;col=6&amp;number=19800000000&amp;sourceID=14","19800000000")</f>
        <v>19800000000</v>
      </c>
      <c r="G429" s="4" t="str">
        <f>HYPERLINK("http://141.218.60.56/~jnz1568/getInfo.php?workbook=10_05.xlsx&amp;sheet=A0&amp;row=429&amp;col=7&amp;number=0&amp;sourceID=14","0")</f>
        <v>0</v>
      </c>
    </row>
    <row r="430" spans="1:7">
      <c r="A430" s="3">
        <v>10</v>
      </c>
      <c r="B430" s="3">
        <v>5</v>
      </c>
      <c r="C430" s="3">
        <v>54</v>
      </c>
      <c r="D430" s="3">
        <v>7</v>
      </c>
      <c r="E430" s="3">
        <v>130.394</v>
      </c>
      <c r="F430" s="4" t="str">
        <f>HYPERLINK("http://141.218.60.56/~jnz1568/getInfo.php?workbook=10_05.xlsx&amp;sheet=A0&amp;row=430&amp;col=6&amp;number=132000000000&amp;sourceID=14","132000000000")</f>
        <v>132000000000</v>
      </c>
      <c r="G430" s="4" t="str">
        <f>HYPERLINK("http://141.218.60.56/~jnz1568/getInfo.php?workbook=10_05.xlsx&amp;sheet=A0&amp;row=430&amp;col=7&amp;number=0&amp;sourceID=14","0")</f>
        <v>0</v>
      </c>
    </row>
    <row r="431" spans="1:7">
      <c r="A431" s="3">
        <v>10</v>
      </c>
      <c r="B431" s="3">
        <v>5</v>
      </c>
      <c r="C431" s="3">
        <v>56</v>
      </c>
      <c r="D431" s="3">
        <v>7</v>
      </c>
      <c r="E431" s="3">
        <v>129.332</v>
      </c>
      <c r="F431" s="4" t="str">
        <f>HYPERLINK("http://141.218.60.56/~jnz1568/getInfo.php?workbook=10_05.xlsx&amp;sheet=A0&amp;row=431&amp;col=6&amp;number=12000000&amp;sourceID=14","12000000")</f>
        <v>12000000</v>
      </c>
      <c r="G431" s="4" t="str">
        <f>HYPERLINK("http://141.218.60.56/~jnz1568/getInfo.php?workbook=10_05.xlsx&amp;sheet=A0&amp;row=431&amp;col=7&amp;number=0&amp;sourceID=14","0")</f>
        <v>0</v>
      </c>
    </row>
    <row r="432" spans="1:7">
      <c r="A432" s="3">
        <v>10</v>
      </c>
      <c r="B432" s="3">
        <v>5</v>
      </c>
      <c r="C432" s="3">
        <v>57</v>
      </c>
      <c r="D432" s="3">
        <v>7</v>
      </c>
      <c r="E432" s="3">
        <v>129.263</v>
      </c>
      <c r="F432" s="4" t="str">
        <f>HYPERLINK("http://141.218.60.56/~jnz1568/getInfo.php?workbook=10_05.xlsx&amp;sheet=A0&amp;row=432&amp;col=6&amp;number=595000000&amp;sourceID=14","595000000")</f>
        <v>595000000</v>
      </c>
      <c r="G432" s="4" t="str">
        <f>HYPERLINK("http://141.218.60.56/~jnz1568/getInfo.php?workbook=10_05.xlsx&amp;sheet=A0&amp;row=432&amp;col=7&amp;number=0&amp;sourceID=14","0")</f>
        <v>0</v>
      </c>
    </row>
    <row r="433" spans="1:7">
      <c r="A433" s="3">
        <v>10</v>
      </c>
      <c r="B433" s="3">
        <v>5</v>
      </c>
      <c r="C433" s="3">
        <v>64</v>
      </c>
      <c r="D433" s="3">
        <v>7</v>
      </c>
      <c r="E433" s="3">
        <v>-120.996</v>
      </c>
      <c r="F433" s="4" t="str">
        <f>HYPERLINK("http://141.218.60.56/~jnz1568/getInfo.php?workbook=10_05.xlsx&amp;sheet=A0&amp;row=433&amp;col=6&amp;number=1460000000&amp;sourceID=14","1460000000")</f>
        <v>1460000000</v>
      </c>
      <c r="G433" s="4" t="str">
        <f>HYPERLINK("http://141.218.60.56/~jnz1568/getInfo.php?workbook=10_05.xlsx&amp;sheet=A0&amp;row=433&amp;col=7&amp;number=0&amp;sourceID=14","0")</f>
        <v>0</v>
      </c>
    </row>
    <row r="434" spans="1:7">
      <c r="A434" s="3">
        <v>10</v>
      </c>
      <c r="B434" s="3">
        <v>5</v>
      </c>
      <c r="C434" s="3">
        <v>65</v>
      </c>
      <c r="D434" s="3">
        <v>7</v>
      </c>
      <c r="E434" s="3">
        <v>-120.978</v>
      </c>
      <c r="F434" s="4" t="str">
        <f>HYPERLINK("http://141.218.60.56/~jnz1568/getInfo.php?workbook=10_05.xlsx&amp;sheet=A0&amp;row=434&amp;col=6&amp;number=143000000&amp;sourceID=14","143000000")</f>
        <v>143000000</v>
      </c>
      <c r="G434" s="4" t="str">
        <f>HYPERLINK("http://141.218.60.56/~jnz1568/getInfo.php?workbook=10_05.xlsx&amp;sheet=A0&amp;row=434&amp;col=7&amp;number=0&amp;sourceID=14","0")</f>
        <v>0</v>
      </c>
    </row>
    <row r="435" spans="1:7">
      <c r="A435" s="3">
        <v>10</v>
      </c>
      <c r="B435" s="3">
        <v>5</v>
      </c>
      <c r="C435" s="3">
        <v>68</v>
      </c>
      <c r="D435" s="3">
        <v>7</v>
      </c>
      <c r="E435" s="3">
        <v>118.623</v>
      </c>
      <c r="F435" s="4" t="str">
        <f>HYPERLINK("http://141.218.60.56/~jnz1568/getInfo.php?workbook=10_05.xlsx&amp;sheet=A0&amp;row=435&amp;col=6&amp;number=72600000000&amp;sourceID=14","72600000000")</f>
        <v>72600000000</v>
      </c>
      <c r="G435" s="4" t="str">
        <f>HYPERLINK("http://141.218.60.56/~jnz1568/getInfo.php?workbook=10_05.xlsx&amp;sheet=A0&amp;row=435&amp;col=7&amp;number=0&amp;sourceID=14","0")</f>
        <v>0</v>
      </c>
    </row>
    <row r="436" spans="1:7">
      <c r="A436" s="3">
        <v>10</v>
      </c>
      <c r="B436" s="3">
        <v>5</v>
      </c>
      <c r="C436" s="3">
        <v>73</v>
      </c>
      <c r="D436" s="3">
        <v>7</v>
      </c>
      <c r="E436" s="3">
        <v>117.493</v>
      </c>
      <c r="F436" s="4" t="str">
        <f>HYPERLINK("http://141.218.60.56/~jnz1568/getInfo.php?workbook=10_05.xlsx&amp;sheet=A0&amp;row=436&amp;col=6&amp;number=21700000000&amp;sourceID=14","21700000000")</f>
        <v>21700000000</v>
      </c>
      <c r="G436" s="4" t="str">
        <f>HYPERLINK("http://141.218.60.56/~jnz1568/getInfo.php?workbook=10_05.xlsx&amp;sheet=A0&amp;row=436&amp;col=7&amp;number=0&amp;sourceID=14","0")</f>
        <v>0</v>
      </c>
    </row>
    <row r="437" spans="1:7">
      <c r="A437" s="3">
        <v>10</v>
      </c>
      <c r="B437" s="3">
        <v>5</v>
      </c>
      <c r="C437" s="3">
        <v>74</v>
      </c>
      <c r="D437" s="3">
        <v>7</v>
      </c>
      <c r="E437" s="3">
        <v>117.476</v>
      </c>
      <c r="F437" s="4" t="str">
        <f>HYPERLINK("http://141.218.60.56/~jnz1568/getInfo.php?workbook=10_05.xlsx&amp;sheet=A0&amp;row=437&amp;col=6&amp;number=1430000000&amp;sourceID=14","1430000000")</f>
        <v>1430000000</v>
      </c>
      <c r="G437" s="4" t="str">
        <f>HYPERLINK("http://141.218.60.56/~jnz1568/getInfo.php?workbook=10_05.xlsx&amp;sheet=A0&amp;row=437&amp;col=7&amp;number=0&amp;sourceID=14","0")</f>
        <v>0</v>
      </c>
    </row>
    <row r="438" spans="1:7">
      <c r="A438" s="3">
        <v>10</v>
      </c>
      <c r="B438" s="3">
        <v>5</v>
      </c>
      <c r="C438" s="3">
        <v>75</v>
      </c>
      <c r="D438" s="3">
        <v>7</v>
      </c>
      <c r="E438" s="3">
        <v>117.187</v>
      </c>
      <c r="F438" s="4" t="str">
        <f>HYPERLINK("http://141.218.60.56/~jnz1568/getInfo.php?workbook=10_05.xlsx&amp;sheet=A0&amp;row=438&amp;col=6&amp;number=2620000000&amp;sourceID=14","2620000000")</f>
        <v>2620000000</v>
      </c>
      <c r="G438" s="4" t="str">
        <f>HYPERLINK("http://141.218.60.56/~jnz1568/getInfo.php?workbook=10_05.xlsx&amp;sheet=A0&amp;row=438&amp;col=7&amp;number=0&amp;sourceID=14","0")</f>
        <v>0</v>
      </c>
    </row>
    <row r="439" spans="1:7">
      <c r="A439" s="3">
        <v>10</v>
      </c>
      <c r="B439" s="3">
        <v>5</v>
      </c>
      <c r="C439" s="3">
        <v>76</v>
      </c>
      <c r="D439" s="3">
        <v>7</v>
      </c>
      <c r="E439" s="3">
        <v>117.187</v>
      </c>
      <c r="F439" s="4" t="str">
        <f>HYPERLINK("http://141.218.60.56/~jnz1568/getInfo.php?workbook=10_05.xlsx&amp;sheet=A0&amp;row=439&amp;col=6&amp;number=200000000&amp;sourceID=14","200000000")</f>
        <v>200000000</v>
      </c>
      <c r="G439" s="4" t="str">
        <f>HYPERLINK("http://141.218.60.56/~jnz1568/getInfo.php?workbook=10_05.xlsx&amp;sheet=A0&amp;row=439&amp;col=7&amp;number=0&amp;sourceID=14","0")</f>
        <v>0</v>
      </c>
    </row>
    <row r="440" spans="1:7">
      <c r="A440" s="3">
        <v>10</v>
      </c>
      <c r="B440" s="3">
        <v>5</v>
      </c>
      <c r="C440" s="3">
        <v>79</v>
      </c>
      <c r="D440" s="3">
        <v>7</v>
      </c>
      <c r="E440" s="3">
        <v>-114.161</v>
      </c>
      <c r="F440" s="4" t="str">
        <f>HYPERLINK("http://141.218.60.56/~jnz1568/getInfo.php?workbook=10_05.xlsx&amp;sheet=A0&amp;row=440&amp;col=6&amp;number=439000&amp;sourceID=14","439000")</f>
        <v>439000</v>
      </c>
      <c r="G440" s="4" t="str">
        <f>HYPERLINK("http://141.218.60.56/~jnz1568/getInfo.php?workbook=10_05.xlsx&amp;sheet=A0&amp;row=440&amp;col=7&amp;number=0&amp;sourceID=14","0")</f>
        <v>0</v>
      </c>
    </row>
    <row r="441" spans="1:7">
      <c r="A441" s="3">
        <v>10</v>
      </c>
      <c r="B441" s="3">
        <v>5</v>
      </c>
      <c r="C441" s="3">
        <v>82</v>
      </c>
      <c r="D441" s="3">
        <v>7</v>
      </c>
      <c r="E441" s="3">
        <v>113.243</v>
      </c>
      <c r="F441" s="4" t="str">
        <f>HYPERLINK("http://141.218.60.56/~jnz1568/getInfo.php?workbook=10_05.xlsx&amp;sheet=A0&amp;row=441&amp;col=6&amp;number=7230000&amp;sourceID=14","7230000")</f>
        <v>7230000</v>
      </c>
      <c r="G441" s="4" t="str">
        <f>HYPERLINK("http://141.218.60.56/~jnz1568/getInfo.php?workbook=10_05.xlsx&amp;sheet=A0&amp;row=441&amp;col=7&amp;number=0&amp;sourceID=14","0")</f>
        <v>0</v>
      </c>
    </row>
    <row r="442" spans="1:7">
      <c r="A442" s="3">
        <v>10</v>
      </c>
      <c r="B442" s="3">
        <v>5</v>
      </c>
      <c r="C442" s="3">
        <v>83</v>
      </c>
      <c r="D442" s="3">
        <v>7</v>
      </c>
      <c r="E442" s="3">
        <v>113.243</v>
      </c>
      <c r="F442" s="4" t="str">
        <f>HYPERLINK("http://141.218.60.56/~jnz1568/getInfo.php?workbook=10_05.xlsx&amp;sheet=A0&amp;row=442&amp;col=6&amp;number=324000&amp;sourceID=14","324000")</f>
        <v>324000</v>
      </c>
      <c r="G442" s="4" t="str">
        <f>HYPERLINK("http://141.218.60.56/~jnz1568/getInfo.php?workbook=10_05.xlsx&amp;sheet=A0&amp;row=442&amp;col=7&amp;number=0&amp;sourceID=14","0")</f>
        <v>0</v>
      </c>
    </row>
    <row r="443" spans="1:7">
      <c r="A443" s="3">
        <v>10</v>
      </c>
      <c r="B443" s="3">
        <v>5</v>
      </c>
      <c r="C443" s="3">
        <v>84</v>
      </c>
      <c r="D443" s="3">
        <v>7</v>
      </c>
      <c r="E443" s="3">
        <v>113.243</v>
      </c>
      <c r="F443" s="4" t="str">
        <f>HYPERLINK("http://141.218.60.56/~jnz1568/getInfo.php?workbook=10_05.xlsx&amp;sheet=A0&amp;row=443&amp;col=6&amp;number=70300000&amp;sourceID=14","70300000")</f>
        <v>70300000</v>
      </c>
      <c r="G443" s="4" t="str">
        <f>HYPERLINK("http://141.218.60.56/~jnz1568/getInfo.php?workbook=10_05.xlsx&amp;sheet=A0&amp;row=443&amp;col=7&amp;number=0&amp;sourceID=14","0")</f>
        <v>0</v>
      </c>
    </row>
    <row r="444" spans="1:7">
      <c r="A444" s="3">
        <v>10</v>
      </c>
      <c r="B444" s="3">
        <v>5</v>
      </c>
      <c r="C444" s="3">
        <v>86</v>
      </c>
      <c r="D444" s="3">
        <v>7</v>
      </c>
      <c r="E444" s="3">
        <v>-113.131</v>
      </c>
      <c r="F444" s="4" t="str">
        <f>HYPERLINK("http://141.218.60.56/~jnz1568/getInfo.php?workbook=10_05.xlsx&amp;sheet=A0&amp;row=444&amp;col=6&amp;number=30800000000&amp;sourceID=14","30800000000")</f>
        <v>30800000000</v>
      </c>
      <c r="G444" s="4" t="str">
        <f>HYPERLINK("http://141.218.60.56/~jnz1568/getInfo.php?workbook=10_05.xlsx&amp;sheet=A0&amp;row=444&amp;col=7&amp;number=0&amp;sourceID=14","0")</f>
        <v>0</v>
      </c>
    </row>
    <row r="445" spans="1:7">
      <c r="A445" s="3">
        <v>10</v>
      </c>
      <c r="B445" s="3">
        <v>5</v>
      </c>
      <c r="C445" s="3">
        <v>88</v>
      </c>
      <c r="D445" s="3">
        <v>7</v>
      </c>
      <c r="E445" s="3">
        <v>112.841</v>
      </c>
      <c r="F445" s="4" t="str">
        <f>HYPERLINK("http://141.218.60.56/~jnz1568/getInfo.php?workbook=10_05.xlsx&amp;sheet=A0&amp;row=445&amp;col=6&amp;number=613000&amp;sourceID=14","613000")</f>
        <v>613000</v>
      </c>
      <c r="G445" s="4" t="str">
        <f>HYPERLINK("http://141.218.60.56/~jnz1568/getInfo.php?workbook=10_05.xlsx&amp;sheet=A0&amp;row=445&amp;col=7&amp;number=0&amp;sourceID=14","0")</f>
        <v>0</v>
      </c>
    </row>
    <row r="446" spans="1:7">
      <c r="A446" s="3">
        <v>10</v>
      </c>
      <c r="B446" s="3">
        <v>5</v>
      </c>
      <c r="C446" s="3">
        <v>89</v>
      </c>
      <c r="D446" s="3">
        <v>7</v>
      </c>
      <c r="E446" s="3">
        <v>112.793</v>
      </c>
      <c r="F446" s="4" t="str">
        <f>HYPERLINK("http://141.218.60.56/~jnz1568/getInfo.php?workbook=10_05.xlsx&amp;sheet=A0&amp;row=446&amp;col=6&amp;number=738000&amp;sourceID=14","738000")</f>
        <v>738000</v>
      </c>
      <c r="G446" s="4" t="str">
        <f>HYPERLINK("http://141.218.60.56/~jnz1568/getInfo.php?workbook=10_05.xlsx&amp;sheet=A0&amp;row=446&amp;col=7&amp;number=0&amp;sourceID=14","0")</f>
        <v>0</v>
      </c>
    </row>
    <row r="447" spans="1:7">
      <c r="A447" s="3">
        <v>10</v>
      </c>
      <c r="B447" s="3">
        <v>5</v>
      </c>
      <c r="C447" s="3">
        <v>90</v>
      </c>
      <c r="D447" s="3">
        <v>7</v>
      </c>
      <c r="E447" s="3">
        <v>112.721</v>
      </c>
      <c r="F447" s="4" t="str">
        <f>HYPERLINK("http://141.218.60.56/~jnz1568/getInfo.php?workbook=10_05.xlsx&amp;sheet=A0&amp;row=447&amp;col=6&amp;number=803000&amp;sourceID=14","803000")</f>
        <v>803000</v>
      </c>
      <c r="G447" s="4" t="str">
        <f>HYPERLINK("http://141.218.60.56/~jnz1568/getInfo.php?workbook=10_05.xlsx&amp;sheet=A0&amp;row=447&amp;col=7&amp;number=0&amp;sourceID=14","0")</f>
        <v>0</v>
      </c>
    </row>
    <row r="448" spans="1:7">
      <c r="A448" s="3">
        <v>10</v>
      </c>
      <c r="B448" s="3">
        <v>5</v>
      </c>
      <c r="C448" s="3">
        <v>91</v>
      </c>
      <c r="D448" s="3">
        <v>7</v>
      </c>
      <c r="E448" s="3">
        <v>-111.733</v>
      </c>
      <c r="F448" s="4" t="str">
        <f>HYPERLINK("http://141.218.60.56/~jnz1568/getInfo.php?workbook=10_05.xlsx&amp;sheet=A0&amp;row=448&amp;col=6&amp;number=2430000000&amp;sourceID=14","2430000000")</f>
        <v>2430000000</v>
      </c>
      <c r="G448" s="4" t="str">
        <f>HYPERLINK("http://141.218.60.56/~jnz1568/getInfo.php?workbook=10_05.xlsx&amp;sheet=A0&amp;row=448&amp;col=7&amp;number=0&amp;sourceID=14","0")</f>
        <v>0</v>
      </c>
    </row>
    <row r="449" spans="1:7">
      <c r="A449" s="3">
        <v>10</v>
      </c>
      <c r="B449" s="3">
        <v>5</v>
      </c>
      <c r="C449" s="3">
        <v>92</v>
      </c>
      <c r="D449" s="3">
        <v>7</v>
      </c>
      <c r="E449" s="3">
        <v>-111.629</v>
      </c>
      <c r="F449" s="4" t="str">
        <f>HYPERLINK("http://141.218.60.56/~jnz1568/getInfo.php?workbook=10_05.xlsx&amp;sheet=A0&amp;row=449&amp;col=6&amp;number=149000000&amp;sourceID=14","149000000")</f>
        <v>149000000</v>
      </c>
      <c r="G449" s="4" t="str">
        <f>HYPERLINK("http://141.218.60.56/~jnz1568/getInfo.php?workbook=10_05.xlsx&amp;sheet=A0&amp;row=449&amp;col=7&amp;number=0&amp;sourceID=14","0")</f>
        <v>0</v>
      </c>
    </row>
    <row r="450" spans="1:7">
      <c r="A450" s="3">
        <v>10</v>
      </c>
      <c r="B450" s="3">
        <v>5</v>
      </c>
      <c r="C450" s="3">
        <v>93</v>
      </c>
      <c r="D450" s="3">
        <v>7</v>
      </c>
      <c r="E450" s="3">
        <v>-110.67</v>
      </c>
      <c r="F450" s="4" t="str">
        <f>HYPERLINK("http://141.218.60.56/~jnz1568/getInfo.php?workbook=10_05.xlsx&amp;sheet=A0&amp;row=450&amp;col=6&amp;number=13700000000&amp;sourceID=14","13700000000")</f>
        <v>13700000000</v>
      </c>
      <c r="G450" s="4" t="str">
        <f>HYPERLINK("http://141.218.60.56/~jnz1568/getInfo.php?workbook=10_05.xlsx&amp;sheet=A0&amp;row=450&amp;col=7&amp;number=0&amp;sourceID=14","0")</f>
        <v>0</v>
      </c>
    </row>
    <row r="451" spans="1:7">
      <c r="A451" s="3">
        <v>10</v>
      </c>
      <c r="B451" s="3">
        <v>5</v>
      </c>
      <c r="C451" s="3">
        <v>94</v>
      </c>
      <c r="D451" s="3">
        <v>7</v>
      </c>
      <c r="E451" s="3">
        <v>-110.651</v>
      </c>
      <c r="F451" s="4" t="str">
        <f>HYPERLINK("http://141.218.60.56/~jnz1568/getInfo.php?workbook=10_05.xlsx&amp;sheet=A0&amp;row=451&amp;col=6&amp;number=1650000000&amp;sourceID=14","1650000000")</f>
        <v>1650000000</v>
      </c>
      <c r="G451" s="4" t="str">
        <f>HYPERLINK("http://141.218.60.56/~jnz1568/getInfo.php?workbook=10_05.xlsx&amp;sheet=A0&amp;row=451&amp;col=7&amp;number=0&amp;sourceID=14","0")</f>
        <v>0</v>
      </c>
    </row>
    <row r="452" spans="1:7">
      <c r="A452" s="3">
        <v>10</v>
      </c>
      <c r="B452" s="3">
        <v>5</v>
      </c>
      <c r="C452" s="3">
        <v>95</v>
      </c>
      <c r="D452" s="3">
        <v>7</v>
      </c>
      <c r="E452" s="3">
        <v>110.614</v>
      </c>
      <c r="F452" s="4" t="str">
        <f>HYPERLINK("http://141.218.60.56/~jnz1568/getInfo.php?workbook=10_05.xlsx&amp;sheet=A0&amp;row=452&amp;col=6&amp;number=792000&amp;sourceID=14","792000")</f>
        <v>792000</v>
      </c>
      <c r="G452" s="4" t="str">
        <f>HYPERLINK("http://141.218.60.56/~jnz1568/getInfo.php?workbook=10_05.xlsx&amp;sheet=A0&amp;row=452&amp;col=7&amp;number=0&amp;sourceID=14","0")</f>
        <v>0</v>
      </c>
    </row>
    <row r="453" spans="1:7">
      <c r="A453" s="3">
        <v>10</v>
      </c>
      <c r="B453" s="3">
        <v>5</v>
      </c>
      <c r="C453" s="3">
        <v>96</v>
      </c>
      <c r="D453" s="3">
        <v>7</v>
      </c>
      <c r="E453" s="3">
        <v>109.071</v>
      </c>
      <c r="F453" s="4" t="str">
        <f>HYPERLINK("http://141.218.60.56/~jnz1568/getInfo.php?workbook=10_05.xlsx&amp;sheet=A0&amp;row=453&amp;col=6&amp;number=11700000000&amp;sourceID=14","11700000000")</f>
        <v>11700000000</v>
      </c>
      <c r="G453" s="4" t="str">
        <f>HYPERLINK("http://141.218.60.56/~jnz1568/getInfo.php?workbook=10_05.xlsx&amp;sheet=A0&amp;row=453&amp;col=7&amp;number=0&amp;sourceID=14","0")</f>
        <v>0</v>
      </c>
    </row>
    <row r="454" spans="1:7">
      <c r="A454" s="3">
        <v>10</v>
      </c>
      <c r="B454" s="3">
        <v>5</v>
      </c>
      <c r="C454" s="3">
        <v>98</v>
      </c>
      <c r="D454" s="3">
        <v>7</v>
      </c>
      <c r="E454" s="3">
        <v>-108.645</v>
      </c>
      <c r="F454" s="4" t="str">
        <f>HYPERLINK("http://141.218.60.56/~jnz1568/getInfo.php?workbook=10_05.xlsx&amp;sheet=A0&amp;row=454&amp;col=6&amp;number=28100&amp;sourceID=14","28100")</f>
        <v>28100</v>
      </c>
      <c r="G454" s="4" t="str">
        <f>HYPERLINK("http://141.218.60.56/~jnz1568/getInfo.php?workbook=10_05.xlsx&amp;sheet=A0&amp;row=454&amp;col=7&amp;number=0&amp;sourceID=14","0")</f>
        <v>0</v>
      </c>
    </row>
    <row r="455" spans="1:7">
      <c r="A455" s="3">
        <v>10</v>
      </c>
      <c r="B455" s="3">
        <v>5</v>
      </c>
      <c r="C455" s="3">
        <v>101</v>
      </c>
      <c r="D455" s="3">
        <v>7</v>
      </c>
      <c r="E455" s="3">
        <v>-108.595</v>
      </c>
      <c r="F455" s="4" t="str">
        <f>HYPERLINK("http://141.218.60.56/~jnz1568/getInfo.php?workbook=10_05.xlsx&amp;sheet=A0&amp;row=455&amp;col=6&amp;number=24900&amp;sourceID=14","24900")</f>
        <v>24900</v>
      </c>
      <c r="G455" s="4" t="str">
        <f>HYPERLINK("http://141.218.60.56/~jnz1568/getInfo.php?workbook=10_05.xlsx&amp;sheet=A0&amp;row=455&amp;col=7&amp;number=0&amp;sourceID=14","0")</f>
        <v>0</v>
      </c>
    </row>
    <row r="456" spans="1:7">
      <c r="A456" s="3">
        <v>10</v>
      </c>
      <c r="B456" s="3">
        <v>5</v>
      </c>
      <c r="C456" s="3">
        <v>103</v>
      </c>
      <c r="D456" s="3">
        <v>7</v>
      </c>
      <c r="E456" s="3">
        <v>-108.507</v>
      </c>
      <c r="F456" s="4" t="str">
        <f>HYPERLINK("http://141.218.60.56/~jnz1568/getInfo.php?workbook=10_05.xlsx&amp;sheet=A0&amp;row=456&amp;col=6&amp;number=58500&amp;sourceID=14","58500")</f>
        <v>58500</v>
      </c>
      <c r="G456" s="4" t="str">
        <f>HYPERLINK("http://141.218.60.56/~jnz1568/getInfo.php?workbook=10_05.xlsx&amp;sheet=A0&amp;row=456&amp;col=7&amp;number=0&amp;sourceID=14","0")</f>
        <v>0</v>
      </c>
    </row>
    <row r="457" spans="1:7">
      <c r="A457" s="3">
        <v>10</v>
      </c>
      <c r="B457" s="3">
        <v>5</v>
      </c>
      <c r="C457" s="3">
        <v>110</v>
      </c>
      <c r="D457" s="3">
        <v>7</v>
      </c>
      <c r="E457" s="3">
        <v>-107.77</v>
      </c>
      <c r="F457" s="4" t="str">
        <f>HYPERLINK("http://141.218.60.56/~jnz1568/getInfo.php?workbook=10_05.xlsx&amp;sheet=A0&amp;row=457&amp;col=6&amp;number=5400000&amp;sourceID=14","5400000")</f>
        <v>5400000</v>
      </c>
      <c r="G457" s="4" t="str">
        <f>HYPERLINK("http://141.218.60.56/~jnz1568/getInfo.php?workbook=10_05.xlsx&amp;sheet=A0&amp;row=457&amp;col=7&amp;number=0&amp;sourceID=14","0")</f>
        <v>0</v>
      </c>
    </row>
    <row r="458" spans="1:7">
      <c r="A458" s="3">
        <v>10</v>
      </c>
      <c r="B458" s="3">
        <v>5</v>
      </c>
      <c r="C458" s="3">
        <v>112</v>
      </c>
      <c r="D458" s="3">
        <v>7</v>
      </c>
      <c r="E458" s="3">
        <v>-107.694</v>
      </c>
      <c r="F458" s="4" t="str">
        <f>HYPERLINK("http://141.218.60.56/~jnz1568/getInfo.php?workbook=10_05.xlsx&amp;sheet=A0&amp;row=458&amp;col=6&amp;number=1510000&amp;sourceID=14","1510000")</f>
        <v>1510000</v>
      </c>
      <c r="G458" s="4" t="str">
        <f>HYPERLINK("http://141.218.60.56/~jnz1568/getInfo.php?workbook=10_05.xlsx&amp;sheet=A0&amp;row=458&amp;col=7&amp;number=0&amp;sourceID=14","0")</f>
        <v>0</v>
      </c>
    </row>
    <row r="459" spans="1:7">
      <c r="A459" s="3">
        <v>10</v>
      </c>
      <c r="B459" s="3">
        <v>5</v>
      </c>
      <c r="C459" s="3">
        <v>113</v>
      </c>
      <c r="D459" s="3">
        <v>7</v>
      </c>
      <c r="E459" s="3">
        <v>107.6</v>
      </c>
      <c r="F459" s="4" t="str">
        <f>HYPERLINK("http://141.218.60.56/~jnz1568/getInfo.php?workbook=10_05.xlsx&amp;sheet=A0&amp;row=459&amp;col=6&amp;number=1620000000&amp;sourceID=14","1620000000")</f>
        <v>1620000000</v>
      </c>
      <c r="G459" s="4" t="str">
        <f>HYPERLINK("http://141.218.60.56/~jnz1568/getInfo.php?workbook=10_05.xlsx&amp;sheet=A0&amp;row=459&amp;col=7&amp;number=0&amp;sourceID=14","0")</f>
        <v>0</v>
      </c>
    </row>
    <row r="460" spans="1:7">
      <c r="A460" s="3">
        <v>10</v>
      </c>
      <c r="B460" s="3">
        <v>5</v>
      </c>
      <c r="C460" s="3">
        <v>114</v>
      </c>
      <c r="D460" s="3">
        <v>7</v>
      </c>
      <c r="E460" s="3">
        <v>107.6</v>
      </c>
      <c r="F460" s="4" t="str">
        <f>HYPERLINK("http://141.218.60.56/~jnz1568/getInfo.php?workbook=10_05.xlsx&amp;sheet=A0&amp;row=460&amp;col=6&amp;number=21900000000&amp;sourceID=14","21900000000")</f>
        <v>21900000000</v>
      </c>
      <c r="G460" s="4" t="str">
        <f>HYPERLINK("http://141.218.60.56/~jnz1568/getInfo.php?workbook=10_05.xlsx&amp;sheet=A0&amp;row=460&amp;col=7&amp;number=0&amp;sourceID=14","0")</f>
        <v>0</v>
      </c>
    </row>
    <row r="461" spans="1:7">
      <c r="A461" s="3">
        <v>10</v>
      </c>
      <c r="B461" s="3">
        <v>5</v>
      </c>
      <c r="C461" s="3">
        <v>127</v>
      </c>
      <c r="D461" s="3">
        <v>7</v>
      </c>
      <c r="E461" s="3">
        <v>-106.164</v>
      </c>
      <c r="F461" s="4" t="str">
        <f>HYPERLINK("http://141.218.60.56/~jnz1568/getInfo.php?workbook=10_05.xlsx&amp;sheet=A0&amp;row=461&amp;col=6&amp;number=20800000000&amp;sourceID=14","20800000000")</f>
        <v>20800000000</v>
      </c>
      <c r="G461" s="4" t="str">
        <f>HYPERLINK("http://141.218.60.56/~jnz1568/getInfo.php?workbook=10_05.xlsx&amp;sheet=A0&amp;row=461&amp;col=7&amp;number=0&amp;sourceID=14","0")</f>
        <v>0</v>
      </c>
    </row>
    <row r="462" spans="1:7">
      <c r="A462" s="3">
        <v>10</v>
      </c>
      <c r="B462" s="3">
        <v>5</v>
      </c>
      <c r="C462" s="3">
        <v>128</v>
      </c>
      <c r="D462" s="3">
        <v>7</v>
      </c>
      <c r="E462" s="3">
        <v>-106.113</v>
      </c>
      <c r="F462" s="4" t="str">
        <f>HYPERLINK("http://141.218.60.56/~jnz1568/getInfo.php?workbook=10_05.xlsx&amp;sheet=A0&amp;row=462&amp;col=6&amp;number=2390000000&amp;sourceID=14","2390000000")</f>
        <v>2390000000</v>
      </c>
      <c r="G462" s="4" t="str">
        <f>HYPERLINK("http://141.218.60.56/~jnz1568/getInfo.php?workbook=10_05.xlsx&amp;sheet=A0&amp;row=462&amp;col=7&amp;number=0&amp;sourceID=14","0")</f>
        <v>0</v>
      </c>
    </row>
    <row r="463" spans="1:7">
      <c r="A463" s="3">
        <v>10</v>
      </c>
      <c r="B463" s="3">
        <v>5</v>
      </c>
      <c r="C463" s="3">
        <v>134</v>
      </c>
      <c r="D463" s="3">
        <v>7</v>
      </c>
      <c r="E463" s="3">
        <v>-105.611</v>
      </c>
      <c r="F463" s="4" t="str">
        <f>HYPERLINK("http://141.218.60.56/~jnz1568/getInfo.php?workbook=10_05.xlsx&amp;sheet=A0&amp;row=463&amp;col=6&amp;number=31200000&amp;sourceID=14","31200000")</f>
        <v>31200000</v>
      </c>
      <c r="G463" s="4" t="str">
        <f>HYPERLINK("http://141.218.60.56/~jnz1568/getInfo.php?workbook=10_05.xlsx&amp;sheet=A0&amp;row=463&amp;col=7&amp;number=0&amp;sourceID=14","0")</f>
        <v>0</v>
      </c>
    </row>
    <row r="464" spans="1:7">
      <c r="A464" s="3">
        <v>10</v>
      </c>
      <c r="B464" s="3">
        <v>5</v>
      </c>
      <c r="C464" s="3">
        <v>135</v>
      </c>
      <c r="D464" s="3">
        <v>7</v>
      </c>
      <c r="E464" s="3">
        <v>-105.585</v>
      </c>
      <c r="F464" s="4" t="str">
        <f>HYPERLINK("http://141.218.60.56/~jnz1568/getInfo.php?workbook=10_05.xlsx&amp;sheet=A0&amp;row=464&amp;col=6&amp;number=12600000&amp;sourceID=14","12600000")</f>
        <v>12600000</v>
      </c>
      <c r="G464" s="4" t="str">
        <f>HYPERLINK("http://141.218.60.56/~jnz1568/getInfo.php?workbook=10_05.xlsx&amp;sheet=A0&amp;row=464&amp;col=7&amp;number=0&amp;sourceID=14","0")</f>
        <v>0</v>
      </c>
    </row>
    <row r="465" spans="1:7">
      <c r="A465" s="3">
        <v>10</v>
      </c>
      <c r="B465" s="3">
        <v>5</v>
      </c>
      <c r="C465" s="3">
        <v>141</v>
      </c>
      <c r="D465" s="3">
        <v>7</v>
      </c>
      <c r="E465" s="3">
        <v>-105.089</v>
      </c>
      <c r="F465" s="4" t="str">
        <f>HYPERLINK("http://141.218.60.56/~jnz1568/getInfo.php?workbook=10_05.xlsx&amp;sheet=A0&amp;row=465&amp;col=6&amp;number=19000000&amp;sourceID=14","19000000")</f>
        <v>19000000</v>
      </c>
      <c r="G465" s="4" t="str">
        <f>HYPERLINK("http://141.218.60.56/~jnz1568/getInfo.php?workbook=10_05.xlsx&amp;sheet=A0&amp;row=465&amp;col=7&amp;number=0&amp;sourceID=14","0")</f>
        <v>0</v>
      </c>
    </row>
    <row r="466" spans="1:7">
      <c r="A466" s="3">
        <v>10</v>
      </c>
      <c r="B466" s="3">
        <v>5</v>
      </c>
      <c r="C466" s="3">
        <v>142</v>
      </c>
      <c r="D466" s="3">
        <v>7</v>
      </c>
      <c r="E466" s="3">
        <v>105.08</v>
      </c>
      <c r="F466" s="4" t="str">
        <f>HYPERLINK("http://141.218.60.56/~jnz1568/getInfo.php?workbook=10_05.xlsx&amp;sheet=A0&amp;row=466&amp;col=6&amp;number=32400000&amp;sourceID=14","32400000")</f>
        <v>32400000</v>
      </c>
      <c r="G466" s="4" t="str">
        <f>HYPERLINK("http://141.218.60.56/~jnz1568/getInfo.php?workbook=10_05.xlsx&amp;sheet=A0&amp;row=466&amp;col=7&amp;number=0&amp;sourceID=14","0")</f>
        <v>0</v>
      </c>
    </row>
    <row r="467" spans="1:7">
      <c r="A467" s="3">
        <v>10</v>
      </c>
      <c r="B467" s="3">
        <v>5</v>
      </c>
      <c r="C467" s="3">
        <v>143</v>
      </c>
      <c r="D467" s="3">
        <v>7</v>
      </c>
      <c r="E467" s="3">
        <v>105.052</v>
      </c>
      <c r="F467" s="4" t="str">
        <f>HYPERLINK("http://141.218.60.56/~jnz1568/getInfo.php?workbook=10_05.xlsx&amp;sheet=A0&amp;row=467&amp;col=6&amp;number=35000000&amp;sourceID=14","35000000")</f>
        <v>35000000</v>
      </c>
      <c r="G467" s="4" t="str">
        <f>HYPERLINK("http://141.218.60.56/~jnz1568/getInfo.php?workbook=10_05.xlsx&amp;sheet=A0&amp;row=467&amp;col=7&amp;number=0&amp;sourceID=14","0")</f>
        <v>0</v>
      </c>
    </row>
    <row r="468" spans="1:7">
      <c r="A468" s="3">
        <v>10</v>
      </c>
      <c r="B468" s="3">
        <v>5</v>
      </c>
      <c r="C468" s="3">
        <v>145</v>
      </c>
      <c r="D468" s="3">
        <v>7</v>
      </c>
      <c r="E468" s="3">
        <v>104.93</v>
      </c>
      <c r="F468" s="4" t="str">
        <f>HYPERLINK("http://141.218.60.56/~jnz1568/getInfo.php?workbook=10_05.xlsx&amp;sheet=A0&amp;row=468&amp;col=6&amp;number=10100000000&amp;sourceID=14","10100000000")</f>
        <v>10100000000</v>
      </c>
      <c r="G468" s="4" t="str">
        <f>HYPERLINK("http://141.218.60.56/~jnz1568/getInfo.php?workbook=10_05.xlsx&amp;sheet=A0&amp;row=468&amp;col=7&amp;number=0&amp;sourceID=14","0")</f>
        <v>0</v>
      </c>
    </row>
    <row r="469" spans="1:7">
      <c r="A469" s="3">
        <v>10</v>
      </c>
      <c r="B469" s="3">
        <v>5</v>
      </c>
      <c r="C469" s="3">
        <v>146</v>
      </c>
      <c r="D469" s="3">
        <v>7</v>
      </c>
      <c r="E469" s="3">
        <v>104.93</v>
      </c>
      <c r="F469" s="4" t="str">
        <f>HYPERLINK("http://141.218.60.56/~jnz1568/getInfo.php?workbook=10_05.xlsx&amp;sheet=A0&amp;row=469&amp;col=6&amp;number=2040000000&amp;sourceID=14","2040000000")</f>
        <v>2040000000</v>
      </c>
      <c r="G469" s="4" t="str">
        <f>HYPERLINK("http://141.218.60.56/~jnz1568/getInfo.php?workbook=10_05.xlsx&amp;sheet=A0&amp;row=469&amp;col=7&amp;number=0&amp;sourceID=14","0")</f>
        <v>0</v>
      </c>
    </row>
    <row r="470" spans="1:7">
      <c r="A470" s="3">
        <v>10</v>
      </c>
      <c r="B470" s="3">
        <v>5</v>
      </c>
      <c r="C470" s="3">
        <v>147</v>
      </c>
      <c r="D470" s="3">
        <v>7</v>
      </c>
      <c r="E470" s="3">
        <v>104.865</v>
      </c>
      <c r="F470" s="4" t="str">
        <f>HYPERLINK("http://141.218.60.56/~jnz1568/getInfo.php?workbook=10_05.xlsx&amp;sheet=A0&amp;row=470&amp;col=6&amp;number=182000000&amp;sourceID=14","182000000")</f>
        <v>182000000</v>
      </c>
      <c r="G470" s="4" t="str">
        <f>HYPERLINK("http://141.218.60.56/~jnz1568/getInfo.php?workbook=10_05.xlsx&amp;sheet=A0&amp;row=470&amp;col=7&amp;number=0&amp;sourceID=14","0")</f>
        <v>0</v>
      </c>
    </row>
    <row r="471" spans="1:7">
      <c r="A471" s="3">
        <v>10</v>
      </c>
      <c r="B471" s="3">
        <v>5</v>
      </c>
      <c r="C471" s="3">
        <v>148</v>
      </c>
      <c r="D471" s="3">
        <v>7</v>
      </c>
      <c r="E471" s="3">
        <v>104.854</v>
      </c>
      <c r="F471" s="4" t="str">
        <f>HYPERLINK("http://141.218.60.56/~jnz1568/getInfo.php?workbook=10_05.xlsx&amp;sheet=A0&amp;row=471&amp;col=6&amp;number=4590000000&amp;sourceID=14","4590000000")</f>
        <v>4590000000</v>
      </c>
      <c r="G471" s="4" t="str">
        <f>HYPERLINK("http://141.218.60.56/~jnz1568/getInfo.php?workbook=10_05.xlsx&amp;sheet=A0&amp;row=471&amp;col=7&amp;number=0&amp;sourceID=14","0")</f>
        <v>0</v>
      </c>
    </row>
    <row r="472" spans="1:7">
      <c r="A472" s="3">
        <v>10</v>
      </c>
      <c r="B472" s="3">
        <v>5</v>
      </c>
      <c r="C472" s="3">
        <v>149</v>
      </c>
      <c r="D472" s="3">
        <v>7</v>
      </c>
      <c r="E472" s="3">
        <v>104.843</v>
      </c>
      <c r="F472" s="4" t="str">
        <f>HYPERLINK("http://141.218.60.56/~jnz1568/getInfo.php?workbook=10_05.xlsx&amp;sheet=A0&amp;row=472&amp;col=6&amp;number=217000&amp;sourceID=14","217000")</f>
        <v>217000</v>
      </c>
      <c r="G472" s="4" t="str">
        <f>HYPERLINK("http://141.218.60.56/~jnz1568/getInfo.php?workbook=10_05.xlsx&amp;sheet=A0&amp;row=472&amp;col=7&amp;number=0&amp;sourceID=14","0")</f>
        <v>0</v>
      </c>
    </row>
    <row r="473" spans="1:7">
      <c r="A473" s="3">
        <v>10</v>
      </c>
      <c r="B473" s="3">
        <v>5</v>
      </c>
      <c r="C473" s="3">
        <v>152</v>
      </c>
      <c r="D473" s="3">
        <v>7</v>
      </c>
      <c r="E473" s="3">
        <v>104.257</v>
      </c>
      <c r="F473" s="4" t="str">
        <f>HYPERLINK("http://141.218.60.56/~jnz1568/getInfo.php?workbook=10_05.xlsx&amp;sheet=A0&amp;row=473&amp;col=6&amp;number=71000000000&amp;sourceID=14","71000000000")</f>
        <v>71000000000</v>
      </c>
      <c r="G473" s="4" t="str">
        <f>HYPERLINK("http://141.218.60.56/~jnz1568/getInfo.php?workbook=10_05.xlsx&amp;sheet=A0&amp;row=473&amp;col=7&amp;number=0&amp;sourceID=14","0")</f>
        <v>0</v>
      </c>
    </row>
    <row r="474" spans="1:7">
      <c r="A474" s="3">
        <v>10</v>
      </c>
      <c r="B474" s="3">
        <v>5</v>
      </c>
      <c r="C474" s="3">
        <v>158</v>
      </c>
      <c r="D474" s="3">
        <v>7</v>
      </c>
      <c r="E474" s="3">
        <v>-103.98</v>
      </c>
      <c r="F474" s="4" t="str">
        <f>HYPERLINK("http://141.218.60.56/~jnz1568/getInfo.php?workbook=10_05.xlsx&amp;sheet=A0&amp;row=474&amp;col=6&amp;number=292000000&amp;sourceID=14","292000000")</f>
        <v>292000000</v>
      </c>
      <c r="G474" s="4" t="str">
        <f>HYPERLINK("http://141.218.60.56/~jnz1568/getInfo.php?workbook=10_05.xlsx&amp;sheet=A0&amp;row=474&amp;col=7&amp;number=0&amp;sourceID=14","0")</f>
        <v>0</v>
      </c>
    </row>
    <row r="475" spans="1:7">
      <c r="A475" s="3">
        <v>10</v>
      </c>
      <c r="B475" s="3">
        <v>5</v>
      </c>
      <c r="C475" s="3">
        <v>159</v>
      </c>
      <c r="D475" s="3">
        <v>7</v>
      </c>
      <c r="E475" s="3">
        <v>-103.934</v>
      </c>
      <c r="F475" s="4" t="str">
        <f>HYPERLINK("http://141.218.60.56/~jnz1568/getInfo.php?workbook=10_05.xlsx&amp;sheet=A0&amp;row=475&amp;col=6&amp;number=4910000000&amp;sourceID=14","4910000000")</f>
        <v>4910000000</v>
      </c>
      <c r="G475" s="4" t="str">
        <f>HYPERLINK("http://141.218.60.56/~jnz1568/getInfo.php?workbook=10_05.xlsx&amp;sheet=A0&amp;row=475&amp;col=7&amp;number=0&amp;sourceID=14","0")</f>
        <v>0</v>
      </c>
    </row>
    <row r="476" spans="1:7">
      <c r="A476" s="3">
        <v>10</v>
      </c>
      <c r="B476" s="3">
        <v>5</v>
      </c>
      <c r="C476" s="3">
        <v>164</v>
      </c>
      <c r="D476" s="3">
        <v>7</v>
      </c>
      <c r="E476" s="3">
        <v>-99.179</v>
      </c>
      <c r="F476" s="4" t="str">
        <f>HYPERLINK("http://141.218.60.56/~jnz1568/getInfo.php?workbook=10_05.xlsx&amp;sheet=A0&amp;row=476&amp;col=6&amp;number=42500000&amp;sourceID=14","42500000")</f>
        <v>42500000</v>
      </c>
      <c r="G476" s="4" t="str">
        <f>HYPERLINK("http://141.218.60.56/~jnz1568/getInfo.php?workbook=10_05.xlsx&amp;sheet=A0&amp;row=476&amp;col=7&amp;number=0&amp;sourceID=14","0")</f>
        <v>0</v>
      </c>
    </row>
    <row r="477" spans="1:7">
      <c r="A477" s="3">
        <v>10</v>
      </c>
      <c r="B477" s="3">
        <v>5</v>
      </c>
      <c r="C477" s="3">
        <v>165</v>
      </c>
      <c r="D477" s="3">
        <v>7</v>
      </c>
      <c r="E477" s="3">
        <v>-99.165</v>
      </c>
      <c r="F477" s="4" t="str">
        <f>HYPERLINK("http://141.218.60.56/~jnz1568/getInfo.php?workbook=10_05.xlsx&amp;sheet=A0&amp;row=477&amp;col=6&amp;number=5340000&amp;sourceID=14","5340000")</f>
        <v>5340000</v>
      </c>
      <c r="G477" s="4" t="str">
        <f>HYPERLINK("http://141.218.60.56/~jnz1568/getInfo.php?workbook=10_05.xlsx&amp;sheet=A0&amp;row=477&amp;col=7&amp;number=0&amp;sourceID=14","0")</f>
        <v>0</v>
      </c>
    </row>
    <row r="478" spans="1:7">
      <c r="A478" s="3">
        <v>10</v>
      </c>
      <c r="B478" s="3">
        <v>5</v>
      </c>
      <c r="C478" s="3">
        <v>166</v>
      </c>
      <c r="D478" s="3">
        <v>7</v>
      </c>
      <c r="E478" s="3">
        <v>-96.572</v>
      </c>
      <c r="F478" s="4" t="str">
        <f>HYPERLINK("http://141.218.60.56/~jnz1568/getInfo.php?workbook=10_05.xlsx&amp;sheet=A0&amp;row=478&amp;col=6&amp;number=2210000000&amp;sourceID=14","2210000000")</f>
        <v>2210000000</v>
      </c>
      <c r="G478" s="4" t="str">
        <f>HYPERLINK("http://141.218.60.56/~jnz1568/getInfo.php?workbook=10_05.xlsx&amp;sheet=A0&amp;row=478&amp;col=7&amp;number=0&amp;sourceID=14","0")</f>
        <v>0</v>
      </c>
    </row>
    <row r="479" spans="1:7">
      <c r="A479" s="3">
        <v>10</v>
      </c>
      <c r="B479" s="3">
        <v>5</v>
      </c>
      <c r="C479" s="3">
        <v>167</v>
      </c>
      <c r="D479" s="3">
        <v>7</v>
      </c>
      <c r="E479" s="3">
        <v>-96.568</v>
      </c>
      <c r="F479" s="4" t="str">
        <f>HYPERLINK("http://141.218.60.56/~jnz1568/getInfo.php?workbook=10_05.xlsx&amp;sheet=A0&amp;row=479&amp;col=6&amp;number=230000000&amp;sourceID=14","230000000")</f>
        <v>230000000</v>
      </c>
      <c r="G479" s="4" t="str">
        <f>HYPERLINK("http://141.218.60.56/~jnz1568/getInfo.php?workbook=10_05.xlsx&amp;sheet=A0&amp;row=479&amp;col=7&amp;number=0&amp;sourceID=14","0")</f>
        <v>0</v>
      </c>
    </row>
    <row r="480" spans="1:7">
      <c r="A480" s="3">
        <v>10</v>
      </c>
      <c r="B480" s="3">
        <v>5</v>
      </c>
      <c r="C480" s="3">
        <v>176</v>
      </c>
      <c r="D480" s="3">
        <v>7</v>
      </c>
      <c r="E480" s="3">
        <v>-93.719</v>
      </c>
      <c r="F480" s="4" t="str">
        <f>HYPERLINK("http://141.218.60.56/~jnz1568/getInfo.php?workbook=10_05.xlsx&amp;sheet=A0&amp;row=480&amp;col=6&amp;number=30800000000&amp;sourceID=14","30800000000")</f>
        <v>30800000000</v>
      </c>
      <c r="G480" s="4" t="str">
        <f>HYPERLINK("http://141.218.60.56/~jnz1568/getInfo.php?workbook=10_05.xlsx&amp;sheet=A0&amp;row=480&amp;col=7&amp;number=0&amp;sourceID=14","0")</f>
        <v>0</v>
      </c>
    </row>
    <row r="481" spans="1:7">
      <c r="A481" s="3">
        <v>10</v>
      </c>
      <c r="B481" s="3">
        <v>5</v>
      </c>
      <c r="C481" s="3">
        <v>177</v>
      </c>
      <c r="D481" s="3">
        <v>7</v>
      </c>
      <c r="E481" s="3">
        <v>-93.641</v>
      </c>
      <c r="F481" s="4" t="str">
        <f>HYPERLINK("http://141.218.60.56/~jnz1568/getInfo.php?workbook=10_05.xlsx&amp;sheet=A0&amp;row=481&amp;col=6&amp;number=7250000000&amp;sourceID=14","7250000000")</f>
        <v>7250000000</v>
      </c>
      <c r="G481" s="4" t="str">
        <f>HYPERLINK("http://141.218.60.56/~jnz1568/getInfo.php?workbook=10_05.xlsx&amp;sheet=A0&amp;row=481&amp;col=7&amp;number=0&amp;sourceID=14","0")</f>
        <v>0</v>
      </c>
    </row>
    <row r="482" spans="1:7">
      <c r="A482" s="3">
        <v>10</v>
      </c>
      <c r="B482" s="3">
        <v>5</v>
      </c>
      <c r="C482" s="3">
        <v>178</v>
      </c>
      <c r="D482" s="3">
        <v>7</v>
      </c>
      <c r="E482" s="3">
        <v>-93.637</v>
      </c>
      <c r="F482" s="4" t="str">
        <f>HYPERLINK("http://141.218.60.56/~jnz1568/getInfo.php?workbook=10_05.xlsx&amp;sheet=A0&amp;row=482&amp;col=6&amp;number=515000000&amp;sourceID=14","515000000")</f>
        <v>515000000</v>
      </c>
      <c r="G482" s="4" t="str">
        <f>HYPERLINK("http://141.218.60.56/~jnz1568/getInfo.php?workbook=10_05.xlsx&amp;sheet=A0&amp;row=482&amp;col=7&amp;number=0&amp;sourceID=14","0")</f>
        <v>0</v>
      </c>
    </row>
    <row r="483" spans="1:7">
      <c r="A483" s="3">
        <v>10</v>
      </c>
      <c r="B483" s="3">
        <v>5</v>
      </c>
      <c r="C483" s="3">
        <v>179</v>
      </c>
      <c r="D483" s="3">
        <v>7</v>
      </c>
      <c r="E483" s="3">
        <v>-93.284</v>
      </c>
      <c r="F483" s="4" t="str">
        <f>HYPERLINK("http://141.218.60.56/~jnz1568/getInfo.php?workbook=10_05.xlsx&amp;sheet=A0&amp;row=483&amp;col=6&amp;number=1350000000&amp;sourceID=14","1350000000")</f>
        <v>1350000000</v>
      </c>
      <c r="G483" s="4" t="str">
        <f>HYPERLINK("http://141.218.60.56/~jnz1568/getInfo.php?workbook=10_05.xlsx&amp;sheet=A0&amp;row=483&amp;col=7&amp;number=0&amp;sourceID=14","0")</f>
        <v>0</v>
      </c>
    </row>
    <row r="484" spans="1:7">
      <c r="A484" s="3">
        <v>10</v>
      </c>
      <c r="B484" s="3">
        <v>5</v>
      </c>
      <c r="C484" s="3">
        <v>180</v>
      </c>
      <c r="D484" s="3">
        <v>7</v>
      </c>
      <c r="E484" s="3">
        <v>-93.28</v>
      </c>
      <c r="F484" s="4" t="str">
        <f>HYPERLINK("http://141.218.60.56/~jnz1568/getInfo.php?workbook=10_05.xlsx&amp;sheet=A0&amp;row=484&amp;col=6&amp;number=107000000&amp;sourceID=14","107000000")</f>
        <v>107000000</v>
      </c>
      <c r="G484" s="4" t="str">
        <f>HYPERLINK("http://141.218.60.56/~jnz1568/getInfo.php?workbook=10_05.xlsx&amp;sheet=A0&amp;row=484&amp;col=7&amp;number=0&amp;sourceID=14","0")</f>
        <v>0</v>
      </c>
    </row>
    <row r="485" spans="1:7">
      <c r="A485" s="3">
        <v>10</v>
      </c>
      <c r="B485" s="3">
        <v>5</v>
      </c>
      <c r="C485" s="3">
        <v>11</v>
      </c>
      <c r="D485" s="3">
        <v>8</v>
      </c>
      <c r="E485" s="3">
        <v>1101.785</v>
      </c>
      <c r="F485" s="4" t="str">
        <f>HYPERLINK("http://141.218.60.56/~jnz1568/getInfo.php?workbook=10_05.xlsx&amp;sheet=A0&amp;row=485&amp;col=6&amp;number=276&amp;sourceID=14","276")</f>
        <v>276</v>
      </c>
      <c r="G485" s="4" t="str">
        <f>HYPERLINK("http://141.218.60.56/~jnz1568/getInfo.php?workbook=10_05.xlsx&amp;sheet=A0&amp;row=485&amp;col=7&amp;number=0&amp;sourceID=14","0")</f>
        <v>0</v>
      </c>
    </row>
    <row r="486" spans="1:7">
      <c r="A486" s="3">
        <v>10</v>
      </c>
      <c r="B486" s="3">
        <v>5</v>
      </c>
      <c r="C486" s="3">
        <v>12</v>
      </c>
      <c r="D486" s="3">
        <v>8</v>
      </c>
      <c r="E486" s="3">
        <v>776.658</v>
      </c>
      <c r="F486" s="4" t="str">
        <f>HYPERLINK("http://141.218.60.56/~jnz1568/getInfo.php?workbook=10_05.xlsx&amp;sheet=A0&amp;row=486&amp;col=6&amp;number=2950000&amp;sourceID=14","2950000")</f>
        <v>2950000</v>
      </c>
      <c r="G486" s="4" t="str">
        <f>HYPERLINK("http://141.218.60.56/~jnz1568/getInfo.php?workbook=10_05.xlsx&amp;sheet=A0&amp;row=486&amp;col=7&amp;number=0&amp;sourceID=14","0")</f>
        <v>0</v>
      </c>
    </row>
    <row r="487" spans="1:7">
      <c r="A487" s="3">
        <v>10</v>
      </c>
      <c r="B487" s="3">
        <v>5</v>
      </c>
      <c r="C487" s="3">
        <v>14</v>
      </c>
      <c r="D487" s="3">
        <v>8</v>
      </c>
      <c r="E487" s="3">
        <v>570.93</v>
      </c>
      <c r="F487" s="4" t="str">
        <f>HYPERLINK("http://141.218.60.56/~jnz1568/getInfo.php?workbook=10_05.xlsx&amp;sheet=A0&amp;row=487&amp;col=6&amp;number=569000000&amp;sourceID=14","569000000")</f>
        <v>569000000</v>
      </c>
      <c r="G487" s="4" t="str">
        <f>HYPERLINK("http://141.218.60.56/~jnz1568/getInfo.php?workbook=10_05.xlsx&amp;sheet=A0&amp;row=487&amp;col=7&amp;number=0&amp;sourceID=14","0")</f>
        <v>0</v>
      </c>
    </row>
    <row r="488" spans="1:7">
      <c r="A488" s="3">
        <v>10</v>
      </c>
      <c r="B488" s="3">
        <v>5</v>
      </c>
      <c r="C488" s="3">
        <v>15</v>
      </c>
      <c r="D488" s="3">
        <v>8</v>
      </c>
      <c r="E488" s="3">
        <v>570.784</v>
      </c>
      <c r="F488" s="4" t="str">
        <f>HYPERLINK("http://141.218.60.56/~jnz1568/getInfo.php?workbook=10_05.xlsx&amp;sheet=A0&amp;row=488&amp;col=6&amp;number=762000000&amp;sourceID=14","762000000")</f>
        <v>762000000</v>
      </c>
      <c r="G488" s="4" t="str">
        <f>HYPERLINK("http://141.218.60.56/~jnz1568/getInfo.php?workbook=10_05.xlsx&amp;sheet=A0&amp;row=488&amp;col=7&amp;number=0&amp;sourceID=14","0")</f>
        <v>0</v>
      </c>
    </row>
    <row r="489" spans="1:7">
      <c r="A489" s="3">
        <v>10</v>
      </c>
      <c r="B489" s="3">
        <v>5</v>
      </c>
      <c r="C489" s="3">
        <v>17</v>
      </c>
      <c r="D489" s="3">
        <v>8</v>
      </c>
      <c r="E489" s="3">
        <v>185.056</v>
      </c>
      <c r="F489" s="4" t="str">
        <f>HYPERLINK("http://141.218.60.56/~jnz1568/getInfo.php?workbook=10_05.xlsx&amp;sheet=A0&amp;row=489&amp;col=6&amp;number=390000000&amp;sourceID=14","390000000")</f>
        <v>390000000</v>
      </c>
      <c r="G489" s="4" t="str">
        <f>HYPERLINK("http://141.218.60.56/~jnz1568/getInfo.php?workbook=10_05.xlsx&amp;sheet=A0&amp;row=489&amp;col=7&amp;number=0&amp;sourceID=14","0")</f>
        <v>0</v>
      </c>
    </row>
    <row r="490" spans="1:7">
      <c r="A490" s="3">
        <v>10</v>
      </c>
      <c r="B490" s="3">
        <v>5</v>
      </c>
      <c r="C490" s="3">
        <v>18</v>
      </c>
      <c r="D490" s="3">
        <v>8</v>
      </c>
      <c r="E490" s="3">
        <v>184.945</v>
      </c>
      <c r="F490" s="4" t="str">
        <f>HYPERLINK("http://141.218.60.56/~jnz1568/getInfo.php?workbook=10_05.xlsx&amp;sheet=A0&amp;row=490&amp;col=6&amp;number=406000000&amp;sourceID=14","406000000")</f>
        <v>406000000</v>
      </c>
      <c r="G490" s="4" t="str">
        <f>HYPERLINK("http://141.218.60.56/~jnz1568/getInfo.php?workbook=10_05.xlsx&amp;sheet=A0&amp;row=490&amp;col=7&amp;number=0&amp;sourceID=14","0")</f>
        <v>0</v>
      </c>
    </row>
    <row r="491" spans="1:7">
      <c r="A491" s="3">
        <v>10</v>
      </c>
      <c r="B491" s="3">
        <v>5</v>
      </c>
      <c r="C491" s="3">
        <v>21</v>
      </c>
      <c r="D491" s="3">
        <v>8</v>
      </c>
      <c r="E491" s="3">
        <v>165.916</v>
      </c>
      <c r="F491" s="4" t="str">
        <f>HYPERLINK("http://141.218.60.56/~jnz1568/getInfo.php?workbook=10_05.xlsx&amp;sheet=A0&amp;row=491&amp;col=6&amp;number=106000&amp;sourceID=14","106000")</f>
        <v>106000</v>
      </c>
      <c r="G491" s="4" t="str">
        <f>HYPERLINK("http://141.218.60.56/~jnz1568/getInfo.php?workbook=10_05.xlsx&amp;sheet=A0&amp;row=491&amp;col=7&amp;number=0&amp;sourceID=14","0")</f>
        <v>0</v>
      </c>
    </row>
    <row r="492" spans="1:7">
      <c r="A492" s="3">
        <v>10</v>
      </c>
      <c r="B492" s="3">
        <v>5</v>
      </c>
      <c r="C492" s="3">
        <v>22</v>
      </c>
      <c r="D492" s="3">
        <v>8</v>
      </c>
      <c r="E492" s="3">
        <v>165.784</v>
      </c>
      <c r="F492" s="4" t="str">
        <f>HYPERLINK("http://141.218.60.56/~jnz1568/getInfo.php?workbook=10_05.xlsx&amp;sheet=A0&amp;row=492&amp;col=6&amp;number=281000&amp;sourceID=14","281000")</f>
        <v>281000</v>
      </c>
      <c r="G492" s="4" t="str">
        <f>HYPERLINK("http://141.218.60.56/~jnz1568/getInfo.php?workbook=10_05.xlsx&amp;sheet=A0&amp;row=492&amp;col=7&amp;number=0&amp;sourceID=14","0")</f>
        <v>0</v>
      </c>
    </row>
    <row r="493" spans="1:7">
      <c r="A493" s="3">
        <v>10</v>
      </c>
      <c r="B493" s="3">
        <v>5</v>
      </c>
      <c r="C493" s="3">
        <v>24</v>
      </c>
      <c r="D493" s="3">
        <v>8</v>
      </c>
      <c r="E493" s="3">
        <v>160.03</v>
      </c>
      <c r="F493" s="4" t="str">
        <f>HYPERLINK("http://141.218.60.56/~jnz1568/getInfo.php?workbook=10_05.xlsx&amp;sheet=A0&amp;row=493&amp;col=6&amp;number=6010000000&amp;sourceID=14","6010000000")</f>
        <v>6010000000</v>
      </c>
      <c r="G493" s="4" t="str">
        <f>HYPERLINK("http://141.218.60.56/~jnz1568/getInfo.php?workbook=10_05.xlsx&amp;sheet=A0&amp;row=493&amp;col=7&amp;number=0&amp;sourceID=14","0")</f>
        <v>0</v>
      </c>
    </row>
    <row r="494" spans="1:7">
      <c r="A494" s="3">
        <v>10</v>
      </c>
      <c r="B494" s="3">
        <v>5</v>
      </c>
      <c r="C494" s="3">
        <v>25</v>
      </c>
      <c r="D494" s="3">
        <v>8</v>
      </c>
      <c r="E494" s="3">
        <v>159.82</v>
      </c>
      <c r="F494" s="4" t="str">
        <f>HYPERLINK("http://141.218.60.56/~jnz1568/getInfo.php?workbook=10_05.xlsx&amp;sheet=A0&amp;row=494&amp;col=6&amp;number=5640000000&amp;sourceID=14","5640000000")</f>
        <v>5640000000</v>
      </c>
      <c r="G494" s="4" t="str">
        <f>HYPERLINK("http://141.218.60.56/~jnz1568/getInfo.php?workbook=10_05.xlsx&amp;sheet=A0&amp;row=494&amp;col=7&amp;number=0&amp;sourceID=14","0")</f>
        <v>0</v>
      </c>
    </row>
    <row r="495" spans="1:7">
      <c r="A495" s="3">
        <v>10</v>
      </c>
      <c r="B495" s="3">
        <v>5</v>
      </c>
      <c r="C495" s="3">
        <v>38</v>
      </c>
      <c r="D495" s="3">
        <v>8</v>
      </c>
      <c r="E495" s="3">
        <v>-146.28</v>
      </c>
      <c r="F495" s="4" t="str">
        <f>HYPERLINK("http://141.218.60.56/~jnz1568/getInfo.php?workbook=10_05.xlsx&amp;sheet=A0&amp;row=495&amp;col=6&amp;number=28400&amp;sourceID=14","28400")</f>
        <v>28400</v>
      </c>
      <c r="G495" s="4" t="str">
        <f>HYPERLINK("http://141.218.60.56/~jnz1568/getInfo.php?workbook=10_05.xlsx&amp;sheet=A0&amp;row=495&amp;col=7&amp;number=0&amp;sourceID=14","0")</f>
        <v>0</v>
      </c>
    </row>
    <row r="496" spans="1:7">
      <c r="A496" s="3">
        <v>10</v>
      </c>
      <c r="B496" s="3">
        <v>5</v>
      </c>
      <c r="C496" s="3">
        <v>43</v>
      </c>
      <c r="D496" s="3">
        <v>8</v>
      </c>
      <c r="E496" s="3">
        <v>143.799</v>
      </c>
      <c r="F496" s="4" t="str">
        <f>HYPERLINK("http://141.218.60.56/~jnz1568/getInfo.php?workbook=10_05.xlsx&amp;sheet=A0&amp;row=496&amp;col=6&amp;number=3150000&amp;sourceID=14","3150000")</f>
        <v>3150000</v>
      </c>
      <c r="G496" s="4" t="str">
        <f>HYPERLINK("http://141.218.60.56/~jnz1568/getInfo.php?workbook=10_05.xlsx&amp;sheet=A0&amp;row=496&amp;col=7&amp;number=0&amp;sourceID=14","0")</f>
        <v>0</v>
      </c>
    </row>
    <row r="497" spans="1:7">
      <c r="A497" s="3">
        <v>10</v>
      </c>
      <c r="B497" s="3">
        <v>5</v>
      </c>
      <c r="C497" s="3">
        <v>44</v>
      </c>
      <c r="D497" s="3">
        <v>8</v>
      </c>
      <c r="E497" s="3">
        <v>143.779</v>
      </c>
      <c r="F497" s="4" t="str">
        <f>HYPERLINK("http://141.218.60.56/~jnz1568/getInfo.php?workbook=10_05.xlsx&amp;sheet=A0&amp;row=497&amp;col=6&amp;number=1270000&amp;sourceID=14","1270000")</f>
        <v>1270000</v>
      </c>
      <c r="G497" s="4" t="str">
        <f>HYPERLINK("http://141.218.60.56/~jnz1568/getInfo.php?workbook=10_05.xlsx&amp;sheet=A0&amp;row=497&amp;col=7&amp;number=0&amp;sourceID=14","0")</f>
        <v>0</v>
      </c>
    </row>
    <row r="498" spans="1:7">
      <c r="A498" s="3">
        <v>10</v>
      </c>
      <c r="B498" s="3">
        <v>5</v>
      </c>
      <c r="C498" s="3">
        <v>47</v>
      </c>
      <c r="D498" s="3">
        <v>8</v>
      </c>
      <c r="E498" s="3">
        <v>143.438</v>
      </c>
      <c r="F498" s="4" t="str">
        <f>HYPERLINK("http://141.218.60.56/~jnz1568/getInfo.php?workbook=10_05.xlsx&amp;sheet=A0&amp;row=498&amp;col=6&amp;number=140000000&amp;sourceID=14","140000000")</f>
        <v>140000000</v>
      </c>
      <c r="G498" s="4" t="str">
        <f>HYPERLINK("http://141.218.60.56/~jnz1568/getInfo.php?workbook=10_05.xlsx&amp;sheet=A0&amp;row=498&amp;col=7&amp;number=0&amp;sourceID=14","0")</f>
        <v>0</v>
      </c>
    </row>
    <row r="499" spans="1:7">
      <c r="A499" s="3">
        <v>10</v>
      </c>
      <c r="B499" s="3">
        <v>5</v>
      </c>
      <c r="C499" s="3">
        <v>50</v>
      </c>
      <c r="D499" s="3">
        <v>8</v>
      </c>
      <c r="E499" s="3">
        <v>142.644</v>
      </c>
      <c r="F499" s="4" t="str">
        <f>HYPERLINK("http://141.218.60.56/~jnz1568/getInfo.php?workbook=10_05.xlsx&amp;sheet=A0&amp;row=499&amp;col=6&amp;number=4410000&amp;sourceID=14","4410000")</f>
        <v>4410000</v>
      </c>
      <c r="G499" s="4" t="str">
        <f>HYPERLINK("http://141.218.60.56/~jnz1568/getInfo.php?workbook=10_05.xlsx&amp;sheet=A0&amp;row=499&amp;col=7&amp;number=0&amp;sourceID=14","0")</f>
        <v>0</v>
      </c>
    </row>
    <row r="500" spans="1:7">
      <c r="A500" s="3">
        <v>10</v>
      </c>
      <c r="B500" s="3">
        <v>5</v>
      </c>
      <c r="C500" s="3">
        <v>51</v>
      </c>
      <c r="D500" s="3">
        <v>8</v>
      </c>
      <c r="E500" s="3">
        <v>142.594</v>
      </c>
      <c r="F500" s="4" t="str">
        <f>HYPERLINK("http://141.218.60.56/~jnz1568/getInfo.php?workbook=10_05.xlsx&amp;sheet=A0&amp;row=500&amp;col=6&amp;number=658000&amp;sourceID=14","658000")</f>
        <v>658000</v>
      </c>
      <c r="G500" s="4" t="str">
        <f>HYPERLINK("http://141.218.60.56/~jnz1568/getInfo.php?workbook=10_05.xlsx&amp;sheet=A0&amp;row=500&amp;col=7&amp;number=0&amp;sourceID=14","0")</f>
        <v>0</v>
      </c>
    </row>
    <row r="501" spans="1:7">
      <c r="A501" s="3">
        <v>10</v>
      </c>
      <c r="B501" s="3">
        <v>5</v>
      </c>
      <c r="C501" s="3">
        <v>52</v>
      </c>
      <c r="D501" s="3">
        <v>8</v>
      </c>
      <c r="E501" s="3">
        <v>140.963</v>
      </c>
      <c r="F501" s="4" t="str">
        <f>HYPERLINK("http://141.218.60.56/~jnz1568/getInfo.php?workbook=10_05.xlsx&amp;sheet=A0&amp;row=501&amp;col=6&amp;number=35500000000&amp;sourceID=14","35500000000")</f>
        <v>35500000000</v>
      </c>
      <c r="G501" s="4" t="str">
        <f>HYPERLINK("http://141.218.60.56/~jnz1568/getInfo.php?workbook=10_05.xlsx&amp;sheet=A0&amp;row=501&amp;col=7&amp;number=0&amp;sourceID=14","0")</f>
        <v>0</v>
      </c>
    </row>
    <row r="502" spans="1:7">
      <c r="A502" s="3">
        <v>10</v>
      </c>
      <c r="B502" s="3">
        <v>5</v>
      </c>
      <c r="C502" s="3">
        <v>53</v>
      </c>
      <c r="D502" s="3">
        <v>8</v>
      </c>
      <c r="E502" s="3">
        <v>140.963</v>
      </c>
      <c r="F502" s="4" t="str">
        <f>HYPERLINK("http://141.218.60.56/~jnz1568/getInfo.php?workbook=10_05.xlsx&amp;sheet=A0&amp;row=502&amp;col=6&amp;number=29300000000&amp;sourceID=14","29300000000")</f>
        <v>29300000000</v>
      </c>
      <c r="G502" s="4" t="str">
        <f>HYPERLINK("http://141.218.60.56/~jnz1568/getInfo.php?workbook=10_05.xlsx&amp;sheet=A0&amp;row=502&amp;col=7&amp;number=0&amp;sourceID=14","0")</f>
        <v>0</v>
      </c>
    </row>
    <row r="503" spans="1:7">
      <c r="A503" s="3">
        <v>10</v>
      </c>
      <c r="B503" s="3">
        <v>5</v>
      </c>
      <c r="C503" s="3">
        <v>56</v>
      </c>
      <c r="D503" s="3">
        <v>8</v>
      </c>
      <c r="E503" s="3">
        <v>138.63</v>
      </c>
      <c r="F503" s="4" t="str">
        <f>HYPERLINK("http://141.218.60.56/~jnz1568/getInfo.php?workbook=10_05.xlsx&amp;sheet=A0&amp;row=503&amp;col=6&amp;number=65300000000&amp;sourceID=14","65300000000")</f>
        <v>65300000000</v>
      </c>
      <c r="G503" s="4" t="str">
        <f>HYPERLINK("http://141.218.60.56/~jnz1568/getInfo.php?workbook=10_05.xlsx&amp;sheet=A0&amp;row=503&amp;col=7&amp;number=0&amp;sourceID=14","0")</f>
        <v>0</v>
      </c>
    </row>
    <row r="504" spans="1:7">
      <c r="A504" s="3">
        <v>10</v>
      </c>
      <c r="B504" s="3">
        <v>5</v>
      </c>
      <c r="C504" s="3">
        <v>57</v>
      </c>
      <c r="D504" s="3">
        <v>8</v>
      </c>
      <c r="E504" s="3">
        <v>138.551</v>
      </c>
      <c r="F504" s="4" t="str">
        <f>HYPERLINK("http://141.218.60.56/~jnz1568/getInfo.php?workbook=10_05.xlsx&amp;sheet=A0&amp;row=504&amp;col=6&amp;number=65200000000&amp;sourceID=14","65200000000")</f>
        <v>65200000000</v>
      </c>
      <c r="G504" s="4" t="str">
        <f>HYPERLINK("http://141.218.60.56/~jnz1568/getInfo.php?workbook=10_05.xlsx&amp;sheet=A0&amp;row=504&amp;col=7&amp;number=0&amp;sourceID=14","0")</f>
        <v>0</v>
      </c>
    </row>
    <row r="505" spans="1:7">
      <c r="A505" s="3">
        <v>10</v>
      </c>
      <c r="B505" s="3">
        <v>5</v>
      </c>
      <c r="C505" s="3">
        <v>64</v>
      </c>
      <c r="D505" s="3">
        <v>8</v>
      </c>
      <c r="E505" s="3">
        <v>-129.091</v>
      </c>
      <c r="F505" s="4" t="str">
        <f>HYPERLINK("http://141.218.60.56/~jnz1568/getInfo.php?workbook=10_05.xlsx&amp;sheet=A0&amp;row=505&amp;col=6&amp;number=84800000&amp;sourceID=14","84800000")</f>
        <v>84800000</v>
      </c>
      <c r="G505" s="4" t="str">
        <f>HYPERLINK("http://141.218.60.56/~jnz1568/getInfo.php?workbook=10_05.xlsx&amp;sheet=A0&amp;row=505&amp;col=7&amp;number=0&amp;sourceID=14","0")</f>
        <v>0</v>
      </c>
    </row>
    <row r="506" spans="1:7">
      <c r="A506" s="3">
        <v>10</v>
      </c>
      <c r="B506" s="3">
        <v>5</v>
      </c>
      <c r="C506" s="3">
        <v>65</v>
      </c>
      <c r="D506" s="3">
        <v>8</v>
      </c>
      <c r="E506" s="3">
        <v>-129.071</v>
      </c>
      <c r="F506" s="4" t="str">
        <f>HYPERLINK("http://141.218.60.56/~jnz1568/getInfo.php?workbook=10_05.xlsx&amp;sheet=A0&amp;row=506&amp;col=6&amp;number=137000000&amp;sourceID=14","137000000")</f>
        <v>137000000</v>
      </c>
      <c r="G506" s="4" t="str">
        <f>HYPERLINK("http://141.218.60.56/~jnz1568/getInfo.php?workbook=10_05.xlsx&amp;sheet=A0&amp;row=506&amp;col=7&amp;number=0&amp;sourceID=14","0")</f>
        <v>0</v>
      </c>
    </row>
    <row r="507" spans="1:7">
      <c r="A507" s="3">
        <v>10</v>
      </c>
      <c r="B507" s="3">
        <v>5</v>
      </c>
      <c r="C507" s="3">
        <v>73</v>
      </c>
      <c r="D507" s="3">
        <v>8</v>
      </c>
      <c r="E507" s="3">
        <v>125.117</v>
      </c>
      <c r="F507" s="4" t="str">
        <f>HYPERLINK("http://141.218.60.56/~jnz1568/getInfo.php?workbook=10_05.xlsx&amp;sheet=A0&amp;row=507&amp;col=6&amp;number=328000000&amp;sourceID=14","328000000")</f>
        <v>328000000</v>
      </c>
      <c r="G507" s="4" t="str">
        <f>HYPERLINK("http://141.218.60.56/~jnz1568/getInfo.php?workbook=10_05.xlsx&amp;sheet=A0&amp;row=507&amp;col=7&amp;number=0&amp;sourceID=14","0")</f>
        <v>0</v>
      </c>
    </row>
    <row r="508" spans="1:7">
      <c r="A508" s="3">
        <v>10</v>
      </c>
      <c r="B508" s="3">
        <v>5</v>
      </c>
      <c r="C508" s="3">
        <v>75</v>
      </c>
      <c r="D508" s="3">
        <v>8</v>
      </c>
      <c r="E508" s="3">
        <v>124.77</v>
      </c>
      <c r="F508" s="4" t="str">
        <f>HYPERLINK("http://141.218.60.56/~jnz1568/getInfo.php?workbook=10_05.xlsx&amp;sheet=A0&amp;row=508&amp;col=6&amp;number=54500000000&amp;sourceID=14","54500000000")</f>
        <v>54500000000</v>
      </c>
      <c r="G508" s="4" t="str">
        <f>HYPERLINK("http://141.218.60.56/~jnz1568/getInfo.php?workbook=10_05.xlsx&amp;sheet=A0&amp;row=508&amp;col=7&amp;number=0&amp;sourceID=14","0")</f>
        <v>0</v>
      </c>
    </row>
    <row r="509" spans="1:7">
      <c r="A509" s="3">
        <v>10</v>
      </c>
      <c r="B509" s="3">
        <v>5</v>
      </c>
      <c r="C509" s="3">
        <v>76</v>
      </c>
      <c r="D509" s="3">
        <v>8</v>
      </c>
      <c r="E509" s="3">
        <v>124.77</v>
      </c>
      <c r="F509" s="4" t="str">
        <f>HYPERLINK("http://141.218.60.56/~jnz1568/getInfo.php?workbook=10_05.xlsx&amp;sheet=A0&amp;row=509&amp;col=6&amp;number=46800000000&amp;sourceID=14","46800000000")</f>
        <v>46800000000</v>
      </c>
      <c r="G509" s="4" t="str">
        <f>HYPERLINK("http://141.218.60.56/~jnz1568/getInfo.php?workbook=10_05.xlsx&amp;sheet=A0&amp;row=509&amp;col=7&amp;number=0&amp;sourceID=14","0")</f>
        <v>0</v>
      </c>
    </row>
    <row r="510" spans="1:7">
      <c r="A510" s="3">
        <v>10</v>
      </c>
      <c r="B510" s="3">
        <v>5</v>
      </c>
      <c r="C510" s="3">
        <v>79</v>
      </c>
      <c r="D510" s="3">
        <v>8</v>
      </c>
      <c r="E510" s="3">
        <v>-121.341</v>
      </c>
      <c r="F510" s="4" t="str">
        <f>HYPERLINK("http://141.218.60.56/~jnz1568/getInfo.php?workbook=10_05.xlsx&amp;sheet=A0&amp;row=510&amp;col=6&amp;number=765000000&amp;sourceID=14","765000000")</f>
        <v>765000000</v>
      </c>
      <c r="G510" s="4" t="str">
        <f>HYPERLINK("http://141.218.60.56/~jnz1568/getInfo.php?workbook=10_05.xlsx&amp;sheet=A0&amp;row=510&amp;col=7&amp;number=0&amp;sourceID=14","0")</f>
        <v>0</v>
      </c>
    </row>
    <row r="511" spans="1:7">
      <c r="A511" s="3">
        <v>10</v>
      </c>
      <c r="B511" s="3">
        <v>5</v>
      </c>
      <c r="C511" s="3">
        <v>82</v>
      </c>
      <c r="D511" s="3">
        <v>8</v>
      </c>
      <c r="E511" s="3">
        <v>120.309</v>
      </c>
      <c r="F511" s="4" t="str">
        <f>HYPERLINK("http://141.218.60.56/~jnz1568/getInfo.php?workbook=10_05.xlsx&amp;sheet=A0&amp;row=511&amp;col=6&amp;number=14000000&amp;sourceID=14","14000000")</f>
        <v>14000000</v>
      </c>
      <c r="G511" s="4" t="str">
        <f>HYPERLINK("http://141.218.60.56/~jnz1568/getInfo.php?workbook=10_05.xlsx&amp;sheet=A0&amp;row=511&amp;col=7&amp;number=0&amp;sourceID=14","0")</f>
        <v>0</v>
      </c>
    </row>
    <row r="512" spans="1:7">
      <c r="A512" s="3">
        <v>10</v>
      </c>
      <c r="B512" s="3">
        <v>5</v>
      </c>
      <c r="C512" s="3">
        <v>83</v>
      </c>
      <c r="D512" s="3">
        <v>8</v>
      </c>
      <c r="E512" s="3">
        <v>120.309</v>
      </c>
      <c r="F512" s="4" t="str">
        <f>HYPERLINK("http://141.218.60.56/~jnz1568/getInfo.php?workbook=10_05.xlsx&amp;sheet=A0&amp;row=512&amp;col=6&amp;number=6120000&amp;sourceID=14","6120000")</f>
        <v>6120000</v>
      </c>
      <c r="G512" s="4" t="str">
        <f>HYPERLINK("http://141.218.60.56/~jnz1568/getInfo.php?workbook=10_05.xlsx&amp;sheet=A0&amp;row=512&amp;col=7&amp;number=0&amp;sourceID=14","0")</f>
        <v>0</v>
      </c>
    </row>
    <row r="513" spans="1:7">
      <c r="A513" s="3">
        <v>10</v>
      </c>
      <c r="B513" s="3">
        <v>5</v>
      </c>
      <c r="C513" s="3">
        <v>88</v>
      </c>
      <c r="D513" s="3">
        <v>8</v>
      </c>
      <c r="E513" s="3">
        <v>119.855</v>
      </c>
      <c r="F513" s="4" t="str">
        <f>HYPERLINK("http://141.218.60.56/~jnz1568/getInfo.php?workbook=10_05.xlsx&amp;sheet=A0&amp;row=513&amp;col=6&amp;number=1080000&amp;sourceID=14","1080000")</f>
        <v>1080000</v>
      </c>
      <c r="G513" s="4" t="str">
        <f>HYPERLINK("http://141.218.60.56/~jnz1568/getInfo.php?workbook=10_05.xlsx&amp;sheet=A0&amp;row=513&amp;col=7&amp;number=0&amp;sourceID=14","0")</f>
        <v>0</v>
      </c>
    </row>
    <row r="514" spans="1:7">
      <c r="A514" s="3">
        <v>10</v>
      </c>
      <c r="B514" s="3">
        <v>5</v>
      </c>
      <c r="C514" s="3">
        <v>89</v>
      </c>
      <c r="D514" s="3">
        <v>8</v>
      </c>
      <c r="E514" s="3">
        <v>119.802</v>
      </c>
      <c r="F514" s="4" t="str">
        <f>HYPERLINK("http://141.218.60.56/~jnz1568/getInfo.php?workbook=10_05.xlsx&amp;sheet=A0&amp;row=514&amp;col=6&amp;number=1030000&amp;sourceID=14","1030000")</f>
        <v>1030000</v>
      </c>
      <c r="G514" s="4" t="str">
        <f>HYPERLINK("http://141.218.60.56/~jnz1568/getInfo.php?workbook=10_05.xlsx&amp;sheet=A0&amp;row=514&amp;col=7&amp;number=0&amp;sourceID=14","0")</f>
        <v>0</v>
      </c>
    </row>
    <row r="515" spans="1:7">
      <c r="A515" s="3">
        <v>10</v>
      </c>
      <c r="B515" s="3">
        <v>5</v>
      </c>
      <c r="C515" s="3">
        <v>91</v>
      </c>
      <c r="D515" s="3">
        <v>8</v>
      </c>
      <c r="E515" s="3">
        <v>-118.601</v>
      </c>
      <c r="F515" s="4" t="str">
        <f>HYPERLINK("http://141.218.60.56/~jnz1568/getInfo.php?workbook=10_05.xlsx&amp;sheet=A0&amp;row=515&amp;col=6&amp;number=65600000&amp;sourceID=14","65600000")</f>
        <v>65600000</v>
      </c>
      <c r="G515" s="4" t="str">
        <f>HYPERLINK("http://141.218.60.56/~jnz1568/getInfo.php?workbook=10_05.xlsx&amp;sheet=A0&amp;row=515&amp;col=7&amp;number=0&amp;sourceID=14","0")</f>
        <v>0</v>
      </c>
    </row>
    <row r="516" spans="1:7">
      <c r="A516" s="3">
        <v>10</v>
      </c>
      <c r="B516" s="3">
        <v>5</v>
      </c>
      <c r="C516" s="3">
        <v>93</v>
      </c>
      <c r="D516" s="3">
        <v>8</v>
      </c>
      <c r="E516" s="3">
        <v>-117.404</v>
      </c>
      <c r="F516" s="4" t="str">
        <f>HYPERLINK("http://141.218.60.56/~jnz1568/getInfo.php?workbook=10_05.xlsx&amp;sheet=A0&amp;row=516&amp;col=6&amp;number=880000000&amp;sourceID=14","880000000")</f>
        <v>880000000</v>
      </c>
      <c r="G516" s="4" t="str">
        <f>HYPERLINK("http://141.218.60.56/~jnz1568/getInfo.php?workbook=10_05.xlsx&amp;sheet=A0&amp;row=516&amp;col=7&amp;number=0&amp;sourceID=14","0")</f>
        <v>0</v>
      </c>
    </row>
    <row r="517" spans="1:7">
      <c r="A517" s="3">
        <v>10</v>
      </c>
      <c r="B517" s="3">
        <v>5</v>
      </c>
      <c r="C517" s="3">
        <v>94</v>
      </c>
      <c r="D517" s="3">
        <v>8</v>
      </c>
      <c r="E517" s="3">
        <v>-117.383</v>
      </c>
      <c r="F517" s="4" t="str">
        <f>HYPERLINK("http://141.218.60.56/~jnz1568/getInfo.php?workbook=10_05.xlsx&amp;sheet=A0&amp;row=517&amp;col=6&amp;number=1410000000&amp;sourceID=14","1410000000")</f>
        <v>1410000000</v>
      </c>
      <c r="G517" s="4" t="str">
        <f>HYPERLINK("http://141.218.60.56/~jnz1568/getInfo.php?workbook=10_05.xlsx&amp;sheet=A0&amp;row=517&amp;col=7&amp;number=0&amp;sourceID=14","0")</f>
        <v>0</v>
      </c>
    </row>
    <row r="518" spans="1:7">
      <c r="A518" s="3">
        <v>10</v>
      </c>
      <c r="B518" s="3">
        <v>5</v>
      </c>
      <c r="C518" s="3">
        <v>95</v>
      </c>
      <c r="D518" s="3">
        <v>8</v>
      </c>
      <c r="E518" s="3">
        <v>117.346</v>
      </c>
      <c r="F518" s="4" t="str">
        <f>HYPERLINK("http://141.218.60.56/~jnz1568/getInfo.php?workbook=10_05.xlsx&amp;sheet=A0&amp;row=518&amp;col=6&amp;number=16800&amp;sourceID=14","16800")</f>
        <v>16800</v>
      </c>
      <c r="G518" s="4" t="str">
        <f>HYPERLINK("http://141.218.60.56/~jnz1568/getInfo.php?workbook=10_05.xlsx&amp;sheet=A0&amp;row=518&amp;col=7&amp;number=0&amp;sourceID=14","0")</f>
        <v>0</v>
      </c>
    </row>
    <row r="519" spans="1:7">
      <c r="A519" s="3">
        <v>10</v>
      </c>
      <c r="B519" s="3">
        <v>5</v>
      </c>
      <c r="C519" s="3">
        <v>98</v>
      </c>
      <c r="D519" s="3">
        <v>8</v>
      </c>
      <c r="E519" s="3">
        <v>-115.128</v>
      </c>
      <c r="F519" s="4" t="str">
        <f>HYPERLINK("http://141.218.60.56/~jnz1568/getInfo.php?workbook=10_05.xlsx&amp;sheet=A0&amp;row=519&amp;col=6&amp;number=1710000&amp;sourceID=14","1710000")</f>
        <v>1710000</v>
      </c>
      <c r="G519" s="4" t="str">
        <f>HYPERLINK("http://141.218.60.56/~jnz1568/getInfo.php?workbook=10_05.xlsx&amp;sheet=A0&amp;row=519&amp;col=7&amp;number=0&amp;sourceID=14","0")</f>
        <v>0</v>
      </c>
    </row>
    <row r="520" spans="1:7">
      <c r="A520" s="3">
        <v>10</v>
      </c>
      <c r="B520" s="3">
        <v>5</v>
      </c>
      <c r="C520" s="3">
        <v>101</v>
      </c>
      <c r="D520" s="3">
        <v>8</v>
      </c>
      <c r="E520" s="3">
        <v>-115.071</v>
      </c>
      <c r="F520" s="4" t="str">
        <f>HYPERLINK("http://141.218.60.56/~jnz1568/getInfo.php?workbook=10_05.xlsx&amp;sheet=A0&amp;row=520&amp;col=6&amp;number=3320000&amp;sourceID=14","3320000")</f>
        <v>3320000</v>
      </c>
      <c r="G520" s="4" t="str">
        <f>HYPERLINK("http://141.218.60.56/~jnz1568/getInfo.php?workbook=10_05.xlsx&amp;sheet=A0&amp;row=520&amp;col=7&amp;number=0&amp;sourceID=14","0")</f>
        <v>0</v>
      </c>
    </row>
    <row r="521" spans="1:7">
      <c r="A521" s="3">
        <v>10</v>
      </c>
      <c r="B521" s="3">
        <v>5</v>
      </c>
      <c r="C521" s="3">
        <v>110</v>
      </c>
      <c r="D521" s="3">
        <v>8</v>
      </c>
      <c r="E521" s="3">
        <v>-114.146</v>
      </c>
      <c r="F521" s="4" t="str">
        <f>HYPERLINK("http://141.218.60.56/~jnz1568/getInfo.php?workbook=10_05.xlsx&amp;sheet=A0&amp;row=521&amp;col=6&amp;number=3250000000&amp;sourceID=14","3250000000")</f>
        <v>3250000000</v>
      </c>
      <c r="G521" s="4" t="str">
        <f>HYPERLINK("http://141.218.60.56/~jnz1568/getInfo.php?workbook=10_05.xlsx&amp;sheet=A0&amp;row=521&amp;col=7&amp;number=0&amp;sourceID=14","0")</f>
        <v>0</v>
      </c>
    </row>
    <row r="522" spans="1:7">
      <c r="A522" s="3">
        <v>10</v>
      </c>
      <c r="B522" s="3">
        <v>5</v>
      </c>
      <c r="C522" s="3">
        <v>112</v>
      </c>
      <c r="D522" s="3">
        <v>8</v>
      </c>
      <c r="E522" s="3">
        <v>-114.06</v>
      </c>
      <c r="F522" s="4" t="str">
        <f>HYPERLINK("http://141.218.60.56/~jnz1568/getInfo.php?workbook=10_05.xlsx&amp;sheet=A0&amp;row=522&amp;col=6&amp;number=2810000000&amp;sourceID=14","2810000000")</f>
        <v>2810000000</v>
      </c>
      <c r="G522" s="4" t="str">
        <f>HYPERLINK("http://141.218.60.56/~jnz1568/getInfo.php?workbook=10_05.xlsx&amp;sheet=A0&amp;row=522&amp;col=7&amp;number=0&amp;sourceID=14","0")</f>
        <v>0</v>
      </c>
    </row>
    <row r="523" spans="1:7">
      <c r="A523" s="3">
        <v>10</v>
      </c>
      <c r="B523" s="3">
        <v>5</v>
      </c>
      <c r="C523" s="3">
        <v>114</v>
      </c>
      <c r="D523" s="3">
        <v>8</v>
      </c>
      <c r="E523" s="3">
        <v>113.96</v>
      </c>
      <c r="F523" s="4" t="str">
        <f>HYPERLINK("http://141.218.60.56/~jnz1568/getInfo.php?workbook=10_05.xlsx&amp;sheet=A0&amp;row=523&amp;col=6&amp;number=68600000&amp;sourceID=14","68600000")</f>
        <v>68600000</v>
      </c>
      <c r="G523" s="4" t="str">
        <f>HYPERLINK("http://141.218.60.56/~jnz1568/getInfo.php?workbook=10_05.xlsx&amp;sheet=A0&amp;row=523&amp;col=7&amp;number=0&amp;sourceID=14","0")</f>
        <v>0</v>
      </c>
    </row>
    <row r="524" spans="1:7">
      <c r="A524" s="3">
        <v>10</v>
      </c>
      <c r="B524" s="3">
        <v>5</v>
      </c>
      <c r="C524" s="3">
        <v>127</v>
      </c>
      <c r="D524" s="3">
        <v>8</v>
      </c>
      <c r="E524" s="3">
        <v>-112.345</v>
      </c>
      <c r="F524" s="4" t="str">
        <f>HYPERLINK("http://141.218.60.56/~jnz1568/getInfo.php?workbook=10_05.xlsx&amp;sheet=A0&amp;row=524&amp;col=6&amp;number=560000000&amp;sourceID=14","560000000")</f>
        <v>560000000</v>
      </c>
      <c r="G524" s="4" t="str">
        <f>HYPERLINK("http://141.218.60.56/~jnz1568/getInfo.php?workbook=10_05.xlsx&amp;sheet=A0&amp;row=524&amp;col=7&amp;number=0&amp;sourceID=14","0")</f>
        <v>0</v>
      </c>
    </row>
    <row r="525" spans="1:7">
      <c r="A525" s="3">
        <v>10</v>
      </c>
      <c r="B525" s="3">
        <v>5</v>
      </c>
      <c r="C525" s="3">
        <v>128</v>
      </c>
      <c r="D525" s="3">
        <v>8</v>
      </c>
      <c r="E525" s="3">
        <v>-112.289</v>
      </c>
      <c r="F525" s="4" t="str">
        <f>HYPERLINK("http://141.218.60.56/~jnz1568/getInfo.php?workbook=10_05.xlsx&amp;sheet=A0&amp;row=525&amp;col=6&amp;number=875000000&amp;sourceID=14","875000000")</f>
        <v>875000000</v>
      </c>
      <c r="G525" s="4" t="str">
        <f>HYPERLINK("http://141.218.60.56/~jnz1568/getInfo.php?workbook=10_05.xlsx&amp;sheet=A0&amp;row=525&amp;col=7&amp;number=0&amp;sourceID=14","0")</f>
        <v>0</v>
      </c>
    </row>
    <row r="526" spans="1:7">
      <c r="A526" s="3">
        <v>10</v>
      </c>
      <c r="B526" s="3">
        <v>5</v>
      </c>
      <c r="C526" s="3">
        <v>134</v>
      </c>
      <c r="D526" s="3">
        <v>8</v>
      </c>
      <c r="E526" s="3">
        <v>-111.727</v>
      </c>
      <c r="F526" s="4" t="str">
        <f>HYPERLINK("http://141.218.60.56/~jnz1568/getInfo.php?workbook=10_05.xlsx&amp;sheet=A0&amp;row=526&amp;col=6&amp;number=481000&amp;sourceID=14","481000")</f>
        <v>481000</v>
      </c>
      <c r="G526" s="4" t="str">
        <f>HYPERLINK("http://141.218.60.56/~jnz1568/getInfo.php?workbook=10_05.xlsx&amp;sheet=A0&amp;row=526&amp;col=7&amp;number=0&amp;sourceID=14","0")</f>
        <v>0</v>
      </c>
    </row>
    <row r="527" spans="1:7">
      <c r="A527" s="3">
        <v>10</v>
      </c>
      <c r="B527" s="3">
        <v>5</v>
      </c>
      <c r="C527" s="3">
        <v>141</v>
      </c>
      <c r="D527" s="3">
        <v>8</v>
      </c>
      <c r="E527" s="3">
        <v>-111.143</v>
      </c>
      <c r="F527" s="4" t="str">
        <f>HYPERLINK("http://141.218.60.56/~jnz1568/getInfo.php?workbook=10_05.xlsx&amp;sheet=A0&amp;row=527&amp;col=6&amp;number=23300000&amp;sourceID=14","23300000")</f>
        <v>23300000</v>
      </c>
      <c r="G527" s="4" t="str">
        <f>HYPERLINK("http://141.218.60.56/~jnz1568/getInfo.php?workbook=10_05.xlsx&amp;sheet=A0&amp;row=527&amp;col=7&amp;number=0&amp;sourceID=14","0")</f>
        <v>0</v>
      </c>
    </row>
    <row r="528" spans="1:7">
      <c r="A528" s="3">
        <v>10</v>
      </c>
      <c r="B528" s="3">
        <v>5</v>
      </c>
      <c r="C528" s="3">
        <v>142</v>
      </c>
      <c r="D528" s="3">
        <v>8</v>
      </c>
      <c r="E528" s="3">
        <v>111.137</v>
      </c>
      <c r="F528" s="4" t="str">
        <f>HYPERLINK("http://141.218.60.56/~jnz1568/getInfo.php?workbook=10_05.xlsx&amp;sheet=A0&amp;row=528&amp;col=6&amp;number=9570000&amp;sourceID=14","9570000")</f>
        <v>9570000</v>
      </c>
      <c r="G528" s="4" t="str">
        <f>HYPERLINK("http://141.218.60.56/~jnz1568/getInfo.php?workbook=10_05.xlsx&amp;sheet=A0&amp;row=528&amp;col=7&amp;number=0&amp;sourceID=14","0")</f>
        <v>0</v>
      </c>
    </row>
    <row r="529" spans="1:7">
      <c r="A529" s="3">
        <v>10</v>
      </c>
      <c r="B529" s="3">
        <v>5</v>
      </c>
      <c r="C529" s="3">
        <v>145</v>
      </c>
      <c r="D529" s="3">
        <v>8</v>
      </c>
      <c r="E529" s="3">
        <v>110.969</v>
      </c>
      <c r="F529" s="4" t="str">
        <f>HYPERLINK("http://141.218.60.56/~jnz1568/getInfo.php?workbook=10_05.xlsx&amp;sheet=A0&amp;row=529&amp;col=6&amp;number=234000000&amp;sourceID=14","234000000")</f>
        <v>234000000</v>
      </c>
      <c r="G529" s="4" t="str">
        <f>HYPERLINK("http://141.218.60.56/~jnz1568/getInfo.php?workbook=10_05.xlsx&amp;sheet=A0&amp;row=529&amp;col=7&amp;number=0&amp;sourceID=14","0")</f>
        <v>0</v>
      </c>
    </row>
    <row r="530" spans="1:7">
      <c r="A530" s="3">
        <v>10</v>
      </c>
      <c r="B530" s="3">
        <v>5</v>
      </c>
      <c r="C530" s="3">
        <v>148</v>
      </c>
      <c r="D530" s="3">
        <v>8</v>
      </c>
      <c r="E530" s="3">
        <v>110.884</v>
      </c>
      <c r="F530" s="4" t="str">
        <f>HYPERLINK("http://141.218.60.56/~jnz1568/getInfo.php?workbook=10_05.xlsx&amp;sheet=A0&amp;row=530&amp;col=6&amp;number=57800000&amp;sourceID=14","57800000")</f>
        <v>57800000</v>
      </c>
      <c r="G530" s="4" t="str">
        <f>HYPERLINK("http://141.218.60.56/~jnz1568/getInfo.php?workbook=10_05.xlsx&amp;sheet=A0&amp;row=530&amp;col=7&amp;number=0&amp;sourceID=14","0")</f>
        <v>0</v>
      </c>
    </row>
    <row r="531" spans="1:7">
      <c r="A531" s="3">
        <v>10</v>
      </c>
      <c r="B531" s="3">
        <v>5</v>
      </c>
      <c r="C531" s="3">
        <v>149</v>
      </c>
      <c r="D531" s="3">
        <v>8</v>
      </c>
      <c r="E531" s="3">
        <v>110.872</v>
      </c>
      <c r="F531" s="4" t="str">
        <f>HYPERLINK("http://141.218.60.56/~jnz1568/getInfo.php?workbook=10_05.xlsx&amp;sheet=A0&amp;row=531&amp;col=6&amp;number=1860000&amp;sourceID=14","1860000")</f>
        <v>1860000</v>
      </c>
      <c r="G531" s="4" t="str">
        <f>HYPERLINK("http://141.218.60.56/~jnz1568/getInfo.php?workbook=10_05.xlsx&amp;sheet=A0&amp;row=531&amp;col=7&amp;number=0&amp;sourceID=14","0")</f>
        <v>0</v>
      </c>
    </row>
    <row r="532" spans="1:7">
      <c r="A532" s="3">
        <v>10</v>
      </c>
      <c r="B532" s="3">
        <v>5</v>
      </c>
      <c r="C532" s="3">
        <v>158</v>
      </c>
      <c r="D532" s="3">
        <v>8</v>
      </c>
      <c r="E532" s="3">
        <v>-109.903</v>
      </c>
      <c r="F532" s="4" t="str">
        <f>HYPERLINK("http://141.218.60.56/~jnz1568/getInfo.php?workbook=10_05.xlsx&amp;sheet=A0&amp;row=532&amp;col=6&amp;number=46600000000&amp;sourceID=14","46600000000")</f>
        <v>46600000000</v>
      </c>
      <c r="G532" s="4" t="str">
        <f>HYPERLINK("http://141.218.60.56/~jnz1568/getInfo.php?workbook=10_05.xlsx&amp;sheet=A0&amp;row=532&amp;col=7&amp;number=0&amp;sourceID=14","0")</f>
        <v>0</v>
      </c>
    </row>
    <row r="533" spans="1:7">
      <c r="A533" s="3">
        <v>10</v>
      </c>
      <c r="B533" s="3">
        <v>5</v>
      </c>
      <c r="C533" s="3">
        <v>159</v>
      </c>
      <c r="D533" s="3">
        <v>8</v>
      </c>
      <c r="E533" s="3">
        <v>-109.851</v>
      </c>
      <c r="F533" s="4" t="str">
        <f>HYPERLINK("http://141.218.60.56/~jnz1568/getInfo.php?workbook=10_05.xlsx&amp;sheet=A0&amp;row=533&amp;col=6&amp;number=44200000000&amp;sourceID=14","44200000000")</f>
        <v>44200000000</v>
      </c>
      <c r="G533" s="4" t="str">
        <f>HYPERLINK("http://141.218.60.56/~jnz1568/getInfo.php?workbook=10_05.xlsx&amp;sheet=A0&amp;row=533&amp;col=7&amp;number=0&amp;sourceID=14","0")</f>
        <v>0</v>
      </c>
    </row>
    <row r="534" spans="1:7">
      <c r="A534" s="3">
        <v>10</v>
      </c>
      <c r="B534" s="3">
        <v>5</v>
      </c>
      <c r="C534" s="3">
        <v>164</v>
      </c>
      <c r="D534" s="3">
        <v>8</v>
      </c>
      <c r="E534" s="3">
        <v>-104.553</v>
      </c>
      <c r="F534" s="4" t="str">
        <f>HYPERLINK("http://141.218.60.56/~jnz1568/getInfo.php?workbook=10_05.xlsx&amp;sheet=A0&amp;row=534&amp;col=6&amp;number=19800000000&amp;sourceID=14","19800000000")</f>
        <v>19800000000</v>
      </c>
      <c r="G534" s="4" t="str">
        <f>HYPERLINK("http://141.218.60.56/~jnz1568/getInfo.php?workbook=10_05.xlsx&amp;sheet=A0&amp;row=534&amp;col=7&amp;number=0&amp;sourceID=14","0")</f>
        <v>0</v>
      </c>
    </row>
    <row r="535" spans="1:7">
      <c r="A535" s="3">
        <v>10</v>
      </c>
      <c r="B535" s="3">
        <v>5</v>
      </c>
      <c r="C535" s="3">
        <v>165</v>
      </c>
      <c r="D535" s="3">
        <v>8</v>
      </c>
      <c r="E535" s="3">
        <v>-104.538</v>
      </c>
      <c r="F535" s="4" t="str">
        <f>HYPERLINK("http://141.218.60.56/~jnz1568/getInfo.php?workbook=10_05.xlsx&amp;sheet=A0&amp;row=535&amp;col=6&amp;number=21100000000&amp;sourceID=14","21100000000")</f>
        <v>21100000000</v>
      </c>
      <c r="G535" s="4" t="str">
        <f>HYPERLINK("http://141.218.60.56/~jnz1568/getInfo.php?workbook=10_05.xlsx&amp;sheet=A0&amp;row=535&amp;col=7&amp;number=0&amp;sourceID=14","0")</f>
        <v>0</v>
      </c>
    </row>
    <row r="536" spans="1:7">
      <c r="A536" s="3">
        <v>10</v>
      </c>
      <c r="B536" s="3">
        <v>5</v>
      </c>
      <c r="C536" s="3">
        <v>166</v>
      </c>
      <c r="D536" s="3">
        <v>8</v>
      </c>
      <c r="E536" s="3">
        <v>-101.66</v>
      </c>
      <c r="F536" s="4" t="str">
        <f>HYPERLINK("http://141.218.60.56/~jnz1568/getInfo.php?workbook=10_05.xlsx&amp;sheet=A0&amp;row=536&amp;col=6&amp;number=36500000&amp;sourceID=14","36500000")</f>
        <v>36500000</v>
      </c>
      <c r="G536" s="4" t="str">
        <f>HYPERLINK("http://141.218.60.56/~jnz1568/getInfo.php?workbook=10_05.xlsx&amp;sheet=A0&amp;row=536&amp;col=7&amp;number=0&amp;sourceID=14","0")</f>
        <v>0</v>
      </c>
    </row>
    <row r="537" spans="1:7">
      <c r="A537" s="3">
        <v>10</v>
      </c>
      <c r="B537" s="3">
        <v>5</v>
      </c>
      <c r="C537" s="3">
        <v>167</v>
      </c>
      <c r="D537" s="3">
        <v>8</v>
      </c>
      <c r="E537" s="3">
        <v>-101.656</v>
      </c>
      <c r="F537" s="4" t="str">
        <f>HYPERLINK("http://141.218.60.56/~jnz1568/getInfo.php?workbook=10_05.xlsx&amp;sheet=A0&amp;row=537&amp;col=6&amp;number=5990000&amp;sourceID=14","5990000")</f>
        <v>5990000</v>
      </c>
      <c r="G537" s="4" t="str">
        <f>HYPERLINK("http://141.218.60.56/~jnz1568/getInfo.php?workbook=10_05.xlsx&amp;sheet=A0&amp;row=537&amp;col=7&amp;number=0&amp;sourceID=14","0")</f>
        <v>0</v>
      </c>
    </row>
    <row r="538" spans="1:7">
      <c r="A538" s="3">
        <v>10</v>
      </c>
      <c r="B538" s="3">
        <v>5</v>
      </c>
      <c r="C538" s="3">
        <v>177</v>
      </c>
      <c r="D538" s="3">
        <v>8</v>
      </c>
      <c r="E538" s="3">
        <v>-98.418</v>
      </c>
      <c r="F538" s="4" t="str">
        <f>HYPERLINK("http://141.218.60.56/~jnz1568/getInfo.php?workbook=10_05.xlsx&amp;sheet=A0&amp;row=538&amp;col=6&amp;number=130000000&amp;sourceID=14","130000000")</f>
        <v>130000000</v>
      </c>
      <c r="G538" s="4" t="str">
        <f>HYPERLINK("http://141.218.60.56/~jnz1568/getInfo.php?workbook=10_05.xlsx&amp;sheet=A0&amp;row=538&amp;col=7&amp;number=0&amp;sourceID=14","0")</f>
        <v>0</v>
      </c>
    </row>
    <row r="539" spans="1:7">
      <c r="A539" s="3">
        <v>10</v>
      </c>
      <c r="B539" s="3">
        <v>5</v>
      </c>
      <c r="C539" s="3">
        <v>179</v>
      </c>
      <c r="D539" s="3">
        <v>8</v>
      </c>
      <c r="E539" s="3">
        <v>-98.023</v>
      </c>
      <c r="F539" s="4" t="str">
        <f>HYPERLINK("http://141.218.60.56/~jnz1568/getInfo.php?workbook=10_05.xlsx&amp;sheet=A0&amp;row=539&amp;col=6&amp;number=20300000000&amp;sourceID=14","20300000000")</f>
        <v>20300000000</v>
      </c>
      <c r="G539" s="4" t="str">
        <f>HYPERLINK("http://141.218.60.56/~jnz1568/getInfo.php?workbook=10_05.xlsx&amp;sheet=A0&amp;row=539&amp;col=7&amp;number=0&amp;sourceID=14","0")</f>
        <v>0</v>
      </c>
    </row>
    <row r="540" spans="1:7">
      <c r="A540" s="3">
        <v>10</v>
      </c>
      <c r="B540" s="3">
        <v>5</v>
      </c>
      <c r="C540" s="3">
        <v>180</v>
      </c>
      <c r="D540" s="3">
        <v>8</v>
      </c>
      <c r="E540" s="3">
        <v>-98.019</v>
      </c>
      <c r="F540" s="4" t="str">
        <f>HYPERLINK("http://141.218.60.56/~jnz1568/getInfo.php?workbook=10_05.xlsx&amp;sheet=A0&amp;row=540&amp;col=6&amp;number=17000000000&amp;sourceID=14","17000000000")</f>
        <v>17000000000</v>
      </c>
      <c r="G540" s="4" t="str">
        <f>HYPERLINK("http://141.218.60.56/~jnz1568/getInfo.php?workbook=10_05.xlsx&amp;sheet=A0&amp;row=540&amp;col=7&amp;number=0&amp;sourceID=14","0")</f>
        <v>0</v>
      </c>
    </row>
    <row r="541" spans="1:7">
      <c r="A541" s="3">
        <v>10</v>
      </c>
      <c r="B541" s="3">
        <v>5</v>
      </c>
      <c r="C541" s="3">
        <v>11</v>
      </c>
      <c r="D541" s="3">
        <v>9</v>
      </c>
      <c r="E541" s="3">
        <v>1382.44</v>
      </c>
      <c r="F541" s="4" t="str">
        <f>HYPERLINK("http://141.218.60.56/~jnz1568/getInfo.php?workbook=10_05.xlsx&amp;sheet=A0&amp;row=541&amp;col=6&amp;number=2470&amp;sourceID=14","2470")</f>
        <v>2470</v>
      </c>
      <c r="G541" s="4" t="str">
        <f>HYPERLINK("http://141.218.60.56/~jnz1568/getInfo.php?workbook=10_05.xlsx&amp;sheet=A0&amp;row=541&amp;col=7&amp;number=0&amp;sourceID=14","0")</f>
        <v>0</v>
      </c>
    </row>
    <row r="542" spans="1:7">
      <c r="A542" s="3">
        <v>10</v>
      </c>
      <c r="B542" s="3">
        <v>5</v>
      </c>
      <c r="C542" s="3">
        <v>12</v>
      </c>
      <c r="D542" s="3">
        <v>9</v>
      </c>
      <c r="E542" s="3">
        <v>906.365</v>
      </c>
      <c r="F542" s="4" t="str">
        <f>HYPERLINK("http://141.218.60.56/~jnz1568/getInfo.php?workbook=10_05.xlsx&amp;sheet=A0&amp;row=542&amp;col=6&amp;number=423000000&amp;sourceID=14","423000000")</f>
        <v>423000000</v>
      </c>
      <c r="G542" s="4" t="str">
        <f>HYPERLINK("http://141.218.60.56/~jnz1568/getInfo.php?workbook=10_05.xlsx&amp;sheet=A0&amp;row=542&amp;col=7&amp;number=0&amp;sourceID=14","0")</f>
        <v>0</v>
      </c>
    </row>
    <row r="543" spans="1:7">
      <c r="A543" s="3">
        <v>10</v>
      </c>
      <c r="B543" s="3">
        <v>5</v>
      </c>
      <c r="C543" s="3">
        <v>14</v>
      </c>
      <c r="D543" s="3">
        <v>9</v>
      </c>
      <c r="E543" s="3">
        <v>638.053</v>
      </c>
      <c r="F543" s="4" t="str">
        <f>HYPERLINK("http://141.218.60.56/~jnz1568/getInfo.php?workbook=10_05.xlsx&amp;sheet=A0&amp;row=543&amp;col=6&amp;number=1610000000&amp;sourceID=14","1610000000")</f>
        <v>1610000000</v>
      </c>
      <c r="G543" s="4" t="str">
        <f>HYPERLINK("http://141.218.60.56/~jnz1568/getInfo.php?workbook=10_05.xlsx&amp;sheet=A0&amp;row=543&amp;col=7&amp;number=0&amp;sourceID=14","0")</f>
        <v>0</v>
      </c>
    </row>
    <row r="544" spans="1:7">
      <c r="A544" s="3">
        <v>10</v>
      </c>
      <c r="B544" s="3">
        <v>5</v>
      </c>
      <c r="C544" s="3">
        <v>15</v>
      </c>
      <c r="D544" s="3">
        <v>9</v>
      </c>
      <c r="E544" s="3">
        <v>637.87</v>
      </c>
      <c r="F544" s="4" t="str">
        <f>HYPERLINK("http://141.218.60.56/~jnz1568/getInfo.php?workbook=10_05.xlsx&amp;sheet=A0&amp;row=544&amp;col=6&amp;number=310000000&amp;sourceID=14","310000000")</f>
        <v>310000000</v>
      </c>
      <c r="G544" s="4" t="str">
        <f>HYPERLINK("http://141.218.60.56/~jnz1568/getInfo.php?workbook=10_05.xlsx&amp;sheet=A0&amp;row=544&amp;col=7&amp;number=0&amp;sourceID=14","0")</f>
        <v>0</v>
      </c>
    </row>
    <row r="545" spans="1:7">
      <c r="A545" s="3">
        <v>10</v>
      </c>
      <c r="B545" s="3">
        <v>5</v>
      </c>
      <c r="C545" s="3">
        <v>17</v>
      </c>
      <c r="D545" s="3">
        <v>9</v>
      </c>
      <c r="E545" s="3">
        <v>191.588</v>
      </c>
      <c r="F545" s="4" t="str">
        <f>HYPERLINK("http://141.218.60.56/~jnz1568/getInfo.php?workbook=10_05.xlsx&amp;sheet=A0&amp;row=545&amp;col=6&amp;number=33800000&amp;sourceID=14","33800000")</f>
        <v>33800000</v>
      </c>
      <c r="G545" s="4" t="str">
        <f>HYPERLINK("http://141.218.60.56/~jnz1568/getInfo.php?workbook=10_05.xlsx&amp;sheet=A0&amp;row=545&amp;col=7&amp;number=0&amp;sourceID=14","0")</f>
        <v>0</v>
      </c>
    </row>
    <row r="546" spans="1:7">
      <c r="A546" s="3">
        <v>10</v>
      </c>
      <c r="B546" s="3">
        <v>5</v>
      </c>
      <c r="C546" s="3">
        <v>18</v>
      </c>
      <c r="D546" s="3">
        <v>9</v>
      </c>
      <c r="E546" s="3">
        <v>191.47</v>
      </c>
      <c r="F546" s="4" t="str">
        <f>HYPERLINK("http://141.218.60.56/~jnz1568/getInfo.php?workbook=10_05.xlsx&amp;sheet=A0&amp;row=546&amp;col=6&amp;number=2090000&amp;sourceID=14","2090000")</f>
        <v>2090000</v>
      </c>
      <c r="G546" s="4" t="str">
        <f>HYPERLINK("http://141.218.60.56/~jnz1568/getInfo.php?workbook=10_05.xlsx&amp;sheet=A0&amp;row=546&amp;col=7&amp;number=0&amp;sourceID=14","0")</f>
        <v>0</v>
      </c>
    </row>
    <row r="547" spans="1:7">
      <c r="A547" s="3">
        <v>10</v>
      </c>
      <c r="B547" s="3">
        <v>5</v>
      </c>
      <c r="C547" s="3">
        <v>21</v>
      </c>
      <c r="D547" s="3">
        <v>9</v>
      </c>
      <c r="E547" s="3">
        <v>171.148</v>
      </c>
      <c r="F547" s="4" t="str">
        <f>HYPERLINK("http://141.218.60.56/~jnz1568/getInfo.php?workbook=10_05.xlsx&amp;sheet=A0&amp;row=547&amp;col=6&amp;number=29700&amp;sourceID=14","29700")</f>
        <v>29700</v>
      </c>
      <c r="G547" s="4" t="str">
        <f>HYPERLINK("http://141.218.60.56/~jnz1568/getInfo.php?workbook=10_05.xlsx&amp;sheet=A0&amp;row=547&amp;col=7&amp;number=0&amp;sourceID=14","0")</f>
        <v>0</v>
      </c>
    </row>
    <row r="548" spans="1:7">
      <c r="A548" s="3">
        <v>10</v>
      </c>
      <c r="B548" s="3">
        <v>5</v>
      </c>
      <c r="C548" s="3">
        <v>22</v>
      </c>
      <c r="D548" s="3">
        <v>9</v>
      </c>
      <c r="E548" s="3">
        <v>171.008</v>
      </c>
      <c r="F548" s="4" t="str">
        <f>HYPERLINK("http://141.218.60.56/~jnz1568/getInfo.php?workbook=10_05.xlsx&amp;sheet=A0&amp;row=548&amp;col=6&amp;number=24100&amp;sourceID=14","24100")</f>
        <v>24100</v>
      </c>
      <c r="G548" s="4" t="str">
        <f>HYPERLINK("http://141.218.60.56/~jnz1568/getInfo.php?workbook=10_05.xlsx&amp;sheet=A0&amp;row=548&amp;col=7&amp;number=0&amp;sourceID=14","0")</f>
        <v>0</v>
      </c>
    </row>
    <row r="549" spans="1:7">
      <c r="A549" s="3">
        <v>10</v>
      </c>
      <c r="B549" s="3">
        <v>5</v>
      </c>
      <c r="C549" s="3">
        <v>24</v>
      </c>
      <c r="D549" s="3">
        <v>9</v>
      </c>
      <c r="E549" s="3">
        <v>164.892</v>
      </c>
      <c r="F549" s="4" t="str">
        <f>HYPERLINK("http://141.218.60.56/~jnz1568/getInfo.php?workbook=10_05.xlsx&amp;sheet=A0&amp;row=549&amp;col=6&amp;number=995000000&amp;sourceID=14","995000000")</f>
        <v>995000000</v>
      </c>
      <c r="G549" s="4" t="str">
        <f>HYPERLINK("http://141.218.60.56/~jnz1568/getInfo.php?workbook=10_05.xlsx&amp;sheet=A0&amp;row=549&amp;col=7&amp;number=0&amp;sourceID=14","0")</f>
        <v>0</v>
      </c>
    </row>
    <row r="550" spans="1:7">
      <c r="A550" s="3">
        <v>10</v>
      </c>
      <c r="B550" s="3">
        <v>5</v>
      </c>
      <c r="C550" s="3">
        <v>25</v>
      </c>
      <c r="D550" s="3">
        <v>9</v>
      </c>
      <c r="E550" s="3">
        <v>164.669</v>
      </c>
      <c r="F550" s="4" t="str">
        <f>HYPERLINK("http://141.218.60.56/~jnz1568/getInfo.php?workbook=10_05.xlsx&amp;sheet=A0&amp;row=550&amp;col=6&amp;number=463000000&amp;sourceID=14","463000000")</f>
        <v>463000000</v>
      </c>
      <c r="G550" s="4" t="str">
        <f>HYPERLINK("http://141.218.60.56/~jnz1568/getInfo.php?workbook=10_05.xlsx&amp;sheet=A0&amp;row=550&amp;col=7&amp;number=0&amp;sourceID=14","0")</f>
        <v>0</v>
      </c>
    </row>
    <row r="551" spans="1:7">
      <c r="A551" s="3">
        <v>10</v>
      </c>
      <c r="B551" s="3">
        <v>5</v>
      </c>
      <c r="C551" s="3">
        <v>38</v>
      </c>
      <c r="D551" s="3">
        <v>9</v>
      </c>
      <c r="E551" s="3">
        <v>-150.335</v>
      </c>
      <c r="F551" s="4" t="str">
        <f>HYPERLINK("http://141.218.60.56/~jnz1568/getInfo.php?workbook=10_05.xlsx&amp;sheet=A0&amp;row=551&amp;col=6&amp;number=3480000&amp;sourceID=14","3480000")</f>
        <v>3480000</v>
      </c>
      <c r="G551" s="4" t="str">
        <f>HYPERLINK("http://141.218.60.56/~jnz1568/getInfo.php?workbook=10_05.xlsx&amp;sheet=A0&amp;row=551&amp;col=7&amp;number=0&amp;sourceID=14","0")</f>
        <v>0</v>
      </c>
    </row>
    <row r="552" spans="1:7">
      <c r="A552" s="3">
        <v>10</v>
      </c>
      <c r="B552" s="3">
        <v>5</v>
      </c>
      <c r="C552" s="3">
        <v>43</v>
      </c>
      <c r="D552" s="3">
        <v>9</v>
      </c>
      <c r="E552" s="3">
        <v>147.713</v>
      </c>
      <c r="F552" s="4" t="str">
        <f>HYPERLINK("http://141.218.60.56/~jnz1568/getInfo.php?workbook=10_05.xlsx&amp;sheet=A0&amp;row=552&amp;col=6&amp;number=1290000&amp;sourceID=14","1290000")</f>
        <v>1290000</v>
      </c>
      <c r="G552" s="4" t="str">
        <f>HYPERLINK("http://141.218.60.56/~jnz1568/getInfo.php?workbook=10_05.xlsx&amp;sheet=A0&amp;row=552&amp;col=7&amp;number=0&amp;sourceID=14","0")</f>
        <v>0</v>
      </c>
    </row>
    <row r="553" spans="1:7">
      <c r="A553" s="3">
        <v>10</v>
      </c>
      <c r="B553" s="3">
        <v>5</v>
      </c>
      <c r="C553" s="3">
        <v>44</v>
      </c>
      <c r="D553" s="3">
        <v>9</v>
      </c>
      <c r="E553" s="3">
        <v>147.691</v>
      </c>
      <c r="F553" s="4" t="str">
        <f>HYPERLINK("http://141.218.60.56/~jnz1568/getInfo.php?workbook=10_05.xlsx&amp;sheet=A0&amp;row=553&amp;col=6&amp;number=8840000&amp;sourceID=14","8840000")</f>
        <v>8840000</v>
      </c>
      <c r="G553" s="4" t="str">
        <f>HYPERLINK("http://141.218.60.56/~jnz1568/getInfo.php?workbook=10_05.xlsx&amp;sheet=A0&amp;row=553&amp;col=7&amp;number=0&amp;sourceID=14","0")</f>
        <v>0</v>
      </c>
    </row>
    <row r="554" spans="1:7">
      <c r="A554" s="3">
        <v>10</v>
      </c>
      <c r="B554" s="3">
        <v>5</v>
      </c>
      <c r="C554" s="3">
        <v>47</v>
      </c>
      <c r="D554" s="3">
        <v>9</v>
      </c>
      <c r="E554" s="3">
        <v>147.332</v>
      </c>
      <c r="F554" s="4" t="str">
        <f>HYPERLINK("http://141.218.60.56/~jnz1568/getInfo.php?workbook=10_05.xlsx&amp;sheet=A0&amp;row=554&amp;col=6&amp;number=15900000000&amp;sourceID=14","15900000000")</f>
        <v>15900000000</v>
      </c>
      <c r="G554" s="4" t="str">
        <f>HYPERLINK("http://141.218.60.56/~jnz1568/getInfo.php?workbook=10_05.xlsx&amp;sheet=A0&amp;row=554&amp;col=7&amp;number=0&amp;sourceID=14","0")</f>
        <v>0</v>
      </c>
    </row>
    <row r="555" spans="1:7">
      <c r="A555" s="3">
        <v>10</v>
      </c>
      <c r="B555" s="3">
        <v>5</v>
      </c>
      <c r="C555" s="3">
        <v>50</v>
      </c>
      <c r="D555" s="3">
        <v>9</v>
      </c>
      <c r="E555" s="3">
        <v>146.495</v>
      </c>
      <c r="F555" s="4" t="str">
        <f>HYPERLINK("http://141.218.60.56/~jnz1568/getInfo.php?workbook=10_05.xlsx&amp;sheet=A0&amp;row=555&amp;col=6&amp;number=58400000&amp;sourceID=14","58400000")</f>
        <v>58400000</v>
      </c>
      <c r="G555" s="4" t="str">
        <f>HYPERLINK("http://141.218.60.56/~jnz1568/getInfo.php?workbook=10_05.xlsx&amp;sheet=A0&amp;row=555&amp;col=7&amp;number=0&amp;sourceID=14","0")</f>
        <v>0</v>
      </c>
    </row>
    <row r="556" spans="1:7">
      <c r="A556" s="3">
        <v>10</v>
      </c>
      <c r="B556" s="3">
        <v>5</v>
      </c>
      <c r="C556" s="3">
        <v>51</v>
      </c>
      <c r="D556" s="3">
        <v>9</v>
      </c>
      <c r="E556" s="3">
        <v>146.441</v>
      </c>
      <c r="F556" s="4" t="str">
        <f>HYPERLINK("http://141.218.60.56/~jnz1568/getInfo.php?workbook=10_05.xlsx&amp;sheet=A0&amp;row=556&amp;col=6&amp;number=76600&amp;sourceID=14","76600")</f>
        <v>76600</v>
      </c>
      <c r="G556" s="4" t="str">
        <f>HYPERLINK("http://141.218.60.56/~jnz1568/getInfo.php?workbook=10_05.xlsx&amp;sheet=A0&amp;row=556&amp;col=7&amp;number=0&amp;sourceID=14","0")</f>
        <v>0</v>
      </c>
    </row>
    <row r="557" spans="1:7">
      <c r="A557" s="3">
        <v>10</v>
      </c>
      <c r="B557" s="3">
        <v>5</v>
      </c>
      <c r="C557" s="3">
        <v>52</v>
      </c>
      <c r="D557" s="3">
        <v>9</v>
      </c>
      <c r="E557" s="3">
        <v>144.722</v>
      </c>
      <c r="F557" s="4" t="str">
        <f>HYPERLINK("http://141.218.60.56/~jnz1568/getInfo.php?workbook=10_05.xlsx&amp;sheet=A0&amp;row=557&amp;col=6&amp;number=3790000000&amp;sourceID=14","3790000000")</f>
        <v>3790000000</v>
      </c>
      <c r="G557" s="4" t="str">
        <f>HYPERLINK("http://141.218.60.56/~jnz1568/getInfo.php?workbook=10_05.xlsx&amp;sheet=A0&amp;row=557&amp;col=7&amp;number=0&amp;sourceID=14","0")</f>
        <v>0</v>
      </c>
    </row>
    <row r="558" spans="1:7">
      <c r="A558" s="3">
        <v>10</v>
      </c>
      <c r="B558" s="3">
        <v>5</v>
      </c>
      <c r="C558" s="3">
        <v>53</v>
      </c>
      <c r="D558" s="3">
        <v>9</v>
      </c>
      <c r="E558" s="3">
        <v>144.722</v>
      </c>
      <c r="F558" s="4" t="str">
        <f>HYPERLINK("http://141.218.60.56/~jnz1568/getInfo.php?workbook=10_05.xlsx&amp;sheet=A0&amp;row=558&amp;col=6&amp;number=23000000000&amp;sourceID=14","23000000000")</f>
        <v>23000000000</v>
      </c>
      <c r="G558" s="4" t="str">
        <f>HYPERLINK("http://141.218.60.56/~jnz1568/getInfo.php?workbook=10_05.xlsx&amp;sheet=A0&amp;row=558&amp;col=7&amp;number=0&amp;sourceID=14","0")</f>
        <v>0</v>
      </c>
    </row>
    <row r="559" spans="1:7">
      <c r="A559" s="3">
        <v>10</v>
      </c>
      <c r="B559" s="3">
        <v>5</v>
      </c>
      <c r="C559" s="3">
        <v>56</v>
      </c>
      <c r="D559" s="3">
        <v>9</v>
      </c>
      <c r="E559" s="3">
        <v>142.264</v>
      </c>
      <c r="F559" s="4" t="str">
        <f>HYPERLINK("http://141.218.60.56/~jnz1568/getInfo.php?workbook=10_05.xlsx&amp;sheet=A0&amp;row=559&amp;col=6&amp;number=246000000&amp;sourceID=14","246000000")</f>
        <v>246000000</v>
      </c>
      <c r="G559" s="4" t="str">
        <f>HYPERLINK("http://141.218.60.56/~jnz1568/getInfo.php?workbook=10_05.xlsx&amp;sheet=A0&amp;row=559&amp;col=7&amp;number=0&amp;sourceID=14","0")</f>
        <v>0</v>
      </c>
    </row>
    <row r="560" spans="1:7">
      <c r="A560" s="3">
        <v>10</v>
      </c>
      <c r="B560" s="3">
        <v>5</v>
      </c>
      <c r="C560" s="3">
        <v>57</v>
      </c>
      <c r="D560" s="3">
        <v>9</v>
      </c>
      <c r="E560" s="3">
        <v>142.181</v>
      </c>
      <c r="F560" s="4" t="str">
        <f>HYPERLINK("http://141.218.60.56/~jnz1568/getInfo.php?workbook=10_05.xlsx&amp;sheet=A0&amp;row=560&amp;col=6&amp;number=5730000000&amp;sourceID=14","5730000000")</f>
        <v>5730000000</v>
      </c>
      <c r="G560" s="4" t="str">
        <f>HYPERLINK("http://141.218.60.56/~jnz1568/getInfo.php?workbook=10_05.xlsx&amp;sheet=A0&amp;row=560&amp;col=7&amp;number=0&amp;sourceID=14","0")</f>
        <v>0</v>
      </c>
    </row>
    <row r="561" spans="1:7">
      <c r="A561" s="3">
        <v>10</v>
      </c>
      <c r="B561" s="3">
        <v>5</v>
      </c>
      <c r="C561" s="3">
        <v>64</v>
      </c>
      <c r="D561" s="3">
        <v>9</v>
      </c>
      <c r="E561" s="3">
        <v>-132.239</v>
      </c>
      <c r="F561" s="4" t="str">
        <f>HYPERLINK("http://141.218.60.56/~jnz1568/getInfo.php?workbook=10_05.xlsx&amp;sheet=A0&amp;row=561&amp;col=6&amp;number=1310000000&amp;sourceID=14","1310000000")</f>
        <v>1310000000</v>
      </c>
      <c r="G561" s="4" t="str">
        <f>HYPERLINK("http://141.218.60.56/~jnz1568/getInfo.php?workbook=10_05.xlsx&amp;sheet=A0&amp;row=561&amp;col=7&amp;number=0&amp;sourceID=14","0")</f>
        <v>0</v>
      </c>
    </row>
    <row r="562" spans="1:7">
      <c r="A562" s="3">
        <v>10</v>
      </c>
      <c r="B562" s="3">
        <v>5</v>
      </c>
      <c r="C562" s="3">
        <v>65</v>
      </c>
      <c r="D562" s="3">
        <v>9</v>
      </c>
      <c r="E562" s="3">
        <v>-132.217</v>
      </c>
      <c r="F562" s="4" t="str">
        <f>HYPERLINK("http://141.218.60.56/~jnz1568/getInfo.php?workbook=10_05.xlsx&amp;sheet=A0&amp;row=562&amp;col=6&amp;number=294000000&amp;sourceID=14","294000000")</f>
        <v>294000000</v>
      </c>
      <c r="G562" s="4" t="str">
        <f>HYPERLINK("http://141.218.60.56/~jnz1568/getInfo.php?workbook=10_05.xlsx&amp;sheet=A0&amp;row=562&amp;col=7&amp;number=0&amp;sourceID=14","0")</f>
        <v>0</v>
      </c>
    </row>
    <row r="563" spans="1:7">
      <c r="A563" s="3">
        <v>10</v>
      </c>
      <c r="B563" s="3">
        <v>5</v>
      </c>
      <c r="C563" s="3">
        <v>73</v>
      </c>
      <c r="D563" s="3">
        <v>9</v>
      </c>
      <c r="E563" s="3">
        <v>128.069</v>
      </c>
      <c r="F563" s="4" t="str">
        <f>HYPERLINK("http://141.218.60.56/~jnz1568/getInfo.php?workbook=10_05.xlsx&amp;sheet=A0&amp;row=563&amp;col=6&amp;number=129000000000&amp;sourceID=14","129000000000")</f>
        <v>129000000000</v>
      </c>
      <c r="G563" s="4" t="str">
        <f>HYPERLINK("http://141.218.60.56/~jnz1568/getInfo.php?workbook=10_05.xlsx&amp;sheet=A0&amp;row=563&amp;col=7&amp;number=0&amp;sourceID=14","0")</f>
        <v>0</v>
      </c>
    </row>
    <row r="564" spans="1:7">
      <c r="A564" s="3">
        <v>10</v>
      </c>
      <c r="B564" s="3">
        <v>5</v>
      </c>
      <c r="C564" s="3">
        <v>75</v>
      </c>
      <c r="D564" s="3">
        <v>9</v>
      </c>
      <c r="E564" s="3">
        <v>127.706</v>
      </c>
      <c r="F564" s="4" t="str">
        <f>HYPERLINK("http://141.218.60.56/~jnz1568/getInfo.php?workbook=10_05.xlsx&amp;sheet=A0&amp;row=564&amp;col=6&amp;number=45600000000&amp;sourceID=14","45600000000")</f>
        <v>45600000000</v>
      </c>
      <c r="G564" s="4" t="str">
        <f>HYPERLINK("http://141.218.60.56/~jnz1568/getInfo.php?workbook=10_05.xlsx&amp;sheet=A0&amp;row=564&amp;col=7&amp;number=0&amp;sourceID=14","0")</f>
        <v>0</v>
      </c>
    </row>
    <row r="565" spans="1:7">
      <c r="A565" s="3">
        <v>10</v>
      </c>
      <c r="B565" s="3">
        <v>5</v>
      </c>
      <c r="C565" s="3">
        <v>76</v>
      </c>
      <c r="D565" s="3">
        <v>9</v>
      </c>
      <c r="E565" s="3">
        <v>127.706</v>
      </c>
      <c r="F565" s="4" t="str">
        <f>HYPERLINK("http://141.218.60.56/~jnz1568/getInfo.php?workbook=10_05.xlsx&amp;sheet=A0&amp;row=565&amp;col=6&amp;number=16500000000&amp;sourceID=14","16500000000")</f>
        <v>16500000000</v>
      </c>
      <c r="G565" s="4" t="str">
        <f>HYPERLINK("http://141.218.60.56/~jnz1568/getInfo.php?workbook=10_05.xlsx&amp;sheet=A0&amp;row=565&amp;col=7&amp;number=0&amp;sourceID=14","0")</f>
        <v>0</v>
      </c>
    </row>
    <row r="566" spans="1:7">
      <c r="A566" s="3">
        <v>10</v>
      </c>
      <c r="B566" s="3">
        <v>5</v>
      </c>
      <c r="C566" s="3">
        <v>79</v>
      </c>
      <c r="D566" s="3">
        <v>9</v>
      </c>
      <c r="E566" s="3">
        <v>-124.117</v>
      </c>
      <c r="F566" s="4" t="str">
        <f>HYPERLINK("http://141.218.60.56/~jnz1568/getInfo.php?workbook=10_05.xlsx&amp;sheet=A0&amp;row=566&amp;col=6&amp;number=19300000000&amp;sourceID=14","19300000000")</f>
        <v>19300000000</v>
      </c>
      <c r="G566" s="4" t="str">
        <f>HYPERLINK("http://141.218.60.56/~jnz1568/getInfo.php?workbook=10_05.xlsx&amp;sheet=A0&amp;row=566&amp;col=7&amp;number=0&amp;sourceID=14","0")</f>
        <v>0</v>
      </c>
    </row>
    <row r="567" spans="1:7">
      <c r="A567" s="3">
        <v>10</v>
      </c>
      <c r="B567" s="3">
        <v>5</v>
      </c>
      <c r="C567" s="3">
        <v>82</v>
      </c>
      <c r="D567" s="3">
        <v>9</v>
      </c>
      <c r="E567" s="3">
        <v>123.036</v>
      </c>
      <c r="F567" s="4" t="str">
        <f>HYPERLINK("http://141.218.60.56/~jnz1568/getInfo.php?workbook=10_05.xlsx&amp;sheet=A0&amp;row=567&amp;col=6&amp;number=2560000&amp;sourceID=14","2560000")</f>
        <v>2560000</v>
      </c>
      <c r="G567" s="4" t="str">
        <f>HYPERLINK("http://141.218.60.56/~jnz1568/getInfo.php?workbook=10_05.xlsx&amp;sheet=A0&amp;row=567&amp;col=7&amp;number=0&amp;sourceID=14","0")</f>
        <v>0</v>
      </c>
    </row>
    <row r="568" spans="1:7">
      <c r="A568" s="3">
        <v>10</v>
      </c>
      <c r="B568" s="3">
        <v>5</v>
      </c>
      <c r="C568" s="3">
        <v>83</v>
      </c>
      <c r="D568" s="3">
        <v>9</v>
      </c>
      <c r="E568" s="3">
        <v>123.036</v>
      </c>
      <c r="F568" s="4" t="str">
        <f>HYPERLINK("http://141.218.60.56/~jnz1568/getInfo.php?workbook=10_05.xlsx&amp;sheet=A0&amp;row=568&amp;col=6&amp;number=2680000&amp;sourceID=14","2680000")</f>
        <v>2680000</v>
      </c>
      <c r="G568" s="4" t="str">
        <f>HYPERLINK("http://141.218.60.56/~jnz1568/getInfo.php?workbook=10_05.xlsx&amp;sheet=A0&amp;row=568&amp;col=7&amp;number=0&amp;sourceID=14","0")</f>
        <v>0</v>
      </c>
    </row>
    <row r="569" spans="1:7">
      <c r="A569" s="3">
        <v>10</v>
      </c>
      <c r="B569" s="3">
        <v>5</v>
      </c>
      <c r="C569" s="3">
        <v>88</v>
      </c>
      <c r="D569" s="3">
        <v>9</v>
      </c>
      <c r="E569" s="3">
        <v>122.561</v>
      </c>
      <c r="F569" s="4" t="str">
        <f>HYPERLINK("http://141.218.60.56/~jnz1568/getInfo.php?workbook=10_05.xlsx&amp;sheet=A0&amp;row=569&amp;col=6&amp;number=32100000&amp;sourceID=14","32100000")</f>
        <v>32100000</v>
      </c>
      <c r="G569" s="4" t="str">
        <f>HYPERLINK("http://141.218.60.56/~jnz1568/getInfo.php?workbook=10_05.xlsx&amp;sheet=A0&amp;row=569&amp;col=7&amp;number=0&amp;sourceID=14","0")</f>
        <v>0</v>
      </c>
    </row>
    <row r="570" spans="1:7">
      <c r="A570" s="3">
        <v>10</v>
      </c>
      <c r="B570" s="3">
        <v>5</v>
      </c>
      <c r="C570" s="3">
        <v>89</v>
      </c>
      <c r="D570" s="3">
        <v>9</v>
      </c>
      <c r="E570" s="3">
        <v>122.506</v>
      </c>
      <c r="F570" s="4" t="str">
        <f>HYPERLINK("http://141.218.60.56/~jnz1568/getInfo.php?workbook=10_05.xlsx&amp;sheet=A0&amp;row=570&amp;col=6&amp;number=20800000&amp;sourceID=14","20800000")</f>
        <v>20800000</v>
      </c>
      <c r="G570" s="4" t="str">
        <f>HYPERLINK("http://141.218.60.56/~jnz1568/getInfo.php?workbook=10_05.xlsx&amp;sheet=A0&amp;row=570&amp;col=7&amp;number=0&amp;sourceID=14","0")</f>
        <v>0</v>
      </c>
    </row>
    <row r="571" spans="1:7">
      <c r="A571" s="3">
        <v>10</v>
      </c>
      <c r="B571" s="3">
        <v>5</v>
      </c>
      <c r="C571" s="3">
        <v>91</v>
      </c>
      <c r="D571" s="3">
        <v>9</v>
      </c>
      <c r="E571" s="3">
        <v>-121.252</v>
      </c>
      <c r="F571" s="4" t="str">
        <f>HYPERLINK("http://141.218.60.56/~jnz1568/getInfo.php?workbook=10_05.xlsx&amp;sheet=A0&amp;row=571&amp;col=6&amp;number=20200000000&amp;sourceID=14","20200000000")</f>
        <v>20200000000</v>
      </c>
      <c r="G571" s="4" t="str">
        <f>HYPERLINK("http://141.218.60.56/~jnz1568/getInfo.php?workbook=10_05.xlsx&amp;sheet=A0&amp;row=571&amp;col=7&amp;number=0&amp;sourceID=14","0")</f>
        <v>0</v>
      </c>
    </row>
    <row r="572" spans="1:7">
      <c r="A572" s="3">
        <v>10</v>
      </c>
      <c r="B572" s="3">
        <v>5</v>
      </c>
      <c r="C572" s="3">
        <v>93</v>
      </c>
      <c r="D572" s="3">
        <v>9</v>
      </c>
      <c r="E572" s="3">
        <v>-120.002</v>
      </c>
      <c r="F572" s="4" t="str">
        <f>HYPERLINK("http://141.218.60.56/~jnz1568/getInfo.php?workbook=10_05.xlsx&amp;sheet=A0&amp;row=572&amp;col=6&amp;number=11700000000&amp;sourceID=14","11700000000")</f>
        <v>11700000000</v>
      </c>
      <c r="G572" s="4" t="str">
        <f>HYPERLINK("http://141.218.60.56/~jnz1568/getInfo.php?workbook=10_05.xlsx&amp;sheet=A0&amp;row=572&amp;col=7&amp;number=0&amp;sourceID=14","0")</f>
        <v>0</v>
      </c>
    </row>
    <row r="573" spans="1:7">
      <c r="A573" s="3">
        <v>10</v>
      </c>
      <c r="B573" s="3">
        <v>5</v>
      </c>
      <c r="C573" s="3">
        <v>94</v>
      </c>
      <c r="D573" s="3">
        <v>9</v>
      </c>
      <c r="E573" s="3">
        <v>-119.98</v>
      </c>
      <c r="F573" s="4" t="str">
        <f>HYPERLINK("http://141.218.60.56/~jnz1568/getInfo.php?workbook=10_05.xlsx&amp;sheet=A0&amp;row=573&amp;col=6&amp;number=2990000000&amp;sourceID=14","2990000000")</f>
        <v>2990000000</v>
      </c>
      <c r="G573" s="4" t="str">
        <f>HYPERLINK("http://141.218.60.56/~jnz1568/getInfo.php?workbook=10_05.xlsx&amp;sheet=A0&amp;row=573&amp;col=7&amp;number=0&amp;sourceID=14","0")</f>
        <v>0</v>
      </c>
    </row>
    <row r="574" spans="1:7">
      <c r="A574" s="3">
        <v>10</v>
      </c>
      <c r="B574" s="3">
        <v>5</v>
      </c>
      <c r="C574" s="3">
        <v>95</v>
      </c>
      <c r="D574" s="3">
        <v>9</v>
      </c>
      <c r="E574" s="3">
        <v>119.939</v>
      </c>
      <c r="F574" s="4" t="str">
        <f>HYPERLINK("http://141.218.60.56/~jnz1568/getInfo.php?workbook=10_05.xlsx&amp;sheet=A0&amp;row=574&amp;col=6&amp;number=284000&amp;sourceID=14","284000")</f>
        <v>284000</v>
      </c>
      <c r="G574" s="4" t="str">
        <f>HYPERLINK("http://141.218.60.56/~jnz1568/getInfo.php?workbook=10_05.xlsx&amp;sheet=A0&amp;row=574&amp;col=7&amp;number=0&amp;sourceID=14","0")</f>
        <v>0</v>
      </c>
    </row>
    <row r="575" spans="1:7">
      <c r="A575" s="3">
        <v>10</v>
      </c>
      <c r="B575" s="3">
        <v>5</v>
      </c>
      <c r="C575" s="3">
        <v>98</v>
      </c>
      <c r="D575" s="3">
        <v>9</v>
      </c>
      <c r="E575" s="3">
        <v>-117.625</v>
      </c>
      <c r="F575" s="4" t="str">
        <f>HYPERLINK("http://141.218.60.56/~jnz1568/getInfo.php?workbook=10_05.xlsx&amp;sheet=A0&amp;row=575&amp;col=6&amp;number=4100000&amp;sourceID=14","4100000")</f>
        <v>4100000</v>
      </c>
      <c r="G575" s="4" t="str">
        <f>HYPERLINK("http://141.218.60.56/~jnz1568/getInfo.php?workbook=10_05.xlsx&amp;sheet=A0&amp;row=575&amp;col=7&amp;number=0&amp;sourceID=14","0")</f>
        <v>0</v>
      </c>
    </row>
    <row r="576" spans="1:7">
      <c r="A576" s="3">
        <v>10</v>
      </c>
      <c r="B576" s="3">
        <v>5</v>
      </c>
      <c r="C576" s="3">
        <v>101</v>
      </c>
      <c r="D576" s="3">
        <v>9</v>
      </c>
      <c r="E576" s="3">
        <v>-117.566</v>
      </c>
      <c r="F576" s="4" t="str">
        <f>HYPERLINK("http://141.218.60.56/~jnz1568/getInfo.php?workbook=10_05.xlsx&amp;sheet=A0&amp;row=576&amp;col=6&amp;number=1500000&amp;sourceID=14","1500000")</f>
        <v>1500000</v>
      </c>
      <c r="G576" s="4" t="str">
        <f>HYPERLINK("http://141.218.60.56/~jnz1568/getInfo.php?workbook=10_05.xlsx&amp;sheet=A0&amp;row=576&amp;col=7&amp;number=0&amp;sourceID=14","0")</f>
        <v>0</v>
      </c>
    </row>
    <row r="577" spans="1:7">
      <c r="A577" s="3">
        <v>10</v>
      </c>
      <c r="B577" s="3">
        <v>5</v>
      </c>
      <c r="C577" s="3">
        <v>110</v>
      </c>
      <c r="D577" s="3">
        <v>9</v>
      </c>
      <c r="E577" s="3">
        <v>-116.599</v>
      </c>
      <c r="F577" s="4" t="str">
        <f>HYPERLINK("http://141.218.60.56/~jnz1568/getInfo.php?workbook=10_05.xlsx&amp;sheet=A0&amp;row=577&amp;col=6&amp;number=3080000000&amp;sourceID=14","3080000000")</f>
        <v>3080000000</v>
      </c>
      <c r="G577" s="4" t="str">
        <f>HYPERLINK("http://141.218.60.56/~jnz1568/getInfo.php?workbook=10_05.xlsx&amp;sheet=A0&amp;row=577&amp;col=7&amp;number=0&amp;sourceID=14","0")</f>
        <v>0</v>
      </c>
    </row>
    <row r="578" spans="1:7">
      <c r="A578" s="3">
        <v>10</v>
      </c>
      <c r="B578" s="3">
        <v>5</v>
      </c>
      <c r="C578" s="3">
        <v>112</v>
      </c>
      <c r="D578" s="3">
        <v>9</v>
      </c>
      <c r="E578" s="3">
        <v>-116.51</v>
      </c>
      <c r="F578" s="4" t="str">
        <f>HYPERLINK("http://141.218.60.56/~jnz1568/getInfo.php?workbook=10_05.xlsx&amp;sheet=A0&amp;row=578&amp;col=6&amp;number=990000000&amp;sourceID=14","990000000")</f>
        <v>990000000</v>
      </c>
      <c r="G578" s="4" t="str">
        <f>HYPERLINK("http://141.218.60.56/~jnz1568/getInfo.php?workbook=10_05.xlsx&amp;sheet=A0&amp;row=578&amp;col=7&amp;number=0&amp;sourceID=14","0")</f>
        <v>0</v>
      </c>
    </row>
    <row r="579" spans="1:7">
      <c r="A579" s="3">
        <v>10</v>
      </c>
      <c r="B579" s="3">
        <v>5</v>
      </c>
      <c r="C579" s="3">
        <v>114</v>
      </c>
      <c r="D579" s="3">
        <v>9</v>
      </c>
      <c r="E579" s="3">
        <v>116.404</v>
      </c>
      <c r="F579" s="4" t="str">
        <f>HYPERLINK("http://141.218.60.56/~jnz1568/getInfo.php?workbook=10_05.xlsx&amp;sheet=A0&amp;row=579&amp;col=6&amp;number=16700000000&amp;sourceID=14","16700000000")</f>
        <v>16700000000</v>
      </c>
      <c r="G579" s="4" t="str">
        <f>HYPERLINK("http://141.218.60.56/~jnz1568/getInfo.php?workbook=10_05.xlsx&amp;sheet=A0&amp;row=579&amp;col=7&amp;number=0&amp;sourceID=14","0")</f>
        <v>0</v>
      </c>
    </row>
    <row r="580" spans="1:7">
      <c r="A580" s="3">
        <v>10</v>
      </c>
      <c r="B580" s="3">
        <v>5</v>
      </c>
      <c r="C580" s="3">
        <v>127</v>
      </c>
      <c r="D580" s="3">
        <v>9</v>
      </c>
      <c r="E580" s="3">
        <v>-114.722</v>
      </c>
      <c r="F580" s="4" t="str">
        <f>HYPERLINK("http://141.218.60.56/~jnz1568/getInfo.php?workbook=10_05.xlsx&amp;sheet=A0&amp;row=580&amp;col=6&amp;number=3520000000&amp;sourceID=14","3520000000")</f>
        <v>3520000000</v>
      </c>
      <c r="G580" s="4" t="str">
        <f>HYPERLINK("http://141.218.60.56/~jnz1568/getInfo.php?workbook=10_05.xlsx&amp;sheet=A0&amp;row=580&amp;col=7&amp;number=0&amp;sourceID=14","0")</f>
        <v>0</v>
      </c>
    </row>
    <row r="581" spans="1:7">
      <c r="A581" s="3">
        <v>10</v>
      </c>
      <c r="B581" s="3">
        <v>5</v>
      </c>
      <c r="C581" s="3">
        <v>128</v>
      </c>
      <c r="D581" s="3">
        <v>9</v>
      </c>
      <c r="E581" s="3">
        <v>-114.663</v>
      </c>
      <c r="F581" s="4" t="str">
        <f>HYPERLINK("http://141.218.60.56/~jnz1568/getInfo.php?workbook=10_05.xlsx&amp;sheet=A0&amp;row=581&amp;col=6&amp;number=627000000&amp;sourceID=14","627000000")</f>
        <v>627000000</v>
      </c>
      <c r="G581" s="4" t="str">
        <f>HYPERLINK("http://141.218.60.56/~jnz1568/getInfo.php?workbook=10_05.xlsx&amp;sheet=A0&amp;row=581&amp;col=7&amp;number=0&amp;sourceID=14","0")</f>
        <v>0</v>
      </c>
    </row>
    <row r="582" spans="1:7">
      <c r="A582" s="3">
        <v>10</v>
      </c>
      <c r="B582" s="3">
        <v>5</v>
      </c>
      <c r="C582" s="3">
        <v>134</v>
      </c>
      <c r="D582" s="3">
        <v>9</v>
      </c>
      <c r="E582" s="3">
        <v>-114.077</v>
      </c>
      <c r="F582" s="4" t="str">
        <f>HYPERLINK("http://141.218.60.56/~jnz1568/getInfo.php?workbook=10_05.xlsx&amp;sheet=A0&amp;row=582&amp;col=6&amp;number=23000000&amp;sourceID=14","23000000")</f>
        <v>23000000</v>
      </c>
      <c r="G582" s="4" t="str">
        <f>HYPERLINK("http://141.218.60.56/~jnz1568/getInfo.php?workbook=10_05.xlsx&amp;sheet=A0&amp;row=582&amp;col=7&amp;number=0&amp;sourceID=14","0")</f>
        <v>0</v>
      </c>
    </row>
    <row r="583" spans="1:7">
      <c r="A583" s="3">
        <v>10</v>
      </c>
      <c r="B583" s="3">
        <v>5</v>
      </c>
      <c r="C583" s="3">
        <v>141</v>
      </c>
      <c r="D583" s="3">
        <v>9</v>
      </c>
      <c r="E583" s="3">
        <v>-113.468</v>
      </c>
      <c r="F583" s="4" t="str">
        <f>HYPERLINK("http://141.218.60.56/~jnz1568/getInfo.php?workbook=10_05.xlsx&amp;sheet=A0&amp;row=583&amp;col=6&amp;number=2040000&amp;sourceID=14","2040000")</f>
        <v>2040000</v>
      </c>
      <c r="G583" s="4" t="str">
        <f>HYPERLINK("http://141.218.60.56/~jnz1568/getInfo.php?workbook=10_05.xlsx&amp;sheet=A0&amp;row=583&amp;col=7&amp;number=0&amp;sourceID=14","0")</f>
        <v>0</v>
      </c>
    </row>
    <row r="584" spans="1:7">
      <c r="A584" s="3">
        <v>10</v>
      </c>
      <c r="B584" s="3">
        <v>5</v>
      </c>
      <c r="C584" s="3">
        <v>142</v>
      </c>
      <c r="D584" s="3">
        <v>9</v>
      </c>
      <c r="E584" s="3">
        <v>113.46</v>
      </c>
      <c r="F584" s="4" t="str">
        <f>HYPERLINK("http://141.218.60.56/~jnz1568/getInfo.php?workbook=10_05.xlsx&amp;sheet=A0&amp;row=584&amp;col=6&amp;number=41900000&amp;sourceID=14","41900000")</f>
        <v>41900000</v>
      </c>
      <c r="G584" s="4" t="str">
        <f>HYPERLINK("http://141.218.60.56/~jnz1568/getInfo.php?workbook=10_05.xlsx&amp;sheet=A0&amp;row=584&amp;col=7&amp;number=0&amp;sourceID=14","0")</f>
        <v>0</v>
      </c>
    </row>
    <row r="585" spans="1:7">
      <c r="A585" s="3">
        <v>10</v>
      </c>
      <c r="B585" s="3">
        <v>5</v>
      </c>
      <c r="C585" s="3">
        <v>145</v>
      </c>
      <c r="D585" s="3">
        <v>9</v>
      </c>
      <c r="E585" s="3">
        <v>113.285</v>
      </c>
      <c r="F585" s="4" t="str">
        <f>HYPERLINK("http://141.218.60.56/~jnz1568/getInfo.php?workbook=10_05.xlsx&amp;sheet=A0&amp;row=585&amp;col=6&amp;number=10300000000&amp;sourceID=14","10300000000")</f>
        <v>10300000000</v>
      </c>
      <c r="G585" s="4" t="str">
        <f>HYPERLINK("http://141.218.60.56/~jnz1568/getInfo.php?workbook=10_05.xlsx&amp;sheet=A0&amp;row=585&amp;col=7&amp;number=0&amp;sourceID=14","0")</f>
        <v>0</v>
      </c>
    </row>
    <row r="586" spans="1:7">
      <c r="A586" s="3">
        <v>10</v>
      </c>
      <c r="B586" s="3">
        <v>5</v>
      </c>
      <c r="C586" s="3">
        <v>148</v>
      </c>
      <c r="D586" s="3">
        <v>9</v>
      </c>
      <c r="E586" s="3">
        <v>113.197</v>
      </c>
      <c r="F586" s="4" t="str">
        <f>HYPERLINK("http://141.218.60.56/~jnz1568/getInfo.php?workbook=10_05.xlsx&amp;sheet=A0&amp;row=586&amp;col=6&amp;number=4820000000&amp;sourceID=14","4820000000")</f>
        <v>4820000000</v>
      </c>
      <c r="G586" s="4" t="str">
        <f>HYPERLINK("http://141.218.60.56/~jnz1568/getInfo.php?workbook=10_05.xlsx&amp;sheet=A0&amp;row=586&amp;col=7&amp;number=0&amp;sourceID=14","0")</f>
        <v>0</v>
      </c>
    </row>
    <row r="587" spans="1:7">
      <c r="A587" s="3">
        <v>10</v>
      </c>
      <c r="B587" s="3">
        <v>5</v>
      </c>
      <c r="C587" s="3">
        <v>149</v>
      </c>
      <c r="D587" s="3">
        <v>9</v>
      </c>
      <c r="E587" s="3">
        <v>113.184</v>
      </c>
      <c r="F587" s="4" t="str">
        <f>HYPERLINK("http://141.218.60.56/~jnz1568/getInfo.php?workbook=10_05.xlsx&amp;sheet=A0&amp;row=587&amp;col=6&amp;number=154000&amp;sourceID=14","154000")</f>
        <v>154000</v>
      </c>
      <c r="G587" s="4" t="str">
        <f>HYPERLINK("http://141.218.60.56/~jnz1568/getInfo.php?workbook=10_05.xlsx&amp;sheet=A0&amp;row=587&amp;col=7&amp;number=0&amp;sourceID=14","0")</f>
        <v>0</v>
      </c>
    </row>
    <row r="588" spans="1:7">
      <c r="A588" s="3">
        <v>10</v>
      </c>
      <c r="B588" s="3">
        <v>5</v>
      </c>
      <c r="C588" s="3">
        <v>158</v>
      </c>
      <c r="D588" s="3">
        <v>9</v>
      </c>
      <c r="E588" s="3">
        <v>-112.175</v>
      </c>
      <c r="F588" s="4" t="str">
        <f>HYPERLINK("http://141.218.60.56/~jnz1568/getInfo.php?workbook=10_05.xlsx&amp;sheet=A0&amp;row=588&amp;col=6&amp;number=541000000&amp;sourceID=14","541000000")</f>
        <v>541000000</v>
      </c>
      <c r="G588" s="4" t="str">
        <f>HYPERLINK("http://141.218.60.56/~jnz1568/getInfo.php?workbook=10_05.xlsx&amp;sheet=A0&amp;row=588&amp;col=7&amp;number=0&amp;sourceID=14","0")</f>
        <v>0</v>
      </c>
    </row>
    <row r="589" spans="1:7">
      <c r="A589" s="3">
        <v>10</v>
      </c>
      <c r="B589" s="3">
        <v>5</v>
      </c>
      <c r="C589" s="3">
        <v>159</v>
      </c>
      <c r="D589" s="3">
        <v>9</v>
      </c>
      <c r="E589" s="3">
        <v>-112.122</v>
      </c>
      <c r="F589" s="4" t="str">
        <f>HYPERLINK("http://141.218.60.56/~jnz1568/getInfo.php?workbook=10_05.xlsx&amp;sheet=A0&amp;row=589&amp;col=6&amp;number=8370000000&amp;sourceID=14","8370000000")</f>
        <v>8370000000</v>
      </c>
      <c r="G589" s="4" t="str">
        <f>HYPERLINK("http://141.218.60.56/~jnz1568/getInfo.php?workbook=10_05.xlsx&amp;sheet=A0&amp;row=589&amp;col=7&amp;number=0&amp;sourceID=14","0")</f>
        <v>0</v>
      </c>
    </row>
    <row r="590" spans="1:7">
      <c r="A590" s="3">
        <v>10</v>
      </c>
      <c r="B590" s="3">
        <v>5</v>
      </c>
      <c r="C590" s="3">
        <v>164</v>
      </c>
      <c r="D590" s="3">
        <v>9</v>
      </c>
      <c r="E590" s="3">
        <v>-106.608</v>
      </c>
      <c r="F590" s="4" t="str">
        <f>HYPERLINK("http://141.218.60.56/~jnz1568/getInfo.php?workbook=10_05.xlsx&amp;sheet=A0&amp;row=590&amp;col=6&amp;number=5170000000&amp;sourceID=14","5170000000")</f>
        <v>5170000000</v>
      </c>
      <c r="G590" s="4" t="str">
        <f>HYPERLINK("http://141.218.60.56/~jnz1568/getInfo.php?workbook=10_05.xlsx&amp;sheet=A0&amp;row=590&amp;col=7&amp;number=0&amp;sourceID=14","0")</f>
        <v>0</v>
      </c>
    </row>
    <row r="591" spans="1:7">
      <c r="A591" s="3">
        <v>10</v>
      </c>
      <c r="B591" s="3">
        <v>5</v>
      </c>
      <c r="C591" s="3">
        <v>165</v>
      </c>
      <c r="D591" s="3">
        <v>9</v>
      </c>
      <c r="E591" s="3">
        <v>-106.593</v>
      </c>
      <c r="F591" s="4" t="str">
        <f>HYPERLINK("http://141.218.60.56/~jnz1568/getInfo.php?workbook=10_05.xlsx&amp;sheet=A0&amp;row=591&amp;col=6&amp;number=490000000&amp;sourceID=14","490000000")</f>
        <v>490000000</v>
      </c>
      <c r="G591" s="4" t="str">
        <f>HYPERLINK("http://141.218.60.56/~jnz1568/getInfo.php?workbook=10_05.xlsx&amp;sheet=A0&amp;row=591&amp;col=7&amp;number=0&amp;sourceID=14","0")</f>
        <v>0</v>
      </c>
    </row>
    <row r="592" spans="1:7">
      <c r="A592" s="3">
        <v>10</v>
      </c>
      <c r="B592" s="3">
        <v>5</v>
      </c>
      <c r="C592" s="3">
        <v>166</v>
      </c>
      <c r="D592" s="3">
        <v>9</v>
      </c>
      <c r="E592" s="3">
        <v>-103.602</v>
      </c>
      <c r="F592" s="4" t="str">
        <f>HYPERLINK("http://141.218.60.56/~jnz1568/getInfo.php?workbook=10_05.xlsx&amp;sheet=A0&amp;row=592&amp;col=6&amp;number=2460000000&amp;sourceID=14","2460000000")</f>
        <v>2460000000</v>
      </c>
      <c r="G592" s="4" t="str">
        <f>HYPERLINK("http://141.218.60.56/~jnz1568/getInfo.php?workbook=10_05.xlsx&amp;sheet=A0&amp;row=592&amp;col=7&amp;number=0&amp;sourceID=14","0")</f>
        <v>0</v>
      </c>
    </row>
    <row r="593" spans="1:7">
      <c r="A593" s="3">
        <v>10</v>
      </c>
      <c r="B593" s="3">
        <v>5</v>
      </c>
      <c r="C593" s="3">
        <v>167</v>
      </c>
      <c r="D593" s="3">
        <v>9</v>
      </c>
      <c r="E593" s="3">
        <v>-103.598</v>
      </c>
      <c r="F593" s="4" t="str">
        <f>HYPERLINK("http://141.218.60.56/~jnz1568/getInfo.php?workbook=10_05.xlsx&amp;sheet=A0&amp;row=593&amp;col=6&amp;number=651000000&amp;sourceID=14","651000000")</f>
        <v>651000000</v>
      </c>
      <c r="G593" s="4" t="str">
        <f>HYPERLINK("http://141.218.60.56/~jnz1568/getInfo.php?workbook=10_05.xlsx&amp;sheet=A0&amp;row=593&amp;col=7&amp;number=0&amp;sourceID=14","0")</f>
        <v>0</v>
      </c>
    </row>
    <row r="594" spans="1:7">
      <c r="A594" s="3">
        <v>10</v>
      </c>
      <c r="B594" s="3">
        <v>5</v>
      </c>
      <c r="C594" s="3">
        <v>177</v>
      </c>
      <c r="D594" s="3">
        <v>9</v>
      </c>
      <c r="E594" s="3">
        <v>-100.237</v>
      </c>
      <c r="F594" s="4" t="str">
        <f>HYPERLINK("http://141.218.60.56/~jnz1568/getInfo.php?workbook=10_05.xlsx&amp;sheet=A0&amp;row=594&amp;col=6&amp;number=49600000000&amp;sourceID=14","49600000000")</f>
        <v>49600000000</v>
      </c>
      <c r="G594" s="4" t="str">
        <f>HYPERLINK("http://141.218.60.56/~jnz1568/getInfo.php?workbook=10_05.xlsx&amp;sheet=A0&amp;row=594&amp;col=7&amp;number=0&amp;sourceID=14","0")</f>
        <v>0</v>
      </c>
    </row>
    <row r="595" spans="1:7">
      <c r="A595" s="3">
        <v>10</v>
      </c>
      <c r="B595" s="3">
        <v>5</v>
      </c>
      <c r="C595" s="3">
        <v>179</v>
      </c>
      <c r="D595" s="3">
        <v>9</v>
      </c>
      <c r="E595" s="3">
        <v>-99.827</v>
      </c>
      <c r="F595" s="4" t="str">
        <f>HYPERLINK("http://141.218.60.56/~jnz1568/getInfo.php?workbook=10_05.xlsx&amp;sheet=A0&amp;row=595&amp;col=6&amp;number=21400000000&amp;sourceID=14","21400000000")</f>
        <v>21400000000</v>
      </c>
      <c r="G595" s="4" t="str">
        <f>HYPERLINK("http://141.218.60.56/~jnz1568/getInfo.php?workbook=10_05.xlsx&amp;sheet=A0&amp;row=595&amp;col=7&amp;number=0&amp;sourceID=14","0")</f>
        <v>0</v>
      </c>
    </row>
    <row r="596" spans="1:7">
      <c r="A596" s="3">
        <v>10</v>
      </c>
      <c r="B596" s="3">
        <v>5</v>
      </c>
      <c r="C596" s="3">
        <v>180</v>
      </c>
      <c r="D596" s="3">
        <v>9</v>
      </c>
      <c r="E596" s="3">
        <v>-99.823</v>
      </c>
      <c r="F596" s="4" t="str">
        <f>HYPERLINK("http://141.218.60.56/~jnz1568/getInfo.php?workbook=10_05.xlsx&amp;sheet=A0&amp;row=596&amp;col=6&amp;number=6900000000&amp;sourceID=14","6900000000")</f>
        <v>6900000000</v>
      </c>
      <c r="G596" s="4" t="str">
        <f>HYPERLINK("http://141.218.60.56/~jnz1568/getInfo.php?workbook=10_05.xlsx&amp;sheet=A0&amp;row=596&amp;col=7&amp;number=0&amp;sourceID=14","0")</f>
        <v>0</v>
      </c>
    </row>
    <row r="597" spans="1:7">
      <c r="A597" s="3">
        <v>10</v>
      </c>
      <c r="B597" s="3">
        <v>5</v>
      </c>
      <c r="C597" s="3">
        <v>11</v>
      </c>
      <c r="D597" s="3">
        <v>10</v>
      </c>
      <c r="E597" s="3">
        <v>1398.448</v>
      </c>
      <c r="F597" s="4" t="str">
        <f>HYPERLINK("http://141.218.60.56/~jnz1568/getInfo.php?workbook=10_05.xlsx&amp;sheet=A0&amp;row=597&amp;col=6&amp;number=11000&amp;sourceID=14","11000")</f>
        <v>11000</v>
      </c>
      <c r="G597" s="4" t="str">
        <f>HYPERLINK("http://141.218.60.56/~jnz1568/getInfo.php?workbook=10_05.xlsx&amp;sheet=A0&amp;row=597&amp;col=7&amp;number=0&amp;sourceID=14","0")</f>
        <v>0</v>
      </c>
    </row>
    <row r="598" spans="1:7">
      <c r="A598" s="3">
        <v>10</v>
      </c>
      <c r="B598" s="3">
        <v>5</v>
      </c>
      <c r="C598" s="3">
        <v>12</v>
      </c>
      <c r="D598" s="3">
        <v>10</v>
      </c>
      <c r="E598" s="3">
        <v>913.219</v>
      </c>
      <c r="F598" s="4" t="str">
        <f>HYPERLINK("http://141.218.60.56/~jnz1568/getInfo.php?workbook=10_05.xlsx&amp;sheet=A0&amp;row=598&amp;col=6&amp;number=76100000&amp;sourceID=14","76100000")</f>
        <v>76100000</v>
      </c>
      <c r="G598" s="4" t="str">
        <f>HYPERLINK("http://141.218.60.56/~jnz1568/getInfo.php?workbook=10_05.xlsx&amp;sheet=A0&amp;row=598&amp;col=7&amp;number=0&amp;sourceID=14","0")</f>
        <v>0</v>
      </c>
    </row>
    <row r="599" spans="1:7">
      <c r="A599" s="3">
        <v>10</v>
      </c>
      <c r="B599" s="3">
        <v>5</v>
      </c>
      <c r="C599" s="3">
        <v>13</v>
      </c>
      <c r="D599" s="3">
        <v>10</v>
      </c>
      <c r="E599" s="3">
        <v>913.794</v>
      </c>
      <c r="F599" s="4" t="str">
        <f>HYPERLINK("http://141.218.60.56/~jnz1568/getInfo.php?workbook=10_05.xlsx&amp;sheet=A0&amp;row=599&amp;col=6&amp;number=487000000&amp;sourceID=14","487000000")</f>
        <v>487000000</v>
      </c>
      <c r="G599" s="4" t="str">
        <f>HYPERLINK("http://141.218.60.56/~jnz1568/getInfo.php?workbook=10_05.xlsx&amp;sheet=A0&amp;row=599&amp;col=7&amp;number=0&amp;sourceID=14","0")</f>
        <v>0</v>
      </c>
    </row>
    <row r="600" spans="1:7">
      <c r="A600" s="3">
        <v>10</v>
      </c>
      <c r="B600" s="3">
        <v>5</v>
      </c>
      <c r="C600" s="3">
        <v>14</v>
      </c>
      <c r="D600" s="3">
        <v>10</v>
      </c>
      <c r="E600" s="3">
        <v>641.442</v>
      </c>
      <c r="F600" s="4" t="str">
        <f>HYPERLINK("http://141.218.60.56/~jnz1568/getInfo.php?workbook=10_05.xlsx&amp;sheet=A0&amp;row=600&amp;col=6&amp;number=730000000&amp;sourceID=14","730000000")</f>
        <v>730000000</v>
      </c>
      <c r="G600" s="4" t="str">
        <f>HYPERLINK("http://141.218.60.56/~jnz1568/getInfo.php?workbook=10_05.xlsx&amp;sheet=A0&amp;row=600&amp;col=7&amp;number=0&amp;sourceID=14","0")</f>
        <v>0</v>
      </c>
    </row>
    <row r="601" spans="1:7">
      <c r="A601" s="3">
        <v>10</v>
      </c>
      <c r="B601" s="3">
        <v>5</v>
      </c>
      <c r="C601" s="3">
        <v>15</v>
      </c>
      <c r="D601" s="3">
        <v>10</v>
      </c>
      <c r="E601" s="3">
        <v>641.257</v>
      </c>
      <c r="F601" s="4" t="str">
        <f>HYPERLINK("http://141.218.60.56/~jnz1568/getInfo.php?workbook=10_05.xlsx&amp;sheet=A0&amp;row=601&amp;col=6&amp;number=1900000000&amp;sourceID=14","1900000000")</f>
        <v>1900000000</v>
      </c>
      <c r="G601" s="4" t="str">
        <f>HYPERLINK("http://141.218.60.56/~jnz1568/getInfo.php?workbook=10_05.xlsx&amp;sheet=A0&amp;row=601&amp;col=7&amp;number=0&amp;sourceID=14","0")</f>
        <v>0</v>
      </c>
    </row>
    <row r="602" spans="1:7">
      <c r="A602" s="3">
        <v>10</v>
      </c>
      <c r="B602" s="3">
        <v>5</v>
      </c>
      <c r="C602" s="3">
        <v>17</v>
      </c>
      <c r="D602" s="3">
        <v>10</v>
      </c>
      <c r="E602" s="3">
        <v>191.893</v>
      </c>
      <c r="F602" s="4" t="str">
        <f>HYPERLINK("http://141.218.60.56/~jnz1568/getInfo.php?workbook=10_05.xlsx&amp;sheet=A0&amp;row=602&amp;col=6&amp;number=9070000&amp;sourceID=14","9070000")</f>
        <v>9070000</v>
      </c>
      <c r="G602" s="4" t="str">
        <f>HYPERLINK("http://141.218.60.56/~jnz1568/getInfo.php?workbook=10_05.xlsx&amp;sheet=A0&amp;row=602&amp;col=7&amp;number=0&amp;sourceID=14","0")</f>
        <v>0</v>
      </c>
    </row>
    <row r="603" spans="1:7">
      <c r="A603" s="3">
        <v>10</v>
      </c>
      <c r="B603" s="3">
        <v>5</v>
      </c>
      <c r="C603" s="3">
        <v>18</v>
      </c>
      <c r="D603" s="3">
        <v>10</v>
      </c>
      <c r="E603" s="3">
        <v>191.774</v>
      </c>
      <c r="F603" s="4" t="str">
        <f>HYPERLINK("http://141.218.60.56/~jnz1568/getInfo.php?workbook=10_05.xlsx&amp;sheet=A0&amp;row=603&amp;col=6&amp;number=29700000&amp;sourceID=14","29700000")</f>
        <v>29700000</v>
      </c>
      <c r="G603" s="4" t="str">
        <f>HYPERLINK("http://141.218.60.56/~jnz1568/getInfo.php?workbook=10_05.xlsx&amp;sheet=A0&amp;row=603&amp;col=7&amp;number=0&amp;sourceID=14","0")</f>
        <v>0</v>
      </c>
    </row>
    <row r="604" spans="1:7">
      <c r="A604" s="3">
        <v>10</v>
      </c>
      <c r="B604" s="3">
        <v>5</v>
      </c>
      <c r="C604" s="3">
        <v>21</v>
      </c>
      <c r="D604" s="3">
        <v>10</v>
      </c>
      <c r="E604" s="3">
        <v>171.391</v>
      </c>
      <c r="F604" s="4" t="str">
        <f>HYPERLINK("http://141.218.60.56/~jnz1568/getInfo.php?workbook=10_05.xlsx&amp;sheet=A0&amp;row=604&amp;col=6&amp;number=114000&amp;sourceID=14","114000")</f>
        <v>114000</v>
      </c>
      <c r="G604" s="4" t="str">
        <f>HYPERLINK("http://141.218.60.56/~jnz1568/getInfo.php?workbook=10_05.xlsx&amp;sheet=A0&amp;row=604&amp;col=7&amp;number=0&amp;sourceID=14","0")</f>
        <v>0</v>
      </c>
    </row>
    <row r="605" spans="1:7">
      <c r="A605" s="3">
        <v>10</v>
      </c>
      <c r="B605" s="3">
        <v>5</v>
      </c>
      <c r="C605" s="3">
        <v>22</v>
      </c>
      <c r="D605" s="3">
        <v>10</v>
      </c>
      <c r="E605" s="3">
        <v>171.25</v>
      </c>
      <c r="F605" s="4" t="str">
        <f>HYPERLINK("http://141.218.60.56/~jnz1568/getInfo.php?workbook=10_05.xlsx&amp;sheet=A0&amp;row=605&amp;col=6&amp;number=4810&amp;sourceID=14","4810")</f>
        <v>4810</v>
      </c>
      <c r="G605" s="4" t="str">
        <f>HYPERLINK("http://141.218.60.56/~jnz1568/getInfo.php?workbook=10_05.xlsx&amp;sheet=A0&amp;row=605&amp;col=7&amp;number=0&amp;sourceID=14","0")</f>
        <v>0</v>
      </c>
    </row>
    <row r="606" spans="1:7">
      <c r="A606" s="3">
        <v>10</v>
      </c>
      <c r="B606" s="3">
        <v>5</v>
      </c>
      <c r="C606" s="3">
        <v>23</v>
      </c>
      <c r="D606" s="3">
        <v>10</v>
      </c>
      <c r="E606" s="3">
        <v>171.028</v>
      </c>
      <c r="F606" s="4" t="str">
        <f>HYPERLINK("http://141.218.60.56/~jnz1568/getInfo.php?workbook=10_05.xlsx&amp;sheet=A0&amp;row=606&amp;col=6&amp;number=44100&amp;sourceID=14","44100")</f>
        <v>44100</v>
      </c>
      <c r="G606" s="4" t="str">
        <f>HYPERLINK("http://141.218.60.56/~jnz1568/getInfo.php?workbook=10_05.xlsx&amp;sheet=A0&amp;row=606&amp;col=7&amp;number=0&amp;sourceID=14","0")</f>
        <v>0</v>
      </c>
    </row>
    <row r="607" spans="1:7">
      <c r="A607" s="3">
        <v>10</v>
      </c>
      <c r="B607" s="3">
        <v>5</v>
      </c>
      <c r="C607" s="3">
        <v>24</v>
      </c>
      <c r="D607" s="3">
        <v>10</v>
      </c>
      <c r="E607" s="3">
        <v>165.117</v>
      </c>
      <c r="F607" s="4" t="str">
        <f>HYPERLINK("http://141.218.60.56/~jnz1568/getInfo.php?workbook=10_05.xlsx&amp;sheet=A0&amp;row=607&amp;col=6&amp;number=583000000&amp;sourceID=14","583000000")</f>
        <v>583000000</v>
      </c>
      <c r="G607" s="4" t="str">
        <f>HYPERLINK("http://141.218.60.56/~jnz1568/getInfo.php?workbook=10_05.xlsx&amp;sheet=A0&amp;row=607&amp;col=7&amp;number=0&amp;sourceID=14","0")</f>
        <v>0</v>
      </c>
    </row>
    <row r="608" spans="1:7">
      <c r="A608" s="3">
        <v>10</v>
      </c>
      <c r="B608" s="3">
        <v>5</v>
      </c>
      <c r="C608" s="3">
        <v>25</v>
      </c>
      <c r="D608" s="3">
        <v>10</v>
      </c>
      <c r="E608" s="3">
        <v>164.894</v>
      </c>
      <c r="F608" s="4" t="str">
        <f>HYPERLINK("http://141.218.60.56/~jnz1568/getInfo.php?workbook=10_05.xlsx&amp;sheet=A0&amp;row=608&amp;col=6&amp;number=1540000000&amp;sourceID=14","1540000000")</f>
        <v>1540000000</v>
      </c>
      <c r="G608" s="4" t="str">
        <f>HYPERLINK("http://141.218.60.56/~jnz1568/getInfo.php?workbook=10_05.xlsx&amp;sheet=A0&amp;row=608&amp;col=7&amp;number=0&amp;sourceID=14","0")</f>
        <v>0</v>
      </c>
    </row>
    <row r="609" spans="1:7">
      <c r="A609" s="3">
        <v>10</v>
      </c>
      <c r="B609" s="3">
        <v>5</v>
      </c>
      <c r="C609" s="3">
        <v>38</v>
      </c>
      <c r="D609" s="3">
        <v>10</v>
      </c>
      <c r="E609" s="3">
        <v>-150.521</v>
      </c>
      <c r="F609" s="4" t="str">
        <f>HYPERLINK("http://141.218.60.56/~jnz1568/getInfo.php?workbook=10_05.xlsx&amp;sheet=A0&amp;row=609&amp;col=6&amp;number=653000&amp;sourceID=14","653000")</f>
        <v>653000</v>
      </c>
      <c r="G609" s="4" t="str">
        <f>HYPERLINK("http://141.218.60.56/~jnz1568/getInfo.php?workbook=10_05.xlsx&amp;sheet=A0&amp;row=609&amp;col=7&amp;number=0&amp;sourceID=14","0")</f>
        <v>0</v>
      </c>
    </row>
    <row r="610" spans="1:7">
      <c r="A610" s="3">
        <v>10</v>
      </c>
      <c r="B610" s="3">
        <v>5</v>
      </c>
      <c r="C610" s="3">
        <v>39</v>
      </c>
      <c r="D610" s="3">
        <v>10</v>
      </c>
      <c r="E610" s="3">
        <v>-150.459</v>
      </c>
      <c r="F610" s="4" t="str">
        <f>HYPERLINK("http://141.218.60.56/~jnz1568/getInfo.php?workbook=10_05.xlsx&amp;sheet=A0&amp;row=610&amp;col=6&amp;number=1760000&amp;sourceID=14","1760000")</f>
        <v>1760000</v>
      </c>
      <c r="G610" s="4" t="str">
        <f>HYPERLINK("http://141.218.60.56/~jnz1568/getInfo.php?workbook=10_05.xlsx&amp;sheet=A0&amp;row=610&amp;col=7&amp;number=0&amp;sourceID=14","0")</f>
        <v>0</v>
      </c>
    </row>
    <row r="611" spans="1:7">
      <c r="A611" s="3">
        <v>10</v>
      </c>
      <c r="B611" s="3">
        <v>5</v>
      </c>
      <c r="C611" s="3">
        <v>43</v>
      </c>
      <c r="D611" s="3">
        <v>10</v>
      </c>
      <c r="E611" s="3">
        <v>147.894</v>
      </c>
      <c r="F611" s="4" t="str">
        <f>HYPERLINK("http://141.218.60.56/~jnz1568/getInfo.php?workbook=10_05.xlsx&amp;sheet=A0&amp;row=611&amp;col=6&amp;number=507000&amp;sourceID=14","507000")</f>
        <v>507000</v>
      </c>
      <c r="G611" s="4" t="str">
        <f>HYPERLINK("http://141.218.60.56/~jnz1568/getInfo.php?workbook=10_05.xlsx&amp;sheet=A0&amp;row=611&amp;col=7&amp;number=0&amp;sourceID=14","0")</f>
        <v>0</v>
      </c>
    </row>
    <row r="612" spans="1:7">
      <c r="A612" s="3">
        <v>10</v>
      </c>
      <c r="B612" s="3">
        <v>5</v>
      </c>
      <c r="C612" s="3">
        <v>44</v>
      </c>
      <c r="D612" s="3">
        <v>10</v>
      </c>
      <c r="E612" s="3">
        <v>147.872</v>
      </c>
      <c r="F612" s="4" t="str">
        <f>HYPERLINK("http://141.218.60.56/~jnz1568/getInfo.php?workbook=10_05.xlsx&amp;sheet=A0&amp;row=612&amp;col=6&amp;number=5000000&amp;sourceID=14","5000000")</f>
        <v>5000000</v>
      </c>
      <c r="G612" s="4" t="str">
        <f>HYPERLINK("http://141.218.60.56/~jnz1568/getInfo.php?workbook=10_05.xlsx&amp;sheet=A0&amp;row=612&amp;col=7&amp;number=0&amp;sourceID=14","0")</f>
        <v>0</v>
      </c>
    </row>
    <row r="613" spans="1:7">
      <c r="A613" s="3">
        <v>10</v>
      </c>
      <c r="B613" s="3">
        <v>5</v>
      </c>
      <c r="C613" s="3">
        <v>45</v>
      </c>
      <c r="D613" s="3">
        <v>10</v>
      </c>
      <c r="E613" s="3">
        <v>147.85</v>
      </c>
      <c r="F613" s="4" t="str">
        <f>HYPERLINK("http://141.218.60.56/~jnz1568/getInfo.php?workbook=10_05.xlsx&amp;sheet=A0&amp;row=613&amp;col=6&amp;number=26900000&amp;sourceID=14","26900000")</f>
        <v>26900000</v>
      </c>
      <c r="G613" s="4" t="str">
        <f>HYPERLINK("http://141.218.60.56/~jnz1568/getInfo.php?workbook=10_05.xlsx&amp;sheet=A0&amp;row=613&amp;col=7&amp;number=0&amp;sourceID=14","0")</f>
        <v>0</v>
      </c>
    </row>
    <row r="614" spans="1:7">
      <c r="A614" s="3">
        <v>10</v>
      </c>
      <c r="B614" s="3">
        <v>5</v>
      </c>
      <c r="C614" s="3">
        <v>47</v>
      </c>
      <c r="D614" s="3">
        <v>10</v>
      </c>
      <c r="E614" s="3">
        <v>147.512</v>
      </c>
      <c r="F614" s="4" t="str">
        <f>HYPERLINK("http://141.218.60.56/~jnz1568/getInfo.php?workbook=10_05.xlsx&amp;sheet=A0&amp;row=614&amp;col=6&amp;number=2950000000&amp;sourceID=14","2950000000")</f>
        <v>2950000000</v>
      </c>
      <c r="G614" s="4" t="str">
        <f>HYPERLINK("http://141.218.60.56/~jnz1568/getInfo.php?workbook=10_05.xlsx&amp;sheet=A0&amp;row=614&amp;col=7&amp;number=0&amp;sourceID=14","0")</f>
        <v>0</v>
      </c>
    </row>
    <row r="615" spans="1:7">
      <c r="A615" s="3">
        <v>10</v>
      </c>
      <c r="B615" s="3">
        <v>5</v>
      </c>
      <c r="C615" s="3">
        <v>48</v>
      </c>
      <c r="D615" s="3">
        <v>10</v>
      </c>
      <c r="E615" s="3">
        <v>147.469</v>
      </c>
      <c r="F615" s="4" t="str">
        <f>HYPERLINK("http://141.218.60.56/~jnz1568/getInfo.php?workbook=10_05.xlsx&amp;sheet=A0&amp;row=615&amp;col=6&amp;number=17800000000&amp;sourceID=14","17800000000")</f>
        <v>17800000000</v>
      </c>
      <c r="G615" s="4" t="str">
        <f>HYPERLINK("http://141.218.60.56/~jnz1568/getInfo.php?workbook=10_05.xlsx&amp;sheet=A0&amp;row=615&amp;col=7&amp;number=0&amp;sourceID=14","0")</f>
        <v>0</v>
      </c>
    </row>
    <row r="616" spans="1:7">
      <c r="A616" s="3">
        <v>10</v>
      </c>
      <c r="B616" s="3">
        <v>5</v>
      </c>
      <c r="C616" s="3">
        <v>49</v>
      </c>
      <c r="D616" s="3">
        <v>10</v>
      </c>
      <c r="E616" s="3">
        <v>146.737</v>
      </c>
      <c r="F616" s="4" t="str">
        <f>HYPERLINK("http://141.218.60.56/~jnz1568/getInfo.php?workbook=10_05.xlsx&amp;sheet=A0&amp;row=616&amp;col=6&amp;number=680000000&amp;sourceID=14","680000000")</f>
        <v>680000000</v>
      </c>
      <c r="G616" s="4" t="str">
        <f>HYPERLINK("http://141.218.60.56/~jnz1568/getInfo.php?workbook=10_05.xlsx&amp;sheet=A0&amp;row=616&amp;col=7&amp;number=0&amp;sourceID=14","0")</f>
        <v>0</v>
      </c>
    </row>
    <row r="617" spans="1:7">
      <c r="A617" s="3">
        <v>10</v>
      </c>
      <c r="B617" s="3">
        <v>5</v>
      </c>
      <c r="C617" s="3">
        <v>50</v>
      </c>
      <c r="D617" s="3">
        <v>10</v>
      </c>
      <c r="E617" s="3">
        <v>146.673</v>
      </c>
      <c r="F617" s="4" t="str">
        <f>HYPERLINK("http://141.218.60.56/~jnz1568/getInfo.php?workbook=10_05.xlsx&amp;sheet=A0&amp;row=617&amp;col=6&amp;number=11900000&amp;sourceID=14","11900000")</f>
        <v>11900000</v>
      </c>
      <c r="G617" s="4" t="str">
        <f>HYPERLINK("http://141.218.60.56/~jnz1568/getInfo.php?workbook=10_05.xlsx&amp;sheet=A0&amp;row=617&amp;col=7&amp;number=0&amp;sourceID=14","0")</f>
        <v>0</v>
      </c>
    </row>
    <row r="618" spans="1:7">
      <c r="A618" s="3">
        <v>10</v>
      </c>
      <c r="B618" s="3">
        <v>5</v>
      </c>
      <c r="C618" s="3">
        <v>51</v>
      </c>
      <c r="D618" s="3">
        <v>10</v>
      </c>
      <c r="E618" s="3">
        <v>146.619</v>
      </c>
      <c r="F618" s="4" t="str">
        <f>HYPERLINK("http://141.218.60.56/~jnz1568/getInfo.php?workbook=10_05.xlsx&amp;sheet=A0&amp;row=618&amp;col=6&amp;number=260000&amp;sourceID=14","260000")</f>
        <v>260000</v>
      </c>
      <c r="G618" s="4" t="str">
        <f>HYPERLINK("http://141.218.60.56/~jnz1568/getInfo.php?workbook=10_05.xlsx&amp;sheet=A0&amp;row=618&amp;col=7&amp;number=0&amp;sourceID=14","0")</f>
        <v>0</v>
      </c>
    </row>
    <row r="619" spans="1:7">
      <c r="A619" s="3">
        <v>10</v>
      </c>
      <c r="B619" s="3">
        <v>5</v>
      </c>
      <c r="C619" s="3">
        <v>52</v>
      </c>
      <c r="D619" s="3">
        <v>10</v>
      </c>
      <c r="E619" s="3">
        <v>144.896</v>
      </c>
      <c r="F619" s="4" t="str">
        <f>HYPERLINK("http://141.218.60.56/~jnz1568/getInfo.php?workbook=10_05.xlsx&amp;sheet=A0&amp;row=619&amp;col=6&amp;number=26100000000&amp;sourceID=14","26100000000")</f>
        <v>26100000000</v>
      </c>
      <c r="G619" s="4" t="str">
        <f>HYPERLINK("http://141.218.60.56/~jnz1568/getInfo.php?workbook=10_05.xlsx&amp;sheet=A0&amp;row=619&amp;col=7&amp;number=0&amp;sourceID=14","0")</f>
        <v>0</v>
      </c>
    </row>
    <row r="620" spans="1:7">
      <c r="A620" s="3">
        <v>10</v>
      </c>
      <c r="B620" s="3">
        <v>5</v>
      </c>
      <c r="C620" s="3">
        <v>53</v>
      </c>
      <c r="D620" s="3">
        <v>10</v>
      </c>
      <c r="E620" s="3">
        <v>144.896</v>
      </c>
      <c r="F620" s="4" t="str">
        <f>HYPERLINK("http://141.218.60.56/~jnz1568/getInfo.php?workbook=10_05.xlsx&amp;sheet=A0&amp;row=620&amp;col=6&amp;number=10400000000&amp;sourceID=14","10400000000")</f>
        <v>10400000000</v>
      </c>
      <c r="G620" s="4" t="str">
        <f>HYPERLINK("http://141.218.60.56/~jnz1568/getInfo.php?workbook=10_05.xlsx&amp;sheet=A0&amp;row=620&amp;col=7&amp;number=0&amp;sourceID=14","0")</f>
        <v>0</v>
      </c>
    </row>
    <row r="621" spans="1:7">
      <c r="A621" s="3">
        <v>10</v>
      </c>
      <c r="B621" s="3">
        <v>5</v>
      </c>
      <c r="C621" s="3">
        <v>54</v>
      </c>
      <c r="D621" s="3">
        <v>10</v>
      </c>
      <c r="E621" s="3">
        <v>143.722</v>
      </c>
      <c r="F621" s="4" t="str">
        <f>HYPERLINK("http://141.218.60.56/~jnz1568/getInfo.php?workbook=10_05.xlsx&amp;sheet=A0&amp;row=621&amp;col=6&amp;number=14000000&amp;sourceID=14","14000000")</f>
        <v>14000000</v>
      </c>
      <c r="G621" s="4" t="str">
        <f>HYPERLINK("http://141.218.60.56/~jnz1568/getInfo.php?workbook=10_05.xlsx&amp;sheet=A0&amp;row=621&amp;col=7&amp;number=0&amp;sourceID=14","0")</f>
        <v>0</v>
      </c>
    </row>
    <row r="622" spans="1:7">
      <c r="A622" s="3">
        <v>10</v>
      </c>
      <c r="B622" s="3">
        <v>5</v>
      </c>
      <c r="C622" s="3">
        <v>56</v>
      </c>
      <c r="D622" s="3">
        <v>10</v>
      </c>
      <c r="E622" s="3">
        <v>142.432</v>
      </c>
      <c r="F622" s="4" t="str">
        <f>HYPERLINK("http://141.218.60.56/~jnz1568/getInfo.php?workbook=10_05.xlsx&amp;sheet=A0&amp;row=622&amp;col=6&amp;number=4350000000&amp;sourceID=14","4350000000")</f>
        <v>4350000000</v>
      </c>
      <c r="G622" s="4" t="str">
        <f>HYPERLINK("http://141.218.60.56/~jnz1568/getInfo.php?workbook=10_05.xlsx&amp;sheet=A0&amp;row=622&amp;col=7&amp;number=0&amp;sourceID=14","0")</f>
        <v>0</v>
      </c>
    </row>
    <row r="623" spans="1:7">
      <c r="A623" s="3">
        <v>10</v>
      </c>
      <c r="B623" s="3">
        <v>5</v>
      </c>
      <c r="C623" s="3">
        <v>57</v>
      </c>
      <c r="D623" s="3">
        <v>10</v>
      </c>
      <c r="E623" s="3">
        <v>142.349</v>
      </c>
      <c r="F623" s="4" t="str">
        <f>HYPERLINK("http://141.218.60.56/~jnz1568/getInfo.php?workbook=10_05.xlsx&amp;sheet=A0&amp;row=623&amp;col=6&amp;number=1930000000&amp;sourceID=14","1930000000")</f>
        <v>1930000000</v>
      </c>
      <c r="G623" s="4" t="str">
        <f>HYPERLINK("http://141.218.60.56/~jnz1568/getInfo.php?workbook=10_05.xlsx&amp;sheet=A0&amp;row=623&amp;col=7&amp;number=0&amp;sourceID=14","0")</f>
        <v>0</v>
      </c>
    </row>
    <row r="624" spans="1:7">
      <c r="A624" s="3">
        <v>10</v>
      </c>
      <c r="B624" s="3">
        <v>5</v>
      </c>
      <c r="C624" s="3">
        <v>64</v>
      </c>
      <c r="D624" s="3">
        <v>10</v>
      </c>
      <c r="E624" s="3">
        <v>-132.383</v>
      </c>
      <c r="F624" s="4" t="str">
        <f>HYPERLINK("http://141.218.60.56/~jnz1568/getInfo.php?workbook=10_05.xlsx&amp;sheet=A0&amp;row=624&amp;col=6&amp;number=622000000&amp;sourceID=14","622000000")</f>
        <v>622000000</v>
      </c>
      <c r="G624" s="4" t="str">
        <f>HYPERLINK("http://141.218.60.56/~jnz1568/getInfo.php?workbook=10_05.xlsx&amp;sheet=A0&amp;row=624&amp;col=7&amp;number=0&amp;sourceID=14","0")</f>
        <v>0</v>
      </c>
    </row>
    <row r="625" spans="1:7">
      <c r="A625" s="3">
        <v>10</v>
      </c>
      <c r="B625" s="3">
        <v>5</v>
      </c>
      <c r="C625" s="3">
        <v>65</v>
      </c>
      <c r="D625" s="3">
        <v>10</v>
      </c>
      <c r="E625" s="3">
        <v>-132.362</v>
      </c>
      <c r="F625" s="4" t="str">
        <f>HYPERLINK("http://141.218.60.56/~jnz1568/getInfo.php?workbook=10_05.xlsx&amp;sheet=A0&amp;row=625&amp;col=6&amp;number=1580000000&amp;sourceID=14","1580000000")</f>
        <v>1580000000</v>
      </c>
      <c r="G625" s="4" t="str">
        <f>HYPERLINK("http://141.218.60.56/~jnz1568/getInfo.php?workbook=10_05.xlsx&amp;sheet=A0&amp;row=625&amp;col=7&amp;number=0&amp;sourceID=14","0")</f>
        <v>0</v>
      </c>
    </row>
    <row r="626" spans="1:7">
      <c r="A626" s="3">
        <v>10</v>
      </c>
      <c r="B626" s="3">
        <v>5</v>
      </c>
      <c r="C626" s="3">
        <v>68</v>
      </c>
      <c r="D626" s="3">
        <v>10</v>
      </c>
      <c r="E626" s="3">
        <v>129.552</v>
      </c>
      <c r="F626" s="4" t="str">
        <f>HYPERLINK("http://141.218.60.56/~jnz1568/getInfo.php?workbook=10_05.xlsx&amp;sheet=A0&amp;row=626&amp;col=6&amp;number=779000&amp;sourceID=14","779000")</f>
        <v>779000</v>
      </c>
      <c r="G626" s="4" t="str">
        <f>HYPERLINK("http://141.218.60.56/~jnz1568/getInfo.php?workbook=10_05.xlsx&amp;sheet=A0&amp;row=626&amp;col=7&amp;number=0&amp;sourceID=14","0")</f>
        <v>0</v>
      </c>
    </row>
    <row r="627" spans="1:7">
      <c r="A627" s="3">
        <v>10</v>
      </c>
      <c r="B627" s="3">
        <v>5</v>
      </c>
      <c r="C627" s="3">
        <v>73</v>
      </c>
      <c r="D627" s="3">
        <v>10</v>
      </c>
      <c r="E627" s="3">
        <v>128.205</v>
      </c>
      <c r="F627" s="4" t="str">
        <f>HYPERLINK("http://141.218.60.56/~jnz1568/getInfo.php?workbook=10_05.xlsx&amp;sheet=A0&amp;row=627&amp;col=6&amp;number=25600000000&amp;sourceID=14","25600000000")</f>
        <v>25600000000</v>
      </c>
      <c r="G627" s="4" t="str">
        <f>HYPERLINK("http://141.218.60.56/~jnz1568/getInfo.php?workbook=10_05.xlsx&amp;sheet=A0&amp;row=627&amp;col=7&amp;number=0&amp;sourceID=14","0")</f>
        <v>0</v>
      </c>
    </row>
    <row r="628" spans="1:7">
      <c r="A628" s="3">
        <v>10</v>
      </c>
      <c r="B628" s="3">
        <v>5</v>
      </c>
      <c r="C628" s="3">
        <v>74</v>
      </c>
      <c r="D628" s="3">
        <v>10</v>
      </c>
      <c r="E628" s="3">
        <v>128.185</v>
      </c>
      <c r="F628" s="4" t="str">
        <f>HYPERLINK("http://141.218.60.56/~jnz1568/getInfo.php?workbook=10_05.xlsx&amp;sheet=A0&amp;row=628&amp;col=6&amp;number=155000000000&amp;sourceID=14","155000000000")</f>
        <v>155000000000</v>
      </c>
      <c r="G628" s="4" t="str">
        <f>HYPERLINK("http://141.218.60.56/~jnz1568/getInfo.php?workbook=10_05.xlsx&amp;sheet=A0&amp;row=628&amp;col=7&amp;number=0&amp;sourceID=14","0")</f>
        <v>0</v>
      </c>
    </row>
    <row r="629" spans="1:7">
      <c r="A629" s="3">
        <v>10</v>
      </c>
      <c r="B629" s="3">
        <v>5</v>
      </c>
      <c r="C629" s="3">
        <v>75</v>
      </c>
      <c r="D629" s="3">
        <v>10</v>
      </c>
      <c r="E629" s="3">
        <v>127.841</v>
      </c>
      <c r="F629" s="4" t="str">
        <f>HYPERLINK("http://141.218.60.56/~jnz1568/getInfo.php?workbook=10_05.xlsx&amp;sheet=A0&amp;row=629&amp;col=6&amp;number=32300000000&amp;sourceID=14","32300000000")</f>
        <v>32300000000</v>
      </c>
      <c r="G629" s="4" t="str">
        <f>HYPERLINK("http://141.218.60.56/~jnz1568/getInfo.php?workbook=10_05.xlsx&amp;sheet=A0&amp;row=629&amp;col=7&amp;number=0&amp;sourceID=14","0")</f>
        <v>0</v>
      </c>
    </row>
    <row r="630" spans="1:7">
      <c r="A630" s="3">
        <v>10</v>
      </c>
      <c r="B630" s="3">
        <v>5</v>
      </c>
      <c r="C630" s="3">
        <v>76</v>
      </c>
      <c r="D630" s="3">
        <v>10</v>
      </c>
      <c r="E630" s="3">
        <v>127.841</v>
      </c>
      <c r="F630" s="4" t="str">
        <f>HYPERLINK("http://141.218.60.56/~jnz1568/getInfo.php?workbook=10_05.xlsx&amp;sheet=A0&amp;row=630&amp;col=6&amp;number=69700000000&amp;sourceID=14","69700000000")</f>
        <v>69700000000</v>
      </c>
      <c r="G630" s="4" t="str">
        <f>HYPERLINK("http://141.218.60.56/~jnz1568/getInfo.php?workbook=10_05.xlsx&amp;sheet=A0&amp;row=630&amp;col=7&amp;number=0&amp;sourceID=14","0")</f>
        <v>0</v>
      </c>
    </row>
    <row r="631" spans="1:7">
      <c r="A631" s="3">
        <v>10</v>
      </c>
      <c r="B631" s="3">
        <v>5</v>
      </c>
      <c r="C631" s="3">
        <v>79</v>
      </c>
      <c r="D631" s="3">
        <v>10</v>
      </c>
      <c r="E631" s="3">
        <v>-124.244</v>
      </c>
      <c r="F631" s="4" t="str">
        <f>HYPERLINK("http://141.218.60.56/~jnz1568/getInfo.php?workbook=10_05.xlsx&amp;sheet=A0&amp;row=631&amp;col=6&amp;number=21900000000&amp;sourceID=14","21900000000")</f>
        <v>21900000000</v>
      </c>
      <c r="G631" s="4" t="str">
        <f>HYPERLINK("http://141.218.60.56/~jnz1568/getInfo.php?workbook=10_05.xlsx&amp;sheet=A0&amp;row=631&amp;col=7&amp;number=0&amp;sourceID=14","0")</f>
        <v>0</v>
      </c>
    </row>
    <row r="632" spans="1:7">
      <c r="A632" s="3">
        <v>10</v>
      </c>
      <c r="B632" s="3">
        <v>5</v>
      </c>
      <c r="C632" s="3">
        <v>82</v>
      </c>
      <c r="D632" s="3">
        <v>10</v>
      </c>
      <c r="E632" s="3">
        <v>123.162</v>
      </c>
      <c r="F632" s="4" t="str">
        <f>HYPERLINK("http://141.218.60.56/~jnz1568/getInfo.php?workbook=10_05.xlsx&amp;sheet=A0&amp;row=632&amp;col=6&amp;number=286000&amp;sourceID=14","286000")</f>
        <v>286000</v>
      </c>
      <c r="G632" s="4" t="str">
        <f>HYPERLINK("http://141.218.60.56/~jnz1568/getInfo.php?workbook=10_05.xlsx&amp;sheet=A0&amp;row=632&amp;col=7&amp;number=0&amp;sourceID=14","0")</f>
        <v>0</v>
      </c>
    </row>
    <row r="633" spans="1:7">
      <c r="A633" s="3">
        <v>10</v>
      </c>
      <c r="B633" s="3">
        <v>5</v>
      </c>
      <c r="C633" s="3">
        <v>83</v>
      </c>
      <c r="D633" s="3">
        <v>10</v>
      </c>
      <c r="E633" s="3">
        <v>123.162</v>
      </c>
      <c r="F633" s="4" t="str">
        <f>HYPERLINK("http://141.218.60.56/~jnz1568/getInfo.php?workbook=10_05.xlsx&amp;sheet=A0&amp;row=633&amp;col=6&amp;number=520000&amp;sourceID=14","520000")</f>
        <v>520000</v>
      </c>
      <c r="G633" s="4" t="str">
        <f>HYPERLINK("http://141.218.60.56/~jnz1568/getInfo.php?workbook=10_05.xlsx&amp;sheet=A0&amp;row=633&amp;col=7&amp;number=0&amp;sourceID=14","0")</f>
        <v>0</v>
      </c>
    </row>
    <row r="634" spans="1:7">
      <c r="A634" s="3">
        <v>10</v>
      </c>
      <c r="B634" s="3">
        <v>5</v>
      </c>
      <c r="C634" s="3">
        <v>84</v>
      </c>
      <c r="D634" s="3">
        <v>10</v>
      </c>
      <c r="E634" s="3">
        <v>123.162</v>
      </c>
      <c r="F634" s="4" t="str">
        <f>HYPERLINK("http://141.218.60.56/~jnz1568/getInfo.php?workbook=10_05.xlsx&amp;sheet=A0&amp;row=634&amp;col=6&amp;number=1950000&amp;sourceID=14","1950000")</f>
        <v>1950000</v>
      </c>
      <c r="G634" s="4" t="str">
        <f>HYPERLINK("http://141.218.60.56/~jnz1568/getInfo.php?workbook=10_05.xlsx&amp;sheet=A0&amp;row=634&amp;col=7&amp;number=0&amp;sourceID=14","0")</f>
        <v>0</v>
      </c>
    </row>
    <row r="635" spans="1:7">
      <c r="A635" s="3">
        <v>10</v>
      </c>
      <c r="B635" s="3">
        <v>5</v>
      </c>
      <c r="C635" s="3">
        <v>86</v>
      </c>
      <c r="D635" s="3">
        <v>10</v>
      </c>
      <c r="E635" s="3">
        <v>-123.024</v>
      </c>
      <c r="F635" s="4" t="str">
        <f>HYPERLINK("http://141.218.60.56/~jnz1568/getInfo.php?workbook=10_05.xlsx&amp;sheet=A0&amp;row=635&amp;col=6&amp;number=236000&amp;sourceID=14","236000")</f>
        <v>236000</v>
      </c>
      <c r="G635" s="4" t="str">
        <f>HYPERLINK("http://141.218.60.56/~jnz1568/getInfo.php?workbook=10_05.xlsx&amp;sheet=A0&amp;row=635&amp;col=7&amp;number=0&amp;sourceID=14","0")</f>
        <v>0</v>
      </c>
    </row>
    <row r="636" spans="1:7">
      <c r="A636" s="3">
        <v>10</v>
      </c>
      <c r="B636" s="3">
        <v>5</v>
      </c>
      <c r="C636" s="3">
        <v>88</v>
      </c>
      <c r="D636" s="3">
        <v>10</v>
      </c>
      <c r="E636" s="3">
        <v>122.686</v>
      </c>
      <c r="F636" s="4" t="str">
        <f>HYPERLINK("http://141.218.60.56/~jnz1568/getInfo.php?workbook=10_05.xlsx&amp;sheet=A0&amp;row=636&amp;col=6&amp;number=15900000&amp;sourceID=14","15900000")</f>
        <v>15900000</v>
      </c>
      <c r="G636" s="4" t="str">
        <f>HYPERLINK("http://141.218.60.56/~jnz1568/getInfo.php?workbook=10_05.xlsx&amp;sheet=A0&amp;row=636&amp;col=7&amp;number=0&amp;sourceID=14","0")</f>
        <v>0</v>
      </c>
    </row>
    <row r="637" spans="1:7">
      <c r="A637" s="3">
        <v>10</v>
      </c>
      <c r="B637" s="3">
        <v>5</v>
      </c>
      <c r="C637" s="3">
        <v>89</v>
      </c>
      <c r="D637" s="3">
        <v>10</v>
      </c>
      <c r="E637" s="3">
        <v>122.63</v>
      </c>
      <c r="F637" s="4" t="str">
        <f>HYPERLINK("http://141.218.60.56/~jnz1568/getInfo.php?workbook=10_05.xlsx&amp;sheet=A0&amp;row=637&amp;col=6&amp;number=4020000&amp;sourceID=14","4020000")</f>
        <v>4020000</v>
      </c>
      <c r="G637" s="4" t="str">
        <f>HYPERLINK("http://141.218.60.56/~jnz1568/getInfo.php?workbook=10_05.xlsx&amp;sheet=A0&amp;row=637&amp;col=7&amp;number=0&amp;sourceID=14","0")</f>
        <v>0</v>
      </c>
    </row>
    <row r="638" spans="1:7">
      <c r="A638" s="3">
        <v>10</v>
      </c>
      <c r="B638" s="3">
        <v>5</v>
      </c>
      <c r="C638" s="3">
        <v>90</v>
      </c>
      <c r="D638" s="3">
        <v>10</v>
      </c>
      <c r="E638" s="3">
        <v>122.545</v>
      </c>
      <c r="F638" s="4" t="str">
        <f>HYPERLINK("http://141.218.60.56/~jnz1568/getInfo.php?workbook=10_05.xlsx&amp;sheet=A0&amp;row=638&amp;col=6&amp;number=58100000&amp;sourceID=14","58100000")</f>
        <v>58100000</v>
      </c>
      <c r="G638" s="4" t="str">
        <f>HYPERLINK("http://141.218.60.56/~jnz1568/getInfo.php?workbook=10_05.xlsx&amp;sheet=A0&amp;row=638&amp;col=7&amp;number=0&amp;sourceID=14","0")</f>
        <v>0</v>
      </c>
    </row>
    <row r="639" spans="1:7">
      <c r="A639" s="3">
        <v>10</v>
      </c>
      <c r="B639" s="3">
        <v>5</v>
      </c>
      <c r="C639" s="3">
        <v>91</v>
      </c>
      <c r="D639" s="3">
        <v>10</v>
      </c>
      <c r="E639" s="3">
        <v>-121.373</v>
      </c>
      <c r="F639" s="4" t="str">
        <f>HYPERLINK("http://141.218.60.56/~jnz1568/getInfo.php?workbook=10_05.xlsx&amp;sheet=A0&amp;row=639&amp;col=6&amp;number=3770000000&amp;sourceID=14","3770000000")</f>
        <v>3770000000</v>
      </c>
      <c r="G639" s="4" t="str">
        <f>HYPERLINK("http://141.218.60.56/~jnz1568/getInfo.php?workbook=10_05.xlsx&amp;sheet=A0&amp;row=639&amp;col=7&amp;number=0&amp;sourceID=14","0")</f>
        <v>0</v>
      </c>
    </row>
    <row r="640" spans="1:7">
      <c r="A640" s="3">
        <v>10</v>
      </c>
      <c r="B640" s="3">
        <v>5</v>
      </c>
      <c r="C640" s="3">
        <v>92</v>
      </c>
      <c r="D640" s="3">
        <v>10</v>
      </c>
      <c r="E640" s="3">
        <v>-121.25</v>
      </c>
      <c r="F640" s="4" t="str">
        <f>HYPERLINK("http://141.218.60.56/~jnz1568/getInfo.php?workbook=10_05.xlsx&amp;sheet=A0&amp;row=640&amp;col=6&amp;number=24300000000&amp;sourceID=14","24300000000")</f>
        <v>24300000000</v>
      </c>
      <c r="G640" s="4" t="str">
        <f>HYPERLINK("http://141.218.60.56/~jnz1568/getInfo.php?workbook=10_05.xlsx&amp;sheet=A0&amp;row=640&amp;col=7&amp;number=0&amp;sourceID=14","0")</f>
        <v>0</v>
      </c>
    </row>
    <row r="641" spans="1:7">
      <c r="A641" s="3">
        <v>10</v>
      </c>
      <c r="B641" s="3">
        <v>5</v>
      </c>
      <c r="C641" s="3">
        <v>93</v>
      </c>
      <c r="D641" s="3">
        <v>10</v>
      </c>
      <c r="E641" s="3">
        <v>-120.12</v>
      </c>
      <c r="F641" s="4" t="str">
        <f>HYPERLINK("http://141.218.60.56/~jnz1568/getInfo.php?workbook=10_05.xlsx&amp;sheet=A0&amp;row=641&amp;col=6&amp;number=6580000000&amp;sourceID=14","6580000000")</f>
        <v>6580000000</v>
      </c>
      <c r="G641" s="4" t="str">
        <f>HYPERLINK("http://141.218.60.56/~jnz1568/getInfo.php?workbook=10_05.xlsx&amp;sheet=A0&amp;row=641&amp;col=7&amp;number=0&amp;sourceID=14","0")</f>
        <v>0</v>
      </c>
    </row>
    <row r="642" spans="1:7">
      <c r="A642" s="3">
        <v>10</v>
      </c>
      <c r="B642" s="3">
        <v>5</v>
      </c>
      <c r="C642" s="3">
        <v>94</v>
      </c>
      <c r="D642" s="3">
        <v>10</v>
      </c>
      <c r="E642" s="3">
        <v>-120.098</v>
      </c>
      <c r="F642" s="4" t="str">
        <f>HYPERLINK("http://141.218.60.56/~jnz1568/getInfo.php?workbook=10_05.xlsx&amp;sheet=A0&amp;row=642&amp;col=6&amp;number=15200000000&amp;sourceID=14","15200000000")</f>
        <v>15200000000</v>
      </c>
      <c r="G642" s="4" t="str">
        <f>HYPERLINK("http://141.218.60.56/~jnz1568/getInfo.php?workbook=10_05.xlsx&amp;sheet=A0&amp;row=642&amp;col=7&amp;number=0&amp;sourceID=14","0")</f>
        <v>0</v>
      </c>
    </row>
    <row r="643" spans="1:7">
      <c r="A643" s="3">
        <v>10</v>
      </c>
      <c r="B643" s="3">
        <v>5</v>
      </c>
      <c r="C643" s="3">
        <v>95</v>
      </c>
      <c r="D643" s="3">
        <v>10</v>
      </c>
      <c r="E643" s="3">
        <v>120.058</v>
      </c>
      <c r="F643" s="4" t="str">
        <f>HYPERLINK("http://141.218.60.56/~jnz1568/getInfo.php?workbook=10_05.xlsx&amp;sheet=A0&amp;row=643&amp;col=6&amp;number=1620000&amp;sourceID=14","1620000")</f>
        <v>1620000</v>
      </c>
      <c r="G643" s="4" t="str">
        <f>HYPERLINK("http://141.218.60.56/~jnz1568/getInfo.php?workbook=10_05.xlsx&amp;sheet=A0&amp;row=643&amp;col=7&amp;number=0&amp;sourceID=14","0")</f>
        <v>0</v>
      </c>
    </row>
    <row r="644" spans="1:7">
      <c r="A644" s="3">
        <v>10</v>
      </c>
      <c r="B644" s="3">
        <v>5</v>
      </c>
      <c r="C644" s="3">
        <v>96</v>
      </c>
      <c r="D644" s="3">
        <v>10</v>
      </c>
      <c r="E644" s="3">
        <v>118.243</v>
      </c>
      <c r="F644" s="4" t="str">
        <f>HYPERLINK("http://141.218.60.56/~jnz1568/getInfo.php?workbook=10_05.xlsx&amp;sheet=A0&amp;row=644&amp;col=6&amp;number=3040000&amp;sourceID=14","3040000")</f>
        <v>3040000</v>
      </c>
      <c r="G644" s="4" t="str">
        <f>HYPERLINK("http://141.218.60.56/~jnz1568/getInfo.php?workbook=10_05.xlsx&amp;sheet=A0&amp;row=644&amp;col=7&amp;number=0&amp;sourceID=14","0")</f>
        <v>0</v>
      </c>
    </row>
    <row r="645" spans="1:7">
      <c r="A645" s="3">
        <v>10</v>
      </c>
      <c r="B645" s="3">
        <v>5</v>
      </c>
      <c r="C645" s="3">
        <v>98</v>
      </c>
      <c r="D645" s="3">
        <v>10</v>
      </c>
      <c r="E645" s="3">
        <v>-117.739</v>
      </c>
      <c r="F645" s="4" t="str">
        <f>HYPERLINK("http://141.218.60.56/~jnz1568/getInfo.php?workbook=10_05.xlsx&amp;sheet=A0&amp;row=645&amp;col=6&amp;number=1730000&amp;sourceID=14","1730000")</f>
        <v>1730000</v>
      </c>
      <c r="G645" s="4" t="str">
        <f>HYPERLINK("http://141.218.60.56/~jnz1568/getInfo.php?workbook=10_05.xlsx&amp;sheet=A0&amp;row=645&amp;col=7&amp;number=0&amp;sourceID=14","0")</f>
        <v>0</v>
      </c>
    </row>
    <row r="646" spans="1:7">
      <c r="A646" s="3">
        <v>10</v>
      </c>
      <c r="B646" s="3">
        <v>5</v>
      </c>
      <c r="C646" s="3">
        <v>101</v>
      </c>
      <c r="D646" s="3">
        <v>10</v>
      </c>
      <c r="E646" s="3">
        <v>-117.679</v>
      </c>
      <c r="F646" s="4" t="str">
        <f>HYPERLINK("http://141.218.60.56/~jnz1568/getInfo.php?workbook=10_05.xlsx&amp;sheet=A0&amp;row=646&amp;col=6&amp;number=12700000&amp;sourceID=14","12700000")</f>
        <v>12700000</v>
      </c>
      <c r="G646" s="4" t="str">
        <f>HYPERLINK("http://141.218.60.56/~jnz1568/getInfo.php?workbook=10_05.xlsx&amp;sheet=A0&amp;row=646&amp;col=7&amp;number=0&amp;sourceID=14","0")</f>
        <v>0</v>
      </c>
    </row>
    <row r="647" spans="1:7">
      <c r="A647" s="3">
        <v>10</v>
      </c>
      <c r="B647" s="3">
        <v>5</v>
      </c>
      <c r="C647" s="3">
        <v>103</v>
      </c>
      <c r="D647" s="3">
        <v>10</v>
      </c>
      <c r="E647" s="3">
        <v>-117.577</v>
      </c>
      <c r="F647" s="4" t="str">
        <f>HYPERLINK("http://141.218.60.56/~jnz1568/getInfo.php?workbook=10_05.xlsx&amp;sheet=A0&amp;row=647&amp;col=6&amp;number=1320000&amp;sourceID=14","1320000")</f>
        <v>1320000</v>
      </c>
      <c r="G647" s="4" t="str">
        <f>HYPERLINK("http://141.218.60.56/~jnz1568/getInfo.php?workbook=10_05.xlsx&amp;sheet=A0&amp;row=647&amp;col=7&amp;number=0&amp;sourceID=14","0")</f>
        <v>0</v>
      </c>
    </row>
    <row r="648" spans="1:7">
      <c r="A648" s="3">
        <v>10</v>
      </c>
      <c r="B648" s="3">
        <v>5</v>
      </c>
      <c r="C648" s="3">
        <v>110</v>
      </c>
      <c r="D648" s="3">
        <v>10</v>
      </c>
      <c r="E648" s="3">
        <v>-116.711</v>
      </c>
      <c r="F648" s="4" t="str">
        <f>HYPERLINK("http://141.218.60.56/~jnz1568/getInfo.php?workbook=10_05.xlsx&amp;sheet=A0&amp;row=648&amp;col=6&amp;number=1840000000&amp;sourceID=14","1840000000")</f>
        <v>1840000000</v>
      </c>
      <c r="G648" s="4" t="str">
        <f>HYPERLINK("http://141.218.60.56/~jnz1568/getInfo.php?workbook=10_05.xlsx&amp;sheet=A0&amp;row=648&amp;col=7&amp;number=0&amp;sourceID=14","0")</f>
        <v>0</v>
      </c>
    </row>
    <row r="649" spans="1:7">
      <c r="A649" s="3">
        <v>10</v>
      </c>
      <c r="B649" s="3">
        <v>5</v>
      </c>
      <c r="C649" s="3">
        <v>112</v>
      </c>
      <c r="D649" s="3">
        <v>10</v>
      </c>
      <c r="E649" s="3">
        <v>-116.622</v>
      </c>
      <c r="F649" s="4" t="str">
        <f>HYPERLINK("http://141.218.60.56/~jnz1568/getInfo.php?workbook=10_05.xlsx&amp;sheet=A0&amp;row=649&amp;col=6&amp;number=3960000000&amp;sourceID=14","3960000000")</f>
        <v>3960000000</v>
      </c>
      <c r="G649" s="4" t="str">
        <f>HYPERLINK("http://141.218.60.56/~jnz1568/getInfo.php?workbook=10_05.xlsx&amp;sheet=A0&amp;row=649&amp;col=7&amp;number=0&amp;sourceID=14","0")</f>
        <v>0</v>
      </c>
    </row>
    <row r="650" spans="1:7">
      <c r="A650" s="3">
        <v>10</v>
      </c>
      <c r="B650" s="3">
        <v>5</v>
      </c>
      <c r="C650" s="3">
        <v>113</v>
      </c>
      <c r="D650" s="3">
        <v>10</v>
      </c>
      <c r="E650" s="3">
        <v>116.516</v>
      </c>
      <c r="F650" s="4" t="str">
        <f>HYPERLINK("http://141.218.60.56/~jnz1568/getInfo.php?workbook=10_05.xlsx&amp;sheet=A0&amp;row=650&amp;col=6&amp;number=20000000000&amp;sourceID=14","20000000000")</f>
        <v>20000000000</v>
      </c>
      <c r="G650" s="4" t="str">
        <f>HYPERLINK("http://141.218.60.56/~jnz1568/getInfo.php?workbook=10_05.xlsx&amp;sheet=A0&amp;row=650&amp;col=7&amp;number=0&amp;sourceID=14","0")</f>
        <v>0</v>
      </c>
    </row>
    <row r="651" spans="1:7">
      <c r="A651" s="3">
        <v>10</v>
      </c>
      <c r="B651" s="3">
        <v>5</v>
      </c>
      <c r="C651" s="3">
        <v>114</v>
      </c>
      <c r="D651" s="3">
        <v>10</v>
      </c>
      <c r="E651" s="3">
        <v>116.516</v>
      </c>
      <c r="F651" s="4" t="str">
        <f>HYPERLINK("http://141.218.60.56/~jnz1568/getInfo.php?workbook=10_05.xlsx&amp;sheet=A0&amp;row=651&amp;col=6&amp;number=3370000000&amp;sourceID=14","3370000000")</f>
        <v>3370000000</v>
      </c>
      <c r="G651" s="4" t="str">
        <f>HYPERLINK("http://141.218.60.56/~jnz1568/getInfo.php?workbook=10_05.xlsx&amp;sheet=A0&amp;row=651&amp;col=7&amp;number=0&amp;sourceID=14","0")</f>
        <v>0</v>
      </c>
    </row>
    <row r="652" spans="1:7">
      <c r="A652" s="3">
        <v>10</v>
      </c>
      <c r="B652" s="3">
        <v>5</v>
      </c>
      <c r="C652" s="3">
        <v>127</v>
      </c>
      <c r="D652" s="3">
        <v>10</v>
      </c>
      <c r="E652" s="3">
        <v>-114.83</v>
      </c>
      <c r="F652" s="4" t="str">
        <f>HYPERLINK("http://141.218.60.56/~jnz1568/getInfo.php?workbook=10_05.xlsx&amp;sheet=A0&amp;row=652&amp;col=6&amp;number=1550000000&amp;sourceID=14","1550000000")</f>
        <v>1550000000</v>
      </c>
      <c r="G652" s="4" t="str">
        <f>HYPERLINK("http://141.218.60.56/~jnz1568/getInfo.php?workbook=10_05.xlsx&amp;sheet=A0&amp;row=652&amp;col=7&amp;number=0&amp;sourceID=14","0")</f>
        <v>0</v>
      </c>
    </row>
    <row r="653" spans="1:7">
      <c r="A653" s="3">
        <v>10</v>
      </c>
      <c r="B653" s="3">
        <v>5</v>
      </c>
      <c r="C653" s="3">
        <v>128</v>
      </c>
      <c r="D653" s="3">
        <v>10</v>
      </c>
      <c r="E653" s="3">
        <v>-114.771</v>
      </c>
      <c r="F653" s="4" t="str">
        <f>HYPERLINK("http://141.218.60.56/~jnz1568/getInfo.php?workbook=10_05.xlsx&amp;sheet=A0&amp;row=653&amp;col=6&amp;number=4800000000&amp;sourceID=14","4800000000")</f>
        <v>4800000000</v>
      </c>
      <c r="G653" s="4" t="str">
        <f>HYPERLINK("http://141.218.60.56/~jnz1568/getInfo.php?workbook=10_05.xlsx&amp;sheet=A0&amp;row=653&amp;col=7&amp;number=0&amp;sourceID=14","0")</f>
        <v>0</v>
      </c>
    </row>
    <row r="654" spans="1:7">
      <c r="A654" s="3">
        <v>10</v>
      </c>
      <c r="B654" s="3">
        <v>5</v>
      </c>
      <c r="C654" s="3">
        <v>134</v>
      </c>
      <c r="D654" s="3">
        <v>10</v>
      </c>
      <c r="E654" s="3">
        <v>-114.184</v>
      </c>
      <c r="F654" s="4" t="str">
        <f>HYPERLINK("http://141.218.60.56/~jnz1568/getInfo.php?workbook=10_05.xlsx&amp;sheet=A0&amp;row=654&amp;col=6&amp;number=3750000&amp;sourceID=14","3750000")</f>
        <v>3750000</v>
      </c>
      <c r="G654" s="4" t="str">
        <f>HYPERLINK("http://141.218.60.56/~jnz1568/getInfo.php?workbook=10_05.xlsx&amp;sheet=A0&amp;row=654&amp;col=7&amp;number=0&amp;sourceID=14","0")</f>
        <v>0</v>
      </c>
    </row>
    <row r="655" spans="1:7">
      <c r="A655" s="3">
        <v>10</v>
      </c>
      <c r="B655" s="3">
        <v>5</v>
      </c>
      <c r="C655" s="3">
        <v>135</v>
      </c>
      <c r="D655" s="3">
        <v>10</v>
      </c>
      <c r="E655" s="3">
        <v>-114.153</v>
      </c>
      <c r="F655" s="4" t="str">
        <f>HYPERLINK("http://141.218.60.56/~jnz1568/getInfo.php?workbook=10_05.xlsx&amp;sheet=A0&amp;row=655&amp;col=6&amp;number=10400000&amp;sourceID=14","10400000")</f>
        <v>10400000</v>
      </c>
      <c r="G655" s="4" t="str">
        <f>HYPERLINK("http://141.218.60.56/~jnz1568/getInfo.php?workbook=10_05.xlsx&amp;sheet=A0&amp;row=655&amp;col=7&amp;number=0&amp;sourceID=14","0")</f>
        <v>0</v>
      </c>
    </row>
    <row r="656" spans="1:7">
      <c r="A656" s="3">
        <v>10</v>
      </c>
      <c r="B656" s="3">
        <v>5</v>
      </c>
      <c r="C656" s="3">
        <v>141</v>
      </c>
      <c r="D656" s="3">
        <v>10</v>
      </c>
      <c r="E656" s="3">
        <v>-113.574</v>
      </c>
      <c r="F656" s="4" t="str">
        <f>HYPERLINK("http://141.218.60.56/~jnz1568/getInfo.php?workbook=10_05.xlsx&amp;sheet=A0&amp;row=656&amp;col=6&amp;number=656000&amp;sourceID=14","656000")</f>
        <v>656000</v>
      </c>
      <c r="G656" s="4" t="str">
        <f>HYPERLINK("http://141.218.60.56/~jnz1568/getInfo.php?workbook=10_05.xlsx&amp;sheet=A0&amp;row=656&amp;col=7&amp;number=0&amp;sourceID=14","0")</f>
        <v>0</v>
      </c>
    </row>
    <row r="657" spans="1:7">
      <c r="A657" s="3">
        <v>10</v>
      </c>
      <c r="B657" s="3">
        <v>5</v>
      </c>
      <c r="C657" s="3">
        <v>142</v>
      </c>
      <c r="D657" s="3">
        <v>10</v>
      </c>
      <c r="E657" s="3">
        <v>113.567</v>
      </c>
      <c r="F657" s="4" t="str">
        <f>HYPERLINK("http://141.218.60.56/~jnz1568/getInfo.php?workbook=10_05.xlsx&amp;sheet=A0&amp;row=657&amp;col=6&amp;number=10900000&amp;sourceID=14","10900000")</f>
        <v>10900000</v>
      </c>
      <c r="G657" s="4" t="str">
        <f>HYPERLINK("http://141.218.60.56/~jnz1568/getInfo.php?workbook=10_05.xlsx&amp;sheet=A0&amp;row=657&amp;col=7&amp;number=0&amp;sourceID=14","0")</f>
        <v>0</v>
      </c>
    </row>
    <row r="658" spans="1:7">
      <c r="A658" s="3">
        <v>10</v>
      </c>
      <c r="B658" s="3">
        <v>5</v>
      </c>
      <c r="C658" s="3">
        <v>143</v>
      </c>
      <c r="D658" s="3">
        <v>10</v>
      </c>
      <c r="E658" s="3">
        <v>113.535</v>
      </c>
      <c r="F658" s="4" t="str">
        <f>HYPERLINK("http://141.218.60.56/~jnz1568/getInfo.php?workbook=10_05.xlsx&amp;sheet=A0&amp;row=658&amp;col=6&amp;number=162000000&amp;sourceID=14","162000000")</f>
        <v>162000000</v>
      </c>
      <c r="G658" s="4" t="str">
        <f>HYPERLINK("http://141.218.60.56/~jnz1568/getInfo.php?workbook=10_05.xlsx&amp;sheet=A0&amp;row=658&amp;col=7&amp;number=0&amp;sourceID=14","0")</f>
        <v>0</v>
      </c>
    </row>
    <row r="659" spans="1:7">
      <c r="A659" s="3">
        <v>10</v>
      </c>
      <c r="B659" s="3">
        <v>5</v>
      </c>
      <c r="C659" s="3">
        <v>145</v>
      </c>
      <c r="D659" s="3">
        <v>10</v>
      </c>
      <c r="E659" s="3">
        <v>113.392</v>
      </c>
      <c r="F659" s="4" t="str">
        <f>HYPERLINK("http://141.218.60.56/~jnz1568/getInfo.php?workbook=10_05.xlsx&amp;sheet=A0&amp;row=659&amp;col=6&amp;number=1740000000&amp;sourceID=14","1740000000")</f>
        <v>1740000000</v>
      </c>
      <c r="G659" s="4" t="str">
        <f>HYPERLINK("http://141.218.60.56/~jnz1568/getInfo.php?workbook=10_05.xlsx&amp;sheet=A0&amp;row=659&amp;col=7&amp;number=0&amp;sourceID=14","0")</f>
        <v>0</v>
      </c>
    </row>
    <row r="660" spans="1:7">
      <c r="A660" s="3">
        <v>10</v>
      </c>
      <c r="B660" s="3">
        <v>5</v>
      </c>
      <c r="C660" s="3">
        <v>146</v>
      </c>
      <c r="D660" s="3">
        <v>10</v>
      </c>
      <c r="E660" s="3">
        <v>113.392</v>
      </c>
      <c r="F660" s="4" t="str">
        <f>HYPERLINK("http://141.218.60.56/~jnz1568/getInfo.php?workbook=10_05.xlsx&amp;sheet=A0&amp;row=660&amp;col=6&amp;number=15700000000&amp;sourceID=14","15700000000")</f>
        <v>15700000000</v>
      </c>
      <c r="G660" s="4" t="str">
        <f>HYPERLINK("http://141.218.60.56/~jnz1568/getInfo.php?workbook=10_05.xlsx&amp;sheet=A0&amp;row=660&amp;col=7&amp;number=0&amp;sourceID=14","0")</f>
        <v>0</v>
      </c>
    </row>
    <row r="661" spans="1:7">
      <c r="A661" s="3">
        <v>10</v>
      </c>
      <c r="B661" s="3">
        <v>5</v>
      </c>
      <c r="C661" s="3">
        <v>147</v>
      </c>
      <c r="D661" s="3">
        <v>10</v>
      </c>
      <c r="E661" s="3">
        <v>113.316</v>
      </c>
      <c r="F661" s="4" t="str">
        <f>HYPERLINK("http://141.218.60.56/~jnz1568/getInfo.php?workbook=10_05.xlsx&amp;sheet=A0&amp;row=661&amp;col=6&amp;number=1710000000&amp;sourceID=14","1710000000")</f>
        <v>1710000000</v>
      </c>
      <c r="G661" s="4" t="str">
        <f>HYPERLINK("http://141.218.60.56/~jnz1568/getInfo.php?workbook=10_05.xlsx&amp;sheet=A0&amp;row=661&amp;col=7&amp;number=0&amp;sourceID=14","0")</f>
        <v>0</v>
      </c>
    </row>
    <row r="662" spans="1:7">
      <c r="A662" s="3">
        <v>10</v>
      </c>
      <c r="B662" s="3">
        <v>5</v>
      </c>
      <c r="C662" s="3">
        <v>148</v>
      </c>
      <c r="D662" s="3">
        <v>10</v>
      </c>
      <c r="E662" s="3">
        <v>113.303</v>
      </c>
      <c r="F662" s="4" t="str">
        <f>HYPERLINK("http://141.218.60.56/~jnz1568/getInfo.php?workbook=10_05.xlsx&amp;sheet=A0&amp;row=662&amp;col=6&amp;number=825000000&amp;sourceID=14","825000000")</f>
        <v>825000000</v>
      </c>
      <c r="G662" s="4" t="str">
        <f>HYPERLINK("http://141.218.60.56/~jnz1568/getInfo.php?workbook=10_05.xlsx&amp;sheet=A0&amp;row=662&amp;col=7&amp;number=0&amp;sourceID=14","0")</f>
        <v>0</v>
      </c>
    </row>
    <row r="663" spans="1:7">
      <c r="A663" s="3">
        <v>10</v>
      </c>
      <c r="B663" s="3">
        <v>5</v>
      </c>
      <c r="C663" s="3">
        <v>149</v>
      </c>
      <c r="D663" s="3">
        <v>10</v>
      </c>
      <c r="E663" s="3">
        <v>113.29</v>
      </c>
      <c r="F663" s="4" t="str">
        <f>HYPERLINK("http://141.218.60.56/~jnz1568/getInfo.php?workbook=10_05.xlsx&amp;sheet=A0&amp;row=663&amp;col=6&amp;number=34500&amp;sourceID=14","34500")</f>
        <v>34500</v>
      </c>
      <c r="G663" s="4" t="str">
        <f>HYPERLINK("http://141.218.60.56/~jnz1568/getInfo.php?workbook=10_05.xlsx&amp;sheet=A0&amp;row=663&amp;col=7&amp;number=0&amp;sourceID=14","0")</f>
        <v>0</v>
      </c>
    </row>
    <row r="664" spans="1:7">
      <c r="A664" s="3">
        <v>10</v>
      </c>
      <c r="B664" s="3">
        <v>5</v>
      </c>
      <c r="C664" s="3">
        <v>152</v>
      </c>
      <c r="D664" s="3">
        <v>10</v>
      </c>
      <c r="E664" s="3">
        <v>112.606</v>
      </c>
      <c r="F664" s="4" t="str">
        <f>HYPERLINK("http://141.218.60.56/~jnz1568/getInfo.php?workbook=10_05.xlsx&amp;sheet=A0&amp;row=664&amp;col=6&amp;number=66500000&amp;sourceID=14","66500000")</f>
        <v>66500000</v>
      </c>
      <c r="G664" s="4" t="str">
        <f>HYPERLINK("http://141.218.60.56/~jnz1568/getInfo.php?workbook=10_05.xlsx&amp;sheet=A0&amp;row=664&amp;col=7&amp;number=0&amp;sourceID=14","0")</f>
        <v>0</v>
      </c>
    </row>
    <row r="665" spans="1:7">
      <c r="A665" s="3">
        <v>10</v>
      </c>
      <c r="B665" s="3">
        <v>5</v>
      </c>
      <c r="C665" s="3">
        <v>158</v>
      </c>
      <c r="D665" s="3">
        <v>10</v>
      </c>
      <c r="E665" s="3">
        <v>-112.279</v>
      </c>
      <c r="F665" s="4" t="str">
        <f>HYPERLINK("http://141.218.60.56/~jnz1568/getInfo.php?workbook=10_05.xlsx&amp;sheet=A0&amp;row=665&amp;col=6&amp;number=8370000000&amp;sourceID=14","8370000000")</f>
        <v>8370000000</v>
      </c>
      <c r="G665" s="4" t="str">
        <f>HYPERLINK("http://141.218.60.56/~jnz1568/getInfo.php?workbook=10_05.xlsx&amp;sheet=A0&amp;row=665&amp;col=7&amp;number=0&amp;sourceID=14","0")</f>
        <v>0</v>
      </c>
    </row>
    <row r="666" spans="1:7">
      <c r="A666" s="3">
        <v>10</v>
      </c>
      <c r="B666" s="3">
        <v>5</v>
      </c>
      <c r="C666" s="3">
        <v>159</v>
      </c>
      <c r="D666" s="3">
        <v>10</v>
      </c>
      <c r="E666" s="3">
        <v>-112.225</v>
      </c>
      <c r="F666" s="4" t="str">
        <f>HYPERLINK("http://141.218.60.56/~jnz1568/getInfo.php?workbook=10_05.xlsx&amp;sheet=A0&amp;row=666&amp;col=6&amp;number=3270000000&amp;sourceID=14","3270000000")</f>
        <v>3270000000</v>
      </c>
      <c r="G666" s="4" t="str">
        <f>HYPERLINK("http://141.218.60.56/~jnz1568/getInfo.php?workbook=10_05.xlsx&amp;sheet=A0&amp;row=666&amp;col=7&amp;number=0&amp;sourceID=14","0")</f>
        <v>0</v>
      </c>
    </row>
    <row r="667" spans="1:7">
      <c r="A667" s="3">
        <v>10</v>
      </c>
      <c r="B667" s="3">
        <v>5</v>
      </c>
      <c r="C667" s="3">
        <v>164</v>
      </c>
      <c r="D667" s="3">
        <v>10</v>
      </c>
      <c r="E667" s="3">
        <v>-106.702</v>
      </c>
      <c r="F667" s="4" t="str">
        <f>HYPERLINK("http://141.218.60.56/~jnz1568/getInfo.php?workbook=10_05.xlsx&amp;sheet=A0&amp;row=667&amp;col=6&amp;number=2010000000&amp;sourceID=14","2010000000")</f>
        <v>2010000000</v>
      </c>
      <c r="G667" s="4" t="str">
        <f>HYPERLINK("http://141.218.60.56/~jnz1568/getInfo.php?workbook=10_05.xlsx&amp;sheet=A0&amp;row=667&amp;col=7&amp;number=0&amp;sourceID=14","0")</f>
        <v>0</v>
      </c>
    </row>
    <row r="668" spans="1:7">
      <c r="A668" s="3">
        <v>10</v>
      </c>
      <c r="B668" s="3">
        <v>5</v>
      </c>
      <c r="C668" s="3">
        <v>165</v>
      </c>
      <c r="D668" s="3">
        <v>10</v>
      </c>
      <c r="E668" s="3">
        <v>-106.686</v>
      </c>
      <c r="F668" s="4" t="str">
        <f>HYPERLINK("http://141.218.60.56/~jnz1568/getInfo.php?workbook=10_05.xlsx&amp;sheet=A0&amp;row=668&amp;col=6&amp;number=5000000000&amp;sourceID=14","5000000000")</f>
        <v>5000000000</v>
      </c>
      <c r="G668" s="4" t="str">
        <f>HYPERLINK("http://141.218.60.56/~jnz1568/getInfo.php?workbook=10_05.xlsx&amp;sheet=A0&amp;row=668&amp;col=7&amp;number=0&amp;sourceID=14","0")</f>
        <v>0</v>
      </c>
    </row>
    <row r="669" spans="1:7">
      <c r="A669" s="3">
        <v>10</v>
      </c>
      <c r="B669" s="3">
        <v>5</v>
      </c>
      <c r="C669" s="3">
        <v>166</v>
      </c>
      <c r="D669" s="3">
        <v>10</v>
      </c>
      <c r="E669" s="3">
        <v>-103.691</v>
      </c>
      <c r="F669" s="4" t="str">
        <f>HYPERLINK("http://141.218.60.56/~jnz1568/getInfo.php?workbook=10_05.xlsx&amp;sheet=A0&amp;row=669&amp;col=6&amp;number=1280000000&amp;sourceID=14","1280000000")</f>
        <v>1280000000</v>
      </c>
      <c r="G669" s="4" t="str">
        <f>HYPERLINK("http://141.218.60.56/~jnz1568/getInfo.php?workbook=10_05.xlsx&amp;sheet=A0&amp;row=669&amp;col=7&amp;number=0&amp;sourceID=14","0")</f>
        <v>0</v>
      </c>
    </row>
    <row r="670" spans="1:7">
      <c r="A670" s="3">
        <v>10</v>
      </c>
      <c r="B670" s="3">
        <v>5</v>
      </c>
      <c r="C670" s="3">
        <v>167</v>
      </c>
      <c r="D670" s="3">
        <v>10</v>
      </c>
      <c r="E670" s="3">
        <v>-103.686</v>
      </c>
      <c r="F670" s="4" t="str">
        <f>HYPERLINK("http://141.218.60.56/~jnz1568/getInfo.php?workbook=10_05.xlsx&amp;sheet=A0&amp;row=670&amp;col=6&amp;number=3160000000&amp;sourceID=14","3160000000")</f>
        <v>3160000000</v>
      </c>
      <c r="G670" s="4" t="str">
        <f>HYPERLINK("http://141.218.60.56/~jnz1568/getInfo.php?workbook=10_05.xlsx&amp;sheet=A0&amp;row=670&amp;col=7&amp;number=0&amp;sourceID=14","0")</f>
        <v>0</v>
      </c>
    </row>
    <row r="671" spans="1:7">
      <c r="A671" s="3">
        <v>10</v>
      </c>
      <c r="B671" s="3">
        <v>5</v>
      </c>
      <c r="C671" s="3">
        <v>176</v>
      </c>
      <c r="D671" s="3">
        <v>10</v>
      </c>
      <c r="E671" s="3">
        <v>-100.409</v>
      </c>
      <c r="F671" s="4" t="str">
        <f>HYPERLINK("http://141.218.60.56/~jnz1568/getInfo.php?workbook=10_05.xlsx&amp;sheet=A0&amp;row=671&amp;col=6&amp;number=275000&amp;sourceID=14","275000")</f>
        <v>275000</v>
      </c>
      <c r="G671" s="4" t="str">
        <f>HYPERLINK("http://141.218.60.56/~jnz1568/getInfo.php?workbook=10_05.xlsx&amp;sheet=A0&amp;row=671&amp;col=7&amp;number=0&amp;sourceID=14","0")</f>
        <v>0</v>
      </c>
    </row>
    <row r="672" spans="1:7">
      <c r="A672" s="3">
        <v>10</v>
      </c>
      <c r="B672" s="3">
        <v>5</v>
      </c>
      <c r="C672" s="3">
        <v>177</v>
      </c>
      <c r="D672" s="3">
        <v>10</v>
      </c>
      <c r="E672" s="3">
        <v>-100.319</v>
      </c>
      <c r="F672" s="4" t="str">
        <f>HYPERLINK("http://141.218.60.56/~jnz1568/getInfo.php?workbook=10_05.xlsx&amp;sheet=A0&amp;row=672&amp;col=6&amp;number=9860000000&amp;sourceID=14","9860000000")</f>
        <v>9860000000</v>
      </c>
      <c r="G672" s="4" t="str">
        <f>HYPERLINK("http://141.218.60.56/~jnz1568/getInfo.php?workbook=10_05.xlsx&amp;sheet=A0&amp;row=672&amp;col=7&amp;number=0&amp;sourceID=14","0")</f>
        <v>0</v>
      </c>
    </row>
    <row r="673" spans="1:7">
      <c r="A673" s="3">
        <v>10</v>
      </c>
      <c r="B673" s="3">
        <v>5</v>
      </c>
      <c r="C673" s="3">
        <v>178</v>
      </c>
      <c r="D673" s="3">
        <v>10</v>
      </c>
      <c r="E673" s="3">
        <v>-100.315</v>
      </c>
      <c r="F673" s="4" t="str">
        <f>HYPERLINK("http://141.218.60.56/~jnz1568/getInfo.php?workbook=10_05.xlsx&amp;sheet=A0&amp;row=673&amp;col=6&amp;number=59900000000&amp;sourceID=14","59900000000")</f>
        <v>59900000000</v>
      </c>
      <c r="G673" s="4" t="str">
        <f>HYPERLINK("http://141.218.60.56/~jnz1568/getInfo.php?workbook=10_05.xlsx&amp;sheet=A0&amp;row=673&amp;col=7&amp;number=0&amp;sourceID=14","0")</f>
        <v>0</v>
      </c>
    </row>
    <row r="674" spans="1:7">
      <c r="A674" s="3">
        <v>10</v>
      </c>
      <c r="B674" s="3">
        <v>5</v>
      </c>
      <c r="C674" s="3">
        <v>179</v>
      </c>
      <c r="D674" s="3">
        <v>10</v>
      </c>
      <c r="E674" s="3">
        <v>-99.909</v>
      </c>
      <c r="F674" s="4" t="str">
        <f>HYPERLINK("http://141.218.60.56/~jnz1568/getInfo.php?workbook=10_05.xlsx&amp;sheet=A0&amp;row=674&amp;col=6&amp;number=11700000000&amp;sourceID=14","11700000000")</f>
        <v>11700000000</v>
      </c>
      <c r="G674" s="4" t="str">
        <f>HYPERLINK("http://141.218.60.56/~jnz1568/getInfo.php?workbook=10_05.xlsx&amp;sheet=A0&amp;row=674&amp;col=7&amp;number=0&amp;sourceID=14","0")</f>
        <v>0</v>
      </c>
    </row>
    <row r="675" spans="1:7">
      <c r="A675" s="3">
        <v>10</v>
      </c>
      <c r="B675" s="3">
        <v>5</v>
      </c>
      <c r="C675" s="3">
        <v>180</v>
      </c>
      <c r="D675" s="3">
        <v>10</v>
      </c>
      <c r="E675" s="3">
        <v>-99.905</v>
      </c>
      <c r="F675" s="4" t="str">
        <f>HYPERLINK("http://141.218.60.56/~jnz1568/getInfo.php?workbook=10_05.xlsx&amp;sheet=A0&amp;row=675&amp;col=6&amp;number=29500000000&amp;sourceID=14","29500000000")</f>
        <v>29500000000</v>
      </c>
      <c r="G675" s="4" t="str">
        <f>HYPERLINK("http://141.218.60.56/~jnz1568/getInfo.php?workbook=10_05.xlsx&amp;sheet=A0&amp;row=675&amp;col=7&amp;number=0&amp;sourceID=14","0")</f>
        <v>0</v>
      </c>
    </row>
    <row r="676" spans="1:7">
      <c r="A676" s="3">
        <v>10</v>
      </c>
      <c r="B676" s="3">
        <v>5</v>
      </c>
      <c r="C676" s="3">
        <v>16</v>
      </c>
      <c r="D676" s="3">
        <v>11</v>
      </c>
      <c r="E676" s="3">
        <v>249.381</v>
      </c>
      <c r="F676" s="4" t="str">
        <f>HYPERLINK("http://141.218.60.56/~jnz1568/getInfo.php?workbook=10_05.xlsx&amp;sheet=A0&amp;row=676&amp;col=6&amp;number=562&amp;sourceID=14","562")</f>
        <v>562</v>
      </c>
      <c r="G676" s="4" t="str">
        <f>HYPERLINK("http://141.218.60.56/~jnz1568/getInfo.php?workbook=10_05.xlsx&amp;sheet=A0&amp;row=676&amp;col=7&amp;number=0&amp;sourceID=14","0")</f>
        <v>0</v>
      </c>
    </row>
    <row r="677" spans="1:7">
      <c r="A677" s="3">
        <v>10</v>
      </c>
      <c r="B677" s="3">
        <v>5</v>
      </c>
      <c r="C677" s="3">
        <v>19</v>
      </c>
      <c r="D677" s="3">
        <v>11</v>
      </c>
      <c r="E677" s="3">
        <v>202.107</v>
      </c>
      <c r="F677" s="4" t="str">
        <f>HYPERLINK("http://141.218.60.56/~jnz1568/getInfo.php?workbook=10_05.xlsx&amp;sheet=A0&amp;row=677&amp;col=6&amp;number=428&amp;sourceID=14","428")</f>
        <v>428</v>
      </c>
      <c r="G677" s="4" t="str">
        <f>HYPERLINK("http://141.218.60.56/~jnz1568/getInfo.php?workbook=10_05.xlsx&amp;sheet=A0&amp;row=677&amp;col=7&amp;number=0&amp;sourceID=14","0")</f>
        <v>0</v>
      </c>
    </row>
    <row r="678" spans="1:7">
      <c r="A678" s="3">
        <v>10</v>
      </c>
      <c r="B678" s="3">
        <v>5</v>
      </c>
      <c r="C678" s="3">
        <v>20</v>
      </c>
      <c r="D678" s="3">
        <v>11</v>
      </c>
      <c r="E678" s="3">
        <v>202.107</v>
      </c>
      <c r="F678" s="4" t="str">
        <f>HYPERLINK("http://141.218.60.56/~jnz1568/getInfo.php?workbook=10_05.xlsx&amp;sheet=A0&amp;row=678&amp;col=6&amp;number=2060&amp;sourceID=14","2060")</f>
        <v>2060</v>
      </c>
      <c r="G678" s="4" t="str">
        <f>HYPERLINK("http://141.218.60.56/~jnz1568/getInfo.php?workbook=10_05.xlsx&amp;sheet=A0&amp;row=678&amp;col=7&amp;number=0&amp;sourceID=14","0")</f>
        <v>0</v>
      </c>
    </row>
    <row r="679" spans="1:7">
      <c r="A679" s="3">
        <v>10</v>
      </c>
      <c r="B679" s="3">
        <v>5</v>
      </c>
      <c r="C679" s="3">
        <v>26</v>
      </c>
      <c r="D679" s="3">
        <v>11</v>
      </c>
      <c r="E679" s="3">
        <v>180.319</v>
      </c>
      <c r="F679" s="4" t="str">
        <f>HYPERLINK("http://141.218.60.56/~jnz1568/getInfo.php?workbook=10_05.xlsx&amp;sheet=A0&amp;row=679&amp;col=6&amp;number=1050&amp;sourceID=14","1050")</f>
        <v>1050</v>
      </c>
      <c r="G679" s="4" t="str">
        <f>HYPERLINK("http://141.218.60.56/~jnz1568/getInfo.php?workbook=10_05.xlsx&amp;sheet=A0&amp;row=679&amp;col=7&amp;number=0&amp;sourceID=14","0")</f>
        <v>0</v>
      </c>
    </row>
    <row r="680" spans="1:7">
      <c r="A680" s="3">
        <v>10</v>
      </c>
      <c r="B680" s="3">
        <v>5</v>
      </c>
      <c r="C680" s="3">
        <v>27</v>
      </c>
      <c r="D680" s="3">
        <v>11</v>
      </c>
      <c r="E680" s="3">
        <v>180.167</v>
      </c>
      <c r="F680" s="4" t="str">
        <f>HYPERLINK("http://141.218.60.56/~jnz1568/getInfo.php?workbook=10_05.xlsx&amp;sheet=A0&amp;row=680&amp;col=6&amp;number=8010&amp;sourceID=14","8010")</f>
        <v>8010</v>
      </c>
      <c r="G680" s="4" t="str">
        <f>HYPERLINK("http://141.218.60.56/~jnz1568/getInfo.php?workbook=10_05.xlsx&amp;sheet=A0&amp;row=680&amp;col=7&amp;number=0&amp;sourceID=14","0")</f>
        <v>0</v>
      </c>
    </row>
    <row r="681" spans="1:7">
      <c r="A681" s="3">
        <v>10</v>
      </c>
      <c r="B681" s="3">
        <v>5</v>
      </c>
      <c r="C681" s="3">
        <v>28</v>
      </c>
      <c r="D681" s="3">
        <v>11</v>
      </c>
      <c r="E681" s="3">
        <v>-179.766</v>
      </c>
      <c r="F681" s="4" t="str">
        <f>HYPERLINK("http://141.218.60.56/~jnz1568/getInfo.php?workbook=10_05.xlsx&amp;sheet=A0&amp;row=681&amp;col=6&amp;number=4000&amp;sourceID=14","4000")</f>
        <v>4000</v>
      </c>
      <c r="G681" s="4" t="str">
        <f>HYPERLINK("http://141.218.60.56/~jnz1568/getInfo.php?workbook=10_05.xlsx&amp;sheet=A0&amp;row=681&amp;col=7&amp;number=0&amp;sourceID=14","0")</f>
        <v>0</v>
      </c>
    </row>
    <row r="682" spans="1:7">
      <c r="A682" s="3">
        <v>10</v>
      </c>
      <c r="B682" s="3">
        <v>5</v>
      </c>
      <c r="C682" s="3">
        <v>29</v>
      </c>
      <c r="D682" s="3">
        <v>11</v>
      </c>
      <c r="E682" s="3">
        <v>-179.688</v>
      </c>
      <c r="F682" s="4" t="str">
        <f>HYPERLINK("http://141.218.60.56/~jnz1568/getInfo.php?workbook=10_05.xlsx&amp;sheet=A0&amp;row=682&amp;col=6&amp;number=13500&amp;sourceID=14","13500")</f>
        <v>13500</v>
      </c>
      <c r="G682" s="4" t="str">
        <f>HYPERLINK("http://141.218.60.56/~jnz1568/getInfo.php?workbook=10_05.xlsx&amp;sheet=A0&amp;row=682&amp;col=7&amp;number=0&amp;sourceID=14","0")</f>
        <v>0</v>
      </c>
    </row>
    <row r="683" spans="1:7">
      <c r="A683" s="3">
        <v>10</v>
      </c>
      <c r="B683" s="3">
        <v>5</v>
      </c>
      <c r="C683" s="3">
        <v>30</v>
      </c>
      <c r="D683" s="3">
        <v>11</v>
      </c>
      <c r="E683" s="3">
        <v>179.563</v>
      </c>
      <c r="F683" s="4" t="str">
        <f>HYPERLINK("http://141.218.60.56/~jnz1568/getInfo.php?workbook=10_05.xlsx&amp;sheet=A0&amp;row=683&amp;col=6&amp;number=14500&amp;sourceID=14","14500")</f>
        <v>14500</v>
      </c>
      <c r="G683" s="4" t="str">
        <f>HYPERLINK("http://141.218.60.56/~jnz1568/getInfo.php?workbook=10_05.xlsx&amp;sheet=A0&amp;row=683&amp;col=7&amp;number=0&amp;sourceID=14","0")</f>
        <v>0</v>
      </c>
    </row>
    <row r="684" spans="1:7">
      <c r="A684" s="3">
        <v>10</v>
      </c>
      <c r="B684" s="3">
        <v>5</v>
      </c>
      <c r="C684" s="3">
        <v>32</v>
      </c>
      <c r="D684" s="3">
        <v>11</v>
      </c>
      <c r="E684" s="3">
        <v>-176.952</v>
      </c>
      <c r="F684" s="4" t="str">
        <f>HYPERLINK("http://141.218.60.56/~jnz1568/getInfo.php?workbook=10_05.xlsx&amp;sheet=A0&amp;row=684&amp;col=6&amp;number=34200&amp;sourceID=14","34200")</f>
        <v>34200</v>
      </c>
      <c r="G684" s="4" t="str">
        <f>HYPERLINK("http://141.218.60.56/~jnz1568/getInfo.php?workbook=10_05.xlsx&amp;sheet=A0&amp;row=684&amp;col=7&amp;number=0&amp;sourceID=14","0")</f>
        <v>0</v>
      </c>
    </row>
    <row r="685" spans="1:7">
      <c r="A685" s="3">
        <v>10</v>
      </c>
      <c r="B685" s="3">
        <v>5</v>
      </c>
      <c r="C685" s="3">
        <v>33</v>
      </c>
      <c r="D685" s="3">
        <v>11</v>
      </c>
      <c r="E685" s="3">
        <v>-174.449</v>
      </c>
      <c r="F685" s="4" t="str">
        <f>HYPERLINK("http://141.218.60.56/~jnz1568/getInfo.php?workbook=10_05.xlsx&amp;sheet=A0&amp;row=685&amp;col=6&amp;number=27900000&amp;sourceID=14","27900000")</f>
        <v>27900000</v>
      </c>
      <c r="G685" s="4" t="str">
        <f>HYPERLINK("http://141.218.60.56/~jnz1568/getInfo.php?workbook=10_05.xlsx&amp;sheet=A0&amp;row=685&amp;col=7&amp;number=0&amp;sourceID=14","0")</f>
        <v>0</v>
      </c>
    </row>
    <row r="686" spans="1:7">
      <c r="A686" s="3">
        <v>10</v>
      </c>
      <c r="B686" s="3">
        <v>5</v>
      </c>
      <c r="C686" s="3">
        <v>34</v>
      </c>
      <c r="D686" s="3">
        <v>11</v>
      </c>
      <c r="E686" s="3">
        <v>-174.359</v>
      </c>
      <c r="F686" s="4" t="str">
        <f>HYPERLINK("http://141.218.60.56/~jnz1568/getInfo.php?workbook=10_05.xlsx&amp;sheet=A0&amp;row=686&amp;col=6&amp;number=28400000&amp;sourceID=14","28400000")</f>
        <v>28400000</v>
      </c>
      <c r="G686" s="4" t="str">
        <f>HYPERLINK("http://141.218.60.56/~jnz1568/getInfo.php?workbook=10_05.xlsx&amp;sheet=A0&amp;row=686&amp;col=7&amp;number=0&amp;sourceID=14","0")</f>
        <v>0</v>
      </c>
    </row>
    <row r="687" spans="1:7">
      <c r="A687" s="3">
        <v>10</v>
      </c>
      <c r="B687" s="3">
        <v>5</v>
      </c>
      <c r="C687" s="3">
        <v>35</v>
      </c>
      <c r="D687" s="3">
        <v>11</v>
      </c>
      <c r="E687" s="3">
        <v>-174.229</v>
      </c>
      <c r="F687" s="4" t="str">
        <f>HYPERLINK("http://141.218.60.56/~jnz1568/getInfo.php?workbook=10_05.xlsx&amp;sheet=A0&amp;row=687&amp;col=6&amp;number=29400000&amp;sourceID=14","29400000")</f>
        <v>29400000</v>
      </c>
      <c r="G687" s="4" t="str">
        <f>HYPERLINK("http://141.218.60.56/~jnz1568/getInfo.php?workbook=10_05.xlsx&amp;sheet=A0&amp;row=687&amp;col=7&amp;number=0&amp;sourceID=14","0")</f>
        <v>0</v>
      </c>
    </row>
    <row r="688" spans="1:7">
      <c r="A688" s="3">
        <v>10</v>
      </c>
      <c r="B688" s="3">
        <v>5</v>
      </c>
      <c r="C688" s="3">
        <v>36</v>
      </c>
      <c r="D688" s="3">
        <v>11</v>
      </c>
      <c r="E688" s="3">
        <v>172.866</v>
      </c>
      <c r="F688" s="4" t="str">
        <f>HYPERLINK("http://141.218.60.56/~jnz1568/getInfo.php?workbook=10_05.xlsx&amp;sheet=A0&amp;row=688&amp;col=6&amp;number=36000&amp;sourceID=14","36000")</f>
        <v>36000</v>
      </c>
      <c r="G688" s="4" t="str">
        <f>HYPERLINK("http://141.218.60.56/~jnz1568/getInfo.php?workbook=10_05.xlsx&amp;sheet=A0&amp;row=688&amp;col=7&amp;number=0&amp;sourceID=14","0")</f>
        <v>0</v>
      </c>
    </row>
    <row r="689" spans="1:7">
      <c r="A689" s="3">
        <v>10</v>
      </c>
      <c r="B689" s="3">
        <v>5</v>
      </c>
      <c r="C689" s="3">
        <v>37</v>
      </c>
      <c r="D689" s="3">
        <v>11</v>
      </c>
      <c r="E689" s="3">
        <v>172.628</v>
      </c>
      <c r="F689" s="4" t="str">
        <f>HYPERLINK("http://141.218.60.56/~jnz1568/getInfo.php?workbook=10_05.xlsx&amp;sheet=A0&amp;row=689&amp;col=6&amp;number=192000&amp;sourceID=14","192000")</f>
        <v>192000</v>
      </c>
      <c r="G689" s="4" t="str">
        <f>HYPERLINK("http://141.218.60.56/~jnz1568/getInfo.php?workbook=10_05.xlsx&amp;sheet=A0&amp;row=689&amp;col=7&amp;number=0&amp;sourceID=14","0")</f>
        <v>0</v>
      </c>
    </row>
    <row r="690" spans="1:7">
      <c r="A690" s="3">
        <v>10</v>
      </c>
      <c r="B690" s="3">
        <v>5</v>
      </c>
      <c r="C690" s="3">
        <v>40</v>
      </c>
      <c r="D690" s="3">
        <v>11</v>
      </c>
      <c r="E690" s="3">
        <v>168.565</v>
      </c>
      <c r="F690" s="4" t="str">
        <f>HYPERLINK("http://141.218.60.56/~jnz1568/getInfo.php?workbook=10_05.xlsx&amp;sheet=A0&amp;row=690&amp;col=6&amp;number=307000&amp;sourceID=14","307000")</f>
        <v>307000</v>
      </c>
      <c r="G690" s="4" t="str">
        <f>HYPERLINK("http://141.218.60.56/~jnz1568/getInfo.php?workbook=10_05.xlsx&amp;sheet=A0&amp;row=690&amp;col=7&amp;number=0&amp;sourceID=14","0")</f>
        <v>0</v>
      </c>
    </row>
    <row r="691" spans="1:7">
      <c r="A691" s="3">
        <v>10</v>
      </c>
      <c r="B691" s="3">
        <v>5</v>
      </c>
      <c r="C691" s="3">
        <v>58</v>
      </c>
      <c r="D691" s="3">
        <v>11</v>
      </c>
      <c r="E691" s="3">
        <v>151.199</v>
      </c>
      <c r="F691" s="4" t="str">
        <f>HYPERLINK("http://141.218.60.56/~jnz1568/getInfo.php?workbook=10_05.xlsx&amp;sheet=A0&amp;row=691&amp;col=6&amp;number=81300&amp;sourceID=14","81300")</f>
        <v>81300</v>
      </c>
      <c r="G691" s="4" t="str">
        <f>HYPERLINK("http://141.218.60.56/~jnz1568/getInfo.php?workbook=10_05.xlsx&amp;sheet=A0&amp;row=691&amp;col=7&amp;number=0&amp;sourceID=14","0")</f>
        <v>0</v>
      </c>
    </row>
    <row r="692" spans="1:7">
      <c r="A692" s="3">
        <v>10</v>
      </c>
      <c r="B692" s="3">
        <v>5</v>
      </c>
      <c r="C692" s="3">
        <v>59</v>
      </c>
      <c r="D692" s="3">
        <v>11</v>
      </c>
      <c r="E692" s="3">
        <v>150.516</v>
      </c>
      <c r="F692" s="4" t="str">
        <f>HYPERLINK("http://141.218.60.56/~jnz1568/getInfo.php?workbook=10_05.xlsx&amp;sheet=A0&amp;row=692&amp;col=6&amp;number=219000&amp;sourceID=14","219000")</f>
        <v>219000</v>
      </c>
      <c r="G692" s="4" t="str">
        <f>HYPERLINK("http://141.218.60.56/~jnz1568/getInfo.php?workbook=10_05.xlsx&amp;sheet=A0&amp;row=692&amp;col=7&amp;number=0&amp;sourceID=14","0")</f>
        <v>0</v>
      </c>
    </row>
    <row r="693" spans="1:7">
      <c r="A693" s="3">
        <v>10</v>
      </c>
      <c r="B693" s="3">
        <v>5</v>
      </c>
      <c r="C693" s="3">
        <v>60</v>
      </c>
      <c r="D693" s="3">
        <v>11</v>
      </c>
      <c r="E693" s="3">
        <v>150.484</v>
      </c>
      <c r="F693" s="4" t="str">
        <f>HYPERLINK("http://141.218.60.56/~jnz1568/getInfo.php?workbook=10_05.xlsx&amp;sheet=A0&amp;row=693&amp;col=6&amp;number=279000&amp;sourceID=14","279000")</f>
        <v>279000</v>
      </c>
      <c r="G693" s="4" t="str">
        <f>HYPERLINK("http://141.218.60.56/~jnz1568/getInfo.php?workbook=10_05.xlsx&amp;sheet=A0&amp;row=693&amp;col=7&amp;number=0&amp;sourceID=14","0")</f>
        <v>0</v>
      </c>
    </row>
    <row r="694" spans="1:7">
      <c r="A694" s="3">
        <v>10</v>
      </c>
      <c r="B694" s="3">
        <v>5</v>
      </c>
      <c r="C694" s="3">
        <v>61</v>
      </c>
      <c r="D694" s="3">
        <v>11</v>
      </c>
      <c r="E694" s="3">
        <v>150.143</v>
      </c>
      <c r="F694" s="4" t="str">
        <f>HYPERLINK("http://141.218.60.56/~jnz1568/getInfo.php?workbook=10_05.xlsx&amp;sheet=A0&amp;row=694&amp;col=6&amp;number=490000&amp;sourceID=14","490000")</f>
        <v>490000</v>
      </c>
      <c r="G694" s="4" t="str">
        <f>HYPERLINK("http://141.218.60.56/~jnz1568/getInfo.php?workbook=10_05.xlsx&amp;sheet=A0&amp;row=694&amp;col=7&amp;number=0&amp;sourceID=14","0")</f>
        <v>0</v>
      </c>
    </row>
    <row r="695" spans="1:7">
      <c r="A695" s="3">
        <v>10</v>
      </c>
      <c r="B695" s="3">
        <v>5</v>
      </c>
      <c r="C695" s="3">
        <v>62</v>
      </c>
      <c r="D695" s="3">
        <v>11</v>
      </c>
      <c r="E695" s="3">
        <v>150.075</v>
      </c>
      <c r="F695" s="4" t="str">
        <f>HYPERLINK("http://141.218.60.56/~jnz1568/getInfo.php?workbook=10_05.xlsx&amp;sheet=A0&amp;row=695&amp;col=6&amp;number=959000&amp;sourceID=14","959000")</f>
        <v>959000</v>
      </c>
      <c r="G695" s="4" t="str">
        <f>HYPERLINK("http://141.218.60.56/~jnz1568/getInfo.php?workbook=10_05.xlsx&amp;sheet=A0&amp;row=695&amp;col=7&amp;number=0&amp;sourceID=14","0")</f>
        <v>0</v>
      </c>
    </row>
    <row r="696" spans="1:7">
      <c r="A696" s="3">
        <v>10</v>
      </c>
      <c r="B696" s="3">
        <v>5</v>
      </c>
      <c r="C696" s="3">
        <v>63</v>
      </c>
      <c r="D696" s="3">
        <v>11</v>
      </c>
      <c r="E696" s="3">
        <v>148.725</v>
      </c>
      <c r="F696" s="4" t="str">
        <f>HYPERLINK("http://141.218.60.56/~jnz1568/getInfo.php?workbook=10_05.xlsx&amp;sheet=A0&amp;row=696&amp;col=6&amp;number=4060000&amp;sourceID=14","4060000")</f>
        <v>4060000</v>
      </c>
      <c r="G696" s="4" t="str">
        <f>HYPERLINK("http://141.218.60.56/~jnz1568/getInfo.php?workbook=10_05.xlsx&amp;sheet=A0&amp;row=696&amp;col=7&amp;number=0&amp;sourceID=14","0")</f>
        <v>0</v>
      </c>
    </row>
    <row r="697" spans="1:7">
      <c r="A697" s="3">
        <v>10</v>
      </c>
      <c r="B697" s="3">
        <v>5</v>
      </c>
      <c r="C697" s="3">
        <v>66</v>
      </c>
      <c r="D697" s="3">
        <v>11</v>
      </c>
      <c r="E697" s="3">
        <v>143.383</v>
      </c>
      <c r="F697" s="4" t="str">
        <f>HYPERLINK("http://141.218.60.56/~jnz1568/getInfo.php?workbook=10_05.xlsx&amp;sheet=A0&amp;row=697&amp;col=6&amp;number=4140&amp;sourceID=14","4140")</f>
        <v>4140</v>
      </c>
      <c r="G697" s="4" t="str">
        <f>HYPERLINK("http://141.218.60.56/~jnz1568/getInfo.php?workbook=10_05.xlsx&amp;sheet=A0&amp;row=697&amp;col=7&amp;number=0&amp;sourceID=14","0")</f>
        <v>0</v>
      </c>
    </row>
    <row r="698" spans="1:7">
      <c r="A698" s="3">
        <v>10</v>
      </c>
      <c r="B698" s="3">
        <v>5</v>
      </c>
      <c r="C698" s="3">
        <v>67</v>
      </c>
      <c r="D698" s="3">
        <v>11</v>
      </c>
      <c r="E698" s="3">
        <v>143.383</v>
      </c>
      <c r="F698" s="4" t="str">
        <f>HYPERLINK("http://141.218.60.56/~jnz1568/getInfo.php?workbook=10_05.xlsx&amp;sheet=A0&amp;row=698&amp;col=6&amp;number=16800&amp;sourceID=14","16800")</f>
        <v>16800</v>
      </c>
      <c r="G698" s="4" t="str">
        <f>HYPERLINK("http://141.218.60.56/~jnz1568/getInfo.php?workbook=10_05.xlsx&amp;sheet=A0&amp;row=698&amp;col=7&amp;number=0&amp;sourceID=14","0")</f>
        <v>0</v>
      </c>
    </row>
    <row r="699" spans="1:7">
      <c r="A699" s="3">
        <v>10</v>
      </c>
      <c r="B699" s="3">
        <v>5</v>
      </c>
      <c r="C699" s="3">
        <v>70</v>
      </c>
      <c r="D699" s="3">
        <v>11</v>
      </c>
      <c r="E699" s="3">
        <v>142.529</v>
      </c>
      <c r="F699" s="4" t="str">
        <f>HYPERLINK("http://141.218.60.56/~jnz1568/getInfo.php?workbook=10_05.xlsx&amp;sheet=A0&amp;row=699&amp;col=6&amp;number=18700000000&amp;sourceID=14","18700000000")</f>
        <v>18700000000</v>
      </c>
      <c r="G699" s="4" t="str">
        <f>HYPERLINK("http://141.218.60.56/~jnz1568/getInfo.php?workbook=10_05.xlsx&amp;sheet=A0&amp;row=699&amp;col=7&amp;number=0&amp;sourceID=14","0")</f>
        <v>0</v>
      </c>
    </row>
    <row r="700" spans="1:7">
      <c r="A700" s="3">
        <v>10</v>
      </c>
      <c r="B700" s="3">
        <v>5</v>
      </c>
      <c r="C700" s="3">
        <v>71</v>
      </c>
      <c r="D700" s="3">
        <v>11</v>
      </c>
      <c r="E700" s="3">
        <v>142.529</v>
      </c>
      <c r="F700" s="4" t="str">
        <f>HYPERLINK("http://141.218.60.56/~jnz1568/getInfo.php?workbook=10_05.xlsx&amp;sheet=A0&amp;row=700&amp;col=6&amp;number=18800000000&amp;sourceID=14","18800000000")</f>
        <v>18800000000</v>
      </c>
      <c r="G700" s="4" t="str">
        <f>HYPERLINK("http://141.218.60.56/~jnz1568/getInfo.php?workbook=10_05.xlsx&amp;sheet=A0&amp;row=700&amp;col=7&amp;number=0&amp;sourceID=14","0")</f>
        <v>0</v>
      </c>
    </row>
    <row r="701" spans="1:7">
      <c r="A701" s="3">
        <v>10</v>
      </c>
      <c r="B701" s="3">
        <v>5</v>
      </c>
      <c r="C701" s="3">
        <v>72</v>
      </c>
      <c r="D701" s="3">
        <v>11</v>
      </c>
      <c r="E701" s="3">
        <v>142.529</v>
      </c>
      <c r="F701" s="4" t="str">
        <f>HYPERLINK("http://141.218.60.56/~jnz1568/getInfo.php?workbook=10_05.xlsx&amp;sheet=A0&amp;row=701&amp;col=6&amp;number=18900000000&amp;sourceID=14","18900000000")</f>
        <v>18900000000</v>
      </c>
      <c r="G701" s="4" t="str">
        <f>HYPERLINK("http://141.218.60.56/~jnz1568/getInfo.php?workbook=10_05.xlsx&amp;sheet=A0&amp;row=701&amp;col=7&amp;number=0&amp;sourceID=14","0")</f>
        <v>0</v>
      </c>
    </row>
    <row r="702" spans="1:7">
      <c r="A702" s="3">
        <v>10</v>
      </c>
      <c r="B702" s="3">
        <v>5</v>
      </c>
      <c r="C702" s="3">
        <v>77</v>
      </c>
      <c r="D702" s="3">
        <v>11</v>
      </c>
      <c r="E702" s="3">
        <v>-137.744</v>
      </c>
      <c r="F702" s="4" t="str">
        <f>HYPERLINK("http://141.218.60.56/~jnz1568/getInfo.php?workbook=10_05.xlsx&amp;sheet=A0&amp;row=702&amp;col=6&amp;number=445000&amp;sourceID=14","445000")</f>
        <v>445000</v>
      </c>
      <c r="G702" s="4" t="str">
        <f>HYPERLINK("http://141.218.60.56/~jnz1568/getInfo.php?workbook=10_05.xlsx&amp;sheet=A0&amp;row=702&amp;col=7&amp;number=0&amp;sourceID=14","0")</f>
        <v>0</v>
      </c>
    </row>
    <row r="703" spans="1:7">
      <c r="A703" s="3">
        <v>10</v>
      </c>
      <c r="B703" s="3">
        <v>5</v>
      </c>
      <c r="C703" s="3">
        <v>78</v>
      </c>
      <c r="D703" s="3">
        <v>11</v>
      </c>
      <c r="E703" s="3">
        <v>-137.586</v>
      </c>
      <c r="F703" s="4" t="str">
        <f>HYPERLINK("http://141.218.60.56/~jnz1568/getInfo.php?workbook=10_05.xlsx&amp;sheet=A0&amp;row=703&amp;col=6&amp;number=985000&amp;sourceID=14","985000")</f>
        <v>985000</v>
      </c>
      <c r="G703" s="4" t="str">
        <f>HYPERLINK("http://141.218.60.56/~jnz1568/getInfo.php?workbook=10_05.xlsx&amp;sheet=A0&amp;row=703&amp;col=7&amp;number=0&amp;sourceID=14","0")</f>
        <v>0</v>
      </c>
    </row>
    <row r="704" spans="1:7">
      <c r="A704" s="3">
        <v>10</v>
      </c>
      <c r="B704" s="3">
        <v>5</v>
      </c>
      <c r="C704" s="3">
        <v>80</v>
      </c>
      <c r="D704" s="3">
        <v>11</v>
      </c>
      <c r="E704" s="3">
        <v>136.126</v>
      </c>
      <c r="F704" s="4" t="str">
        <f>HYPERLINK("http://141.218.60.56/~jnz1568/getInfo.php?workbook=10_05.xlsx&amp;sheet=A0&amp;row=704&amp;col=6&amp;number=509000&amp;sourceID=14","509000")</f>
        <v>509000</v>
      </c>
      <c r="G704" s="4" t="str">
        <f>HYPERLINK("http://141.218.60.56/~jnz1568/getInfo.php?workbook=10_05.xlsx&amp;sheet=A0&amp;row=704&amp;col=7&amp;number=0&amp;sourceID=14","0")</f>
        <v>0</v>
      </c>
    </row>
    <row r="705" spans="1:7">
      <c r="A705" s="3">
        <v>10</v>
      </c>
      <c r="B705" s="3">
        <v>5</v>
      </c>
      <c r="C705" s="3">
        <v>81</v>
      </c>
      <c r="D705" s="3">
        <v>11</v>
      </c>
      <c r="E705" s="3">
        <v>136.126</v>
      </c>
      <c r="F705" s="4" t="str">
        <f>HYPERLINK("http://141.218.60.56/~jnz1568/getInfo.php?workbook=10_05.xlsx&amp;sheet=A0&amp;row=705&amp;col=6&amp;number=2830000&amp;sourceID=14","2830000")</f>
        <v>2830000</v>
      </c>
      <c r="G705" s="4" t="str">
        <f>HYPERLINK("http://141.218.60.56/~jnz1568/getInfo.php?workbook=10_05.xlsx&amp;sheet=A0&amp;row=705&amp;col=7&amp;number=0&amp;sourceID=14","0")</f>
        <v>0</v>
      </c>
    </row>
    <row r="706" spans="1:7">
      <c r="A706" s="3">
        <v>10</v>
      </c>
      <c r="B706" s="3">
        <v>5</v>
      </c>
      <c r="C706" s="3">
        <v>99</v>
      </c>
      <c r="D706" s="3">
        <v>11</v>
      </c>
      <c r="E706" s="3">
        <v>-128.537</v>
      </c>
      <c r="F706" s="4" t="str">
        <f>HYPERLINK("http://141.218.60.56/~jnz1568/getInfo.php?workbook=10_05.xlsx&amp;sheet=A0&amp;row=706&amp;col=6&amp;number=154000&amp;sourceID=14","154000")</f>
        <v>154000</v>
      </c>
      <c r="G706" s="4" t="str">
        <f>HYPERLINK("http://141.218.60.56/~jnz1568/getInfo.php?workbook=10_05.xlsx&amp;sheet=A0&amp;row=706&amp;col=7&amp;number=0&amp;sourceID=14","0")</f>
        <v>0</v>
      </c>
    </row>
    <row r="707" spans="1:7">
      <c r="A707" s="3">
        <v>10</v>
      </c>
      <c r="B707" s="3">
        <v>5</v>
      </c>
      <c r="C707" s="3">
        <v>100</v>
      </c>
      <c r="D707" s="3">
        <v>11</v>
      </c>
      <c r="E707" s="3">
        <v>-128.493</v>
      </c>
      <c r="F707" s="4" t="str">
        <f>HYPERLINK("http://141.218.60.56/~jnz1568/getInfo.php?workbook=10_05.xlsx&amp;sheet=A0&amp;row=707&amp;col=6&amp;number=424000&amp;sourceID=14","424000")</f>
        <v>424000</v>
      </c>
      <c r="G707" s="4" t="str">
        <f>HYPERLINK("http://141.218.60.56/~jnz1568/getInfo.php?workbook=10_05.xlsx&amp;sheet=A0&amp;row=707&amp;col=7&amp;number=0&amp;sourceID=14","0")</f>
        <v>0</v>
      </c>
    </row>
    <row r="708" spans="1:7">
      <c r="A708" s="3">
        <v>10</v>
      </c>
      <c r="B708" s="3">
        <v>5</v>
      </c>
      <c r="C708" s="3">
        <v>105</v>
      </c>
      <c r="D708" s="3">
        <v>11</v>
      </c>
      <c r="E708" s="3">
        <v>-127.556</v>
      </c>
      <c r="F708" s="4" t="str">
        <f>HYPERLINK("http://141.218.60.56/~jnz1568/getInfo.php?workbook=10_05.xlsx&amp;sheet=A0&amp;row=708&amp;col=6&amp;number=74700000&amp;sourceID=14","74700000")</f>
        <v>74700000</v>
      </c>
      <c r="G708" s="4" t="str">
        <f>HYPERLINK("http://141.218.60.56/~jnz1568/getInfo.php?workbook=10_05.xlsx&amp;sheet=A0&amp;row=708&amp;col=7&amp;number=0&amp;sourceID=14","0")</f>
        <v>0</v>
      </c>
    </row>
    <row r="709" spans="1:7">
      <c r="A709" s="3">
        <v>10</v>
      </c>
      <c r="B709" s="3">
        <v>5</v>
      </c>
      <c r="C709" s="3">
        <v>106</v>
      </c>
      <c r="D709" s="3">
        <v>11</v>
      </c>
      <c r="E709" s="3">
        <v>-127.536</v>
      </c>
      <c r="F709" s="4" t="str">
        <f>HYPERLINK("http://141.218.60.56/~jnz1568/getInfo.php?workbook=10_05.xlsx&amp;sheet=A0&amp;row=709&amp;col=6&amp;number=251000000&amp;sourceID=14","251000000")</f>
        <v>251000000</v>
      </c>
      <c r="G709" s="4" t="str">
        <f>HYPERLINK("http://141.218.60.56/~jnz1568/getInfo.php?workbook=10_05.xlsx&amp;sheet=A0&amp;row=709&amp;col=7&amp;number=0&amp;sourceID=14","0")</f>
        <v>0</v>
      </c>
    </row>
    <row r="710" spans="1:7">
      <c r="A710" s="3">
        <v>10</v>
      </c>
      <c r="B710" s="3">
        <v>5</v>
      </c>
      <c r="C710" s="3">
        <v>107</v>
      </c>
      <c r="D710" s="3">
        <v>11</v>
      </c>
      <c r="E710" s="3">
        <v>-127.491</v>
      </c>
      <c r="F710" s="4" t="str">
        <f>HYPERLINK("http://141.218.60.56/~jnz1568/getInfo.php?workbook=10_05.xlsx&amp;sheet=A0&amp;row=710&amp;col=6&amp;number=337000000&amp;sourceID=14","337000000")</f>
        <v>337000000</v>
      </c>
      <c r="G710" s="4" t="str">
        <f>HYPERLINK("http://141.218.60.56/~jnz1568/getInfo.php?workbook=10_05.xlsx&amp;sheet=A0&amp;row=710&amp;col=7&amp;number=0&amp;sourceID=14","0")</f>
        <v>0</v>
      </c>
    </row>
    <row r="711" spans="1:7">
      <c r="A711" s="3">
        <v>10</v>
      </c>
      <c r="B711" s="3">
        <v>5</v>
      </c>
      <c r="C711" s="3">
        <v>109</v>
      </c>
      <c r="D711" s="3">
        <v>11</v>
      </c>
      <c r="E711" s="3">
        <v>-127.377</v>
      </c>
      <c r="F711" s="4" t="str">
        <f>HYPERLINK("http://141.218.60.56/~jnz1568/getInfo.php?workbook=10_05.xlsx&amp;sheet=A0&amp;row=711&amp;col=6&amp;number=173&amp;sourceID=14","173")</f>
        <v>173</v>
      </c>
      <c r="G711" s="4" t="str">
        <f>HYPERLINK("http://141.218.60.56/~jnz1568/getInfo.php?workbook=10_05.xlsx&amp;sheet=A0&amp;row=711&amp;col=7&amp;number=0&amp;sourceID=14","0")</f>
        <v>0</v>
      </c>
    </row>
    <row r="712" spans="1:7">
      <c r="A712" s="3">
        <v>10</v>
      </c>
      <c r="B712" s="3">
        <v>5</v>
      </c>
      <c r="C712" s="3">
        <v>111</v>
      </c>
      <c r="D712" s="3">
        <v>11</v>
      </c>
      <c r="E712" s="3">
        <v>-127.28</v>
      </c>
      <c r="F712" s="4" t="str">
        <f>HYPERLINK("http://141.218.60.56/~jnz1568/getInfo.php?workbook=10_05.xlsx&amp;sheet=A0&amp;row=712&amp;col=6&amp;number=689000&amp;sourceID=14","689000")</f>
        <v>689000</v>
      </c>
      <c r="G712" s="4" t="str">
        <f>HYPERLINK("http://141.218.60.56/~jnz1568/getInfo.php?workbook=10_05.xlsx&amp;sheet=A0&amp;row=712&amp;col=7&amp;number=0&amp;sourceID=14","0")</f>
        <v>0</v>
      </c>
    </row>
    <row r="713" spans="1:7">
      <c r="A713" s="3">
        <v>10</v>
      </c>
      <c r="B713" s="3">
        <v>5</v>
      </c>
      <c r="C713" s="3">
        <v>115</v>
      </c>
      <c r="D713" s="3">
        <v>11</v>
      </c>
      <c r="E713" s="3">
        <v>-126.174</v>
      </c>
      <c r="F713" s="4" t="str">
        <f>HYPERLINK("http://141.218.60.56/~jnz1568/getInfo.php?workbook=10_05.xlsx&amp;sheet=A0&amp;row=713&amp;col=6&amp;number=3440000&amp;sourceID=14","3440000")</f>
        <v>3440000</v>
      </c>
      <c r="G713" s="4" t="str">
        <f>HYPERLINK("http://141.218.60.56/~jnz1568/getInfo.php?workbook=10_05.xlsx&amp;sheet=A0&amp;row=713&amp;col=7&amp;number=0&amp;sourceID=14","0")</f>
        <v>0</v>
      </c>
    </row>
    <row r="714" spans="1:7">
      <c r="A714" s="3">
        <v>10</v>
      </c>
      <c r="B714" s="3">
        <v>5</v>
      </c>
      <c r="C714" s="3">
        <v>117</v>
      </c>
      <c r="D714" s="3">
        <v>11</v>
      </c>
      <c r="E714" s="3">
        <v>-125.997</v>
      </c>
      <c r="F714" s="4" t="str">
        <f>HYPERLINK("http://141.218.60.56/~jnz1568/getInfo.php?workbook=10_05.xlsx&amp;sheet=A0&amp;row=714&amp;col=6&amp;number=154000000000&amp;sourceID=14","154000000000")</f>
        <v>154000000000</v>
      </c>
      <c r="G714" s="4" t="str">
        <f>HYPERLINK("http://141.218.60.56/~jnz1568/getInfo.php?workbook=10_05.xlsx&amp;sheet=A0&amp;row=714&amp;col=7&amp;number=0&amp;sourceID=14","0")</f>
        <v>0</v>
      </c>
    </row>
    <row r="715" spans="1:7">
      <c r="A715" s="3">
        <v>10</v>
      </c>
      <c r="B715" s="3">
        <v>5</v>
      </c>
      <c r="C715" s="3">
        <v>118</v>
      </c>
      <c r="D715" s="3">
        <v>11</v>
      </c>
      <c r="E715" s="3">
        <v>-125.984</v>
      </c>
      <c r="F715" s="4" t="str">
        <f>HYPERLINK("http://141.218.60.56/~jnz1568/getInfo.php?workbook=10_05.xlsx&amp;sheet=A0&amp;row=715&amp;col=6&amp;number=145000000000&amp;sourceID=14","145000000000")</f>
        <v>145000000000</v>
      </c>
      <c r="G715" s="4" t="str">
        <f>HYPERLINK("http://141.218.60.56/~jnz1568/getInfo.php?workbook=10_05.xlsx&amp;sheet=A0&amp;row=715&amp;col=7&amp;number=0&amp;sourceID=14","0")</f>
        <v>0</v>
      </c>
    </row>
    <row r="716" spans="1:7">
      <c r="A716" s="3">
        <v>10</v>
      </c>
      <c r="B716" s="3">
        <v>5</v>
      </c>
      <c r="C716" s="3">
        <v>119</v>
      </c>
      <c r="D716" s="3">
        <v>11</v>
      </c>
      <c r="E716" s="3">
        <v>-125.977</v>
      </c>
      <c r="F716" s="4" t="str">
        <f>HYPERLINK("http://141.218.60.56/~jnz1568/getInfo.php?workbook=10_05.xlsx&amp;sheet=A0&amp;row=716&amp;col=6&amp;number=141000000000&amp;sourceID=14","141000000000")</f>
        <v>141000000000</v>
      </c>
      <c r="G716" s="4" t="str">
        <f>HYPERLINK("http://141.218.60.56/~jnz1568/getInfo.php?workbook=10_05.xlsx&amp;sheet=A0&amp;row=716&amp;col=7&amp;number=0&amp;sourceID=14","0")</f>
        <v>0</v>
      </c>
    </row>
    <row r="717" spans="1:7">
      <c r="A717" s="3">
        <v>10</v>
      </c>
      <c r="B717" s="3">
        <v>5</v>
      </c>
      <c r="C717" s="3">
        <v>120</v>
      </c>
      <c r="D717" s="3">
        <v>11</v>
      </c>
      <c r="E717" s="3">
        <v>-125.477</v>
      </c>
      <c r="F717" s="4" t="str">
        <f>HYPERLINK("http://141.218.60.56/~jnz1568/getInfo.php?workbook=10_05.xlsx&amp;sheet=A0&amp;row=717&amp;col=6&amp;number=44800000&amp;sourceID=14","44800000")</f>
        <v>44800000</v>
      </c>
      <c r="G717" s="4" t="str">
        <f>HYPERLINK("http://141.218.60.56/~jnz1568/getInfo.php?workbook=10_05.xlsx&amp;sheet=A0&amp;row=717&amp;col=7&amp;number=0&amp;sourceID=14","0")</f>
        <v>0</v>
      </c>
    </row>
    <row r="718" spans="1:7">
      <c r="A718" s="3">
        <v>10</v>
      </c>
      <c r="B718" s="3">
        <v>5</v>
      </c>
      <c r="C718" s="3">
        <v>121</v>
      </c>
      <c r="D718" s="3">
        <v>11</v>
      </c>
      <c r="E718" s="3">
        <v>-125.442</v>
      </c>
      <c r="F718" s="4" t="str">
        <f>HYPERLINK("http://141.218.60.56/~jnz1568/getInfo.php?workbook=10_05.xlsx&amp;sheet=A0&amp;row=718&amp;col=6&amp;number=142000000&amp;sourceID=14","142000000")</f>
        <v>142000000</v>
      </c>
      <c r="G718" s="4" t="str">
        <f>HYPERLINK("http://141.218.60.56/~jnz1568/getInfo.php?workbook=10_05.xlsx&amp;sheet=A0&amp;row=718&amp;col=7&amp;number=0&amp;sourceID=14","0")</f>
        <v>0</v>
      </c>
    </row>
    <row r="719" spans="1:7">
      <c r="A719" s="3">
        <v>10</v>
      </c>
      <c r="B719" s="3">
        <v>5</v>
      </c>
      <c r="C719" s="3">
        <v>122</v>
      </c>
      <c r="D719" s="3">
        <v>11</v>
      </c>
      <c r="E719" s="3">
        <v>-125.383</v>
      </c>
      <c r="F719" s="4" t="str">
        <f>HYPERLINK("http://141.218.60.56/~jnz1568/getInfo.php?workbook=10_05.xlsx&amp;sheet=A0&amp;row=719&amp;col=6&amp;number=231000000&amp;sourceID=14","231000000")</f>
        <v>231000000</v>
      </c>
      <c r="G719" s="4" t="str">
        <f>HYPERLINK("http://141.218.60.56/~jnz1568/getInfo.php?workbook=10_05.xlsx&amp;sheet=A0&amp;row=719&amp;col=7&amp;number=0&amp;sourceID=14","0")</f>
        <v>0</v>
      </c>
    </row>
    <row r="720" spans="1:7">
      <c r="A720" s="3">
        <v>10</v>
      </c>
      <c r="B720" s="3">
        <v>5</v>
      </c>
      <c r="C720" s="3">
        <v>123</v>
      </c>
      <c r="D720" s="3">
        <v>11</v>
      </c>
      <c r="E720" s="3">
        <v>-125.337</v>
      </c>
      <c r="F720" s="4" t="str">
        <f>HYPERLINK("http://141.218.60.56/~jnz1568/getInfo.php?workbook=10_05.xlsx&amp;sheet=A0&amp;row=720&amp;col=6&amp;number=1980000000&amp;sourceID=14","1980000000")</f>
        <v>1980000000</v>
      </c>
      <c r="G720" s="4" t="str">
        <f>HYPERLINK("http://141.218.60.56/~jnz1568/getInfo.php?workbook=10_05.xlsx&amp;sheet=A0&amp;row=720&amp;col=7&amp;number=0&amp;sourceID=14","0")</f>
        <v>0</v>
      </c>
    </row>
    <row r="721" spans="1:7">
      <c r="A721" s="3">
        <v>10</v>
      </c>
      <c r="B721" s="3">
        <v>5</v>
      </c>
      <c r="C721" s="3">
        <v>125</v>
      </c>
      <c r="D721" s="3">
        <v>11</v>
      </c>
      <c r="E721" s="3">
        <v>-125.159</v>
      </c>
      <c r="F721" s="4" t="str">
        <f>HYPERLINK("http://141.218.60.56/~jnz1568/getInfo.php?workbook=10_05.xlsx&amp;sheet=A0&amp;row=721&amp;col=6&amp;number=80400000&amp;sourceID=14","80400000")</f>
        <v>80400000</v>
      </c>
      <c r="G721" s="4" t="str">
        <f>HYPERLINK("http://141.218.60.56/~jnz1568/getInfo.php?workbook=10_05.xlsx&amp;sheet=A0&amp;row=721&amp;col=7&amp;number=0&amp;sourceID=14","0")</f>
        <v>0</v>
      </c>
    </row>
    <row r="722" spans="1:7">
      <c r="A722" s="3">
        <v>10</v>
      </c>
      <c r="B722" s="3">
        <v>5</v>
      </c>
      <c r="C722" s="3">
        <v>126</v>
      </c>
      <c r="D722" s="3">
        <v>11</v>
      </c>
      <c r="E722" s="3">
        <v>-125.116</v>
      </c>
      <c r="F722" s="4" t="str">
        <f>HYPERLINK("http://141.218.60.56/~jnz1568/getInfo.php?workbook=10_05.xlsx&amp;sheet=A0&amp;row=722&amp;col=6&amp;number=61500000&amp;sourceID=14","61500000")</f>
        <v>61500000</v>
      </c>
      <c r="G722" s="4" t="str">
        <f>HYPERLINK("http://141.218.60.56/~jnz1568/getInfo.php?workbook=10_05.xlsx&amp;sheet=A0&amp;row=722&amp;col=7&amp;number=0&amp;sourceID=14","0")</f>
        <v>0</v>
      </c>
    </row>
    <row r="723" spans="1:7">
      <c r="A723" s="3">
        <v>10</v>
      </c>
      <c r="B723" s="3">
        <v>5</v>
      </c>
      <c r="C723" s="3">
        <v>129</v>
      </c>
      <c r="D723" s="3">
        <v>11</v>
      </c>
      <c r="E723" s="3">
        <v>124.685</v>
      </c>
      <c r="F723" s="4" t="str">
        <f>HYPERLINK("http://141.218.60.56/~jnz1568/getInfo.php?workbook=10_05.xlsx&amp;sheet=A0&amp;row=723&amp;col=6&amp;number=198000000&amp;sourceID=14","198000000")</f>
        <v>198000000</v>
      </c>
      <c r="G723" s="4" t="str">
        <f>HYPERLINK("http://141.218.60.56/~jnz1568/getInfo.php?workbook=10_05.xlsx&amp;sheet=A0&amp;row=723&amp;col=7&amp;number=0&amp;sourceID=14","0")</f>
        <v>0</v>
      </c>
    </row>
    <row r="724" spans="1:7">
      <c r="A724" s="3">
        <v>10</v>
      </c>
      <c r="B724" s="3">
        <v>5</v>
      </c>
      <c r="C724" s="3">
        <v>130</v>
      </c>
      <c r="D724" s="3">
        <v>11</v>
      </c>
      <c r="E724" s="3">
        <v>124.685</v>
      </c>
      <c r="F724" s="4" t="str">
        <f>HYPERLINK("http://141.218.60.56/~jnz1568/getInfo.php?workbook=10_05.xlsx&amp;sheet=A0&amp;row=724&amp;col=6&amp;number=13300000000&amp;sourceID=14","13300000000")</f>
        <v>13300000000</v>
      </c>
      <c r="G724" s="4" t="str">
        <f>HYPERLINK("http://141.218.60.56/~jnz1568/getInfo.php?workbook=10_05.xlsx&amp;sheet=A0&amp;row=724&amp;col=7&amp;number=0&amp;sourceID=14","0")</f>
        <v>0</v>
      </c>
    </row>
    <row r="725" spans="1:7">
      <c r="A725" s="3">
        <v>10</v>
      </c>
      <c r="B725" s="3">
        <v>5</v>
      </c>
      <c r="C725" s="3">
        <v>131</v>
      </c>
      <c r="D725" s="3">
        <v>11</v>
      </c>
      <c r="E725" s="3">
        <v>-124.593</v>
      </c>
      <c r="F725" s="4" t="str">
        <f>HYPERLINK("http://141.218.60.56/~jnz1568/getInfo.php?workbook=10_05.xlsx&amp;sheet=A0&amp;row=725&amp;col=6&amp;number=78800000000&amp;sourceID=14","78800000000")</f>
        <v>78800000000</v>
      </c>
      <c r="G725" s="4" t="str">
        <f>HYPERLINK("http://141.218.60.56/~jnz1568/getInfo.php?workbook=10_05.xlsx&amp;sheet=A0&amp;row=725&amp;col=7&amp;number=0&amp;sourceID=14","0")</f>
        <v>0</v>
      </c>
    </row>
    <row r="726" spans="1:7">
      <c r="A726" s="3">
        <v>10</v>
      </c>
      <c r="B726" s="3">
        <v>5</v>
      </c>
      <c r="C726" s="3">
        <v>132</v>
      </c>
      <c r="D726" s="3">
        <v>11</v>
      </c>
      <c r="E726" s="3">
        <v>-124.57</v>
      </c>
      <c r="F726" s="4" t="str">
        <f>HYPERLINK("http://141.218.60.56/~jnz1568/getInfo.php?workbook=10_05.xlsx&amp;sheet=A0&amp;row=726&amp;col=6&amp;number=72600000000&amp;sourceID=14","72600000000")</f>
        <v>72600000000</v>
      </c>
      <c r="G726" s="4" t="str">
        <f>HYPERLINK("http://141.218.60.56/~jnz1568/getInfo.php?workbook=10_05.xlsx&amp;sheet=A0&amp;row=726&amp;col=7&amp;number=0&amp;sourceID=14","0")</f>
        <v>0</v>
      </c>
    </row>
    <row r="727" spans="1:7">
      <c r="A727" s="3">
        <v>10</v>
      </c>
      <c r="B727" s="3">
        <v>5</v>
      </c>
      <c r="C727" s="3">
        <v>133</v>
      </c>
      <c r="D727" s="3">
        <v>11</v>
      </c>
      <c r="E727" s="3">
        <v>-124.538</v>
      </c>
      <c r="F727" s="4" t="str">
        <f>HYPERLINK("http://141.218.60.56/~jnz1568/getInfo.php?workbook=10_05.xlsx&amp;sheet=A0&amp;row=727&amp;col=6&amp;number=52600000000&amp;sourceID=14","52600000000")</f>
        <v>52600000000</v>
      </c>
      <c r="G727" s="4" t="str">
        <f>HYPERLINK("http://141.218.60.56/~jnz1568/getInfo.php?workbook=10_05.xlsx&amp;sheet=A0&amp;row=727&amp;col=7&amp;number=0&amp;sourceID=14","0")</f>
        <v>0</v>
      </c>
    </row>
    <row r="728" spans="1:7">
      <c r="A728" s="3">
        <v>10</v>
      </c>
      <c r="B728" s="3">
        <v>5</v>
      </c>
      <c r="C728" s="3">
        <v>140</v>
      </c>
      <c r="D728" s="3">
        <v>11</v>
      </c>
      <c r="E728" s="3">
        <v>-123.792</v>
      </c>
      <c r="F728" s="4" t="str">
        <f>HYPERLINK("http://141.218.60.56/~jnz1568/getInfo.php?workbook=10_05.xlsx&amp;sheet=A0&amp;row=728&amp;col=6&amp;number=30100000&amp;sourceID=14","30100000")</f>
        <v>30100000</v>
      </c>
      <c r="G728" s="4" t="str">
        <f>HYPERLINK("http://141.218.60.56/~jnz1568/getInfo.php?workbook=10_05.xlsx&amp;sheet=A0&amp;row=728&amp;col=7&amp;number=0&amp;sourceID=14","0")</f>
        <v>0</v>
      </c>
    </row>
    <row r="729" spans="1:7">
      <c r="A729" s="3">
        <v>10</v>
      </c>
      <c r="B729" s="3">
        <v>5</v>
      </c>
      <c r="C729" s="3">
        <v>150</v>
      </c>
      <c r="D729" s="3">
        <v>11</v>
      </c>
      <c r="E729" s="3">
        <v>-122.738</v>
      </c>
      <c r="F729" s="4" t="str">
        <f>HYPERLINK("http://141.218.60.56/~jnz1568/getInfo.php?workbook=10_05.xlsx&amp;sheet=A0&amp;row=729&amp;col=6&amp;number=2190000&amp;sourceID=14","2190000")</f>
        <v>2190000</v>
      </c>
      <c r="G729" s="4" t="str">
        <f>HYPERLINK("http://141.218.60.56/~jnz1568/getInfo.php?workbook=10_05.xlsx&amp;sheet=A0&amp;row=729&amp;col=7&amp;number=0&amp;sourceID=14","0")</f>
        <v>0</v>
      </c>
    </row>
    <row r="730" spans="1:7">
      <c r="A730" s="3">
        <v>10</v>
      </c>
      <c r="B730" s="3">
        <v>5</v>
      </c>
      <c r="C730" s="3">
        <v>151</v>
      </c>
      <c r="D730" s="3">
        <v>11</v>
      </c>
      <c r="E730" s="3">
        <v>-122.735</v>
      </c>
      <c r="F730" s="4" t="str">
        <f>HYPERLINK("http://141.218.60.56/~jnz1568/getInfo.php?workbook=10_05.xlsx&amp;sheet=A0&amp;row=730&amp;col=6&amp;number=5960000&amp;sourceID=14","5960000")</f>
        <v>5960000</v>
      </c>
      <c r="G730" s="4" t="str">
        <f>HYPERLINK("http://141.218.60.56/~jnz1568/getInfo.php?workbook=10_05.xlsx&amp;sheet=A0&amp;row=730&amp;col=7&amp;number=0&amp;sourceID=14","0")</f>
        <v>0</v>
      </c>
    </row>
    <row r="731" spans="1:7">
      <c r="A731" s="3">
        <v>10</v>
      </c>
      <c r="B731" s="3">
        <v>5</v>
      </c>
      <c r="C731" s="3">
        <v>155</v>
      </c>
      <c r="D731" s="3">
        <v>11</v>
      </c>
      <c r="E731" s="3">
        <v>122.251</v>
      </c>
      <c r="F731" s="4" t="str">
        <f>HYPERLINK("http://141.218.60.56/~jnz1568/getInfo.php?workbook=10_05.xlsx&amp;sheet=A0&amp;row=731&amp;col=6&amp;number=6770000&amp;sourceID=14","6770000")</f>
        <v>6770000</v>
      </c>
      <c r="G731" s="4" t="str">
        <f>HYPERLINK("http://141.218.60.56/~jnz1568/getInfo.php?workbook=10_05.xlsx&amp;sheet=A0&amp;row=731&amp;col=7&amp;number=0&amp;sourceID=14","0")</f>
        <v>0</v>
      </c>
    </row>
    <row r="732" spans="1:7">
      <c r="A732" s="3">
        <v>10</v>
      </c>
      <c r="B732" s="3">
        <v>5</v>
      </c>
      <c r="C732" s="3">
        <v>156</v>
      </c>
      <c r="D732" s="3">
        <v>11</v>
      </c>
      <c r="E732" s="3">
        <v>-122.12</v>
      </c>
      <c r="F732" s="4" t="str">
        <f>HYPERLINK("http://141.218.60.56/~jnz1568/getInfo.php?workbook=10_05.xlsx&amp;sheet=A0&amp;row=732&amp;col=6&amp;number=15500&amp;sourceID=14","15500")</f>
        <v>15500</v>
      </c>
      <c r="G732" s="4" t="str">
        <f>HYPERLINK("http://141.218.60.56/~jnz1568/getInfo.php?workbook=10_05.xlsx&amp;sheet=A0&amp;row=732&amp;col=7&amp;number=0&amp;sourceID=14","0")</f>
        <v>0</v>
      </c>
    </row>
    <row r="733" spans="1:7">
      <c r="A733" s="3">
        <v>10</v>
      </c>
      <c r="B733" s="3">
        <v>5</v>
      </c>
      <c r="C733" s="3">
        <v>157</v>
      </c>
      <c r="D733" s="3">
        <v>11</v>
      </c>
      <c r="E733" s="3">
        <v>-122.094</v>
      </c>
      <c r="F733" s="4" t="str">
        <f>HYPERLINK("http://141.218.60.56/~jnz1568/getInfo.php?workbook=10_05.xlsx&amp;sheet=A0&amp;row=733&amp;col=6&amp;number=136000&amp;sourceID=14","136000")</f>
        <v>136000</v>
      </c>
      <c r="G733" s="4" t="str">
        <f>HYPERLINK("http://141.218.60.56/~jnz1568/getInfo.php?workbook=10_05.xlsx&amp;sheet=A0&amp;row=733&amp;col=7&amp;number=0&amp;sourceID=14","0")</f>
        <v>0</v>
      </c>
    </row>
    <row r="734" spans="1:7">
      <c r="A734" s="3">
        <v>10</v>
      </c>
      <c r="B734" s="3">
        <v>5</v>
      </c>
      <c r="C734" s="3">
        <v>160</v>
      </c>
      <c r="D734" s="3">
        <v>11</v>
      </c>
      <c r="E734" s="3">
        <v>-121.905</v>
      </c>
      <c r="F734" s="4" t="str">
        <f>HYPERLINK("http://141.218.60.56/~jnz1568/getInfo.php?workbook=10_05.xlsx&amp;sheet=A0&amp;row=734&amp;col=6&amp;number=10900000&amp;sourceID=14","10900000")</f>
        <v>10900000</v>
      </c>
      <c r="G734" s="4" t="str">
        <f>HYPERLINK("http://141.218.60.56/~jnz1568/getInfo.php?workbook=10_05.xlsx&amp;sheet=A0&amp;row=734&amp;col=7&amp;number=0&amp;sourceID=14","0")</f>
        <v>0</v>
      </c>
    </row>
    <row r="735" spans="1:7">
      <c r="A735" s="3">
        <v>10</v>
      </c>
      <c r="B735" s="3">
        <v>5</v>
      </c>
      <c r="C735" s="3">
        <v>161</v>
      </c>
      <c r="D735" s="3">
        <v>11</v>
      </c>
      <c r="E735" s="3">
        <v>121.865</v>
      </c>
      <c r="F735" s="4" t="str">
        <f>HYPERLINK("http://141.218.60.56/~jnz1568/getInfo.php?workbook=10_05.xlsx&amp;sheet=A0&amp;row=735&amp;col=6&amp;number=2340000&amp;sourceID=14","2340000")</f>
        <v>2340000</v>
      </c>
      <c r="G735" s="4" t="str">
        <f>HYPERLINK("http://141.218.60.56/~jnz1568/getInfo.php?workbook=10_05.xlsx&amp;sheet=A0&amp;row=735&amp;col=7&amp;number=0&amp;sourceID=14","0")</f>
        <v>0</v>
      </c>
    </row>
    <row r="736" spans="1:7">
      <c r="A736" s="3">
        <v>10</v>
      </c>
      <c r="B736" s="3">
        <v>5</v>
      </c>
      <c r="C736" s="3">
        <v>162</v>
      </c>
      <c r="D736" s="3">
        <v>11</v>
      </c>
      <c r="E736" s="3">
        <v>121.82</v>
      </c>
      <c r="F736" s="4" t="str">
        <f>HYPERLINK("http://141.218.60.56/~jnz1568/getInfo.php?workbook=10_05.xlsx&amp;sheet=A0&amp;row=736&amp;col=6&amp;number=6030000&amp;sourceID=14","6030000")</f>
        <v>6030000</v>
      </c>
      <c r="G736" s="4" t="str">
        <f>HYPERLINK("http://141.218.60.56/~jnz1568/getInfo.php?workbook=10_05.xlsx&amp;sheet=A0&amp;row=736&amp;col=7&amp;number=0&amp;sourceID=14","0")</f>
        <v>0</v>
      </c>
    </row>
    <row r="737" spans="1:7">
      <c r="A737" s="3">
        <v>10</v>
      </c>
      <c r="B737" s="3">
        <v>5</v>
      </c>
      <c r="C737" s="3">
        <v>163</v>
      </c>
      <c r="D737" s="3">
        <v>11</v>
      </c>
      <c r="E737" s="3">
        <v>-119.836</v>
      </c>
      <c r="F737" s="4" t="str">
        <f>HYPERLINK("http://141.218.60.56/~jnz1568/getInfo.php?workbook=10_05.xlsx&amp;sheet=A0&amp;row=737&amp;col=6&amp;number=3870000&amp;sourceID=14","3870000")</f>
        <v>3870000</v>
      </c>
      <c r="G737" s="4" t="str">
        <f>HYPERLINK("http://141.218.60.56/~jnz1568/getInfo.php?workbook=10_05.xlsx&amp;sheet=A0&amp;row=737&amp;col=7&amp;number=0&amp;sourceID=14","0")</f>
        <v>0</v>
      </c>
    </row>
    <row r="738" spans="1:7">
      <c r="A738" s="3">
        <v>10</v>
      </c>
      <c r="B738" s="3">
        <v>5</v>
      </c>
      <c r="C738" s="3">
        <v>168</v>
      </c>
      <c r="D738" s="3">
        <v>11</v>
      </c>
      <c r="E738" s="3">
        <v>-110.97</v>
      </c>
      <c r="F738" s="4" t="str">
        <f>HYPERLINK("http://141.218.60.56/~jnz1568/getInfo.php?workbook=10_05.xlsx&amp;sheet=A0&amp;row=738&amp;col=6&amp;number=130000&amp;sourceID=14","130000")</f>
        <v>130000</v>
      </c>
      <c r="G738" s="4" t="str">
        <f>HYPERLINK("http://141.218.60.56/~jnz1568/getInfo.php?workbook=10_05.xlsx&amp;sheet=A0&amp;row=738&amp;col=7&amp;number=0&amp;sourceID=14","0")</f>
        <v>0</v>
      </c>
    </row>
    <row r="739" spans="1:7">
      <c r="A739" s="3">
        <v>10</v>
      </c>
      <c r="B739" s="3">
        <v>5</v>
      </c>
      <c r="C739" s="3">
        <v>169</v>
      </c>
      <c r="D739" s="3">
        <v>11</v>
      </c>
      <c r="E739" s="3">
        <v>-110.964</v>
      </c>
      <c r="F739" s="4" t="str">
        <f>HYPERLINK("http://141.218.60.56/~jnz1568/getInfo.php?workbook=10_05.xlsx&amp;sheet=A0&amp;row=739&amp;col=6&amp;number=20300&amp;sourceID=14","20300")</f>
        <v>20300</v>
      </c>
      <c r="G739" s="4" t="str">
        <f>HYPERLINK("http://141.218.60.56/~jnz1568/getInfo.php?workbook=10_05.xlsx&amp;sheet=A0&amp;row=739&amp;col=7&amp;number=0&amp;sourceID=14","0")</f>
        <v>0</v>
      </c>
    </row>
    <row r="740" spans="1:7">
      <c r="A740" s="3">
        <v>10</v>
      </c>
      <c r="B740" s="3">
        <v>5</v>
      </c>
      <c r="C740" s="3">
        <v>170</v>
      </c>
      <c r="D740" s="3">
        <v>11</v>
      </c>
      <c r="E740" s="3">
        <v>-109.822</v>
      </c>
      <c r="F740" s="4" t="str">
        <f>HYPERLINK("http://141.218.60.56/~jnz1568/getInfo.php?workbook=10_05.xlsx&amp;sheet=A0&amp;row=740&amp;col=6&amp;number=978&amp;sourceID=14","978")</f>
        <v>978</v>
      </c>
      <c r="G740" s="4" t="str">
        <f>HYPERLINK("http://141.218.60.56/~jnz1568/getInfo.php?workbook=10_05.xlsx&amp;sheet=A0&amp;row=740&amp;col=7&amp;number=0&amp;sourceID=14","0")</f>
        <v>0</v>
      </c>
    </row>
    <row r="741" spans="1:7">
      <c r="A741" s="3">
        <v>10</v>
      </c>
      <c r="B741" s="3">
        <v>5</v>
      </c>
      <c r="C741" s="3">
        <v>171</v>
      </c>
      <c r="D741" s="3">
        <v>11</v>
      </c>
      <c r="E741" s="3">
        <v>-109.811</v>
      </c>
      <c r="F741" s="4" t="str">
        <f>HYPERLINK("http://141.218.60.56/~jnz1568/getInfo.php?workbook=10_05.xlsx&amp;sheet=A0&amp;row=741&amp;col=6&amp;number=4210&amp;sourceID=14","4210")</f>
        <v>4210</v>
      </c>
      <c r="G741" s="4" t="str">
        <f>HYPERLINK("http://141.218.60.56/~jnz1568/getInfo.php?workbook=10_05.xlsx&amp;sheet=A0&amp;row=741&amp;col=7&amp;number=0&amp;sourceID=14","0")</f>
        <v>0</v>
      </c>
    </row>
    <row r="742" spans="1:7">
      <c r="A742" s="3">
        <v>10</v>
      </c>
      <c r="B742" s="3">
        <v>5</v>
      </c>
      <c r="C742" s="3">
        <v>172</v>
      </c>
      <c r="D742" s="3">
        <v>11</v>
      </c>
      <c r="E742" s="3">
        <v>-109.576</v>
      </c>
      <c r="F742" s="4" t="str">
        <f>HYPERLINK("http://141.218.60.56/~jnz1568/getInfo.php?workbook=10_05.xlsx&amp;sheet=A0&amp;row=742&amp;col=6&amp;number=5530&amp;sourceID=14","5530")</f>
        <v>5530</v>
      </c>
      <c r="G742" s="4" t="str">
        <f>HYPERLINK("http://141.218.60.56/~jnz1568/getInfo.php?workbook=10_05.xlsx&amp;sheet=A0&amp;row=742&amp;col=7&amp;number=0&amp;sourceID=14","0")</f>
        <v>0</v>
      </c>
    </row>
    <row r="743" spans="1:7">
      <c r="A743" s="3">
        <v>10</v>
      </c>
      <c r="B743" s="3">
        <v>5</v>
      </c>
      <c r="C743" s="3">
        <v>173</v>
      </c>
      <c r="D743" s="3">
        <v>11</v>
      </c>
      <c r="E743" s="3">
        <v>-109.573</v>
      </c>
      <c r="F743" s="4" t="str">
        <f>HYPERLINK("http://141.218.60.56/~jnz1568/getInfo.php?workbook=10_05.xlsx&amp;sheet=A0&amp;row=743&amp;col=6&amp;number=39500&amp;sourceID=14","39500")</f>
        <v>39500</v>
      </c>
      <c r="G743" s="4" t="str">
        <f>HYPERLINK("http://141.218.60.56/~jnz1568/getInfo.php?workbook=10_05.xlsx&amp;sheet=A0&amp;row=743&amp;col=7&amp;number=0&amp;sourceID=14","0")</f>
        <v>0</v>
      </c>
    </row>
    <row r="744" spans="1:7">
      <c r="A744" s="3">
        <v>10</v>
      </c>
      <c r="B744" s="3">
        <v>5</v>
      </c>
      <c r="C744" s="3">
        <v>174</v>
      </c>
      <c r="D744" s="3">
        <v>11</v>
      </c>
      <c r="E744" s="3">
        <v>-109.321</v>
      </c>
      <c r="F744" s="4" t="str">
        <f>HYPERLINK("http://141.218.60.56/~jnz1568/getInfo.php?workbook=10_05.xlsx&amp;sheet=A0&amp;row=744&amp;col=6&amp;number=8030&amp;sourceID=14","8030")</f>
        <v>8030</v>
      </c>
      <c r="G744" s="4" t="str">
        <f>HYPERLINK("http://141.218.60.56/~jnz1568/getInfo.php?workbook=10_05.xlsx&amp;sheet=A0&amp;row=744&amp;col=7&amp;number=0&amp;sourceID=14","0")</f>
        <v>0</v>
      </c>
    </row>
    <row r="745" spans="1:7">
      <c r="A745" s="3">
        <v>10</v>
      </c>
      <c r="B745" s="3">
        <v>5</v>
      </c>
      <c r="C745" s="3">
        <v>16</v>
      </c>
      <c r="D745" s="3">
        <v>12</v>
      </c>
      <c r="E745" s="3">
        <v>275.484</v>
      </c>
      <c r="F745" s="4" t="str">
        <f>HYPERLINK("http://141.218.60.56/~jnz1568/getInfo.php?workbook=10_05.xlsx&amp;sheet=A0&amp;row=745&amp;col=6&amp;number=296&amp;sourceID=14","296")</f>
        <v>296</v>
      </c>
      <c r="G745" s="4" t="str">
        <f>HYPERLINK("http://141.218.60.56/~jnz1568/getInfo.php?workbook=10_05.xlsx&amp;sheet=A0&amp;row=745&amp;col=7&amp;number=0&amp;sourceID=14","0")</f>
        <v>0</v>
      </c>
    </row>
    <row r="746" spans="1:7">
      <c r="A746" s="3">
        <v>10</v>
      </c>
      <c r="B746" s="3">
        <v>5</v>
      </c>
      <c r="C746" s="3">
        <v>19</v>
      </c>
      <c r="D746" s="3">
        <v>12</v>
      </c>
      <c r="E746" s="3">
        <v>218.918</v>
      </c>
      <c r="F746" s="4" t="str">
        <f>HYPERLINK("http://141.218.60.56/~jnz1568/getInfo.php?workbook=10_05.xlsx&amp;sheet=A0&amp;row=746&amp;col=6&amp;number=3680000&amp;sourceID=14","3680000")</f>
        <v>3680000</v>
      </c>
      <c r="G746" s="4" t="str">
        <f>HYPERLINK("http://141.218.60.56/~jnz1568/getInfo.php?workbook=10_05.xlsx&amp;sheet=A0&amp;row=746&amp;col=7&amp;number=0&amp;sourceID=14","0")</f>
        <v>0</v>
      </c>
    </row>
    <row r="747" spans="1:7">
      <c r="A747" s="3">
        <v>10</v>
      </c>
      <c r="B747" s="3">
        <v>5</v>
      </c>
      <c r="C747" s="3">
        <v>20</v>
      </c>
      <c r="D747" s="3">
        <v>12</v>
      </c>
      <c r="E747" s="3">
        <v>218.918</v>
      </c>
      <c r="F747" s="4" t="str">
        <f>HYPERLINK("http://141.218.60.56/~jnz1568/getInfo.php?workbook=10_05.xlsx&amp;sheet=A0&amp;row=747&amp;col=6&amp;number=221000&amp;sourceID=14","221000")</f>
        <v>221000</v>
      </c>
      <c r="G747" s="4" t="str">
        <f>HYPERLINK("http://141.218.60.56/~jnz1568/getInfo.php?workbook=10_05.xlsx&amp;sheet=A0&amp;row=747&amp;col=7&amp;number=0&amp;sourceID=14","0")</f>
        <v>0</v>
      </c>
    </row>
    <row r="748" spans="1:7">
      <c r="A748" s="3">
        <v>10</v>
      </c>
      <c r="B748" s="3">
        <v>5</v>
      </c>
      <c r="C748" s="3">
        <v>26</v>
      </c>
      <c r="D748" s="3">
        <v>12</v>
      </c>
      <c r="E748" s="3">
        <v>193.582</v>
      </c>
      <c r="F748" s="4" t="str">
        <f>HYPERLINK("http://141.218.60.56/~jnz1568/getInfo.php?workbook=10_05.xlsx&amp;sheet=A0&amp;row=748&amp;col=6&amp;number=1530000000&amp;sourceID=14","1530000000")</f>
        <v>1530000000</v>
      </c>
      <c r="G748" s="4" t="str">
        <f>HYPERLINK("http://141.218.60.56/~jnz1568/getInfo.php?workbook=10_05.xlsx&amp;sheet=A0&amp;row=748&amp;col=7&amp;number=0&amp;sourceID=14","0")</f>
        <v>0</v>
      </c>
    </row>
    <row r="749" spans="1:7">
      <c r="A749" s="3">
        <v>10</v>
      </c>
      <c r="B749" s="3">
        <v>5</v>
      </c>
      <c r="C749" s="3">
        <v>27</v>
      </c>
      <c r="D749" s="3">
        <v>12</v>
      </c>
      <c r="E749" s="3">
        <v>193.406</v>
      </c>
      <c r="F749" s="4" t="str">
        <f>HYPERLINK("http://141.218.60.56/~jnz1568/getInfo.php?workbook=10_05.xlsx&amp;sheet=A0&amp;row=749&amp;col=6&amp;number=147000000&amp;sourceID=14","147000000")</f>
        <v>147000000</v>
      </c>
      <c r="G749" s="4" t="str">
        <f>HYPERLINK("http://141.218.60.56/~jnz1568/getInfo.php?workbook=10_05.xlsx&amp;sheet=A0&amp;row=749&amp;col=7&amp;number=0&amp;sourceID=14","0")</f>
        <v>0</v>
      </c>
    </row>
    <row r="750" spans="1:7">
      <c r="A750" s="3">
        <v>10</v>
      </c>
      <c r="B750" s="3">
        <v>5</v>
      </c>
      <c r="C750" s="3">
        <v>28</v>
      </c>
      <c r="D750" s="3">
        <v>12</v>
      </c>
      <c r="E750" s="3">
        <v>-192.894</v>
      </c>
      <c r="F750" s="4" t="str">
        <f>HYPERLINK("http://141.218.60.56/~jnz1568/getInfo.php?workbook=10_05.xlsx&amp;sheet=A0&amp;row=750&amp;col=6&amp;number=56800000&amp;sourceID=14","56800000")</f>
        <v>56800000</v>
      </c>
      <c r="G750" s="4" t="str">
        <f>HYPERLINK("http://141.218.60.56/~jnz1568/getInfo.php?workbook=10_05.xlsx&amp;sheet=A0&amp;row=750&amp;col=7&amp;number=0&amp;sourceID=14","0")</f>
        <v>0</v>
      </c>
    </row>
    <row r="751" spans="1:7">
      <c r="A751" s="3">
        <v>10</v>
      </c>
      <c r="B751" s="3">
        <v>5</v>
      </c>
      <c r="C751" s="3">
        <v>29</v>
      </c>
      <c r="D751" s="3">
        <v>12</v>
      </c>
      <c r="E751" s="3">
        <v>-192.804</v>
      </c>
      <c r="F751" s="4" t="str">
        <f>HYPERLINK("http://141.218.60.56/~jnz1568/getInfo.php?workbook=10_05.xlsx&amp;sheet=A0&amp;row=751&amp;col=6&amp;number=2800000&amp;sourceID=14","2800000")</f>
        <v>2800000</v>
      </c>
      <c r="G751" s="4" t="str">
        <f>HYPERLINK("http://141.218.60.56/~jnz1568/getInfo.php?workbook=10_05.xlsx&amp;sheet=A0&amp;row=751&amp;col=7&amp;number=0&amp;sourceID=14","0")</f>
        <v>0</v>
      </c>
    </row>
    <row r="752" spans="1:7">
      <c r="A752" s="3">
        <v>10</v>
      </c>
      <c r="B752" s="3">
        <v>5</v>
      </c>
      <c r="C752" s="3">
        <v>30</v>
      </c>
      <c r="D752" s="3">
        <v>12</v>
      </c>
      <c r="E752" s="3">
        <v>192.711</v>
      </c>
      <c r="F752" s="4" t="str">
        <f>HYPERLINK("http://141.218.60.56/~jnz1568/getInfo.php?workbook=10_05.xlsx&amp;sheet=A0&amp;row=752&amp;col=6&amp;number=124&amp;sourceID=14","124")</f>
        <v>124</v>
      </c>
      <c r="G752" s="4" t="str">
        <f>HYPERLINK("http://141.218.60.56/~jnz1568/getInfo.php?workbook=10_05.xlsx&amp;sheet=A0&amp;row=752&amp;col=7&amp;number=0&amp;sourceID=14","0")</f>
        <v>0</v>
      </c>
    </row>
    <row r="753" spans="1:7">
      <c r="A753" s="3">
        <v>10</v>
      </c>
      <c r="B753" s="3">
        <v>5</v>
      </c>
      <c r="C753" s="3">
        <v>32</v>
      </c>
      <c r="D753" s="3">
        <v>12</v>
      </c>
      <c r="E753" s="3">
        <v>-189.658</v>
      </c>
      <c r="F753" s="4" t="str">
        <f>HYPERLINK("http://141.218.60.56/~jnz1568/getInfo.php?workbook=10_05.xlsx&amp;sheet=A0&amp;row=753&amp;col=6&amp;number=170000&amp;sourceID=14","170000")</f>
        <v>170000</v>
      </c>
      <c r="G753" s="4" t="str">
        <f>HYPERLINK("http://141.218.60.56/~jnz1568/getInfo.php?workbook=10_05.xlsx&amp;sheet=A0&amp;row=753&amp;col=7&amp;number=0&amp;sourceID=14","0")</f>
        <v>0</v>
      </c>
    </row>
    <row r="754" spans="1:7">
      <c r="A754" s="3">
        <v>10</v>
      </c>
      <c r="B754" s="3">
        <v>5</v>
      </c>
      <c r="C754" s="3">
        <v>33</v>
      </c>
      <c r="D754" s="3">
        <v>12</v>
      </c>
      <c r="E754" s="3">
        <v>-186.785</v>
      </c>
      <c r="F754" s="4" t="str">
        <f>HYPERLINK("http://141.218.60.56/~jnz1568/getInfo.php?workbook=10_05.xlsx&amp;sheet=A0&amp;row=754&amp;col=6&amp;number=44500&amp;sourceID=14","44500")</f>
        <v>44500</v>
      </c>
      <c r="G754" s="4" t="str">
        <f>HYPERLINK("http://141.218.60.56/~jnz1568/getInfo.php?workbook=10_05.xlsx&amp;sheet=A0&amp;row=754&amp;col=7&amp;number=0&amp;sourceID=14","0")</f>
        <v>0</v>
      </c>
    </row>
    <row r="755" spans="1:7">
      <c r="A755" s="3">
        <v>10</v>
      </c>
      <c r="B755" s="3">
        <v>5</v>
      </c>
      <c r="C755" s="3">
        <v>34</v>
      </c>
      <c r="D755" s="3">
        <v>12</v>
      </c>
      <c r="E755" s="3">
        <v>-186.682</v>
      </c>
      <c r="F755" s="4" t="str">
        <f>HYPERLINK("http://141.218.60.56/~jnz1568/getInfo.php?workbook=10_05.xlsx&amp;sheet=A0&amp;row=755&amp;col=6&amp;number=156000&amp;sourceID=14","156000")</f>
        <v>156000</v>
      </c>
      <c r="G755" s="4" t="str">
        <f>HYPERLINK("http://141.218.60.56/~jnz1568/getInfo.php?workbook=10_05.xlsx&amp;sheet=A0&amp;row=755&amp;col=7&amp;number=0&amp;sourceID=14","0")</f>
        <v>0</v>
      </c>
    </row>
    <row r="756" spans="1:7">
      <c r="A756" s="3">
        <v>10</v>
      </c>
      <c r="B756" s="3">
        <v>5</v>
      </c>
      <c r="C756" s="3">
        <v>35</v>
      </c>
      <c r="D756" s="3">
        <v>12</v>
      </c>
      <c r="E756" s="3">
        <v>-186.533</v>
      </c>
      <c r="F756" s="4" t="str">
        <f>HYPERLINK("http://141.218.60.56/~jnz1568/getInfo.php?workbook=10_05.xlsx&amp;sheet=A0&amp;row=756&amp;col=6&amp;number=30600&amp;sourceID=14","30600")</f>
        <v>30600</v>
      </c>
      <c r="G756" s="4" t="str">
        <f>HYPERLINK("http://141.218.60.56/~jnz1568/getInfo.php?workbook=10_05.xlsx&amp;sheet=A0&amp;row=756&amp;col=7&amp;number=0&amp;sourceID=14","0")</f>
        <v>0</v>
      </c>
    </row>
    <row r="757" spans="1:7">
      <c r="A757" s="3">
        <v>10</v>
      </c>
      <c r="B757" s="3">
        <v>5</v>
      </c>
      <c r="C757" s="3">
        <v>36</v>
      </c>
      <c r="D757" s="3">
        <v>12</v>
      </c>
      <c r="E757" s="3">
        <v>185.018</v>
      </c>
      <c r="F757" s="4" t="str">
        <f>HYPERLINK("http://141.218.60.56/~jnz1568/getInfo.php?workbook=10_05.xlsx&amp;sheet=A0&amp;row=757&amp;col=6&amp;number=605000000&amp;sourceID=14","605000000")</f>
        <v>605000000</v>
      </c>
      <c r="G757" s="4" t="str">
        <f>HYPERLINK("http://141.218.60.56/~jnz1568/getInfo.php?workbook=10_05.xlsx&amp;sheet=A0&amp;row=757&amp;col=7&amp;number=0&amp;sourceID=14","0")</f>
        <v>0</v>
      </c>
    </row>
    <row r="758" spans="1:7">
      <c r="A758" s="3">
        <v>10</v>
      </c>
      <c r="B758" s="3">
        <v>5</v>
      </c>
      <c r="C758" s="3">
        <v>37</v>
      </c>
      <c r="D758" s="3">
        <v>12</v>
      </c>
      <c r="E758" s="3">
        <v>184.745</v>
      </c>
      <c r="F758" s="4" t="str">
        <f>HYPERLINK("http://141.218.60.56/~jnz1568/getInfo.php?workbook=10_05.xlsx&amp;sheet=A0&amp;row=758&amp;col=6&amp;number=37100000&amp;sourceID=14","37100000")</f>
        <v>37100000</v>
      </c>
      <c r="G758" s="4" t="str">
        <f>HYPERLINK("http://141.218.60.56/~jnz1568/getInfo.php?workbook=10_05.xlsx&amp;sheet=A0&amp;row=758&amp;col=7&amp;number=0&amp;sourceID=14","0")</f>
        <v>0</v>
      </c>
    </row>
    <row r="759" spans="1:7">
      <c r="A759" s="3">
        <v>10</v>
      </c>
      <c r="B759" s="3">
        <v>5</v>
      </c>
      <c r="C759" s="3">
        <v>40</v>
      </c>
      <c r="D759" s="3">
        <v>12</v>
      </c>
      <c r="E759" s="3">
        <v>180.1</v>
      </c>
      <c r="F759" s="4" t="str">
        <f>HYPERLINK("http://141.218.60.56/~jnz1568/getInfo.php?workbook=10_05.xlsx&amp;sheet=A0&amp;row=759&amp;col=6&amp;number=378000&amp;sourceID=14","378000")</f>
        <v>378000</v>
      </c>
      <c r="G759" s="4" t="str">
        <f>HYPERLINK("http://141.218.60.56/~jnz1568/getInfo.php?workbook=10_05.xlsx&amp;sheet=A0&amp;row=759&amp;col=7&amp;number=0&amp;sourceID=14","0")</f>
        <v>0</v>
      </c>
    </row>
    <row r="760" spans="1:7">
      <c r="A760" s="3">
        <v>10</v>
      </c>
      <c r="B760" s="3">
        <v>5</v>
      </c>
      <c r="C760" s="3">
        <v>58</v>
      </c>
      <c r="D760" s="3">
        <v>12</v>
      </c>
      <c r="E760" s="3">
        <v>160.414</v>
      </c>
      <c r="F760" s="4" t="str">
        <f>HYPERLINK("http://141.218.60.56/~jnz1568/getInfo.php?workbook=10_05.xlsx&amp;sheet=A0&amp;row=760&amp;col=6&amp;number=90.6&amp;sourceID=14","90.6")</f>
        <v>90.6</v>
      </c>
      <c r="G760" s="4" t="str">
        <f>HYPERLINK("http://141.218.60.56/~jnz1568/getInfo.php?workbook=10_05.xlsx&amp;sheet=A0&amp;row=760&amp;col=7&amp;number=0&amp;sourceID=14","0")</f>
        <v>0</v>
      </c>
    </row>
    <row r="761" spans="1:7">
      <c r="A761" s="3">
        <v>10</v>
      </c>
      <c r="B761" s="3">
        <v>5</v>
      </c>
      <c r="C761" s="3">
        <v>59</v>
      </c>
      <c r="D761" s="3">
        <v>12</v>
      </c>
      <c r="E761" s="3">
        <v>159.646</v>
      </c>
      <c r="F761" s="4" t="str">
        <f>HYPERLINK("http://141.218.60.56/~jnz1568/getInfo.php?workbook=10_05.xlsx&amp;sheet=A0&amp;row=761&amp;col=6&amp;number=361000000&amp;sourceID=14","361000000")</f>
        <v>361000000</v>
      </c>
      <c r="G761" s="4" t="str">
        <f>HYPERLINK("http://141.218.60.56/~jnz1568/getInfo.php?workbook=10_05.xlsx&amp;sheet=A0&amp;row=761&amp;col=7&amp;number=0&amp;sourceID=14","0")</f>
        <v>0</v>
      </c>
    </row>
    <row r="762" spans="1:7">
      <c r="A762" s="3">
        <v>10</v>
      </c>
      <c r="B762" s="3">
        <v>5</v>
      </c>
      <c r="C762" s="3">
        <v>60</v>
      </c>
      <c r="D762" s="3">
        <v>12</v>
      </c>
      <c r="E762" s="3">
        <v>159.61</v>
      </c>
      <c r="F762" s="4" t="str">
        <f>HYPERLINK("http://141.218.60.56/~jnz1568/getInfo.php?workbook=10_05.xlsx&amp;sheet=A0&amp;row=762&amp;col=6&amp;number=12700000&amp;sourceID=14","12700000")</f>
        <v>12700000</v>
      </c>
      <c r="G762" s="4" t="str">
        <f>HYPERLINK("http://141.218.60.56/~jnz1568/getInfo.php?workbook=10_05.xlsx&amp;sheet=A0&amp;row=762&amp;col=7&amp;number=0&amp;sourceID=14","0")</f>
        <v>0</v>
      </c>
    </row>
    <row r="763" spans="1:7">
      <c r="A763" s="3">
        <v>10</v>
      </c>
      <c r="B763" s="3">
        <v>5</v>
      </c>
      <c r="C763" s="3">
        <v>61</v>
      </c>
      <c r="D763" s="3">
        <v>12</v>
      </c>
      <c r="E763" s="3">
        <v>159.226</v>
      </c>
      <c r="F763" s="4" t="str">
        <f>HYPERLINK("http://141.218.60.56/~jnz1568/getInfo.php?workbook=10_05.xlsx&amp;sheet=A0&amp;row=763&amp;col=6&amp;number=6050000000&amp;sourceID=14","6050000000")</f>
        <v>6050000000</v>
      </c>
      <c r="G763" s="4" t="str">
        <f>HYPERLINK("http://141.218.60.56/~jnz1568/getInfo.php?workbook=10_05.xlsx&amp;sheet=A0&amp;row=763&amp;col=7&amp;number=0&amp;sourceID=14","0")</f>
        <v>0</v>
      </c>
    </row>
    <row r="764" spans="1:7">
      <c r="A764" s="3">
        <v>10</v>
      </c>
      <c r="B764" s="3">
        <v>5</v>
      </c>
      <c r="C764" s="3">
        <v>62</v>
      </c>
      <c r="D764" s="3">
        <v>12</v>
      </c>
      <c r="E764" s="3">
        <v>159.15</v>
      </c>
      <c r="F764" s="4" t="str">
        <f>HYPERLINK("http://141.218.60.56/~jnz1568/getInfo.php?workbook=10_05.xlsx&amp;sheet=A0&amp;row=764&amp;col=6&amp;number=375000000&amp;sourceID=14","375000000")</f>
        <v>375000000</v>
      </c>
      <c r="G764" s="4" t="str">
        <f>HYPERLINK("http://141.218.60.56/~jnz1568/getInfo.php?workbook=10_05.xlsx&amp;sheet=A0&amp;row=764&amp;col=7&amp;number=0&amp;sourceID=14","0")</f>
        <v>0</v>
      </c>
    </row>
    <row r="765" spans="1:7">
      <c r="A765" s="3">
        <v>10</v>
      </c>
      <c r="B765" s="3">
        <v>5</v>
      </c>
      <c r="C765" s="3">
        <v>63</v>
      </c>
      <c r="D765" s="3">
        <v>12</v>
      </c>
      <c r="E765" s="3">
        <v>157.633</v>
      </c>
      <c r="F765" s="4" t="str">
        <f>HYPERLINK("http://141.218.60.56/~jnz1568/getInfo.php?workbook=10_05.xlsx&amp;sheet=A0&amp;row=765&amp;col=6&amp;number=1940000&amp;sourceID=14","1940000")</f>
        <v>1940000</v>
      </c>
      <c r="G765" s="4" t="str">
        <f>HYPERLINK("http://141.218.60.56/~jnz1568/getInfo.php?workbook=10_05.xlsx&amp;sheet=A0&amp;row=765&amp;col=7&amp;number=0&amp;sourceID=14","0")</f>
        <v>0</v>
      </c>
    </row>
    <row r="766" spans="1:7">
      <c r="A766" s="3">
        <v>10</v>
      </c>
      <c r="B766" s="3">
        <v>5</v>
      </c>
      <c r="C766" s="3">
        <v>66</v>
      </c>
      <c r="D766" s="3">
        <v>12</v>
      </c>
      <c r="E766" s="3">
        <v>151.645</v>
      </c>
      <c r="F766" s="4" t="str">
        <f>HYPERLINK("http://141.218.60.56/~jnz1568/getInfo.php?workbook=10_05.xlsx&amp;sheet=A0&amp;row=766&amp;col=6&amp;number=21000000&amp;sourceID=14","21000000")</f>
        <v>21000000</v>
      </c>
      <c r="G766" s="4" t="str">
        <f>HYPERLINK("http://141.218.60.56/~jnz1568/getInfo.php?workbook=10_05.xlsx&amp;sheet=A0&amp;row=766&amp;col=7&amp;number=0&amp;sourceID=14","0")</f>
        <v>0</v>
      </c>
    </row>
    <row r="767" spans="1:7">
      <c r="A767" s="3">
        <v>10</v>
      </c>
      <c r="B767" s="3">
        <v>5</v>
      </c>
      <c r="C767" s="3">
        <v>67</v>
      </c>
      <c r="D767" s="3">
        <v>12</v>
      </c>
      <c r="E767" s="3">
        <v>151.645</v>
      </c>
      <c r="F767" s="4" t="str">
        <f>HYPERLINK("http://141.218.60.56/~jnz1568/getInfo.php?workbook=10_05.xlsx&amp;sheet=A0&amp;row=767&amp;col=6&amp;number=1600000&amp;sourceID=14","1600000")</f>
        <v>1600000</v>
      </c>
      <c r="G767" s="4" t="str">
        <f>HYPERLINK("http://141.218.60.56/~jnz1568/getInfo.php?workbook=10_05.xlsx&amp;sheet=A0&amp;row=767&amp;col=7&amp;number=0&amp;sourceID=14","0")</f>
        <v>0</v>
      </c>
    </row>
    <row r="768" spans="1:7">
      <c r="A768" s="3">
        <v>10</v>
      </c>
      <c r="B768" s="3">
        <v>5</v>
      </c>
      <c r="C768" s="3">
        <v>70</v>
      </c>
      <c r="D768" s="3">
        <v>12</v>
      </c>
      <c r="E768" s="3">
        <v>150.689</v>
      </c>
      <c r="F768" s="4" t="str">
        <f>HYPERLINK("http://141.218.60.56/~jnz1568/getInfo.php?workbook=10_05.xlsx&amp;sheet=A0&amp;row=768&amp;col=6&amp;number=812000&amp;sourceID=14","812000")</f>
        <v>812000</v>
      </c>
      <c r="G768" s="4" t="str">
        <f>HYPERLINK("http://141.218.60.56/~jnz1568/getInfo.php?workbook=10_05.xlsx&amp;sheet=A0&amp;row=768&amp;col=7&amp;number=0&amp;sourceID=14","0")</f>
        <v>0</v>
      </c>
    </row>
    <row r="769" spans="1:7">
      <c r="A769" s="3">
        <v>10</v>
      </c>
      <c r="B769" s="3">
        <v>5</v>
      </c>
      <c r="C769" s="3">
        <v>71</v>
      </c>
      <c r="D769" s="3">
        <v>12</v>
      </c>
      <c r="E769" s="3">
        <v>150.689</v>
      </c>
      <c r="F769" s="4" t="str">
        <f>HYPERLINK("http://141.218.60.56/~jnz1568/getInfo.php?workbook=10_05.xlsx&amp;sheet=A0&amp;row=769&amp;col=6&amp;number=1570000&amp;sourceID=14","1570000")</f>
        <v>1570000</v>
      </c>
      <c r="G769" s="4" t="str">
        <f>HYPERLINK("http://141.218.60.56/~jnz1568/getInfo.php?workbook=10_05.xlsx&amp;sheet=A0&amp;row=769&amp;col=7&amp;number=0&amp;sourceID=14","0")</f>
        <v>0</v>
      </c>
    </row>
    <row r="770" spans="1:7">
      <c r="A770" s="3">
        <v>10</v>
      </c>
      <c r="B770" s="3">
        <v>5</v>
      </c>
      <c r="C770" s="3">
        <v>72</v>
      </c>
      <c r="D770" s="3">
        <v>12</v>
      </c>
      <c r="E770" s="3">
        <v>150.689</v>
      </c>
      <c r="F770" s="4" t="str">
        <f>HYPERLINK("http://141.218.60.56/~jnz1568/getInfo.php?workbook=10_05.xlsx&amp;sheet=A0&amp;row=770&amp;col=6&amp;number=263000&amp;sourceID=14","263000")</f>
        <v>263000</v>
      </c>
      <c r="G770" s="4" t="str">
        <f>HYPERLINK("http://141.218.60.56/~jnz1568/getInfo.php?workbook=10_05.xlsx&amp;sheet=A0&amp;row=770&amp;col=7&amp;number=0&amp;sourceID=14","0")</f>
        <v>0</v>
      </c>
    </row>
    <row r="771" spans="1:7">
      <c r="A771" s="3">
        <v>10</v>
      </c>
      <c r="B771" s="3">
        <v>5</v>
      </c>
      <c r="C771" s="3">
        <v>77</v>
      </c>
      <c r="D771" s="3">
        <v>12</v>
      </c>
      <c r="E771" s="3">
        <v>-145.322</v>
      </c>
      <c r="F771" s="4" t="str">
        <f>HYPERLINK("http://141.218.60.56/~jnz1568/getInfo.php?workbook=10_05.xlsx&amp;sheet=A0&amp;row=771&amp;col=6&amp;number=18400000000&amp;sourceID=14","18400000000")</f>
        <v>18400000000</v>
      </c>
      <c r="G771" s="4" t="str">
        <f>HYPERLINK("http://141.218.60.56/~jnz1568/getInfo.php?workbook=10_05.xlsx&amp;sheet=A0&amp;row=771&amp;col=7&amp;number=0&amp;sourceID=14","0")</f>
        <v>0</v>
      </c>
    </row>
    <row r="772" spans="1:7">
      <c r="A772" s="3">
        <v>10</v>
      </c>
      <c r="B772" s="3">
        <v>5</v>
      </c>
      <c r="C772" s="3">
        <v>78</v>
      </c>
      <c r="D772" s="3">
        <v>12</v>
      </c>
      <c r="E772" s="3">
        <v>-145.147</v>
      </c>
      <c r="F772" s="4" t="str">
        <f>HYPERLINK("http://141.218.60.56/~jnz1568/getInfo.php?workbook=10_05.xlsx&amp;sheet=A0&amp;row=772&amp;col=6&amp;number=1350000000&amp;sourceID=14","1350000000")</f>
        <v>1350000000</v>
      </c>
      <c r="G772" s="4" t="str">
        <f>HYPERLINK("http://141.218.60.56/~jnz1568/getInfo.php?workbook=10_05.xlsx&amp;sheet=A0&amp;row=772&amp;col=7&amp;number=0&amp;sourceID=14","0")</f>
        <v>0</v>
      </c>
    </row>
    <row r="773" spans="1:7">
      <c r="A773" s="3">
        <v>10</v>
      </c>
      <c r="B773" s="3">
        <v>5</v>
      </c>
      <c r="C773" s="3">
        <v>80</v>
      </c>
      <c r="D773" s="3">
        <v>12</v>
      </c>
      <c r="E773" s="3">
        <v>143.551</v>
      </c>
      <c r="F773" s="4" t="str">
        <f>HYPERLINK("http://141.218.60.56/~jnz1568/getInfo.php?workbook=10_05.xlsx&amp;sheet=A0&amp;row=773&amp;col=6&amp;number=22000000000&amp;sourceID=14","22000000000")</f>
        <v>22000000000</v>
      </c>
      <c r="G773" s="4" t="str">
        <f>HYPERLINK("http://141.218.60.56/~jnz1568/getInfo.php?workbook=10_05.xlsx&amp;sheet=A0&amp;row=773&amp;col=7&amp;number=0&amp;sourceID=14","0")</f>
        <v>0</v>
      </c>
    </row>
    <row r="774" spans="1:7">
      <c r="A774" s="3">
        <v>10</v>
      </c>
      <c r="B774" s="3">
        <v>5</v>
      </c>
      <c r="C774" s="3">
        <v>81</v>
      </c>
      <c r="D774" s="3">
        <v>12</v>
      </c>
      <c r="E774" s="3">
        <v>143.551</v>
      </c>
      <c r="F774" s="4" t="str">
        <f>HYPERLINK("http://141.218.60.56/~jnz1568/getInfo.php?workbook=10_05.xlsx&amp;sheet=A0&amp;row=774&amp;col=6&amp;number=1760000000&amp;sourceID=14","1760000000")</f>
        <v>1760000000</v>
      </c>
      <c r="G774" s="4" t="str">
        <f>HYPERLINK("http://141.218.60.56/~jnz1568/getInfo.php?workbook=10_05.xlsx&amp;sheet=A0&amp;row=774&amp;col=7&amp;number=0&amp;sourceID=14","0")</f>
        <v>0</v>
      </c>
    </row>
    <row r="775" spans="1:7">
      <c r="A775" s="3">
        <v>10</v>
      </c>
      <c r="B775" s="3">
        <v>5</v>
      </c>
      <c r="C775" s="3">
        <v>99</v>
      </c>
      <c r="D775" s="3">
        <v>12</v>
      </c>
      <c r="E775" s="3">
        <v>-135.112</v>
      </c>
      <c r="F775" s="4" t="str">
        <f>HYPERLINK("http://141.218.60.56/~jnz1568/getInfo.php?workbook=10_05.xlsx&amp;sheet=A0&amp;row=775&amp;col=6&amp;number=11200000&amp;sourceID=14","11200000")</f>
        <v>11200000</v>
      </c>
      <c r="G775" s="4" t="str">
        <f>HYPERLINK("http://141.218.60.56/~jnz1568/getInfo.php?workbook=10_05.xlsx&amp;sheet=A0&amp;row=775&amp;col=7&amp;number=0&amp;sourceID=14","0")</f>
        <v>0</v>
      </c>
    </row>
    <row r="776" spans="1:7">
      <c r="A776" s="3">
        <v>10</v>
      </c>
      <c r="B776" s="3">
        <v>5</v>
      </c>
      <c r="C776" s="3">
        <v>100</v>
      </c>
      <c r="D776" s="3">
        <v>12</v>
      </c>
      <c r="E776" s="3">
        <v>-135.064</v>
      </c>
      <c r="F776" s="4" t="str">
        <f>HYPERLINK("http://141.218.60.56/~jnz1568/getInfo.php?workbook=10_05.xlsx&amp;sheet=A0&amp;row=776&amp;col=6&amp;number=7490000&amp;sourceID=14","7490000")</f>
        <v>7490000</v>
      </c>
      <c r="G776" s="4" t="str">
        <f>HYPERLINK("http://141.218.60.56/~jnz1568/getInfo.php?workbook=10_05.xlsx&amp;sheet=A0&amp;row=776&amp;col=7&amp;number=0&amp;sourceID=14","0")</f>
        <v>0</v>
      </c>
    </row>
    <row r="777" spans="1:7">
      <c r="A777" s="3">
        <v>10</v>
      </c>
      <c r="B777" s="3">
        <v>5</v>
      </c>
      <c r="C777" s="3">
        <v>105</v>
      </c>
      <c r="D777" s="3">
        <v>12</v>
      </c>
      <c r="E777" s="3">
        <v>-134.029</v>
      </c>
      <c r="F777" s="4" t="str">
        <f>HYPERLINK("http://141.218.60.56/~jnz1568/getInfo.php?workbook=10_05.xlsx&amp;sheet=A0&amp;row=777&amp;col=6&amp;number=783000000&amp;sourceID=14","783000000")</f>
        <v>783000000</v>
      </c>
      <c r="G777" s="4" t="str">
        <f>HYPERLINK("http://141.218.60.56/~jnz1568/getInfo.php?workbook=10_05.xlsx&amp;sheet=A0&amp;row=777&amp;col=7&amp;number=0&amp;sourceID=14","0")</f>
        <v>0</v>
      </c>
    </row>
    <row r="778" spans="1:7">
      <c r="A778" s="3">
        <v>10</v>
      </c>
      <c r="B778" s="3">
        <v>5</v>
      </c>
      <c r="C778" s="3">
        <v>106</v>
      </c>
      <c r="D778" s="3">
        <v>12</v>
      </c>
      <c r="E778" s="3">
        <v>-134.007</v>
      </c>
      <c r="F778" s="4" t="str">
        <f>HYPERLINK("http://141.218.60.56/~jnz1568/getInfo.php?workbook=10_05.xlsx&amp;sheet=A0&amp;row=778&amp;col=6&amp;number=140000000&amp;sourceID=14","140000000")</f>
        <v>140000000</v>
      </c>
      <c r="G778" s="4" t="str">
        <f>HYPERLINK("http://141.218.60.56/~jnz1568/getInfo.php?workbook=10_05.xlsx&amp;sheet=A0&amp;row=778&amp;col=7&amp;number=0&amp;sourceID=14","0")</f>
        <v>0</v>
      </c>
    </row>
    <row r="779" spans="1:7">
      <c r="A779" s="3">
        <v>10</v>
      </c>
      <c r="B779" s="3">
        <v>5</v>
      </c>
      <c r="C779" s="3">
        <v>107</v>
      </c>
      <c r="D779" s="3">
        <v>12</v>
      </c>
      <c r="E779" s="3">
        <v>-133.957</v>
      </c>
      <c r="F779" s="4" t="str">
        <f>HYPERLINK("http://141.218.60.56/~jnz1568/getInfo.php?workbook=10_05.xlsx&amp;sheet=A0&amp;row=779&amp;col=6&amp;number=8440000&amp;sourceID=14","8440000")</f>
        <v>8440000</v>
      </c>
      <c r="G779" s="4" t="str">
        <f>HYPERLINK("http://141.218.60.56/~jnz1568/getInfo.php?workbook=10_05.xlsx&amp;sheet=A0&amp;row=779&amp;col=7&amp;number=0&amp;sourceID=14","0")</f>
        <v>0</v>
      </c>
    </row>
    <row r="780" spans="1:7">
      <c r="A780" s="3">
        <v>10</v>
      </c>
      <c r="B780" s="3">
        <v>5</v>
      </c>
      <c r="C780" s="3">
        <v>109</v>
      </c>
      <c r="D780" s="3">
        <v>12</v>
      </c>
      <c r="E780" s="3">
        <v>-133.831</v>
      </c>
      <c r="F780" s="4" t="str">
        <f>HYPERLINK("http://141.218.60.56/~jnz1568/getInfo.php?workbook=10_05.xlsx&amp;sheet=A0&amp;row=780&amp;col=6&amp;number=2170000000&amp;sourceID=14","2170000000")</f>
        <v>2170000000</v>
      </c>
      <c r="G780" s="4" t="str">
        <f>HYPERLINK("http://141.218.60.56/~jnz1568/getInfo.php?workbook=10_05.xlsx&amp;sheet=A0&amp;row=780&amp;col=7&amp;number=0&amp;sourceID=14","0")</f>
        <v>0</v>
      </c>
    </row>
    <row r="781" spans="1:7">
      <c r="A781" s="3">
        <v>10</v>
      </c>
      <c r="B781" s="3">
        <v>5</v>
      </c>
      <c r="C781" s="3">
        <v>111</v>
      </c>
      <c r="D781" s="3">
        <v>12</v>
      </c>
      <c r="E781" s="3">
        <v>-133.724</v>
      </c>
      <c r="F781" s="4" t="str">
        <f>HYPERLINK("http://141.218.60.56/~jnz1568/getInfo.php?workbook=10_05.xlsx&amp;sheet=A0&amp;row=781&amp;col=6&amp;number=13600000000&amp;sourceID=14","13600000000")</f>
        <v>13600000000</v>
      </c>
      <c r="G781" s="4" t="str">
        <f>HYPERLINK("http://141.218.60.56/~jnz1568/getInfo.php?workbook=10_05.xlsx&amp;sheet=A0&amp;row=781&amp;col=7&amp;number=0&amp;sourceID=14","0")</f>
        <v>0</v>
      </c>
    </row>
    <row r="782" spans="1:7">
      <c r="A782" s="3">
        <v>10</v>
      </c>
      <c r="B782" s="3">
        <v>5</v>
      </c>
      <c r="C782" s="3">
        <v>115</v>
      </c>
      <c r="D782" s="3">
        <v>12</v>
      </c>
      <c r="E782" s="3">
        <v>-132.504</v>
      </c>
      <c r="F782" s="4" t="str">
        <f>HYPERLINK("http://141.218.60.56/~jnz1568/getInfo.php?workbook=10_05.xlsx&amp;sheet=A0&amp;row=782&amp;col=6&amp;number=25000000000&amp;sourceID=14","25000000000")</f>
        <v>25000000000</v>
      </c>
      <c r="G782" s="4" t="str">
        <f>HYPERLINK("http://141.218.60.56/~jnz1568/getInfo.php?workbook=10_05.xlsx&amp;sheet=A0&amp;row=782&amp;col=7&amp;number=0&amp;sourceID=14","0")</f>
        <v>0</v>
      </c>
    </row>
    <row r="783" spans="1:7">
      <c r="A783" s="3">
        <v>10</v>
      </c>
      <c r="B783" s="3">
        <v>5</v>
      </c>
      <c r="C783" s="3">
        <v>117</v>
      </c>
      <c r="D783" s="3">
        <v>12</v>
      </c>
      <c r="E783" s="3">
        <v>-132.309</v>
      </c>
      <c r="F783" s="4" t="str">
        <f>HYPERLINK("http://141.218.60.56/~jnz1568/getInfo.php?workbook=10_05.xlsx&amp;sheet=A0&amp;row=783&amp;col=6&amp;number=283000&amp;sourceID=14","283000")</f>
        <v>283000</v>
      </c>
      <c r="G783" s="4" t="str">
        <f>HYPERLINK("http://141.218.60.56/~jnz1568/getInfo.php?workbook=10_05.xlsx&amp;sheet=A0&amp;row=783&amp;col=7&amp;number=0&amp;sourceID=14","0")</f>
        <v>0</v>
      </c>
    </row>
    <row r="784" spans="1:7">
      <c r="A784" s="3">
        <v>10</v>
      </c>
      <c r="B784" s="3">
        <v>5</v>
      </c>
      <c r="C784" s="3">
        <v>118</v>
      </c>
      <c r="D784" s="3">
        <v>12</v>
      </c>
      <c r="E784" s="3">
        <v>-132.295</v>
      </c>
      <c r="F784" s="4" t="str">
        <f>HYPERLINK("http://141.218.60.56/~jnz1568/getInfo.php?workbook=10_05.xlsx&amp;sheet=A0&amp;row=784&amp;col=6&amp;number=16200&amp;sourceID=14","16200")</f>
        <v>16200</v>
      </c>
      <c r="G784" s="4" t="str">
        <f>HYPERLINK("http://141.218.60.56/~jnz1568/getInfo.php?workbook=10_05.xlsx&amp;sheet=A0&amp;row=784&amp;col=7&amp;number=0&amp;sourceID=14","0")</f>
        <v>0</v>
      </c>
    </row>
    <row r="785" spans="1:7">
      <c r="A785" s="3">
        <v>10</v>
      </c>
      <c r="B785" s="3">
        <v>5</v>
      </c>
      <c r="C785" s="3">
        <v>119</v>
      </c>
      <c r="D785" s="3">
        <v>12</v>
      </c>
      <c r="E785" s="3">
        <v>-132.286</v>
      </c>
      <c r="F785" s="4" t="str">
        <f>HYPERLINK("http://141.218.60.56/~jnz1568/getInfo.php?workbook=10_05.xlsx&amp;sheet=A0&amp;row=785&amp;col=6&amp;number=888000&amp;sourceID=14","888000")</f>
        <v>888000</v>
      </c>
      <c r="G785" s="4" t="str">
        <f>HYPERLINK("http://141.218.60.56/~jnz1568/getInfo.php?workbook=10_05.xlsx&amp;sheet=A0&amp;row=785&amp;col=7&amp;number=0&amp;sourceID=14","0")</f>
        <v>0</v>
      </c>
    </row>
    <row r="786" spans="1:7">
      <c r="A786" s="3">
        <v>10</v>
      </c>
      <c r="B786" s="3">
        <v>5</v>
      </c>
      <c r="C786" s="3">
        <v>120</v>
      </c>
      <c r="D786" s="3">
        <v>12</v>
      </c>
      <c r="E786" s="3">
        <v>-131.735</v>
      </c>
      <c r="F786" s="4" t="str">
        <f>HYPERLINK("http://141.218.60.56/~jnz1568/getInfo.php?workbook=10_05.xlsx&amp;sheet=A0&amp;row=786&amp;col=6&amp;number=40900000&amp;sourceID=14","40900000")</f>
        <v>40900000</v>
      </c>
      <c r="G786" s="4" t="str">
        <f>HYPERLINK("http://141.218.60.56/~jnz1568/getInfo.php?workbook=10_05.xlsx&amp;sheet=A0&amp;row=786&amp;col=7&amp;number=0&amp;sourceID=14","0")</f>
        <v>0</v>
      </c>
    </row>
    <row r="787" spans="1:7">
      <c r="A787" s="3">
        <v>10</v>
      </c>
      <c r="B787" s="3">
        <v>5</v>
      </c>
      <c r="C787" s="3">
        <v>121</v>
      </c>
      <c r="D787" s="3">
        <v>12</v>
      </c>
      <c r="E787" s="3">
        <v>-131.696</v>
      </c>
      <c r="F787" s="4" t="str">
        <f>HYPERLINK("http://141.218.60.56/~jnz1568/getInfo.php?workbook=10_05.xlsx&amp;sheet=A0&amp;row=787&amp;col=6&amp;number=1570000&amp;sourceID=14","1570000")</f>
        <v>1570000</v>
      </c>
      <c r="G787" s="4" t="str">
        <f>HYPERLINK("http://141.218.60.56/~jnz1568/getInfo.php?workbook=10_05.xlsx&amp;sheet=A0&amp;row=787&amp;col=7&amp;number=0&amp;sourceID=14","0")</f>
        <v>0</v>
      </c>
    </row>
    <row r="788" spans="1:7">
      <c r="A788" s="3">
        <v>10</v>
      </c>
      <c r="B788" s="3">
        <v>5</v>
      </c>
      <c r="C788" s="3">
        <v>122</v>
      </c>
      <c r="D788" s="3">
        <v>12</v>
      </c>
      <c r="E788" s="3">
        <v>-131.632</v>
      </c>
      <c r="F788" s="4" t="str">
        <f>HYPERLINK("http://141.218.60.56/~jnz1568/getInfo.php?workbook=10_05.xlsx&amp;sheet=A0&amp;row=788&amp;col=6&amp;number=18000000&amp;sourceID=14","18000000")</f>
        <v>18000000</v>
      </c>
      <c r="G788" s="4" t="str">
        <f>HYPERLINK("http://141.218.60.56/~jnz1568/getInfo.php?workbook=10_05.xlsx&amp;sheet=A0&amp;row=788&amp;col=7&amp;number=0&amp;sourceID=14","0")</f>
        <v>0</v>
      </c>
    </row>
    <row r="789" spans="1:7">
      <c r="A789" s="3">
        <v>10</v>
      </c>
      <c r="B789" s="3">
        <v>5</v>
      </c>
      <c r="C789" s="3">
        <v>123</v>
      </c>
      <c r="D789" s="3">
        <v>12</v>
      </c>
      <c r="E789" s="3">
        <v>-131.581</v>
      </c>
      <c r="F789" s="4" t="str">
        <f>HYPERLINK("http://141.218.60.56/~jnz1568/getInfo.php?workbook=10_05.xlsx&amp;sheet=A0&amp;row=789&amp;col=6&amp;number=9010000&amp;sourceID=14","9010000")</f>
        <v>9010000</v>
      </c>
      <c r="G789" s="4" t="str">
        <f>HYPERLINK("http://141.218.60.56/~jnz1568/getInfo.php?workbook=10_05.xlsx&amp;sheet=A0&amp;row=789&amp;col=7&amp;number=0&amp;sourceID=14","0")</f>
        <v>0</v>
      </c>
    </row>
    <row r="790" spans="1:7">
      <c r="A790" s="3">
        <v>10</v>
      </c>
      <c r="B790" s="3">
        <v>5</v>
      </c>
      <c r="C790" s="3">
        <v>125</v>
      </c>
      <c r="D790" s="3">
        <v>12</v>
      </c>
      <c r="E790" s="3">
        <v>-131.385</v>
      </c>
      <c r="F790" s="4" t="str">
        <f>HYPERLINK("http://141.218.60.56/~jnz1568/getInfo.php?workbook=10_05.xlsx&amp;sheet=A0&amp;row=790&amp;col=6&amp;number=1980000000&amp;sourceID=14","1980000000")</f>
        <v>1980000000</v>
      </c>
      <c r="G790" s="4" t="str">
        <f>HYPERLINK("http://141.218.60.56/~jnz1568/getInfo.php?workbook=10_05.xlsx&amp;sheet=A0&amp;row=790&amp;col=7&amp;number=0&amp;sourceID=14","0")</f>
        <v>0</v>
      </c>
    </row>
    <row r="791" spans="1:7">
      <c r="A791" s="3">
        <v>10</v>
      </c>
      <c r="B791" s="3">
        <v>5</v>
      </c>
      <c r="C791" s="3">
        <v>126</v>
      </c>
      <c r="D791" s="3">
        <v>12</v>
      </c>
      <c r="E791" s="3">
        <v>-131.338</v>
      </c>
      <c r="F791" s="4" t="str">
        <f>HYPERLINK("http://141.218.60.56/~jnz1568/getInfo.php?workbook=10_05.xlsx&amp;sheet=A0&amp;row=791&amp;col=6&amp;number=162000000&amp;sourceID=14","162000000")</f>
        <v>162000000</v>
      </c>
      <c r="G791" s="4" t="str">
        <f>HYPERLINK("http://141.218.60.56/~jnz1568/getInfo.php?workbook=10_05.xlsx&amp;sheet=A0&amp;row=791&amp;col=7&amp;number=0&amp;sourceID=14","0")</f>
        <v>0</v>
      </c>
    </row>
    <row r="792" spans="1:7">
      <c r="A792" s="3">
        <v>10</v>
      </c>
      <c r="B792" s="3">
        <v>5</v>
      </c>
      <c r="C792" s="3">
        <v>129</v>
      </c>
      <c r="D792" s="3">
        <v>12</v>
      </c>
      <c r="E792" s="3">
        <v>130.885</v>
      </c>
      <c r="F792" s="4" t="str">
        <f>HYPERLINK("http://141.218.60.56/~jnz1568/getInfo.php?workbook=10_05.xlsx&amp;sheet=A0&amp;row=792&amp;col=6&amp;number=4170000000&amp;sourceID=14","4170000000")</f>
        <v>4170000000</v>
      </c>
      <c r="G792" s="4" t="str">
        <f>HYPERLINK("http://141.218.60.56/~jnz1568/getInfo.php?workbook=10_05.xlsx&amp;sheet=A0&amp;row=792&amp;col=7&amp;number=0&amp;sourceID=14","0")</f>
        <v>0</v>
      </c>
    </row>
    <row r="793" spans="1:7">
      <c r="A793" s="3">
        <v>10</v>
      </c>
      <c r="B793" s="3">
        <v>5</v>
      </c>
      <c r="C793" s="3">
        <v>130</v>
      </c>
      <c r="D793" s="3">
        <v>12</v>
      </c>
      <c r="E793" s="3">
        <v>130.885</v>
      </c>
      <c r="F793" s="4" t="str">
        <f>HYPERLINK("http://141.218.60.56/~jnz1568/getInfo.php?workbook=10_05.xlsx&amp;sheet=A0&amp;row=793&amp;col=6&amp;number=435000000&amp;sourceID=14","435000000")</f>
        <v>435000000</v>
      </c>
      <c r="G793" s="4" t="str">
        <f>HYPERLINK("http://141.218.60.56/~jnz1568/getInfo.php?workbook=10_05.xlsx&amp;sheet=A0&amp;row=793&amp;col=7&amp;number=0&amp;sourceID=14","0")</f>
        <v>0</v>
      </c>
    </row>
    <row r="794" spans="1:7">
      <c r="A794" s="3">
        <v>10</v>
      </c>
      <c r="B794" s="3">
        <v>5</v>
      </c>
      <c r="C794" s="3">
        <v>131</v>
      </c>
      <c r="D794" s="3">
        <v>12</v>
      </c>
      <c r="E794" s="3">
        <v>-130.761</v>
      </c>
      <c r="F794" s="4" t="str">
        <f>HYPERLINK("http://141.218.60.56/~jnz1568/getInfo.php?workbook=10_05.xlsx&amp;sheet=A0&amp;row=794&amp;col=6&amp;number=255000&amp;sourceID=14","255000")</f>
        <v>255000</v>
      </c>
      <c r="G794" s="4" t="str">
        <f>HYPERLINK("http://141.218.60.56/~jnz1568/getInfo.php?workbook=10_05.xlsx&amp;sheet=A0&amp;row=794&amp;col=7&amp;number=0&amp;sourceID=14","0")</f>
        <v>0</v>
      </c>
    </row>
    <row r="795" spans="1:7">
      <c r="A795" s="3">
        <v>10</v>
      </c>
      <c r="B795" s="3">
        <v>5</v>
      </c>
      <c r="C795" s="3">
        <v>132</v>
      </c>
      <c r="D795" s="3">
        <v>12</v>
      </c>
      <c r="E795" s="3">
        <v>-130.736</v>
      </c>
      <c r="F795" s="4" t="str">
        <f>HYPERLINK("http://141.218.60.56/~jnz1568/getInfo.php?workbook=10_05.xlsx&amp;sheet=A0&amp;row=795&amp;col=6&amp;number=7380000&amp;sourceID=14","7380000")</f>
        <v>7380000</v>
      </c>
      <c r="G795" s="4" t="str">
        <f>HYPERLINK("http://141.218.60.56/~jnz1568/getInfo.php?workbook=10_05.xlsx&amp;sheet=A0&amp;row=795&amp;col=7&amp;number=0&amp;sourceID=14","0")</f>
        <v>0</v>
      </c>
    </row>
    <row r="796" spans="1:7">
      <c r="A796" s="3">
        <v>10</v>
      </c>
      <c r="B796" s="3">
        <v>5</v>
      </c>
      <c r="C796" s="3">
        <v>133</v>
      </c>
      <c r="D796" s="3">
        <v>12</v>
      </c>
      <c r="E796" s="3">
        <v>-130.7</v>
      </c>
      <c r="F796" s="4" t="str">
        <f>HYPERLINK("http://141.218.60.56/~jnz1568/getInfo.php?workbook=10_05.xlsx&amp;sheet=A0&amp;row=796&amp;col=6&amp;number=99200000&amp;sourceID=14","99200000")</f>
        <v>99200000</v>
      </c>
      <c r="G796" s="4" t="str">
        <f>HYPERLINK("http://141.218.60.56/~jnz1568/getInfo.php?workbook=10_05.xlsx&amp;sheet=A0&amp;row=796&amp;col=7&amp;number=0&amp;sourceID=14","0")</f>
        <v>0</v>
      </c>
    </row>
    <row r="797" spans="1:7">
      <c r="A797" s="3">
        <v>10</v>
      </c>
      <c r="B797" s="3">
        <v>5</v>
      </c>
      <c r="C797" s="3">
        <v>140</v>
      </c>
      <c r="D797" s="3">
        <v>12</v>
      </c>
      <c r="E797" s="3">
        <v>-129.879</v>
      </c>
      <c r="F797" s="4" t="str">
        <f>HYPERLINK("http://141.218.60.56/~jnz1568/getInfo.php?workbook=10_05.xlsx&amp;sheet=A0&amp;row=797&amp;col=6&amp;number=4110&amp;sourceID=14","4110")</f>
        <v>4110</v>
      </c>
      <c r="G797" s="4" t="str">
        <f>HYPERLINK("http://141.218.60.56/~jnz1568/getInfo.php?workbook=10_05.xlsx&amp;sheet=A0&amp;row=797&amp;col=7&amp;number=0&amp;sourceID=14","0")</f>
        <v>0</v>
      </c>
    </row>
    <row r="798" spans="1:7">
      <c r="A798" s="3">
        <v>10</v>
      </c>
      <c r="B798" s="3">
        <v>5</v>
      </c>
      <c r="C798" s="3">
        <v>150</v>
      </c>
      <c r="D798" s="3">
        <v>12</v>
      </c>
      <c r="E798" s="3">
        <v>-128.719</v>
      </c>
      <c r="F798" s="4" t="str">
        <f>HYPERLINK("http://141.218.60.56/~jnz1568/getInfo.php?workbook=10_05.xlsx&amp;sheet=A0&amp;row=798&amp;col=6&amp;number=68800000000&amp;sourceID=14","68800000000")</f>
        <v>68800000000</v>
      </c>
      <c r="G798" s="4" t="str">
        <f>HYPERLINK("http://141.218.60.56/~jnz1568/getInfo.php?workbook=10_05.xlsx&amp;sheet=A0&amp;row=798&amp;col=7&amp;number=0&amp;sourceID=14","0")</f>
        <v>0</v>
      </c>
    </row>
    <row r="799" spans="1:7">
      <c r="A799" s="3">
        <v>10</v>
      </c>
      <c r="B799" s="3">
        <v>5</v>
      </c>
      <c r="C799" s="3">
        <v>151</v>
      </c>
      <c r="D799" s="3">
        <v>12</v>
      </c>
      <c r="E799" s="3">
        <v>-128.716</v>
      </c>
      <c r="F799" s="4" t="str">
        <f>HYPERLINK("http://141.218.60.56/~jnz1568/getInfo.php?workbook=10_05.xlsx&amp;sheet=A0&amp;row=799&amp;col=6&amp;number=89300000000&amp;sourceID=14","89300000000")</f>
        <v>89300000000</v>
      </c>
      <c r="G799" s="4" t="str">
        <f>HYPERLINK("http://141.218.60.56/~jnz1568/getInfo.php?workbook=10_05.xlsx&amp;sheet=A0&amp;row=799&amp;col=7&amp;number=0&amp;sourceID=14","0")</f>
        <v>0</v>
      </c>
    </row>
    <row r="800" spans="1:7">
      <c r="A800" s="3">
        <v>10</v>
      </c>
      <c r="B800" s="3">
        <v>5</v>
      </c>
      <c r="C800" s="3">
        <v>155</v>
      </c>
      <c r="D800" s="3">
        <v>12</v>
      </c>
      <c r="E800" s="3">
        <v>128.206</v>
      </c>
      <c r="F800" s="4" t="str">
        <f>HYPERLINK("http://141.218.60.56/~jnz1568/getInfo.php?workbook=10_05.xlsx&amp;sheet=A0&amp;row=800&amp;col=6&amp;number=134000000000&amp;sourceID=14","134000000000")</f>
        <v>134000000000</v>
      </c>
      <c r="G800" s="4" t="str">
        <f>HYPERLINK("http://141.218.60.56/~jnz1568/getInfo.php?workbook=10_05.xlsx&amp;sheet=A0&amp;row=800&amp;col=7&amp;number=0&amp;sourceID=14","0")</f>
        <v>0</v>
      </c>
    </row>
    <row r="801" spans="1:7">
      <c r="A801" s="3">
        <v>10</v>
      </c>
      <c r="B801" s="3">
        <v>5</v>
      </c>
      <c r="C801" s="3">
        <v>156</v>
      </c>
      <c r="D801" s="3">
        <v>12</v>
      </c>
      <c r="E801" s="3">
        <v>-128.04</v>
      </c>
      <c r="F801" s="4" t="str">
        <f>HYPERLINK("http://141.218.60.56/~jnz1568/getInfo.php?workbook=10_05.xlsx&amp;sheet=A0&amp;row=801&amp;col=6&amp;number=68200000000&amp;sourceID=14","68200000000")</f>
        <v>68200000000</v>
      </c>
      <c r="G801" s="4" t="str">
        <f>HYPERLINK("http://141.218.60.56/~jnz1568/getInfo.php?workbook=10_05.xlsx&amp;sheet=A0&amp;row=801&amp;col=7&amp;number=0&amp;sourceID=14","0")</f>
        <v>0</v>
      </c>
    </row>
    <row r="802" spans="1:7">
      <c r="A802" s="3">
        <v>10</v>
      </c>
      <c r="B802" s="3">
        <v>5</v>
      </c>
      <c r="C802" s="3">
        <v>157</v>
      </c>
      <c r="D802" s="3">
        <v>12</v>
      </c>
      <c r="E802" s="3">
        <v>-128.011</v>
      </c>
      <c r="F802" s="4" t="str">
        <f>HYPERLINK("http://141.218.60.56/~jnz1568/getInfo.php?workbook=10_05.xlsx&amp;sheet=A0&amp;row=802&amp;col=6&amp;number=9360000000&amp;sourceID=14","9360000000")</f>
        <v>9360000000</v>
      </c>
      <c r="G802" s="4" t="str">
        <f>HYPERLINK("http://141.218.60.56/~jnz1568/getInfo.php?workbook=10_05.xlsx&amp;sheet=A0&amp;row=802&amp;col=7&amp;number=0&amp;sourceID=14","0")</f>
        <v>0</v>
      </c>
    </row>
    <row r="803" spans="1:7">
      <c r="A803" s="3">
        <v>10</v>
      </c>
      <c r="B803" s="3">
        <v>5</v>
      </c>
      <c r="C803" s="3">
        <v>160</v>
      </c>
      <c r="D803" s="3">
        <v>12</v>
      </c>
      <c r="E803" s="3">
        <v>-127.804</v>
      </c>
      <c r="F803" s="4" t="str">
        <f>HYPERLINK("http://141.218.60.56/~jnz1568/getInfo.php?workbook=10_05.xlsx&amp;sheet=A0&amp;row=803&amp;col=6&amp;number=3040000&amp;sourceID=14","3040000")</f>
        <v>3040000</v>
      </c>
      <c r="G803" s="4" t="str">
        <f>HYPERLINK("http://141.218.60.56/~jnz1568/getInfo.php?workbook=10_05.xlsx&amp;sheet=A0&amp;row=803&amp;col=7&amp;number=0&amp;sourceID=14","0")</f>
        <v>0</v>
      </c>
    </row>
    <row r="804" spans="1:7">
      <c r="A804" s="3">
        <v>10</v>
      </c>
      <c r="B804" s="3">
        <v>5</v>
      </c>
      <c r="C804" s="3">
        <v>161</v>
      </c>
      <c r="D804" s="3">
        <v>12</v>
      </c>
      <c r="E804" s="3">
        <v>127.781</v>
      </c>
      <c r="F804" s="4" t="str">
        <f>HYPERLINK("http://141.218.60.56/~jnz1568/getInfo.php?workbook=10_05.xlsx&amp;sheet=A0&amp;row=804&amp;col=6&amp;number=44000000000&amp;sourceID=14","44000000000")</f>
        <v>44000000000</v>
      </c>
      <c r="G804" s="4" t="str">
        <f>HYPERLINK("http://141.218.60.56/~jnz1568/getInfo.php?workbook=10_05.xlsx&amp;sheet=A0&amp;row=804&amp;col=7&amp;number=0&amp;sourceID=14","0")</f>
        <v>0</v>
      </c>
    </row>
    <row r="805" spans="1:7">
      <c r="A805" s="3">
        <v>10</v>
      </c>
      <c r="B805" s="3">
        <v>5</v>
      </c>
      <c r="C805" s="3">
        <v>162</v>
      </c>
      <c r="D805" s="3">
        <v>12</v>
      </c>
      <c r="E805" s="3">
        <v>127.732</v>
      </c>
      <c r="F805" s="4" t="str">
        <f>HYPERLINK("http://141.218.60.56/~jnz1568/getInfo.php?workbook=10_05.xlsx&amp;sheet=A0&amp;row=805&amp;col=6&amp;number=4070000000&amp;sourceID=14","4070000000")</f>
        <v>4070000000</v>
      </c>
      <c r="G805" s="4" t="str">
        <f>HYPERLINK("http://141.218.60.56/~jnz1568/getInfo.php?workbook=10_05.xlsx&amp;sheet=A0&amp;row=805&amp;col=7&amp;number=0&amp;sourceID=14","0")</f>
        <v>0</v>
      </c>
    </row>
    <row r="806" spans="1:7">
      <c r="A806" s="3">
        <v>10</v>
      </c>
      <c r="B806" s="3">
        <v>5</v>
      </c>
      <c r="C806" s="3">
        <v>163</v>
      </c>
      <c r="D806" s="3">
        <v>12</v>
      </c>
      <c r="E806" s="3">
        <v>-125.531</v>
      </c>
      <c r="F806" s="4" t="str">
        <f>HYPERLINK("http://141.218.60.56/~jnz1568/getInfo.php?workbook=10_05.xlsx&amp;sheet=A0&amp;row=806&amp;col=6&amp;number=17400000&amp;sourceID=14","17400000")</f>
        <v>17400000</v>
      </c>
      <c r="G806" s="4" t="str">
        <f>HYPERLINK("http://141.218.60.56/~jnz1568/getInfo.php?workbook=10_05.xlsx&amp;sheet=A0&amp;row=806&amp;col=7&amp;number=0&amp;sourceID=14","0")</f>
        <v>0</v>
      </c>
    </row>
    <row r="807" spans="1:7">
      <c r="A807" s="3">
        <v>10</v>
      </c>
      <c r="B807" s="3">
        <v>5</v>
      </c>
      <c r="C807" s="3">
        <v>168</v>
      </c>
      <c r="D807" s="3">
        <v>12</v>
      </c>
      <c r="E807" s="3">
        <v>-115.837</v>
      </c>
      <c r="F807" s="4" t="str">
        <f>HYPERLINK("http://141.218.60.56/~jnz1568/getInfo.php?workbook=10_05.xlsx&amp;sheet=A0&amp;row=807&amp;col=6&amp;number=29200000&amp;sourceID=14","29200000")</f>
        <v>29200000</v>
      </c>
      <c r="G807" s="4" t="str">
        <f>HYPERLINK("http://141.218.60.56/~jnz1568/getInfo.php?workbook=10_05.xlsx&amp;sheet=A0&amp;row=807&amp;col=7&amp;number=0&amp;sourceID=14","0")</f>
        <v>0</v>
      </c>
    </row>
    <row r="808" spans="1:7">
      <c r="A808" s="3">
        <v>10</v>
      </c>
      <c r="B808" s="3">
        <v>5</v>
      </c>
      <c r="C808" s="3">
        <v>169</v>
      </c>
      <c r="D808" s="3">
        <v>12</v>
      </c>
      <c r="E808" s="3">
        <v>-115.83</v>
      </c>
      <c r="F808" s="4" t="str">
        <f>HYPERLINK("http://141.218.60.56/~jnz1568/getInfo.php?workbook=10_05.xlsx&amp;sheet=A0&amp;row=808&amp;col=6&amp;number=140000000&amp;sourceID=14","140000000")</f>
        <v>140000000</v>
      </c>
      <c r="G808" s="4" t="str">
        <f>HYPERLINK("http://141.218.60.56/~jnz1568/getInfo.php?workbook=10_05.xlsx&amp;sheet=A0&amp;row=808&amp;col=7&amp;number=0&amp;sourceID=14","0")</f>
        <v>0</v>
      </c>
    </row>
    <row r="809" spans="1:7">
      <c r="A809" s="3">
        <v>10</v>
      </c>
      <c r="B809" s="3">
        <v>5</v>
      </c>
      <c r="C809" s="3">
        <v>170</v>
      </c>
      <c r="D809" s="3">
        <v>12</v>
      </c>
      <c r="E809" s="3">
        <v>-114.587</v>
      </c>
      <c r="F809" s="4" t="str">
        <f>HYPERLINK("http://141.218.60.56/~jnz1568/getInfo.php?workbook=10_05.xlsx&amp;sheet=A0&amp;row=809&amp;col=6&amp;number=192000000&amp;sourceID=14","192000000")</f>
        <v>192000000</v>
      </c>
      <c r="G809" s="4" t="str">
        <f>HYPERLINK("http://141.218.60.56/~jnz1568/getInfo.php?workbook=10_05.xlsx&amp;sheet=A0&amp;row=809&amp;col=7&amp;number=0&amp;sourceID=14","0")</f>
        <v>0</v>
      </c>
    </row>
    <row r="810" spans="1:7">
      <c r="A810" s="3">
        <v>10</v>
      </c>
      <c r="B810" s="3">
        <v>5</v>
      </c>
      <c r="C810" s="3">
        <v>171</v>
      </c>
      <c r="D810" s="3">
        <v>12</v>
      </c>
      <c r="E810" s="3">
        <v>-114.574</v>
      </c>
      <c r="F810" s="4" t="str">
        <f>HYPERLINK("http://141.218.60.56/~jnz1568/getInfo.php?workbook=10_05.xlsx&amp;sheet=A0&amp;row=810&amp;col=6&amp;number=9660000&amp;sourceID=14","9660000")</f>
        <v>9660000</v>
      </c>
      <c r="G810" s="4" t="str">
        <f>HYPERLINK("http://141.218.60.56/~jnz1568/getInfo.php?workbook=10_05.xlsx&amp;sheet=A0&amp;row=810&amp;col=7&amp;number=0&amp;sourceID=14","0")</f>
        <v>0</v>
      </c>
    </row>
    <row r="811" spans="1:7">
      <c r="A811" s="3">
        <v>10</v>
      </c>
      <c r="B811" s="3">
        <v>5</v>
      </c>
      <c r="C811" s="3">
        <v>172</v>
      </c>
      <c r="D811" s="3">
        <v>12</v>
      </c>
      <c r="E811" s="3">
        <v>-114.319</v>
      </c>
      <c r="F811" s="4" t="str">
        <f>HYPERLINK("http://141.218.60.56/~jnz1568/getInfo.php?workbook=10_05.xlsx&amp;sheet=A0&amp;row=811&amp;col=6&amp;number=1010000000&amp;sourceID=14","1010000000")</f>
        <v>1010000000</v>
      </c>
      <c r="G811" s="4" t="str">
        <f>HYPERLINK("http://141.218.60.56/~jnz1568/getInfo.php?workbook=10_05.xlsx&amp;sheet=A0&amp;row=811&amp;col=7&amp;number=0&amp;sourceID=14","0")</f>
        <v>0</v>
      </c>
    </row>
    <row r="812" spans="1:7">
      <c r="A812" s="3">
        <v>10</v>
      </c>
      <c r="B812" s="3">
        <v>5</v>
      </c>
      <c r="C812" s="3">
        <v>173</v>
      </c>
      <c r="D812" s="3">
        <v>12</v>
      </c>
      <c r="E812" s="3">
        <v>-114.316</v>
      </c>
      <c r="F812" s="4" t="str">
        <f>HYPERLINK("http://141.218.60.56/~jnz1568/getInfo.php?workbook=10_05.xlsx&amp;sheet=A0&amp;row=812&amp;col=6&amp;number=91500000&amp;sourceID=14","91500000")</f>
        <v>91500000</v>
      </c>
      <c r="G812" s="4" t="str">
        <f>HYPERLINK("http://141.218.60.56/~jnz1568/getInfo.php?workbook=10_05.xlsx&amp;sheet=A0&amp;row=812&amp;col=7&amp;number=0&amp;sourceID=14","0")</f>
        <v>0</v>
      </c>
    </row>
    <row r="813" spans="1:7">
      <c r="A813" s="3">
        <v>10</v>
      </c>
      <c r="B813" s="3">
        <v>5</v>
      </c>
      <c r="C813" s="3">
        <v>174</v>
      </c>
      <c r="D813" s="3">
        <v>12</v>
      </c>
      <c r="E813" s="3">
        <v>-114.041</v>
      </c>
      <c r="F813" s="4" t="str">
        <f>HYPERLINK("http://141.218.60.56/~jnz1568/getInfo.php?workbook=10_05.xlsx&amp;sheet=A0&amp;row=813&amp;col=6&amp;number=583000&amp;sourceID=14","583000")</f>
        <v>583000</v>
      </c>
      <c r="G813" s="4" t="str">
        <f>HYPERLINK("http://141.218.60.56/~jnz1568/getInfo.php?workbook=10_05.xlsx&amp;sheet=A0&amp;row=813&amp;col=7&amp;number=0&amp;sourceID=14","0")</f>
        <v>0</v>
      </c>
    </row>
    <row r="814" spans="1:7">
      <c r="A814" s="3">
        <v>10</v>
      </c>
      <c r="B814" s="3">
        <v>5</v>
      </c>
      <c r="C814" s="3">
        <v>19</v>
      </c>
      <c r="D814" s="3">
        <v>13</v>
      </c>
      <c r="E814" s="3">
        <v>218.885</v>
      </c>
      <c r="F814" s="4" t="str">
        <f>HYPERLINK("http://141.218.60.56/~jnz1568/getInfo.php?workbook=10_05.xlsx&amp;sheet=A0&amp;row=814&amp;col=6&amp;number=374000&amp;sourceID=14","374000")</f>
        <v>374000</v>
      </c>
      <c r="G814" s="4" t="str">
        <f>HYPERLINK("http://141.218.60.56/~jnz1568/getInfo.php?workbook=10_05.xlsx&amp;sheet=A0&amp;row=814&amp;col=7&amp;number=0&amp;sourceID=14","0")</f>
        <v>0</v>
      </c>
    </row>
    <row r="815" spans="1:7">
      <c r="A815" s="3">
        <v>10</v>
      </c>
      <c r="B815" s="3">
        <v>5</v>
      </c>
      <c r="C815" s="3">
        <v>20</v>
      </c>
      <c r="D815" s="3">
        <v>13</v>
      </c>
      <c r="E815" s="3">
        <v>218.885</v>
      </c>
      <c r="F815" s="4" t="str">
        <f>HYPERLINK("http://141.218.60.56/~jnz1568/getInfo.php?workbook=10_05.xlsx&amp;sheet=A0&amp;row=815&amp;col=6&amp;number=3740000&amp;sourceID=14","3740000")</f>
        <v>3740000</v>
      </c>
      <c r="G815" s="4" t="str">
        <f>HYPERLINK("http://141.218.60.56/~jnz1568/getInfo.php?workbook=10_05.xlsx&amp;sheet=A0&amp;row=815&amp;col=7&amp;number=0&amp;sourceID=14","0")</f>
        <v>0</v>
      </c>
    </row>
    <row r="816" spans="1:7">
      <c r="A816" s="3">
        <v>10</v>
      </c>
      <c r="B816" s="3">
        <v>5</v>
      </c>
      <c r="C816" s="3">
        <v>27</v>
      </c>
      <c r="D816" s="3">
        <v>13</v>
      </c>
      <c r="E816" s="3">
        <v>193.38</v>
      </c>
      <c r="F816" s="4" t="str">
        <f>HYPERLINK("http://141.218.60.56/~jnz1568/getInfo.php?workbook=10_05.xlsx&amp;sheet=A0&amp;row=816&amp;col=6&amp;number=1390000000&amp;sourceID=14","1390000000")</f>
        <v>1390000000</v>
      </c>
      <c r="G816" s="4" t="str">
        <f>HYPERLINK("http://141.218.60.56/~jnz1568/getInfo.php?workbook=10_05.xlsx&amp;sheet=A0&amp;row=816&amp;col=7&amp;number=0&amp;sourceID=14","0")</f>
        <v>0</v>
      </c>
    </row>
    <row r="817" spans="1:7">
      <c r="A817" s="3">
        <v>10</v>
      </c>
      <c r="B817" s="3">
        <v>5</v>
      </c>
      <c r="C817" s="3">
        <v>29</v>
      </c>
      <c r="D817" s="3">
        <v>13</v>
      </c>
      <c r="E817" s="3">
        <v>-192.816</v>
      </c>
      <c r="F817" s="4" t="str">
        <f>HYPERLINK("http://141.218.60.56/~jnz1568/getInfo.php?workbook=10_05.xlsx&amp;sheet=A0&amp;row=817&amp;col=6&amp;number=28800000&amp;sourceID=14","28800000")</f>
        <v>28800000</v>
      </c>
      <c r="G817" s="4" t="str">
        <f>HYPERLINK("http://141.218.60.56/~jnz1568/getInfo.php?workbook=10_05.xlsx&amp;sheet=A0&amp;row=817&amp;col=7&amp;number=0&amp;sourceID=14","0")</f>
        <v>0</v>
      </c>
    </row>
    <row r="818" spans="1:7">
      <c r="A818" s="3">
        <v>10</v>
      </c>
      <c r="B818" s="3">
        <v>5</v>
      </c>
      <c r="C818" s="3">
        <v>30</v>
      </c>
      <c r="D818" s="3">
        <v>13</v>
      </c>
      <c r="E818" s="3">
        <v>192.685</v>
      </c>
      <c r="F818" s="4" t="str">
        <f>HYPERLINK("http://141.218.60.56/~jnz1568/getInfo.php?workbook=10_05.xlsx&amp;sheet=A0&amp;row=818&amp;col=6&amp;number=5710&amp;sourceID=14","5710")</f>
        <v>5710</v>
      </c>
      <c r="G818" s="4" t="str">
        <f>HYPERLINK("http://141.218.60.56/~jnz1568/getInfo.php?workbook=10_05.xlsx&amp;sheet=A0&amp;row=818&amp;col=7&amp;number=0&amp;sourceID=14","0")</f>
        <v>0</v>
      </c>
    </row>
    <row r="819" spans="1:7">
      <c r="A819" s="3">
        <v>10</v>
      </c>
      <c r="B819" s="3">
        <v>5</v>
      </c>
      <c r="C819" s="3">
        <v>31</v>
      </c>
      <c r="D819" s="3">
        <v>13</v>
      </c>
      <c r="E819" s="3">
        <v>192.443</v>
      </c>
      <c r="F819" s="4" t="str">
        <f>HYPERLINK("http://141.218.60.56/~jnz1568/getInfo.php?workbook=10_05.xlsx&amp;sheet=A0&amp;row=819&amp;col=6&amp;number=724&amp;sourceID=14","724")</f>
        <v>724</v>
      </c>
      <c r="G819" s="4" t="str">
        <f>HYPERLINK("http://141.218.60.56/~jnz1568/getInfo.php?workbook=10_05.xlsx&amp;sheet=A0&amp;row=819&amp;col=7&amp;number=0&amp;sourceID=14","0")</f>
        <v>0</v>
      </c>
    </row>
    <row r="820" spans="1:7">
      <c r="A820" s="3">
        <v>10</v>
      </c>
      <c r="B820" s="3">
        <v>5</v>
      </c>
      <c r="C820" s="3">
        <v>32</v>
      </c>
      <c r="D820" s="3">
        <v>13</v>
      </c>
      <c r="E820" s="3">
        <v>-189.67</v>
      </c>
      <c r="F820" s="4" t="str">
        <f>HYPERLINK("http://141.218.60.56/~jnz1568/getInfo.php?workbook=10_05.xlsx&amp;sheet=A0&amp;row=820&amp;col=6&amp;number=1640000&amp;sourceID=14","1640000")</f>
        <v>1640000</v>
      </c>
      <c r="G820" s="4" t="str">
        <f>HYPERLINK("http://141.218.60.56/~jnz1568/getInfo.php?workbook=10_05.xlsx&amp;sheet=A0&amp;row=820&amp;col=7&amp;number=0&amp;sourceID=14","0")</f>
        <v>0</v>
      </c>
    </row>
    <row r="821" spans="1:7">
      <c r="A821" s="3">
        <v>10</v>
      </c>
      <c r="B821" s="3">
        <v>5</v>
      </c>
      <c r="C821" s="3">
        <v>34</v>
      </c>
      <c r="D821" s="3">
        <v>13</v>
      </c>
      <c r="E821" s="3">
        <v>-186.693</v>
      </c>
      <c r="F821" s="4" t="str">
        <f>HYPERLINK("http://141.218.60.56/~jnz1568/getInfo.php?workbook=10_05.xlsx&amp;sheet=A0&amp;row=821&amp;col=6&amp;number=39800&amp;sourceID=14","39800")</f>
        <v>39800</v>
      </c>
      <c r="G821" s="4" t="str">
        <f>HYPERLINK("http://141.218.60.56/~jnz1568/getInfo.php?workbook=10_05.xlsx&amp;sheet=A0&amp;row=821&amp;col=7&amp;number=0&amp;sourceID=14","0")</f>
        <v>0</v>
      </c>
    </row>
    <row r="822" spans="1:7">
      <c r="A822" s="3">
        <v>10</v>
      </c>
      <c r="B822" s="3">
        <v>5</v>
      </c>
      <c r="C822" s="3">
        <v>35</v>
      </c>
      <c r="D822" s="3">
        <v>13</v>
      </c>
      <c r="E822" s="3">
        <v>-186.544</v>
      </c>
      <c r="F822" s="4" t="str">
        <f>HYPERLINK("http://141.218.60.56/~jnz1568/getInfo.php?workbook=10_05.xlsx&amp;sheet=A0&amp;row=822&amp;col=6&amp;number=512000&amp;sourceID=14","512000")</f>
        <v>512000</v>
      </c>
      <c r="G822" s="4" t="str">
        <f>HYPERLINK("http://141.218.60.56/~jnz1568/getInfo.php?workbook=10_05.xlsx&amp;sheet=A0&amp;row=822&amp;col=7&amp;number=0&amp;sourceID=14","0")</f>
        <v>0</v>
      </c>
    </row>
    <row r="823" spans="1:7">
      <c r="A823" s="3">
        <v>10</v>
      </c>
      <c r="B823" s="3">
        <v>5</v>
      </c>
      <c r="C823" s="3">
        <v>36</v>
      </c>
      <c r="D823" s="3">
        <v>13</v>
      </c>
      <c r="E823" s="3">
        <v>184.995</v>
      </c>
      <c r="F823" s="4" t="str">
        <f>HYPERLINK("http://141.218.60.56/~jnz1568/getInfo.php?workbook=10_05.xlsx&amp;sheet=A0&amp;row=823&amp;col=6&amp;number=58000000&amp;sourceID=14","58000000")</f>
        <v>58000000</v>
      </c>
      <c r="G823" s="4" t="str">
        <f>HYPERLINK("http://141.218.60.56/~jnz1568/getInfo.php?workbook=10_05.xlsx&amp;sheet=A0&amp;row=823&amp;col=7&amp;number=0&amp;sourceID=14","0")</f>
        <v>0</v>
      </c>
    </row>
    <row r="824" spans="1:7">
      <c r="A824" s="3">
        <v>10</v>
      </c>
      <c r="B824" s="3">
        <v>5</v>
      </c>
      <c r="C824" s="3">
        <v>37</v>
      </c>
      <c r="D824" s="3">
        <v>13</v>
      </c>
      <c r="E824" s="3">
        <v>184.721</v>
      </c>
      <c r="F824" s="4" t="str">
        <f>HYPERLINK("http://141.218.60.56/~jnz1568/getInfo.php?workbook=10_05.xlsx&amp;sheet=A0&amp;row=824&amp;col=6&amp;number=612000000&amp;sourceID=14","612000000")</f>
        <v>612000000</v>
      </c>
      <c r="G824" s="4" t="str">
        <f>HYPERLINK("http://141.218.60.56/~jnz1568/getInfo.php?workbook=10_05.xlsx&amp;sheet=A0&amp;row=824&amp;col=7&amp;number=0&amp;sourceID=14","0")</f>
        <v>0</v>
      </c>
    </row>
    <row r="825" spans="1:7">
      <c r="A825" s="3">
        <v>10</v>
      </c>
      <c r="B825" s="3">
        <v>5</v>
      </c>
      <c r="C825" s="3">
        <v>59</v>
      </c>
      <c r="D825" s="3">
        <v>13</v>
      </c>
      <c r="E825" s="3">
        <v>159.628</v>
      </c>
      <c r="F825" s="4" t="str">
        <f>HYPERLINK("http://141.218.60.56/~jnz1568/getInfo.php?workbook=10_05.xlsx&amp;sheet=A0&amp;row=825&amp;col=6&amp;number=177000000&amp;sourceID=14","177000000")</f>
        <v>177000000</v>
      </c>
      <c r="G825" s="4" t="str">
        <f>HYPERLINK("http://141.218.60.56/~jnz1568/getInfo.php?workbook=10_05.xlsx&amp;sheet=A0&amp;row=825&amp;col=7&amp;number=0&amp;sourceID=14","0")</f>
        <v>0</v>
      </c>
    </row>
    <row r="826" spans="1:7">
      <c r="A826" s="3">
        <v>10</v>
      </c>
      <c r="B826" s="3">
        <v>5</v>
      </c>
      <c r="C826" s="3">
        <v>60</v>
      </c>
      <c r="D826" s="3">
        <v>13</v>
      </c>
      <c r="E826" s="3">
        <v>159.593</v>
      </c>
      <c r="F826" s="4" t="str">
        <f>HYPERLINK("http://141.218.60.56/~jnz1568/getInfo.php?workbook=10_05.xlsx&amp;sheet=A0&amp;row=826&amp;col=6&amp;number=201000000&amp;sourceID=14","201000000")</f>
        <v>201000000</v>
      </c>
      <c r="G826" s="4" t="str">
        <f>HYPERLINK("http://141.218.60.56/~jnz1568/getInfo.php?workbook=10_05.xlsx&amp;sheet=A0&amp;row=826&amp;col=7&amp;number=0&amp;sourceID=14","0")</f>
        <v>0</v>
      </c>
    </row>
    <row r="827" spans="1:7">
      <c r="A827" s="3">
        <v>10</v>
      </c>
      <c r="B827" s="3">
        <v>5</v>
      </c>
      <c r="C827" s="3">
        <v>62</v>
      </c>
      <c r="D827" s="3">
        <v>13</v>
      </c>
      <c r="E827" s="3">
        <v>159.133</v>
      </c>
      <c r="F827" s="4" t="str">
        <f>HYPERLINK("http://141.218.60.56/~jnz1568/getInfo.php?workbook=10_05.xlsx&amp;sheet=A0&amp;row=827&amp;col=6&amp;number=5220000000&amp;sourceID=14","5220000000")</f>
        <v>5220000000</v>
      </c>
      <c r="G827" s="4" t="str">
        <f>HYPERLINK("http://141.218.60.56/~jnz1568/getInfo.php?workbook=10_05.xlsx&amp;sheet=A0&amp;row=827&amp;col=7&amp;number=0&amp;sourceID=14","0")</f>
        <v>0</v>
      </c>
    </row>
    <row r="828" spans="1:7">
      <c r="A828" s="3">
        <v>10</v>
      </c>
      <c r="B828" s="3">
        <v>5</v>
      </c>
      <c r="C828" s="3">
        <v>66</v>
      </c>
      <c r="D828" s="3">
        <v>13</v>
      </c>
      <c r="E828" s="3">
        <v>151.629</v>
      </c>
      <c r="F828" s="4" t="str">
        <f>HYPERLINK("http://141.218.60.56/~jnz1568/getInfo.php?workbook=10_05.xlsx&amp;sheet=A0&amp;row=828&amp;col=6&amp;number=2190000&amp;sourceID=14","2190000")</f>
        <v>2190000</v>
      </c>
      <c r="G828" s="4" t="str">
        <f>HYPERLINK("http://141.218.60.56/~jnz1568/getInfo.php?workbook=10_05.xlsx&amp;sheet=A0&amp;row=828&amp;col=7&amp;number=0&amp;sourceID=14","0")</f>
        <v>0</v>
      </c>
    </row>
    <row r="829" spans="1:7">
      <c r="A829" s="3">
        <v>10</v>
      </c>
      <c r="B829" s="3">
        <v>5</v>
      </c>
      <c r="C829" s="3">
        <v>67</v>
      </c>
      <c r="D829" s="3">
        <v>13</v>
      </c>
      <c r="E829" s="3">
        <v>151.629</v>
      </c>
      <c r="F829" s="4" t="str">
        <f>HYPERLINK("http://141.218.60.56/~jnz1568/getInfo.php?workbook=10_05.xlsx&amp;sheet=A0&amp;row=829&amp;col=6&amp;number=21700000&amp;sourceID=14","21700000")</f>
        <v>21700000</v>
      </c>
      <c r="G829" s="4" t="str">
        <f>HYPERLINK("http://141.218.60.56/~jnz1568/getInfo.php?workbook=10_05.xlsx&amp;sheet=A0&amp;row=829&amp;col=7&amp;number=0&amp;sourceID=14","0")</f>
        <v>0</v>
      </c>
    </row>
    <row r="830" spans="1:7">
      <c r="A830" s="3">
        <v>10</v>
      </c>
      <c r="B830" s="3">
        <v>5</v>
      </c>
      <c r="C830" s="3">
        <v>71</v>
      </c>
      <c r="D830" s="3">
        <v>13</v>
      </c>
      <c r="E830" s="3">
        <v>150.674</v>
      </c>
      <c r="F830" s="4" t="str">
        <f>HYPERLINK("http://141.218.60.56/~jnz1568/getInfo.php?workbook=10_05.xlsx&amp;sheet=A0&amp;row=830&amp;col=6&amp;number=1200000&amp;sourceID=14","1200000")</f>
        <v>1200000</v>
      </c>
      <c r="G830" s="4" t="str">
        <f>HYPERLINK("http://141.218.60.56/~jnz1568/getInfo.php?workbook=10_05.xlsx&amp;sheet=A0&amp;row=830&amp;col=7&amp;number=0&amp;sourceID=14","0")</f>
        <v>0</v>
      </c>
    </row>
    <row r="831" spans="1:7">
      <c r="A831" s="3">
        <v>10</v>
      </c>
      <c r="B831" s="3">
        <v>5</v>
      </c>
      <c r="C831" s="3">
        <v>72</v>
      </c>
      <c r="D831" s="3">
        <v>13</v>
      </c>
      <c r="E831" s="3">
        <v>150.674</v>
      </c>
      <c r="F831" s="4" t="str">
        <f>HYPERLINK("http://141.218.60.56/~jnz1568/getInfo.php?workbook=10_05.xlsx&amp;sheet=A0&amp;row=831&amp;col=6&amp;number=4090000&amp;sourceID=14","4090000")</f>
        <v>4090000</v>
      </c>
      <c r="G831" s="4" t="str">
        <f>HYPERLINK("http://141.218.60.56/~jnz1568/getInfo.php?workbook=10_05.xlsx&amp;sheet=A0&amp;row=831&amp;col=7&amp;number=0&amp;sourceID=14","0")</f>
        <v>0</v>
      </c>
    </row>
    <row r="832" spans="1:7">
      <c r="A832" s="3">
        <v>10</v>
      </c>
      <c r="B832" s="3">
        <v>5</v>
      </c>
      <c r="C832" s="3">
        <v>78</v>
      </c>
      <c r="D832" s="3">
        <v>13</v>
      </c>
      <c r="E832" s="3">
        <v>-145.154</v>
      </c>
      <c r="F832" s="4" t="str">
        <f>HYPERLINK("http://141.218.60.56/~jnz1568/getInfo.php?workbook=10_05.xlsx&amp;sheet=A0&amp;row=832&amp;col=6&amp;number=16600000000&amp;sourceID=14","16600000000")</f>
        <v>16600000000</v>
      </c>
      <c r="G832" s="4" t="str">
        <f>HYPERLINK("http://141.218.60.56/~jnz1568/getInfo.php?workbook=10_05.xlsx&amp;sheet=A0&amp;row=832&amp;col=7&amp;number=0&amp;sourceID=14","0")</f>
        <v>0</v>
      </c>
    </row>
    <row r="833" spans="1:7">
      <c r="A833" s="3">
        <v>10</v>
      </c>
      <c r="B833" s="3">
        <v>5</v>
      </c>
      <c r="C833" s="3">
        <v>80</v>
      </c>
      <c r="D833" s="3">
        <v>13</v>
      </c>
      <c r="E833" s="3">
        <v>143.537</v>
      </c>
      <c r="F833" s="4" t="str">
        <f>HYPERLINK("http://141.218.60.56/~jnz1568/getInfo.php?workbook=10_05.xlsx&amp;sheet=A0&amp;row=833&amp;col=6&amp;number=2090000000&amp;sourceID=14","2090000000")</f>
        <v>2090000000</v>
      </c>
      <c r="G833" s="4" t="str">
        <f>HYPERLINK("http://141.218.60.56/~jnz1568/getInfo.php?workbook=10_05.xlsx&amp;sheet=A0&amp;row=833&amp;col=7&amp;number=0&amp;sourceID=14","0")</f>
        <v>0</v>
      </c>
    </row>
    <row r="834" spans="1:7">
      <c r="A834" s="3">
        <v>10</v>
      </c>
      <c r="B834" s="3">
        <v>5</v>
      </c>
      <c r="C834" s="3">
        <v>81</v>
      </c>
      <c r="D834" s="3">
        <v>13</v>
      </c>
      <c r="E834" s="3">
        <v>143.537</v>
      </c>
      <c r="F834" s="4" t="str">
        <f>HYPERLINK("http://141.218.60.56/~jnz1568/getInfo.php?workbook=10_05.xlsx&amp;sheet=A0&amp;row=834&amp;col=6&amp;number=22700000000&amp;sourceID=14","22700000000")</f>
        <v>22700000000</v>
      </c>
      <c r="G834" s="4" t="str">
        <f>HYPERLINK("http://141.218.60.56/~jnz1568/getInfo.php?workbook=10_05.xlsx&amp;sheet=A0&amp;row=834&amp;col=7&amp;number=0&amp;sourceID=14","0")</f>
        <v>0</v>
      </c>
    </row>
    <row r="835" spans="1:7">
      <c r="A835" s="3">
        <v>10</v>
      </c>
      <c r="B835" s="3">
        <v>5</v>
      </c>
      <c r="C835" s="3">
        <v>99</v>
      </c>
      <c r="D835" s="3">
        <v>13</v>
      </c>
      <c r="E835" s="3">
        <v>-135.118</v>
      </c>
      <c r="F835" s="4" t="str">
        <f>HYPERLINK("http://141.218.60.56/~jnz1568/getInfo.php?workbook=10_05.xlsx&amp;sheet=A0&amp;row=835&amp;col=6&amp;number=592000&amp;sourceID=14","592000")</f>
        <v>592000</v>
      </c>
      <c r="G835" s="4" t="str">
        <f>HYPERLINK("http://141.218.60.56/~jnz1568/getInfo.php?workbook=10_05.xlsx&amp;sheet=A0&amp;row=835&amp;col=7&amp;number=0&amp;sourceID=14","0")</f>
        <v>0</v>
      </c>
    </row>
    <row r="836" spans="1:7">
      <c r="A836" s="3">
        <v>10</v>
      </c>
      <c r="B836" s="3">
        <v>5</v>
      </c>
      <c r="C836" s="3">
        <v>100</v>
      </c>
      <c r="D836" s="3">
        <v>13</v>
      </c>
      <c r="E836" s="3">
        <v>-135.07</v>
      </c>
      <c r="F836" s="4" t="str">
        <f>HYPERLINK("http://141.218.60.56/~jnz1568/getInfo.php?workbook=10_05.xlsx&amp;sheet=A0&amp;row=836&amp;col=6&amp;number=8970000&amp;sourceID=14","8970000")</f>
        <v>8970000</v>
      </c>
      <c r="G836" s="4" t="str">
        <f>HYPERLINK("http://141.218.60.56/~jnz1568/getInfo.php?workbook=10_05.xlsx&amp;sheet=A0&amp;row=836&amp;col=7&amp;number=0&amp;sourceID=14","0")</f>
        <v>0</v>
      </c>
    </row>
    <row r="837" spans="1:7">
      <c r="A837" s="3">
        <v>10</v>
      </c>
      <c r="B837" s="3">
        <v>5</v>
      </c>
      <c r="C837" s="3">
        <v>102</v>
      </c>
      <c r="D837" s="3">
        <v>13</v>
      </c>
      <c r="E837" s="3">
        <v>-135.001</v>
      </c>
      <c r="F837" s="4" t="str">
        <f>HYPERLINK("http://141.218.60.56/~jnz1568/getInfo.php?workbook=10_05.xlsx&amp;sheet=A0&amp;row=837&amp;col=6&amp;number=15600000&amp;sourceID=14","15600000")</f>
        <v>15600000</v>
      </c>
      <c r="G837" s="4" t="str">
        <f>HYPERLINK("http://141.218.60.56/~jnz1568/getInfo.php?workbook=10_05.xlsx&amp;sheet=A0&amp;row=837&amp;col=7&amp;number=0&amp;sourceID=14","0")</f>
        <v>0</v>
      </c>
    </row>
    <row r="838" spans="1:7">
      <c r="A838" s="3">
        <v>10</v>
      </c>
      <c r="B838" s="3">
        <v>5</v>
      </c>
      <c r="C838" s="3">
        <v>106</v>
      </c>
      <c r="D838" s="3">
        <v>13</v>
      </c>
      <c r="E838" s="3">
        <v>-134.012</v>
      </c>
      <c r="F838" s="4" t="str">
        <f>HYPERLINK("http://141.218.60.56/~jnz1568/getInfo.php?workbook=10_05.xlsx&amp;sheet=A0&amp;row=838&amp;col=6&amp;number=1180000000&amp;sourceID=14","1180000000")</f>
        <v>1180000000</v>
      </c>
      <c r="G838" s="4" t="str">
        <f>HYPERLINK("http://141.218.60.56/~jnz1568/getInfo.php?workbook=10_05.xlsx&amp;sheet=A0&amp;row=838&amp;col=7&amp;number=0&amp;sourceID=14","0")</f>
        <v>0</v>
      </c>
    </row>
    <row r="839" spans="1:7">
      <c r="A839" s="3">
        <v>10</v>
      </c>
      <c r="B839" s="3">
        <v>5</v>
      </c>
      <c r="C839" s="3">
        <v>107</v>
      </c>
      <c r="D839" s="3">
        <v>13</v>
      </c>
      <c r="E839" s="3">
        <v>-133.962</v>
      </c>
      <c r="F839" s="4" t="str">
        <f>HYPERLINK("http://141.218.60.56/~jnz1568/getInfo.php?workbook=10_05.xlsx&amp;sheet=A0&amp;row=839&amp;col=6&amp;number=3890000&amp;sourceID=14","3890000")</f>
        <v>3890000</v>
      </c>
      <c r="G839" s="4" t="str">
        <f>HYPERLINK("http://141.218.60.56/~jnz1568/getInfo.php?workbook=10_05.xlsx&amp;sheet=A0&amp;row=839&amp;col=7&amp;number=0&amp;sourceID=14","0")</f>
        <v>0</v>
      </c>
    </row>
    <row r="840" spans="1:7">
      <c r="A840" s="3">
        <v>10</v>
      </c>
      <c r="B840" s="3">
        <v>5</v>
      </c>
      <c r="C840" s="3">
        <v>108</v>
      </c>
      <c r="D840" s="3">
        <v>13</v>
      </c>
      <c r="E840" s="3">
        <v>-133.911</v>
      </c>
      <c r="F840" s="4" t="str">
        <f>HYPERLINK("http://141.218.60.56/~jnz1568/getInfo.php?workbook=10_05.xlsx&amp;sheet=A0&amp;row=840&amp;col=6&amp;number=19000000&amp;sourceID=14","19000000")</f>
        <v>19000000</v>
      </c>
      <c r="G840" s="4" t="str">
        <f>HYPERLINK("http://141.218.60.56/~jnz1568/getInfo.php?workbook=10_05.xlsx&amp;sheet=A0&amp;row=840&amp;col=7&amp;number=0&amp;sourceID=14","0")</f>
        <v>0</v>
      </c>
    </row>
    <row r="841" spans="1:7">
      <c r="A841" s="3">
        <v>10</v>
      </c>
      <c r="B841" s="3">
        <v>5</v>
      </c>
      <c r="C841" s="3">
        <v>109</v>
      </c>
      <c r="D841" s="3">
        <v>13</v>
      </c>
      <c r="E841" s="3">
        <v>-133.836</v>
      </c>
      <c r="F841" s="4" t="str">
        <f>HYPERLINK("http://141.218.60.56/~jnz1568/getInfo.php?workbook=10_05.xlsx&amp;sheet=A0&amp;row=841&amp;col=6&amp;number=12400000000&amp;sourceID=14","12400000000")</f>
        <v>12400000000</v>
      </c>
      <c r="G841" s="4" t="str">
        <f>HYPERLINK("http://141.218.60.56/~jnz1568/getInfo.php?workbook=10_05.xlsx&amp;sheet=A0&amp;row=841&amp;col=7&amp;number=0&amp;sourceID=14","0")</f>
        <v>0</v>
      </c>
    </row>
    <row r="842" spans="1:7">
      <c r="A842" s="3">
        <v>10</v>
      </c>
      <c r="B842" s="3">
        <v>5</v>
      </c>
      <c r="C842" s="3">
        <v>115</v>
      </c>
      <c r="D842" s="3">
        <v>13</v>
      </c>
      <c r="E842" s="3">
        <v>-132.51</v>
      </c>
      <c r="F842" s="4" t="str">
        <f>HYPERLINK("http://141.218.60.56/~jnz1568/getInfo.php?workbook=10_05.xlsx&amp;sheet=A0&amp;row=842&amp;col=6&amp;number=1870000000&amp;sourceID=14","1870000000")</f>
        <v>1870000000</v>
      </c>
      <c r="G842" s="4" t="str">
        <f>HYPERLINK("http://141.218.60.56/~jnz1568/getInfo.php?workbook=10_05.xlsx&amp;sheet=A0&amp;row=842&amp;col=7&amp;number=0&amp;sourceID=14","0")</f>
        <v>0</v>
      </c>
    </row>
    <row r="843" spans="1:7">
      <c r="A843" s="3">
        <v>10</v>
      </c>
      <c r="B843" s="3">
        <v>5</v>
      </c>
      <c r="C843" s="3">
        <v>116</v>
      </c>
      <c r="D843" s="3">
        <v>13</v>
      </c>
      <c r="E843" s="3">
        <v>-132.354</v>
      </c>
      <c r="F843" s="4" t="str">
        <f>HYPERLINK("http://141.218.60.56/~jnz1568/getInfo.php?workbook=10_05.xlsx&amp;sheet=A0&amp;row=843&amp;col=6&amp;number=26500000000&amp;sourceID=14","26500000000")</f>
        <v>26500000000</v>
      </c>
      <c r="G843" s="4" t="str">
        <f>HYPERLINK("http://141.218.60.56/~jnz1568/getInfo.php?workbook=10_05.xlsx&amp;sheet=A0&amp;row=843&amp;col=7&amp;number=0&amp;sourceID=14","0")</f>
        <v>0</v>
      </c>
    </row>
    <row r="844" spans="1:7">
      <c r="A844" s="3">
        <v>10</v>
      </c>
      <c r="B844" s="3">
        <v>5</v>
      </c>
      <c r="C844" s="3">
        <v>117</v>
      </c>
      <c r="D844" s="3">
        <v>13</v>
      </c>
      <c r="E844" s="3">
        <v>-132.314</v>
      </c>
      <c r="F844" s="4" t="str">
        <f>HYPERLINK("http://141.218.60.56/~jnz1568/getInfo.php?workbook=10_05.xlsx&amp;sheet=A0&amp;row=844&amp;col=6&amp;number=1300000&amp;sourceID=14","1300000")</f>
        <v>1300000</v>
      </c>
      <c r="G844" s="4" t="str">
        <f>HYPERLINK("http://141.218.60.56/~jnz1568/getInfo.php?workbook=10_05.xlsx&amp;sheet=A0&amp;row=844&amp;col=7&amp;number=0&amp;sourceID=14","0")</f>
        <v>0</v>
      </c>
    </row>
    <row r="845" spans="1:7">
      <c r="A845" s="3">
        <v>10</v>
      </c>
      <c r="B845" s="3">
        <v>5</v>
      </c>
      <c r="C845" s="3">
        <v>118</v>
      </c>
      <c r="D845" s="3">
        <v>13</v>
      </c>
      <c r="E845" s="3">
        <v>-132.3</v>
      </c>
      <c r="F845" s="4" t="str">
        <f>HYPERLINK("http://141.218.60.56/~jnz1568/getInfo.php?workbook=10_05.xlsx&amp;sheet=A0&amp;row=845&amp;col=6&amp;number=2370000&amp;sourceID=14","2370000")</f>
        <v>2370000</v>
      </c>
      <c r="G845" s="4" t="str">
        <f>HYPERLINK("http://141.218.60.56/~jnz1568/getInfo.php?workbook=10_05.xlsx&amp;sheet=A0&amp;row=845&amp;col=7&amp;number=0&amp;sourceID=14","0")</f>
        <v>0</v>
      </c>
    </row>
    <row r="846" spans="1:7">
      <c r="A846" s="3">
        <v>10</v>
      </c>
      <c r="B846" s="3">
        <v>5</v>
      </c>
      <c r="C846" s="3">
        <v>121</v>
      </c>
      <c r="D846" s="3">
        <v>13</v>
      </c>
      <c r="E846" s="3">
        <v>-131.702</v>
      </c>
      <c r="F846" s="4" t="str">
        <f>HYPERLINK("http://141.218.60.56/~jnz1568/getInfo.php?workbook=10_05.xlsx&amp;sheet=A0&amp;row=846&amp;col=6&amp;number=13800000&amp;sourceID=14","13800000")</f>
        <v>13800000</v>
      </c>
      <c r="G846" s="4" t="str">
        <f>HYPERLINK("http://141.218.60.56/~jnz1568/getInfo.php?workbook=10_05.xlsx&amp;sheet=A0&amp;row=846&amp;col=7&amp;number=0&amp;sourceID=14","0")</f>
        <v>0</v>
      </c>
    </row>
    <row r="847" spans="1:7">
      <c r="A847" s="3">
        <v>10</v>
      </c>
      <c r="B847" s="3">
        <v>5</v>
      </c>
      <c r="C847" s="3">
        <v>122</v>
      </c>
      <c r="D847" s="3">
        <v>13</v>
      </c>
      <c r="E847" s="3">
        <v>-131.638</v>
      </c>
      <c r="F847" s="4" t="str">
        <f>HYPERLINK("http://141.218.60.56/~jnz1568/getInfo.php?workbook=10_05.xlsx&amp;sheet=A0&amp;row=847&amp;col=6&amp;number=1370000&amp;sourceID=14","1370000")</f>
        <v>1370000</v>
      </c>
      <c r="G847" s="4" t="str">
        <f>HYPERLINK("http://141.218.60.56/~jnz1568/getInfo.php?workbook=10_05.xlsx&amp;sheet=A0&amp;row=847&amp;col=7&amp;number=0&amp;sourceID=14","0")</f>
        <v>0</v>
      </c>
    </row>
    <row r="848" spans="1:7">
      <c r="A848" s="3">
        <v>10</v>
      </c>
      <c r="B848" s="3">
        <v>5</v>
      </c>
      <c r="C848" s="3">
        <v>123</v>
      </c>
      <c r="D848" s="3">
        <v>13</v>
      </c>
      <c r="E848" s="3">
        <v>-131.587</v>
      </c>
      <c r="F848" s="4" t="str">
        <f>HYPERLINK("http://141.218.60.56/~jnz1568/getInfo.php?workbook=10_05.xlsx&amp;sheet=A0&amp;row=848&amp;col=6&amp;number=67200000&amp;sourceID=14","67200000")</f>
        <v>67200000</v>
      </c>
      <c r="G848" s="4" t="str">
        <f>HYPERLINK("http://141.218.60.56/~jnz1568/getInfo.php?workbook=10_05.xlsx&amp;sheet=A0&amp;row=848&amp;col=7&amp;number=0&amp;sourceID=14","0")</f>
        <v>0</v>
      </c>
    </row>
    <row r="849" spans="1:7">
      <c r="A849" s="3">
        <v>10</v>
      </c>
      <c r="B849" s="3">
        <v>5</v>
      </c>
      <c r="C849" s="3">
        <v>124</v>
      </c>
      <c r="D849" s="3">
        <v>13</v>
      </c>
      <c r="E849" s="3">
        <v>-131.544</v>
      </c>
      <c r="F849" s="4" t="str">
        <f>HYPERLINK("http://141.218.60.56/~jnz1568/getInfo.php?workbook=10_05.xlsx&amp;sheet=A0&amp;row=849&amp;col=6&amp;number=88800000&amp;sourceID=14","88800000")</f>
        <v>88800000</v>
      </c>
      <c r="G849" s="4" t="str">
        <f>HYPERLINK("http://141.218.60.56/~jnz1568/getInfo.php?workbook=10_05.xlsx&amp;sheet=A0&amp;row=849&amp;col=7&amp;number=0&amp;sourceID=14","0")</f>
        <v>0</v>
      </c>
    </row>
    <row r="850" spans="1:7">
      <c r="A850" s="3">
        <v>10</v>
      </c>
      <c r="B850" s="3">
        <v>5</v>
      </c>
      <c r="C850" s="3">
        <v>126</v>
      </c>
      <c r="D850" s="3">
        <v>13</v>
      </c>
      <c r="E850" s="3">
        <v>-131.343</v>
      </c>
      <c r="F850" s="4" t="str">
        <f>HYPERLINK("http://141.218.60.56/~jnz1568/getInfo.php?workbook=10_05.xlsx&amp;sheet=A0&amp;row=850&amp;col=6&amp;number=1670000000&amp;sourceID=14","1670000000")</f>
        <v>1670000000</v>
      </c>
      <c r="G850" s="4" t="str">
        <f>HYPERLINK("http://141.218.60.56/~jnz1568/getInfo.php?workbook=10_05.xlsx&amp;sheet=A0&amp;row=850&amp;col=7&amp;number=0&amp;sourceID=14","0")</f>
        <v>0</v>
      </c>
    </row>
    <row r="851" spans="1:7">
      <c r="A851" s="3">
        <v>10</v>
      </c>
      <c r="B851" s="3">
        <v>5</v>
      </c>
      <c r="C851" s="3">
        <v>129</v>
      </c>
      <c r="D851" s="3">
        <v>13</v>
      </c>
      <c r="E851" s="3">
        <v>130.874</v>
      </c>
      <c r="F851" s="4" t="str">
        <f>HYPERLINK("http://141.218.60.56/~jnz1568/getInfo.php?workbook=10_05.xlsx&amp;sheet=A0&amp;row=851&amp;col=6&amp;number=400000000&amp;sourceID=14","400000000")</f>
        <v>400000000</v>
      </c>
      <c r="G851" s="4" t="str">
        <f>HYPERLINK("http://141.218.60.56/~jnz1568/getInfo.php?workbook=10_05.xlsx&amp;sheet=A0&amp;row=851&amp;col=7&amp;number=0&amp;sourceID=14","0")</f>
        <v>0</v>
      </c>
    </row>
    <row r="852" spans="1:7">
      <c r="A852" s="3">
        <v>10</v>
      </c>
      <c r="B852" s="3">
        <v>5</v>
      </c>
      <c r="C852" s="3">
        <v>130</v>
      </c>
      <c r="D852" s="3">
        <v>13</v>
      </c>
      <c r="E852" s="3">
        <v>130.874</v>
      </c>
      <c r="F852" s="4" t="str">
        <f>HYPERLINK("http://141.218.60.56/~jnz1568/getInfo.php?workbook=10_05.xlsx&amp;sheet=A0&amp;row=852&amp;col=6&amp;number=4000000000&amp;sourceID=14","4000000000")</f>
        <v>4000000000</v>
      </c>
      <c r="G852" s="4" t="str">
        <f>HYPERLINK("http://141.218.60.56/~jnz1568/getInfo.php?workbook=10_05.xlsx&amp;sheet=A0&amp;row=852&amp;col=7&amp;number=0&amp;sourceID=14","0")</f>
        <v>0</v>
      </c>
    </row>
    <row r="853" spans="1:7">
      <c r="A853" s="3">
        <v>10</v>
      </c>
      <c r="B853" s="3">
        <v>5</v>
      </c>
      <c r="C853" s="3">
        <v>132</v>
      </c>
      <c r="D853" s="3">
        <v>13</v>
      </c>
      <c r="E853" s="3">
        <v>-130.741</v>
      </c>
      <c r="F853" s="4" t="str">
        <f>HYPERLINK("http://141.218.60.56/~jnz1568/getInfo.php?workbook=10_05.xlsx&amp;sheet=A0&amp;row=853&amp;col=6&amp;number=2030&amp;sourceID=14","2030")</f>
        <v>2030</v>
      </c>
      <c r="G853" s="4" t="str">
        <f>HYPERLINK("http://141.218.60.56/~jnz1568/getInfo.php?workbook=10_05.xlsx&amp;sheet=A0&amp;row=853&amp;col=7&amp;number=0&amp;sourceID=14","0")</f>
        <v>0</v>
      </c>
    </row>
    <row r="854" spans="1:7">
      <c r="A854" s="3">
        <v>10</v>
      </c>
      <c r="B854" s="3">
        <v>5</v>
      </c>
      <c r="C854" s="3">
        <v>133</v>
      </c>
      <c r="D854" s="3">
        <v>13</v>
      </c>
      <c r="E854" s="3">
        <v>-130.706</v>
      </c>
      <c r="F854" s="4" t="str">
        <f>HYPERLINK("http://141.218.60.56/~jnz1568/getInfo.php?workbook=10_05.xlsx&amp;sheet=A0&amp;row=854&amp;col=6&amp;number=843000000&amp;sourceID=14","843000000")</f>
        <v>843000000</v>
      </c>
      <c r="G854" s="4" t="str">
        <f>HYPERLINK("http://141.218.60.56/~jnz1568/getInfo.php?workbook=10_05.xlsx&amp;sheet=A0&amp;row=854&amp;col=7&amp;number=0&amp;sourceID=14","0")</f>
        <v>0</v>
      </c>
    </row>
    <row r="855" spans="1:7">
      <c r="A855" s="3">
        <v>10</v>
      </c>
      <c r="B855" s="3">
        <v>5</v>
      </c>
      <c r="C855" s="3">
        <v>138</v>
      </c>
      <c r="D855" s="3">
        <v>13</v>
      </c>
      <c r="E855" s="3">
        <v>-130.168</v>
      </c>
      <c r="F855" s="4" t="str">
        <f>HYPERLINK("http://141.218.60.56/~jnz1568/getInfo.php?workbook=10_05.xlsx&amp;sheet=A0&amp;row=855&amp;col=6&amp;number=154000000&amp;sourceID=14","154000000")</f>
        <v>154000000</v>
      </c>
      <c r="G855" s="4" t="str">
        <f>HYPERLINK("http://141.218.60.56/~jnz1568/getInfo.php?workbook=10_05.xlsx&amp;sheet=A0&amp;row=855&amp;col=7&amp;number=0&amp;sourceID=14","0")</f>
        <v>0</v>
      </c>
    </row>
    <row r="856" spans="1:7">
      <c r="A856" s="3">
        <v>10</v>
      </c>
      <c r="B856" s="3">
        <v>5</v>
      </c>
      <c r="C856" s="3">
        <v>150</v>
      </c>
      <c r="D856" s="3">
        <v>13</v>
      </c>
      <c r="E856" s="3">
        <v>-128.725</v>
      </c>
      <c r="F856" s="4" t="str">
        <f>HYPERLINK("http://141.218.60.56/~jnz1568/getInfo.php?workbook=10_05.xlsx&amp;sheet=A0&amp;row=856&amp;col=6&amp;number=7760000000&amp;sourceID=14","7760000000")</f>
        <v>7760000000</v>
      </c>
      <c r="G856" s="4" t="str">
        <f>HYPERLINK("http://141.218.60.56/~jnz1568/getInfo.php?workbook=10_05.xlsx&amp;sheet=A0&amp;row=856&amp;col=7&amp;number=0&amp;sourceID=14","0")</f>
        <v>0</v>
      </c>
    </row>
    <row r="857" spans="1:7">
      <c r="A857" s="3">
        <v>10</v>
      </c>
      <c r="B857" s="3">
        <v>5</v>
      </c>
      <c r="C857" s="3">
        <v>151</v>
      </c>
      <c r="D857" s="3">
        <v>13</v>
      </c>
      <c r="E857" s="3">
        <v>-128.721</v>
      </c>
      <c r="F857" s="4" t="str">
        <f>HYPERLINK("http://141.218.60.56/~jnz1568/getInfo.php?workbook=10_05.xlsx&amp;sheet=A0&amp;row=857&amp;col=6&amp;number=74400000000&amp;sourceID=14","74400000000")</f>
        <v>74400000000</v>
      </c>
      <c r="G857" s="4" t="str">
        <f>HYPERLINK("http://141.218.60.56/~jnz1568/getInfo.php?workbook=10_05.xlsx&amp;sheet=A0&amp;row=857&amp;col=7&amp;number=0&amp;sourceID=14","0")</f>
        <v>0</v>
      </c>
    </row>
    <row r="858" spans="1:7">
      <c r="A858" s="3">
        <v>10</v>
      </c>
      <c r="B858" s="3">
        <v>5</v>
      </c>
      <c r="C858" s="3">
        <v>154</v>
      </c>
      <c r="D858" s="3">
        <v>13</v>
      </c>
      <c r="E858" s="3">
        <v>128.194</v>
      </c>
      <c r="F858" s="4" t="str">
        <f>HYPERLINK("http://141.218.60.56/~jnz1568/getInfo.php?workbook=10_05.xlsx&amp;sheet=A0&amp;row=858&amp;col=6&amp;number=239000000000&amp;sourceID=14","239000000000")</f>
        <v>239000000000</v>
      </c>
      <c r="G858" s="4" t="str">
        <f>HYPERLINK("http://141.218.60.56/~jnz1568/getInfo.php?workbook=10_05.xlsx&amp;sheet=A0&amp;row=858&amp;col=7&amp;number=0&amp;sourceID=14","0")</f>
        <v>0</v>
      </c>
    </row>
    <row r="859" spans="1:7">
      <c r="A859" s="3">
        <v>10</v>
      </c>
      <c r="B859" s="3">
        <v>5</v>
      </c>
      <c r="C859" s="3">
        <v>155</v>
      </c>
      <c r="D859" s="3">
        <v>13</v>
      </c>
      <c r="E859" s="3">
        <v>128.194</v>
      </c>
      <c r="F859" s="4" t="str">
        <f>HYPERLINK("http://141.218.60.56/~jnz1568/getInfo.php?workbook=10_05.xlsx&amp;sheet=A0&amp;row=859&amp;col=6&amp;number=8930000000&amp;sourceID=14","8930000000")</f>
        <v>8930000000</v>
      </c>
      <c r="G859" s="4" t="str">
        <f>HYPERLINK("http://141.218.60.56/~jnz1568/getInfo.php?workbook=10_05.xlsx&amp;sheet=A0&amp;row=859&amp;col=7&amp;number=0&amp;sourceID=14","0")</f>
        <v>0</v>
      </c>
    </row>
    <row r="860" spans="1:7">
      <c r="A860" s="3">
        <v>10</v>
      </c>
      <c r="B860" s="3">
        <v>5</v>
      </c>
      <c r="C860" s="3">
        <v>156</v>
      </c>
      <c r="D860" s="3">
        <v>13</v>
      </c>
      <c r="E860" s="3">
        <v>-128.046</v>
      </c>
      <c r="F860" s="4" t="str">
        <f>HYPERLINK("http://141.218.60.56/~jnz1568/getInfo.php?workbook=10_05.xlsx&amp;sheet=A0&amp;row=860&amp;col=6&amp;number=8620000000&amp;sourceID=14","8620000000")</f>
        <v>8620000000</v>
      </c>
      <c r="G860" s="4" t="str">
        <f>HYPERLINK("http://141.218.60.56/~jnz1568/getInfo.php?workbook=10_05.xlsx&amp;sheet=A0&amp;row=860&amp;col=7&amp;number=0&amp;sourceID=14","0")</f>
        <v>0</v>
      </c>
    </row>
    <row r="861" spans="1:7">
      <c r="A861" s="3">
        <v>10</v>
      </c>
      <c r="B861" s="3">
        <v>5</v>
      </c>
      <c r="C861" s="3">
        <v>157</v>
      </c>
      <c r="D861" s="3">
        <v>13</v>
      </c>
      <c r="E861" s="3">
        <v>-128.016</v>
      </c>
      <c r="F861" s="4" t="str">
        <f>HYPERLINK("http://141.218.60.56/~jnz1568/getInfo.php?workbook=10_05.xlsx&amp;sheet=A0&amp;row=861&amp;col=6&amp;number=75200000000&amp;sourceID=14","75200000000")</f>
        <v>75200000000</v>
      </c>
      <c r="G861" s="4" t="str">
        <f>HYPERLINK("http://141.218.60.56/~jnz1568/getInfo.php?workbook=10_05.xlsx&amp;sheet=A0&amp;row=861&amp;col=7&amp;number=0&amp;sourceID=14","0")</f>
        <v>0</v>
      </c>
    </row>
    <row r="862" spans="1:7">
      <c r="A862" s="3">
        <v>10</v>
      </c>
      <c r="B862" s="3">
        <v>5</v>
      </c>
      <c r="C862" s="3">
        <v>162</v>
      </c>
      <c r="D862" s="3">
        <v>13</v>
      </c>
      <c r="E862" s="3">
        <v>127.721</v>
      </c>
      <c r="F862" s="4" t="str">
        <f>HYPERLINK("http://141.218.60.56/~jnz1568/getInfo.php?workbook=10_05.xlsx&amp;sheet=A0&amp;row=862&amp;col=6&amp;number=37500000000&amp;sourceID=14","37500000000")</f>
        <v>37500000000</v>
      </c>
      <c r="G862" s="4" t="str">
        <f>HYPERLINK("http://141.218.60.56/~jnz1568/getInfo.php?workbook=10_05.xlsx&amp;sheet=A0&amp;row=862&amp;col=7&amp;number=0&amp;sourceID=14","0")</f>
        <v>0</v>
      </c>
    </row>
    <row r="863" spans="1:7">
      <c r="A863" s="3">
        <v>10</v>
      </c>
      <c r="B863" s="3">
        <v>5</v>
      </c>
      <c r="C863" s="3">
        <v>168</v>
      </c>
      <c r="D863" s="3">
        <v>13</v>
      </c>
      <c r="E863" s="3">
        <v>-115.841</v>
      </c>
      <c r="F863" s="4" t="str">
        <f>HYPERLINK("http://141.218.60.56/~jnz1568/getInfo.php?workbook=10_05.xlsx&amp;sheet=A0&amp;row=863&amp;col=6&amp;number=175000000&amp;sourceID=14","175000000")</f>
        <v>175000000</v>
      </c>
      <c r="G863" s="4" t="str">
        <f>HYPERLINK("http://141.218.60.56/~jnz1568/getInfo.php?workbook=10_05.xlsx&amp;sheet=A0&amp;row=863&amp;col=7&amp;number=0&amp;sourceID=14","0")</f>
        <v>0</v>
      </c>
    </row>
    <row r="864" spans="1:7">
      <c r="A864" s="3">
        <v>10</v>
      </c>
      <c r="B864" s="3">
        <v>5</v>
      </c>
      <c r="C864" s="3">
        <v>169</v>
      </c>
      <c r="D864" s="3">
        <v>13</v>
      </c>
      <c r="E864" s="3">
        <v>-115.835</v>
      </c>
      <c r="F864" s="4" t="str">
        <f>HYPERLINK("http://141.218.60.56/~jnz1568/getInfo.php?workbook=10_05.xlsx&amp;sheet=A0&amp;row=864&amp;col=6&amp;number=18500000&amp;sourceID=14","18500000")</f>
        <v>18500000</v>
      </c>
      <c r="G864" s="4" t="str">
        <f>HYPERLINK("http://141.218.60.56/~jnz1568/getInfo.php?workbook=10_05.xlsx&amp;sheet=A0&amp;row=864&amp;col=7&amp;number=0&amp;sourceID=14","0")</f>
        <v>0</v>
      </c>
    </row>
    <row r="865" spans="1:7">
      <c r="A865" s="3">
        <v>10</v>
      </c>
      <c r="B865" s="3">
        <v>5</v>
      </c>
      <c r="C865" s="3">
        <v>171</v>
      </c>
      <c r="D865" s="3">
        <v>13</v>
      </c>
      <c r="E865" s="3">
        <v>-114.578</v>
      </c>
      <c r="F865" s="4" t="str">
        <f>HYPERLINK("http://141.218.60.56/~jnz1568/getInfo.php?workbook=10_05.xlsx&amp;sheet=A0&amp;row=865&amp;col=6&amp;number=166000000&amp;sourceID=14","166000000")</f>
        <v>166000000</v>
      </c>
      <c r="G865" s="4" t="str">
        <f>HYPERLINK("http://141.218.60.56/~jnz1568/getInfo.php?workbook=10_05.xlsx&amp;sheet=A0&amp;row=865&amp;col=7&amp;number=0&amp;sourceID=14","0")</f>
        <v>0</v>
      </c>
    </row>
    <row r="866" spans="1:7">
      <c r="A866" s="3">
        <v>10</v>
      </c>
      <c r="B866" s="3">
        <v>5</v>
      </c>
      <c r="C866" s="3">
        <v>172</v>
      </c>
      <c r="D866" s="3">
        <v>13</v>
      </c>
      <c r="E866" s="3">
        <v>-114.323</v>
      </c>
      <c r="F866" s="4" t="str">
        <f>HYPERLINK("http://141.218.60.56/~jnz1568/getInfo.php?workbook=10_05.xlsx&amp;sheet=A0&amp;row=866&amp;col=6&amp;number=113000000&amp;sourceID=14","113000000")</f>
        <v>113000000</v>
      </c>
      <c r="G866" s="4" t="str">
        <f>HYPERLINK("http://141.218.60.56/~jnz1568/getInfo.php?workbook=10_05.xlsx&amp;sheet=A0&amp;row=866&amp;col=7&amp;number=0&amp;sourceID=14","0")</f>
        <v>0</v>
      </c>
    </row>
    <row r="867" spans="1:7">
      <c r="A867" s="3">
        <v>10</v>
      </c>
      <c r="B867" s="3">
        <v>5</v>
      </c>
      <c r="C867" s="3">
        <v>173</v>
      </c>
      <c r="D867" s="3">
        <v>13</v>
      </c>
      <c r="E867" s="3">
        <v>-114.32</v>
      </c>
      <c r="F867" s="4" t="str">
        <f>HYPERLINK("http://141.218.60.56/~jnz1568/getInfo.php?workbook=10_05.xlsx&amp;sheet=A0&amp;row=867&amp;col=6&amp;number=1060000000&amp;sourceID=14","1060000000")</f>
        <v>1060000000</v>
      </c>
      <c r="G867" s="4" t="str">
        <f>HYPERLINK("http://141.218.60.56/~jnz1568/getInfo.php?workbook=10_05.xlsx&amp;sheet=A0&amp;row=867&amp;col=7&amp;number=0&amp;sourceID=14","0")</f>
        <v>0</v>
      </c>
    </row>
    <row r="868" spans="1:7">
      <c r="A868" s="3">
        <v>10</v>
      </c>
      <c r="B868" s="3">
        <v>5</v>
      </c>
      <c r="C868" s="3">
        <v>16</v>
      </c>
      <c r="D868" s="3">
        <v>14</v>
      </c>
      <c r="E868" s="3">
        <v>315.855</v>
      </c>
      <c r="F868" s="4" t="str">
        <f>HYPERLINK("http://141.218.60.56/~jnz1568/getInfo.php?workbook=10_05.xlsx&amp;sheet=A0&amp;row=868&amp;col=6&amp;number=73600&amp;sourceID=14","73600")</f>
        <v>73600</v>
      </c>
      <c r="G868" s="4" t="str">
        <f>HYPERLINK("http://141.218.60.56/~jnz1568/getInfo.php?workbook=10_05.xlsx&amp;sheet=A0&amp;row=868&amp;col=7&amp;number=0&amp;sourceID=14","0")</f>
        <v>0</v>
      </c>
    </row>
    <row r="869" spans="1:7">
      <c r="A869" s="3">
        <v>10</v>
      </c>
      <c r="B869" s="3">
        <v>5</v>
      </c>
      <c r="C869" s="3">
        <v>19</v>
      </c>
      <c r="D869" s="3">
        <v>14</v>
      </c>
      <c r="E869" s="3">
        <v>243.667</v>
      </c>
      <c r="F869" s="4" t="str">
        <f>HYPERLINK("http://141.218.60.56/~jnz1568/getInfo.php?workbook=10_05.xlsx&amp;sheet=A0&amp;row=869&amp;col=6&amp;number=2000000&amp;sourceID=14","2000000")</f>
        <v>2000000</v>
      </c>
      <c r="G869" s="4" t="str">
        <f>HYPERLINK("http://141.218.60.56/~jnz1568/getInfo.php?workbook=10_05.xlsx&amp;sheet=A0&amp;row=869&amp;col=7&amp;number=0&amp;sourceID=14","0")</f>
        <v>0</v>
      </c>
    </row>
    <row r="870" spans="1:7">
      <c r="A870" s="3">
        <v>10</v>
      </c>
      <c r="B870" s="3">
        <v>5</v>
      </c>
      <c r="C870" s="3">
        <v>26</v>
      </c>
      <c r="D870" s="3">
        <v>14</v>
      </c>
      <c r="E870" s="3">
        <v>212.684</v>
      </c>
      <c r="F870" s="4" t="str">
        <f>HYPERLINK("http://141.218.60.56/~jnz1568/getInfo.php?workbook=10_05.xlsx&amp;sheet=A0&amp;row=870&amp;col=6&amp;number=3790000&amp;sourceID=14","3790000")</f>
        <v>3790000</v>
      </c>
      <c r="G870" s="4" t="str">
        <f>HYPERLINK("http://141.218.60.56/~jnz1568/getInfo.php?workbook=10_05.xlsx&amp;sheet=A0&amp;row=870&amp;col=7&amp;number=0&amp;sourceID=14","0")</f>
        <v>0</v>
      </c>
    </row>
    <row r="871" spans="1:7">
      <c r="A871" s="3">
        <v>10</v>
      </c>
      <c r="B871" s="3">
        <v>5</v>
      </c>
      <c r="C871" s="3">
        <v>27</v>
      </c>
      <c r="D871" s="3">
        <v>14</v>
      </c>
      <c r="E871" s="3">
        <v>212.472</v>
      </c>
      <c r="F871" s="4" t="str">
        <f>HYPERLINK("http://141.218.60.56/~jnz1568/getInfo.php?workbook=10_05.xlsx&amp;sheet=A0&amp;row=871&amp;col=6&amp;number=1240000&amp;sourceID=14","1240000")</f>
        <v>1240000</v>
      </c>
      <c r="G871" s="4" t="str">
        <f>HYPERLINK("http://141.218.60.56/~jnz1568/getInfo.php?workbook=10_05.xlsx&amp;sheet=A0&amp;row=871&amp;col=7&amp;number=0&amp;sourceID=14","0")</f>
        <v>0</v>
      </c>
    </row>
    <row r="872" spans="1:7">
      <c r="A872" s="3">
        <v>10</v>
      </c>
      <c r="B872" s="3">
        <v>5</v>
      </c>
      <c r="C872" s="3">
        <v>28</v>
      </c>
      <c r="D872" s="3">
        <v>14</v>
      </c>
      <c r="E872" s="3">
        <v>-211.923</v>
      </c>
      <c r="F872" s="4" t="str">
        <f>HYPERLINK("http://141.218.60.56/~jnz1568/getInfo.php?workbook=10_05.xlsx&amp;sheet=A0&amp;row=872&amp;col=6&amp;number=96900&amp;sourceID=14","96900")</f>
        <v>96900</v>
      </c>
      <c r="G872" s="4" t="str">
        <f>HYPERLINK("http://141.218.60.56/~jnz1568/getInfo.php?workbook=10_05.xlsx&amp;sheet=A0&amp;row=872&amp;col=7&amp;number=0&amp;sourceID=14","0")</f>
        <v>0</v>
      </c>
    </row>
    <row r="873" spans="1:7">
      <c r="A873" s="3">
        <v>10</v>
      </c>
      <c r="B873" s="3">
        <v>5</v>
      </c>
      <c r="C873" s="3">
        <v>29</v>
      </c>
      <c r="D873" s="3">
        <v>14</v>
      </c>
      <c r="E873" s="3">
        <v>-211.815</v>
      </c>
      <c r="F873" s="4" t="str">
        <f>HYPERLINK("http://141.218.60.56/~jnz1568/getInfo.php?workbook=10_05.xlsx&amp;sheet=A0&amp;row=873&amp;col=6&amp;number=24500&amp;sourceID=14","24500")</f>
        <v>24500</v>
      </c>
      <c r="G873" s="4" t="str">
        <f>HYPERLINK("http://141.218.60.56/~jnz1568/getInfo.php?workbook=10_05.xlsx&amp;sheet=A0&amp;row=873&amp;col=7&amp;number=0&amp;sourceID=14","0")</f>
        <v>0</v>
      </c>
    </row>
    <row r="874" spans="1:7">
      <c r="A874" s="3">
        <v>10</v>
      </c>
      <c r="B874" s="3">
        <v>5</v>
      </c>
      <c r="C874" s="3">
        <v>32</v>
      </c>
      <c r="D874" s="3">
        <v>14</v>
      </c>
      <c r="E874" s="3">
        <v>-208.024</v>
      </c>
      <c r="F874" s="4" t="str">
        <f>HYPERLINK("http://141.218.60.56/~jnz1568/getInfo.php?workbook=10_05.xlsx&amp;sheet=A0&amp;row=874&amp;col=6&amp;number=60.9&amp;sourceID=14","60.9")</f>
        <v>60.9</v>
      </c>
      <c r="G874" s="4" t="str">
        <f>HYPERLINK("http://141.218.60.56/~jnz1568/getInfo.php?workbook=10_05.xlsx&amp;sheet=A0&amp;row=874&amp;col=7&amp;number=0&amp;sourceID=14","0")</f>
        <v>0</v>
      </c>
    </row>
    <row r="875" spans="1:7">
      <c r="A875" s="3">
        <v>10</v>
      </c>
      <c r="B875" s="3">
        <v>5</v>
      </c>
      <c r="C875" s="3">
        <v>33</v>
      </c>
      <c r="D875" s="3">
        <v>14</v>
      </c>
      <c r="E875" s="3">
        <v>-204.573</v>
      </c>
      <c r="F875" s="4" t="str">
        <f>HYPERLINK("http://141.218.60.56/~jnz1568/getInfo.php?workbook=10_05.xlsx&amp;sheet=A0&amp;row=875&amp;col=6&amp;number=169000&amp;sourceID=14","169000")</f>
        <v>169000</v>
      </c>
      <c r="G875" s="4" t="str">
        <f>HYPERLINK("http://141.218.60.56/~jnz1568/getInfo.php?workbook=10_05.xlsx&amp;sheet=A0&amp;row=875&amp;col=7&amp;number=0&amp;sourceID=14","0")</f>
        <v>0</v>
      </c>
    </row>
    <row r="876" spans="1:7">
      <c r="A876" s="3">
        <v>10</v>
      </c>
      <c r="B876" s="3">
        <v>5</v>
      </c>
      <c r="C876" s="3">
        <v>34</v>
      </c>
      <c r="D876" s="3">
        <v>14</v>
      </c>
      <c r="E876" s="3">
        <v>-204.449</v>
      </c>
      <c r="F876" s="4" t="str">
        <f>HYPERLINK("http://141.218.60.56/~jnz1568/getInfo.php?workbook=10_05.xlsx&amp;sheet=A0&amp;row=876&amp;col=6&amp;number=90200&amp;sourceID=14","90200")</f>
        <v>90200</v>
      </c>
      <c r="G876" s="4" t="str">
        <f>HYPERLINK("http://141.218.60.56/~jnz1568/getInfo.php?workbook=10_05.xlsx&amp;sheet=A0&amp;row=876&amp;col=7&amp;number=0&amp;sourceID=14","0")</f>
        <v>0</v>
      </c>
    </row>
    <row r="877" spans="1:7">
      <c r="A877" s="3">
        <v>10</v>
      </c>
      <c r="B877" s="3">
        <v>5</v>
      </c>
      <c r="C877" s="3">
        <v>36</v>
      </c>
      <c r="D877" s="3">
        <v>14</v>
      </c>
      <c r="E877" s="3">
        <v>202.392</v>
      </c>
      <c r="F877" s="4" t="str">
        <f>HYPERLINK("http://141.218.60.56/~jnz1568/getInfo.php?workbook=10_05.xlsx&amp;sheet=A0&amp;row=877&amp;col=6&amp;number=505000000&amp;sourceID=14","505000000")</f>
        <v>505000000</v>
      </c>
      <c r="G877" s="4" t="str">
        <f>HYPERLINK("http://141.218.60.56/~jnz1568/getInfo.php?workbook=10_05.xlsx&amp;sheet=A0&amp;row=877&amp;col=7&amp;number=0&amp;sourceID=14","0")</f>
        <v>0</v>
      </c>
    </row>
    <row r="878" spans="1:7">
      <c r="A878" s="3">
        <v>10</v>
      </c>
      <c r="B878" s="3">
        <v>5</v>
      </c>
      <c r="C878" s="3">
        <v>40</v>
      </c>
      <c r="D878" s="3">
        <v>14</v>
      </c>
      <c r="E878" s="3">
        <v>196.521</v>
      </c>
      <c r="F878" s="4" t="str">
        <f>HYPERLINK("http://141.218.60.56/~jnz1568/getInfo.php?workbook=10_05.xlsx&amp;sheet=A0&amp;row=878&amp;col=6&amp;number=1210000000&amp;sourceID=14","1210000000")</f>
        <v>1210000000</v>
      </c>
      <c r="G878" s="4" t="str">
        <f>HYPERLINK("http://141.218.60.56/~jnz1568/getInfo.php?workbook=10_05.xlsx&amp;sheet=A0&amp;row=878&amp;col=7&amp;number=0&amp;sourceID=14","0")</f>
        <v>0</v>
      </c>
    </row>
    <row r="879" spans="1:7">
      <c r="A879" s="3">
        <v>10</v>
      </c>
      <c r="B879" s="3">
        <v>5</v>
      </c>
      <c r="C879" s="3">
        <v>58</v>
      </c>
      <c r="D879" s="3">
        <v>14</v>
      </c>
      <c r="E879" s="3">
        <v>173.313</v>
      </c>
      <c r="F879" s="4" t="str">
        <f>HYPERLINK("http://141.218.60.56/~jnz1568/getInfo.php?workbook=10_05.xlsx&amp;sheet=A0&amp;row=879&amp;col=6&amp;number=46300000&amp;sourceID=14","46300000")</f>
        <v>46300000</v>
      </c>
      <c r="G879" s="4" t="str">
        <f>HYPERLINK("http://141.218.60.56/~jnz1568/getInfo.php?workbook=10_05.xlsx&amp;sheet=A0&amp;row=879&amp;col=7&amp;number=0&amp;sourceID=14","0")</f>
        <v>0</v>
      </c>
    </row>
    <row r="880" spans="1:7">
      <c r="A880" s="3">
        <v>10</v>
      </c>
      <c r="B880" s="3">
        <v>5</v>
      </c>
      <c r="C880" s="3">
        <v>59</v>
      </c>
      <c r="D880" s="3">
        <v>14</v>
      </c>
      <c r="E880" s="3">
        <v>172.416</v>
      </c>
      <c r="F880" s="4" t="str">
        <f>HYPERLINK("http://141.218.60.56/~jnz1568/getInfo.php?workbook=10_05.xlsx&amp;sheet=A0&amp;row=880&amp;col=6&amp;number=33300000&amp;sourceID=14","33300000")</f>
        <v>33300000</v>
      </c>
      <c r="G880" s="4" t="str">
        <f>HYPERLINK("http://141.218.60.56/~jnz1568/getInfo.php?workbook=10_05.xlsx&amp;sheet=A0&amp;row=880&amp;col=7&amp;number=0&amp;sourceID=14","0")</f>
        <v>0</v>
      </c>
    </row>
    <row r="881" spans="1:7">
      <c r="A881" s="3">
        <v>10</v>
      </c>
      <c r="B881" s="3">
        <v>5</v>
      </c>
      <c r="C881" s="3">
        <v>61</v>
      </c>
      <c r="D881" s="3">
        <v>14</v>
      </c>
      <c r="E881" s="3">
        <v>171.927</v>
      </c>
      <c r="F881" s="4" t="str">
        <f>HYPERLINK("http://141.218.60.56/~jnz1568/getInfo.php?workbook=10_05.xlsx&amp;sheet=A0&amp;row=881&amp;col=6&amp;number=1390000000&amp;sourceID=14","1390000000")</f>
        <v>1390000000</v>
      </c>
      <c r="G881" s="4" t="str">
        <f>HYPERLINK("http://141.218.60.56/~jnz1568/getInfo.php?workbook=10_05.xlsx&amp;sheet=A0&amp;row=881&amp;col=7&amp;number=0&amp;sourceID=14","0")</f>
        <v>0</v>
      </c>
    </row>
    <row r="882" spans="1:7">
      <c r="A882" s="3">
        <v>10</v>
      </c>
      <c r="B882" s="3">
        <v>5</v>
      </c>
      <c r="C882" s="3">
        <v>62</v>
      </c>
      <c r="D882" s="3">
        <v>14</v>
      </c>
      <c r="E882" s="3">
        <v>171.839</v>
      </c>
      <c r="F882" s="4" t="str">
        <f>HYPERLINK("http://141.218.60.56/~jnz1568/getInfo.php?workbook=10_05.xlsx&amp;sheet=A0&amp;row=882&amp;col=6&amp;number=320000000&amp;sourceID=14","320000000")</f>
        <v>320000000</v>
      </c>
      <c r="G882" s="4" t="str">
        <f>HYPERLINK("http://141.218.60.56/~jnz1568/getInfo.php?workbook=10_05.xlsx&amp;sheet=A0&amp;row=882&amp;col=7&amp;number=0&amp;sourceID=14","0")</f>
        <v>0</v>
      </c>
    </row>
    <row r="883" spans="1:7">
      <c r="A883" s="3">
        <v>10</v>
      </c>
      <c r="B883" s="3">
        <v>5</v>
      </c>
      <c r="C883" s="3">
        <v>63</v>
      </c>
      <c r="D883" s="3">
        <v>14</v>
      </c>
      <c r="E883" s="3">
        <v>170.071</v>
      </c>
      <c r="F883" s="4" t="str">
        <f>HYPERLINK("http://141.218.60.56/~jnz1568/getInfo.php?workbook=10_05.xlsx&amp;sheet=A0&amp;row=883&amp;col=6&amp;number=116000000&amp;sourceID=14","116000000")</f>
        <v>116000000</v>
      </c>
      <c r="G883" s="4" t="str">
        <f>HYPERLINK("http://141.218.60.56/~jnz1568/getInfo.php?workbook=10_05.xlsx&amp;sheet=A0&amp;row=883&amp;col=7&amp;number=0&amp;sourceID=14","0")</f>
        <v>0</v>
      </c>
    </row>
    <row r="884" spans="1:7">
      <c r="A884" s="3">
        <v>10</v>
      </c>
      <c r="B884" s="3">
        <v>5</v>
      </c>
      <c r="C884" s="3">
        <v>66</v>
      </c>
      <c r="D884" s="3">
        <v>14</v>
      </c>
      <c r="E884" s="3">
        <v>163.121</v>
      </c>
      <c r="F884" s="4" t="str">
        <f>HYPERLINK("http://141.218.60.56/~jnz1568/getInfo.php?workbook=10_05.xlsx&amp;sheet=A0&amp;row=884&amp;col=6&amp;number=2100&amp;sourceID=14","2100")</f>
        <v>2100</v>
      </c>
      <c r="G884" s="4" t="str">
        <f>HYPERLINK("http://141.218.60.56/~jnz1568/getInfo.php?workbook=10_05.xlsx&amp;sheet=A0&amp;row=884&amp;col=7&amp;number=0&amp;sourceID=14","0")</f>
        <v>0</v>
      </c>
    </row>
    <row r="885" spans="1:7">
      <c r="A885" s="3">
        <v>10</v>
      </c>
      <c r="B885" s="3">
        <v>5</v>
      </c>
      <c r="C885" s="3">
        <v>70</v>
      </c>
      <c r="D885" s="3">
        <v>14</v>
      </c>
      <c r="E885" s="3">
        <v>162.017</v>
      </c>
      <c r="F885" s="4" t="str">
        <f>HYPERLINK("http://141.218.60.56/~jnz1568/getInfo.php?workbook=10_05.xlsx&amp;sheet=A0&amp;row=885&amp;col=6&amp;number=9650&amp;sourceID=14","9650")</f>
        <v>9650</v>
      </c>
      <c r="G885" s="4" t="str">
        <f>HYPERLINK("http://141.218.60.56/~jnz1568/getInfo.php?workbook=10_05.xlsx&amp;sheet=A0&amp;row=885&amp;col=7&amp;number=0&amp;sourceID=14","0")</f>
        <v>0</v>
      </c>
    </row>
    <row r="886" spans="1:7">
      <c r="A886" s="3">
        <v>10</v>
      </c>
      <c r="B886" s="3">
        <v>5</v>
      </c>
      <c r="C886" s="3">
        <v>71</v>
      </c>
      <c r="D886" s="3">
        <v>14</v>
      </c>
      <c r="E886" s="3">
        <v>162.017</v>
      </c>
      <c r="F886" s="4" t="str">
        <f>HYPERLINK("http://141.218.60.56/~jnz1568/getInfo.php?workbook=10_05.xlsx&amp;sheet=A0&amp;row=886&amp;col=6&amp;number=8180&amp;sourceID=14","8180")</f>
        <v>8180</v>
      </c>
      <c r="G886" s="4" t="str">
        <f>HYPERLINK("http://141.218.60.56/~jnz1568/getInfo.php?workbook=10_05.xlsx&amp;sheet=A0&amp;row=886&amp;col=7&amp;number=0&amp;sourceID=14","0")</f>
        <v>0</v>
      </c>
    </row>
    <row r="887" spans="1:7">
      <c r="A887" s="3">
        <v>10</v>
      </c>
      <c r="B887" s="3">
        <v>5</v>
      </c>
      <c r="C887" s="3">
        <v>77</v>
      </c>
      <c r="D887" s="3">
        <v>14</v>
      </c>
      <c r="E887" s="3">
        <v>-155.866</v>
      </c>
      <c r="F887" s="4" t="str">
        <f>HYPERLINK("http://141.218.60.56/~jnz1568/getInfo.php?workbook=10_05.xlsx&amp;sheet=A0&amp;row=887&amp;col=6&amp;number=10100000000&amp;sourceID=14","10100000000")</f>
        <v>10100000000</v>
      </c>
      <c r="G887" s="4" t="str">
        <f>HYPERLINK("http://141.218.60.56/~jnz1568/getInfo.php?workbook=10_05.xlsx&amp;sheet=A0&amp;row=887&amp;col=7&amp;number=0&amp;sourceID=14","0")</f>
        <v>0</v>
      </c>
    </row>
    <row r="888" spans="1:7">
      <c r="A888" s="3">
        <v>10</v>
      </c>
      <c r="B888" s="3">
        <v>5</v>
      </c>
      <c r="C888" s="3">
        <v>78</v>
      </c>
      <c r="D888" s="3">
        <v>14</v>
      </c>
      <c r="E888" s="3">
        <v>-155.665</v>
      </c>
      <c r="F888" s="4" t="str">
        <f>HYPERLINK("http://141.218.60.56/~jnz1568/getInfo.php?workbook=10_05.xlsx&amp;sheet=A0&amp;row=888&amp;col=6&amp;number=2770000000&amp;sourceID=14","2770000000")</f>
        <v>2770000000</v>
      </c>
      <c r="G888" s="4" t="str">
        <f>HYPERLINK("http://141.218.60.56/~jnz1568/getInfo.php?workbook=10_05.xlsx&amp;sheet=A0&amp;row=888&amp;col=7&amp;number=0&amp;sourceID=14","0")</f>
        <v>0</v>
      </c>
    </row>
    <row r="889" spans="1:7">
      <c r="A889" s="3">
        <v>10</v>
      </c>
      <c r="B889" s="3">
        <v>5</v>
      </c>
      <c r="C889" s="3">
        <v>80</v>
      </c>
      <c r="D889" s="3">
        <v>14</v>
      </c>
      <c r="E889" s="3">
        <v>153.794</v>
      </c>
      <c r="F889" s="4" t="str">
        <f>HYPERLINK("http://141.218.60.56/~jnz1568/getInfo.php?workbook=10_05.xlsx&amp;sheet=A0&amp;row=889&amp;col=6&amp;number=5680000000&amp;sourceID=14","5680000000")</f>
        <v>5680000000</v>
      </c>
      <c r="G889" s="4" t="str">
        <f>HYPERLINK("http://141.218.60.56/~jnz1568/getInfo.php?workbook=10_05.xlsx&amp;sheet=A0&amp;row=889&amp;col=7&amp;number=0&amp;sourceID=14","0")</f>
        <v>0</v>
      </c>
    </row>
    <row r="890" spans="1:7">
      <c r="A890" s="3">
        <v>10</v>
      </c>
      <c r="B890" s="3">
        <v>5</v>
      </c>
      <c r="C890" s="3">
        <v>99</v>
      </c>
      <c r="D890" s="3">
        <v>14</v>
      </c>
      <c r="E890" s="3">
        <v>-144.18</v>
      </c>
      <c r="F890" s="4" t="str">
        <f>HYPERLINK("http://141.218.60.56/~jnz1568/getInfo.php?workbook=10_05.xlsx&amp;sheet=A0&amp;row=890&amp;col=6&amp;number=16900&amp;sourceID=14","16900")</f>
        <v>16900</v>
      </c>
      <c r="G890" s="4" t="str">
        <f>HYPERLINK("http://141.218.60.56/~jnz1568/getInfo.php?workbook=10_05.xlsx&amp;sheet=A0&amp;row=890&amp;col=7&amp;number=0&amp;sourceID=14","0")</f>
        <v>0</v>
      </c>
    </row>
    <row r="891" spans="1:7">
      <c r="A891" s="3">
        <v>10</v>
      </c>
      <c r="B891" s="3">
        <v>5</v>
      </c>
      <c r="C891" s="3">
        <v>105</v>
      </c>
      <c r="D891" s="3">
        <v>14</v>
      </c>
      <c r="E891" s="3">
        <v>-142.948</v>
      </c>
      <c r="F891" s="4" t="str">
        <f>HYPERLINK("http://141.218.60.56/~jnz1568/getInfo.php?workbook=10_05.xlsx&amp;sheet=A0&amp;row=891&amp;col=6&amp;number=1320000000&amp;sourceID=14","1320000000")</f>
        <v>1320000000</v>
      </c>
      <c r="G891" s="4" t="str">
        <f>HYPERLINK("http://141.218.60.56/~jnz1568/getInfo.php?workbook=10_05.xlsx&amp;sheet=A0&amp;row=891&amp;col=7&amp;number=0&amp;sourceID=14","0")</f>
        <v>0</v>
      </c>
    </row>
    <row r="892" spans="1:7">
      <c r="A892" s="3">
        <v>10</v>
      </c>
      <c r="B892" s="3">
        <v>5</v>
      </c>
      <c r="C892" s="3">
        <v>106</v>
      </c>
      <c r="D892" s="3">
        <v>14</v>
      </c>
      <c r="E892" s="3">
        <v>-142.922</v>
      </c>
      <c r="F892" s="4" t="str">
        <f>HYPERLINK("http://141.218.60.56/~jnz1568/getInfo.php?workbook=10_05.xlsx&amp;sheet=A0&amp;row=892&amp;col=6&amp;number=542000000&amp;sourceID=14","542000000")</f>
        <v>542000000</v>
      </c>
      <c r="G892" s="4" t="str">
        <f>HYPERLINK("http://141.218.60.56/~jnz1568/getInfo.php?workbook=10_05.xlsx&amp;sheet=A0&amp;row=892&amp;col=7&amp;number=0&amp;sourceID=14","0")</f>
        <v>0</v>
      </c>
    </row>
    <row r="893" spans="1:7">
      <c r="A893" s="3">
        <v>10</v>
      </c>
      <c r="B893" s="3">
        <v>5</v>
      </c>
      <c r="C893" s="3">
        <v>109</v>
      </c>
      <c r="D893" s="3">
        <v>14</v>
      </c>
      <c r="E893" s="3">
        <v>-142.722</v>
      </c>
      <c r="F893" s="4" t="str">
        <f>HYPERLINK("http://141.218.60.56/~jnz1568/getInfo.php?workbook=10_05.xlsx&amp;sheet=A0&amp;row=893&amp;col=6&amp;number=6300000000&amp;sourceID=14","6300000000")</f>
        <v>6300000000</v>
      </c>
      <c r="G893" s="4" t="str">
        <f>HYPERLINK("http://141.218.60.56/~jnz1568/getInfo.php?workbook=10_05.xlsx&amp;sheet=A0&amp;row=893&amp;col=7&amp;number=0&amp;sourceID=14","0")</f>
        <v>0</v>
      </c>
    </row>
    <row r="894" spans="1:7">
      <c r="A894" s="3">
        <v>10</v>
      </c>
      <c r="B894" s="3">
        <v>5</v>
      </c>
      <c r="C894" s="3">
        <v>111</v>
      </c>
      <c r="D894" s="3">
        <v>14</v>
      </c>
      <c r="E894" s="3">
        <v>-142.6</v>
      </c>
      <c r="F894" s="4" t="str">
        <f>HYPERLINK("http://141.218.60.56/~jnz1568/getInfo.php?workbook=10_05.xlsx&amp;sheet=A0&amp;row=894&amp;col=6&amp;number=25500000000&amp;sourceID=14","25500000000")</f>
        <v>25500000000</v>
      </c>
      <c r="G894" s="4" t="str">
        <f>HYPERLINK("http://141.218.60.56/~jnz1568/getInfo.php?workbook=10_05.xlsx&amp;sheet=A0&amp;row=894&amp;col=7&amp;number=0&amp;sourceID=14","0")</f>
        <v>0</v>
      </c>
    </row>
    <row r="895" spans="1:7">
      <c r="A895" s="3">
        <v>10</v>
      </c>
      <c r="B895" s="3">
        <v>5</v>
      </c>
      <c r="C895" s="3">
        <v>118</v>
      </c>
      <c r="D895" s="3">
        <v>14</v>
      </c>
      <c r="E895" s="3">
        <v>-140.976</v>
      </c>
      <c r="F895" s="4" t="str">
        <f>HYPERLINK("http://141.218.60.56/~jnz1568/getInfo.php?workbook=10_05.xlsx&amp;sheet=A0&amp;row=895&amp;col=6&amp;number=148000&amp;sourceID=14","148000")</f>
        <v>148000</v>
      </c>
      <c r="G895" s="4" t="str">
        <f>HYPERLINK("http://141.218.60.56/~jnz1568/getInfo.php?workbook=10_05.xlsx&amp;sheet=A0&amp;row=895&amp;col=7&amp;number=0&amp;sourceID=14","0")</f>
        <v>0</v>
      </c>
    </row>
    <row r="896" spans="1:7">
      <c r="A896" s="3">
        <v>10</v>
      </c>
      <c r="B896" s="3">
        <v>5</v>
      </c>
      <c r="C896" s="3">
        <v>119</v>
      </c>
      <c r="D896" s="3">
        <v>14</v>
      </c>
      <c r="E896" s="3">
        <v>-140.966</v>
      </c>
      <c r="F896" s="4" t="str">
        <f>HYPERLINK("http://141.218.60.56/~jnz1568/getInfo.php?workbook=10_05.xlsx&amp;sheet=A0&amp;row=896&amp;col=6&amp;number=118000&amp;sourceID=14","118000")</f>
        <v>118000</v>
      </c>
      <c r="G896" s="4" t="str">
        <f>HYPERLINK("http://141.218.60.56/~jnz1568/getInfo.php?workbook=10_05.xlsx&amp;sheet=A0&amp;row=896&amp;col=7&amp;number=0&amp;sourceID=14","0")</f>
        <v>0</v>
      </c>
    </row>
    <row r="897" spans="1:7">
      <c r="A897" s="3">
        <v>10</v>
      </c>
      <c r="B897" s="3">
        <v>5</v>
      </c>
      <c r="C897" s="3">
        <v>120</v>
      </c>
      <c r="D897" s="3">
        <v>14</v>
      </c>
      <c r="E897" s="3">
        <v>-140.341</v>
      </c>
      <c r="F897" s="4" t="str">
        <f>HYPERLINK("http://141.218.60.56/~jnz1568/getInfo.php?workbook=10_05.xlsx&amp;sheet=A0&amp;row=897&amp;col=6&amp;number=154000000&amp;sourceID=14","154000000")</f>
        <v>154000000</v>
      </c>
      <c r="G897" s="4" t="str">
        <f>HYPERLINK("http://141.218.60.56/~jnz1568/getInfo.php?workbook=10_05.xlsx&amp;sheet=A0&amp;row=897&amp;col=7&amp;number=0&amp;sourceID=14","0")</f>
        <v>0</v>
      </c>
    </row>
    <row r="898" spans="1:7">
      <c r="A898" s="3">
        <v>10</v>
      </c>
      <c r="B898" s="3">
        <v>5</v>
      </c>
      <c r="C898" s="3">
        <v>121</v>
      </c>
      <c r="D898" s="3">
        <v>14</v>
      </c>
      <c r="E898" s="3">
        <v>-140.297</v>
      </c>
      <c r="F898" s="4" t="str">
        <f>HYPERLINK("http://141.218.60.56/~jnz1568/getInfo.php?workbook=10_05.xlsx&amp;sheet=A0&amp;row=898&amp;col=6&amp;number=22200000&amp;sourceID=14","22200000")</f>
        <v>22200000</v>
      </c>
      <c r="G898" s="4" t="str">
        <f>HYPERLINK("http://141.218.60.56/~jnz1568/getInfo.php?workbook=10_05.xlsx&amp;sheet=A0&amp;row=898&amp;col=7&amp;number=0&amp;sourceID=14","0")</f>
        <v>0</v>
      </c>
    </row>
    <row r="899" spans="1:7">
      <c r="A899" s="3">
        <v>10</v>
      </c>
      <c r="B899" s="3">
        <v>5</v>
      </c>
      <c r="C899" s="3">
        <v>123</v>
      </c>
      <c r="D899" s="3">
        <v>14</v>
      </c>
      <c r="E899" s="3">
        <v>-140.166</v>
      </c>
      <c r="F899" s="4" t="str">
        <f>HYPERLINK("http://141.218.60.56/~jnz1568/getInfo.php?workbook=10_05.xlsx&amp;sheet=A0&amp;row=899&amp;col=6&amp;number=60500000&amp;sourceID=14","60500000")</f>
        <v>60500000</v>
      </c>
      <c r="G899" s="4" t="str">
        <f>HYPERLINK("http://141.218.60.56/~jnz1568/getInfo.php?workbook=10_05.xlsx&amp;sheet=A0&amp;row=899&amp;col=7&amp;number=0&amp;sourceID=14","0")</f>
        <v>0</v>
      </c>
    </row>
    <row r="900" spans="1:7">
      <c r="A900" s="3">
        <v>10</v>
      </c>
      <c r="B900" s="3">
        <v>5</v>
      </c>
      <c r="C900" s="3">
        <v>125</v>
      </c>
      <c r="D900" s="3">
        <v>14</v>
      </c>
      <c r="E900" s="3">
        <v>-139.944</v>
      </c>
      <c r="F900" s="4" t="str">
        <f>HYPERLINK("http://141.218.60.56/~jnz1568/getInfo.php?workbook=10_05.xlsx&amp;sheet=A0&amp;row=900&amp;col=6&amp;number=8140000000&amp;sourceID=14","8140000000")</f>
        <v>8140000000</v>
      </c>
      <c r="G900" s="4" t="str">
        <f>HYPERLINK("http://141.218.60.56/~jnz1568/getInfo.php?workbook=10_05.xlsx&amp;sheet=A0&amp;row=900&amp;col=7&amp;number=0&amp;sourceID=14","0")</f>
        <v>0</v>
      </c>
    </row>
    <row r="901" spans="1:7">
      <c r="A901" s="3">
        <v>10</v>
      </c>
      <c r="B901" s="3">
        <v>5</v>
      </c>
      <c r="C901" s="3">
        <v>126</v>
      </c>
      <c r="D901" s="3">
        <v>14</v>
      </c>
      <c r="E901" s="3">
        <v>-139.89</v>
      </c>
      <c r="F901" s="4" t="str">
        <f>HYPERLINK("http://141.218.60.56/~jnz1568/getInfo.php?workbook=10_05.xlsx&amp;sheet=A0&amp;row=901&amp;col=6&amp;number=1340000000&amp;sourceID=14","1340000000")</f>
        <v>1340000000</v>
      </c>
      <c r="G901" s="4" t="str">
        <f>HYPERLINK("http://141.218.60.56/~jnz1568/getInfo.php?workbook=10_05.xlsx&amp;sheet=A0&amp;row=901&amp;col=7&amp;number=0&amp;sourceID=14","0")</f>
        <v>0</v>
      </c>
    </row>
    <row r="902" spans="1:7">
      <c r="A902" s="3">
        <v>10</v>
      </c>
      <c r="B902" s="3">
        <v>5</v>
      </c>
      <c r="C902" s="3">
        <v>129</v>
      </c>
      <c r="D902" s="3">
        <v>14</v>
      </c>
      <c r="E902" s="3">
        <v>139.347</v>
      </c>
      <c r="F902" s="4" t="str">
        <f>HYPERLINK("http://141.218.60.56/~jnz1568/getInfo.php?workbook=10_05.xlsx&amp;sheet=A0&amp;row=902&amp;col=6&amp;number=4400000000&amp;sourceID=14","4400000000")</f>
        <v>4400000000</v>
      </c>
      <c r="G902" s="4" t="str">
        <f>HYPERLINK("http://141.218.60.56/~jnz1568/getInfo.php?workbook=10_05.xlsx&amp;sheet=A0&amp;row=902&amp;col=7&amp;number=0&amp;sourceID=14","0")</f>
        <v>0</v>
      </c>
    </row>
    <row r="903" spans="1:7">
      <c r="A903" s="3">
        <v>10</v>
      </c>
      <c r="B903" s="3">
        <v>5</v>
      </c>
      <c r="C903" s="3">
        <v>131</v>
      </c>
      <c r="D903" s="3">
        <v>14</v>
      </c>
      <c r="E903" s="3">
        <v>-139.236</v>
      </c>
      <c r="F903" s="4" t="str">
        <f>HYPERLINK("http://141.218.60.56/~jnz1568/getInfo.php?workbook=10_05.xlsx&amp;sheet=A0&amp;row=903&amp;col=6&amp;number=8150000&amp;sourceID=14","8150000")</f>
        <v>8150000</v>
      </c>
      <c r="G903" s="4" t="str">
        <f>HYPERLINK("http://141.218.60.56/~jnz1568/getInfo.php?workbook=10_05.xlsx&amp;sheet=A0&amp;row=903&amp;col=7&amp;number=0&amp;sourceID=14","0")</f>
        <v>0</v>
      </c>
    </row>
    <row r="904" spans="1:7">
      <c r="A904" s="3">
        <v>10</v>
      </c>
      <c r="B904" s="3">
        <v>5</v>
      </c>
      <c r="C904" s="3">
        <v>132</v>
      </c>
      <c r="D904" s="3">
        <v>14</v>
      </c>
      <c r="E904" s="3">
        <v>-139.208</v>
      </c>
      <c r="F904" s="4" t="str">
        <f>HYPERLINK("http://141.218.60.56/~jnz1568/getInfo.php?workbook=10_05.xlsx&amp;sheet=A0&amp;row=904&amp;col=6&amp;number=9970000&amp;sourceID=14","9970000")</f>
        <v>9970000</v>
      </c>
      <c r="G904" s="4" t="str">
        <f>HYPERLINK("http://141.218.60.56/~jnz1568/getInfo.php?workbook=10_05.xlsx&amp;sheet=A0&amp;row=904&amp;col=7&amp;number=0&amp;sourceID=14","0")</f>
        <v>0</v>
      </c>
    </row>
    <row r="905" spans="1:7">
      <c r="A905" s="3">
        <v>10</v>
      </c>
      <c r="B905" s="3">
        <v>5</v>
      </c>
      <c r="C905" s="3">
        <v>140</v>
      </c>
      <c r="D905" s="3">
        <v>14</v>
      </c>
      <c r="E905" s="3">
        <v>-138.237</v>
      </c>
      <c r="F905" s="4" t="str">
        <f>HYPERLINK("http://141.218.60.56/~jnz1568/getInfo.php?workbook=10_05.xlsx&amp;sheet=A0&amp;row=905&amp;col=6&amp;number=5820000000&amp;sourceID=14","5820000000")</f>
        <v>5820000000</v>
      </c>
      <c r="G905" s="4" t="str">
        <f>HYPERLINK("http://141.218.60.56/~jnz1568/getInfo.php?workbook=10_05.xlsx&amp;sheet=A0&amp;row=905&amp;col=7&amp;number=0&amp;sourceID=14","0")</f>
        <v>0</v>
      </c>
    </row>
    <row r="906" spans="1:7">
      <c r="A906" s="3">
        <v>10</v>
      </c>
      <c r="B906" s="3">
        <v>5</v>
      </c>
      <c r="C906" s="3">
        <v>150</v>
      </c>
      <c r="D906" s="3">
        <v>14</v>
      </c>
      <c r="E906" s="3">
        <v>-136.924</v>
      </c>
      <c r="F906" s="4" t="str">
        <f>HYPERLINK("http://141.218.60.56/~jnz1568/getInfo.php?workbook=10_05.xlsx&amp;sheet=A0&amp;row=906&amp;col=6&amp;number=65800000000&amp;sourceID=14","65800000000")</f>
        <v>65800000000</v>
      </c>
      <c r="G906" s="4" t="str">
        <f>HYPERLINK("http://141.218.60.56/~jnz1568/getInfo.php?workbook=10_05.xlsx&amp;sheet=A0&amp;row=906&amp;col=7&amp;number=0&amp;sourceID=14","0")</f>
        <v>0</v>
      </c>
    </row>
    <row r="907" spans="1:7">
      <c r="A907" s="3">
        <v>10</v>
      </c>
      <c r="B907" s="3">
        <v>5</v>
      </c>
      <c r="C907" s="3">
        <v>156</v>
      </c>
      <c r="D907" s="3">
        <v>14</v>
      </c>
      <c r="E907" s="3">
        <v>-136.156</v>
      </c>
      <c r="F907" s="4" t="str">
        <f>HYPERLINK("http://141.218.60.56/~jnz1568/getInfo.php?workbook=10_05.xlsx&amp;sheet=A0&amp;row=907&amp;col=6&amp;number=44900000000&amp;sourceID=14","44900000000")</f>
        <v>44900000000</v>
      </c>
      <c r="G907" s="4" t="str">
        <f>HYPERLINK("http://141.218.60.56/~jnz1568/getInfo.php?workbook=10_05.xlsx&amp;sheet=A0&amp;row=907&amp;col=7&amp;number=0&amp;sourceID=14","0")</f>
        <v>0</v>
      </c>
    </row>
    <row r="908" spans="1:7">
      <c r="A908" s="3">
        <v>10</v>
      </c>
      <c r="B908" s="3">
        <v>5</v>
      </c>
      <c r="C908" s="3">
        <v>160</v>
      </c>
      <c r="D908" s="3">
        <v>14</v>
      </c>
      <c r="E908" s="3">
        <v>-135.888</v>
      </c>
      <c r="F908" s="4" t="str">
        <f>HYPERLINK("http://141.218.60.56/~jnz1568/getInfo.php?workbook=10_05.xlsx&amp;sheet=A0&amp;row=908&amp;col=6&amp;number=16400000000&amp;sourceID=14","16400000000")</f>
        <v>16400000000</v>
      </c>
      <c r="G908" s="4" t="str">
        <f>HYPERLINK("http://141.218.60.56/~jnz1568/getInfo.php?workbook=10_05.xlsx&amp;sheet=A0&amp;row=908&amp;col=7&amp;number=0&amp;sourceID=14","0")</f>
        <v>0</v>
      </c>
    </row>
    <row r="909" spans="1:7">
      <c r="A909" s="3">
        <v>10</v>
      </c>
      <c r="B909" s="3">
        <v>5</v>
      </c>
      <c r="C909" s="3">
        <v>161</v>
      </c>
      <c r="D909" s="3">
        <v>14</v>
      </c>
      <c r="E909" s="3">
        <v>135.834</v>
      </c>
      <c r="F909" s="4" t="str">
        <f>HYPERLINK("http://141.218.60.56/~jnz1568/getInfo.php?workbook=10_05.xlsx&amp;sheet=A0&amp;row=909&amp;col=6&amp;number=63900000000&amp;sourceID=14","63900000000")</f>
        <v>63900000000</v>
      </c>
      <c r="G909" s="4" t="str">
        <f>HYPERLINK("http://141.218.60.56/~jnz1568/getInfo.php?workbook=10_05.xlsx&amp;sheet=A0&amp;row=909&amp;col=7&amp;number=0&amp;sourceID=14","0")</f>
        <v>0</v>
      </c>
    </row>
    <row r="910" spans="1:7">
      <c r="A910" s="3">
        <v>10</v>
      </c>
      <c r="B910" s="3">
        <v>5</v>
      </c>
      <c r="C910" s="3">
        <v>162</v>
      </c>
      <c r="D910" s="3">
        <v>14</v>
      </c>
      <c r="E910" s="3">
        <v>135.779</v>
      </c>
      <c r="F910" s="4" t="str">
        <f>HYPERLINK("http://141.218.60.56/~jnz1568/getInfo.php?workbook=10_05.xlsx&amp;sheet=A0&amp;row=910&amp;col=6&amp;number=15500000000&amp;sourceID=14","15500000000")</f>
        <v>15500000000</v>
      </c>
      <c r="G910" s="4" t="str">
        <f>HYPERLINK("http://141.218.60.56/~jnz1568/getInfo.php?workbook=10_05.xlsx&amp;sheet=A0&amp;row=910&amp;col=7&amp;number=0&amp;sourceID=14","0")</f>
        <v>0</v>
      </c>
    </row>
    <row r="911" spans="1:7">
      <c r="A911" s="3">
        <v>10</v>
      </c>
      <c r="B911" s="3">
        <v>5</v>
      </c>
      <c r="C911" s="3">
        <v>163</v>
      </c>
      <c r="D911" s="3">
        <v>14</v>
      </c>
      <c r="E911" s="3">
        <v>-133.322</v>
      </c>
      <c r="F911" s="4" t="str">
        <f>HYPERLINK("http://141.218.60.56/~jnz1568/getInfo.php?workbook=10_05.xlsx&amp;sheet=A0&amp;row=911&amp;col=6&amp;number=18100000000&amp;sourceID=14","18100000000")</f>
        <v>18100000000</v>
      </c>
      <c r="G911" s="4" t="str">
        <f>HYPERLINK("http://141.218.60.56/~jnz1568/getInfo.php?workbook=10_05.xlsx&amp;sheet=A0&amp;row=911&amp;col=7&amp;number=0&amp;sourceID=14","0")</f>
        <v>0</v>
      </c>
    </row>
    <row r="912" spans="1:7">
      <c r="A912" s="3">
        <v>10</v>
      </c>
      <c r="B912" s="3">
        <v>5</v>
      </c>
      <c r="C912" s="3">
        <v>169</v>
      </c>
      <c r="D912" s="3">
        <v>14</v>
      </c>
      <c r="E912" s="3">
        <v>-122.432</v>
      </c>
      <c r="F912" s="4" t="str">
        <f>HYPERLINK("http://141.218.60.56/~jnz1568/getInfo.php?workbook=10_05.xlsx&amp;sheet=A0&amp;row=912&amp;col=6&amp;number=60000000000&amp;sourceID=14","60000000000")</f>
        <v>60000000000</v>
      </c>
      <c r="G912" s="4" t="str">
        <f>HYPERLINK("http://141.218.60.56/~jnz1568/getInfo.php?workbook=10_05.xlsx&amp;sheet=A0&amp;row=912&amp;col=7&amp;number=0&amp;sourceID=14","0")</f>
        <v>0</v>
      </c>
    </row>
    <row r="913" spans="1:7">
      <c r="A913" s="3">
        <v>10</v>
      </c>
      <c r="B913" s="3">
        <v>5</v>
      </c>
      <c r="C913" s="3">
        <v>170</v>
      </c>
      <c r="D913" s="3">
        <v>14</v>
      </c>
      <c r="E913" s="3">
        <v>-121.043</v>
      </c>
      <c r="F913" s="4" t="str">
        <f>HYPERLINK("http://141.218.60.56/~jnz1568/getInfo.php?workbook=10_05.xlsx&amp;sheet=A0&amp;row=913&amp;col=6&amp;number=969000000&amp;sourceID=14","969000000")</f>
        <v>969000000</v>
      </c>
      <c r="G913" s="4" t="str">
        <f>HYPERLINK("http://141.218.60.56/~jnz1568/getInfo.php?workbook=10_05.xlsx&amp;sheet=A0&amp;row=913&amp;col=7&amp;number=0&amp;sourceID=14","0")</f>
        <v>0</v>
      </c>
    </row>
    <row r="914" spans="1:7">
      <c r="A914" s="3">
        <v>10</v>
      </c>
      <c r="B914" s="3">
        <v>5</v>
      </c>
      <c r="C914" s="3">
        <v>171</v>
      </c>
      <c r="D914" s="3">
        <v>14</v>
      </c>
      <c r="E914" s="3">
        <v>-121.029</v>
      </c>
      <c r="F914" s="4" t="str">
        <f>HYPERLINK("http://141.218.60.56/~jnz1568/getInfo.php?workbook=10_05.xlsx&amp;sheet=A0&amp;row=914&amp;col=6&amp;number=354000000&amp;sourceID=14","354000000")</f>
        <v>354000000</v>
      </c>
      <c r="G914" s="4" t="str">
        <f>HYPERLINK("http://141.218.60.56/~jnz1568/getInfo.php?workbook=10_05.xlsx&amp;sheet=A0&amp;row=914&amp;col=7&amp;number=0&amp;sourceID=14","0")</f>
        <v>0</v>
      </c>
    </row>
    <row r="915" spans="1:7">
      <c r="A915" s="3">
        <v>10</v>
      </c>
      <c r="B915" s="3">
        <v>5</v>
      </c>
      <c r="C915" s="3">
        <v>172</v>
      </c>
      <c r="D915" s="3">
        <v>14</v>
      </c>
      <c r="E915" s="3">
        <v>-120.744</v>
      </c>
      <c r="F915" s="4" t="str">
        <f>HYPERLINK("http://141.218.60.56/~jnz1568/getInfo.php?workbook=10_05.xlsx&amp;sheet=A0&amp;row=915&amp;col=6&amp;number=18300000000&amp;sourceID=14","18300000000")</f>
        <v>18300000000</v>
      </c>
      <c r="G915" s="4" t="str">
        <f>HYPERLINK("http://141.218.60.56/~jnz1568/getInfo.php?workbook=10_05.xlsx&amp;sheet=A0&amp;row=915&amp;col=7&amp;number=0&amp;sourceID=14","0")</f>
        <v>0</v>
      </c>
    </row>
    <row r="916" spans="1:7">
      <c r="A916" s="3">
        <v>10</v>
      </c>
      <c r="B916" s="3">
        <v>5</v>
      </c>
      <c r="C916" s="3">
        <v>174</v>
      </c>
      <c r="D916" s="3">
        <v>14</v>
      </c>
      <c r="E916" s="3">
        <v>-120.434</v>
      </c>
      <c r="F916" s="4" t="str">
        <f>HYPERLINK("http://141.218.60.56/~jnz1568/getInfo.php?workbook=10_05.xlsx&amp;sheet=A0&amp;row=916&amp;col=6&amp;number=1010000000&amp;sourceID=14","1010000000")</f>
        <v>1010000000</v>
      </c>
      <c r="G916" s="4" t="str">
        <f>HYPERLINK("http://141.218.60.56/~jnz1568/getInfo.php?workbook=10_05.xlsx&amp;sheet=A0&amp;row=916&amp;col=7&amp;number=0&amp;sourceID=14","0")</f>
        <v>0</v>
      </c>
    </row>
    <row r="917" spans="1:7">
      <c r="A917" s="3">
        <v>10</v>
      </c>
      <c r="B917" s="3">
        <v>5</v>
      </c>
      <c r="C917" s="3">
        <v>16</v>
      </c>
      <c r="D917" s="3">
        <v>15</v>
      </c>
      <c r="E917" s="3">
        <v>315.899</v>
      </c>
      <c r="F917" s="4" t="str">
        <f>HYPERLINK("http://141.218.60.56/~jnz1568/getInfo.php?workbook=10_05.xlsx&amp;sheet=A0&amp;row=917&amp;col=6&amp;number=157000&amp;sourceID=14","157000")</f>
        <v>157000</v>
      </c>
      <c r="G917" s="4" t="str">
        <f>HYPERLINK("http://141.218.60.56/~jnz1568/getInfo.php?workbook=10_05.xlsx&amp;sheet=A0&amp;row=917&amp;col=7&amp;number=0&amp;sourceID=14","0")</f>
        <v>0</v>
      </c>
    </row>
    <row r="918" spans="1:7">
      <c r="A918" s="3">
        <v>10</v>
      </c>
      <c r="B918" s="3">
        <v>5</v>
      </c>
      <c r="C918" s="3">
        <v>19</v>
      </c>
      <c r="D918" s="3">
        <v>15</v>
      </c>
      <c r="E918" s="3">
        <v>243.694</v>
      </c>
      <c r="F918" s="4" t="str">
        <f>HYPERLINK("http://141.218.60.56/~jnz1568/getInfo.php?workbook=10_05.xlsx&amp;sheet=A0&amp;row=918&amp;col=6&amp;number=396000&amp;sourceID=14","396000")</f>
        <v>396000</v>
      </c>
      <c r="G918" s="4" t="str">
        <f>HYPERLINK("http://141.218.60.56/~jnz1568/getInfo.php?workbook=10_05.xlsx&amp;sheet=A0&amp;row=918&amp;col=7&amp;number=0&amp;sourceID=14","0")</f>
        <v>0</v>
      </c>
    </row>
    <row r="919" spans="1:7">
      <c r="A919" s="3">
        <v>10</v>
      </c>
      <c r="B919" s="3">
        <v>5</v>
      </c>
      <c r="C919" s="3">
        <v>20</v>
      </c>
      <c r="D919" s="3">
        <v>15</v>
      </c>
      <c r="E919" s="3">
        <v>243.694</v>
      </c>
      <c r="F919" s="4" t="str">
        <f>HYPERLINK("http://141.218.60.56/~jnz1568/getInfo.php?workbook=10_05.xlsx&amp;sheet=A0&amp;row=919&amp;col=6&amp;number=2630000&amp;sourceID=14","2630000")</f>
        <v>2630000</v>
      </c>
      <c r="G919" s="4" t="str">
        <f>HYPERLINK("http://141.218.60.56/~jnz1568/getInfo.php?workbook=10_05.xlsx&amp;sheet=A0&amp;row=919&amp;col=7&amp;number=0&amp;sourceID=14","0")</f>
        <v>0</v>
      </c>
    </row>
    <row r="920" spans="1:7">
      <c r="A920" s="3">
        <v>10</v>
      </c>
      <c r="B920" s="3">
        <v>5</v>
      </c>
      <c r="C920" s="3">
        <v>26</v>
      </c>
      <c r="D920" s="3">
        <v>15</v>
      </c>
      <c r="E920" s="3">
        <v>212.704</v>
      </c>
      <c r="F920" s="4" t="str">
        <f>HYPERLINK("http://141.218.60.56/~jnz1568/getInfo.php?workbook=10_05.xlsx&amp;sheet=A0&amp;row=920&amp;col=6&amp;number=1390000&amp;sourceID=14","1390000")</f>
        <v>1390000</v>
      </c>
      <c r="G920" s="4" t="str">
        <f>HYPERLINK("http://141.218.60.56/~jnz1568/getInfo.php?workbook=10_05.xlsx&amp;sheet=A0&amp;row=920&amp;col=7&amp;number=0&amp;sourceID=14","0")</f>
        <v>0</v>
      </c>
    </row>
    <row r="921" spans="1:7">
      <c r="A921" s="3">
        <v>10</v>
      </c>
      <c r="B921" s="3">
        <v>5</v>
      </c>
      <c r="C921" s="3">
        <v>27</v>
      </c>
      <c r="D921" s="3">
        <v>15</v>
      </c>
      <c r="E921" s="3">
        <v>212.492</v>
      </c>
      <c r="F921" s="4" t="str">
        <f>HYPERLINK("http://141.218.60.56/~jnz1568/getInfo.php?workbook=10_05.xlsx&amp;sheet=A0&amp;row=921&amp;col=6&amp;number=2160000&amp;sourceID=14","2160000")</f>
        <v>2160000</v>
      </c>
      <c r="G921" s="4" t="str">
        <f>HYPERLINK("http://141.218.60.56/~jnz1568/getInfo.php?workbook=10_05.xlsx&amp;sheet=A0&amp;row=921&amp;col=7&amp;number=0&amp;sourceID=14","0")</f>
        <v>0</v>
      </c>
    </row>
    <row r="922" spans="1:7">
      <c r="A922" s="3">
        <v>10</v>
      </c>
      <c r="B922" s="3">
        <v>5</v>
      </c>
      <c r="C922" s="3">
        <v>28</v>
      </c>
      <c r="D922" s="3">
        <v>15</v>
      </c>
      <c r="E922" s="3">
        <v>-211.957</v>
      </c>
      <c r="F922" s="4" t="str">
        <f>HYPERLINK("http://141.218.60.56/~jnz1568/getInfo.php?workbook=10_05.xlsx&amp;sheet=A0&amp;row=922&amp;col=6&amp;number=31600&amp;sourceID=14","31600")</f>
        <v>31600</v>
      </c>
      <c r="G922" s="4" t="str">
        <f>HYPERLINK("http://141.218.60.56/~jnz1568/getInfo.php?workbook=10_05.xlsx&amp;sheet=A0&amp;row=922&amp;col=7&amp;number=0&amp;sourceID=14","0")</f>
        <v>0</v>
      </c>
    </row>
    <row r="923" spans="1:7">
      <c r="A923" s="3">
        <v>10</v>
      </c>
      <c r="B923" s="3">
        <v>5</v>
      </c>
      <c r="C923" s="3">
        <v>29</v>
      </c>
      <c r="D923" s="3">
        <v>15</v>
      </c>
      <c r="E923" s="3">
        <v>-211.849</v>
      </c>
      <c r="F923" s="4" t="str">
        <f>HYPERLINK("http://141.218.60.56/~jnz1568/getInfo.php?workbook=10_05.xlsx&amp;sheet=A0&amp;row=923&amp;col=6&amp;number=22600&amp;sourceID=14","22600")</f>
        <v>22600</v>
      </c>
      <c r="G923" s="4" t="str">
        <f>HYPERLINK("http://141.218.60.56/~jnz1568/getInfo.php?workbook=10_05.xlsx&amp;sheet=A0&amp;row=923&amp;col=7&amp;number=0&amp;sourceID=14","0")</f>
        <v>0</v>
      </c>
    </row>
    <row r="924" spans="1:7">
      <c r="A924" s="3">
        <v>10</v>
      </c>
      <c r="B924" s="3">
        <v>5</v>
      </c>
      <c r="C924" s="3">
        <v>30</v>
      </c>
      <c r="D924" s="3">
        <v>15</v>
      </c>
      <c r="E924" s="3">
        <v>211.653</v>
      </c>
      <c r="F924" s="4" t="str">
        <f>HYPERLINK("http://141.218.60.56/~jnz1568/getInfo.php?workbook=10_05.xlsx&amp;sheet=A0&amp;row=924&amp;col=6&amp;number=712&amp;sourceID=14","712")</f>
        <v>712</v>
      </c>
      <c r="G924" s="4" t="str">
        <f>HYPERLINK("http://141.218.60.56/~jnz1568/getInfo.php?workbook=10_05.xlsx&amp;sheet=A0&amp;row=924&amp;col=7&amp;number=0&amp;sourceID=14","0")</f>
        <v>0</v>
      </c>
    </row>
    <row r="925" spans="1:7">
      <c r="A925" s="3">
        <v>10</v>
      </c>
      <c r="B925" s="3">
        <v>5</v>
      </c>
      <c r="C925" s="3">
        <v>32</v>
      </c>
      <c r="D925" s="3">
        <v>15</v>
      </c>
      <c r="E925" s="3">
        <v>-208.057</v>
      </c>
      <c r="F925" s="4" t="str">
        <f>HYPERLINK("http://141.218.60.56/~jnz1568/getInfo.php?workbook=10_05.xlsx&amp;sheet=A0&amp;row=925&amp;col=6&amp;number=499&amp;sourceID=14","499")</f>
        <v>499</v>
      </c>
      <c r="G925" s="4" t="str">
        <f>HYPERLINK("http://141.218.60.56/~jnz1568/getInfo.php?workbook=10_05.xlsx&amp;sheet=A0&amp;row=925&amp;col=7&amp;number=0&amp;sourceID=14","0")</f>
        <v>0</v>
      </c>
    </row>
    <row r="926" spans="1:7">
      <c r="A926" s="3">
        <v>10</v>
      </c>
      <c r="B926" s="3">
        <v>5</v>
      </c>
      <c r="C926" s="3">
        <v>33</v>
      </c>
      <c r="D926" s="3">
        <v>15</v>
      </c>
      <c r="E926" s="3">
        <v>-204.605</v>
      </c>
      <c r="F926" s="4" t="str">
        <f>HYPERLINK("http://141.218.60.56/~jnz1568/getInfo.php?workbook=10_05.xlsx&amp;sheet=A0&amp;row=926&amp;col=6&amp;number=333000&amp;sourceID=14","333000")</f>
        <v>333000</v>
      </c>
      <c r="G926" s="4" t="str">
        <f>HYPERLINK("http://141.218.60.56/~jnz1568/getInfo.php?workbook=10_05.xlsx&amp;sheet=A0&amp;row=926&amp;col=7&amp;number=0&amp;sourceID=14","0")</f>
        <v>0</v>
      </c>
    </row>
    <row r="927" spans="1:7">
      <c r="A927" s="3">
        <v>10</v>
      </c>
      <c r="B927" s="3">
        <v>5</v>
      </c>
      <c r="C927" s="3">
        <v>34</v>
      </c>
      <c r="D927" s="3">
        <v>15</v>
      </c>
      <c r="E927" s="3">
        <v>-204.481</v>
      </c>
      <c r="F927" s="4" t="str">
        <f>HYPERLINK("http://141.218.60.56/~jnz1568/getInfo.php?workbook=10_05.xlsx&amp;sheet=A0&amp;row=927&amp;col=6&amp;number=17200&amp;sourceID=14","17200")</f>
        <v>17200</v>
      </c>
      <c r="G927" s="4" t="str">
        <f>HYPERLINK("http://141.218.60.56/~jnz1568/getInfo.php?workbook=10_05.xlsx&amp;sheet=A0&amp;row=927&amp;col=7&amp;number=0&amp;sourceID=14","0")</f>
        <v>0</v>
      </c>
    </row>
    <row r="928" spans="1:7">
      <c r="A928" s="3">
        <v>10</v>
      </c>
      <c r="B928" s="3">
        <v>5</v>
      </c>
      <c r="C928" s="3">
        <v>35</v>
      </c>
      <c r="D928" s="3">
        <v>15</v>
      </c>
      <c r="E928" s="3">
        <v>-204.302</v>
      </c>
      <c r="F928" s="4" t="str">
        <f>HYPERLINK("http://141.218.60.56/~jnz1568/getInfo.php?workbook=10_05.xlsx&amp;sheet=A0&amp;row=928&amp;col=6&amp;number=639000&amp;sourceID=14","639000")</f>
        <v>639000</v>
      </c>
      <c r="G928" s="4" t="str">
        <f>HYPERLINK("http://141.218.60.56/~jnz1568/getInfo.php?workbook=10_05.xlsx&amp;sheet=A0&amp;row=928&amp;col=7&amp;number=0&amp;sourceID=14","0")</f>
        <v>0</v>
      </c>
    </row>
    <row r="929" spans="1:7">
      <c r="A929" s="3">
        <v>10</v>
      </c>
      <c r="B929" s="3">
        <v>5</v>
      </c>
      <c r="C929" s="3">
        <v>36</v>
      </c>
      <c r="D929" s="3">
        <v>15</v>
      </c>
      <c r="E929" s="3">
        <v>202.41</v>
      </c>
      <c r="F929" s="4" t="str">
        <f>HYPERLINK("http://141.218.60.56/~jnz1568/getInfo.php?workbook=10_05.xlsx&amp;sheet=A0&amp;row=929&amp;col=6&amp;number=94400000&amp;sourceID=14","94400000")</f>
        <v>94400000</v>
      </c>
      <c r="G929" s="4" t="str">
        <f>HYPERLINK("http://141.218.60.56/~jnz1568/getInfo.php?workbook=10_05.xlsx&amp;sheet=A0&amp;row=929&amp;col=7&amp;number=0&amp;sourceID=14","0")</f>
        <v>0</v>
      </c>
    </row>
    <row r="930" spans="1:7">
      <c r="A930" s="3">
        <v>10</v>
      </c>
      <c r="B930" s="3">
        <v>5</v>
      </c>
      <c r="C930" s="3">
        <v>37</v>
      </c>
      <c r="D930" s="3">
        <v>15</v>
      </c>
      <c r="E930" s="3">
        <v>202.083</v>
      </c>
      <c r="F930" s="4" t="str">
        <f>HYPERLINK("http://141.218.60.56/~jnz1568/getInfo.php?workbook=10_05.xlsx&amp;sheet=A0&amp;row=930&amp;col=6&amp;number=612000000&amp;sourceID=14","612000000")</f>
        <v>612000000</v>
      </c>
      <c r="G930" s="4" t="str">
        <f>HYPERLINK("http://141.218.60.56/~jnz1568/getInfo.php?workbook=10_05.xlsx&amp;sheet=A0&amp;row=930&amp;col=7&amp;number=0&amp;sourceID=14","0")</f>
        <v>0</v>
      </c>
    </row>
    <row r="931" spans="1:7">
      <c r="A931" s="3">
        <v>10</v>
      </c>
      <c r="B931" s="3">
        <v>5</v>
      </c>
      <c r="C931" s="3">
        <v>40</v>
      </c>
      <c r="D931" s="3">
        <v>15</v>
      </c>
      <c r="E931" s="3">
        <v>196.539</v>
      </c>
      <c r="F931" s="4" t="str">
        <f>HYPERLINK("http://141.218.60.56/~jnz1568/getInfo.php?workbook=10_05.xlsx&amp;sheet=A0&amp;row=931&amp;col=6&amp;number=2420000000&amp;sourceID=14","2420000000")</f>
        <v>2420000000</v>
      </c>
      <c r="G931" s="4" t="str">
        <f>HYPERLINK("http://141.218.60.56/~jnz1568/getInfo.php?workbook=10_05.xlsx&amp;sheet=A0&amp;row=931&amp;col=7&amp;number=0&amp;sourceID=14","0")</f>
        <v>0</v>
      </c>
    </row>
    <row r="932" spans="1:7">
      <c r="A932" s="3">
        <v>10</v>
      </c>
      <c r="B932" s="3">
        <v>5</v>
      </c>
      <c r="C932" s="3">
        <v>58</v>
      </c>
      <c r="D932" s="3">
        <v>15</v>
      </c>
      <c r="E932" s="3">
        <v>173.326</v>
      </c>
      <c r="F932" s="4" t="str">
        <f>HYPERLINK("http://141.218.60.56/~jnz1568/getInfo.php?workbook=10_05.xlsx&amp;sheet=A0&amp;row=932&amp;col=6&amp;number=93500000&amp;sourceID=14","93500000")</f>
        <v>93500000</v>
      </c>
      <c r="G932" s="4" t="str">
        <f>HYPERLINK("http://141.218.60.56/~jnz1568/getInfo.php?workbook=10_05.xlsx&amp;sheet=A0&amp;row=932&amp;col=7&amp;number=0&amp;sourceID=14","0")</f>
        <v>0</v>
      </c>
    </row>
    <row r="933" spans="1:7">
      <c r="A933" s="3">
        <v>10</v>
      </c>
      <c r="B933" s="3">
        <v>5</v>
      </c>
      <c r="C933" s="3">
        <v>59</v>
      </c>
      <c r="D933" s="3">
        <v>15</v>
      </c>
      <c r="E933" s="3">
        <v>172.43</v>
      </c>
      <c r="F933" s="4" t="str">
        <f>HYPERLINK("http://141.218.60.56/~jnz1568/getInfo.php?workbook=10_05.xlsx&amp;sheet=A0&amp;row=933&amp;col=6&amp;number=91400000&amp;sourceID=14","91400000")</f>
        <v>91400000</v>
      </c>
      <c r="G933" s="4" t="str">
        <f>HYPERLINK("http://141.218.60.56/~jnz1568/getInfo.php?workbook=10_05.xlsx&amp;sheet=A0&amp;row=933&amp;col=7&amp;number=0&amp;sourceID=14","0")</f>
        <v>0</v>
      </c>
    </row>
    <row r="934" spans="1:7">
      <c r="A934" s="3">
        <v>10</v>
      </c>
      <c r="B934" s="3">
        <v>5</v>
      </c>
      <c r="C934" s="3">
        <v>60</v>
      </c>
      <c r="D934" s="3">
        <v>15</v>
      </c>
      <c r="E934" s="3">
        <v>172.388</v>
      </c>
      <c r="F934" s="4" t="str">
        <f>HYPERLINK("http://141.218.60.56/~jnz1568/getInfo.php?workbook=10_05.xlsx&amp;sheet=A0&amp;row=934&amp;col=6&amp;number=3130000&amp;sourceID=14","3130000")</f>
        <v>3130000</v>
      </c>
      <c r="G934" s="4" t="str">
        <f>HYPERLINK("http://141.218.60.56/~jnz1568/getInfo.php?workbook=10_05.xlsx&amp;sheet=A0&amp;row=934&amp;col=7&amp;number=0&amp;sourceID=14","0")</f>
        <v>0</v>
      </c>
    </row>
    <row r="935" spans="1:7">
      <c r="A935" s="3">
        <v>10</v>
      </c>
      <c r="B935" s="3">
        <v>5</v>
      </c>
      <c r="C935" s="3">
        <v>61</v>
      </c>
      <c r="D935" s="3">
        <v>15</v>
      </c>
      <c r="E935" s="3">
        <v>171.941</v>
      </c>
      <c r="F935" s="4" t="str">
        <f>HYPERLINK("http://141.218.60.56/~jnz1568/getInfo.php?workbook=10_05.xlsx&amp;sheet=A0&amp;row=935&amp;col=6&amp;number=613000000&amp;sourceID=14","613000000")</f>
        <v>613000000</v>
      </c>
      <c r="G935" s="4" t="str">
        <f>HYPERLINK("http://141.218.60.56/~jnz1568/getInfo.php?workbook=10_05.xlsx&amp;sheet=A0&amp;row=935&amp;col=7&amp;number=0&amp;sourceID=14","0")</f>
        <v>0</v>
      </c>
    </row>
    <row r="936" spans="1:7">
      <c r="A936" s="3">
        <v>10</v>
      </c>
      <c r="B936" s="3">
        <v>5</v>
      </c>
      <c r="C936" s="3">
        <v>62</v>
      </c>
      <c r="D936" s="3">
        <v>15</v>
      </c>
      <c r="E936" s="3">
        <v>171.852</v>
      </c>
      <c r="F936" s="4" t="str">
        <f>HYPERLINK("http://141.218.60.56/~jnz1568/getInfo.php?workbook=10_05.xlsx&amp;sheet=A0&amp;row=936&amp;col=6&amp;number=1620000000&amp;sourceID=14","1620000000")</f>
        <v>1620000000</v>
      </c>
      <c r="G936" s="4" t="str">
        <f>HYPERLINK("http://141.218.60.56/~jnz1568/getInfo.php?workbook=10_05.xlsx&amp;sheet=A0&amp;row=936&amp;col=7&amp;number=0&amp;sourceID=14","0")</f>
        <v>0</v>
      </c>
    </row>
    <row r="937" spans="1:7">
      <c r="A937" s="3">
        <v>10</v>
      </c>
      <c r="B937" s="3">
        <v>5</v>
      </c>
      <c r="C937" s="3">
        <v>63</v>
      </c>
      <c r="D937" s="3">
        <v>15</v>
      </c>
      <c r="E937" s="3">
        <v>170.084</v>
      </c>
      <c r="F937" s="4" t="str">
        <f>HYPERLINK("http://141.218.60.56/~jnz1568/getInfo.php?workbook=10_05.xlsx&amp;sheet=A0&amp;row=937&amp;col=6&amp;number=283000000&amp;sourceID=14","283000000")</f>
        <v>283000000</v>
      </c>
      <c r="G937" s="4" t="str">
        <f>HYPERLINK("http://141.218.60.56/~jnz1568/getInfo.php?workbook=10_05.xlsx&amp;sheet=A0&amp;row=937&amp;col=7&amp;number=0&amp;sourceID=14","0")</f>
        <v>0</v>
      </c>
    </row>
    <row r="938" spans="1:7">
      <c r="A938" s="3">
        <v>10</v>
      </c>
      <c r="B938" s="3">
        <v>5</v>
      </c>
      <c r="C938" s="3">
        <v>66</v>
      </c>
      <c r="D938" s="3">
        <v>15</v>
      </c>
      <c r="E938" s="3">
        <v>163.133</v>
      </c>
      <c r="F938" s="4" t="str">
        <f>HYPERLINK("http://141.218.60.56/~jnz1568/getInfo.php?workbook=10_05.xlsx&amp;sheet=A0&amp;row=938&amp;col=6&amp;number=11500&amp;sourceID=14","11500")</f>
        <v>11500</v>
      </c>
      <c r="G938" s="4" t="str">
        <f>HYPERLINK("http://141.218.60.56/~jnz1568/getInfo.php?workbook=10_05.xlsx&amp;sheet=A0&amp;row=938&amp;col=7&amp;number=0&amp;sourceID=14","0")</f>
        <v>0</v>
      </c>
    </row>
    <row r="939" spans="1:7">
      <c r="A939" s="3">
        <v>10</v>
      </c>
      <c r="B939" s="3">
        <v>5</v>
      </c>
      <c r="C939" s="3">
        <v>67</v>
      </c>
      <c r="D939" s="3">
        <v>15</v>
      </c>
      <c r="E939" s="3">
        <v>163.133</v>
      </c>
      <c r="F939" s="4" t="str">
        <f>HYPERLINK("http://141.218.60.56/~jnz1568/getInfo.php?workbook=10_05.xlsx&amp;sheet=A0&amp;row=939&amp;col=6&amp;number=4070&amp;sourceID=14","4070")</f>
        <v>4070</v>
      </c>
      <c r="G939" s="4" t="str">
        <f>HYPERLINK("http://141.218.60.56/~jnz1568/getInfo.php?workbook=10_05.xlsx&amp;sheet=A0&amp;row=939&amp;col=7&amp;number=0&amp;sourceID=14","0")</f>
        <v>0</v>
      </c>
    </row>
    <row r="940" spans="1:7">
      <c r="A940" s="3">
        <v>10</v>
      </c>
      <c r="B940" s="3">
        <v>5</v>
      </c>
      <c r="C940" s="3">
        <v>70</v>
      </c>
      <c r="D940" s="3">
        <v>15</v>
      </c>
      <c r="E940" s="3">
        <v>162.028</v>
      </c>
      <c r="F940" s="4" t="str">
        <f>HYPERLINK("http://141.218.60.56/~jnz1568/getInfo.php?workbook=10_05.xlsx&amp;sheet=A0&amp;row=940&amp;col=6&amp;number=34000&amp;sourceID=14","34000")</f>
        <v>34000</v>
      </c>
      <c r="G940" s="4" t="str">
        <f>HYPERLINK("http://141.218.60.56/~jnz1568/getInfo.php?workbook=10_05.xlsx&amp;sheet=A0&amp;row=940&amp;col=7&amp;number=0&amp;sourceID=14","0")</f>
        <v>0</v>
      </c>
    </row>
    <row r="941" spans="1:7">
      <c r="A941" s="3">
        <v>10</v>
      </c>
      <c r="B941" s="3">
        <v>5</v>
      </c>
      <c r="C941" s="3">
        <v>71</v>
      </c>
      <c r="D941" s="3">
        <v>15</v>
      </c>
      <c r="E941" s="3">
        <v>162.028</v>
      </c>
      <c r="F941" s="4" t="str">
        <f>HYPERLINK("http://141.218.60.56/~jnz1568/getInfo.php?workbook=10_05.xlsx&amp;sheet=A0&amp;row=941&amp;col=6&amp;number=73300&amp;sourceID=14","73300")</f>
        <v>73300</v>
      </c>
      <c r="G941" s="4" t="str">
        <f>HYPERLINK("http://141.218.60.56/~jnz1568/getInfo.php?workbook=10_05.xlsx&amp;sheet=A0&amp;row=941&amp;col=7&amp;number=0&amp;sourceID=14","0")</f>
        <v>0</v>
      </c>
    </row>
    <row r="942" spans="1:7">
      <c r="A942" s="3">
        <v>10</v>
      </c>
      <c r="B942" s="3">
        <v>5</v>
      </c>
      <c r="C942" s="3">
        <v>72</v>
      </c>
      <c r="D942" s="3">
        <v>15</v>
      </c>
      <c r="E942" s="3">
        <v>162.028</v>
      </c>
      <c r="F942" s="4" t="str">
        <f>HYPERLINK("http://141.218.60.56/~jnz1568/getInfo.php?workbook=10_05.xlsx&amp;sheet=A0&amp;row=942&amp;col=6&amp;number=7800&amp;sourceID=14","7800")</f>
        <v>7800</v>
      </c>
      <c r="G942" s="4" t="str">
        <f>HYPERLINK("http://141.218.60.56/~jnz1568/getInfo.php?workbook=10_05.xlsx&amp;sheet=A0&amp;row=942&amp;col=7&amp;number=0&amp;sourceID=14","0")</f>
        <v>0</v>
      </c>
    </row>
    <row r="943" spans="1:7">
      <c r="A943" s="3">
        <v>10</v>
      </c>
      <c r="B943" s="3">
        <v>5</v>
      </c>
      <c r="C943" s="3">
        <v>77</v>
      </c>
      <c r="D943" s="3">
        <v>15</v>
      </c>
      <c r="E943" s="3">
        <v>-155.885</v>
      </c>
      <c r="F943" s="4" t="str">
        <f>HYPERLINK("http://141.218.60.56/~jnz1568/getInfo.php?workbook=10_05.xlsx&amp;sheet=A0&amp;row=943&amp;col=6&amp;number=4870000000&amp;sourceID=14","4870000000")</f>
        <v>4870000000</v>
      </c>
      <c r="G943" s="4" t="str">
        <f>HYPERLINK("http://141.218.60.56/~jnz1568/getInfo.php?workbook=10_05.xlsx&amp;sheet=A0&amp;row=943&amp;col=7&amp;number=0&amp;sourceID=14","0")</f>
        <v>0</v>
      </c>
    </row>
    <row r="944" spans="1:7">
      <c r="A944" s="3">
        <v>10</v>
      </c>
      <c r="B944" s="3">
        <v>5</v>
      </c>
      <c r="C944" s="3">
        <v>78</v>
      </c>
      <c r="D944" s="3">
        <v>15</v>
      </c>
      <c r="E944" s="3">
        <v>-155.684</v>
      </c>
      <c r="F944" s="4" t="str">
        <f>HYPERLINK("http://141.218.60.56/~jnz1568/getInfo.php?workbook=10_05.xlsx&amp;sheet=A0&amp;row=944&amp;col=6&amp;number=12700000000&amp;sourceID=14","12700000000")</f>
        <v>12700000000</v>
      </c>
      <c r="G944" s="4" t="str">
        <f>HYPERLINK("http://141.218.60.56/~jnz1568/getInfo.php?workbook=10_05.xlsx&amp;sheet=A0&amp;row=944&amp;col=7&amp;number=0&amp;sourceID=14","0")</f>
        <v>0</v>
      </c>
    </row>
    <row r="945" spans="1:7">
      <c r="A945" s="3">
        <v>10</v>
      </c>
      <c r="B945" s="3">
        <v>5</v>
      </c>
      <c r="C945" s="3">
        <v>80</v>
      </c>
      <c r="D945" s="3">
        <v>15</v>
      </c>
      <c r="E945" s="3">
        <v>153.805</v>
      </c>
      <c r="F945" s="4" t="str">
        <f>HYPERLINK("http://141.218.60.56/~jnz1568/getInfo.php?workbook=10_05.xlsx&amp;sheet=A0&amp;row=945&amp;col=6&amp;number=1590000000&amp;sourceID=14","1590000000")</f>
        <v>1590000000</v>
      </c>
      <c r="G945" s="4" t="str">
        <f>HYPERLINK("http://141.218.60.56/~jnz1568/getInfo.php?workbook=10_05.xlsx&amp;sheet=A0&amp;row=945&amp;col=7&amp;number=0&amp;sourceID=14","0")</f>
        <v>0</v>
      </c>
    </row>
    <row r="946" spans="1:7">
      <c r="A946" s="3">
        <v>10</v>
      </c>
      <c r="B946" s="3">
        <v>5</v>
      </c>
      <c r="C946" s="3">
        <v>81</v>
      </c>
      <c r="D946" s="3">
        <v>15</v>
      </c>
      <c r="E946" s="3">
        <v>153.805</v>
      </c>
      <c r="F946" s="4" t="str">
        <f>HYPERLINK("http://141.218.60.56/~jnz1568/getInfo.php?workbook=10_05.xlsx&amp;sheet=A0&amp;row=946&amp;col=6&amp;number=6970000000&amp;sourceID=14","6970000000")</f>
        <v>6970000000</v>
      </c>
      <c r="G946" s="4" t="str">
        <f>HYPERLINK("http://141.218.60.56/~jnz1568/getInfo.php?workbook=10_05.xlsx&amp;sheet=A0&amp;row=946&amp;col=7&amp;number=0&amp;sourceID=14","0")</f>
        <v>0</v>
      </c>
    </row>
    <row r="947" spans="1:7">
      <c r="A947" s="3">
        <v>10</v>
      </c>
      <c r="B947" s="3">
        <v>5</v>
      </c>
      <c r="C947" s="3">
        <v>99</v>
      </c>
      <c r="D947" s="3">
        <v>15</v>
      </c>
      <c r="E947" s="3">
        <v>-144.196</v>
      </c>
      <c r="F947" s="4" t="str">
        <f>HYPERLINK("http://141.218.60.56/~jnz1568/getInfo.php?workbook=10_05.xlsx&amp;sheet=A0&amp;row=947&amp;col=6&amp;number=206000&amp;sourceID=14","206000")</f>
        <v>206000</v>
      </c>
      <c r="G947" s="4" t="str">
        <f>HYPERLINK("http://141.218.60.56/~jnz1568/getInfo.php?workbook=10_05.xlsx&amp;sheet=A0&amp;row=947&amp;col=7&amp;number=0&amp;sourceID=14","0")</f>
        <v>0</v>
      </c>
    </row>
    <row r="948" spans="1:7">
      <c r="A948" s="3">
        <v>10</v>
      </c>
      <c r="B948" s="3">
        <v>5</v>
      </c>
      <c r="C948" s="3">
        <v>100</v>
      </c>
      <c r="D948" s="3">
        <v>15</v>
      </c>
      <c r="E948" s="3">
        <v>-144.141</v>
      </c>
      <c r="F948" s="4" t="str">
        <f>HYPERLINK("http://141.218.60.56/~jnz1568/getInfo.php?workbook=10_05.xlsx&amp;sheet=A0&amp;row=948&amp;col=6&amp;number=5370&amp;sourceID=14","5370")</f>
        <v>5370</v>
      </c>
      <c r="G948" s="4" t="str">
        <f>HYPERLINK("http://141.218.60.56/~jnz1568/getInfo.php?workbook=10_05.xlsx&amp;sheet=A0&amp;row=948&amp;col=7&amp;number=0&amp;sourceID=14","0")</f>
        <v>0</v>
      </c>
    </row>
    <row r="949" spans="1:7">
      <c r="A949" s="3">
        <v>10</v>
      </c>
      <c r="B949" s="3">
        <v>5</v>
      </c>
      <c r="C949" s="3">
        <v>105</v>
      </c>
      <c r="D949" s="3">
        <v>15</v>
      </c>
      <c r="E949" s="3">
        <v>-142.963</v>
      </c>
      <c r="F949" s="4" t="str">
        <f>HYPERLINK("http://141.218.60.56/~jnz1568/getInfo.php?workbook=10_05.xlsx&amp;sheet=A0&amp;row=949&amp;col=6&amp;number=658000000&amp;sourceID=14","658000000")</f>
        <v>658000000</v>
      </c>
      <c r="G949" s="4" t="str">
        <f>HYPERLINK("http://141.218.60.56/~jnz1568/getInfo.php?workbook=10_05.xlsx&amp;sheet=A0&amp;row=949&amp;col=7&amp;number=0&amp;sourceID=14","0")</f>
        <v>0</v>
      </c>
    </row>
    <row r="950" spans="1:7">
      <c r="A950" s="3">
        <v>10</v>
      </c>
      <c r="B950" s="3">
        <v>5</v>
      </c>
      <c r="C950" s="3">
        <v>106</v>
      </c>
      <c r="D950" s="3">
        <v>15</v>
      </c>
      <c r="E950" s="3">
        <v>-142.938</v>
      </c>
      <c r="F950" s="4" t="str">
        <f>HYPERLINK("http://141.218.60.56/~jnz1568/getInfo.php?workbook=10_05.xlsx&amp;sheet=A0&amp;row=950&amp;col=6&amp;number=2580000000&amp;sourceID=14","2580000000")</f>
        <v>2580000000</v>
      </c>
      <c r="G950" s="4" t="str">
        <f>HYPERLINK("http://141.218.60.56/~jnz1568/getInfo.php?workbook=10_05.xlsx&amp;sheet=A0&amp;row=950&amp;col=7&amp;number=0&amp;sourceID=14","0")</f>
        <v>0</v>
      </c>
    </row>
    <row r="951" spans="1:7">
      <c r="A951" s="3">
        <v>10</v>
      </c>
      <c r="B951" s="3">
        <v>5</v>
      </c>
      <c r="C951" s="3">
        <v>107</v>
      </c>
      <c r="D951" s="3">
        <v>15</v>
      </c>
      <c r="E951" s="3">
        <v>-142.881</v>
      </c>
      <c r="F951" s="4" t="str">
        <f>HYPERLINK("http://141.218.60.56/~jnz1568/getInfo.php?workbook=10_05.xlsx&amp;sheet=A0&amp;row=951&amp;col=6&amp;number=37.2&amp;sourceID=14","37.2")</f>
        <v>37.2</v>
      </c>
      <c r="G951" s="4" t="str">
        <f>HYPERLINK("http://141.218.60.56/~jnz1568/getInfo.php?workbook=10_05.xlsx&amp;sheet=A0&amp;row=951&amp;col=7&amp;number=0&amp;sourceID=14","0")</f>
        <v>0</v>
      </c>
    </row>
    <row r="952" spans="1:7">
      <c r="A952" s="3">
        <v>10</v>
      </c>
      <c r="B952" s="3">
        <v>5</v>
      </c>
      <c r="C952" s="3">
        <v>109</v>
      </c>
      <c r="D952" s="3">
        <v>15</v>
      </c>
      <c r="E952" s="3">
        <v>-142.738</v>
      </c>
      <c r="F952" s="4" t="str">
        <f>HYPERLINK("http://141.218.60.56/~jnz1568/getInfo.php?workbook=10_05.xlsx&amp;sheet=A0&amp;row=952&amp;col=6&amp;number=30000000000&amp;sourceID=14","30000000000")</f>
        <v>30000000000</v>
      </c>
      <c r="G952" s="4" t="str">
        <f>HYPERLINK("http://141.218.60.56/~jnz1568/getInfo.php?workbook=10_05.xlsx&amp;sheet=A0&amp;row=952&amp;col=7&amp;number=0&amp;sourceID=14","0")</f>
        <v>0</v>
      </c>
    </row>
    <row r="953" spans="1:7">
      <c r="A953" s="3">
        <v>10</v>
      </c>
      <c r="B953" s="3">
        <v>5</v>
      </c>
      <c r="C953" s="3">
        <v>111</v>
      </c>
      <c r="D953" s="3">
        <v>15</v>
      </c>
      <c r="E953" s="3">
        <v>-142.616</v>
      </c>
      <c r="F953" s="4" t="str">
        <f>HYPERLINK("http://141.218.60.56/~jnz1568/getInfo.php?workbook=10_05.xlsx&amp;sheet=A0&amp;row=953&amp;col=6&amp;number=12700000000&amp;sourceID=14","12700000000")</f>
        <v>12700000000</v>
      </c>
      <c r="G953" s="4" t="str">
        <f>HYPERLINK("http://141.218.60.56/~jnz1568/getInfo.php?workbook=10_05.xlsx&amp;sheet=A0&amp;row=953&amp;col=7&amp;number=0&amp;sourceID=14","0")</f>
        <v>0</v>
      </c>
    </row>
    <row r="954" spans="1:7">
      <c r="A954" s="3">
        <v>10</v>
      </c>
      <c r="B954" s="3">
        <v>5</v>
      </c>
      <c r="C954" s="3">
        <v>115</v>
      </c>
      <c r="D954" s="3">
        <v>15</v>
      </c>
      <c r="E954" s="3">
        <v>-141.23</v>
      </c>
      <c r="F954" s="4" t="str">
        <f>HYPERLINK("http://141.218.60.56/~jnz1568/getInfo.php?workbook=10_05.xlsx&amp;sheet=A0&amp;row=954&amp;col=6&amp;number=258000&amp;sourceID=14","258000")</f>
        <v>258000</v>
      </c>
      <c r="G954" s="4" t="str">
        <f>HYPERLINK("http://141.218.60.56/~jnz1568/getInfo.php?workbook=10_05.xlsx&amp;sheet=A0&amp;row=954&amp;col=7&amp;number=0&amp;sourceID=14","0")</f>
        <v>0</v>
      </c>
    </row>
    <row r="955" spans="1:7">
      <c r="A955" s="3">
        <v>10</v>
      </c>
      <c r="B955" s="3">
        <v>5</v>
      </c>
      <c r="C955" s="3">
        <v>117</v>
      </c>
      <c r="D955" s="3">
        <v>15</v>
      </c>
      <c r="E955" s="3">
        <v>-141.008</v>
      </c>
      <c r="F955" s="4" t="str">
        <f>HYPERLINK("http://141.218.60.56/~jnz1568/getInfo.php?workbook=10_05.xlsx&amp;sheet=A0&amp;row=955&amp;col=6&amp;number=4630000&amp;sourceID=14","4630000")</f>
        <v>4630000</v>
      </c>
      <c r="G955" s="4" t="str">
        <f>HYPERLINK("http://141.218.60.56/~jnz1568/getInfo.php?workbook=10_05.xlsx&amp;sheet=A0&amp;row=955&amp;col=7&amp;number=0&amp;sourceID=14","0")</f>
        <v>0</v>
      </c>
    </row>
    <row r="956" spans="1:7">
      <c r="A956" s="3">
        <v>10</v>
      </c>
      <c r="B956" s="3">
        <v>5</v>
      </c>
      <c r="C956" s="3">
        <v>118</v>
      </c>
      <c r="D956" s="3">
        <v>15</v>
      </c>
      <c r="E956" s="3">
        <v>-140.992</v>
      </c>
      <c r="F956" s="4" t="str">
        <f>HYPERLINK("http://141.218.60.56/~jnz1568/getInfo.php?workbook=10_05.xlsx&amp;sheet=A0&amp;row=956&amp;col=6&amp;number=1870000&amp;sourceID=14","1870000")</f>
        <v>1870000</v>
      </c>
      <c r="G956" s="4" t="str">
        <f>HYPERLINK("http://141.218.60.56/~jnz1568/getInfo.php?workbook=10_05.xlsx&amp;sheet=A0&amp;row=956&amp;col=7&amp;number=0&amp;sourceID=14","0")</f>
        <v>0</v>
      </c>
    </row>
    <row r="957" spans="1:7">
      <c r="A957" s="3">
        <v>10</v>
      </c>
      <c r="B957" s="3">
        <v>5</v>
      </c>
      <c r="C957" s="3">
        <v>119</v>
      </c>
      <c r="D957" s="3">
        <v>15</v>
      </c>
      <c r="E957" s="3">
        <v>-140.982</v>
      </c>
      <c r="F957" s="4" t="str">
        <f>HYPERLINK("http://141.218.60.56/~jnz1568/getInfo.php?workbook=10_05.xlsx&amp;sheet=A0&amp;row=957&amp;col=6&amp;number=1850000&amp;sourceID=14","1850000")</f>
        <v>1850000</v>
      </c>
      <c r="G957" s="4" t="str">
        <f>HYPERLINK("http://141.218.60.56/~jnz1568/getInfo.php?workbook=10_05.xlsx&amp;sheet=A0&amp;row=957&amp;col=7&amp;number=0&amp;sourceID=14","0")</f>
        <v>0</v>
      </c>
    </row>
    <row r="958" spans="1:7">
      <c r="A958" s="3">
        <v>10</v>
      </c>
      <c r="B958" s="3">
        <v>5</v>
      </c>
      <c r="C958" s="3">
        <v>120</v>
      </c>
      <c r="D958" s="3">
        <v>15</v>
      </c>
      <c r="E958" s="3">
        <v>-140.356</v>
      </c>
      <c r="F958" s="4" t="str">
        <f>HYPERLINK("http://141.218.60.56/~jnz1568/getInfo.php?workbook=10_05.xlsx&amp;sheet=A0&amp;row=958&amp;col=6&amp;number=69000000&amp;sourceID=14","69000000")</f>
        <v>69000000</v>
      </c>
      <c r="G958" s="4" t="str">
        <f>HYPERLINK("http://141.218.60.56/~jnz1568/getInfo.php?workbook=10_05.xlsx&amp;sheet=A0&amp;row=958&amp;col=7&amp;number=0&amp;sourceID=14","0")</f>
        <v>0</v>
      </c>
    </row>
    <row r="959" spans="1:7">
      <c r="A959" s="3">
        <v>10</v>
      </c>
      <c r="B959" s="3">
        <v>5</v>
      </c>
      <c r="C959" s="3">
        <v>121</v>
      </c>
      <c r="D959" s="3">
        <v>15</v>
      </c>
      <c r="E959" s="3">
        <v>-140.312</v>
      </c>
      <c r="F959" s="4" t="str">
        <f>HYPERLINK("http://141.218.60.56/~jnz1568/getInfo.php?workbook=10_05.xlsx&amp;sheet=A0&amp;row=959&amp;col=6&amp;number=59900000&amp;sourceID=14","59900000")</f>
        <v>59900000</v>
      </c>
      <c r="G959" s="4" t="str">
        <f>HYPERLINK("http://141.218.60.56/~jnz1568/getInfo.php?workbook=10_05.xlsx&amp;sheet=A0&amp;row=959&amp;col=7&amp;number=0&amp;sourceID=14","0")</f>
        <v>0</v>
      </c>
    </row>
    <row r="960" spans="1:7">
      <c r="A960" s="3">
        <v>10</v>
      </c>
      <c r="B960" s="3">
        <v>5</v>
      </c>
      <c r="C960" s="3">
        <v>122</v>
      </c>
      <c r="D960" s="3">
        <v>15</v>
      </c>
      <c r="E960" s="3">
        <v>-140.239</v>
      </c>
      <c r="F960" s="4" t="str">
        <f>HYPERLINK("http://141.218.60.56/~jnz1568/getInfo.php?workbook=10_05.xlsx&amp;sheet=A0&amp;row=960&amp;col=6&amp;number=2430000&amp;sourceID=14","2430000")</f>
        <v>2430000</v>
      </c>
      <c r="G960" s="4" t="str">
        <f>HYPERLINK("http://141.218.60.56/~jnz1568/getInfo.php?workbook=10_05.xlsx&amp;sheet=A0&amp;row=960&amp;col=7&amp;number=0&amp;sourceID=14","0")</f>
        <v>0</v>
      </c>
    </row>
    <row r="961" spans="1:7">
      <c r="A961" s="3">
        <v>10</v>
      </c>
      <c r="B961" s="3">
        <v>5</v>
      </c>
      <c r="C961" s="3">
        <v>123</v>
      </c>
      <c r="D961" s="3">
        <v>15</v>
      </c>
      <c r="E961" s="3">
        <v>-140.182</v>
      </c>
      <c r="F961" s="4" t="str">
        <f>HYPERLINK("http://141.218.60.56/~jnz1568/getInfo.php?workbook=10_05.xlsx&amp;sheet=A0&amp;row=961&amp;col=6&amp;number=329000000&amp;sourceID=14","329000000")</f>
        <v>329000000</v>
      </c>
      <c r="G961" s="4" t="str">
        <f>HYPERLINK("http://141.218.60.56/~jnz1568/getInfo.php?workbook=10_05.xlsx&amp;sheet=A0&amp;row=961&amp;col=7&amp;number=0&amp;sourceID=14","0")</f>
        <v>0</v>
      </c>
    </row>
    <row r="962" spans="1:7">
      <c r="A962" s="3">
        <v>10</v>
      </c>
      <c r="B962" s="3">
        <v>5</v>
      </c>
      <c r="C962" s="3">
        <v>125</v>
      </c>
      <c r="D962" s="3">
        <v>15</v>
      </c>
      <c r="E962" s="3">
        <v>-139.959</v>
      </c>
      <c r="F962" s="4" t="str">
        <f>HYPERLINK("http://141.218.60.56/~jnz1568/getInfo.php?workbook=10_05.xlsx&amp;sheet=A0&amp;row=962&amp;col=6&amp;number=3590000000&amp;sourceID=14","3590000000")</f>
        <v>3590000000</v>
      </c>
      <c r="G962" s="4" t="str">
        <f>HYPERLINK("http://141.218.60.56/~jnz1568/getInfo.php?workbook=10_05.xlsx&amp;sheet=A0&amp;row=962&amp;col=7&amp;number=0&amp;sourceID=14","0")</f>
        <v>0</v>
      </c>
    </row>
    <row r="963" spans="1:7">
      <c r="A963" s="3">
        <v>10</v>
      </c>
      <c r="B963" s="3">
        <v>5</v>
      </c>
      <c r="C963" s="3">
        <v>126</v>
      </c>
      <c r="D963" s="3">
        <v>15</v>
      </c>
      <c r="E963" s="3">
        <v>-139.905</v>
      </c>
      <c r="F963" s="4" t="str">
        <f>HYPERLINK("http://141.218.60.56/~jnz1568/getInfo.php?workbook=10_05.xlsx&amp;sheet=A0&amp;row=963&amp;col=6&amp;number=8630000000&amp;sourceID=14","8630000000")</f>
        <v>8630000000</v>
      </c>
      <c r="G963" s="4" t="str">
        <f>HYPERLINK("http://141.218.60.56/~jnz1568/getInfo.php?workbook=10_05.xlsx&amp;sheet=A0&amp;row=963&amp;col=7&amp;number=0&amp;sourceID=14","0")</f>
        <v>0</v>
      </c>
    </row>
    <row r="964" spans="1:7">
      <c r="A964" s="3">
        <v>10</v>
      </c>
      <c r="B964" s="3">
        <v>5</v>
      </c>
      <c r="C964" s="3">
        <v>129</v>
      </c>
      <c r="D964" s="3">
        <v>15</v>
      </c>
      <c r="E964" s="3">
        <v>139.356</v>
      </c>
      <c r="F964" s="4" t="str">
        <f>HYPERLINK("http://141.218.60.56/~jnz1568/getInfo.php?workbook=10_05.xlsx&amp;sheet=A0&amp;row=964&amp;col=6&amp;number=494000000&amp;sourceID=14","494000000")</f>
        <v>494000000</v>
      </c>
      <c r="G964" s="4" t="str">
        <f>HYPERLINK("http://141.218.60.56/~jnz1568/getInfo.php?workbook=10_05.xlsx&amp;sheet=A0&amp;row=964&amp;col=7&amp;number=0&amp;sourceID=14","0")</f>
        <v>0</v>
      </c>
    </row>
    <row r="965" spans="1:7">
      <c r="A965" s="3">
        <v>10</v>
      </c>
      <c r="B965" s="3">
        <v>5</v>
      </c>
      <c r="C965" s="3">
        <v>130</v>
      </c>
      <c r="D965" s="3">
        <v>15</v>
      </c>
      <c r="E965" s="3">
        <v>139.356</v>
      </c>
      <c r="F965" s="4" t="str">
        <f>HYPERLINK("http://141.218.60.56/~jnz1568/getInfo.php?workbook=10_05.xlsx&amp;sheet=A0&amp;row=965&amp;col=6&amp;number=3930000000&amp;sourceID=14","3930000000")</f>
        <v>3930000000</v>
      </c>
      <c r="G965" s="4" t="str">
        <f>HYPERLINK("http://141.218.60.56/~jnz1568/getInfo.php?workbook=10_05.xlsx&amp;sheet=A0&amp;row=965&amp;col=7&amp;number=0&amp;sourceID=14","0")</f>
        <v>0</v>
      </c>
    </row>
    <row r="966" spans="1:7">
      <c r="A966" s="3">
        <v>10</v>
      </c>
      <c r="B966" s="3">
        <v>5</v>
      </c>
      <c r="C966" s="3">
        <v>131</v>
      </c>
      <c r="D966" s="3">
        <v>15</v>
      </c>
      <c r="E966" s="3">
        <v>-139.251</v>
      </c>
      <c r="F966" s="4" t="str">
        <f>HYPERLINK("http://141.218.60.56/~jnz1568/getInfo.php?workbook=10_05.xlsx&amp;sheet=A0&amp;row=966&amp;col=6&amp;number=4270000&amp;sourceID=14","4270000")</f>
        <v>4270000</v>
      </c>
      <c r="G966" s="4" t="str">
        <f>HYPERLINK("http://141.218.60.56/~jnz1568/getInfo.php?workbook=10_05.xlsx&amp;sheet=A0&amp;row=966&amp;col=7&amp;number=0&amp;sourceID=14","0")</f>
        <v>0</v>
      </c>
    </row>
    <row r="967" spans="1:7">
      <c r="A967" s="3">
        <v>10</v>
      </c>
      <c r="B967" s="3">
        <v>5</v>
      </c>
      <c r="C967" s="3">
        <v>132</v>
      </c>
      <c r="D967" s="3">
        <v>15</v>
      </c>
      <c r="E967" s="3">
        <v>-139.223</v>
      </c>
      <c r="F967" s="4" t="str">
        <f>HYPERLINK("http://141.218.60.56/~jnz1568/getInfo.php?workbook=10_05.xlsx&amp;sheet=A0&amp;row=967&amp;col=6&amp;number=11300000&amp;sourceID=14","11300000")</f>
        <v>11300000</v>
      </c>
      <c r="G967" s="4" t="str">
        <f>HYPERLINK("http://141.218.60.56/~jnz1568/getInfo.php?workbook=10_05.xlsx&amp;sheet=A0&amp;row=967&amp;col=7&amp;number=0&amp;sourceID=14","0")</f>
        <v>0</v>
      </c>
    </row>
    <row r="968" spans="1:7">
      <c r="A968" s="3">
        <v>10</v>
      </c>
      <c r="B968" s="3">
        <v>5</v>
      </c>
      <c r="C968" s="3">
        <v>133</v>
      </c>
      <c r="D968" s="3">
        <v>15</v>
      </c>
      <c r="E968" s="3">
        <v>-139.182</v>
      </c>
      <c r="F968" s="4" t="str">
        <f>HYPERLINK("http://141.218.60.56/~jnz1568/getInfo.php?workbook=10_05.xlsx&amp;sheet=A0&amp;row=968&amp;col=6&amp;number=1060000000&amp;sourceID=14","1060000000")</f>
        <v>1060000000</v>
      </c>
      <c r="G968" s="4" t="str">
        <f>HYPERLINK("http://141.218.60.56/~jnz1568/getInfo.php?workbook=10_05.xlsx&amp;sheet=A0&amp;row=968&amp;col=7&amp;number=0&amp;sourceID=14","0")</f>
        <v>0</v>
      </c>
    </row>
    <row r="969" spans="1:7">
      <c r="A969" s="3">
        <v>10</v>
      </c>
      <c r="B969" s="3">
        <v>5</v>
      </c>
      <c r="C969" s="3">
        <v>140</v>
      </c>
      <c r="D969" s="3">
        <v>15</v>
      </c>
      <c r="E969" s="3">
        <v>-138.251</v>
      </c>
      <c r="F969" s="4" t="str">
        <f>HYPERLINK("http://141.218.60.56/~jnz1568/getInfo.php?workbook=10_05.xlsx&amp;sheet=A0&amp;row=969&amp;col=6&amp;number=12800000000&amp;sourceID=14","12800000000")</f>
        <v>12800000000</v>
      </c>
      <c r="G969" s="4" t="str">
        <f>HYPERLINK("http://141.218.60.56/~jnz1568/getInfo.php?workbook=10_05.xlsx&amp;sheet=A0&amp;row=969&amp;col=7&amp;number=0&amp;sourceID=14","0")</f>
        <v>0</v>
      </c>
    </row>
    <row r="970" spans="1:7">
      <c r="A970" s="3">
        <v>10</v>
      </c>
      <c r="B970" s="3">
        <v>5</v>
      </c>
      <c r="C970" s="3">
        <v>150</v>
      </c>
      <c r="D970" s="3">
        <v>15</v>
      </c>
      <c r="E970" s="3">
        <v>-136.938</v>
      </c>
      <c r="F970" s="4" t="str">
        <f>HYPERLINK("http://141.218.60.56/~jnz1568/getInfo.php?workbook=10_05.xlsx&amp;sheet=A0&amp;row=970&amp;col=6&amp;number=12000000000&amp;sourceID=14","12000000000")</f>
        <v>12000000000</v>
      </c>
      <c r="G970" s="4" t="str">
        <f>HYPERLINK("http://141.218.60.56/~jnz1568/getInfo.php?workbook=10_05.xlsx&amp;sheet=A0&amp;row=970&amp;col=7&amp;number=0&amp;sourceID=14","0")</f>
        <v>0</v>
      </c>
    </row>
    <row r="971" spans="1:7">
      <c r="A971" s="3">
        <v>10</v>
      </c>
      <c r="B971" s="3">
        <v>5</v>
      </c>
      <c r="C971" s="3">
        <v>151</v>
      </c>
      <c r="D971" s="3">
        <v>15</v>
      </c>
      <c r="E971" s="3">
        <v>-136.934</v>
      </c>
      <c r="F971" s="4" t="str">
        <f>HYPERLINK("http://141.218.60.56/~jnz1568/getInfo.php?workbook=10_05.xlsx&amp;sheet=A0&amp;row=971&amp;col=6&amp;number=35000000000&amp;sourceID=14","35000000000")</f>
        <v>35000000000</v>
      </c>
      <c r="G971" s="4" t="str">
        <f>HYPERLINK("http://141.218.60.56/~jnz1568/getInfo.php?workbook=10_05.xlsx&amp;sheet=A0&amp;row=971&amp;col=7&amp;number=0&amp;sourceID=14","0")</f>
        <v>0</v>
      </c>
    </row>
    <row r="972" spans="1:7">
      <c r="A972" s="3">
        <v>10</v>
      </c>
      <c r="B972" s="3">
        <v>5</v>
      </c>
      <c r="C972" s="3">
        <v>155</v>
      </c>
      <c r="D972" s="3">
        <v>15</v>
      </c>
      <c r="E972" s="3">
        <v>136.322</v>
      </c>
      <c r="F972" s="4" t="str">
        <f>HYPERLINK("http://141.218.60.56/~jnz1568/getInfo.php?workbook=10_05.xlsx&amp;sheet=A0&amp;row=972&amp;col=6&amp;number=50900000000&amp;sourceID=14","50900000000")</f>
        <v>50900000000</v>
      </c>
      <c r="G972" s="4" t="str">
        <f>HYPERLINK("http://141.218.60.56/~jnz1568/getInfo.php?workbook=10_05.xlsx&amp;sheet=A0&amp;row=972&amp;col=7&amp;number=0&amp;sourceID=14","0")</f>
        <v>0</v>
      </c>
    </row>
    <row r="973" spans="1:7">
      <c r="A973" s="3">
        <v>10</v>
      </c>
      <c r="B973" s="3">
        <v>5</v>
      </c>
      <c r="C973" s="3">
        <v>156</v>
      </c>
      <c r="D973" s="3">
        <v>15</v>
      </c>
      <c r="E973" s="3">
        <v>-136.17</v>
      </c>
      <c r="F973" s="4" t="str">
        <f>HYPERLINK("http://141.218.60.56/~jnz1568/getInfo.php?workbook=10_05.xlsx&amp;sheet=A0&amp;row=973&amp;col=6&amp;number=9850000000&amp;sourceID=14","9850000000")</f>
        <v>9850000000</v>
      </c>
      <c r="G973" s="4" t="str">
        <f>HYPERLINK("http://141.218.60.56/~jnz1568/getInfo.php?workbook=10_05.xlsx&amp;sheet=A0&amp;row=973&amp;col=7&amp;number=0&amp;sourceID=14","0")</f>
        <v>0</v>
      </c>
    </row>
    <row r="974" spans="1:7">
      <c r="A974" s="3">
        <v>10</v>
      </c>
      <c r="B974" s="3">
        <v>5</v>
      </c>
      <c r="C974" s="3">
        <v>157</v>
      </c>
      <c r="D974" s="3">
        <v>15</v>
      </c>
      <c r="E974" s="3">
        <v>-136.137</v>
      </c>
      <c r="F974" s="4" t="str">
        <f>HYPERLINK("http://141.218.60.56/~jnz1568/getInfo.php?workbook=10_05.xlsx&amp;sheet=A0&amp;row=974&amp;col=6&amp;number=48600000000&amp;sourceID=14","48600000000")</f>
        <v>48600000000</v>
      </c>
      <c r="G974" s="4" t="str">
        <f>HYPERLINK("http://141.218.60.56/~jnz1568/getInfo.php?workbook=10_05.xlsx&amp;sheet=A0&amp;row=974&amp;col=7&amp;number=0&amp;sourceID=14","0")</f>
        <v>0</v>
      </c>
    </row>
    <row r="975" spans="1:7">
      <c r="A975" s="3">
        <v>10</v>
      </c>
      <c r="B975" s="3">
        <v>5</v>
      </c>
      <c r="C975" s="3">
        <v>160</v>
      </c>
      <c r="D975" s="3">
        <v>15</v>
      </c>
      <c r="E975" s="3">
        <v>-135.903</v>
      </c>
      <c r="F975" s="4" t="str">
        <f>HYPERLINK("http://141.218.60.56/~jnz1568/getInfo.php?workbook=10_05.xlsx&amp;sheet=A0&amp;row=975&amp;col=6&amp;number=32200000000&amp;sourceID=14","32200000000")</f>
        <v>32200000000</v>
      </c>
      <c r="G975" s="4" t="str">
        <f>HYPERLINK("http://141.218.60.56/~jnz1568/getInfo.php?workbook=10_05.xlsx&amp;sheet=A0&amp;row=975&amp;col=7&amp;number=0&amp;sourceID=14","0")</f>
        <v>0</v>
      </c>
    </row>
    <row r="976" spans="1:7">
      <c r="A976" s="3">
        <v>10</v>
      </c>
      <c r="B976" s="3">
        <v>5</v>
      </c>
      <c r="C976" s="3">
        <v>161</v>
      </c>
      <c r="D976" s="3">
        <v>15</v>
      </c>
      <c r="E976" s="3">
        <v>135.843</v>
      </c>
      <c r="F976" s="4" t="str">
        <f>HYPERLINK("http://141.218.60.56/~jnz1568/getInfo.php?workbook=10_05.xlsx&amp;sheet=A0&amp;row=976&amp;col=6&amp;number=30400000000&amp;sourceID=14","30400000000")</f>
        <v>30400000000</v>
      </c>
      <c r="G976" s="4" t="str">
        <f>HYPERLINK("http://141.218.60.56/~jnz1568/getInfo.php?workbook=10_05.xlsx&amp;sheet=A0&amp;row=976&amp;col=7&amp;number=0&amp;sourceID=14","0")</f>
        <v>0</v>
      </c>
    </row>
    <row r="977" spans="1:7">
      <c r="A977" s="3">
        <v>10</v>
      </c>
      <c r="B977" s="3">
        <v>5</v>
      </c>
      <c r="C977" s="3">
        <v>162</v>
      </c>
      <c r="D977" s="3">
        <v>15</v>
      </c>
      <c r="E977" s="3">
        <v>135.787</v>
      </c>
      <c r="F977" s="4" t="str">
        <f>HYPERLINK("http://141.218.60.56/~jnz1568/getInfo.php?workbook=10_05.xlsx&amp;sheet=A0&amp;row=977&amp;col=6&amp;number=81900000000&amp;sourceID=14","81900000000")</f>
        <v>81900000000</v>
      </c>
      <c r="G977" s="4" t="str">
        <f>HYPERLINK("http://141.218.60.56/~jnz1568/getInfo.php?workbook=10_05.xlsx&amp;sheet=A0&amp;row=977&amp;col=7&amp;number=0&amp;sourceID=14","0")</f>
        <v>0</v>
      </c>
    </row>
    <row r="978" spans="1:7">
      <c r="A978" s="3">
        <v>10</v>
      </c>
      <c r="B978" s="3">
        <v>5</v>
      </c>
      <c r="C978" s="3">
        <v>163</v>
      </c>
      <c r="D978" s="3">
        <v>15</v>
      </c>
      <c r="E978" s="3">
        <v>-133.336</v>
      </c>
      <c r="F978" s="4" t="str">
        <f>HYPERLINK("http://141.218.60.56/~jnz1568/getInfo.php?workbook=10_05.xlsx&amp;sheet=A0&amp;row=978&amp;col=6&amp;number=38200000000&amp;sourceID=14","38200000000")</f>
        <v>38200000000</v>
      </c>
      <c r="G978" s="4" t="str">
        <f>HYPERLINK("http://141.218.60.56/~jnz1568/getInfo.php?workbook=10_05.xlsx&amp;sheet=A0&amp;row=978&amp;col=7&amp;number=0&amp;sourceID=14","0")</f>
        <v>0</v>
      </c>
    </row>
    <row r="979" spans="1:7">
      <c r="A979" s="3">
        <v>10</v>
      </c>
      <c r="B979" s="3">
        <v>5</v>
      </c>
      <c r="C979" s="3">
        <v>168</v>
      </c>
      <c r="D979" s="3">
        <v>15</v>
      </c>
      <c r="E979" s="3">
        <v>-122.451</v>
      </c>
      <c r="F979" s="4" t="str">
        <f>HYPERLINK("http://141.218.60.56/~jnz1568/getInfo.php?workbook=10_05.xlsx&amp;sheet=A0&amp;row=979&amp;col=6&amp;number=71100000000&amp;sourceID=14","71100000000")</f>
        <v>71100000000</v>
      </c>
      <c r="G979" s="4" t="str">
        <f>HYPERLINK("http://141.218.60.56/~jnz1568/getInfo.php?workbook=10_05.xlsx&amp;sheet=A0&amp;row=979&amp;col=7&amp;number=0&amp;sourceID=14","0")</f>
        <v>0</v>
      </c>
    </row>
    <row r="980" spans="1:7">
      <c r="A980" s="3">
        <v>10</v>
      </c>
      <c r="B980" s="3">
        <v>5</v>
      </c>
      <c r="C980" s="3">
        <v>169</v>
      </c>
      <c r="D980" s="3">
        <v>15</v>
      </c>
      <c r="E980" s="3">
        <v>-122.443</v>
      </c>
      <c r="F980" s="4" t="str">
        <f>HYPERLINK("http://141.218.60.56/~jnz1568/getInfo.php?workbook=10_05.xlsx&amp;sheet=A0&amp;row=980&amp;col=6&amp;number=11900000000&amp;sourceID=14","11900000000")</f>
        <v>11900000000</v>
      </c>
      <c r="G980" s="4" t="str">
        <f>HYPERLINK("http://141.218.60.56/~jnz1568/getInfo.php?workbook=10_05.xlsx&amp;sheet=A0&amp;row=980&amp;col=7&amp;number=0&amp;sourceID=14","0")</f>
        <v>0</v>
      </c>
    </row>
    <row r="981" spans="1:7">
      <c r="A981" s="3">
        <v>10</v>
      </c>
      <c r="B981" s="3">
        <v>5</v>
      </c>
      <c r="C981" s="3">
        <v>170</v>
      </c>
      <c r="D981" s="3">
        <v>15</v>
      </c>
      <c r="E981" s="3">
        <v>-121.054</v>
      </c>
      <c r="F981" s="4" t="str">
        <f>HYPERLINK("http://141.218.60.56/~jnz1568/getInfo.php?workbook=10_05.xlsx&amp;sheet=A0&amp;row=981&amp;col=6&amp;number=522000000&amp;sourceID=14","522000000")</f>
        <v>522000000</v>
      </c>
      <c r="G981" s="4" t="str">
        <f>HYPERLINK("http://141.218.60.56/~jnz1568/getInfo.php?workbook=10_05.xlsx&amp;sheet=A0&amp;row=981&amp;col=7&amp;number=0&amp;sourceID=14","0")</f>
        <v>0</v>
      </c>
    </row>
    <row r="982" spans="1:7">
      <c r="A982" s="3">
        <v>10</v>
      </c>
      <c r="B982" s="3">
        <v>5</v>
      </c>
      <c r="C982" s="3">
        <v>171</v>
      </c>
      <c r="D982" s="3">
        <v>15</v>
      </c>
      <c r="E982" s="3">
        <v>-121.04</v>
      </c>
      <c r="F982" s="4" t="str">
        <f>HYPERLINK("http://141.218.60.56/~jnz1568/getInfo.php?workbook=10_05.xlsx&amp;sheet=A0&amp;row=982&amp;col=6&amp;number=1200000000&amp;sourceID=14","1200000000")</f>
        <v>1200000000</v>
      </c>
      <c r="G982" s="4" t="str">
        <f>HYPERLINK("http://141.218.60.56/~jnz1568/getInfo.php?workbook=10_05.xlsx&amp;sheet=A0&amp;row=982&amp;col=7&amp;number=0&amp;sourceID=14","0")</f>
        <v>0</v>
      </c>
    </row>
    <row r="983" spans="1:7">
      <c r="A983" s="3">
        <v>10</v>
      </c>
      <c r="B983" s="3">
        <v>5</v>
      </c>
      <c r="C983" s="3">
        <v>172</v>
      </c>
      <c r="D983" s="3">
        <v>15</v>
      </c>
      <c r="E983" s="3">
        <v>-120.755</v>
      </c>
      <c r="F983" s="4" t="str">
        <f>HYPERLINK("http://141.218.60.56/~jnz1568/getInfo.php?workbook=10_05.xlsx&amp;sheet=A0&amp;row=983&amp;col=6&amp;number=3720000000&amp;sourceID=14","3720000000")</f>
        <v>3720000000</v>
      </c>
      <c r="G983" s="4" t="str">
        <f>HYPERLINK("http://141.218.60.56/~jnz1568/getInfo.php?workbook=10_05.xlsx&amp;sheet=A0&amp;row=983&amp;col=7&amp;number=0&amp;sourceID=14","0")</f>
        <v>0</v>
      </c>
    </row>
    <row r="984" spans="1:7">
      <c r="A984" s="3">
        <v>10</v>
      </c>
      <c r="B984" s="3">
        <v>5</v>
      </c>
      <c r="C984" s="3">
        <v>173</v>
      </c>
      <c r="D984" s="3">
        <v>15</v>
      </c>
      <c r="E984" s="3">
        <v>-120.752</v>
      </c>
      <c r="F984" s="4" t="str">
        <f>HYPERLINK("http://141.218.60.56/~jnz1568/getInfo.php?workbook=10_05.xlsx&amp;sheet=A0&amp;row=984&amp;col=6&amp;number=20800000000&amp;sourceID=14","20800000000")</f>
        <v>20800000000</v>
      </c>
      <c r="G984" s="4" t="str">
        <f>HYPERLINK("http://141.218.60.56/~jnz1568/getInfo.php?workbook=10_05.xlsx&amp;sheet=A0&amp;row=984&amp;col=7&amp;number=0&amp;sourceID=14","0")</f>
        <v>0</v>
      </c>
    </row>
    <row r="985" spans="1:7">
      <c r="A985" s="3">
        <v>10</v>
      </c>
      <c r="B985" s="3">
        <v>5</v>
      </c>
      <c r="C985" s="3">
        <v>174</v>
      </c>
      <c r="D985" s="3">
        <v>15</v>
      </c>
      <c r="E985" s="3">
        <v>-120.445</v>
      </c>
      <c r="F985" s="4" t="str">
        <f>HYPERLINK("http://141.218.60.56/~jnz1568/getInfo.php?workbook=10_05.xlsx&amp;sheet=A0&amp;row=985&amp;col=6&amp;number=2010000000&amp;sourceID=14","2010000000")</f>
        <v>2010000000</v>
      </c>
      <c r="G985" s="4" t="str">
        <f>HYPERLINK("http://141.218.60.56/~jnz1568/getInfo.php?workbook=10_05.xlsx&amp;sheet=A0&amp;row=985&amp;col=7&amp;number=0&amp;sourceID=14","0")</f>
        <v>0</v>
      </c>
    </row>
    <row r="986" spans="1:7">
      <c r="A986" s="3">
        <v>10</v>
      </c>
      <c r="B986" s="3">
        <v>5</v>
      </c>
      <c r="C986" s="3">
        <v>17</v>
      </c>
      <c r="D986" s="3">
        <v>16</v>
      </c>
      <c r="E986" s="3">
        <v>2056.596</v>
      </c>
      <c r="F986" s="4" t="str">
        <f>HYPERLINK("http://141.218.60.56/~jnz1568/getInfo.php?workbook=10_05.xlsx&amp;sheet=A0&amp;row=986&amp;col=6&amp;number=212000000&amp;sourceID=14","212000000")</f>
        <v>212000000</v>
      </c>
      <c r="G986" s="4" t="str">
        <f>HYPERLINK("http://141.218.60.56/~jnz1568/getInfo.php?workbook=10_05.xlsx&amp;sheet=A0&amp;row=986&amp;col=7&amp;number=0&amp;sourceID=14","0")</f>
        <v>0</v>
      </c>
    </row>
    <row r="987" spans="1:7">
      <c r="A987" s="3">
        <v>10</v>
      </c>
      <c r="B987" s="3">
        <v>5</v>
      </c>
      <c r="C987" s="3">
        <v>18</v>
      </c>
      <c r="D987" s="3">
        <v>16</v>
      </c>
      <c r="E987" s="3">
        <v>2043.043</v>
      </c>
      <c r="F987" s="4" t="str">
        <f>HYPERLINK("http://141.218.60.56/~jnz1568/getInfo.php?workbook=10_05.xlsx&amp;sheet=A0&amp;row=987&amp;col=6&amp;number=216000000&amp;sourceID=14","216000000")</f>
        <v>216000000</v>
      </c>
      <c r="G987" s="4" t="str">
        <f>HYPERLINK("http://141.218.60.56/~jnz1568/getInfo.php?workbook=10_05.xlsx&amp;sheet=A0&amp;row=987&amp;col=7&amp;number=0&amp;sourceID=14","0")</f>
        <v>0</v>
      </c>
    </row>
    <row r="988" spans="1:7">
      <c r="A988" s="3">
        <v>10</v>
      </c>
      <c r="B988" s="3">
        <v>5</v>
      </c>
      <c r="C988" s="3">
        <v>21</v>
      </c>
      <c r="D988" s="3">
        <v>16</v>
      </c>
      <c r="E988" s="3">
        <v>901.227</v>
      </c>
      <c r="F988" s="4" t="str">
        <f>HYPERLINK("http://141.218.60.56/~jnz1568/getInfo.php?workbook=10_05.xlsx&amp;sheet=A0&amp;row=988&amp;col=6&amp;number=32300&amp;sourceID=14","32300")</f>
        <v>32300</v>
      </c>
      <c r="G988" s="4" t="str">
        <f>HYPERLINK("http://141.218.60.56/~jnz1568/getInfo.php?workbook=10_05.xlsx&amp;sheet=A0&amp;row=988&amp;col=7&amp;number=0&amp;sourceID=14","0")</f>
        <v>0</v>
      </c>
    </row>
    <row r="989" spans="1:7">
      <c r="A989" s="3">
        <v>10</v>
      </c>
      <c r="B989" s="3">
        <v>5</v>
      </c>
      <c r="C989" s="3">
        <v>22</v>
      </c>
      <c r="D989" s="3">
        <v>16</v>
      </c>
      <c r="E989" s="3">
        <v>897.346</v>
      </c>
      <c r="F989" s="4" t="str">
        <f>HYPERLINK("http://141.218.60.56/~jnz1568/getInfo.php?workbook=10_05.xlsx&amp;sheet=A0&amp;row=989&amp;col=6&amp;number=82900&amp;sourceID=14","82900")</f>
        <v>82900</v>
      </c>
      <c r="G989" s="4" t="str">
        <f>HYPERLINK("http://141.218.60.56/~jnz1568/getInfo.php?workbook=10_05.xlsx&amp;sheet=A0&amp;row=989&amp;col=7&amp;number=0&amp;sourceID=14","0")</f>
        <v>0</v>
      </c>
    </row>
    <row r="990" spans="1:7">
      <c r="A990" s="3">
        <v>10</v>
      </c>
      <c r="B990" s="3">
        <v>5</v>
      </c>
      <c r="C990" s="3">
        <v>24</v>
      </c>
      <c r="D990" s="3">
        <v>16</v>
      </c>
      <c r="E990" s="3">
        <v>751.147</v>
      </c>
      <c r="F990" s="4" t="str">
        <f>HYPERLINK("http://141.218.60.56/~jnz1568/getInfo.php?workbook=10_05.xlsx&amp;sheet=A0&amp;row=990&amp;col=6&amp;number=139000000&amp;sourceID=14","139000000")</f>
        <v>139000000</v>
      </c>
      <c r="G990" s="4" t="str">
        <f>HYPERLINK("http://141.218.60.56/~jnz1568/getInfo.php?workbook=10_05.xlsx&amp;sheet=A0&amp;row=990&amp;col=7&amp;number=0&amp;sourceID=14","0")</f>
        <v>0</v>
      </c>
    </row>
    <row r="991" spans="1:7">
      <c r="A991" s="3">
        <v>10</v>
      </c>
      <c r="B991" s="3">
        <v>5</v>
      </c>
      <c r="C991" s="3">
        <v>25</v>
      </c>
      <c r="D991" s="3">
        <v>16</v>
      </c>
      <c r="E991" s="3">
        <v>746.549</v>
      </c>
      <c r="F991" s="4" t="str">
        <f>HYPERLINK("http://141.218.60.56/~jnz1568/getInfo.php?workbook=10_05.xlsx&amp;sheet=A0&amp;row=991&amp;col=6&amp;number=147000000&amp;sourceID=14","147000000")</f>
        <v>147000000</v>
      </c>
      <c r="G991" s="4" t="str">
        <f>HYPERLINK("http://141.218.60.56/~jnz1568/getInfo.php?workbook=10_05.xlsx&amp;sheet=A0&amp;row=991&amp;col=7&amp;number=0&amp;sourceID=14","0")</f>
        <v>0</v>
      </c>
    </row>
    <row r="992" spans="1:7">
      <c r="A992" s="3">
        <v>10</v>
      </c>
      <c r="B992" s="3">
        <v>5</v>
      </c>
      <c r="C992" s="3">
        <v>38</v>
      </c>
      <c r="D992" s="3">
        <v>16</v>
      </c>
      <c r="E992" s="3">
        <v>-521.201</v>
      </c>
      <c r="F992" s="4" t="str">
        <f>HYPERLINK("http://141.218.60.56/~jnz1568/getInfo.php?workbook=10_05.xlsx&amp;sheet=A0&amp;row=992&amp;col=6&amp;number=0.159&amp;sourceID=14","0.159")</f>
        <v>0.159</v>
      </c>
      <c r="G992" s="4" t="str">
        <f>HYPERLINK("http://141.218.60.56/~jnz1568/getInfo.php?workbook=10_05.xlsx&amp;sheet=A0&amp;row=992&amp;col=7&amp;number=0&amp;sourceID=14","0")</f>
        <v>0</v>
      </c>
    </row>
    <row r="993" spans="1:7">
      <c r="A993" s="3">
        <v>10</v>
      </c>
      <c r="B993" s="3">
        <v>5</v>
      </c>
      <c r="C993" s="3">
        <v>43</v>
      </c>
      <c r="D993" s="3">
        <v>16</v>
      </c>
      <c r="E993" s="3">
        <v>491.015</v>
      </c>
      <c r="F993" s="4" t="str">
        <f>HYPERLINK("http://141.218.60.56/~jnz1568/getInfo.php?workbook=10_05.xlsx&amp;sheet=A0&amp;row=993&amp;col=6&amp;number=580&amp;sourceID=14","580")</f>
        <v>580</v>
      </c>
      <c r="G993" s="4" t="str">
        <f>HYPERLINK("http://141.218.60.56/~jnz1568/getInfo.php?workbook=10_05.xlsx&amp;sheet=A0&amp;row=993&amp;col=7&amp;number=0&amp;sourceID=14","0")</f>
        <v>0</v>
      </c>
    </row>
    <row r="994" spans="1:7">
      <c r="A994" s="3">
        <v>10</v>
      </c>
      <c r="B994" s="3">
        <v>5</v>
      </c>
      <c r="C994" s="3">
        <v>44</v>
      </c>
      <c r="D994" s="3">
        <v>16</v>
      </c>
      <c r="E994" s="3">
        <v>490.774</v>
      </c>
      <c r="F994" s="4" t="str">
        <f>HYPERLINK("http://141.218.60.56/~jnz1568/getInfo.php?workbook=10_05.xlsx&amp;sheet=A0&amp;row=994&amp;col=6&amp;number=95.3&amp;sourceID=14","95.3")</f>
        <v>95.3</v>
      </c>
      <c r="G994" s="4" t="str">
        <f>HYPERLINK("http://141.218.60.56/~jnz1568/getInfo.php?workbook=10_05.xlsx&amp;sheet=A0&amp;row=994&amp;col=7&amp;number=0&amp;sourceID=14","0")</f>
        <v>0</v>
      </c>
    </row>
    <row r="995" spans="1:7">
      <c r="A995" s="3">
        <v>10</v>
      </c>
      <c r="B995" s="3">
        <v>5</v>
      </c>
      <c r="C995" s="3">
        <v>47</v>
      </c>
      <c r="D995" s="3">
        <v>16</v>
      </c>
      <c r="E995" s="3">
        <v>486.832</v>
      </c>
      <c r="F995" s="4" t="str">
        <f>HYPERLINK("http://141.218.60.56/~jnz1568/getInfo.php?workbook=10_05.xlsx&amp;sheet=A0&amp;row=995&amp;col=6&amp;number=24000&amp;sourceID=14","24000")</f>
        <v>24000</v>
      </c>
      <c r="G995" s="4" t="str">
        <f>HYPERLINK("http://141.218.60.56/~jnz1568/getInfo.php?workbook=10_05.xlsx&amp;sheet=A0&amp;row=995&amp;col=7&amp;number=0&amp;sourceID=14","0")</f>
        <v>0</v>
      </c>
    </row>
    <row r="996" spans="1:7">
      <c r="A996" s="3">
        <v>10</v>
      </c>
      <c r="B996" s="3">
        <v>5</v>
      </c>
      <c r="C996" s="3">
        <v>50</v>
      </c>
      <c r="D996" s="3">
        <v>16</v>
      </c>
      <c r="E996" s="3">
        <v>477.807</v>
      </c>
      <c r="F996" s="4" t="str">
        <f>HYPERLINK("http://141.218.60.56/~jnz1568/getInfo.php?workbook=10_05.xlsx&amp;sheet=A0&amp;row=996&amp;col=6&amp;number=11500&amp;sourceID=14","11500")</f>
        <v>11500</v>
      </c>
      <c r="G996" s="4" t="str">
        <f>HYPERLINK("http://141.218.60.56/~jnz1568/getInfo.php?workbook=10_05.xlsx&amp;sheet=A0&amp;row=996&amp;col=7&amp;number=0&amp;sourceID=14","0")</f>
        <v>0</v>
      </c>
    </row>
    <row r="997" spans="1:7">
      <c r="A997" s="3">
        <v>10</v>
      </c>
      <c r="B997" s="3">
        <v>5</v>
      </c>
      <c r="C997" s="3">
        <v>51</v>
      </c>
      <c r="D997" s="3">
        <v>16</v>
      </c>
      <c r="E997" s="3">
        <v>477.237</v>
      </c>
      <c r="F997" s="4" t="str">
        <f>HYPERLINK("http://141.218.60.56/~jnz1568/getInfo.php?workbook=10_05.xlsx&amp;sheet=A0&amp;row=997&amp;col=6&amp;number=6120&amp;sourceID=14","6120")</f>
        <v>6120</v>
      </c>
      <c r="G997" s="4" t="str">
        <f>HYPERLINK("http://141.218.60.56/~jnz1568/getInfo.php?workbook=10_05.xlsx&amp;sheet=A0&amp;row=997&amp;col=7&amp;number=0&amp;sourceID=14","0")</f>
        <v>0</v>
      </c>
    </row>
    <row r="998" spans="1:7">
      <c r="A998" s="3">
        <v>10</v>
      </c>
      <c r="B998" s="3">
        <v>5</v>
      </c>
      <c r="C998" s="3">
        <v>52</v>
      </c>
      <c r="D998" s="3">
        <v>16</v>
      </c>
      <c r="E998" s="3">
        <v>459.454</v>
      </c>
      <c r="F998" s="4" t="str">
        <f>HYPERLINK("http://141.218.60.56/~jnz1568/getInfo.php?workbook=10_05.xlsx&amp;sheet=A0&amp;row=998&amp;col=6&amp;number=3670000000&amp;sourceID=14","3670000000")</f>
        <v>3670000000</v>
      </c>
      <c r="G998" s="4" t="str">
        <f>HYPERLINK("http://141.218.60.56/~jnz1568/getInfo.php?workbook=10_05.xlsx&amp;sheet=A0&amp;row=998&amp;col=7&amp;number=0&amp;sourceID=14","0")</f>
        <v>0</v>
      </c>
    </row>
    <row r="999" spans="1:7">
      <c r="A999" s="3">
        <v>10</v>
      </c>
      <c r="B999" s="3">
        <v>5</v>
      </c>
      <c r="C999" s="3">
        <v>53</v>
      </c>
      <c r="D999" s="3">
        <v>16</v>
      </c>
      <c r="E999" s="3">
        <v>459.454</v>
      </c>
      <c r="F999" s="4" t="str">
        <f>HYPERLINK("http://141.218.60.56/~jnz1568/getInfo.php?workbook=10_05.xlsx&amp;sheet=A0&amp;row=999&amp;col=6&amp;number=3790000000&amp;sourceID=14","3790000000")</f>
        <v>3790000000</v>
      </c>
      <c r="G999" s="4" t="str">
        <f>HYPERLINK("http://141.218.60.56/~jnz1568/getInfo.php?workbook=10_05.xlsx&amp;sheet=A0&amp;row=999&amp;col=7&amp;number=0&amp;sourceID=14","0")</f>
        <v>0</v>
      </c>
    </row>
    <row r="1000" spans="1:7">
      <c r="A1000" s="3">
        <v>10</v>
      </c>
      <c r="B1000" s="3">
        <v>5</v>
      </c>
      <c r="C1000" s="3">
        <v>56</v>
      </c>
      <c r="D1000" s="3">
        <v>16</v>
      </c>
      <c r="E1000" s="3">
        <v>435.56</v>
      </c>
      <c r="F1000" s="4" t="str">
        <f>HYPERLINK("http://141.218.60.56/~jnz1568/getInfo.php?workbook=10_05.xlsx&amp;sheet=A0&amp;row=1000&amp;col=6&amp;number=1380000000&amp;sourceID=14","1380000000")</f>
        <v>1380000000</v>
      </c>
      <c r="G1000" s="4" t="str">
        <f>HYPERLINK("http://141.218.60.56/~jnz1568/getInfo.php?workbook=10_05.xlsx&amp;sheet=A0&amp;row=1000&amp;col=7&amp;number=0&amp;sourceID=14","0")</f>
        <v>0</v>
      </c>
    </row>
    <row r="1001" spans="1:7">
      <c r="A1001" s="3">
        <v>10</v>
      </c>
      <c r="B1001" s="3">
        <v>5</v>
      </c>
      <c r="C1001" s="3">
        <v>57</v>
      </c>
      <c r="D1001" s="3">
        <v>16</v>
      </c>
      <c r="E1001" s="3">
        <v>434.783</v>
      </c>
      <c r="F1001" s="4" t="str">
        <f>HYPERLINK("http://141.218.60.56/~jnz1568/getInfo.php?workbook=10_05.xlsx&amp;sheet=A0&amp;row=1001&amp;col=6&amp;number=1270000000&amp;sourceID=14","1270000000")</f>
        <v>1270000000</v>
      </c>
      <c r="G1001" s="4" t="str">
        <f>HYPERLINK("http://141.218.60.56/~jnz1568/getInfo.php?workbook=10_05.xlsx&amp;sheet=A0&amp;row=1001&amp;col=7&amp;number=0&amp;sourceID=14","0")</f>
        <v>0</v>
      </c>
    </row>
    <row r="1002" spans="1:7">
      <c r="A1002" s="3">
        <v>10</v>
      </c>
      <c r="B1002" s="3">
        <v>5</v>
      </c>
      <c r="C1002" s="3">
        <v>64</v>
      </c>
      <c r="D1002" s="3">
        <v>16</v>
      </c>
      <c r="E1002" s="3">
        <v>-353.494</v>
      </c>
      <c r="F1002" s="4" t="str">
        <f>HYPERLINK("http://141.218.60.56/~jnz1568/getInfo.php?workbook=10_05.xlsx&amp;sheet=A0&amp;row=1002&amp;col=6&amp;number=2360000000&amp;sourceID=14","2360000000")</f>
        <v>2360000000</v>
      </c>
      <c r="G1002" s="4" t="str">
        <f>HYPERLINK("http://141.218.60.56/~jnz1568/getInfo.php?workbook=10_05.xlsx&amp;sheet=A0&amp;row=1002&amp;col=7&amp;number=0&amp;sourceID=14","0")</f>
        <v>0</v>
      </c>
    </row>
    <row r="1003" spans="1:7">
      <c r="A1003" s="3">
        <v>10</v>
      </c>
      <c r="B1003" s="3">
        <v>5</v>
      </c>
      <c r="C1003" s="3">
        <v>65</v>
      </c>
      <c r="D1003" s="3">
        <v>16</v>
      </c>
      <c r="E1003" s="3">
        <v>-353.343</v>
      </c>
      <c r="F1003" s="4" t="str">
        <f>HYPERLINK("http://141.218.60.56/~jnz1568/getInfo.php?workbook=10_05.xlsx&amp;sheet=A0&amp;row=1003&amp;col=6&amp;number=2350000000&amp;sourceID=14","2350000000")</f>
        <v>2350000000</v>
      </c>
      <c r="G1003" s="4" t="str">
        <f>HYPERLINK("http://141.218.60.56/~jnz1568/getInfo.php?workbook=10_05.xlsx&amp;sheet=A0&amp;row=1003&amp;col=7&amp;number=0&amp;sourceID=14","0")</f>
        <v>0</v>
      </c>
    </row>
    <row r="1004" spans="1:7">
      <c r="A1004" s="3">
        <v>10</v>
      </c>
      <c r="B1004" s="3">
        <v>5</v>
      </c>
      <c r="C1004" s="3">
        <v>73</v>
      </c>
      <c r="D1004" s="3">
        <v>16</v>
      </c>
      <c r="E1004" s="3">
        <v>325.204</v>
      </c>
      <c r="F1004" s="4" t="str">
        <f>HYPERLINK("http://141.218.60.56/~jnz1568/getInfo.php?workbook=10_05.xlsx&amp;sheet=A0&amp;row=1004&amp;col=6&amp;number=1940&amp;sourceID=14","1940")</f>
        <v>1940</v>
      </c>
      <c r="G1004" s="4" t="str">
        <f>HYPERLINK("http://141.218.60.56/~jnz1568/getInfo.php?workbook=10_05.xlsx&amp;sheet=A0&amp;row=1004&amp;col=7&amp;number=0&amp;sourceID=14","0")</f>
        <v>0</v>
      </c>
    </row>
    <row r="1005" spans="1:7">
      <c r="A1005" s="3">
        <v>10</v>
      </c>
      <c r="B1005" s="3">
        <v>5</v>
      </c>
      <c r="C1005" s="3">
        <v>75</v>
      </c>
      <c r="D1005" s="3">
        <v>16</v>
      </c>
      <c r="E1005" s="3">
        <v>322.873</v>
      </c>
      <c r="F1005" s="4" t="str">
        <f>HYPERLINK("http://141.218.60.56/~jnz1568/getInfo.php?workbook=10_05.xlsx&amp;sheet=A0&amp;row=1005&amp;col=6&amp;number=89100000&amp;sourceID=14","89100000")</f>
        <v>89100000</v>
      </c>
      <c r="G1005" s="4" t="str">
        <f>HYPERLINK("http://141.218.60.56/~jnz1568/getInfo.php?workbook=10_05.xlsx&amp;sheet=A0&amp;row=1005&amp;col=7&amp;number=0&amp;sourceID=14","0")</f>
        <v>0</v>
      </c>
    </row>
    <row r="1006" spans="1:7">
      <c r="A1006" s="3">
        <v>10</v>
      </c>
      <c r="B1006" s="3">
        <v>5</v>
      </c>
      <c r="C1006" s="3">
        <v>76</v>
      </c>
      <c r="D1006" s="3">
        <v>16</v>
      </c>
      <c r="E1006" s="3">
        <v>322.873</v>
      </c>
      <c r="F1006" s="4" t="str">
        <f>HYPERLINK("http://141.218.60.56/~jnz1568/getInfo.php?workbook=10_05.xlsx&amp;sheet=A0&amp;row=1006&amp;col=6&amp;number=89600000&amp;sourceID=14","89600000")</f>
        <v>89600000</v>
      </c>
      <c r="G1006" s="4" t="str">
        <f>HYPERLINK("http://141.218.60.56/~jnz1568/getInfo.php?workbook=10_05.xlsx&amp;sheet=A0&amp;row=1006&amp;col=7&amp;number=0&amp;sourceID=14","0")</f>
        <v>0</v>
      </c>
    </row>
    <row r="1007" spans="1:7">
      <c r="A1007" s="3">
        <v>10</v>
      </c>
      <c r="B1007" s="3">
        <v>5</v>
      </c>
      <c r="C1007" s="3">
        <v>79</v>
      </c>
      <c r="D1007" s="3">
        <v>16</v>
      </c>
      <c r="E1007" s="3">
        <v>-300.867</v>
      </c>
      <c r="F1007" s="4" t="str">
        <f>HYPERLINK("http://141.218.60.56/~jnz1568/getInfo.php?workbook=10_05.xlsx&amp;sheet=A0&amp;row=1007&amp;col=6&amp;number=541000&amp;sourceID=14","541000")</f>
        <v>541000</v>
      </c>
      <c r="G1007" s="4" t="str">
        <f>HYPERLINK("http://141.218.60.56/~jnz1568/getInfo.php?workbook=10_05.xlsx&amp;sheet=A0&amp;row=1007&amp;col=7&amp;number=0&amp;sourceID=14","0")</f>
        <v>0</v>
      </c>
    </row>
    <row r="1008" spans="1:7">
      <c r="A1008" s="3">
        <v>10</v>
      </c>
      <c r="B1008" s="3">
        <v>5</v>
      </c>
      <c r="C1008" s="3">
        <v>82</v>
      </c>
      <c r="D1008" s="3">
        <v>16</v>
      </c>
      <c r="E1008" s="3">
        <v>294.603</v>
      </c>
      <c r="F1008" s="4" t="str">
        <f>HYPERLINK("http://141.218.60.56/~jnz1568/getInfo.php?workbook=10_05.xlsx&amp;sheet=A0&amp;row=1008&amp;col=6&amp;number=34300&amp;sourceID=14","34300")</f>
        <v>34300</v>
      </c>
      <c r="G1008" s="4" t="str">
        <f>HYPERLINK("http://141.218.60.56/~jnz1568/getInfo.php?workbook=10_05.xlsx&amp;sheet=A0&amp;row=1008&amp;col=7&amp;number=0&amp;sourceID=14","0")</f>
        <v>0</v>
      </c>
    </row>
    <row r="1009" spans="1:7">
      <c r="A1009" s="3">
        <v>10</v>
      </c>
      <c r="B1009" s="3">
        <v>5</v>
      </c>
      <c r="C1009" s="3">
        <v>83</v>
      </c>
      <c r="D1009" s="3">
        <v>16</v>
      </c>
      <c r="E1009" s="3">
        <v>294.603</v>
      </c>
      <c r="F1009" s="4" t="str">
        <f>HYPERLINK("http://141.218.60.56/~jnz1568/getInfo.php?workbook=10_05.xlsx&amp;sheet=A0&amp;row=1009&amp;col=6&amp;number=16200&amp;sourceID=14","16200")</f>
        <v>16200</v>
      </c>
      <c r="G1009" s="4" t="str">
        <f>HYPERLINK("http://141.218.60.56/~jnz1568/getInfo.php?workbook=10_05.xlsx&amp;sheet=A0&amp;row=1009&amp;col=7&amp;number=0&amp;sourceID=14","0")</f>
        <v>0</v>
      </c>
    </row>
    <row r="1010" spans="1:7">
      <c r="A1010" s="3">
        <v>10</v>
      </c>
      <c r="B1010" s="3">
        <v>5</v>
      </c>
      <c r="C1010" s="3">
        <v>88</v>
      </c>
      <c r="D1010" s="3">
        <v>16</v>
      </c>
      <c r="E1010" s="3">
        <v>291.895</v>
      </c>
      <c r="F1010" s="4" t="str">
        <f>HYPERLINK("http://141.218.60.56/~jnz1568/getInfo.php?workbook=10_05.xlsx&amp;sheet=A0&amp;row=1010&amp;col=6&amp;number=5700&amp;sourceID=14","5700")</f>
        <v>5700</v>
      </c>
      <c r="G1010" s="4" t="str">
        <f>HYPERLINK("http://141.218.60.56/~jnz1568/getInfo.php?workbook=10_05.xlsx&amp;sheet=A0&amp;row=1010&amp;col=7&amp;number=0&amp;sourceID=14","0")</f>
        <v>0</v>
      </c>
    </row>
    <row r="1011" spans="1:7">
      <c r="A1011" s="3">
        <v>10</v>
      </c>
      <c r="B1011" s="3">
        <v>5</v>
      </c>
      <c r="C1011" s="3">
        <v>89</v>
      </c>
      <c r="D1011" s="3">
        <v>16</v>
      </c>
      <c r="E1011" s="3">
        <v>291.58</v>
      </c>
      <c r="F1011" s="4" t="str">
        <f>HYPERLINK("http://141.218.60.56/~jnz1568/getInfo.php?workbook=10_05.xlsx&amp;sheet=A0&amp;row=1011&amp;col=6&amp;number=10800&amp;sourceID=14","10800")</f>
        <v>10800</v>
      </c>
      <c r="G1011" s="4" t="str">
        <f>HYPERLINK("http://141.218.60.56/~jnz1568/getInfo.php?workbook=10_05.xlsx&amp;sheet=A0&amp;row=1011&amp;col=7&amp;number=0&amp;sourceID=14","0")</f>
        <v>0</v>
      </c>
    </row>
    <row r="1012" spans="1:7">
      <c r="A1012" s="3">
        <v>10</v>
      </c>
      <c r="B1012" s="3">
        <v>5</v>
      </c>
      <c r="C1012" s="3">
        <v>91</v>
      </c>
      <c r="D1012" s="3">
        <v>16</v>
      </c>
      <c r="E1012" s="3">
        <v>-284.567</v>
      </c>
      <c r="F1012" s="4" t="str">
        <f>HYPERLINK("http://141.218.60.56/~jnz1568/getInfo.php?workbook=10_05.xlsx&amp;sheet=A0&amp;row=1012&amp;col=6&amp;number=2680&amp;sourceID=14","2680")</f>
        <v>2680</v>
      </c>
      <c r="G1012" s="4" t="str">
        <f>HYPERLINK("http://141.218.60.56/~jnz1568/getInfo.php?workbook=10_05.xlsx&amp;sheet=A0&amp;row=1012&amp;col=7&amp;number=0&amp;sourceID=14","0")</f>
        <v>0</v>
      </c>
    </row>
    <row r="1013" spans="1:7">
      <c r="A1013" s="3">
        <v>10</v>
      </c>
      <c r="B1013" s="3">
        <v>5</v>
      </c>
      <c r="C1013" s="3">
        <v>93</v>
      </c>
      <c r="D1013" s="3">
        <v>16</v>
      </c>
      <c r="E1013" s="3">
        <v>-277.775</v>
      </c>
      <c r="F1013" s="4" t="str">
        <f>HYPERLINK("http://141.218.60.56/~jnz1568/getInfo.php?workbook=10_05.xlsx&amp;sheet=A0&amp;row=1013&amp;col=6&amp;number=29400000&amp;sourceID=14","29400000")</f>
        <v>29400000</v>
      </c>
      <c r="G1013" s="4" t="str">
        <f>HYPERLINK("http://141.218.60.56/~jnz1568/getInfo.php?workbook=10_05.xlsx&amp;sheet=A0&amp;row=1013&amp;col=7&amp;number=0&amp;sourceID=14","0")</f>
        <v>0</v>
      </c>
    </row>
    <row r="1014" spans="1:7">
      <c r="A1014" s="3">
        <v>10</v>
      </c>
      <c r="B1014" s="3">
        <v>5</v>
      </c>
      <c r="C1014" s="3">
        <v>94</v>
      </c>
      <c r="D1014" s="3">
        <v>16</v>
      </c>
      <c r="E1014" s="3">
        <v>-277.656</v>
      </c>
      <c r="F1014" s="4" t="str">
        <f>HYPERLINK("http://141.218.60.56/~jnz1568/getInfo.php?workbook=10_05.xlsx&amp;sheet=A0&amp;row=1014&amp;col=6&amp;number=31800000&amp;sourceID=14","31800000")</f>
        <v>31800000</v>
      </c>
      <c r="G1014" s="4" t="str">
        <f>HYPERLINK("http://141.218.60.56/~jnz1568/getInfo.php?workbook=10_05.xlsx&amp;sheet=A0&amp;row=1014&amp;col=7&amp;number=0&amp;sourceID=14","0")</f>
        <v>0</v>
      </c>
    </row>
    <row r="1015" spans="1:7">
      <c r="A1015" s="3">
        <v>10</v>
      </c>
      <c r="B1015" s="3">
        <v>5</v>
      </c>
      <c r="C1015" s="3">
        <v>95</v>
      </c>
      <c r="D1015" s="3">
        <v>16</v>
      </c>
      <c r="E1015" s="3">
        <v>277.447</v>
      </c>
      <c r="F1015" s="4" t="str">
        <f>HYPERLINK("http://141.218.60.56/~jnz1568/getInfo.php?workbook=10_05.xlsx&amp;sheet=A0&amp;row=1015&amp;col=6&amp;number=62000&amp;sourceID=14","62000")</f>
        <v>62000</v>
      </c>
      <c r="G1015" s="4" t="str">
        <f>HYPERLINK("http://141.218.60.56/~jnz1568/getInfo.php?workbook=10_05.xlsx&amp;sheet=A0&amp;row=1015&amp;col=7&amp;number=0&amp;sourceID=14","0")</f>
        <v>0</v>
      </c>
    </row>
    <row r="1016" spans="1:7">
      <c r="A1016" s="3">
        <v>10</v>
      </c>
      <c r="B1016" s="3">
        <v>5</v>
      </c>
      <c r="C1016" s="3">
        <v>98</v>
      </c>
      <c r="D1016" s="3">
        <v>16</v>
      </c>
      <c r="E1016" s="3">
        <v>-265.363</v>
      </c>
      <c r="F1016" s="4" t="str">
        <f>HYPERLINK("http://141.218.60.56/~jnz1568/getInfo.php?workbook=10_05.xlsx&amp;sheet=A0&amp;row=1016&amp;col=6&amp;number=43400&amp;sourceID=14","43400")</f>
        <v>43400</v>
      </c>
      <c r="G1016" s="4" t="str">
        <f>HYPERLINK("http://141.218.60.56/~jnz1568/getInfo.php?workbook=10_05.xlsx&amp;sheet=A0&amp;row=1016&amp;col=7&amp;number=0&amp;sourceID=14","0")</f>
        <v>0</v>
      </c>
    </row>
    <row r="1017" spans="1:7">
      <c r="A1017" s="3">
        <v>10</v>
      </c>
      <c r="B1017" s="3">
        <v>5</v>
      </c>
      <c r="C1017" s="3">
        <v>101</v>
      </c>
      <c r="D1017" s="3">
        <v>16</v>
      </c>
      <c r="E1017" s="3">
        <v>-265.061</v>
      </c>
      <c r="F1017" s="4" t="str">
        <f>HYPERLINK("http://141.218.60.56/~jnz1568/getInfo.php?workbook=10_05.xlsx&amp;sheet=A0&amp;row=1017&amp;col=6&amp;number=106000&amp;sourceID=14","106000")</f>
        <v>106000</v>
      </c>
      <c r="G1017" s="4" t="str">
        <f>HYPERLINK("http://141.218.60.56/~jnz1568/getInfo.php?workbook=10_05.xlsx&amp;sheet=A0&amp;row=1017&amp;col=7&amp;number=0&amp;sourceID=14","0")</f>
        <v>0</v>
      </c>
    </row>
    <row r="1018" spans="1:7">
      <c r="A1018" s="3">
        <v>10</v>
      </c>
      <c r="B1018" s="3">
        <v>5</v>
      </c>
      <c r="C1018" s="3">
        <v>110</v>
      </c>
      <c r="D1018" s="3">
        <v>16</v>
      </c>
      <c r="E1018" s="3">
        <v>-260.2</v>
      </c>
      <c r="F1018" s="4" t="str">
        <f>HYPERLINK("http://141.218.60.56/~jnz1568/getInfo.php?workbook=10_05.xlsx&amp;sheet=A0&amp;row=1018&amp;col=6&amp;number=54000000&amp;sourceID=14","54000000")</f>
        <v>54000000</v>
      </c>
      <c r="G1018" s="4" t="str">
        <f>HYPERLINK("http://141.218.60.56/~jnz1568/getInfo.php?workbook=10_05.xlsx&amp;sheet=A0&amp;row=1018&amp;col=7&amp;number=0&amp;sourceID=14","0")</f>
        <v>0</v>
      </c>
    </row>
    <row r="1019" spans="1:7">
      <c r="A1019" s="3">
        <v>10</v>
      </c>
      <c r="B1019" s="3">
        <v>5</v>
      </c>
      <c r="C1019" s="3">
        <v>112</v>
      </c>
      <c r="D1019" s="3">
        <v>16</v>
      </c>
      <c r="E1019" s="3">
        <v>-259.756</v>
      </c>
      <c r="F1019" s="4" t="str">
        <f>HYPERLINK("http://141.218.60.56/~jnz1568/getInfo.php?workbook=10_05.xlsx&amp;sheet=A0&amp;row=1019&amp;col=6&amp;number=54000000&amp;sourceID=14","54000000")</f>
        <v>54000000</v>
      </c>
      <c r="G1019" s="4" t="str">
        <f>HYPERLINK("http://141.218.60.56/~jnz1568/getInfo.php?workbook=10_05.xlsx&amp;sheet=A0&amp;row=1019&amp;col=7&amp;number=0&amp;sourceID=14","0")</f>
        <v>0</v>
      </c>
    </row>
    <row r="1020" spans="1:7">
      <c r="A1020" s="3">
        <v>10</v>
      </c>
      <c r="B1020" s="3">
        <v>5</v>
      </c>
      <c r="C1020" s="3">
        <v>114</v>
      </c>
      <c r="D1020" s="3">
        <v>16</v>
      </c>
      <c r="E1020" s="3">
        <v>259.236</v>
      </c>
      <c r="F1020" s="4" t="str">
        <f>HYPERLINK("http://141.218.60.56/~jnz1568/getInfo.php?workbook=10_05.xlsx&amp;sheet=A0&amp;row=1020&amp;col=6&amp;number=74800&amp;sourceID=14","74800")</f>
        <v>74800</v>
      </c>
      <c r="G1020" s="4" t="str">
        <f>HYPERLINK("http://141.218.60.56/~jnz1568/getInfo.php?workbook=10_05.xlsx&amp;sheet=A0&amp;row=1020&amp;col=7&amp;number=0&amp;sourceID=14","0")</f>
        <v>0</v>
      </c>
    </row>
    <row r="1021" spans="1:7">
      <c r="A1021" s="3">
        <v>10</v>
      </c>
      <c r="B1021" s="3">
        <v>5</v>
      </c>
      <c r="C1021" s="3">
        <v>127</v>
      </c>
      <c r="D1021" s="3">
        <v>16</v>
      </c>
      <c r="E1021" s="3">
        <v>-251.031</v>
      </c>
      <c r="F1021" s="4" t="str">
        <f>HYPERLINK("http://141.218.60.56/~jnz1568/getInfo.php?workbook=10_05.xlsx&amp;sheet=A0&amp;row=1021&amp;col=6&amp;number=48300000&amp;sourceID=14","48300000")</f>
        <v>48300000</v>
      </c>
      <c r="G1021" s="4" t="str">
        <f>HYPERLINK("http://141.218.60.56/~jnz1568/getInfo.php?workbook=10_05.xlsx&amp;sheet=A0&amp;row=1021&amp;col=7&amp;number=0&amp;sourceID=14","0")</f>
        <v>0</v>
      </c>
    </row>
    <row r="1022" spans="1:7">
      <c r="A1022" s="3">
        <v>10</v>
      </c>
      <c r="B1022" s="3">
        <v>5</v>
      </c>
      <c r="C1022" s="3">
        <v>128</v>
      </c>
      <c r="D1022" s="3">
        <v>16</v>
      </c>
      <c r="E1022" s="3">
        <v>-250.748</v>
      </c>
      <c r="F1022" s="4" t="str">
        <f>HYPERLINK("http://141.218.60.56/~jnz1568/getInfo.php?workbook=10_05.xlsx&amp;sheet=A0&amp;row=1022&amp;col=6&amp;number=46100000&amp;sourceID=14","46100000")</f>
        <v>46100000</v>
      </c>
      <c r="G1022" s="4" t="str">
        <f>HYPERLINK("http://141.218.60.56/~jnz1568/getInfo.php?workbook=10_05.xlsx&amp;sheet=A0&amp;row=1022&amp;col=7&amp;number=0&amp;sourceID=14","0")</f>
        <v>0</v>
      </c>
    </row>
    <row r="1023" spans="1:7">
      <c r="A1023" s="3">
        <v>10</v>
      </c>
      <c r="B1023" s="3">
        <v>5</v>
      </c>
      <c r="C1023" s="3">
        <v>134</v>
      </c>
      <c r="D1023" s="3">
        <v>16</v>
      </c>
      <c r="E1023" s="3">
        <v>-247.964</v>
      </c>
      <c r="F1023" s="4" t="str">
        <f>HYPERLINK("http://141.218.60.56/~jnz1568/getInfo.php?workbook=10_05.xlsx&amp;sheet=A0&amp;row=1023&amp;col=6&amp;number=44.9&amp;sourceID=14","44.9")</f>
        <v>44.9</v>
      </c>
      <c r="G1023" s="4" t="str">
        <f>HYPERLINK("http://141.218.60.56/~jnz1568/getInfo.php?workbook=10_05.xlsx&amp;sheet=A0&amp;row=1023&amp;col=7&amp;number=0&amp;sourceID=14","0")</f>
        <v>0</v>
      </c>
    </row>
    <row r="1024" spans="1:7">
      <c r="A1024" s="3">
        <v>10</v>
      </c>
      <c r="B1024" s="3">
        <v>5</v>
      </c>
      <c r="C1024" s="3">
        <v>141</v>
      </c>
      <c r="D1024" s="3">
        <v>16</v>
      </c>
      <c r="E1024" s="3">
        <v>-245.103</v>
      </c>
      <c r="F1024" s="4" t="str">
        <f>HYPERLINK("http://141.218.60.56/~jnz1568/getInfo.php?workbook=10_05.xlsx&amp;sheet=A0&amp;row=1024&amp;col=6&amp;number=26400&amp;sourceID=14","26400")</f>
        <v>26400</v>
      </c>
      <c r="G1024" s="4" t="str">
        <f>HYPERLINK("http://141.218.60.56/~jnz1568/getInfo.php?workbook=10_05.xlsx&amp;sheet=A0&amp;row=1024&amp;col=7&amp;number=0&amp;sourceID=14","0")</f>
        <v>0</v>
      </c>
    </row>
    <row r="1025" spans="1:7">
      <c r="A1025" s="3">
        <v>10</v>
      </c>
      <c r="B1025" s="3">
        <v>5</v>
      </c>
      <c r="C1025" s="3">
        <v>142</v>
      </c>
      <c r="D1025" s="3">
        <v>16</v>
      </c>
      <c r="E1025" s="3">
        <v>245.074</v>
      </c>
      <c r="F1025" s="4" t="str">
        <f>HYPERLINK("http://141.218.60.56/~jnz1568/getInfo.php?workbook=10_05.xlsx&amp;sheet=A0&amp;row=1025&amp;col=6&amp;number=25400&amp;sourceID=14","25400")</f>
        <v>25400</v>
      </c>
      <c r="G1025" s="4" t="str">
        <f>HYPERLINK("http://141.218.60.56/~jnz1568/getInfo.php?workbook=10_05.xlsx&amp;sheet=A0&amp;row=1025&amp;col=7&amp;number=0&amp;sourceID=14","0")</f>
        <v>0</v>
      </c>
    </row>
    <row r="1026" spans="1:7">
      <c r="A1026" s="3">
        <v>10</v>
      </c>
      <c r="B1026" s="3">
        <v>5</v>
      </c>
      <c r="C1026" s="3">
        <v>145</v>
      </c>
      <c r="D1026" s="3">
        <v>16</v>
      </c>
      <c r="E1026" s="3">
        <v>244.26</v>
      </c>
      <c r="F1026" s="4" t="str">
        <f>HYPERLINK("http://141.218.60.56/~jnz1568/getInfo.php?workbook=10_05.xlsx&amp;sheet=A0&amp;row=1026&amp;col=6&amp;number=64300&amp;sourceID=14","64300")</f>
        <v>64300</v>
      </c>
      <c r="G1026" s="4" t="str">
        <f>HYPERLINK("http://141.218.60.56/~jnz1568/getInfo.php?workbook=10_05.xlsx&amp;sheet=A0&amp;row=1026&amp;col=7&amp;number=0&amp;sourceID=14","0")</f>
        <v>0</v>
      </c>
    </row>
    <row r="1027" spans="1:7">
      <c r="A1027" s="3">
        <v>10</v>
      </c>
      <c r="B1027" s="3">
        <v>5</v>
      </c>
      <c r="C1027" s="3">
        <v>148</v>
      </c>
      <c r="D1027" s="3">
        <v>16</v>
      </c>
      <c r="E1027" s="3">
        <v>243.849</v>
      </c>
      <c r="F1027" s="4" t="str">
        <f>HYPERLINK("http://141.218.60.56/~jnz1568/getInfo.php?workbook=10_05.xlsx&amp;sheet=A0&amp;row=1027&amp;col=6&amp;number=6930&amp;sourceID=14","6930")</f>
        <v>6930</v>
      </c>
      <c r="G1027" s="4" t="str">
        <f>HYPERLINK("http://141.218.60.56/~jnz1568/getInfo.php?workbook=10_05.xlsx&amp;sheet=A0&amp;row=1027&amp;col=7&amp;number=0&amp;sourceID=14","0")</f>
        <v>0</v>
      </c>
    </row>
    <row r="1028" spans="1:7">
      <c r="A1028" s="3">
        <v>10</v>
      </c>
      <c r="B1028" s="3">
        <v>5</v>
      </c>
      <c r="C1028" s="3">
        <v>149</v>
      </c>
      <c r="D1028" s="3">
        <v>16</v>
      </c>
      <c r="E1028" s="3">
        <v>243.79</v>
      </c>
      <c r="F1028" s="4" t="str">
        <f>HYPERLINK("http://141.218.60.56/~jnz1568/getInfo.php?workbook=10_05.xlsx&amp;sheet=A0&amp;row=1028&amp;col=6&amp;number=1580&amp;sourceID=14","1580")</f>
        <v>1580</v>
      </c>
      <c r="G1028" s="4" t="str">
        <f>HYPERLINK("http://141.218.60.56/~jnz1568/getInfo.php?workbook=10_05.xlsx&amp;sheet=A0&amp;row=1028&amp;col=7&amp;number=0&amp;sourceID=14","0")</f>
        <v>0</v>
      </c>
    </row>
    <row r="1029" spans="1:7">
      <c r="A1029" s="3">
        <v>10</v>
      </c>
      <c r="B1029" s="3">
        <v>5</v>
      </c>
      <c r="C1029" s="3">
        <v>158</v>
      </c>
      <c r="D1029" s="3">
        <v>16</v>
      </c>
      <c r="E1029" s="3">
        <v>-239.153</v>
      </c>
      <c r="F1029" s="4" t="str">
        <f>HYPERLINK("http://141.218.60.56/~jnz1568/getInfo.php?workbook=10_05.xlsx&amp;sheet=A0&amp;row=1029&amp;col=6&amp;number=17800000&amp;sourceID=14","17800000")</f>
        <v>17800000</v>
      </c>
      <c r="G1029" s="4" t="str">
        <f>HYPERLINK("http://141.218.60.56/~jnz1568/getInfo.php?workbook=10_05.xlsx&amp;sheet=A0&amp;row=1029&amp;col=7&amp;number=0&amp;sourceID=14","0")</f>
        <v>0</v>
      </c>
    </row>
    <row r="1030" spans="1:7">
      <c r="A1030" s="3">
        <v>10</v>
      </c>
      <c r="B1030" s="3">
        <v>5</v>
      </c>
      <c r="C1030" s="3">
        <v>159</v>
      </c>
      <c r="D1030" s="3">
        <v>16</v>
      </c>
      <c r="E1030" s="3">
        <v>-238.909</v>
      </c>
      <c r="F1030" s="4" t="str">
        <f>HYPERLINK("http://141.218.60.56/~jnz1568/getInfo.php?workbook=10_05.xlsx&amp;sheet=A0&amp;row=1030&amp;col=6&amp;number=17400000&amp;sourceID=14","17400000")</f>
        <v>17400000</v>
      </c>
      <c r="G1030" s="4" t="str">
        <f>HYPERLINK("http://141.218.60.56/~jnz1568/getInfo.php?workbook=10_05.xlsx&amp;sheet=A0&amp;row=1030&amp;col=7&amp;number=0&amp;sourceID=14","0")</f>
        <v>0</v>
      </c>
    </row>
    <row r="1031" spans="1:7">
      <c r="A1031" s="3">
        <v>10</v>
      </c>
      <c r="B1031" s="3">
        <v>5</v>
      </c>
      <c r="C1031" s="3">
        <v>164</v>
      </c>
      <c r="D1031" s="3">
        <v>16</v>
      </c>
      <c r="E1031" s="3">
        <v>-215.194</v>
      </c>
      <c r="F1031" s="4" t="str">
        <f>HYPERLINK("http://141.218.60.56/~jnz1568/getInfo.php?workbook=10_05.xlsx&amp;sheet=A0&amp;row=1031&amp;col=6&amp;number=12200000&amp;sourceID=14","12200000")</f>
        <v>12200000</v>
      </c>
      <c r="G1031" s="4" t="str">
        <f>HYPERLINK("http://141.218.60.56/~jnz1568/getInfo.php?workbook=10_05.xlsx&amp;sheet=A0&amp;row=1031&amp;col=7&amp;number=0&amp;sourceID=14","0")</f>
        <v>0</v>
      </c>
    </row>
    <row r="1032" spans="1:7">
      <c r="A1032" s="3">
        <v>10</v>
      </c>
      <c r="B1032" s="3">
        <v>5</v>
      </c>
      <c r="C1032" s="3">
        <v>165</v>
      </c>
      <c r="D1032" s="3">
        <v>16</v>
      </c>
      <c r="E1032" s="3">
        <v>-215.131</v>
      </c>
      <c r="F1032" s="4" t="str">
        <f>HYPERLINK("http://141.218.60.56/~jnz1568/getInfo.php?workbook=10_05.xlsx&amp;sheet=A0&amp;row=1032&amp;col=6&amp;number=12000000&amp;sourceID=14","12000000")</f>
        <v>12000000</v>
      </c>
      <c r="G1032" s="4" t="str">
        <f>HYPERLINK("http://141.218.60.56/~jnz1568/getInfo.php?workbook=10_05.xlsx&amp;sheet=A0&amp;row=1032&amp;col=7&amp;number=0&amp;sourceID=14","0")</f>
        <v>0</v>
      </c>
    </row>
    <row r="1033" spans="1:7">
      <c r="A1033" s="3">
        <v>10</v>
      </c>
      <c r="B1033" s="3">
        <v>5</v>
      </c>
      <c r="C1033" s="3">
        <v>166</v>
      </c>
      <c r="D1033" s="3">
        <v>16</v>
      </c>
      <c r="E1033" s="3">
        <v>-203.288</v>
      </c>
      <c r="F1033" s="4" t="str">
        <f>HYPERLINK("http://141.218.60.56/~jnz1568/getInfo.php?workbook=10_05.xlsx&amp;sheet=A0&amp;row=1033&amp;col=6&amp;number=29800000&amp;sourceID=14","29800000")</f>
        <v>29800000</v>
      </c>
      <c r="G1033" s="4" t="str">
        <f>HYPERLINK("http://141.218.60.56/~jnz1568/getInfo.php?workbook=10_05.xlsx&amp;sheet=A0&amp;row=1033&amp;col=7&amp;number=0&amp;sourceID=14","0")</f>
        <v>0</v>
      </c>
    </row>
    <row r="1034" spans="1:7">
      <c r="A1034" s="3">
        <v>10</v>
      </c>
      <c r="B1034" s="3">
        <v>5</v>
      </c>
      <c r="C1034" s="3">
        <v>167</v>
      </c>
      <c r="D1034" s="3">
        <v>16</v>
      </c>
      <c r="E1034" s="3">
        <v>-203.271</v>
      </c>
      <c r="F1034" s="4" t="str">
        <f>HYPERLINK("http://141.218.60.56/~jnz1568/getInfo.php?workbook=10_05.xlsx&amp;sheet=A0&amp;row=1034&amp;col=6&amp;number=29600000&amp;sourceID=14","29600000")</f>
        <v>29600000</v>
      </c>
      <c r="G1034" s="4" t="str">
        <f>HYPERLINK("http://141.218.60.56/~jnz1568/getInfo.php?workbook=10_05.xlsx&amp;sheet=A0&amp;row=1034&amp;col=7&amp;number=0&amp;sourceID=14","0")</f>
        <v>0</v>
      </c>
    </row>
    <row r="1035" spans="1:7">
      <c r="A1035" s="3">
        <v>10</v>
      </c>
      <c r="B1035" s="3">
        <v>5</v>
      </c>
      <c r="C1035" s="3">
        <v>177</v>
      </c>
      <c r="D1035" s="3">
        <v>16</v>
      </c>
      <c r="E1035" s="3">
        <v>-190.722</v>
      </c>
      <c r="F1035" s="4" t="str">
        <f>HYPERLINK("http://141.218.60.56/~jnz1568/getInfo.php?workbook=10_05.xlsx&amp;sheet=A0&amp;row=1035&amp;col=6&amp;number=81.8&amp;sourceID=14","81.8")</f>
        <v>81.8</v>
      </c>
      <c r="G1035" s="4" t="str">
        <f>HYPERLINK("http://141.218.60.56/~jnz1568/getInfo.php?workbook=10_05.xlsx&amp;sheet=A0&amp;row=1035&amp;col=7&amp;number=0&amp;sourceID=14","0")</f>
        <v>0</v>
      </c>
    </row>
    <row r="1036" spans="1:7">
      <c r="A1036" s="3">
        <v>10</v>
      </c>
      <c r="B1036" s="3">
        <v>5</v>
      </c>
      <c r="C1036" s="3">
        <v>179</v>
      </c>
      <c r="D1036" s="3">
        <v>16</v>
      </c>
      <c r="E1036" s="3">
        <v>-189.244</v>
      </c>
      <c r="F1036" s="4" t="str">
        <f>HYPERLINK("http://141.218.60.56/~jnz1568/getInfo.php?workbook=10_05.xlsx&amp;sheet=A0&amp;row=1036&amp;col=6&amp;number=30000000&amp;sourceID=14","30000000")</f>
        <v>30000000</v>
      </c>
      <c r="G1036" s="4" t="str">
        <f>HYPERLINK("http://141.218.60.56/~jnz1568/getInfo.php?workbook=10_05.xlsx&amp;sheet=A0&amp;row=1036&amp;col=7&amp;number=0&amp;sourceID=14","0")</f>
        <v>0</v>
      </c>
    </row>
    <row r="1037" spans="1:7">
      <c r="A1037" s="3">
        <v>10</v>
      </c>
      <c r="B1037" s="3">
        <v>5</v>
      </c>
      <c r="C1037" s="3">
        <v>180</v>
      </c>
      <c r="D1037" s="3">
        <v>16</v>
      </c>
      <c r="E1037" s="3">
        <v>-189.231</v>
      </c>
      <c r="F1037" s="4" t="str">
        <f>HYPERLINK("http://141.218.60.56/~jnz1568/getInfo.php?workbook=10_05.xlsx&amp;sheet=A0&amp;row=1037&amp;col=6&amp;number=30000000&amp;sourceID=14","30000000")</f>
        <v>30000000</v>
      </c>
      <c r="G1037" s="4" t="str">
        <f>HYPERLINK("http://141.218.60.56/~jnz1568/getInfo.php?workbook=10_05.xlsx&amp;sheet=A0&amp;row=1037&amp;col=7&amp;number=0&amp;sourceID=14","0")</f>
        <v>0</v>
      </c>
    </row>
    <row r="1038" spans="1:7">
      <c r="A1038" s="3">
        <v>10</v>
      </c>
      <c r="B1038" s="3">
        <v>5</v>
      </c>
      <c r="C1038" s="3">
        <v>19</v>
      </c>
      <c r="D1038" s="3">
        <v>17</v>
      </c>
      <c r="E1038" s="3">
        <v>2213.82</v>
      </c>
      <c r="F1038" s="4" t="str">
        <f>HYPERLINK("http://141.218.60.56/~jnz1568/getInfo.php?workbook=10_05.xlsx&amp;sheet=A0&amp;row=1038&amp;col=6&amp;number=135000000&amp;sourceID=14","135000000")</f>
        <v>135000000</v>
      </c>
      <c r="G1038" s="4" t="str">
        <f>HYPERLINK("http://141.218.60.56/~jnz1568/getInfo.php?workbook=10_05.xlsx&amp;sheet=A0&amp;row=1038&amp;col=7&amp;number=0&amp;sourceID=14","0")</f>
        <v>0</v>
      </c>
    </row>
    <row r="1039" spans="1:7">
      <c r="A1039" s="3">
        <v>10</v>
      </c>
      <c r="B1039" s="3">
        <v>5</v>
      </c>
      <c r="C1039" s="3">
        <v>26</v>
      </c>
      <c r="D1039" s="3">
        <v>17</v>
      </c>
      <c r="E1039" s="3">
        <v>952.783</v>
      </c>
      <c r="F1039" s="4" t="str">
        <f>HYPERLINK("http://141.218.60.56/~jnz1568/getInfo.php?workbook=10_05.xlsx&amp;sheet=A0&amp;row=1039&amp;col=6&amp;number=51000000&amp;sourceID=14","51000000")</f>
        <v>51000000</v>
      </c>
      <c r="G1039" s="4" t="str">
        <f>HYPERLINK("http://141.218.60.56/~jnz1568/getInfo.php?workbook=10_05.xlsx&amp;sheet=A0&amp;row=1039&amp;col=7&amp;number=0&amp;sourceID=14","0")</f>
        <v>0</v>
      </c>
    </row>
    <row r="1040" spans="1:7">
      <c r="A1040" s="3">
        <v>10</v>
      </c>
      <c r="B1040" s="3">
        <v>5</v>
      </c>
      <c r="C1040" s="3">
        <v>27</v>
      </c>
      <c r="D1040" s="3">
        <v>17</v>
      </c>
      <c r="E1040" s="3">
        <v>948.535</v>
      </c>
      <c r="F1040" s="4" t="str">
        <f>HYPERLINK("http://141.218.60.56/~jnz1568/getInfo.php?workbook=10_05.xlsx&amp;sheet=A0&amp;row=1040&amp;col=6&amp;number=14500000&amp;sourceID=14","14500000")</f>
        <v>14500000</v>
      </c>
      <c r="G1040" s="4" t="str">
        <f>HYPERLINK("http://141.218.60.56/~jnz1568/getInfo.php?workbook=10_05.xlsx&amp;sheet=A0&amp;row=1040&amp;col=7&amp;number=0&amp;sourceID=14","0")</f>
        <v>0</v>
      </c>
    </row>
    <row r="1041" spans="1:7">
      <c r="A1041" s="3">
        <v>10</v>
      </c>
      <c r="B1041" s="3">
        <v>5</v>
      </c>
      <c r="C1041" s="3">
        <v>28</v>
      </c>
      <c r="D1041" s="3">
        <v>17</v>
      </c>
      <c r="E1041" s="3">
        <v>-937.903</v>
      </c>
      <c r="F1041" s="4" t="str">
        <f>HYPERLINK("http://141.218.60.56/~jnz1568/getInfo.php?workbook=10_05.xlsx&amp;sheet=A0&amp;row=1041&amp;col=6&amp;number=1640000&amp;sourceID=14","1640000")</f>
        <v>1640000</v>
      </c>
      <c r="G1041" s="4" t="str">
        <f>HYPERLINK("http://141.218.60.56/~jnz1568/getInfo.php?workbook=10_05.xlsx&amp;sheet=A0&amp;row=1041&amp;col=7&amp;number=0&amp;sourceID=14","0")</f>
        <v>0</v>
      </c>
    </row>
    <row r="1042" spans="1:7">
      <c r="A1042" s="3">
        <v>10</v>
      </c>
      <c r="B1042" s="3">
        <v>5</v>
      </c>
      <c r="C1042" s="3">
        <v>29</v>
      </c>
      <c r="D1042" s="3">
        <v>17</v>
      </c>
      <c r="E1042" s="3">
        <v>-935.788</v>
      </c>
      <c r="F1042" s="4" t="str">
        <f>HYPERLINK("http://141.218.60.56/~jnz1568/getInfo.php?workbook=10_05.xlsx&amp;sheet=A0&amp;row=1042&amp;col=6&amp;number=277000&amp;sourceID=14","277000")</f>
        <v>277000</v>
      </c>
      <c r="G1042" s="4" t="str">
        <f>HYPERLINK("http://141.218.60.56/~jnz1568/getInfo.php?workbook=10_05.xlsx&amp;sheet=A0&amp;row=1042&amp;col=7&amp;number=0&amp;sourceID=14","0")</f>
        <v>0</v>
      </c>
    </row>
    <row r="1043" spans="1:7">
      <c r="A1043" s="3">
        <v>10</v>
      </c>
      <c r="B1043" s="3">
        <v>5</v>
      </c>
      <c r="C1043" s="3">
        <v>32</v>
      </c>
      <c r="D1043" s="3">
        <v>17</v>
      </c>
      <c r="E1043" s="3">
        <v>-866.065</v>
      </c>
      <c r="F1043" s="4" t="str">
        <f>HYPERLINK("http://141.218.60.56/~jnz1568/getInfo.php?workbook=10_05.xlsx&amp;sheet=A0&amp;row=1043&amp;col=6&amp;number=6710&amp;sourceID=14","6710")</f>
        <v>6710</v>
      </c>
      <c r="G1043" s="4" t="str">
        <f>HYPERLINK("http://141.218.60.56/~jnz1568/getInfo.php?workbook=10_05.xlsx&amp;sheet=A0&amp;row=1043&amp;col=7&amp;number=0&amp;sourceID=14","0")</f>
        <v>0</v>
      </c>
    </row>
    <row r="1044" spans="1:7">
      <c r="A1044" s="3">
        <v>10</v>
      </c>
      <c r="B1044" s="3">
        <v>5</v>
      </c>
      <c r="C1044" s="3">
        <v>33</v>
      </c>
      <c r="D1044" s="3">
        <v>17</v>
      </c>
      <c r="E1044" s="3">
        <v>-809.227</v>
      </c>
      <c r="F1044" s="4" t="str">
        <f>HYPERLINK("http://141.218.60.56/~jnz1568/getInfo.php?workbook=10_05.xlsx&amp;sheet=A0&amp;row=1044&amp;col=6&amp;number=0.768&amp;sourceID=14","0.768")</f>
        <v>0.768</v>
      </c>
      <c r="G1044" s="4" t="str">
        <f>HYPERLINK("http://141.218.60.56/~jnz1568/getInfo.php?workbook=10_05.xlsx&amp;sheet=A0&amp;row=1044&amp;col=7&amp;number=0&amp;sourceID=14","0")</f>
        <v>0</v>
      </c>
    </row>
    <row r="1045" spans="1:7">
      <c r="A1045" s="3">
        <v>10</v>
      </c>
      <c r="B1045" s="3">
        <v>5</v>
      </c>
      <c r="C1045" s="3">
        <v>34</v>
      </c>
      <c r="D1045" s="3">
        <v>17</v>
      </c>
      <c r="E1045" s="3">
        <v>-807.293</v>
      </c>
      <c r="F1045" s="4" t="str">
        <f>HYPERLINK("http://141.218.60.56/~jnz1568/getInfo.php?workbook=10_05.xlsx&amp;sheet=A0&amp;row=1045&amp;col=6&amp;number=37400&amp;sourceID=14","37400")</f>
        <v>37400</v>
      </c>
      <c r="G1045" s="4" t="str">
        <f>HYPERLINK("http://141.218.60.56/~jnz1568/getInfo.php?workbook=10_05.xlsx&amp;sheet=A0&amp;row=1045&amp;col=7&amp;number=0&amp;sourceID=14","0")</f>
        <v>0</v>
      </c>
    </row>
    <row r="1046" spans="1:7">
      <c r="A1046" s="3">
        <v>10</v>
      </c>
      <c r="B1046" s="3">
        <v>5</v>
      </c>
      <c r="C1046" s="3">
        <v>36</v>
      </c>
      <c r="D1046" s="3">
        <v>17</v>
      </c>
      <c r="E1046" s="3">
        <v>776.002</v>
      </c>
      <c r="F1046" s="4" t="str">
        <f>HYPERLINK("http://141.218.60.56/~jnz1568/getInfo.php?workbook=10_05.xlsx&amp;sheet=A0&amp;row=1046&amp;col=6&amp;number=223000000&amp;sourceID=14","223000000")</f>
        <v>223000000</v>
      </c>
      <c r="G1046" s="4" t="str">
        <f>HYPERLINK("http://141.218.60.56/~jnz1568/getInfo.php?workbook=10_05.xlsx&amp;sheet=A0&amp;row=1046&amp;col=7&amp;number=0&amp;sourceID=14","0")</f>
        <v>0</v>
      </c>
    </row>
    <row r="1047" spans="1:7">
      <c r="A1047" s="3">
        <v>10</v>
      </c>
      <c r="B1047" s="3">
        <v>5</v>
      </c>
      <c r="C1047" s="3">
        <v>40</v>
      </c>
      <c r="D1047" s="3">
        <v>17</v>
      </c>
      <c r="E1047" s="3">
        <v>696.255</v>
      </c>
      <c r="F1047" s="4" t="str">
        <f>HYPERLINK("http://141.218.60.56/~jnz1568/getInfo.php?workbook=10_05.xlsx&amp;sheet=A0&amp;row=1047&amp;col=6&amp;number=50700000&amp;sourceID=14","50700000")</f>
        <v>50700000</v>
      </c>
      <c r="G1047" s="4" t="str">
        <f>HYPERLINK("http://141.218.60.56/~jnz1568/getInfo.php?workbook=10_05.xlsx&amp;sheet=A0&amp;row=1047&amp;col=7&amp;number=0&amp;sourceID=14","0")</f>
        <v>0</v>
      </c>
    </row>
    <row r="1048" spans="1:7">
      <c r="A1048" s="3">
        <v>10</v>
      </c>
      <c r="B1048" s="3">
        <v>5</v>
      </c>
      <c r="C1048" s="3">
        <v>58</v>
      </c>
      <c r="D1048" s="3">
        <v>17</v>
      </c>
      <c r="E1048" s="3">
        <v>472.22</v>
      </c>
      <c r="F1048" s="4" t="str">
        <f>HYPERLINK("http://141.218.60.56/~jnz1568/getInfo.php?workbook=10_05.xlsx&amp;sheet=A0&amp;row=1048&amp;col=6&amp;number=3410000000&amp;sourceID=14","3410000000")</f>
        <v>3410000000</v>
      </c>
      <c r="G1048" s="4" t="str">
        <f>HYPERLINK("http://141.218.60.56/~jnz1568/getInfo.php?workbook=10_05.xlsx&amp;sheet=A0&amp;row=1048&amp;col=7&amp;number=0&amp;sourceID=14","0")</f>
        <v>0</v>
      </c>
    </row>
    <row r="1049" spans="1:7">
      <c r="A1049" s="3">
        <v>10</v>
      </c>
      <c r="B1049" s="3">
        <v>5</v>
      </c>
      <c r="C1049" s="3">
        <v>59</v>
      </c>
      <c r="D1049" s="3">
        <v>17</v>
      </c>
      <c r="E1049" s="3">
        <v>465.624</v>
      </c>
      <c r="F1049" s="4" t="str">
        <f>HYPERLINK("http://141.218.60.56/~jnz1568/getInfo.php?workbook=10_05.xlsx&amp;sheet=A0&amp;row=1049&amp;col=6&amp;number=3590000000&amp;sourceID=14","3590000000")</f>
        <v>3590000000</v>
      </c>
      <c r="G1049" s="4" t="str">
        <f>HYPERLINK("http://141.218.60.56/~jnz1568/getInfo.php?workbook=10_05.xlsx&amp;sheet=A0&amp;row=1049&amp;col=7&amp;number=0&amp;sourceID=14","0")</f>
        <v>0</v>
      </c>
    </row>
    <row r="1050" spans="1:7">
      <c r="A1050" s="3">
        <v>10</v>
      </c>
      <c r="B1050" s="3">
        <v>5</v>
      </c>
      <c r="C1050" s="3">
        <v>61</v>
      </c>
      <c r="D1050" s="3">
        <v>17</v>
      </c>
      <c r="E1050" s="3">
        <v>462.074</v>
      </c>
      <c r="F1050" s="4" t="str">
        <f>HYPERLINK("http://141.218.60.56/~jnz1568/getInfo.php?workbook=10_05.xlsx&amp;sheet=A0&amp;row=1050&amp;col=6&amp;number=3150000000&amp;sourceID=14","3150000000")</f>
        <v>3150000000</v>
      </c>
      <c r="G1050" s="4" t="str">
        <f>HYPERLINK("http://141.218.60.56/~jnz1568/getInfo.php?workbook=10_05.xlsx&amp;sheet=A0&amp;row=1050&amp;col=7&amp;number=0&amp;sourceID=14","0")</f>
        <v>0</v>
      </c>
    </row>
    <row r="1051" spans="1:7">
      <c r="A1051" s="3">
        <v>10</v>
      </c>
      <c r="B1051" s="3">
        <v>5</v>
      </c>
      <c r="C1051" s="3">
        <v>62</v>
      </c>
      <c r="D1051" s="3">
        <v>17</v>
      </c>
      <c r="E1051" s="3">
        <v>461.435</v>
      </c>
      <c r="F1051" s="4" t="str">
        <f>HYPERLINK("http://141.218.60.56/~jnz1568/getInfo.php?workbook=10_05.xlsx&amp;sheet=A0&amp;row=1051&amp;col=6&amp;number=187000000&amp;sourceID=14","187000000")</f>
        <v>187000000</v>
      </c>
      <c r="G1051" s="4" t="str">
        <f>HYPERLINK("http://141.218.60.56/~jnz1568/getInfo.php?workbook=10_05.xlsx&amp;sheet=A0&amp;row=1051&amp;col=7&amp;number=0&amp;sourceID=14","0")</f>
        <v>0</v>
      </c>
    </row>
    <row r="1052" spans="1:7">
      <c r="A1052" s="3">
        <v>10</v>
      </c>
      <c r="B1052" s="3">
        <v>5</v>
      </c>
      <c r="C1052" s="3">
        <v>63</v>
      </c>
      <c r="D1052" s="3">
        <v>17</v>
      </c>
      <c r="E1052" s="3">
        <v>448.903</v>
      </c>
      <c r="F1052" s="4" t="str">
        <f>HYPERLINK("http://141.218.60.56/~jnz1568/getInfo.php?workbook=10_05.xlsx&amp;sheet=A0&amp;row=1052&amp;col=6&amp;number=237000000&amp;sourceID=14","237000000")</f>
        <v>237000000</v>
      </c>
      <c r="G1052" s="4" t="str">
        <f>HYPERLINK("http://141.218.60.56/~jnz1568/getInfo.php?workbook=10_05.xlsx&amp;sheet=A0&amp;row=1052&amp;col=7&amp;number=0&amp;sourceID=14","0")</f>
        <v>0</v>
      </c>
    </row>
    <row r="1053" spans="1:7">
      <c r="A1053" s="3">
        <v>10</v>
      </c>
      <c r="B1053" s="3">
        <v>5</v>
      </c>
      <c r="C1053" s="3">
        <v>66</v>
      </c>
      <c r="D1053" s="3">
        <v>17</v>
      </c>
      <c r="E1053" s="3">
        <v>403.526</v>
      </c>
      <c r="F1053" s="4" t="str">
        <f>HYPERLINK("http://141.218.60.56/~jnz1568/getInfo.php?workbook=10_05.xlsx&amp;sheet=A0&amp;row=1053&amp;col=6&amp;number=6330000000&amp;sourceID=14","6330000000")</f>
        <v>6330000000</v>
      </c>
      <c r="G1053" s="4" t="str">
        <f>HYPERLINK("http://141.218.60.56/~jnz1568/getInfo.php?workbook=10_05.xlsx&amp;sheet=A0&amp;row=1053&amp;col=7&amp;number=0&amp;sourceID=14","0")</f>
        <v>0</v>
      </c>
    </row>
    <row r="1054" spans="1:7">
      <c r="A1054" s="3">
        <v>10</v>
      </c>
      <c r="B1054" s="3">
        <v>5</v>
      </c>
      <c r="C1054" s="3">
        <v>70</v>
      </c>
      <c r="D1054" s="3">
        <v>17</v>
      </c>
      <c r="E1054" s="3">
        <v>396.833</v>
      </c>
      <c r="F1054" s="4" t="str">
        <f>HYPERLINK("http://141.218.60.56/~jnz1568/getInfo.php?workbook=10_05.xlsx&amp;sheet=A0&amp;row=1054&amp;col=6&amp;number=12700&amp;sourceID=14","12700")</f>
        <v>12700</v>
      </c>
      <c r="G1054" s="4" t="str">
        <f>HYPERLINK("http://141.218.60.56/~jnz1568/getInfo.php?workbook=10_05.xlsx&amp;sheet=A0&amp;row=1054&amp;col=7&amp;number=0&amp;sourceID=14","0")</f>
        <v>0</v>
      </c>
    </row>
    <row r="1055" spans="1:7">
      <c r="A1055" s="3">
        <v>10</v>
      </c>
      <c r="B1055" s="3">
        <v>5</v>
      </c>
      <c r="C1055" s="3">
        <v>71</v>
      </c>
      <c r="D1055" s="3">
        <v>17</v>
      </c>
      <c r="E1055" s="3">
        <v>396.833</v>
      </c>
      <c r="F1055" s="4" t="str">
        <f>HYPERLINK("http://141.218.60.56/~jnz1568/getInfo.php?workbook=10_05.xlsx&amp;sheet=A0&amp;row=1055&amp;col=6&amp;number=104000&amp;sourceID=14","104000")</f>
        <v>104000</v>
      </c>
      <c r="G1055" s="4" t="str">
        <f>HYPERLINK("http://141.218.60.56/~jnz1568/getInfo.php?workbook=10_05.xlsx&amp;sheet=A0&amp;row=1055&amp;col=7&amp;number=0&amp;sourceID=14","0")</f>
        <v>0</v>
      </c>
    </row>
    <row r="1056" spans="1:7">
      <c r="A1056" s="3">
        <v>10</v>
      </c>
      <c r="B1056" s="3">
        <v>5</v>
      </c>
      <c r="C1056" s="3">
        <v>77</v>
      </c>
      <c r="D1056" s="3">
        <v>17</v>
      </c>
      <c r="E1056" s="3">
        <v>-361.892</v>
      </c>
      <c r="F1056" s="4" t="str">
        <f>HYPERLINK("http://141.218.60.56/~jnz1568/getInfo.php?workbook=10_05.xlsx&amp;sheet=A0&amp;row=1056&amp;col=6&amp;number=60300000&amp;sourceID=14","60300000")</f>
        <v>60300000</v>
      </c>
      <c r="G1056" s="4" t="str">
        <f>HYPERLINK("http://141.218.60.56/~jnz1568/getInfo.php?workbook=10_05.xlsx&amp;sheet=A0&amp;row=1056&amp;col=7&amp;number=0&amp;sourceID=14","0")</f>
        <v>0</v>
      </c>
    </row>
    <row r="1057" spans="1:7">
      <c r="A1057" s="3">
        <v>10</v>
      </c>
      <c r="B1057" s="3">
        <v>5</v>
      </c>
      <c r="C1057" s="3">
        <v>78</v>
      </c>
      <c r="D1057" s="3">
        <v>17</v>
      </c>
      <c r="E1057" s="3">
        <v>-360.807</v>
      </c>
      <c r="F1057" s="4" t="str">
        <f>HYPERLINK("http://141.218.60.56/~jnz1568/getInfo.php?workbook=10_05.xlsx&amp;sheet=A0&amp;row=1057&amp;col=6&amp;number=10800000&amp;sourceID=14","10800000")</f>
        <v>10800000</v>
      </c>
      <c r="G1057" s="4" t="str">
        <f>HYPERLINK("http://141.218.60.56/~jnz1568/getInfo.php?workbook=10_05.xlsx&amp;sheet=A0&amp;row=1057&amp;col=7&amp;number=0&amp;sourceID=14","0")</f>
        <v>0</v>
      </c>
    </row>
    <row r="1058" spans="1:7">
      <c r="A1058" s="3">
        <v>10</v>
      </c>
      <c r="B1058" s="3">
        <v>5</v>
      </c>
      <c r="C1058" s="3">
        <v>80</v>
      </c>
      <c r="D1058" s="3">
        <v>17</v>
      </c>
      <c r="E1058" s="3">
        <v>350.883</v>
      </c>
      <c r="F1058" s="4" t="str">
        <f>HYPERLINK("http://141.218.60.56/~jnz1568/getInfo.php?workbook=10_05.xlsx&amp;sheet=A0&amp;row=1058&amp;col=6&amp;number=241000000&amp;sourceID=14","241000000")</f>
        <v>241000000</v>
      </c>
      <c r="G1058" s="4" t="str">
        <f>HYPERLINK("http://141.218.60.56/~jnz1568/getInfo.php?workbook=10_05.xlsx&amp;sheet=A0&amp;row=1058&amp;col=7&amp;number=0&amp;sourceID=14","0")</f>
        <v>0</v>
      </c>
    </row>
    <row r="1059" spans="1:7">
      <c r="A1059" s="3">
        <v>10</v>
      </c>
      <c r="B1059" s="3">
        <v>5</v>
      </c>
      <c r="C1059" s="3">
        <v>99</v>
      </c>
      <c r="D1059" s="3">
        <v>17</v>
      </c>
      <c r="E1059" s="3">
        <v>-304.573</v>
      </c>
      <c r="F1059" s="4" t="str">
        <f>HYPERLINK("http://141.218.60.56/~jnz1568/getInfo.php?workbook=10_05.xlsx&amp;sheet=A0&amp;row=1059&amp;col=6&amp;number=2480&amp;sourceID=14","2480")</f>
        <v>2480</v>
      </c>
      <c r="G1059" s="4" t="str">
        <f>HYPERLINK("http://141.218.60.56/~jnz1568/getInfo.php?workbook=10_05.xlsx&amp;sheet=A0&amp;row=1059&amp;col=7&amp;number=0&amp;sourceID=14","0")</f>
        <v>0</v>
      </c>
    </row>
    <row r="1060" spans="1:7">
      <c r="A1060" s="3">
        <v>10</v>
      </c>
      <c r="B1060" s="3">
        <v>5</v>
      </c>
      <c r="C1060" s="3">
        <v>105</v>
      </c>
      <c r="D1060" s="3">
        <v>17</v>
      </c>
      <c r="E1060" s="3">
        <v>-299.126</v>
      </c>
      <c r="F1060" s="4" t="str">
        <f>HYPERLINK("http://141.218.60.56/~jnz1568/getInfo.php?workbook=10_05.xlsx&amp;sheet=A0&amp;row=1060&amp;col=6&amp;number=1090000&amp;sourceID=14","1090000")</f>
        <v>1090000</v>
      </c>
      <c r="G1060" s="4" t="str">
        <f>HYPERLINK("http://141.218.60.56/~jnz1568/getInfo.php?workbook=10_05.xlsx&amp;sheet=A0&amp;row=1060&amp;col=7&amp;number=0&amp;sourceID=14","0")</f>
        <v>0</v>
      </c>
    </row>
    <row r="1061" spans="1:7">
      <c r="A1061" s="3">
        <v>10</v>
      </c>
      <c r="B1061" s="3">
        <v>5</v>
      </c>
      <c r="C1061" s="3">
        <v>106</v>
      </c>
      <c r="D1061" s="3">
        <v>17</v>
      </c>
      <c r="E1061" s="3">
        <v>-299.014</v>
      </c>
      <c r="F1061" s="4" t="str">
        <f>HYPERLINK("http://141.218.60.56/~jnz1568/getInfo.php?workbook=10_05.xlsx&amp;sheet=A0&amp;row=1061&amp;col=6&amp;number=407000&amp;sourceID=14","407000")</f>
        <v>407000</v>
      </c>
      <c r="G1061" s="4" t="str">
        <f>HYPERLINK("http://141.218.60.56/~jnz1568/getInfo.php?workbook=10_05.xlsx&amp;sheet=A0&amp;row=1061&amp;col=7&amp;number=0&amp;sourceID=14","0")</f>
        <v>0</v>
      </c>
    </row>
    <row r="1062" spans="1:7">
      <c r="A1062" s="3">
        <v>10</v>
      </c>
      <c r="B1062" s="3">
        <v>5</v>
      </c>
      <c r="C1062" s="3">
        <v>109</v>
      </c>
      <c r="D1062" s="3">
        <v>17</v>
      </c>
      <c r="E1062" s="3">
        <v>-298.139</v>
      </c>
      <c r="F1062" s="4" t="str">
        <f>HYPERLINK("http://141.218.60.56/~jnz1568/getInfo.php?workbook=10_05.xlsx&amp;sheet=A0&amp;row=1062&amp;col=6&amp;number=3990000&amp;sourceID=14","3990000")</f>
        <v>3990000</v>
      </c>
      <c r="G1062" s="4" t="str">
        <f>HYPERLINK("http://141.218.60.56/~jnz1568/getInfo.php?workbook=10_05.xlsx&amp;sheet=A0&amp;row=1062&amp;col=7&amp;number=0&amp;sourceID=14","0")</f>
        <v>0</v>
      </c>
    </row>
    <row r="1063" spans="1:7">
      <c r="A1063" s="3">
        <v>10</v>
      </c>
      <c r="B1063" s="3">
        <v>5</v>
      </c>
      <c r="C1063" s="3">
        <v>111</v>
      </c>
      <c r="D1063" s="3">
        <v>17</v>
      </c>
      <c r="E1063" s="3">
        <v>-297.608</v>
      </c>
      <c r="F1063" s="4" t="str">
        <f>HYPERLINK("http://141.218.60.56/~jnz1568/getInfo.php?workbook=10_05.xlsx&amp;sheet=A0&amp;row=1063&amp;col=6&amp;number=17900000&amp;sourceID=14","17900000")</f>
        <v>17900000</v>
      </c>
      <c r="G1063" s="4" t="str">
        <f>HYPERLINK("http://141.218.60.56/~jnz1568/getInfo.php?workbook=10_05.xlsx&amp;sheet=A0&amp;row=1063&amp;col=7&amp;number=0&amp;sourceID=14","0")</f>
        <v>0</v>
      </c>
    </row>
    <row r="1064" spans="1:7">
      <c r="A1064" s="3">
        <v>10</v>
      </c>
      <c r="B1064" s="3">
        <v>5</v>
      </c>
      <c r="C1064" s="3">
        <v>118</v>
      </c>
      <c r="D1064" s="3">
        <v>17</v>
      </c>
      <c r="E1064" s="3">
        <v>-290.622</v>
      </c>
      <c r="F1064" s="4" t="str">
        <f>HYPERLINK("http://141.218.60.56/~jnz1568/getInfo.php?workbook=10_05.xlsx&amp;sheet=A0&amp;row=1064&amp;col=6&amp;number=47800&amp;sourceID=14","47800")</f>
        <v>47800</v>
      </c>
      <c r="G1064" s="4" t="str">
        <f>HYPERLINK("http://141.218.60.56/~jnz1568/getInfo.php?workbook=10_05.xlsx&amp;sheet=A0&amp;row=1064&amp;col=7&amp;number=0&amp;sourceID=14","0")</f>
        <v>0</v>
      </c>
    </row>
    <row r="1065" spans="1:7">
      <c r="A1065" s="3">
        <v>10</v>
      </c>
      <c r="B1065" s="3">
        <v>5</v>
      </c>
      <c r="C1065" s="3">
        <v>119</v>
      </c>
      <c r="D1065" s="3">
        <v>17</v>
      </c>
      <c r="E1065" s="3">
        <v>-290.58</v>
      </c>
      <c r="F1065" s="4" t="str">
        <f>HYPERLINK("http://141.218.60.56/~jnz1568/getInfo.php?workbook=10_05.xlsx&amp;sheet=A0&amp;row=1065&amp;col=6&amp;number=778&amp;sourceID=14","778")</f>
        <v>778</v>
      </c>
      <c r="G1065" s="4" t="str">
        <f>HYPERLINK("http://141.218.60.56/~jnz1568/getInfo.php?workbook=10_05.xlsx&amp;sheet=A0&amp;row=1065&amp;col=7&amp;number=0&amp;sourceID=14","0")</f>
        <v>0</v>
      </c>
    </row>
    <row r="1066" spans="1:7">
      <c r="A1066" s="3">
        <v>10</v>
      </c>
      <c r="B1066" s="3">
        <v>5</v>
      </c>
      <c r="C1066" s="3">
        <v>120</v>
      </c>
      <c r="D1066" s="3">
        <v>17</v>
      </c>
      <c r="E1066" s="3">
        <v>-287.935</v>
      </c>
      <c r="F1066" s="4" t="str">
        <f>HYPERLINK("http://141.218.60.56/~jnz1568/getInfo.php?workbook=10_05.xlsx&amp;sheet=A0&amp;row=1066&amp;col=6&amp;number=2000000&amp;sourceID=14","2000000")</f>
        <v>2000000</v>
      </c>
      <c r="G1066" s="4" t="str">
        <f>HYPERLINK("http://141.218.60.56/~jnz1568/getInfo.php?workbook=10_05.xlsx&amp;sheet=A0&amp;row=1066&amp;col=7&amp;number=0&amp;sourceID=14","0")</f>
        <v>0</v>
      </c>
    </row>
    <row r="1067" spans="1:7">
      <c r="A1067" s="3">
        <v>10</v>
      </c>
      <c r="B1067" s="3">
        <v>5</v>
      </c>
      <c r="C1067" s="3">
        <v>121</v>
      </c>
      <c r="D1067" s="3">
        <v>17</v>
      </c>
      <c r="E1067" s="3">
        <v>-287.75</v>
      </c>
      <c r="F1067" s="4" t="str">
        <f>HYPERLINK("http://141.218.60.56/~jnz1568/getInfo.php?workbook=10_05.xlsx&amp;sheet=A0&amp;row=1067&amp;col=6&amp;number=50200&amp;sourceID=14","50200")</f>
        <v>50200</v>
      </c>
      <c r="G1067" s="4" t="str">
        <f>HYPERLINK("http://141.218.60.56/~jnz1568/getInfo.php?workbook=10_05.xlsx&amp;sheet=A0&amp;row=1067&amp;col=7&amp;number=0&amp;sourceID=14","0")</f>
        <v>0</v>
      </c>
    </row>
    <row r="1068" spans="1:7">
      <c r="A1068" s="3">
        <v>10</v>
      </c>
      <c r="B1068" s="3">
        <v>5</v>
      </c>
      <c r="C1068" s="3">
        <v>123</v>
      </c>
      <c r="D1068" s="3">
        <v>17</v>
      </c>
      <c r="E1068" s="3">
        <v>-287.201</v>
      </c>
      <c r="F1068" s="4" t="str">
        <f>HYPERLINK("http://141.218.60.56/~jnz1568/getInfo.php?workbook=10_05.xlsx&amp;sheet=A0&amp;row=1068&amp;col=6&amp;number=716000&amp;sourceID=14","716000")</f>
        <v>716000</v>
      </c>
      <c r="G1068" s="4" t="str">
        <f>HYPERLINK("http://141.218.60.56/~jnz1568/getInfo.php?workbook=10_05.xlsx&amp;sheet=A0&amp;row=1068&amp;col=7&amp;number=0&amp;sourceID=14","0")</f>
        <v>0</v>
      </c>
    </row>
    <row r="1069" spans="1:7">
      <c r="A1069" s="3">
        <v>10</v>
      </c>
      <c r="B1069" s="3">
        <v>5</v>
      </c>
      <c r="C1069" s="3">
        <v>125</v>
      </c>
      <c r="D1069" s="3">
        <v>17</v>
      </c>
      <c r="E1069" s="3">
        <v>-286.269</v>
      </c>
      <c r="F1069" s="4" t="str">
        <f>HYPERLINK("http://141.218.60.56/~jnz1568/getInfo.php?workbook=10_05.xlsx&amp;sheet=A0&amp;row=1069&amp;col=6&amp;number=74600000&amp;sourceID=14","74600000")</f>
        <v>74600000</v>
      </c>
      <c r="G1069" s="4" t="str">
        <f>HYPERLINK("http://141.218.60.56/~jnz1568/getInfo.php?workbook=10_05.xlsx&amp;sheet=A0&amp;row=1069&amp;col=7&amp;number=0&amp;sourceID=14","0")</f>
        <v>0</v>
      </c>
    </row>
    <row r="1070" spans="1:7">
      <c r="A1070" s="3">
        <v>10</v>
      </c>
      <c r="B1070" s="3">
        <v>5</v>
      </c>
      <c r="C1070" s="3">
        <v>126</v>
      </c>
      <c r="D1070" s="3">
        <v>17</v>
      </c>
      <c r="E1070" s="3">
        <v>-286.043</v>
      </c>
      <c r="F1070" s="4" t="str">
        <f>HYPERLINK("http://141.218.60.56/~jnz1568/getInfo.php?workbook=10_05.xlsx&amp;sheet=A0&amp;row=1070&amp;col=6&amp;number=23900000&amp;sourceID=14","23900000")</f>
        <v>23900000</v>
      </c>
      <c r="G1070" s="4" t="str">
        <f>HYPERLINK("http://141.218.60.56/~jnz1568/getInfo.php?workbook=10_05.xlsx&amp;sheet=A0&amp;row=1070&amp;col=7&amp;number=0&amp;sourceID=14","0")</f>
        <v>0</v>
      </c>
    </row>
    <row r="1071" spans="1:7">
      <c r="A1071" s="3">
        <v>10</v>
      </c>
      <c r="B1071" s="3">
        <v>5</v>
      </c>
      <c r="C1071" s="3">
        <v>129</v>
      </c>
      <c r="D1071" s="3">
        <v>17</v>
      </c>
      <c r="E1071" s="3">
        <v>283.764</v>
      </c>
      <c r="F1071" s="4" t="str">
        <f>HYPERLINK("http://141.218.60.56/~jnz1568/getInfo.php?workbook=10_05.xlsx&amp;sheet=A0&amp;row=1071&amp;col=6&amp;number=36000000&amp;sourceID=14","36000000")</f>
        <v>36000000</v>
      </c>
      <c r="G1071" s="4" t="str">
        <f>HYPERLINK("http://141.218.60.56/~jnz1568/getInfo.php?workbook=10_05.xlsx&amp;sheet=A0&amp;row=1071&amp;col=7&amp;number=0&amp;sourceID=14","0")</f>
        <v>0</v>
      </c>
    </row>
    <row r="1072" spans="1:7">
      <c r="A1072" s="3">
        <v>10</v>
      </c>
      <c r="B1072" s="3">
        <v>5</v>
      </c>
      <c r="C1072" s="3">
        <v>131</v>
      </c>
      <c r="D1072" s="3">
        <v>17</v>
      </c>
      <c r="E1072" s="3">
        <v>-283.323</v>
      </c>
      <c r="F1072" s="4" t="str">
        <f>HYPERLINK("http://141.218.60.56/~jnz1568/getInfo.php?workbook=10_05.xlsx&amp;sheet=A0&amp;row=1072&amp;col=6&amp;number=320000&amp;sourceID=14","320000")</f>
        <v>320000</v>
      </c>
      <c r="G1072" s="4" t="str">
        <f>HYPERLINK("http://141.218.60.56/~jnz1568/getInfo.php?workbook=10_05.xlsx&amp;sheet=A0&amp;row=1072&amp;col=7&amp;number=0&amp;sourceID=14","0")</f>
        <v>0</v>
      </c>
    </row>
    <row r="1073" spans="1:7">
      <c r="A1073" s="3">
        <v>10</v>
      </c>
      <c r="B1073" s="3">
        <v>5</v>
      </c>
      <c r="C1073" s="3">
        <v>132</v>
      </c>
      <c r="D1073" s="3">
        <v>17</v>
      </c>
      <c r="E1073" s="3">
        <v>-283.205</v>
      </c>
      <c r="F1073" s="4" t="str">
        <f>HYPERLINK("http://141.218.60.56/~jnz1568/getInfo.php?workbook=10_05.xlsx&amp;sheet=A0&amp;row=1073&amp;col=6&amp;number=184000&amp;sourceID=14","184000")</f>
        <v>184000</v>
      </c>
      <c r="G1073" s="4" t="str">
        <f>HYPERLINK("http://141.218.60.56/~jnz1568/getInfo.php?workbook=10_05.xlsx&amp;sheet=A0&amp;row=1073&amp;col=7&amp;number=0&amp;sourceID=14","0")</f>
        <v>0</v>
      </c>
    </row>
    <row r="1074" spans="1:7">
      <c r="A1074" s="3">
        <v>10</v>
      </c>
      <c r="B1074" s="3">
        <v>5</v>
      </c>
      <c r="C1074" s="3">
        <v>140</v>
      </c>
      <c r="D1074" s="3">
        <v>17</v>
      </c>
      <c r="E1074" s="3">
        <v>-279.215</v>
      </c>
      <c r="F1074" s="4" t="str">
        <f>HYPERLINK("http://141.218.60.56/~jnz1568/getInfo.php?workbook=10_05.xlsx&amp;sheet=A0&amp;row=1074&amp;col=6&amp;number=61100000&amp;sourceID=14","61100000")</f>
        <v>61100000</v>
      </c>
      <c r="G1074" s="4" t="str">
        <f>HYPERLINK("http://141.218.60.56/~jnz1568/getInfo.php?workbook=10_05.xlsx&amp;sheet=A0&amp;row=1074&amp;col=7&amp;number=0&amp;sourceID=14","0")</f>
        <v>0</v>
      </c>
    </row>
    <row r="1075" spans="1:7">
      <c r="A1075" s="3">
        <v>10</v>
      </c>
      <c r="B1075" s="3">
        <v>5</v>
      </c>
      <c r="C1075" s="3">
        <v>150</v>
      </c>
      <c r="D1075" s="3">
        <v>17</v>
      </c>
      <c r="E1075" s="3">
        <v>-273.909</v>
      </c>
      <c r="F1075" s="4" t="str">
        <f>HYPERLINK("http://141.218.60.56/~jnz1568/getInfo.php?workbook=10_05.xlsx&amp;sheet=A0&amp;row=1075&amp;col=6&amp;number=10300000&amp;sourceID=14","10300000")</f>
        <v>10300000</v>
      </c>
      <c r="G1075" s="4" t="str">
        <f>HYPERLINK("http://141.218.60.56/~jnz1568/getInfo.php?workbook=10_05.xlsx&amp;sheet=A0&amp;row=1075&amp;col=7&amp;number=0&amp;sourceID=14","0")</f>
        <v>0</v>
      </c>
    </row>
    <row r="1076" spans="1:7">
      <c r="A1076" s="3">
        <v>10</v>
      </c>
      <c r="B1076" s="3">
        <v>5</v>
      </c>
      <c r="C1076" s="3">
        <v>156</v>
      </c>
      <c r="D1076" s="3">
        <v>17</v>
      </c>
      <c r="E1076" s="3">
        <v>-270.853</v>
      </c>
      <c r="F1076" s="4" t="str">
        <f>HYPERLINK("http://141.218.60.56/~jnz1568/getInfo.php?workbook=10_05.xlsx&amp;sheet=A0&amp;row=1076&amp;col=6&amp;number=25800000&amp;sourceID=14","25800000")</f>
        <v>25800000</v>
      </c>
      <c r="G1076" s="4" t="str">
        <f>HYPERLINK("http://141.218.60.56/~jnz1568/getInfo.php?workbook=10_05.xlsx&amp;sheet=A0&amp;row=1076&amp;col=7&amp;number=0&amp;sourceID=14","0")</f>
        <v>0</v>
      </c>
    </row>
    <row r="1077" spans="1:7">
      <c r="A1077" s="3">
        <v>10</v>
      </c>
      <c r="B1077" s="3">
        <v>5</v>
      </c>
      <c r="C1077" s="3">
        <v>160</v>
      </c>
      <c r="D1077" s="3">
        <v>17</v>
      </c>
      <c r="E1077" s="3">
        <v>-269.797</v>
      </c>
      <c r="F1077" s="4" t="str">
        <f>HYPERLINK("http://141.218.60.56/~jnz1568/getInfo.php?workbook=10_05.xlsx&amp;sheet=A0&amp;row=1077&amp;col=6&amp;number=118000&amp;sourceID=14","118000")</f>
        <v>118000</v>
      </c>
      <c r="G1077" s="4" t="str">
        <f>HYPERLINK("http://141.218.60.56/~jnz1568/getInfo.php?workbook=10_05.xlsx&amp;sheet=A0&amp;row=1077&amp;col=7&amp;number=0&amp;sourceID=14","0")</f>
        <v>0</v>
      </c>
    </row>
    <row r="1078" spans="1:7">
      <c r="A1078" s="3">
        <v>10</v>
      </c>
      <c r="B1078" s="3">
        <v>5</v>
      </c>
      <c r="C1078" s="3">
        <v>161</v>
      </c>
      <c r="D1078" s="3">
        <v>17</v>
      </c>
      <c r="E1078" s="3">
        <v>269.567</v>
      </c>
      <c r="F1078" s="4" t="str">
        <f>HYPERLINK("http://141.218.60.56/~jnz1568/getInfo.php?workbook=10_05.xlsx&amp;sheet=A0&amp;row=1078&amp;col=6&amp;number=49900000&amp;sourceID=14","49900000")</f>
        <v>49900000</v>
      </c>
      <c r="G1078" s="4" t="str">
        <f>HYPERLINK("http://141.218.60.56/~jnz1568/getInfo.php?workbook=10_05.xlsx&amp;sheet=A0&amp;row=1078&amp;col=7&amp;number=0&amp;sourceID=14","0")</f>
        <v>0</v>
      </c>
    </row>
    <row r="1079" spans="1:7">
      <c r="A1079" s="3">
        <v>10</v>
      </c>
      <c r="B1079" s="3">
        <v>5</v>
      </c>
      <c r="C1079" s="3">
        <v>162</v>
      </c>
      <c r="D1079" s="3">
        <v>17</v>
      </c>
      <c r="E1079" s="3">
        <v>269.349</v>
      </c>
      <c r="F1079" s="4" t="str">
        <f>HYPERLINK("http://141.218.60.56/~jnz1568/getInfo.php?workbook=10_05.xlsx&amp;sheet=A0&amp;row=1079&amp;col=6&amp;number=12200000&amp;sourceID=14","12200000")</f>
        <v>12200000</v>
      </c>
      <c r="G1079" s="4" t="str">
        <f>HYPERLINK("http://141.218.60.56/~jnz1568/getInfo.php?workbook=10_05.xlsx&amp;sheet=A0&amp;row=1079&amp;col=7&amp;number=0&amp;sourceID=14","0")</f>
        <v>0</v>
      </c>
    </row>
    <row r="1080" spans="1:7">
      <c r="A1080" s="3">
        <v>10</v>
      </c>
      <c r="B1080" s="3">
        <v>5</v>
      </c>
      <c r="C1080" s="3">
        <v>163</v>
      </c>
      <c r="D1080" s="3">
        <v>17</v>
      </c>
      <c r="E1080" s="3">
        <v>-259.865</v>
      </c>
      <c r="F1080" s="4" t="str">
        <f>HYPERLINK("http://141.218.60.56/~jnz1568/getInfo.php?workbook=10_05.xlsx&amp;sheet=A0&amp;row=1080&amp;col=6&amp;number=7900000&amp;sourceID=14","7900000")</f>
        <v>7900000</v>
      </c>
      <c r="G1080" s="4" t="str">
        <f>HYPERLINK("http://141.218.60.56/~jnz1568/getInfo.php?workbook=10_05.xlsx&amp;sheet=A0&amp;row=1080&amp;col=7&amp;number=0&amp;sourceID=14","0")</f>
        <v>0</v>
      </c>
    </row>
    <row r="1081" spans="1:7">
      <c r="A1081" s="3">
        <v>10</v>
      </c>
      <c r="B1081" s="3">
        <v>5</v>
      </c>
      <c r="C1081" s="3">
        <v>169</v>
      </c>
      <c r="D1081" s="3">
        <v>17</v>
      </c>
      <c r="E1081" s="3">
        <v>-221.468</v>
      </c>
      <c r="F1081" s="4" t="str">
        <f>HYPERLINK("http://141.218.60.56/~jnz1568/getInfo.php?workbook=10_05.xlsx&amp;sheet=A0&amp;row=1081&amp;col=6&amp;number=10300000&amp;sourceID=14","10300000")</f>
        <v>10300000</v>
      </c>
      <c r="G1081" s="4" t="str">
        <f>HYPERLINK("http://141.218.60.56/~jnz1568/getInfo.php?workbook=10_05.xlsx&amp;sheet=A0&amp;row=1081&amp;col=7&amp;number=0&amp;sourceID=14","0")</f>
        <v>0</v>
      </c>
    </row>
    <row r="1082" spans="1:7">
      <c r="A1082" s="3">
        <v>10</v>
      </c>
      <c r="B1082" s="3">
        <v>5</v>
      </c>
      <c r="C1082" s="3">
        <v>170</v>
      </c>
      <c r="D1082" s="3">
        <v>17</v>
      </c>
      <c r="E1082" s="3">
        <v>-216.965</v>
      </c>
      <c r="F1082" s="4" t="str">
        <f>HYPERLINK("http://141.218.60.56/~jnz1568/getInfo.php?workbook=10_05.xlsx&amp;sheet=A0&amp;row=1082&amp;col=6&amp;number=355&amp;sourceID=14","355")</f>
        <v>355</v>
      </c>
      <c r="G1082" s="4" t="str">
        <f>HYPERLINK("http://141.218.60.56/~jnz1568/getInfo.php?workbook=10_05.xlsx&amp;sheet=A0&amp;row=1082&amp;col=7&amp;number=0&amp;sourceID=14","0")</f>
        <v>0</v>
      </c>
    </row>
    <row r="1083" spans="1:7">
      <c r="A1083" s="3">
        <v>10</v>
      </c>
      <c r="B1083" s="3">
        <v>5</v>
      </c>
      <c r="C1083" s="3">
        <v>171</v>
      </c>
      <c r="D1083" s="3">
        <v>17</v>
      </c>
      <c r="E1083" s="3">
        <v>-216.921</v>
      </c>
      <c r="F1083" s="4" t="str">
        <f>HYPERLINK("http://141.218.60.56/~jnz1568/getInfo.php?workbook=10_05.xlsx&amp;sheet=A0&amp;row=1083&amp;col=6&amp;number=5900&amp;sourceID=14","5900")</f>
        <v>5900</v>
      </c>
      <c r="G1083" s="4" t="str">
        <f>HYPERLINK("http://141.218.60.56/~jnz1568/getInfo.php?workbook=10_05.xlsx&amp;sheet=A0&amp;row=1083&amp;col=7&amp;number=0&amp;sourceID=14","0")</f>
        <v>0</v>
      </c>
    </row>
    <row r="1084" spans="1:7">
      <c r="A1084" s="3">
        <v>10</v>
      </c>
      <c r="B1084" s="3">
        <v>5</v>
      </c>
      <c r="C1084" s="3">
        <v>172</v>
      </c>
      <c r="D1084" s="3">
        <v>17</v>
      </c>
      <c r="E1084" s="3">
        <v>-216.007</v>
      </c>
      <c r="F1084" s="4" t="str">
        <f>HYPERLINK("http://141.218.60.56/~jnz1568/getInfo.php?workbook=10_05.xlsx&amp;sheet=A0&amp;row=1084&amp;col=6&amp;number=21700000&amp;sourceID=14","21700000")</f>
        <v>21700000</v>
      </c>
      <c r="G1084" s="4" t="str">
        <f>HYPERLINK("http://141.218.60.56/~jnz1568/getInfo.php?workbook=10_05.xlsx&amp;sheet=A0&amp;row=1084&amp;col=7&amp;number=0&amp;sourceID=14","0")</f>
        <v>0</v>
      </c>
    </row>
    <row r="1085" spans="1:7">
      <c r="A1085" s="3">
        <v>10</v>
      </c>
      <c r="B1085" s="3">
        <v>5</v>
      </c>
      <c r="C1085" s="3">
        <v>174</v>
      </c>
      <c r="D1085" s="3">
        <v>17</v>
      </c>
      <c r="E1085" s="3">
        <v>-215.016</v>
      </c>
      <c r="F1085" s="4" t="str">
        <f>HYPERLINK("http://141.218.60.56/~jnz1568/getInfo.php?workbook=10_05.xlsx&amp;sheet=A0&amp;row=1085&amp;col=6&amp;number=34400000&amp;sourceID=14","34400000")</f>
        <v>34400000</v>
      </c>
      <c r="G1085" s="4" t="str">
        <f>HYPERLINK("http://141.218.60.56/~jnz1568/getInfo.php?workbook=10_05.xlsx&amp;sheet=A0&amp;row=1085&amp;col=7&amp;number=0&amp;sourceID=14","0")</f>
        <v>0</v>
      </c>
    </row>
    <row r="1086" spans="1:7">
      <c r="A1086" s="3">
        <v>10</v>
      </c>
      <c r="B1086" s="3">
        <v>5</v>
      </c>
      <c r="C1086" s="3">
        <v>19</v>
      </c>
      <c r="D1086" s="3">
        <v>18</v>
      </c>
      <c r="E1086" s="3">
        <v>2229.742</v>
      </c>
      <c r="F1086" s="4" t="str">
        <f>HYPERLINK("http://141.218.60.56/~jnz1568/getInfo.php?workbook=10_05.xlsx&amp;sheet=A0&amp;row=1086&amp;col=6&amp;number=26400000&amp;sourceID=14","26400000")</f>
        <v>26400000</v>
      </c>
      <c r="G1086" s="4" t="str">
        <f>HYPERLINK("http://141.218.60.56/~jnz1568/getInfo.php?workbook=10_05.xlsx&amp;sheet=A0&amp;row=1086&amp;col=7&amp;number=0&amp;sourceID=14","0")</f>
        <v>0</v>
      </c>
    </row>
    <row r="1087" spans="1:7">
      <c r="A1087" s="3">
        <v>10</v>
      </c>
      <c r="B1087" s="3">
        <v>5</v>
      </c>
      <c r="C1087" s="3">
        <v>20</v>
      </c>
      <c r="D1087" s="3">
        <v>18</v>
      </c>
      <c r="E1087" s="3">
        <v>2229.742</v>
      </c>
      <c r="F1087" s="4" t="str">
        <f>HYPERLINK("http://141.218.60.56/~jnz1568/getInfo.php?workbook=10_05.xlsx&amp;sheet=A0&amp;row=1087&amp;col=6&amp;number=159000000&amp;sourceID=14","159000000")</f>
        <v>159000000</v>
      </c>
      <c r="G1087" s="4" t="str">
        <f>HYPERLINK("http://141.218.60.56/~jnz1568/getInfo.php?workbook=10_05.xlsx&amp;sheet=A0&amp;row=1087&amp;col=7&amp;number=0&amp;sourceID=14","0")</f>
        <v>0</v>
      </c>
    </row>
    <row r="1088" spans="1:7">
      <c r="A1088" s="3">
        <v>10</v>
      </c>
      <c r="B1088" s="3">
        <v>5</v>
      </c>
      <c r="C1088" s="3">
        <v>26</v>
      </c>
      <c r="D1088" s="3">
        <v>18</v>
      </c>
      <c r="E1088" s="3">
        <v>955.72</v>
      </c>
      <c r="F1088" s="4" t="str">
        <f>HYPERLINK("http://141.218.60.56/~jnz1568/getInfo.php?workbook=10_05.xlsx&amp;sheet=A0&amp;row=1088&amp;col=6&amp;number=23400000&amp;sourceID=14","23400000")</f>
        <v>23400000</v>
      </c>
      <c r="G1088" s="4" t="str">
        <f>HYPERLINK("http://141.218.60.56/~jnz1568/getInfo.php?workbook=10_05.xlsx&amp;sheet=A0&amp;row=1088&amp;col=7&amp;number=0&amp;sourceID=14","0")</f>
        <v>0</v>
      </c>
    </row>
    <row r="1089" spans="1:7">
      <c r="A1089" s="3">
        <v>10</v>
      </c>
      <c r="B1089" s="3">
        <v>5</v>
      </c>
      <c r="C1089" s="3">
        <v>27</v>
      </c>
      <c r="D1089" s="3">
        <v>18</v>
      </c>
      <c r="E1089" s="3">
        <v>951.447</v>
      </c>
      <c r="F1089" s="4" t="str">
        <f>HYPERLINK("http://141.218.60.56/~jnz1568/getInfo.php?workbook=10_05.xlsx&amp;sheet=A0&amp;row=1089&amp;col=6&amp;number=62500000&amp;sourceID=14","62500000")</f>
        <v>62500000</v>
      </c>
      <c r="G1089" s="4" t="str">
        <f>HYPERLINK("http://141.218.60.56/~jnz1568/getInfo.php?workbook=10_05.xlsx&amp;sheet=A0&amp;row=1089&amp;col=7&amp;number=0&amp;sourceID=14","0")</f>
        <v>0</v>
      </c>
    </row>
    <row r="1090" spans="1:7">
      <c r="A1090" s="3">
        <v>10</v>
      </c>
      <c r="B1090" s="3">
        <v>5</v>
      </c>
      <c r="C1090" s="3">
        <v>28</v>
      </c>
      <c r="D1090" s="3">
        <v>18</v>
      </c>
      <c r="E1090" s="3">
        <v>-940.709</v>
      </c>
      <c r="F1090" s="4" t="str">
        <f>HYPERLINK("http://141.218.60.56/~jnz1568/getInfo.php?workbook=10_05.xlsx&amp;sheet=A0&amp;row=1090&amp;col=6&amp;number=747000&amp;sourceID=14","747000")</f>
        <v>747000</v>
      </c>
      <c r="G1090" s="4" t="str">
        <f>HYPERLINK("http://141.218.60.56/~jnz1568/getInfo.php?workbook=10_05.xlsx&amp;sheet=A0&amp;row=1090&amp;col=7&amp;number=0&amp;sourceID=14","0")</f>
        <v>0</v>
      </c>
    </row>
    <row r="1091" spans="1:7">
      <c r="A1091" s="3">
        <v>10</v>
      </c>
      <c r="B1091" s="3">
        <v>5</v>
      </c>
      <c r="C1091" s="3">
        <v>29</v>
      </c>
      <c r="D1091" s="3">
        <v>18</v>
      </c>
      <c r="E1091" s="3">
        <v>-938.581</v>
      </c>
      <c r="F1091" s="4" t="str">
        <f>HYPERLINK("http://141.218.60.56/~jnz1568/getInfo.php?workbook=10_05.xlsx&amp;sheet=A0&amp;row=1091&amp;col=6&amp;number=1100000&amp;sourceID=14","1100000")</f>
        <v>1100000</v>
      </c>
      <c r="G1091" s="4" t="str">
        <f>HYPERLINK("http://141.218.60.56/~jnz1568/getInfo.php?workbook=10_05.xlsx&amp;sheet=A0&amp;row=1091&amp;col=7&amp;number=0&amp;sourceID=14","0")</f>
        <v>0</v>
      </c>
    </row>
    <row r="1092" spans="1:7">
      <c r="A1092" s="3">
        <v>10</v>
      </c>
      <c r="B1092" s="3">
        <v>5</v>
      </c>
      <c r="C1092" s="3">
        <v>30</v>
      </c>
      <c r="D1092" s="3">
        <v>18</v>
      </c>
      <c r="E1092" s="3">
        <v>934.859</v>
      </c>
      <c r="F1092" s="4" t="str">
        <f>HYPERLINK("http://141.218.60.56/~jnz1568/getInfo.php?workbook=10_05.xlsx&amp;sheet=A0&amp;row=1092&amp;col=6&amp;number=373&amp;sourceID=14","373")</f>
        <v>373</v>
      </c>
      <c r="G1092" s="4" t="str">
        <f>HYPERLINK("http://141.218.60.56/~jnz1568/getInfo.php?workbook=10_05.xlsx&amp;sheet=A0&amp;row=1092&amp;col=7&amp;number=0&amp;sourceID=14","0")</f>
        <v>0</v>
      </c>
    </row>
    <row r="1093" spans="1:7">
      <c r="A1093" s="3">
        <v>10</v>
      </c>
      <c r="B1093" s="3">
        <v>5</v>
      </c>
      <c r="C1093" s="3">
        <v>32</v>
      </c>
      <c r="D1093" s="3">
        <v>18</v>
      </c>
      <c r="E1093" s="3">
        <v>-868.457</v>
      </c>
      <c r="F1093" s="4" t="str">
        <f>HYPERLINK("http://141.218.60.56/~jnz1568/getInfo.php?workbook=10_05.xlsx&amp;sheet=A0&amp;row=1093&amp;col=6&amp;number=24400&amp;sourceID=14","24400")</f>
        <v>24400</v>
      </c>
      <c r="G1093" s="4" t="str">
        <f>HYPERLINK("http://141.218.60.56/~jnz1568/getInfo.php?workbook=10_05.xlsx&amp;sheet=A0&amp;row=1093&amp;col=7&amp;number=0&amp;sourceID=14","0")</f>
        <v>0</v>
      </c>
    </row>
    <row r="1094" spans="1:7">
      <c r="A1094" s="3">
        <v>10</v>
      </c>
      <c r="B1094" s="3">
        <v>5</v>
      </c>
      <c r="C1094" s="3">
        <v>33</v>
      </c>
      <c r="D1094" s="3">
        <v>18</v>
      </c>
      <c r="E1094" s="3">
        <v>-811.314</v>
      </c>
      <c r="F1094" s="4" t="str">
        <f>HYPERLINK("http://141.218.60.56/~jnz1568/getInfo.php?workbook=10_05.xlsx&amp;sheet=A0&amp;row=1094&amp;col=6&amp;number=4280&amp;sourceID=14","4280")</f>
        <v>4280</v>
      </c>
      <c r="G1094" s="4" t="str">
        <f>HYPERLINK("http://141.218.60.56/~jnz1568/getInfo.php?workbook=10_05.xlsx&amp;sheet=A0&amp;row=1094&amp;col=7&amp;number=0&amp;sourceID=14","0")</f>
        <v>0</v>
      </c>
    </row>
    <row r="1095" spans="1:7">
      <c r="A1095" s="3">
        <v>10</v>
      </c>
      <c r="B1095" s="3">
        <v>5</v>
      </c>
      <c r="C1095" s="3">
        <v>34</v>
      </c>
      <c r="D1095" s="3">
        <v>18</v>
      </c>
      <c r="E1095" s="3">
        <v>-809.371</v>
      </c>
      <c r="F1095" s="4" t="str">
        <f>HYPERLINK("http://141.218.60.56/~jnz1568/getInfo.php?workbook=10_05.xlsx&amp;sheet=A0&amp;row=1095&amp;col=6&amp;number=884&amp;sourceID=14","884")</f>
        <v>884</v>
      </c>
      <c r="G1095" s="4" t="str">
        <f>HYPERLINK("http://141.218.60.56/~jnz1568/getInfo.php?workbook=10_05.xlsx&amp;sheet=A0&amp;row=1095&amp;col=7&amp;number=0&amp;sourceID=14","0")</f>
        <v>0</v>
      </c>
    </row>
    <row r="1096" spans="1:7">
      <c r="A1096" s="3">
        <v>10</v>
      </c>
      <c r="B1096" s="3">
        <v>5</v>
      </c>
      <c r="C1096" s="3">
        <v>35</v>
      </c>
      <c r="D1096" s="3">
        <v>18</v>
      </c>
      <c r="E1096" s="3">
        <v>-806.577</v>
      </c>
      <c r="F1096" s="4" t="str">
        <f>HYPERLINK("http://141.218.60.56/~jnz1568/getInfo.php?workbook=10_05.xlsx&amp;sheet=A0&amp;row=1096&amp;col=6&amp;number=204000&amp;sourceID=14","204000")</f>
        <v>204000</v>
      </c>
      <c r="G1096" s="4" t="str">
        <f>HYPERLINK("http://141.218.60.56/~jnz1568/getInfo.php?workbook=10_05.xlsx&amp;sheet=A0&amp;row=1096&amp;col=7&amp;number=0&amp;sourceID=14","0")</f>
        <v>0</v>
      </c>
    </row>
    <row r="1097" spans="1:7">
      <c r="A1097" s="3">
        <v>10</v>
      </c>
      <c r="B1097" s="3">
        <v>5</v>
      </c>
      <c r="C1097" s="3">
        <v>36</v>
      </c>
      <c r="D1097" s="3">
        <v>18</v>
      </c>
      <c r="E1097" s="3">
        <v>777.949</v>
      </c>
      <c r="F1097" s="4" t="str">
        <f>HYPERLINK("http://141.218.60.56/~jnz1568/getInfo.php?workbook=10_05.xlsx&amp;sheet=A0&amp;row=1097&amp;col=6&amp;number=47900000&amp;sourceID=14","47900000")</f>
        <v>47900000</v>
      </c>
      <c r="G1097" s="4" t="str">
        <f>HYPERLINK("http://141.218.60.56/~jnz1568/getInfo.php?workbook=10_05.xlsx&amp;sheet=A0&amp;row=1097&amp;col=7&amp;number=0&amp;sourceID=14","0")</f>
        <v>0</v>
      </c>
    </row>
    <row r="1098" spans="1:7">
      <c r="A1098" s="3">
        <v>10</v>
      </c>
      <c r="B1098" s="3">
        <v>5</v>
      </c>
      <c r="C1098" s="3">
        <v>37</v>
      </c>
      <c r="D1098" s="3">
        <v>18</v>
      </c>
      <c r="E1098" s="3">
        <v>773.138</v>
      </c>
      <c r="F1098" s="4" t="str">
        <f>HYPERLINK("http://141.218.60.56/~jnz1568/getInfo.php?workbook=10_05.xlsx&amp;sheet=A0&amp;row=1098&amp;col=6&amp;number=267000000&amp;sourceID=14","267000000")</f>
        <v>267000000</v>
      </c>
      <c r="G1098" s="4" t="str">
        <f>HYPERLINK("http://141.218.60.56/~jnz1568/getInfo.php?workbook=10_05.xlsx&amp;sheet=A0&amp;row=1098&amp;col=7&amp;number=0&amp;sourceID=14","0")</f>
        <v>0</v>
      </c>
    </row>
    <row r="1099" spans="1:7">
      <c r="A1099" s="3">
        <v>10</v>
      </c>
      <c r="B1099" s="3">
        <v>5</v>
      </c>
      <c r="C1099" s="3">
        <v>40</v>
      </c>
      <c r="D1099" s="3">
        <v>18</v>
      </c>
      <c r="E1099" s="3">
        <v>697.822</v>
      </c>
      <c r="F1099" s="4" t="str">
        <f>HYPERLINK("http://141.218.60.56/~jnz1568/getInfo.php?workbook=10_05.xlsx&amp;sheet=A0&amp;row=1099&amp;col=6&amp;number=110000000&amp;sourceID=14","110000000")</f>
        <v>110000000</v>
      </c>
      <c r="G1099" s="4" t="str">
        <f>HYPERLINK("http://141.218.60.56/~jnz1568/getInfo.php?workbook=10_05.xlsx&amp;sheet=A0&amp;row=1099&amp;col=7&amp;number=0&amp;sourceID=14","0")</f>
        <v>0</v>
      </c>
    </row>
    <row r="1100" spans="1:7">
      <c r="A1100" s="3">
        <v>10</v>
      </c>
      <c r="B1100" s="3">
        <v>5</v>
      </c>
      <c r="C1100" s="3">
        <v>58</v>
      </c>
      <c r="D1100" s="3">
        <v>18</v>
      </c>
      <c r="E1100" s="3">
        <v>472.941</v>
      </c>
      <c r="F1100" s="4" t="str">
        <f>HYPERLINK("http://141.218.60.56/~jnz1568/getInfo.php?workbook=10_05.xlsx&amp;sheet=A0&amp;row=1100&amp;col=6&amp;number=6780000000&amp;sourceID=14","6780000000")</f>
        <v>6780000000</v>
      </c>
      <c r="G1100" s="4" t="str">
        <f>HYPERLINK("http://141.218.60.56/~jnz1568/getInfo.php?workbook=10_05.xlsx&amp;sheet=A0&amp;row=1100&amp;col=7&amp;number=0&amp;sourceID=14","0")</f>
        <v>0</v>
      </c>
    </row>
    <row r="1101" spans="1:7">
      <c r="A1101" s="3">
        <v>10</v>
      </c>
      <c r="B1101" s="3">
        <v>5</v>
      </c>
      <c r="C1101" s="3">
        <v>59</v>
      </c>
      <c r="D1101" s="3">
        <v>18</v>
      </c>
      <c r="E1101" s="3">
        <v>466.325</v>
      </c>
      <c r="F1101" s="4" t="str">
        <f>HYPERLINK("http://141.218.60.56/~jnz1568/getInfo.php?workbook=10_05.xlsx&amp;sheet=A0&amp;row=1101&amp;col=6&amp;number=71600000&amp;sourceID=14","71600000")</f>
        <v>71600000</v>
      </c>
      <c r="G1101" s="4" t="str">
        <f>HYPERLINK("http://141.218.60.56/~jnz1568/getInfo.php?workbook=10_05.xlsx&amp;sheet=A0&amp;row=1101&amp;col=7&amp;number=0&amp;sourceID=14","0")</f>
        <v>0</v>
      </c>
    </row>
    <row r="1102" spans="1:7">
      <c r="A1102" s="3">
        <v>10</v>
      </c>
      <c r="B1102" s="3">
        <v>5</v>
      </c>
      <c r="C1102" s="3">
        <v>60</v>
      </c>
      <c r="D1102" s="3">
        <v>18</v>
      </c>
      <c r="E1102" s="3">
        <v>466.02</v>
      </c>
      <c r="F1102" s="4" t="str">
        <f>HYPERLINK("http://141.218.60.56/~jnz1568/getInfo.php?workbook=10_05.xlsx&amp;sheet=A0&amp;row=1102&amp;col=6&amp;number=3600000000&amp;sourceID=14","3600000000")</f>
        <v>3600000000</v>
      </c>
      <c r="G1102" s="4" t="str">
        <f>HYPERLINK("http://141.218.60.56/~jnz1568/getInfo.php?workbook=10_05.xlsx&amp;sheet=A0&amp;row=1102&amp;col=7&amp;number=0&amp;sourceID=14","0")</f>
        <v>0</v>
      </c>
    </row>
    <row r="1103" spans="1:7">
      <c r="A1103" s="3">
        <v>10</v>
      </c>
      <c r="B1103" s="3">
        <v>5</v>
      </c>
      <c r="C1103" s="3">
        <v>61</v>
      </c>
      <c r="D1103" s="3">
        <v>18</v>
      </c>
      <c r="E1103" s="3">
        <v>462.764</v>
      </c>
      <c r="F1103" s="4" t="str">
        <f>HYPERLINK("http://141.218.60.56/~jnz1568/getInfo.php?workbook=10_05.xlsx&amp;sheet=A0&amp;row=1103&amp;col=6&amp;number=1570000000&amp;sourceID=14","1570000000")</f>
        <v>1570000000</v>
      </c>
      <c r="G1103" s="4" t="str">
        <f>HYPERLINK("http://141.218.60.56/~jnz1568/getInfo.php?workbook=10_05.xlsx&amp;sheet=A0&amp;row=1103&amp;col=7&amp;number=0&amp;sourceID=14","0")</f>
        <v>0</v>
      </c>
    </row>
    <row r="1104" spans="1:7">
      <c r="A1104" s="3">
        <v>10</v>
      </c>
      <c r="B1104" s="3">
        <v>5</v>
      </c>
      <c r="C1104" s="3">
        <v>62</v>
      </c>
      <c r="D1104" s="3">
        <v>18</v>
      </c>
      <c r="E1104" s="3">
        <v>462.122</v>
      </c>
      <c r="F1104" s="4" t="str">
        <f>HYPERLINK("http://141.218.60.56/~jnz1568/getInfo.php?workbook=10_05.xlsx&amp;sheet=A0&amp;row=1104&amp;col=6&amp;number=4470000000&amp;sourceID=14","4470000000")</f>
        <v>4470000000</v>
      </c>
      <c r="G1104" s="4" t="str">
        <f>HYPERLINK("http://141.218.60.56/~jnz1568/getInfo.php?workbook=10_05.xlsx&amp;sheet=A0&amp;row=1104&amp;col=7&amp;number=0&amp;sourceID=14","0")</f>
        <v>0</v>
      </c>
    </row>
    <row r="1105" spans="1:7">
      <c r="A1105" s="3">
        <v>10</v>
      </c>
      <c r="B1105" s="3">
        <v>5</v>
      </c>
      <c r="C1105" s="3">
        <v>63</v>
      </c>
      <c r="D1105" s="3">
        <v>18</v>
      </c>
      <c r="E1105" s="3">
        <v>449.554</v>
      </c>
      <c r="F1105" s="4" t="str">
        <f>HYPERLINK("http://141.218.60.56/~jnz1568/getInfo.php?workbook=10_05.xlsx&amp;sheet=A0&amp;row=1105&amp;col=6&amp;number=509000000&amp;sourceID=14","509000000")</f>
        <v>509000000</v>
      </c>
      <c r="G1105" s="4" t="str">
        <f>HYPERLINK("http://141.218.60.56/~jnz1568/getInfo.php?workbook=10_05.xlsx&amp;sheet=A0&amp;row=1105&amp;col=7&amp;number=0&amp;sourceID=14","0")</f>
        <v>0</v>
      </c>
    </row>
    <row r="1106" spans="1:7">
      <c r="A1106" s="3">
        <v>10</v>
      </c>
      <c r="B1106" s="3">
        <v>5</v>
      </c>
      <c r="C1106" s="3">
        <v>66</v>
      </c>
      <c r="D1106" s="3">
        <v>18</v>
      </c>
      <c r="E1106" s="3">
        <v>404.052</v>
      </c>
      <c r="F1106" s="4" t="str">
        <f>HYPERLINK("http://141.218.60.56/~jnz1568/getInfo.php?workbook=10_05.xlsx&amp;sheet=A0&amp;row=1106&amp;col=6&amp;number=1270000000&amp;sourceID=14","1270000000")</f>
        <v>1270000000</v>
      </c>
      <c r="G1106" s="4" t="str">
        <f>HYPERLINK("http://141.218.60.56/~jnz1568/getInfo.php?workbook=10_05.xlsx&amp;sheet=A0&amp;row=1106&amp;col=7&amp;number=0&amp;sourceID=14","0")</f>
        <v>0</v>
      </c>
    </row>
    <row r="1107" spans="1:7">
      <c r="A1107" s="3">
        <v>10</v>
      </c>
      <c r="B1107" s="3">
        <v>5</v>
      </c>
      <c r="C1107" s="3">
        <v>67</v>
      </c>
      <c r="D1107" s="3">
        <v>18</v>
      </c>
      <c r="E1107" s="3">
        <v>404.052</v>
      </c>
      <c r="F1107" s="4" t="str">
        <f>HYPERLINK("http://141.218.60.56/~jnz1568/getInfo.php?workbook=10_05.xlsx&amp;sheet=A0&amp;row=1107&amp;col=6&amp;number=7620000000&amp;sourceID=14","7620000000")</f>
        <v>7620000000</v>
      </c>
      <c r="G1107" s="4" t="str">
        <f>HYPERLINK("http://141.218.60.56/~jnz1568/getInfo.php?workbook=10_05.xlsx&amp;sheet=A0&amp;row=1107&amp;col=7&amp;number=0&amp;sourceID=14","0")</f>
        <v>0</v>
      </c>
    </row>
    <row r="1108" spans="1:7">
      <c r="A1108" s="3">
        <v>10</v>
      </c>
      <c r="B1108" s="3">
        <v>5</v>
      </c>
      <c r="C1108" s="3">
        <v>70</v>
      </c>
      <c r="D1108" s="3">
        <v>18</v>
      </c>
      <c r="E1108" s="3">
        <v>397.341</v>
      </c>
      <c r="F1108" s="4" t="str">
        <f>HYPERLINK("http://141.218.60.56/~jnz1568/getInfo.php?workbook=10_05.xlsx&amp;sheet=A0&amp;row=1108&amp;col=6&amp;number=477000&amp;sourceID=14","477000")</f>
        <v>477000</v>
      </c>
      <c r="G1108" s="4" t="str">
        <f>HYPERLINK("http://141.218.60.56/~jnz1568/getInfo.php?workbook=10_05.xlsx&amp;sheet=A0&amp;row=1108&amp;col=7&amp;number=0&amp;sourceID=14","0")</f>
        <v>0</v>
      </c>
    </row>
    <row r="1109" spans="1:7">
      <c r="A1109" s="3">
        <v>10</v>
      </c>
      <c r="B1109" s="3">
        <v>5</v>
      </c>
      <c r="C1109" s="3">
        <v>71</v>
      </c>
      <c r="D1109" s="3">
        <v>18</v>
      </c>
      <c r="E1109" s="3">
        <v>397.341</v>
      </c>
      <c r="F1109" s="4" t="str">
        <f>HYPERLINK("http://141.218.60.56/~jnz1568/getInfo.php?workbook=10_05.xlsx&amp;sheet=A0&amp;row=1109&amp;col=6&amp;number=125000&amp;sourceID=14","125000")</f>
        <v>125000</v>
      </c>
      <c r="G1109" s="4" t="str">
        <f>HYPERLINK("http://141.218.60.56/~jnz1568/getInfo.php?workbook=10_05.xlsx&amp;sheet=A0&amp;row=1109&amp;col=7&amp;number=0&amp;sourceID=14","0")</f>
        <v>0</v>
      </c>
    </row>
    <row r="1110" spans="1:7">
      <c r="A1110" s="3">
        <v>10</v>
      </c>
      <c r="B1110" s="3">
        <v>5</v>
      </c>
      <c r="C1110" s="3">
        <v>72</v>
      </c>
      <c r="D1110" s="3">
        <v>18</v>
      </c>
      <c r="E1110" s="3">
        <v>397.341</v>
      </c>
      <c r="F1110" s="4" t="str">
        <f>HYPERLINK("http://141.218.60.56/~jnz1568/getInfo.php?workbook=10_05.xlsx&amp;sheet=A0&amp;row=1110&amp;col=6&amp;number=164000&amp;sourceID=14","164000")</f>
        <v>164000</v>
      </c>
      <c r="G1110" s="4" t="str">
        <f>HYPERLINK("http://141.218.60.56/~jnz1568/getInfo.php?workbook=10_05.xlsx&amp;sheet=A0&amp;row=1110&amp;col=7&amp;number=0&amp;sourceID=14","0")</f>
        <v>0</v>
      </c>
    </row>
    <row r="1111" spans="1:7">
      <c r="A1111" s="3">
        <v>10</v>
      </c>
      <c r="B1111" s="3">
        <v>5</v>
      </c>
      <c r="C1111" s="3">
        <v>77</v>
      </c>
      <c r="D1111" s="3">
        <v>18</v>
      </c>
      <c r="E1111" s="3">
        <v>-362.309</v>
      </c>
      <c r="F1111" s="4" t="str">
        <f>HYPERLINK("http://141.218.60.56/~jnz1568/getInfo.php?workbook=10_05.xlsx&amp;sheet=A0&amp;row=1111&amp;col=6&amp;number=34600000&amp;sourceID=14","34600000")</f>
        <v>34600000</v>
      </c>
      <c r="G1111" s="4" t="str">
        <f>HYPERLINK("http://141.218.60.56/~jnz1568/getInfo.php?workbook=10_05.xlsx&amp;sheet=A0&amp;row=1111&amp;col=7&amp;number=0&amp;sourceID=14","0")</f>
        <v>0</v>
      </c>
    </row>
    <row r="1112" spans="1:7">
      <c r="A1112" s="3">
        <v>10</v>
      </c>
      <c r="B1112" s="3">
        <v>5</v>
      </c>
      <c r="C1112" s="3">
        <v>78</v>
      </c>
      <c r="D1112" s="3">
        <v>18</v>
      </c>
      <c r="E1112" s="3">
        <v>-361.221</v>
      </c>
      <c r="F1112" s="4" t="str">
        <f>HYPERLINK("http://141.218.60.56/~jnz1568/getInfo.php?workbook=10_05.xlsx&amp;sheet=A0&amp;row=1112&amp;col=6&amp;number=81100000&amp;sourceID=14","81100000")</f>
        <v>81100000</v>
      </c>
      <c r="G1112" s="4" t="str">
        <f>HYPERLINK("http://141.218.60.56/~jnz1568/getInfo.php?workbook=10_05.xlsx&amp;sheet=A0&amp;row=1112&amp;col=7&amp;number=0&amp;sourceID=14","0")</f>
        <v>0</v>
      </c>
    </row>
    <row r="1113" spans="1:7">
      <c r="A1113" s="3">
        <v>10</v>
      </c>
      <c r="B1113" s="3">
        <v>5</v>
      </c>
      <c r="C1113" s="3">
        <v>80</v>
      </c>
      <c r="D1113" s="3">
        <v>18</v>
      </c>
      <c r="E1113" s="3">
        <v>351.281</v>
      </c>
      <c r="F1113" s="4" t="str">
        <f>HYPERLINK("http://141.218.60.56/~jnz1568/getInfo.php?workbook=10_05.xlsx&amp;sheet=A0&amp;row=1113&amp;col=6&amp;number=47500000&amp;sourceID=14","47500000")</f>
        <v>47500000</v>
      </c>
      <c r="G1113" s="4" t="str">
        <f>HYPERLINK("http://141.218.60.56/~jnz1568/getInfo.php?workbook=10_05.xlsx&amp;sheet=A0&amp;row=1113&amp;col=7&amp;number=0&amp;sourceID=14","0")</f>
        <v>0</v>
      </c>
    </row>
    <row r="1114" spans="1:7">
      <c r="A1114" s="3">
        <v>10</v>
      </c>
      <c r="B1114" s="3">
        <v>5</v>
      </c>
      <c r="C1114" s="3">
        <v>81</v>
      </c>
      <c r="D1114" s="3">
        <v>18</v>
      </c>
      <c r="E1114" s="3">
        <v>351.281</v>
      </c>
      <c r="F1114" s="4" t="str">
        <f>HYPERLINK("http://141.218.60.56/~jnz1568/getInfo.php?workbook=10_05.xlsx&amp;sheet=A0&amp;row=1114&amp;col=6&amp;number=288000000&amp;sourceID=14","288000000")</f>
        <v>288000000</v>
      </c>
      <c r="G1114" s="4" t="str">
        <f>HYPERLINK("http://141.218.60.56/~jnz1568/getInfo.php?workbook=10_05.xlsx&amp;sheet=A0&amp;row=1114&amp;col=7&amp;number=0&amp;sourceID=14","0")</f>
        <v>0</v>
      </c>
    </row>
    <row r="1115" spans="1:7">
      <c r="A1115" s="3">
        <v>10</v>
      </c>
      <c r="B1115" s="3">
        <v>5</v>
      </c>
      <c r="C1115" s="3">
        <v>99</v>
      </c>
      <c r="D1115" s="3">
        <v>18</v>
      </c>
      <c r="E1115" s="3">
        <v>-304.868</v>
      </c>
      <c r="F1115" s="4" t="str">
        <f>HYPERLINK("http://141.218.60.56/~jnz1568/getInfo.php?workbook=10_05.xlsx&amp;sheet=A0&amp;row=1115&amp;col=6&amp;number=68.3&amp;sourceID=14","68.3")</f>
        <v>68.3</v>
      </c>
      <c r="G1115" s="4" t="str">
        <f>HYPERLINK("http://141.218.60.56/~jnz1568/getInfo.php?workbook=10_05.xlsx&amp;sheet=A0&amp;row=1115&amp;col=7&amp;number=0&amp;sourceID=14","0")</f>
        <v>0</v>
      </c>
    </row>
    <row r="1116" spans="1:7">
      <c r="A1116" s="3">
        <v>10</v>
      </c>
      <c r="B1116" s="3">
        <v>5</v>
      </c>
      <c r="C1116" s="3">
        <v>100</v>
      </c>
      <c r="D1116" s="3">
        <v>18</v>
      </c>
      <c r="E1116" s="3">
        <v>-304.624</v>
      </c>
      <c r="F1116" s="4" t="str">
        <f>HYPERLINK("http://141.218.60.56/~jnz1568/getInfo.php?workbook=10_05.xlsx&amp;sheet=A0&amp;row=1116&amp;col=6&amp;number=1140&amp;sourceID=14","1140")</f>
        <v>1140</v>
      </c>
      <c r="G1116" s="4" t="str">
        <f>HYPERLINK("http://141.218.60.56/~jnz1568/getInfo.php?workbook=10_05.xlsx&amp;sheet=A0&amp;row=1116&amp;col=7&amp;number=0&amp;sourceID=14","0")</f>
        <v>0</v>
      </c>
    </row>
    <row r="1117" spans="1:7">
      <c r="A1117" s="3">
        <v>10</v>
      </c>
      <c r="B1117" s="3">
        <v>5</v>
      </c>
      <c r="C1117" s="3">
        <v>105</v>
      </c>
      <c r="D1117" s="3">
        <v>18</v>
      </c>
      <c r="E1117" s="3">
        <v>-299.411</v>
      </c>
      <c r="F1117" s="4" t="str">
        <f>HYPERLINK("http://141.218.60.56/~jnz1568/getInfo.php?workbook=10_05.xlsx&amp;sheet=A0&amp;row=1117&amp;col=6&amp;number=509000&amp;sourceID=14","509000")</f>
        <v>509000</v>
      </c>
      <c r="G1117" s="4" t="str">
        <f>HYPERLINK("http://141.218.60.56/~jnz1568/getInfo.php?workbook=10_05.xlsx&amp;sheet=A0&amp;row=1117&amp;col=7&amp;number=0&amp;sourceID=14","0")</f>
        <v>0</v>
      </c>
    </row>
    <row r="1118" spans="1:7">
      <c r="A1118" s="3">
        <v>10</v>
      </c>
      <c r="B1118" s="3">
        <v>5</v>
      </c>
      <c r="C1118" s="3">
        <v>106</v>
      </c>
      <c r="D1118" s="3">
        <v>18</v>
      </c>
      <c r="E1118" s="3">
        <v>-299.299</v>
      </c>
      <c r="F1118" s="4" t="str">
        <f>HYPERLINK("http://141.218.60.56/~jnz1568/getInfo.php?workbook=10_05.xlsx&amp;sheet=A0&amp;row=1118&amp;col=6&amp;number=1840000&amp;sourceID=14","1840000")</f>
        <v>1840000</v>
      </c>
      <c r="G1118" s="4" t="str">
        <f>HYPERLINK("http://141.218.60.56/~jnz1568/getInfo.php?workbook=10_05.xlsx&amp;sheet=A0&amp;row=1118&amp;col=7&amp;number=0&amp;sourceID=14","0")</f>
        <v>0</v>
      </c>
    </row>
    <row r="1119" spans="1:7">
      <c r="A1119" s="3">
        <v>10</v>
      </c>
      <c r="B1119" s="3">
        <v>5</v>
      </c>
      <c r="C1119" s="3">
        <v>107</v>
      </c>
      <c r="D1119" s="3">
        <v>18</v>
      </c>
      <c r="E1119" s="3">
        <v>-299.05</v>
      </c>
      <c r="F1119" s="4" t="str">
        <f>HYPERLINK("http://141.218.60.56/~jnz1568/getInfo.php?workbook=10_05.xlsx&amp;sheet=A0&amp;row=1119&amp;col=6&amp;number=1060&amp;sourceID=14","1060")</f>
        <v>1060</v>
      </c>
      <c r="G1119" s="4" t="str">
        <f>HYPERLINK("http://141.218.60.56/~jnz1568/getInfo.php?workbook=10_05.xlsx&amp;sheet=A0&amp;row=1119&amp;col=7&amp;number=0&amp;sourceID=14","0")</f>
        <v>0</v>
      </c>
    </row>
    <row r="1120" spans="1:7">
      <c r="A1120" s="3">
        <v>10</v>
      </c>
      <c r="B1120" s="3">
        <v>5</v>
      </c>
      <c r="C1120" s="3">
        <v>109</v>
      </c>
      <c r="D1120" s="3">
        <v>18</v>
      </c>
      <c r="E1120" s="3">
        <v>-298.422</v>
      </c>
      <c r="F1120" s="4" t="str">
        <f>HYPERLINK("http://141.218.60.56/~jnz1568/getInfo.php?workbook=10_05.xlsx&amp;sheet=A0&amp;row=1120&amp;col=6&amp;number=19800000&amp;sourceID=14","19800000")</f>
        <v>19800000</v>
      </c>
      <c r="G1120" s="4" t="str">
        <f>HYPERLINK("http://141.218.60.56/~jnz1568/getInfo.php?workbook=10_05.xlsx&amp;sheet=A0&amp;row=1120&amp;col=7&amp;number=0&amp;sourceID=14","0")</f>
        <v>0</v>
      </c>
    </row>
    <row r="1121" spans="1:7">
      <c r="A1121" s="3">
        <v>10</v>
      </c>
      <c r="B1121" s="3">
        <v>5</v>
      </c>
      <c r="C1121" s="3">
        <v>111</v>
      </c>
      <c r="D1121" s="3">
        <v>18</v>
      </c>
      <c r="E1121" s="3">
        <v>-297.89</v>
      </c>
      <c r="F1121" s="4" t="str">
        <f>HYPERLINK("http://141.218.60.56/~jnz1568/getInfo.php?workbook=10_05.xlsx&amp;sheet=A0&amp;row=1121&amp;col=6&amp;number=8320000&amp;sourceID=14","8320000")</f>
        <v>8320000</v>
      </c>
      <c r="G1121" s="4" t="str">
        <f>HYPERLINK("http://141.218.60.56/~jnz1568/getInfo.php?workbook=10_05.xlsx&amp;sheet=A0&amp;row=1121&amp;col=7&amp;number=0&amp;sourceID=14","0")</f>
        <v>0</v>
      </c>
    </row>
    <row r="1122" spans="1:7">
      <c r="A1122" s="3">
        <v>10</v>
      </c>
      <c r="B1122" s="3">
        <v>5</v>
      </c>
      <c r="C1122" s="3">
        <v>115</v>
      </c>
      <c r="D1122" s="3">
        <v>18</v>
      </c>
      <c r="E1122" s="3">
        <v>-291.906</v>
      </c>
      <c r="F1122" s="4" t="str">
        <f>HYPERLINK("http://141.218.60.56/~jnz1568/getInfo.php?workbook=10_05.xlsx&amp;sheet=A0&amp;row=1122&amp;col=6&amp;number=1820&amp;sourceID=14","1820")</f>
        <v>1820</v>
      </c>
      <c r="G1122" s="4" t="str">
        <f>HYPERLINK("http://141.218.60.56/~jnz1568/getInfo.php?workbook=10_05.xlsx&amp;sheet=A0&amp;row=1122&amp;col=7&amp;number=0&amp;sourceID=14","0")</f>
        <v>0</v>
      </c>
    </row>
    <row r="1123" spans="1:7">
      <c r="A1123" s="3">
        <v>10</v>
      </c>
      <c r="B1123" s="3">
        <v>5</v>
      </c>
      <c r="C1123" s="3">
        <v>117</v>
      </c>
      <c r="D1123" s="3">
        <v>18</v>
      </c>
      <c r="E1123" s="3">
        <v>-290.96</v>
      </c>
      <c r="F1123" s="4" t="str">
        <f>HYPERLINK("http://141.218.60.56/~jnz1568/getInfo.php?workbook=10_05.xlsx&amp;sheet=A0&amp;row=1123&amp;col=6&amp;number=30200&amp;sourceID=14","30200")</f>
        <v>30200</v>
      </c>
      <c r="G1123" s="4" t="str">
        <f>HYPERLINK("http://141.218.60.56/~jnz1568/getInfo.php?workbook=10_05.xlsx&amp;sheet=A0&amp;row=1123&amp;col=7&amp;number=0&amp;sourceID=14","0")</f>
        <v>0</v>
      </c>
    </row>
    <row r="1124" spans="1:7">
      <c r="A1124" s="3">
        <v>10</v>
      </c>
      <c r="B1124" s="3">
        <v>5</v>
      </c>
      <c r="C1124" s="3">
        <v>118</v>
      </c>
      <c r="D1124" s="3">
        <v>18</v>
      </c>
      <c r="E1124" s="3">
        <v>-290.891</v>
      </c>
      <c r="F1124" s="4" t="str">
        <f>HYPERLINK("http://141.218.60.56/~jnz1568/getInfo.php?workbook=10_05.xlsx&amp;sheet=A0&amp;row=1124&amp;col=6&amp;number=79800&amp;sourceID=14","79800")</f>
        <v>79800</v>
      </c>
      <c r="G1124" s="4" t="str">
        <f>HYPERLINK("http://141.218.60.56/~jnz1568/getInfo.php?workbook=10_05.xlsx&amp;sheet=A0&amp;row=1124&amp;col=7&amp;number=0&amp;sourceID=14","0")</f>
        <v>0</v>
      </c>
    </row>
    <row r="1125" spans="1:7">
      <c r="A1125" s="3">
        <v>10</v>
      </c>
      <c r="B1125" s="3">
        <v>5</v>
      </c>
      <c r="C1125" s="3">
        <v>119</v>
      </c>
      <c r="D1125" s="3">
        <v>18</v>
      </c>
      <c r="E1125" s="3">
        <v>-290.849</v>
      </c>
      <c r="F1125" s="4" t="str">
        <f>HYPERLINK("http://141.218.60.56/~jnz1568/getInfo.php?workbook=10_05.xlsx&amp;sheet=A0&amp;row=1125&amp;col=6&amp;number=91800&amp;sourceID=14","91800")</f>
        <v>91800</v>
      </c>
      <c r="G1125" s="4" t="str">
        <f>HYPERLINK("http://141.218.60.56/~jnz1568/getInfo.php?workbook=10_05.xlsx&amp;sheet=A0&amp;row=1125&amp;col=7&amp;number=0&amp;sourceID=14","0")</f>
        <v>0</v>
      </c>
    </row>
    <row r="1126" spans="1:7">
      <c r="A1126" s="3">
        <v>10</v>
      </c>
      <c r="B1126" s="3">
        <v>5</v>
      </c>
      <c r="C1126" s="3">
        <v>120</v>
      </c>
      <c r="D1126" s="3">
        <v>18</v>
      </c>
      <c r="E1126" s="3">
        <v>-288.199</v>
      </c>
      <c r="F1126" s="4" t="str">
        <f>HYPERLINK("http://141.218.60.56/~jnz1568/getInfo.php?workbook=10_05.xlsx&amp;sheet=A0&amp;row=1126&amp;col=6&amp;number=826000&amp;sourceID=14","826000")</f>
        <v>826000</v>
      </c>
      <c r="G1126" s="4" t="str">
        <f>HYPERLINK("http://141.218.60.56/~jnz1568/getInfo.php?workbook=10_05.xlsx&amp;sheet=A0&amp;row=1126&amp;col=7&amp;number=0&amp;sourceID=14","0")</f>
        <v>0</v>
      </c>
    </row>
    <row r="1127" spans="1:7">
      <c r="A1127" s="3">
        <v>10</v>
      </c>
      <c r="B1127" s="3">
        <v>5</v>
      </c>
      <c r="C1127" s="3">
        <v>121</v>
      </c>
      <c r="D1127" s="3">
        <v>18</v>
      </c>
      <c r="E1127" s="3">
        <v>-288.013</v>
      </c>
      <c r="F1127" s="4" t="str">
        <f>HYPERLINK("http://141.218.60.56/~jnz1568/getInfo.php?workbook=10_05.xlsx&amp;sheet=A0&amp;row=1127&amp;col=6&amp;number=1300000&amp;sourceID=14","1300000")</f>
        <v>1300000</v>
      </c>
      <c r="G1127" s="4" t="str">
        <f>HYPERLINK("http://141.218.60.56/~jnz1568/getInfo.php?workbook=10_05.xlsx&amp;sheet=A0&amp;row=1127&amp;col=7&amp;number=0&amp;sourceID=14","0")</f>
        <v>0</v>
      </c>
    </row>
    <row r="1128" spans="1:7">
      <c r="A1128" s="3">
        <v>10</v>
      </c>
      <c r="B1128" s="3">
        <v>5</v>
      </c>
      <c r="C1128" s="3">
        <v>122</v>
      </c>
      <c r="D1128" s="3">
        <v>18</v>
      </c>
      <c r="E1128" s="3">
        <v>-287.707</v>
      </c>
      <c r="F1128" s="4" t="str">
        <f>HYPERLINK("http://141.218.60.56/~jnz1568/getInfo.php?workbook=10_05.xlsx&amp;sheet=A0&amp;row=1128&amp;col=6&amp;number=147000&amp;sourceID=14","147000")</f>
        <v>147000</v>
      </c>
      <c r="G1128" s="4" t="str">
        <f>HYPERLINK("http://141.218.60.56/~jnz1568/getInfo.php?workbook=10_05.xlsx&amp;sheet=A0&amp;row=1128&amp;col=7&amp;number=0&amp;sourceID=14","0")</f>
        <v>0</v>
      </c>
    </row>
    <row r="1129" spans="1:7">
      <c r="A1129" s="3">
        <v>10</v>
      </c>
      <c r="B1129" s="3">
        <v>5</v>
      </c>
      <c r="C1129" s="3">
        <v>123</v>
      </c>
      <c r="D1129" s="3">
        <v>18</v>
      </c>
      <c r="E1129" s="3">
        <v>-287.463</v>
      </c>
      <c r="F1129" s="4" t="str">
        <f>HYPERLINK("http://141.218.60.56/~jnz1568/getInfo.php?workbook=10_05.xlsx&amp;sheet=A0&amp;row=1129&amp;col=6&amp;number=2720000&amp;sourceID=14","2720000")</f>
        <v>2720000</v>
      </c>
      <c r="G1129" s="4" t="str">
        <f>HYPERLINK("http://141.218.60.56/~jnz1568/getInfo.php?workbook=10_05.xlsx&amp;sheet=A0&amp;row=1129&amp;col=7&amp;number=0&amp;sourceID=14","0")</f>
        <v>0</v>
      </c>
    </row>
    <row r="1130" spans="1:7">
      <c r="A1130" s="3">
        <v>10</v>
      </c>
      <c r="B1130" s="3">
        <v>5</v>
      </c>
      <c r="C1130" s="3">
        <v>125</v>
      </c>
      <c r="D1130" s="3">
        <v>18</v>
      </c>
      <c r="E1130" s="3">
        <v>-286.529</v>
      </c>
      <c r="F1130" s="4" t="str">
        <f>HYPERLINK("http://141.218.60.56/~jnz1568/getInfo.php?workbook=10_05.xlsx&amp;sheet=A0&amp;row=1130&amp;col=6&amp;number=30000000&amp;sourceID=14","30000000")</f>
        <v>30000000</v>
      </c>
      <c r="G1130" s="4" t="str">
        <f>HYPERLINK("http://141.218.60.56/~jnz1568/getInfo.php?workbook=10_05.xlsx&amp;sheet=A0&amp;row=1130&amp;col=7&amp;number=0&amp;sourceID=14","0")</f>
        <v>0</v>
      </c>
    </row>
    <row r="1131" spans="1:7">
      <c r="A1131" s="3">
        <v>10</v>
      </c>
      <c r="B1131" s="3">
        <v>5</v>
      </c>
      <c r="C1131" s="3">
        <v>126</v>
      </c>
      <c r="D1131" s="3">
        <v>18</v>
      </c>
      <c r="E1131" s="3">
        <v>-286.304</v>
      </c>
      <c r="F1131" s="4" t="str">
        <f>HYPERLINK("http://141.218.60.56/~jnz1568/getInfo.php?workbook=10_05.xlsx&amp;sheet=A0&amp;row=1131&amp;col=6&amp;number=79500000&amp;sourceID=14","79500000")</f>
        <v>79500000</v>
      </c>
      <c r="G1131" s="4" t="str">
        <f>HYPERLINK("http://141.218.60.56/~jnz1568/getInfo.php?workbook=10_05.xlsx&amp;sheet=A0&amp;row=1131&amp;col=7&amp;number=0&amp;sourceID=14","0")</f>
        <v>0</v>
      </c>
    </row>
    <row r="1132" spans="1:7">
      <c r="A1132" s="3">
        <v>10</v>
      </c>
      <c r="B1132" s="3">
        <v>5</v>
      </c>
      <c r="C1132" s="3">
        <v>129</v>
      </c>
      <c r="D1132" s="3">
        <v>18</v>
      </c>
      <c r="E1132" s="3">
        <v>284.024</v>
      </c>
      <c r="F1132" s="4" t="str">
        <f>HYPERLINK("http://141.218.60.56/~jnz1568/getInfo.php?workbook=10_05.xlsx&amp;sheet=A0&amp;row=1132&amp;col=6&amp;number=15000000&amp;sourceID=14","15000000")</f>
        <v>15000000</v>
      </c>
      <c r="G1132" s="4" t="str">
        <f>HYPERLINK("http://141.218.60.56/~jnz1568/getInfo.php?workbook=10_05.xlsx&amp;sheet=A0&amp;row=1132&amp;col=7&amp;number=0&amp;sourceID=14","0")</f>
        <v>0</v>
      </c>
    </row>
    <row r="1133" spans="1:7">
      <c r="A1133" s="3">
        <v>10</v>
      </c>
      <c r="B1133" s="3">
        <v>5</v>
      </c>
      <c r="C1133" s="3">
        <v>130</v>
      </c>
      <c r="D1133" s="3">
        <v>18</v>
      </c>
      <c r="E1133" s="3">
        <v>284.024</v>
      </c>
      <c r="F1133" s="4" t="str">
        <f>HYPERLINK("http://141.218.60.56/~jnz1568/getInfo.php?workbook=10_05.xlsx&amp;sheet=A0&amp;row=1133&amp;col=6&amp;number=39600000&amp;sourceID=14","39600000")</f>
        <v>39600000</v>
      </c>
      <c r="G1133" s="4" t="str">
        <f>HYPERLINK("http://141.218.60.56/~jnz1568/getInfo.php?workbook=10_05.xlsx&amp;sheet=A0&amp;row=1133&amp;col=7&amp;number=0&amp;sourceID=14","0")</f>
        <v>0</v>
      </c>
    </row>
    <row r="1134" spans="1:7">
      <c r="A1134" s="3">
        <v>10</v>
      </c>
      <c r="B1134" s="3">
        <v>5</v>
      </c>
      <c r="C1134" s="3">
        <v>131</v>
      </c>
      <c r="D1134" s="3">
        <v>18</v>
      </c>
      <c r="E1134" s="3">
        <v>-283.578</v>
      </c>
      <c r="F1134" s="4" t="str">
        <f>HYPERLINK("http://141.218.60.56/~jnz1568/getInfo.php?workbook=10_05.xlsx&amp;sheet=A0&amp;row=1134&amp;col=6&amp;number=189000&amp;sourceID=14","189000")</f>
        <v>189000</v>
      </c>
      <c r="G1134" s="4" t="str">
        <f>HYPERLINK("http://141.218.60.56/~jnz1568/getInfo.php?workbook=10_05.xlsx&amp;sheet=A0&amp;row=1134&amp;col=7&amp;number=0&amp;sourceID=14","0")</f>
        <v>0</v>
      </c>
    </row>
    <row r="1135" spans="1:7">
      <c r="A1135" s="3">
        <v>10</v>
      </c>
      <c r="B1135" s="3">
        <v>5</v>
      </c>
      <c r="C1135" s="3">
        <v>132</v>
      </c>
      <c r="D1135" s="3">
        <v>18</v>
      </c>
      <c r="E1135" s="3">
        <v>-283.46</v>
      </c>
      <c r="F1135" s="4" t="str">
        <f>HYPERLINK("http://141.218.60.56/~jnz1568/getInfo.php?workbook=10_05.xlsx&amp;sheet=A0&amp;row=1135&amp;col=6&amp;number=27500&amp;sourceID=14","27500")</f>
        <v>27500</v>
      </c>
      <c r="G1135" s="4" t="str">
        <f>HYPERLINK("http://141.218.60.56/~jnz1568/getInfo.php?workbook=10_05.xlsx&amp;sheet=A0&amp;row=1135&amp;col=7&amp;number=0&amp;sourceID=14","0")</f>
        <v>0</v>
      </c>
    </row>
    <row r="1136" spans="1:7">
      <c r="A1136" s="3">
        <v>10</v>
      </c>
      <c r="B1136" s="3">
        <v>5</v>
      </c>
      <c r="C1136" s="3">
        <v>133</v>
      </c>
      <c r="D1136" s="3">
        <v>18</v>
      </c>
      <c r="E1136" s="3">
        <v>-283.293</v>
      </c>
      <c r="F1136" s="4" t="str">
        <f>HYPERLINK("http://141.218.60.56/~jnz1568/getInfo.php?workbook=10_05.xlsx&amp;sheet=A0&amp;row=1136&amp;col=6&amp;number=8710000&amp;sourceID=14","8710000")</f>
        <v>8710000</v>
      </c>
      <c r="G1136" s="4" t="str">
        <f>HYPERLINK("http://141.218.60.56/~jnz1568/getInfo.php?workbook=10_05.xlsx&amp;sheet=A0&amp;row=1136&amp;col=7&amp;number=0&amp;sourceID=14","0")</f>
        <v>0</v>
      </c>
    </row>
    <row r="1137" spans="1:7">
      <c r="A1137" s="3">
        <v>10</v>
      </c>
      <c r="B1137" s="3">
        <v>5</v>
      </c>
      <c r="C1137" s="3">
        <v>140</v>
      </c>
      <c r="D1137" s="3">
        <v>18</v>
      </c>
      <c r="E1137" s="3">
        <v>-279.463</v>
      </c>
      <c r="F1137" s="4" t="str">
        <f>HYPERLINK("http://141.218.60.56/~jnz1568/getInfo.php?workbook=10_05.xlsx&amp;sheet=A0&amp;row=1137&amp;col=6&amp;number=139000000&amp;sourceID=14","139000000")</f>
        <v>139000000</v>
      </c>
      <c r="G1137" s="4" t="str">
        <f>HYPERLINK("http://141.218.60.56/~jnz1568/getInfo.php?workbook=10_05.xlsx&amp;sheet=A0&amp;row=1137&amp;col=7&amp;number=0&amp;sourceID=14","0")</f>
        <v>0</v>
      </c>
    </row>
    <row r="1138" spans="1:7">
      <c r="A1138" s="3">
        <v>10</v>
      </c>
      <c r="B1138" s="3">
        <v>5</v>
      </c>
      <c r="C1138" s="3">
        <v>150</v>
      </c>
      <c r="D1138" s="3">
        <v>18</v>
      </c>
      <c r="E1138" s="3">
        <v>-274.148</v>
      </c>
      <c r="F1138" s="4" t="str">
        <f>HYPERLINK("http://141.218.60.56/~jnz1568/getInfo.php?workbook=10_05.xlsx&amp;sheet=A0&amp;row=1138&amp;col=6&amp;number=1990000&amp;sourceID=14","1990000")</f>
        <v>1990000</v>
      </c>
      <c r="G1138" s="4" t="str">
        <f>HYPERLINK("http://141.218.60.56/~jnz1568/getInfo.php?workbook=10_05.xlsx&amp;sheet=A0&amp;row=1138&amp;col=7&amp;number=0&amp;sourceID=14","0")</f>
        <v>0</v>
      </c>
    </row>
    <row r="1139" spans="1:7">
      <c r="A1139" s="3">
        <v>10</v>
      </c>
      <c r="B1139" s="3">
        <v>5</v>
      </c>
      <c r="C1139" s="3">
        <v>151</v>
      </c>
      <c r="D1139" s="3">
        <v>18</v>
      </c>
      <c r="E1139" s="3">
        <v>-274.132</v>
      </c>
      <c r="F1139" s="4" t="str">
        <f>HYPERLINK("http://141.218.60.56/~jnz1568/getInfo.php?workbook=10_05.xlsx&amp;sheet=A0&amp;row=1139&amp;col=6&amp;number=5510000&amp;sourceID=14","5510000")</f>
        <v>5510000</v>
      </c>
      <c r="G1139" s="4" t="str">
        <f>HYPERLINK("http://141.218.60.56/~jnz1568/getInfo.php?workbook=10_05.xlsx&amp;sheet=A0&amp;row=1139&amp;col=7&amp;number=0&amp;sourceID=14","0")</f>
        <v>0</v>
      </c>
    </row>
    <row r="1140" spans="1:7">
      <c r="A1140" s="3">
        <v>10</v>
      </c>
      <c r="B1140" s="3">
        <v>5</v>
      </c>
      <c r="C1140" s="3">
        <v>155</v>
      </c>
      <c r="D1140" s="3">
        <v>18</v>
      </c>
      <c r="E1140" s="3">
        <v>271.7</v>
      </c>
      <c r="F1140" s="4" t="str">
        <f>HYPERLINK("http://141.218.60.56/~jnz1568/getInfo.php?workbook=10_05.xlsx&amp;sheet=A0&amp;row=1140&amp;col=6&amp;number=5700000&amp;sourceID=14","5700000")</f>
        <v>5700000</v>
      </c>
      <c r="G1140" s="4" t="str">
        <f>HYPERLINK("http://141.218.60.56/~jnz1568/getInfo.php?workbook=10_05.xlsx&amp;sheet=A0&amp;row=1140&amp;col=7&amp;number=0&amp;sourceID=14","0")</f>
        <v>0</v>
      </c>
    </row>
    <row r="1141" spans="1:7">
      <c r="A1141" s="3">
        <v>10</v>
      </c>
      <c r="B1141" s="3">
        <v>5</v>
      </c>
      <c r="C1141" s="3">
        <v>156</v>
      </c>
      <c r="D1141" s="3">
        <v>18</v>
      </c>
      <c r="E1141" s="3">
        <v>-271.086</v>
      </c>
      <c r="F1141" s="4" t="str">
        <f>HYPERLINK("http://141.218.60.56/~jnz1568/getInfo.php?workbook=10_05.xlsx&amp;sheet=A0&amp;row=1141&amp;col=6&amp;number=4940000&amp;sourceID=14","4940000")</f>
        <v>4940000</v>
      </c>
      <c r="G1141" s="4" t="str">
        <f>HYPERLINK("http://141.218.60.56/~jnz1568/getInfo.php?workbook=10_05.xlsx&amp;sheet=A0&amp;row=1141&amp;col=7&amp;number=0&amp;sourceID=14","0")</f>
        <v>0</v>
      </c>
    </row>
    <row r="1142" spans="1:7">
      <c r="A1142" s="3">
        <v>10</v>
      </c>
      <c r="B1142" s="3">
        <v>5</v>
      </c>
      <c r="C1142" s="3">
        <v>157</v>
      </c>
      <c r="D1142" s="3">
        <v>18</v>
      </c>
      <c r="E1142" s="3">
        <v>-270.955</v>
      </c>
      <c r="F1142" s="4" t="str">
        <f>HYPERLINK("http://141.218.60.56/~jnz1568/getInfo.php?workbook=10_05.xlsx&amp;sheet=A0&amp;row=1142&amp;col=6&amp;number=34000000&amp;sourceID=14","34000000")</f>
        <v>34000000</v>
      </c>
      <c r="G1142" s="4" t="str">
        <f>HYPERLINK("http://141.218.60.56/~jnz1568/getInfo.php?workbook=10_05.xlsx&amp;sheet=A0&amp;row=1142&amp;col=7&amp;number=0&amp;sourceID=14","0")</f>
        <v>0</v>
      </c>
    </row>
    <row r="1143" spans="1:7">
      <c r="A1143" s="3">
        <v>10</v>
      </c>
      <c r="B1143" s="3">
        <v>5</v>
      </c>
      <c r="C1143" s="3">
        <v>160</v>
      </c>
      <c r="D1143" s="3">
        <v>18</v>
      </c>
      <c r="E1143" s="3">
        <v>-270.028</v>
      </c>
      <c r="F1143" s="4" t="str">
        <f>HYPERLINK("http://141.218.60.56/~jnz1568/getInfo.php?workbook=10_05.xlsx&amp;sheet=A0&amp;row=1143&amp;col=6&amp;number=56600&amp;sourceID=14","56600")</f>
        <v>56600</v>
      </c>
      <c r="G1143" s="4" t="str">
        <f>HYPERLINK("http://141.218.60.56/~jnz1568/getInfo.php?workbook=10_05.xlsx&amp;sheet=A0&amp;row=1143&amp;col=7&amp;number=0&amp;sourceID=14","0")</f>
        <v>0</v>
      </c>
    </row>
    <row r="1144" spans="1:7">
      <c r="A1144" s="3">
        <v>10</v>
      </c>
      <c r="B1144" s="3">
        <v>5</v>
      </c>
      <c r="C1144" s="3">
        <v>161</v>
      </c>
      <c r="D1144" s="3">
        <v>18</v>
      </c>
      <c r="E1144" s="3">
        <v>269.802</v>
      </c>
      <c r="F1144" s="4" t="str">
        <f>HYPERLINK("http://141.218.60.56/~jnz1568/getInfo.php?workbook=10_05.xlsx&amp;sheet=A0&amp;row=1144&amp;col=6&amp;number=25200000&amp;sourceID=14","25200000")</f>
        <v>25200000</v>
      </c>
      <c r="G1144" s="4" t="str">
        <f>HYPERLINK("http://141.218.60.56/~jnz1568/getInfo.php?workbook=10_05.xlsx&amp;sheet=A0&amp;row=1144&amp;col=7&amp;number=0&amp;sourceID=14","0")</f>
        <v>0</v>
      </c>
    </row>
    <row r="1145" spans="1:7">
      <c r="A1145" s="3">
        <v>10</v>
      </c>
      <c r="B1145" s="3">
        <v>5</v>
      </c>
      <c r="C1145" s="3">
        <v>162</v>
      </c>
      <c r="D1145" s="3">
        <v>18</v>
      </c>
      <c r="E1145" s="3">
        <v>269.583</v>
      </c>
      <c r="F1145" s="4" t="str">
        <f>HYPERLINK("http://141.218.60.56/~jnz1568/getInfo.php?workbook=10_05.xlsx&amp;sheet=A0&amp;row=1145&amp;col=6&amp;number=62600000&amp;sourceID=14","62600000")</f>
        <v>62600000</v>
      </c>
      <c r="G1145" s="4" t="str">
        <f>HYPERLINK("http://141.218.60.56/~jnz1568/getInfo.php?workbook=10_05.xlsx&amp;sheet=A0&amp;row=1145&amp;col=7&amp;number=0&amp;sourceID=14","0")</f>
        <v>0</v>
      </c>
    </row>
    <row r="1146" spans="1:7">
      <c r="A1146" s="3">
        <v>10</v>
      </c>
      <c r="B1146" s="3">
        <v>5</v>
      </c>
      <c r="C1146" s="3">
        <v>163</v>
      </c>
      <c r="D1146" s="3">
        <v>18</v>
      </c>
      <c r="E1146" s="3">
        <v>-260.08</v>
      </c>
      <c r="F1146" s="4" t="str">
        <f>HYPERLINK("http://141.218.60.56/~jnz1568/getInfo.php?workbook=10_05.xlsx&amp;sheet=A0&amp;row=1146&amp;col=6&amp;number=15300000&amp;sourceID=14","15300000")</f>
        <v>15300000</v>
      </c>
      <c r="G1146" s="4" t="str">
        <f>HYPERLINK("http://141.218.60.56/~jnz1568/getInfo.php?workbook=10_05.xlsx&amp;sheet=A0&amp;row=1146&amp;col=7&amp;number=0&amp;sourceID=14","0")</f>
        <v>0</v>
      </c>
    </row>
    <row r="1147" spans="1:7">
      <c r="A1147" s="3">
        <v>10</v>
      </c>
      <c r="B1147" s="3">
        <v>5</v>
      </c>
      <c r="C1147" s="3">
        <v>168</v>
      </c>
      <c r="D1147" s="3">
        <v>18</v>
      </c>
      <c r="E1147" s="3">
        <v>-221.648</v>
      </c>
      <c r="F1147" s="4" t="str">
        <f>HYPERLINK("http://141.218.60.56/~jnz1568/getInfo.php?workbook=10_05.xlsx&amp;sheet=A0&amp;row=1147&amp;col=6&amp;number=12400000&amp;sourceID=14","12400000")</f>
        <v>12400000</v>
      </c>
      <c r="G1147" s="4" t="str">
        <f>HYPERLINK("http://141.218.60.56/~jnz1568/getInfo.php?workbook=10_05.xlsx&amp;sheet=A0&amp;row=1147&amp;col=7&amp;number=0&amp;sourceID=14","0")</f>
        <v>0</v>
      </c>
    </row>
    <row r="1148" spans="1:7">
      <c r="A1148" s="3">
        <v>10</v>
      </c>
      <c r="B1148" s="3">
        <v>5</v>
      </c>
      <c r="C1148" s="3">
        <v>169</v>
      </c>
      <c r="D1148" s="3">
        <v>18</v>
      </c>
      <c r="E1148" s="3">
        <v>-221.624</v>
      </c>
      <c r="F1148" s="4" t="str">
        <f>HYPERLINK("http://141.218.60.56/~jnz1568/getInfo.php?workbook=10_05.xlsx&amp;sheet=A0&amp;row=1148&amp;col=6&amp;number=2020000&amp;sourceID=14","2020000")</f>
        <v>2020000</v>
      </c>
      <c r="G1148" s="4" t="str">
        <f>HYPERLINK("http://141.218.60.56/~jnz1568/getInfo.php?workbook=10_05.xlsx&amp;sheet=A0&amp;row=1148&amp;col=7&amp;number=0&amp;sourceID=14","0")</f>
        <v>0</v>
      </c>
    </row>
    <row r="1149" spans="1:7">
      <c r="A1149" s="3">
        <v>10</v>
      </c>
      <c r="B1149" s="3">
        <v>5</v>
      </c>
      <c r="C1149" s="3">
        <v>170</v>
      </c>
      <c r="D1149" s="3">
        <v>18</v>
      </c>
      <c r="E1149" s="3">
        <v>-217.115</v>
      </c>
      <c r="F1149" s="4" t="str">
        <f>HYPERLINK("http://141.218.60.56/~jnz1568/getInfo.php?workbook=10_05.xlsx&amp;sheet=A0&amp;row=1149&amp;col=6&amp;number=32900&amp;sourceID=14","32900")</f>
        <v>32900</v>
      </c>
      <c r="G1149" s="4" t="str">
        <f>HYPERLINK("http://141.218.60.56/~jnz1568/getInfo.php?workbook=10_05.xlsx&amp;sheet=A0&amp;row=1149&amp;col=7&amp;number=0&amp;sourceID=14","0")</f>
        <v>0</v>
      </c>
    </row>
    <row r="1150" spans="1:7">
      <c r="A1150" s="3">
        <v>10</v>
      </c>
      <c r="B1150" s="3">
        <v>5</v>
      </c>
      <c r="C1150" s="3">
        <v>171</v>
      </c>
      <c r="D1150" s="3">
        <v>18</v>
      </c>
      <c r="E1150" s="3">
        <v>-217.07</v>
      </c>
      <c r="F1150" s="4" t="str">
        <f>HYPERLINK("http://141.218.60.56/~jnz1568/getInfo.php?workbook=10_05.xlsx&amp;sheet=A0&amp;row=1150&amp;col=6&amp;number=10800&amp;sourceID=14","10800")</f>
        <v>10800</v>
      </c>
      <c r="G1150" s="4" t="str">
        <f>HYPERLINK("http://141.218.60.56/~jnz1568/getInfo.php?workbook=10_05.xlsx&amp;sheet=A0&amp;row=1150&amp;col=7&amp;number=0&amp;sourceID=14","0")</f>
        <v>0</v>
      </c>
    </row>
    <row r="1151" spans="1:7">
      <c r="A1151" s="3">
        <v>10</v>
      </c>
      <c r="B1151" s="3">
        <v>5</v>
      </c>
      <c r="C1151" s="3">
        <v>172</v>
      </c>
      <c r="D1151" s="3">
        <v>18</v>
      </c>
      <c r="E1151" s="3">
        <v>-216.155</v>
      </c>
      <c r="F1151" s="4" t="str">
        <f>HYPERLINK("http://141.218.60.56/~jnz1568/getInfo.php?workbook=10_05.xlsx&amp;sheet=A0&amp;row=1151&amp;col=6&amp;number=4360000&amp;sourceID=14","4360000")</f>
        <v>4360000</v>
      </c>
      <c r="G1151" s="4" t="str">
        <f>HYPERLINK("http://141.218.60.56/~jnz1568/getInfo.php?workbook=10_05.xlsx&amp;sheet=A0&amp;row=1151&amp;col=7&amp;number=0&amp;sourceID=14","0")</f>
        <v>0</v>
      </c>
    </row>
    <row r="1152" spans="1:7">
      <c r="A1152" s="3">
        <v>10</v>
      </c>
      <c r="B1152" s="3">
        <v>5</v>
      </c>
      <c r="C1152" s="3">
        <v>173</v>
      </c>
      <c r="D1152" s="3">
        <v>18</v>
      </c>
      <c r="E1152" s="3">
        <v>-216.145</v>
      </c>
      <c r="F1152" s="4" t="str">
        <f>HYPERLINK("http://141.218.60.56/~jnz1568/getInfo.php?workbook=10_05.xlsx&amp;sheet=A0&amp;row=1152&amp;col=6&amp;number=25500000&amp;sourceID=14","25500000")</f>
        <v>25500000</v>
      </c>
      <c r="G1152" s="4" t="str">
        <f>HYPERLINK("http://141.218.60.56/~jnz1568/getInfo.php?workbook=10_05.xlsx&amp;sheet=A0&amp;row=1152&amp;col=7&amp;number=0&amp;sourceID=14","0")</f>
        <v>0</v>
      </c>
    </row>
    <row r="1153" spans="1:7">
      <c r="A1153" s="3">
        <v>10</v>
      </c>
      <c r="B1153" s="3">
        <v>5</v>
      </c>
      <c r="C1153" s="3">
        <v>174</v>
      </c>
      <c r="D1153" s="3">
        <v>18</v>
      </c>
      <c r="E1153" s="3">
        <v>-215.163</v>
      </c>
      <c r="F1153" s="4" t="str">
        <f>HYPERLINK("http://141.218.60.56/~jnz1568/getInfo.php?workbook=10_05.xlsx&amp;sheet=A0&amp;row=1153&amp;col=6&amp;number=68900000&amp;sourceID=14","68900000")</f>
        <v>68900000</v>
      </c>
      <c r="G1153" s="4" t="str">
        <f>HYPERLINK("http://141.218.60.56/~jnz1568/getInfo.php?workbook=10_05.xlsx&amp;sheet=A0&amp;row=1153&amp;col=7&amp;number=0&amp;sourceID=14","0")</f>
        <v>0</v>
      </c>
    </row>
    <row r="1154" spans="1:7">
      <c r="A1154" s="3">
        <v>10</v>
      </c>
      <c r="B1154" s="3">
        <v>5</v>
      </c>
      <c r="C1154" s="3">
        <v>21</v>
      </c>
      <c r="D1154" s="3">
        <v>19</v>
      </c>
      <c r="E1154" s="3">
        <v>5825.819</v>
      </c>
      <c r="F1154" s="4" t="str">
        <f>HYPERLINK("http://141.218.60.56/~jnz1568/getInfo.php?workbook=10_05.xlsx&amp;sheet=A0&amp;row=1154&amp;col=6&amp;number=105&amp;sourceID=14","105")</f>
        <v>105</v>
      </c>
      <c r="G1154" s="4" t="str">
        <f>HYPERLINK("http://141.218.60.56/~jnz1568/getInfo.php?workbook=10_05.xlsx&amp;sheet=A0&amp;row=1154&amp;col=7&amp;number=0&amp;sourceID=14","0")</f>
        <v>0</v>
      </c>
    </row>
    <row r="1155" spans="1:7">
      <c r="A1155" s="3">
        <v>10</v>
      </c>
      <c r="B1155" s="3">
        <v>5</v>
      </c>
      <c r="C1155" s="3">
        <v>22</v>
      </c>
      <c r="D1155" s="3">
        <v>19</v>
      </c>
      <c r="E1155" s="3">
        <v>5667.338</v>
      </c>
      <c r="F1155" s="4" t="str">
        <f>HYPERLINK("http://141.218.60.56/~jnz1568/getInfo.php?workbook=10_05.xlsx&amp;sheet=A0&amp;row=1155&amp;col=6&amp;number=31.1&amp;sourceID=14","31.1")</f>
        <v>31.1</v>
      </c>
      <c r="G1155" s="4" t="str">
        <f>HYPERLINK("http://141.218.60.56/~jnz1568/getInfo.php?workbook=10_05.xlsx&amp;sheet=A0&amp;row=1155&amp;col=7&amp;number=0&amp;sourceID=14","0")</f>
        <v>0</v>
      </c>
    </row>
    <row r="1156" spans="1:7">
      <c r="A1156" s="3">
        <v>10</v>
      </c>
      <c r="B1156" s="3">
        <v>5</v>
      </c>
      <c r="C1156" s="3">
        <v>23</v>
      </c>
      <c r="D1156" s="3">
        <v>19</v>
      </c>
      <c r="E1156" s="3">
        <v>5433.316</v>
      </c>
      <c r="F1156" s="4" t="str">
        <f>HYPERLINK("http://141.218.60.56/~jnz1568/getInfo.php?workbook=10_05.xlsx&amp;sheet=A0&amp;row=1156&amp;col=6&amp;number=0.0385&amp;sourceID=14","0.0385")</f>
        <v>0.0385</v>
      </c>
      <c r="G1156" s="4" t="str">
        <f>HYPERLINK("http://141.218.60.56/~jnz1568/getInfo.php?workbook=10_05.xlsx&amp;sheet=A0&amp;row=1156&amp;col=7&amp;number=0&amp;sourceID=14","0")</f>
        <v>0</v>
      </c>
    </row>
    <row r="1157" spans="1:7">
      <c r="A1157" s="3">
        <v>10</v>
      </c>
      <c r="B1157" s="3">
        <v>5</v>
      </c>
      <c r="C1157" s="3">
        <v>24</v>
      </c>
      <c r="D1157" s="3">
        <v>19</v>
      </c>
      <c r="E1157" s="3">
        <v>2542.27</v>
      </c>
      <c r="F1157" s="4" t="str">
        <f>HYPERLINK("http://141.218.60.56/~jnz1568/getInfo.php?workbook=10_05.xlsx&amp;sheet=A0&amp;row=1157&amp;col=6&amp;number=9750000&amp;sourceID=14","9750000")</f>
        <v>9750000</v>
      </c>
      <c r="G1157" s="4" t="str">
        <f>HYPERLINK("http://141.218.60.56/~jnz1568/getInfo.php?workbook=10_05.xlsx&amp;sheet=A0&amp;row=1157&amp;col=7&amp;number=0&amp;sourceID=14","0")</f>
        <v>0</v>
      </c>
    </row>
    <row r="1158" spans="1:7">
      <c r="A1158" s="3">
        <v>10</v>
      </c>
      <c r="B1158" s="3">
        <v>5</v>
      </c>
      <c r="C1158" s="3">
        <v>25</v>
      </c>
      <c r="D1158" s="3">
        <v>19</v>
      </c>
      <c r="E1158" s="3">
        <v>2490.354</v>
      </c>
      <c r="F1158" s="4" t="str">
        <f>HYPERLINK("http://141.218.60.56/~jnz1568/getInfo.php?workbook=10_05.xlsx&amp;sheet=A0&amp;row=1158&amp;col=6&amp;number=1020000&amp;sourceID=14","1020000")</f>
        <v>1020000</v>
      </c>
      <c r="G1158" s="4" t="str">
        <f>HYPERLINK("http://141.218.60.56/~jnz1568/getInfo.php?workbook=10_05.xlsx&amp;sheet=A0&amp;row=1158&amp;col=7&amp;number=0&amp;sourceID=14","0")</f>
        <v>0</v>
      </c>
    </row>
    <row r="1159" spans="1:7">
      <c r="A1159" s="3">
        <v>10</v>
      </c>
      <c r="B1159" s="3">
        <v>5</v>
      </c>
      <c r="C1159" s="3">
        <v>38</v>
      </c>
      <c r="D1159" s="3">
        <v>19</v>
      </c>
      <c r="E1159" s="3">
        <v>-1018.633</v>
      </c>
      <c r="F1159" s="4" t="str">
        <f>HYPERLINK("http://141.218.60.56/~jnz1568/getInfo.php?workbook=10_05.xlsx&amp;sheet=A0&amp;row=1159&amp;col=6&amp;number=8800&amp;sourceID=14","8800")</f>
        <v>8800</v>
      </c>
      <c r="G1159" s="4" t="str">
        <f>HYPERLINK("http://141.218.60.56/~jnz1568/getInfo.php?workbook=10_05.xlsx&amp;sheet=A0&amp;row=1159&amp;col=7&amp;number=0&amp;sourceID=14","0")</f>
        <v>0</v>
      </c>
    </row>
    <row r="1160" spans="1:7">
      <c r="A1160" s="3">
        <v>10</v>
      </c>
      <c r="B1160" s="3">
        <v>5</v>
      </c>
      <c r="C1160" s="3">
        <v>39</v>
      </c>
      <c r="D1160" s="3">
        <v>19</v>
      </c>
      <c r="E1160" s="3">
        <v>-1015.797</v>
      </c>
      <c r="F1160" s="4" t="str">
        <f>HYPERLINK("http://141.218.60.56/~jnz1568/getInfo.php?workbook=10_05.xlsx&amp;sheet=A0&amp;row=1160&amp;col=6&amp;number=1500&amp;sourceID=14","1500")</f>
        <v>1500</v>
      </c>
      <c r="G1160" s="4" t="str">
        <f>HYPERLINK("http://141.218.60.56/~jnz1568/getInfo.php?workbook=10_05.xlsx&amp;sheet=A0&amp;row=1160&amp;col=7&amp;number=0&amp;sourceID=14","0")</f>
        <v>0</v>
      </c>
    </row>
    <row r="1161" spans="1:7">
      <c r="A1161" s="3">
        <v>10</v>
      </c>
      <c r="B1161" s="3">
        <v>5</v>
      </c>
      <c r="C1161" s="3">
        <v>43</v>
      </c>
      <c r="D1161" s="3">
        <v>19</v>
      </c>
      <c r="E1161" s="3">
        <v>910.21</v>
      </c>
      <c r="F1161" s="4" t="str">
        <f>HYPERLINK("http://141.218.60.56/~jnz1568/getInfo.php?workbook=10_05.xlsx&amp;sheet=A0&amp;row=1161&amp;col=6&amp;number=22900&amp;sourceID=14","22900")</f>
        <v>22900</v>
      </c>
      <c r="G1161" s="4" t="str">
        <f>HYPERLINK("http://141.218.60.56/~jnz1568/getInfo.php?workbook=10_05.xlsx&amp;sheet=A0&amp;row=1161&amp;col=7&amp;number=0&amp;sourceID=14","0")</f>
        <v>0</v>
      </c>
    </row>
    <row r="1162" spans="1:7">
      <c r="A1162" s="3">
        <v>10</v>
      </c>
      <c r="B1162" s="3">
        <v>5</v>
      </c>
      <c r="C1162" s="3">
        <v>44</v>
      </c>
      <c r="D1162" s="3">
        <v>19</v>
      </c>
      <c r="E1162" s="3">
        <v>909.382</v>
      </c>
      <c r="F1162" s="4" t="str">
        <f>HYPERLINK("http://141.218.60.56/~jnz1568/getInfo.php?workbook=10_05.xlsx&amp;sheet=A0&amp;row=1162&amp;col=6&amp;number=10700&amp;sourceID=14","10700")</f>
        <v>10700</v>
      </c>
      <c r="G1162" s="4" t="str">
        <f>HYPERLINK("http://141.218.60.56/~jnz1568/getInfo.php?workbook=10_05.xlsx&amp;sheet=A0&amp;row=1162&amp;col=7&amp;number=0&amp;sourceID=14","0")</f>
        <v>0</v>
      </c>
    </row>
    <row r="1163" spans="1:7">
      <c r="A1163" s="3">
        <v>10</v>
      </c>
      <c r="B1163" s="3">
        <v>5</v>
      </c>
      <c r="C1163" s="3">
        <v>45</v>
      </c>
      <c r="D1163" s="3">
        <v>19</v>
      </c>
      <c r="E1163" s="3">
        <v>908.556</v>
      </c>
      <c r="F1163" s="4" t="str">
        <f>HYPERLINK("http://141.218.60.56/~jnz1568/getInfo.php?workbook=10_05.xlsx&amp;sheet=A0&amp;row=1163&amp;col=6&amp;number=346&amp;sourceID=14","346")</f>
        <v>346</v>
      </c>
      <c r="G1163" s="4" t="str">
        <f>HYPERLINK("http://141.218.60.56/~jnz1568/getInfo.php?workbook=10_05.xlsx&amp;sheet=A0&amp;row=1163&amp;col=7&amp;number=0&amp;sourceID=14","0")</f>
        <v>0</v>
      </c>
    </row>
    <row r="1164" spans="1:7">
      <c r="A1164" s="3">
        <v>10</v>
      </c>
      <c r="B1164" s="3">
        <v>5</v>
      </c>
      <c r="C1164" s="3">
        <v>47</v>
      </c>
      <c r="D1164" s="3">
        <v>19</v>
      </c>
      <c r="E1164" s="3">
        <v>895.939</v>
      </c>
      <c r="F1164" s="4" t="str">
        <f>HYPERLINK("http://141.218.60.56/~jnz1568/getInfo.php?workbook=10_05.xlsx&amp;sheet=A0&amp;row=1164&amp;col=6&amp;number=3230000&amp;sourceID=14","3230000")</f>
        <v>3230000</v>
      </c>
      <c r="G1164" s="4" t="str">
        <f>HYPERLINK("http://141.218.60.56/~jnz1568/getInfo.php?workbook=10_05.xlsx&amp;sheet=A0&amp;row=1164&amp;col=7&amp;number=0&amp;sourceID=14","0")</f>
        <v>0</v>
      </c>
    </row>
    <row r="1165" spans="1:7">
      <c r="A1165" s="3">
        <v>10</v>
      </c>
      <c r="B1165" s="3">
        <v>5</v>
      </c>
      <c r="C1165" s="3">
        <v>48</v>
      </c>
      <c r="D1165" s="3">
        <v>19</v>
      </c>
      <c r="E1165" s="3">
        <v>894.336</v>
      </c>
      <c r="F1165" s="4" t="str">
        <f>HYPERLINK("http://141.218.60.56/~jnz1568/getInfo.php?workbook=10_05.xlsx&amp;sheet=A0&amp;row=1165&amp;col=6&amp;number=248000&amp;sourceID=14","248000")</f>
        <v>248000</v>
      </c>
      <c r="G1165" s="4" t="str">
        <f>HYPERLINK("http://141.218.60.56/~jnz1568/getInfo.php?workbook=10_05.xlsx&amp;sheet=A0&amp;row=1165&amp;col=7&amp;number=0&amp;sourceID=14","0")</f>
        <v>0</v>
      </c>
    </row>
    <row r="1166" spans="1:7">
      <c r="A1166" s="3">
        <v>10</v>
      </c>
      <c r="B1166" s="3">
        <v>5</v>
      </c>
      <c r="C1166" s="3">
        <v>49</v>
      </c>
      <c r="D1166" s="3">
        <v>19</v>
      </c>
      <c r="E1166" s="3">
        <v>868.095</v>
      </c>
      <c r="F1166" s="4" t="str">
        <f>HYPERLINK("http://141.218.60.56/~jnz1568/getInfo.php?workbook=10_05.xlsx&amp;sheet=A0&amp;row=1166&amp;col=6&amp;number=5150&amp;sourceID=14","5150")</f>
        <v>5150</v>
      </c>
      <c r="G1166" s="4" t="str">
        <f>HYPERLINK("http://141.218.60.56/~jnz1568/getInfo.php?workbook=10_05.xlsx&amp;sheet=A0&amp;row=1166&amp;col=7&amp;number=0&amp;sourceID=14","0")</f>
        <v>0</v>
      </c>
    </row>
    <row r="1167" spans="1:7">
      <c r="A1167" s="3">
        <v>10</v>
      </c>
      <c r="B1167" s="3">
        <v>5</v>
      </c>
      <c r="C1167" s="3">
        <v>50</v>
      </c>
      <c r="D1167" s="3">
        <v>19</v>
      </c>
      <c r="E1167" s="3">
        <v>865.84</v>
      </c>
      <c r="F1167" s="4" t="str">
        <f>HYPERLINK("http://141.218.60.56/~jnz1568/getInfo.php?workbook=10_05.xlsx&amp;sheet=A0&amp;row=1167&amp;col=6&amp;number=2160&amp;sourceID=14","2160")</f>
        <v>2160</v>
      </c>
      <c r="G1167" s="4" t="str">
        <f>HYPERLINK("http://141.218.60.56/~jnz1568/getInfo.php?workbook=10_05.xlsx&amp;sheet=A0&amp;row=1167&amp;col=7&amp;number=0&amp;sourceID=14","0")</f>
        <v>0</v>
      </c>
    </row>
    <row r="1168" spans="1:7">
      <c r="A1168" s="3">
        <v>10</v>
      </c>
      <c r="B1168" s="3">
        <v>5</v>
      </c>
      <c r="C1168" s="3">
        <v>51</v>
      </c>
      <c r="D1168" s="3">
        <v>19</v>
      </c>
      <c r="E1168" s="3">
        <v>863.97</v>
      </c>
      <c r="F1168" s="4" t="str">
        <f>HYPERLINK("http://141.218.60.56/~jnz1568/getInfo.php?workbook=10_05.xlsx&amp;sheet=A0&amp;row=1168&amp;col=6&amp;number=2800&amp;sourceID=14","2800")</f>
        <v>2800</v>
      </c>
      <c r="G1168" s="4" t="str">
        <f>HYPERLINK("http://141.218.60.56/~jnz1568/getInfo.php?workbook=10_05.xlsx&amp;sheet=A0&amp;row=1168&amp;col=7&amp;number=0&amp;sourceID=14","0")</f>
        <v>0</v>
      </c>
    </row>
    <row r="1169" spans="1:7">
      <c r="A1169" s="3">
        <v>10</v>
      </c>
      <c r="B1169" s="3">
        <v>5</v>
      </c>
      <c r="C1169" s="3">
        <v>52</v>
      </c>
      <c r="D1169" s="3">
        <v>19</v>
      </c>
      <c r="E1169" s="3">
        <v>807.397</v>
      </c>
      <c r="F1169" s="4" t="str">
        <f>HYPERLINK("http://141.218.60.56/~jnz1568/getInfo.php?workbook=10_05.xlsx&amp;sheet=A0&amp;row=1169&amp;col=6&amp;number=47000&amp;sourceID=14","47000")</f>
        <v>47000</v>
      </c>
      <c r="G1169" s="4" t="str">
        <f>HYPERLINK("http://141.218.60.56/~jnz1568/getInfo.php?workbook=10_05.xlsx&amp;sheet=A0&amp;row=1169&amp;col=7&amp;number=0&amp;sourceID=14","0")</f>
        <v>0</v>
      </c>
    </row>
    <row r="1170" spans="1:7">
      <c r="A1170" s="3">
        <v>10</v>
      </c>
      <c r="B1170" s="3">
        <v>5</v>
      </c>
      <c r="C1170" s="3">
        <v>53</v>
      </c>
      <c r="D1170" s="3">
        <v>19</v>
      </c>
      <c r="E1170" s="3">
        <v>807.397</v>
      </c>
      <c r="F1170" s="4" t="str">
        <f>HYPERLINK("http://141.218.60.56/~jnz1568/getInfo.php?workbook=10_05.xlsx&amp;sheet=A0&amp;row=1170&amp;col=6&amp;number=293000&amp;sourceID=14","293000")</f>
        <v>293000</v>
      </c>
      <c r="G1170" s="4" t="str">
        <f>HYPERLINK("http://141.218.60.56/~jnz1568/getInfo.php?workbook=10_05.xlsx&amp;sheet=A0&amp;row=1170&amp;col=7&amp;number=0&amp;sourceID=14","0")</f>
        <v>0</v>
      </c>
    </row>
    <row r="1171" spans="1:7">
      <c r="A1171" s="3">
        <v>10</v>
      </c>
      <c r="B1171" s="3">
        <v>5</v>
      </c>
      <c r="C1171" s="3">
        <v>54</v>
      </c>
      <c r="D1171" s="3">
        <v>19</v>
      </c>
      <c r="E1171" s="3">
        <v>772.232</v>
      </c>
      <c r="F1171" s="4" t="str">
        <f>HYPERLINK("http://141.218.60.56/~jnz1568/getInfo.php?workbook=10_05.xlsx&amp;sheet=A0&amp;row=1171&amp;col=6&amp;number=1080&amp;sourceID=14","1080")</f>
        <v>1080</v>
      </c>
      <c r="G1171" s="4" t="str">
        <f>HYPERLINK("http://141.218.60.56/~jnz1568/getInfo.php?workbook=10_05.xlsx&amp;sheet=A0&amp;row=1171&amp;col=7&amp;number=0&amp;sourceID=14","0")</f>
        <v>0</v>
      </c>
    </row>
    <row r="1172" spans="1:7">
      <c r="A1172" s="3">
        <v>10</v>
      </c>
      <c r="B1172" s="3">
        <v>5</v>
      </c>
      <c r="C1172" s="3">
        <v>56</v>
      </c>
      <c r="D1172" s="3">
        <v>19</v>
      </c>
      <c r="E1172" s="3">
        <v>736.405</v>
      </c>
      <c r="F1172" s="4" t="str">
        <f>HYPERLINK("http://141.218.60.56/~jnz1568/getInfo.php?workbook=10_05.xlsx&amp;sheet=A0&amp;row=1172&amp;col=6&amp;number=573000&amp;sourceID=14","573000")</f>
        <v>573000</v>
      </c>
      <c r="G1172" s="4" t="str">
        <f>HYPERLINK("http://141.218.60.56/~jnz1568/getInfo.php?workbook=10_05.xlsx&amp;sheet=A0&amp;row=1172&amp;col=7&amp;number=0&amp;sourceID=14","0")</f>
        <v>0</v>
      </c>
    </row>
    <row r="1173" spans="1:7">
      <c r="A1173" s="3">
        <v>10</v>
      </c>
      <c r="B1173" s="3">
        <v>5</v>
      </c>
      <c r="C1173" s="3">
        <v>57</v>
      </c>
      <c r="D1173" s="3">
        <v>19</v>
      </c>
      <c r="E1173" s="3">
        <v>734.189</v>
      </c>
      <c r="F1173" s="4" t="str">
        <f>HYPERLINK("http://141.218.60.56/~jnz1568/getInfo.php?workbook=10_05.xlsx&amp;sheet=A0&amp;row=1173&amp;col=6&amp;number=3660000&amp;sourceID=14","3660000")</f>
        <v>3660000</v>
      </c>
      <c r="G1173" s="4" t="str">
        <f>HYPERLINK("http://141.218.60.56/~jnz1568/getInfo.php?workbook=10_05.xlsx&amp;sheet=A0&amp;row=1173&amp;col=7&amp;number=0&amp;sourceID=14","0")</f>
        <v>0</v>
      </c>
    </row>
    <row r="1174" spans="1:7">
      <c r="A1174" s="3">
        <v>10</v>
      </c>
      <c r="B1174" s="3">
        <v>5</v>
      </c>
      <c r="C1174" s="3">
        <v>64</v>
      </c>
      <c r="D1174" s="3">
        <v>19</v>
      </c>
      <c r="E1174" s="3">
        <v>-528.551</v>
      </c>
      <c r="F1174" s="4" t="str">
        <f>HYPERLINK("http://141.218.60.56/~jnz1568/getInfo.php?workbook=10_05.xlsx&amp;sheet=A0&amp;row=1174&amp;col=6&amp;number=2220000000&amp;sourceID=14","2220000000")</f>
        <v>2220000000</v>
      </c>
      <c r="G1174" s="4" t="str">
        <f>HYPERLINK("http://141.218.60.56/~jnz1568/getInfo.php?workbook=10_05.xlsx&amp;sheet=A0&amp;row=1174&amp;col=7&amp;number=0&amp;sourceID=14","0")</f>
        <v>0</v>
      </c>
    </row>
    <row r="1175" spans="1:7">
      <c r="A1175" s="3">
        <v>10</v>
      </c>
      <c r="B1175" s="3">
        <v>5</v>
      </c>
      <c r="C1175" s="3">
        <v>65</v>
      </c>
      <c r="D1175" s="3">
        <v>19</v>
      </c>
      <c r="E1175" s="3">
        <v>-528.213</v>
      </c>
      <c r="F1175" s="4" t="str">
        <f>HYPERLINK("http://141.218.60.56/~jnz1568/getInfo.php?workbook=10_05.xlsx&amp;sheet=A0&amp;row=1175&amp;col=6&amp;number=221000000&amp;sourceID=14","221000000")</f>
        <v>221000000</v>
      </c>
      <c r="G1175" s="4" t="str">
        <f>HYPERLINK("http://141.218.60.56/~jnz1568/getInfo.php?workbook=10_05.xlsx&amp;sheet=A0&amp;row=1175&amp;col=7&amp;number=0&amp;sourceID=14","0")</f>
        <v>0</v>
      </c>
    </row>
    <row r="1176" spans="1:7">
      <c r="A1176" s="3">
        <v>10</v>
      </c>
      <c r="B1176" s="3">
        <v>5</v>
      </c>
      <c r="C1176" s="3">
        <v>68</v>
      </c>
      <c r="D1176" s="3">
        <v>19</v>
      </c>
      <c r="E1176" s="3">
        <v>486.394</v>
      </c>
      <c r="F1176" s="4" t="str">
        <f>HYPERLINK("http://141.218.60.56/~jnz1568/getInfo.php?workbook=10_05.xlsx&amp;sheet=A0&amp;row=1176&amp;col=6&amp;number=655000000&amp;sourceID=14","655000000")</f>
        <v>655000000</v>
      </c>
      <c r="G1176" s="4" t="str">
        <f>HYPERLINK("http://141.218.60.56/~jnz1568/getInfo.php?workbook=10_05.xlsx&amp;sheet=A0&amp;row=1176&amp;col=7&amp;number=0&amp;sourceID=14","0")</f>
        <v>0</v>
      </c>
    </row>
    <row r="1177" spans="1:7">
      <c r="A1177" s="3">
        <v>10</v>
      </c>
      <c r="B1177" s="3">
        <v>5</v>
      </c>
      <c r="C1177" s="3">
        <v>73</v>
      </c>
      <c r="D1177" s="3">
        <v>19</v>
      </c>
      <c r="E1177" s="3">
        <v>467.936</v>
      </c>
      <c r="F1177" s="4" t="str">
        <f>HYPERLINK("http://141.218.60.56/~jnz1568/getInfo.php?workbook=10_05.xlsx&amp;sheet=A0&amp;row=1177&amp;col=6&amp;number=4280000000&amp;sourceID=14","4280000000")</f>
        <v>4280000000</v>
      </c>
      <c r="G1177" s="4" t="str">
        <f>HYPERLINK("http://141.218.60.56/~jnz1568/getInfo.php?workbook=10_05.xlsx&amp;sheet=A0&amp;row=1177&amp;col=7&amp;number=0&amp;sourceID=14","0")</f>
        <v>0</v>
      </c>
    </row>
    <row r="1178" spans="1:7">
      <c r="A1178" s="3">
        <v>10</v>
      </c>
      <c r="B1178" s="3">
        <v>5</v>
      </c>
      <c r="C1178" s="3">
        <v>74</v>
      </c>
      <c r="D1178" s="3">
        <v>19</v>
      </c>
      <c r="E1178" s="3">
        <v>467.673</v>
      </c>
      <c r="F1178" s="4" t="str">
        <f>HYPERLINK("http://141.218.60.56/~jnz1568/getInfo.php?workbook=10_05.xlsx&amp;sheet=A0&amp;row=1178&amp;col=6&amp;number=324000000&amp;sourceID=14","324000000")</f>
        <v>324000000</v>
      </c>
      <c r="G1178" s="4" t="str">
        <f>HYPERLINK("http://141.218.60.56/~jnz1568/getInfo.php?workbook=10_05.xlsx&amp;sheet=A0&amp;row=1178&amp;col=7&amp;number=0&amp;sourceID=14","0")</f>
        <v>0</v>
      </c>
    </row>
    <row r="1179" spans="1:7">
      <c r="A1179" s="3">
        <v>10</v>
      </c>
      <c r="B1179" s="3">
        <v>5</v>
      </c>
      <c r="C1179" s="3">
        <v>75</v>
      </c>
      <c r="D1179" s="3">
        <v>19</v>
      </c>
      <c r="E1179" s="3">
        <v>463.125</v>
      </c>
      <c r="F1179" s="4" t="str">
        <f>HYPERLINK("http://141.218.60.56/~jnz1568/getInfo.php?workbook=10_05.xlsx&amp;sheet=A0&amp;row=1179&amp;col=6&amp;number=5190000000&amp;sourceID=14","5190000000")</f>
        <v>5190000000</v>
      </c>
      <c r="G1179" s="4" t="str">
        <f>HYPERLINK("http://141.218.60.56/~jnz1568/getInfo.php?workbook=10_05.xlsx&amp;sheet=A0&amp;row=1179&amp;col=7&amp;number=0&amp;sourceID=14","0")</f>
        <v>0</v>
      </c>
    </row>
    <row r="1180" spans="1:7">
      <c r="A1180" s="3">
        <v>10</v>
      </c>
      <c r="B1180" s="3">
        <v>5</v>
      </c>
      <c r="C1180" s="3">
        <v>76</v>
      </c>
      <c r="D1180" s="3">
        <v>19</v>
      </c>
      <c r="E1180" s="3">
        <v>463.125</v>
      </c>
      <c r="F1180" s="4" t="str">
        <f>HYPERLINK("http://141.218.60.56/~jnz1568/getInfo.php?workbook=10_05.xlsx&amp;sheet=A0&amp;row=1180&amp;col=6&amp;number=527000000&amp;sourceID=14","527000000")</f>
        <v>527000000</v>
      </c>
      <c r="G1180" s="4" t="str">
        <f>HYPERLINK("http://141.218.60.56/~jnz1568/getInfo.php?workbook=10_05.xlsx&amp;sheet=A0&amp;row=1180&amp;col=7&amp;number=0&amp;sourceID=14","0")</f>
        <v>0</v>
      </c>
    </row>
    <row r="1181" spans="1:7">
      <c r="A1181" s="3">
        <v>10</v>
      </c>
      <c r="B1181" s="3">
        <v>5</v>
      </c>
      <c r="C1181" s="3">
        <v>79</v>
      </c>
      <c r="D1181" s="3">
        <v>19</v>
      </c>
      <c r="E1181" s="3">
        <v>-418.974</v>
      </c>
      <c r="F1181" s="4" t="str">
        <f>HYPERLINK("http://141.218.60.56/~jnz1568/getInfo.php?workbook=10_05.xlsx&amp;sheet=A0&amp;row=1181&amp;col=6&amp;number=52400000&amp;sourceID=14","52400000")</f>
        <v>52400000</v>
      </c>
      <c r="G1181" s="4" t="str">
        <f>HYPERLINK("http://141.218.60.56/~jnz1568/getInfo.php?workbook=10_05.xlsx&amp;sheet=A0&amp;row=1181&amp;col=7&amp;number=0&amp;sourceID=14","0")</f>
        <v>0</v>
      </c>
    </row>
    <row r="1182" spans="1:7">
      <c r="A1182" s="3">
        <v>10</v>
      </c>
      <c r="B1182" s="3">
        <v>5</v>
      </c>
      <c r="C1182" s="3">
        <v>82</v>
      </c>
      <c r="D1182" s="3">
        <v>19</v>
      </c>
      <c r="E1182" s="3">
        <v>407.092</v>
      </c>
      <c r="F1182" s="4" t="str">
        <f>HYPERLINK("http://141.218.60.56/~jnz1568/getInfo.php?workbook=10_05.xlsx&amp;sheet=A0&amp;row=1182&amp;col=6&amp;number=1700000&amp;sourceID=14","1700000")</f>
        <v>1700000</v>
      </c>
      <c r="G1182" s="4" t="str">
        <f>HYPERLINK("http://141.218.60.56/~jnz1568/getInfo.php?workbook=10_05.xlsx&amp;sheet=A0&amp;row=1182&amp;col=7&amp;number=0&amp;sourceID=14","0")</f>
        <v>0</v>
      </c>
    </row>
    <row r="1183" spans="1:7">
      <c r="A1183" s="3">
        <v>10</v>
      </c>
      <c r="B1183" s="3">
        <v>5</v>
      </c>
      <c r="C1183" s="3">
        <v>83</v>
      </c>
      <c r="D1183" s="3">
        <v>19</v>
      </c>
      <c r="E1183" s="3">
        <v>407.092</v>
      </c>
      <c r="F1183" s="4" t="str">
        <f>HYPERLINK("http://141.218.60.56/~jnz1568/getInfo.php?workbook=10_05.xlsx&amp;sheet=A0&amp;row=1183&amp;col=6&amp;number=17900&amp;sourceID=14","17900")</f>
        <v>17900</v>
      </c>
      <c r="G1183" s="4" t="str">
        <f>HYPERLINK("http://141.218.60.56/~jnz1568/getInfo.php?workbook=10_05.xlsx&amp;sheet=A0&amp;row=1183&amp;col=7&amp;number=0&amp;sourceID=14","0")</f>
        <v>0</v>
      </c>
    </row>
    <row r="1184" spans="1:7">
      <c r="A1184" s="3">
        <v>10</v>
      </c>
      <c r="B1184" s="3">
        <v>5</v>
      </c>
      <c r="C1184" s="3">
        <v>84</v>
      </c>
      <c r="D1184" s="3">
        <v>19</v>
      </c>
      <c r="E1184" s="3">
        <v>407.092</v>
      </c>
      <c r="F1184" s="4" t="str">
        <f>HYPERLINK("http://141.218.60.56/~jnz1568/getInfo.php?workbook=10_05.xlsx&amp;sheet=A0&amp;row=1184&amp;col=6&amp;number=71000000&amp;sourceID=14","71000000")</f>
        <v>71000000</v>
      </c>
      <c r="G1184" s="4" t="str">
        <f>HYPERLINK("http://141.218.60.56/~jnz1568/getInfo.php?workbook=10_05.xlsx&amp;sheet=A0&amp;row=1184&amp;col=7&amp;number=0&amp;sourceID=14","0")</f>
        <v>0</v>
      </c>
    </row>
    <row r="1185" spans="1:7">
      <c r="A1185" s="3">
        <v>10</v>
      </c>
      <c r="B1185" s="3">
        <v>5</v>
      </c>
      <c r="C1185" s="3">
        <v>86</v>
      </c>
      <c r="D1185" s="3">
        <v>19</v>
      </c>
      <c r="E1185" s="3">
        <v>-405.42</v>
      </c>
      <c r="F1185" s="4" t="str">
        <f>HYPERLINK("http://141.218.60.56/~jnz1568/getInfo.php?workbook=10_05.xlsx&amp;sheet=A0&amp;row=1185&amp;col=6&amp;number=30700000000&amp;sourceID=14","30700000000")</f>
        <v>30700000000</v>
      </c>
      <c r="G1185" s="4" t="str">
        <f>HYPERLINK("http://141.218.60.56/~jnz1568/getInfo.php?workbook=10_05.xlsx&amp;sheet=A0&amp;row=1185&amp;col=7&amp;number=0&amp;sourceID=14","0")</f>
        <v>0</v>
      </c>
    </row>
    <row r="1186" spans="1:7">
      <c r="A1186" s="3">
        <v>10</v>
      </c>
      <c r="B1186" s="3">
        <v>5</v>
      </c>
      <c r="C1186" s="3">
        <v>88</v>
      </c>
      <c r="D1186" s="3">
        <v>19</v>
      </c>
      <c r="E1186" s="3">
        <v>401.938</v>
      </c>
      <c r="F1186" s="4" t="str">
        <f>HYPERLINK("http://141.218.60.56/~jnz1568/getInfo.php?workbook=10_05.xlsx&amp;sheet=A0&amp;row=1186&amp;col=6&amp;number=113000&amp;sourceID=14","113000")</f>
        <v>113000</v>
      </c>
      <c r="G1186" s="4" t="str">
        <f>HYPERLINK("http://141.218.60.56/~jnz1568/getInfo.php?workbook=10_05.xlsx&amp;sheet=A0&amp;row=1186&amp;col=7&amp;number=0&amp;sourceID=14","0")</f>
        <v>0</v>
      </c>
    </row>
    <row r="1187" spans="1:7">
      <c r="A1187" s="3">
        <v>10</v>
      </c>
      <c r="B1187" s="3">
        <v>5</v>
      </c>
      <c r="C1187" s="3">
        <v>89</v>
      </c>
      <c r="D1187" s="3">
        <v>19</v>
      </c>
      <c r="E1187" s="3">
        <v>401.341</v>
      </c>
      <c r="F1187" s="4" t="str">
        <f>HYPERLINK("http://141.218.60.56/~jnz1568/getInfo.php?workbook=10_05.xlsx&amp;sheet=A0&amp;row=1187&amp;col=6&amp;number=149000&amp;sourceID=14","149000")</f>
        <v>149000</v>
      </c>
      <c r="G1187" s="4" t="str">
        <f>HYPERLINK("http://141.218.60.56/~jnz1568/getInfo.php?workbook=10_05.xlsx&amp;sheet=A0&amp;row=1187&amp;col=7&amp;number=0&amp;sourceID=14","0")</f>
        <v>0</v>
      </c>
    </row>
    <row r="1188" spans="1:7">
      <c r="A1188" s="3">
        <v>10</v>
      </c>
      <c r="B1188" s="3">
        <v>5</v>
      </c>
      <c r="C1188" s="3">
        <v>90</v>
      </c>
      <c r="D1188" s="3">
        <v>19</v>
      </c>
      <c r="E1188" s="3">
        <v>400.425</v>
      </c>
      <c r="F1188" s="4" t="str">
        <f>HYPERLINK("http://141.218.60.56/~jnz1568/getInfo.php?workbook=10_05.xlsx&amp;sheet=A0&amp;row=1188&amp;col=6&amp;number=170000&amp;sourceID=14","170000")</f>
        <v>170000</v>
      </c>
      <c r="G1188" s="4" t="str">
        <f>HYPERLINK("http://141.218.60.56/~jnz1568/getInfo.php?workbook=10_05.xlsx&amp;sheet=A0&amp;row=1188&amp;col=7&amp;number=0&amp;sourceID=14","0")</f>
        <v>0</v>
      </c>
    </row>
    <row r="1189" spans="1:7">
      <c r="A1189" s="3">
        <v>10</v>
      </c>
      <c r="B1189" s="3">
        <v>5</v>
      </c>
      <c r="C1189" s="3">
        <v>91</v>
      </c>
      <c r="D1189" s="3">
        <v>19</v>
      </c>
      <c r="E1189" s="3">
        <v>-388.022</v>
      </c>
      <c r="F1189" s="4" t="str">
        <f>HYPERLINK("http://141.218.60.56/~jnz1568/getInfo.php?workbook=10_05.xlsx&amp;sheet=A0&amp;row=1189&amp;col=6&amp;number=23800000&amp;sourceID=14","23800000")</f>
        <v>23800000</v>
      </c>
      <c r="G1189" s="4" t="str">
        <f>HYPERLINK("http://141.218.60.56/~jnz1568/getInfo.php?workbook=10_05.xlsx&amp;sheet=A0&amp;row=1189&amp;col=7&amp;number=0&amp;sourceID=14","0")</f>
        <v>0</v>
      </c>
    </row>
    <row r="1190" spans="1:7">
      <c r="A1190" s="3">
        <v>10</v>
      </c>
      <c r="B1190" s="3">
        <v>5</v>
      </c>
      <c r="C1190" s="3">
        <v>92</v>
      </c>
      <c r="D1190" s="3">
        <v>19</v>
      </c>
      <c r="E1190" s="3">
        <v>-386.77</v>
      </c>
      <c r="F1190" s="4" t="str">
        <f>HYPERLINK("http://141.218.60.56/~jnz1568/getInfo.php?workbook=10_05.xlsx&amp;sheet=A0&amp;row=1190&amp;col=6&amp;number=9640000&amp;sourceID=14","9640000")</f>
        <v>9640000</v>
      </c>
      <c r="G1190" s="4" t="str">
        <f>HYPERLINK("http://141.218.60.56/~jnz1568/getInfo.php?workbook=10_05.xlsx&amp;sheet=A0&amp;row=1190&amp;col=7&amp;number=0&amp;sourceID=14","0")</f>
        <v>0</v>
      </c>
    </row>
    <row r="1191" spans="1:7">
      <c r="A1191" s="3">
        <v>10</v>
      </c>
      <c r="B1191" s="3">
        <v>5</v>
      </c>
      <c r="C1191" s="3">
        <v>93</v>
      </c>
      <c r="D1191" s="3">
        <v>19</v>
      </c>
      <c r="E1191" s="3">
        <v>-375.503</v>
      </c>
      <c r="F1191" s="4" t="str">
        <f>HYPERLINK("http://141.218.60.56/~jnz1568/getInfo.php?workbook=10_05.xlsx&amp;sheet=A0&amp;row=1191&amp;col=6&amp;number=24300000&amp;sourceID=14","24300000")</f>
        <v>24300000</v>
      </c>
      <c r="G1191" s="4" t="str">
        <f>HYPERLINK("http://141.218.60.56/~jnz1568/getInfo.php?workbook=10_05.xlsx&amp;sheet=A0&amp;row=1191&amp;col=7&amp;number=0&amp;sourceID=14","0")</f>
        <v>0</v>
      </c>
    </row>
    <row r="1192" spans="1:7">
      <c r="A1192" s="3">
        <v>10</v>
      </c>
      <c r="B1192" s="3">
        <v>5</v>
      </c>
      <c r="C1192" s="3">
        <v>94</v>
      </c>
      <c r="D1192" s="3">
        <v>19</v>
      </c>
      <c r="E1192" s="3">
        <v>-375.286</v>
      </c>
      <c r="F1192" s="4" t="str">
        <f>HYPERLINK("http://141.218.60.56/~jnz1568/getInfo.php?workbook=10_05.xlsx&amp;sheet=A0&amp;row=1192&amp;col=6&amp;number=2400000&amp;sourceID=14","2400000")</f>
        <v>2400000</v>
      </c>
      <c r="G1192" s="4" t="str">
        <f>HYPERLINK("http://141.218.60.56/~jnz1568/getInfo.php?workbook=10_05.xlsx&amp;sheet=A0&amp;row=1192&amp;col=7&amp;number=0&amp;sourceID=14","0")</f>
        <v>0</v>
      </c>
    </row>
    <row r="1193" spans="1:7">
      <c r="A1193" s="3">
        <v>10</v>
      </c>
      <c r="B1193" s="3">
        <v>5</v>
      </c>
      <c r="C1193" s="3">
        <v>95</v>
      </c>
      <c r="D1193" s="3">
        <v>19</v>
      </c>
      <c r="E1193" s="3">
        <v>375.045</v>
      </c>
      <c r="F1193" s="4" t="str">
        <f>HYPERLINK("http://141.218.60.56/~jnz1568/getInfo.php?workbook=10_05.xlsx&amp;sheet=A0&amp;row=1193&amp;col=6&amp;number=1220&amp;sourceID=14","1220")</f>
        <v>1220</v>
      </c>
      <c r="G1193" s="4" t="str">
        <f>HYPERLINK("http://141.218.60.56/~jnz1568/getInfo.php?workbook=10_05.xlsx&amp;sheet=A0&amp;row=1193&amp;col=7&amp;number=0&amp;sourceID=14","0")</f>
        <v>0</v>
      </c>
    </row>
    <row r="1194" spans="1:7">
      <c r="A1194" s="3">
        <v>10</v>
      </c>
      <c r="B1194" s="3">
        <v>5</v>
      </c>
      <c r="C1194" s="3">
        <v>96</v>
      </c>
      <c r="D1194" s="3">
        <v>19</v>
      </c>
      <c r="E1194" s="3">
        <v>357.878</v>
      </c>
      <c r="F1194" s="4" t="str">
        <f>HYPERLINK("http://141.218.60.56/~jnz1568/getInfo.php?workbook=10_05.xlsx&amp;sheet=A0&amp;row=1194&amp;col=6&amp;number=1030000000&amp;sourceID=14","1030000000")</f>
        <v>1030000000</v>
      </c>
      <c r="G1194" s="4" t="str">
        <f>HYPERLINK("http://141.218.60.56/~jnz1568/getInfo.php?workbook=10_05.xlsx&amp;sheet=A0&amp;row=1194&amp;col=7&amp;number=0&amp;sourceID=14","0")</f>
        <v>0</v>
      </c>
    </row>
    <row r="1195" spans="1:7">
      <c r="A1195" s="3">
        <v>10</v>
      </c>
      <c r="B1195" s="3">
        <v>5</v>
      </c>
      <c r="C1195" s="3">
        <v>98</v>
      </c>
      <c r="D1195" s="3">
        <v>19</v>
      </c>
      <c r="E1195" s="3">
        <v>-353.172</v>
      </c>
      <c r="F1195" s="4" t="str">
        <f>HYPERLINK("http://141.218.60.56/~jnz1568/getInfo.php?workbook=10_05.xlsx&amp;sheet=A0&amp;row=1195&amp;col=6&amp;number=12400&amp;sourceID=14","12400")</f>
        <v>12400</v>
      </c>
      <c r="G1195" s="4" t="str">
        <f>HYPERLINK("http://141.218.60.56/~jnz1568/getInfo.php?workbook=10_05.xlsx&amp;sheet=A0&amp;row=1195&amp;col=7&amp;number=0&amp;sourceID=14","0")</f>
        <v>0</v>
      </c>
    </row>
    <row r="1196" spans="1:7">
      <c r="A1196" s="3">
        <v>10</v>
      </c>
      <c r="B1196" s="3">
        <v>5</v>
      </c>
      <c r="C1196" s="3">
        <v>101</v>
      </c>
      <c r="D1196" s="3">
        <v>19</v>
      </c>
      <c r="E1196" s="3">
        <v>-352.637</v>
      </c>
      <c r="F1196" s="4" t="str">
        <f>HYPERLINK("http://141.218.60.56/~jnz1568/getInfo.php?workbook=10_05.xlsx&amp;sheet=A0&amp;row=1196&amp;col=6&amp;number=4410&amp;sourceID=14","4410")</f>
        <v>4410</v>
      </c>
      <c r="G1196" s="4" t="str">
        <f>HYPERLINK("http://141.218.60.56/~jnz1568/getInfo.php?workbook=10_05.xlsx&amp;sheet=A0&amp;row=1196&amp;col=7&amp;number=0&amp;sourceID=14","0")</f>
        <v>0</v>
      </c>
    </row>
    <row r="1197" spans="1:7">
      <c r="A1197" s="3">
        <v>10</v>
      </c>
      <c r="B1197" s="3">
        <v>5</v>
      </c>
      <c r="C1197" s="3">
        <v>103</v>
      </c>
      <c r="D1197" s="3">
        <v>19</v>
      </c>
      <c r="E1197" s="3">
        <v>-351.717</v>
      </c>
      <c r="F1197" s="4" t="str">
        <f>HYPERLINK("http://141.218.60.56/~jnz1568/getInfo.php?workbook=10_05.xlsx&amp;sheet=A0&amp;row=1197&amp;col=6&amp;number=39.9&amp;sourceID=14","39.9")</f>
        <v>39.9</v>
      </c>
      <c r="G1197" s="4" t="str">
        <f>HYPERLINK("http://141.218.60.56/~jnz1568/getInfo.php?workbook=10_05.xlsx&amp;sheet=A0&amp;row=1197&amp;col=7&amp;number=0&amp;sourceID=14","0")</f>
        <v>0</v>
      </c>
    </row>
    <row r="1198" spans="1:7">
      <c r="A1198" s="3">
        <v>10</v>
      </c>
      <c r="B1198" s="3">
        <v>5</v>
      </c>
      <c r="C1198" s="3">
        <v>110</v>
      </c>
      <c r="D1198" s="3">
        <v>19</v>
      </c>
      <c r="E1198" s="3">
        <v>-344.084</v>
      </c>
      <c r="F1198" s="4" t="str">
        <f>HYPERLINK("http://141.218.60.56/~jnz1568/getInfo.php?workbook=10_05.xlsx&amp;sheet=A0&amp;row=1198&amp;col=6&amp;number=7290000&amp;sourceID=14","7290000")</f>
        <v>7290000</v>
      </c>
      <c r="G1198" s="4" t="str">
        <f>HYPERLINK("http://141.218.60.56/~jnz1568/getInfo.php?workbook=10_05.xlsx&amp;sheet=A0&amp;row=1198&amp;col=7&amp;number=0&amp;sourceID=14","0")</f>
        <v>0</v>
      </c>
    </row>
    <row r="1199" spans="1:7">
      <c r="A1199" s="3">
        <v>10</v>
      </c>
      <c r="B1199" s="3">
        <v>5</v>
      </c>
      <c r="C1199" s="3">
        <v>112</v>
      </c>
      <c r="D1199" s="3">
        <v>19</v>
      </c>
      <c r="E1199" s="3">
        <v>-343.309</v>
      </c>
      <c r="F1199" s="4" t="str">
        <f>HYPERLINK("http://141.218.60.56/~jnz1568/getInfo.php?workbook=10_05.xlsx&amp;sheet=A0&amp;row=1199&amp;col=6&amp;number=887000&amp;sourceID=14","887000")</f>
        <v>887000</v>
      </c>
      <c r="G1199" s="4" t="str">
        <f>HYPERLINK("http://141.218.60.56/~jnz1568/getInfo.php?workbook=10_05.xlsx&amp;sheet=A0&amp;row=1199&amp;col=7&amp;number=0&amp;sourceID=14","0")</f>
        <v>0</v>
      </c>
    </row>
    <row r="1200" spans="1:7">
      <c r="A1200" s="3">
        <v>10</v>
      </c>
      <c r="B1200" s="3">
        <v>5</v>
      </c>
      <c r="C1200" s="3">
        <v>113</v>
      </c>
      <c r="D1200" s="3">
        <v>19</v>
      </c>
      <c r="E1200" s="3">
        <v>342.519</v>
      </c>
      <c r="F1200" s="4" t="str">
        <f>HYPERLINK("http://141.218.60.56/~jnz1568/getInfo.php?workbook=10_05.xlsx&amp;sheet=A0&amp;row=1200&amp;col=6&amp;number=7840000&amp;sourceID=14","7840000")</f>
        <v>7840000</v>
      </c>
      <c r="G1200" s="4" t="str">
        <f>HYPERLINK("http://141.218.60.56/~jnz1568/getInfo.php?workbook=10_05.xlsx&amp;sheet=A0&amp;row=1200&amp;col=7&amp;number=0&amp;sourceID=14","0")</f>
        <v>0</v>
      </c>
    </row>
    <row r="1201" spans="1:7">
      <c r="A1201" s="3">
        <v>10</v>
      </c>
      <c r="B1201" s="3">
        <v>5</v>
      </c>
      <c r="C1201" s="3">
        <v>114</v>
      </c>
      <c r="D1201" s="3">
        <v>19</v>
      </c>
      <c r="E1201" s="3">
        <v>342.519</v>
      </c>
      <c r="F1201" s="4" t="str">
        <f>HYPERLINK("http://141.218.60.56/~jnz1568/getInfo.php?workbook=10_05.xlsx&amp;sheet=A0&amp;row=1201&amp;col=6&amp;number=79900000&amp;sourceID=14","79900000")</f>
        <v>79900000</v>
      </c>
      <c r="G1201" s="4" t="str">
        <f>HYPERLINK("http://141.218.60.56/~jnz1568/getInfo.php?workbook=10_05.xlsx&amp;sheet=A0&amp;row=1201&amp;col=7&amp;number=0&amp;sourceID=14","0")</f>
        <v>0</v>
      </c>
    </row>
    <row r="1202" spans="1:7">
      <c r="A1202" s="3">
        <v>10</v>
      </c>
      <c r="B1202" s="3">
        <v>5</v>
      </c>
      <c r="C1202" s="3">
        <v>127</v>
      </c>
      <c r="D1202" s="3">
        <v>19</v>
      </c>
      <c r="E1202" s="3">
        <v>-328.231</v>
      </c>
      <c r="F1202" s="4" t="str">
        <f>HYPERLINK("http://141.218.60.56/~jnz1568/getInfo.php?workbook=10_05.xlsx&amp;sheet=A0&amp;row=1202&amp;col=6&amp;number=18800000&amp;sourceID=14","18800000")</f>
        <v>18800000</v>
      </c>
      <c r="G1202" s="4" t="str">
        <f>HYPERLINK("http://141.218.60.56/~jnz1568/getInfo.php?workbook=10_05.xlsx&amp;sheet=A0&amp;row=1202&amp;col=7&amp;number=0&amp;sourceID=14","0")</f>
        <v>0</v>
      </c>
    </row>
    <row r="1203" spans="1:7">
      <c r="A1203" s="3">
        <v>10</v>
      </c>
      <c r="B1203" s="3">
        <v>5</v>
      </c>
      <c r="C1203" s="3">
        <v>128</v>
      </c>
      <c r="D1203" s="3">
        <v>19</v>
      </c>
      <c r="E1203" s="3">
        <v>-327.748</v>
      </c>
      <c r="F1203" s="4" t="str">
        <f>HYPERLINK("http://141.218.60.56/~jnz1568/getInfo.php?workbook=10_05.xlsx&amp;sheet=A0&amp;row=1203&amp;col=6&amp;number=1220000&amp;sourceID=14","1220000")</f>
        <v>1220000</v>
      </c>
      <c r="G1203" s="4" t="str">
        <f>HYPERLINK("http://141.218.60.56/~jnz1568/getInfo.php?workbook=10_05.xlsx&amp;sheet=A0&amp;row=1203&amp;col=7&amp;number=0&amp;sourceID=14","0")</f>
        <v>0</v>
      </c>
    </row>
    <row r="1204" spans="1:7">
      <c r="A1204" s="3">
        <v>10</v>
      </c>
      <c r="B1204" s="3">
        <v>5</v>
      </c>
      <c r="C1204" s="3">
        <v>134</v>
      </c>
      <c r="D1204" s="3">
        <v>19</v>
      </c>
      <c r="E1204" s="3">
        <v>-323.007</v>
      </c>
      <c r="F1204" s="4" t="str">
        <f>HYPERLINK("http://141.218.60.56/~jnz1568/getInfo.php?workbook=10_05.xlsx&amp;sheet=A0&amp;row=1204&amp;col=6&amp;number=196000&amp;sourceID=14","196000")</f>
        <v>196000</v>
      </c>
      <c r="G1204" s="4" t="str">
        <f>HYPERLINK("http://141.218.60.56/~jnz1568/getInfo.php?workbook=10_05.xlsx&amp;sheet=A0&amp;row=1204&amp;col=7&amp;number=0&amp;sourceID=14","0")</f>
        <v>0</v>
      </c>
    </row>
    <row r="1205" spans="1:7">
      <c r="A1205" s="3">
        <v>10</v>
      </c>
      <c r="B1205" s="3">
        <v>5</v>
      </c>
      <c r="C1205" s="3">
        <v>135</v>
      </c>
      <c r="D1205" s="3">
        <v>19</v>
      </c>
      <c r="E1205" s="3">
        <v>-322.756</v>
      </c>
      <c r="F1205" s="4" t="str">
        <f>HYPERLINK("http://141.218.60.56/~jnz1568/getInfo.php?workbook=10_05.xlsx&amp;sheet=A0&amp;row=1205&amp;col=6&amp;number=38400&amp;sourceID=14","38400")</f>
        <v>38400</v>
      </c>
      <c r="G1205" s="4" t="str">
        <f>HYPERLINK("http://141.218.60.56/~jnz1568/getInfo.php?workbook=10_05.xlsx&amp;sheet=A0&amp;row=1205&amp;col=7&amp;number=0&amp;sourceID=14","0")</f>
        <v>0</v>
      </c>
    </row>
    <row r="1206" spans="1:7">
      <c r="A1206" s="3">
        <v>10</v>
      </c>
      <c r="B1206" s="3">
        <v>5</v>
      </c>
      <c r="C1206" s="3">
        <v>141</v>
      </c>
      <c r="D1206" s="3">
        <v>19</v>
      </c>
      <c r="E1206" s="3">
        <v>-318.17</v>
      </c>
      <c r="F1206" s="4" t="str">
        <f>HYPERLINK("http://141.218.60.56/~jnz1568/getInfo.php?workbook=10_05.xlsx&amp;sheet=A0&amp;row=1206&amp;col=6&amp;number=2400&amp;sourceID=14","2400")</f>
        <v>2400</v>
      </c>
      <c r="G1206" s="4" t="str">
        <f>HYPERLINK("http://141.218.60.56/~jnz1568/getInfo.php?workbook=10_05.xlsx&amp;sheet=A0&amp;row=1206&amp;col=7&amp;number=0&amp;sourceID=14","0")</f>
        <v>0</v>
      </c>
    </row>
    <row r="1207" spans="1:7">
      <c r="A1207" s="3">
        <v>10</v>
      </c>
      <c r="B1207" s="3">
        <v>5</v>
      </c>
      <c r="C1207" s="3">
        <v>142</v>
      </c>
      <c r="D1207" s="3">
        <v>19</v>
      </c>
      <c r="E1207" s="3">
        <v>318.224</v>
      </c>
      <c r="F1207" s="4" t="str">
        <f>HYPERLINK("http://141.218.60.56/~jnz1568/getInfo.php?workbook=10_05.xlsx&amp;sheet=A0&amp;row=1207&amp;col=6&amp;number=259000&amp;sourceID=14","259000")</f>
        <v>259000</v>
      </c>
      <c r="G1207" s="4" t="str">
        <f>HYPERLINK("http://141.218.60.56/~jnz1568/getInfo.php?workbook=10_05.xlsx&amp;sheet=A0&amp;row=1207&amp;col=7&amp;number=0&amp;sourceID=14","0")</f>
        <v>0</v>
      </c>
    </row>
    <row r="1208" spans="1:7">
      <c r="A1208" s="3">
        <v>10</v>
      </c>
      <c r="B1208" s="3">
        <v>5</v>
      </c>
      <c r="C1208" s="3">
        <v>143</v>
      </c>
      <c r="D1208" s="3">
        <v>19</v>
      </c>
      <c r="E1208" s="3">
        <v>317.971</v>
      </c>
      <c r="F1208" s="4" t="str">
        <f>HYPERLINK("http://141.218.60.56/~jnz1568/getInfo.php?workbook=10_05.xlsx&amp;sheet=A0&amp;row=1208&amp;col=6&amp;number=174000&amp;sourceID=14","174000")</f>
        <v>174000</v>
      </c>
      <c r="G1208" s="4" t="str">
        <f>HYPERLINK("http://141.218.60.56/~jnz1568/getInfo.php?workbook=10_05.xlsx&amp;sheet=A0&amp;row=1208&amp;col=7&amp;number=0&amp;sourceID=14","0")</f>
        <v>0</v>
      </c>
    </row>
    <row r="1209" spans="1:7">
      <c r="A1209" s="3">
        <v>10</v>
      </c>
      <c r="B1209" s="3">
        <v>5</v>
      </c>
      <c r="C1209" s="3">
        <v>145</v>
      </c>
      <c r="D1209" s="3">
        <v>19</v>
      </c>
      <c r="E1209" s="3">
        <v>316.852</v>
      </c>
      <c r="F1209" s="4" t="str">
        <f>HYPERLINK("http://141.218.60.56/~jnz1568/getInfo.php?workbook=10_05.xlsx&amp;sheet=A0&amp;row=1209&amp;col=6&amp;number=60200000&amp;sourceID=14","60200000")</f>
        <v>60200000</v>
      </c>
      <c r="G1209" s="4" t="str">
        <f>HYPERLINK("http://141.218.60.56/~jnz1568/getInfo.php?workbook=10_05.xlsx&amp;sheet=A0&amp;row=1209&amp;col=7&amp;number=0&amp;sourceID=14","0")</f>
        <v>0</v>
      </c>
    </row>
    <row r="1210" spans="1:7">
      <c r="A1210" s="3">
        <v>10</v>
      </c>
      <c r="B1210" s="3">
        <v>5</v>
      </c>
      <c r="C1210" s="3">
        <v>146</v>
      </c>
      <c r="D1210" s="3">
        <v>19</v>
      </c>
      <c r="E1210" s="3">
        <v>316.852</v>
      </c>
      <c r="F1210" s="4" t="str">
        <f>HYPERLINK("http://141.218.60.56/~jnz1568/getInfo.php?workbook=10_05.xlsx&amp;sheet=A0&amp;row=1210&amp;col=6&amp;number=9060000&amp;sourceID=14","9060000")</f>
        <v>9060000</v>
      </c>
      <c r="G1210" s="4" t="str">
        <f>HYPERLINK("http://141.218.60.56/~jnz1568/getInfo.php?workbook=10_05.xlsx&amp;sheet=A0&amp;row=1210&amp;col=7&amp;number=0&amp;sourceID=14","0")</f>
        <v>0</v>
      </c>
    </row>
    <row r="1211" spans="1:7">
      <c r="A1211" s="3">
        <v>10</v>
      </c>
      <c r="B1211" s="3">
        <v>5</v>
      </c>
      <c r="C1211" s="3">
        <v>147</v>
      </c>
      <c r="D1211" s="3">
        <v>19</v>
      </c>
      <c r="E1211" s="3">
        <v>316.261</v>
      </c>
      <c r="F1211" s="4" t="str">
        <f>HYPERLINK("http://141.218.60.56/~jnz1568/getInfo.php?workbook=10_05.xlsx&amp;sheet=A0&amp;row=1211&amp;col=6&amp;number=898000&amp;sourceID=14","898000")</f>
        <v>898000</v>
      </c>
      <c r="G1211" s="4" t="str">
        <f>HYPERLINK("http://141.218.60.56/~jnz1568/getInfo.php?workbook=10_05.xlsx&amp;sheet=A0&amp;row=1211&amp;col=7&amp;number=0&amp;sourceID=14","0")</f>
        <v>0</v>
      </c>
    </row>
    <row r="1212" spans="1:7">
      <c r="A1212" s="3">
        <v>10</v>
      </c>
      <c r="B1212" s="3">
        <v>5</v>
      </c>
      <c r="C1212" s="3">
        <v>148</v>
      </c>
      <c r="D1212" s="3">
        <v>19</v>
      </c>
      <c r="E1212" s="3">
        <v>316.161</v>
      </c>
      <c r="F1212" s="4" t="str">
        <f>HYPERLINK("http://141.218.60.56/~jnz1568/getInfo.php?workbook=10_05.xlsx&amp;sheet=A0&amp;row=1212&amp;col=6&amp;number=28600000&amp;sourceID=14","28600000")</f>
        <v>28600000</v>
      </c>
      <c r="G1212" s="4" t="str">
        <f>HYPERLINK("http://141.218.60.56/~jnz1568/getInfo.php?workbook=10_05.xlsx&amp;sheet=A0&amp;row=1212&amp;col=7&amp;number=0&amp;sourceID=14","0")</f>
        <v>0</v>
      </c>
    </row>
    <row r="1213" spans="1:7">
      <c r="A1213" s="3">
        <v>10</v>
      </c>
      <c r="B1213" s="3">
        <v>5</v>
      </c>
      <c r="C1213" s="3">
        <v>149</v>
      </c>
      <c r="D1213" s="3">
        <v>19</v>
      </c>
      <c r="E1213" s="3">
        <v>316.061</v>
      </c>
      <c r="F1213" s="4" t="str">
        <f>HYPERLINK("http://141.218.60.56/~jnz1568/getInfo.php?workbook=10_05.xlsx&amp;sheet=A0&amp;row=1213&amp;col=6&amp;number=255&amp;sourceID=14","255")</f>
        <v>255</v>
      </c>
      <c r="G1213" s="4" t="str">
        <f>HYPERLINK("http://141.218.60.56/~jnz1568/getInfo.php?workbook=10_05.xlsx&amp;sheet=A0&amp;row=1213&amp;col=7&amp;number=0&amp;sourceID=14","0")</f>
        <v>0</v>
      </c>
    </row>
    <row r="1214" spans="1:7">
      <c r="A1214" s="3">
        <v>10</v>
      </c>
      <c r="B1214" s="3">
        <v>5</v>
      </c>
      <c r="C1214" s="3">
        <v>152</v>
      </c>
      <c r="D1214" s="3">
        <v>19</v>
      </c>
      <c r="E1214" s="3">
        <v>310.796</v>
      </c>
      <c r="F1214" s="4" t="str">
        <f>HYPERLINK("http://141.218.60.56/~jnz1568/getInfo.php?workbook=10_05.xlsx&amp;sheet=A0&amp;row=1214&amp;col=6&amp;number=133000000&amp;sourceID=14","133000000")</f>
        <v>133000000</v>
      </c>
      <c r="G1214" s="4" t="str">
        <f>HYPERLINK("http://141.218.60.56/~jnz1568/getInfo.php?workbook=10_05.xlsx&amp;sheet=A0&amp;row=1214&amp;col=7&amp;number=0&amp;sourceID=14","0")</f>
        <v>0</v>
      </c>
    </row>
    <row r="1215" spans="1:7">
      <c r="A1215" s="3">
        <v>10</v>
      </c>
      <c r="B1215" s="3">
        <v>5</v>
      </c>
      <c r="C1215" s="3">
        <v>158</v>
      </c>
      <c r="D1215" s="3">
        <v>19</v>
      </c>
      <c r="E1215" s="3">
        <v>-308.215</v>
      </c>
      <c r="F1215" s="4" t="str">
        <f>HYPERLINK("http://141.218.60.56/~jnz1568/getInfo.php?workbook=10_05.xlsx&amp;sheet=A0&amp;row=1215&amp;col=6&amp;number=9870&amp;sourceID=14","9870")</f>
        <v>9870</v>
      </c>
      <c r="G1215" s="4" t="str">
        <f>HYPERLINK("http://141.218.60.56/~jnz1568/getInfo.php?workbook=10_05.xlsx&amp;sheet=A0&amp;row=1215&amp;col=7&amp;number=0&amp;sourceID=14","0")</f>
        <v>0</v>
      </c>
    </row>
    <row r="1216" spans="1:7">
      <c r="A1216" s="3">
        <v>10</v>
      </c>
      <c r="B1216" s="3">
        <v>5</v>
      </c>
      <c r="C1216" s="3">
        <v>159</v>
      </c>
      <c r="D1216" s="3">
        <v>19</v>
      </c>
      <c r="E1216" s="3">
        <v>-307.809</v>
      </c>
      <c r="F1216" s="4" t="str">
        <f>HYPERLINK("http://141.218.60.56/~jnz1568/getInfo.php?workbook=10_05.xlsx&amp;sheet=A0&amp;row=1216&amp;col=6&amp;number=3870000&amp;sourceID=14","3870000")</f>
        <v>3870000</v>
      </c>
      <c r="G1216" s="4" t="str">
        <f>HYPERLINK("http://141.218.60.56/~jnz1568/getInfo.php?workbook=10_05.xlsx&amp;sheet=A0&amp;row=1216&amp;col=7&amp;number=0&amp;sourceID=14","0")</f>
        <v>0</v>
      </c>
    </row>
    <row r="1217" spans="1:7">
      <c r="A1217" s="3">
        <v>10</v>
      </c>
      <c r="B1217" s="3">
        <v>5</v>
      </c>
      <c r="C1217" s="3">
        <v>164</v>
      </c>
      <c r="D1217" s="3">
        <v>19</v>
      </c>
      <c r="E1217" s="3">
        <v>-269.54</v>
      </c>
      <c r="F1217" s="4" t="str">
        <f>HYPERLINK("http://141.218.60.56/~jnz1568/getInfo.php?workbook=10_05.xlsx&amp;sheet=A0&amp;row=1217&amp;col=6&amp;number=51100000&amp;sourceID=14","51100000")</f>
        <v>51100000</v>
      </c>
      <c r="G1217" s="4" t="str">
        <f>HYPERLINK("http://141.218.60.56/~jnz1568/getInfo.php?workbook=10_05.xlsx&amp;sheet=A0&amp;row=1217&amp;col=7&amp;number=0&amp;sourceID=14","0")</f>
        <v>0</v>
      </c>
    </row>
    <row r="1218" spans="1:7">
      <c r="A1218" s="3">
        <v>10</v>
      </c>
      <c r="B1218" s="3">
        <v>5</v>
      </c>
      <c r="C1218" s="3">
        <v>165</v>
      </c>
      <c r="D1218" s="3">
        <v>19</v>
      </c>
      <c r="E1218" s="3">
        <v>-269.441</v>
      </c>
      <c r="F1218" s="4" t="str">
        <f>HYPERLINK("http://141.218.60.56/~jnz1568/getInfo.php?workbook=10_05.xlsx&amp;sheet=A0&amp;row=1218&amp;col=6&amp;number=5220000&amp;sourceID=14","5220000")</f>
        <v>5220000</v>
      </c>
      <c r="G1218" s="4" t="str">
        <f>HYPERLINK("http://141.218.60.56/~jnz1568/getInfo.php?workbook=10_05.xlsx&amp;sheet=A0&amp;row=1218&amp;col=7&amp;number=0&amp;sourceID=14","0")</f>
        <v>0</v>
      </c>
    </row>
    <row r="1219" spans="1:7">
      <c r="A1219" s="3">
        <v>10</v>
      </c>
      <c r="B1219" s="3">
        <v>5</v>
      </c>
      <c r="C1219" s="3">
        <v>166</v>
      </c>
      <c r="D1219" s="3">
        <v>19</v>
      </c>
      <c r="E1219" s="3">
        <v>-251.118</v>
      </c>
      <c r="F1219" s="4" t="str">
        <f>HYPERLINK("http://141.218.60.56/~jnz1568/getInfo.php?workbook=10_05.xlsx&amp;sheet=A0&amp;row=1219&amp;col=6&amp;number=56000000&amp;sourceID=14","56000000")</f>
        <v>56000000</v>
      </c>
      <c r="G1219" s="4" t="str">
        <f>HYPERLINK("http://141.218.60.56/~jnz1568/getInfo.php?workbook=10_05.xlsx&amp;sheet=A0&amp;row=1219&amp;col=7&amp;number=0&amp;sourceID=14","0")</f>
        <v>0</v>
      </c>
    </row>
    <row r="1220" spans="1:7">
      <c r="A1220" s="3">
        <v>10</v>
      </c>
      <c r="B1220" s="3">
        <v>5</v>
      </c>
      <c r="C1220" s="3">
        <v>167</v>
      </c>
      <c r="D1220" s="3">
        <v>19</v>
      </c>
      <c r="E1220" s="3">
        <v>-251.091</v>
      </c>
      <c r="F1220" s="4" t="str">
        <f>HYPERLINK("http://141.218.60.56/~jnz1568/getInfo.php?workbook=10_05.xlsx&amp;sheet=A0&amp;row=1220&amp;col=6&amp;number=5570000&amp;sourceID=14","5570000")</f>
        <v>5570000</v>
      </c>
      <c r="G1220" s="4" t="str">
        <f>HYPERLINK("http://141.218.60.56/~jnz1568/getInfo.php?workbook=10_05.xlsx&amp;sheet=A0&amp;row=1220&amp;col=7&amp;number=0&amp;sourceID=14","0")</f>
        <v>0</v>
      </c>
    </row>
    <row r="1221" spans="1:7">
      <c r="A1221" s="3">
        <v>10</v>
      </c>
      <c r="B1221" s="3">
        <v>5</v>
      </c>
      <c r="C1221" s="3">
        <v>176</v>
      </c>
      <c r="D1221" s="3">
        <v>19</v>
      </c>
      <c r="E1221" s="3">
        <v>-232.7</v>
      </c>
      <c r="F1221" s="4" t="str">
        <f>HYPERLINK("http://141.218.60.56/~jnz1568/getInfo.php?workbook=10_05.xlsx&amp;sheet=A0&amp;row=1221&amp;col=6&amp;number=36300000&amp;sourceID=14","36300000")</f>
        <v>36300000</v>
      </c>
      <c r="G1221" s="4" t="str">
        <f>HYPERLINK("http://141.218.60.56/~jnz1568/getInfo.php?workbook=10_05.xlsx&amp;sheet=A0&amp;row=1221&amp;col=7&amp;number=0&amp;sourceID=14","0")</f>
        <v>0</v>
      </c>
    </row>
    <row r="1222" spans="1:7">
      <c r="A1222" s="3">
        <v>10</v>
      </c>
      <c r="B1222" s="3">
        <v>5</v>
      </c>
      <c r="C1222" s="3">
        <v>177</v>
      </c>
      <c r="D1222" s="3">
        <v>19</v>
      </c>
      <c r="E1222" s="3">
        <v>-232.219</v>
      </c>
      <c r="F1222" s="4" t="str">
        <f>HYPERLINK("http://141.218.60.56/~jnz1568/getInfo.php?workbook=10_05.xlsx&amp;sheet=A0&amp;row=1222&amp;col=6&amp;number=23800000&amp;sourceID=14","23800000")</f>
        <v>23800000</v>
      </c>
      <c r="G1222" s="4" t="str">
        <f>HYPERLINK("http://141.218.60.56/~jnz1568/getInfo.php?workbook=10_05.xlsx&amp;sheet=A0&amp;row=1222&amp;col=7&amp;number=0&amp;sourceID=14","0")</f>
        <v>0</v>
      </c>
    </row>
    <row r="1223" spans="1:7">
      <c r="A1223" s="3">
        <v>10</v>
      </c>
      <c r="B1223" s="3">
        <v>5</v>
      </c>
      <c r="C1223" s="3">
        <v>178</v>
      </c>
      <c r="D1223" s="3">
        <v>19</v>
      </c>
      <c r="E1223" s="3">
        <v>-232.195</v>
      </c>
      <c r="F1223" s="4" t="str">
        <f>HYPERLINK("http://141.218.60.56/~jnz1568/getInfo.php?workbook=10_05.xlsx&amp;sheet=A0&amp;row=1223&amp;col=6&amp;number=1890000&amp;sourceID=14","1890000")</f>
        <v>1890000</v>
      </c>
      <c r="G1223" s="4" t="str">
        <f>HYPERLINK("http://141.218.60.56/~jnz1568/getInfo.php?workbook=10_05.xlsx&amp;sheet=A0&amp;row=1223&amp;col=7&amp;number=0&amp;sourceID=14","0")</f>
        <v>0</v>
      </c>
    </row>
    <row r="1224" spans="1:7">
      <c r="A1224" s="3">
        <v>10</v>
      </c>
      <c r="B1224" s="3">
        <v>5</v>
      </c>
      <c r="C1224" s="3">
        <v>179</v>
      </c>
      <c r="D1224" s="3">
        <v>19</v>
      </c>
      <c r="E1224" s="3">
        <v>-230.031</v>
      </c>
      <c r="F1224" s="4" t="str">
        <f>HYPERLINK("http://141.218.60.56/~jnz1568/getInfo.php?workbook=10_05.xlsx&amp;sheet=A0&amp;row=1224&amp;col=6&amp;number=54200000&amp;sourceID=14","54200000")</f>
        <v>54200000</v>
      </c>
      <c r="G1224" s="4" t="str">
        <f>HYPERLINK("http://141.218.60.56/~jnz1568/getInfo.php?workbook=10_05.xlsx&amp;sheet=A0&amp;row=1224&amp;col=7&amp;number=0&amp;sourceID=14","0")</f>
        <v>0</v>
      </c>
    </row>
    <row r="1225" spans="1:7">
      <c r="A1225" s="3">
        <v>10</v>
      </c>
      <c r="B1225" s="3">
        <v>5</v>
      </c>
      <c r="C1225" s="3">
        <v>180</v>
      </c>
      <c r="D1225" s="3">
        <v>19</v>
      </c>
      <c r="E1225" s="3">
        <v>-230.012</v>
      </c>
      <c r="F1225" s="4" t="str">
        <f>HYPERLINK("http://141.218.60.56/~jnz1568/getInfo.php?workbook=10_05.xlsx&amp;sheet=A0&amp;row=1225&amp;col=6&amp;number=5570000&amp;sourceID=14","5570000")</f>
        <v>5570000</v>
      </c>
      <c r="G1225" s="4" t="str">
        <f>HYPERLINK("http://141.218.60.56/~jnz1568/getInfo.php?workbook=10_05.xlsx&amp;sheet=A0&amp;row=1225&amp;col=7&amp;number=0&amp;sourceID=14","0")</f>
        <v>0</v>
      </c>
    </row>
    <row r="1226" spans="1:7">
      <c r="A1226" s="3">
        <v>10</v>
      </c>
      <c r="B1226" s="3">
        <v>5</v>
      </c>
      <c r="C1226" s="3">
        <v>22</v>
      </c>
      <c r="D1226" s="3">
        <v>20</v>
      </c>
      <c r="E1226" s="3">
        <v>5667.338</v>
      </c>
      <c r="F1226" s="4" t="str">
        <f>HYPERLINK("http://141.218.60.56/~jnz1568/getInfo.php?workbook=10_05.xlsx&amp;sheet=A0&amp;row=1226&amp;col=6&amp;number=247&amp;sourceID=14","247")</f>
        <v>247</v>
      </c>
      <c r="G1226" s="4" t="str">
        <f>HYPERLINK("http://141.218.60.56/~jnz1568/getInfo.php?workbook=10_05.xlsx&amp;sheet=A0&amp;row=1226&amp;col=7&amp;number=0&amp;sourceID=14","0")</f>
        <v>0</v>
      </c>
    </row>
    <row r="1227" spans="1:7">
      <c r="A1227" s="3">
        <v>10</v>
      </c>
      <c r="B1227" s="3">
        <v>5</v>
      </c>
      <c r="C1227" s="3">
        <v>23</v>
      </c>
      <c r="D1227" s="3">
        <v>20</v>
      </c>
      <c r="E1227" s="3">
        <v>5433.316</v>
      </c>
      <c r="F1227" s="4" t="str">
        <f>HYPERLINK("http://141.218.60.56/~jnz1568/getInfo.php?workbook=10_05.xlsx&amp;sheet=A0&amp;row=1227&amp;col=6&amp;number=0.531&amp;sourceID=14","0.531")</f>
        <v>0.531</v>
      </c>
      <c r="G1227" s="4" t="str">
        <f>HYPERLINK("http://141.218.60.56/~jnz1568/getInfo.php?workbook=10_05.xlsx&amp;sheet=A0&amp;row=1227&amp;col=7&amp;number=0&amp;sourceID=14","0")</f>
        <v>0</v>
      </c>
    </row>
    <row r="1228" spans="1:7">
      <c r="A1228" s="3">
        <v>10</v>
      </c>
      <c r="B1228" s="3">
        <v>5</v>
      </c>
      <c r="C1228" s="3">
        <v>25</v>
      </c>
      <c r="D1228" s="3">
        <v>20</v>
      </c>
      <c r="E1228" s="3">
        <v>2490.354</v>
      </c>
      <c r="F1228" s="4" t="str">
        <f>HYPERLINK("http://141.218.60.56/~jnz1568/getInfo.php?workbook=10_05.xlsx&amp;sheet=A0&amp;row=1228&amp;col=6&amp;number=9150000&amp;sourceID=14","9150000")</f>
        <v>9150000</v>
      </c>
      <c r="G1228" s="4" t="str">
        <f>HYPERLINK("http://141.218.60.56/~jnz1568/getInfo.php?workbook=10_05.xlsx&amp;sheet=A0&amp;row=1228&amp;col=7&amp;number=0&amp;sourceID=14","0")</f>
        <v>0</v>
      </c>
    </row>
    <row r="1229" spans="1:7">
      <c r="A1229" s="3">
        <v>10</v>
      </c>
      <c r="B1229" s="3">
        <v>5</v>
      </c>
      <c r="C1229" s="3">
        <v>38</v>
      </c>
      <c r="D1229" s="3">
        <v>20</v>
      </c>
      <c r="E1229" s="3">
        <v>-1019.547</v>
      </c>
      <c r="F1229" s="4" t="str">
        <f>HYPERLINK("http://141.218.60.56/~jnz1568/getInfo.php?workbook=10_05.xlsx&amp;sheet=A0&amp;row=1229&amp;col=6&amp;number=979&amp;sourceID=14","979")</f>
        <v>979</v>
      </c>
      <c r="G1229" s="4" t="str">
        <f>HYPERLINK("http://141.218.60.56/~jnz1568/getInfo.php?workbook=10_05.xlsx&amp;sheet=A0&amp;row=1229&amp;col=7&amp;number=0&amp;sourceID=14","0")</f>
        <v>0</v>
      </c>
    </row>
    <row r="1230" spans="1:7">
      <c r="A1230" s="3">
        <v>10</v>
      </c>
      <c r="B1230" s="3">
        <v>5</v>
      </c>
      <c r="C1230" s="3">
        <v>39</v>
      </c>
      <c r="D1230" s="3">
        <v>20</v>
      </c>
      <c r="E1230" s="3">
        <v>-1016.706</v>
      </c>
      <c r="F1230" s="4" t="str">
        <f>HYPERLINK("http://141.218.60.56/~jnz1568/getInfo.php?workbook=10_05.xlsx&amp;sheet=A0&amp;row=1230&amp;col=6&amp;number=3410&amp;sourceID=14","3410")</f>
        <v>3410</v>
      </c>
      <c r="G1230" s="4" t="str">
        <f>HYPERLINK("http://141.218.60.56/~jnz1568/getInfo.php?workbook=10_05.xlsx&amp;sheet=A0&amp;row=1230&amp;col=7&amp;number=0&amp;sourceID=14","0")</f>
        <v>0</v>
      </c>
    </row>
    <row r="1231" spans="1:7">
      <c r="A1231" s="3">
        <v>10</v>
      </c>
      <c r="B1231" s="3">
        <v>5</v>
      </c>
      <c r="C1231" s="3">
        <v>41</v>
      </c>
      <c r="D1231" s="3">
        <v>20</v>
      </c>
      <c r="E1231" s="3">
        <v>-1012.865</v>
      </c>
      <c r="F1231" s="4" t="str">
        <f>HYPERLINK("http://141.218.60.56/~jnz1568/getInfo.php?workbook=10_05.xlsx&amp;sheet=A0&amp;row=1231&amp;col=6&amp;number=702&amp;sourceID=14","702")</f>
        <v>702</v>
      </c>
      <c r="G1231" s="4" t="str">
        <f>HYPERLINK("http://141.218.60.56/~jnz1568/getInfo.php?workbook=10_05.xlsx&amp;sheet=A0&amp;row=1231&amp;col=7&amp;number=0&amp;sourceID=14","0")</f>
        <v>0</v>
      </c>
    </row>
    <row r="1232" spans="1:7">
      <c r="A1232" s="3">
        <v>10</v>
      </c>
      <c r="B1232" s="3">
        <v>5</v>
      </c>
      <c r="C1232" s="3">
        <v>44</v>
      </c>
      <c r="D1232" s="3">
        <v>20</v>
      </c>
      <c r="E1232" s="3">
        <v>909.382</v>
      </c>
      <c r="F1232" s="4" t="str">
        <f>HYPERLINK("http://141.218.60.56/~jnz1568/getInfo.php?workbook=10_05.xlsx&amp;sheet=A0&amp;row=1232&amp;col=6&amp;number=7070&amp;sourceID=14","7070")</f>
        <v>7070</v>
      </c>
      <c r="G1232" s="4" t="str">
        <f>HYPERLINK("http://141.218.60.56/~jnz1568/getInfo.php?workbook=10_05.xlsx&amp;sheet=A0&amp;row=1232&amp;col=7&amp;number=0&amp;sourceID=14","0")</f>
        <v>0</v>
      </c>
    </row>
    <row r="1233" spans="1:7">
      <c r="A1233" s="3">
        <v>10</v>
      </c>
      <c r="B1233" s="3">
        <v>5</v>
      </c>
      <c r="C1233" s="3">
        <v>45</v>
      </c>
      <c r="D1233" s="3">
        <v>20</v>
      </c>
      <c r="E1233" s="3">
        <v>908.556</v>
      </c>
      <c r="F1233" s="4" t="str">
        <f>HYPERLINK("http://141.218.60.56/~jnz1568/getInfo.php?workbook=10_05.xlsx&amp;sheet=A0&amp;row=1233&amp;col=6&amp;number=10800&amp;sourceID=14","10800")</f>
        <v>10800</v>
      </c>
      <c r="G1233" s="4" t="str">
        <f>HYPERLINK("http://141.218.60.56/~jnz1568/getInfo.php?workbook=10_05.xlsx&amp;sheet=A0&amp;row=1233&amp;col=7&amp;number=0&amp;sourceID=14","0")</f>
        <v>0</v>
      </c>
    </row>
    <row r="1234" spans="1:7">
      <c r="A1234" s="3">
        <v>10</v>
      </c>
      <c r="B1234" s="3">
        <v>5</v>
      </c>
      <c r="C1234" s="3">
        <v>46</v>
      </c>
      <c r="D1234" s="3">
        <v>20</v>
      </c>
      <c r="E1234" s="3">
        <v>906.086</v>
      </c>
      <c r="F1234" s="4" t="str">
        <f>HYPERLINK("http://141.218.60.56/~jnz1568/getInfo.php?workbook=10_05.xlsx&amp;sheet=A0&amp;row=1234&amp;col=6&amp;number=427&amp;sourceID=14","427")</f>
        <v>427</v>
      </c>
      <c r="G1234" s="4" t="str">
        <f>HYPERLINK("http://141.218.60.56/~jnz1568/getInfo.php?workbook=10_05.xlsx&amp;sheet=A0&amp;row=1234&amp;col=7&amp;number=0&amp;sourceID=14","0")</f>
        <v>0</v>
      </c>
    </row>
    <row r="1235" spans="1:7">
      <c r="A1235" s="3">
        <v>10</v>
      </c>
      <c r="B1235" s="3">
        <v>5</v>
      </c>
      <c r="C1235" s="3">
        <v>47</v>
      </c>
      <c r="D1235" s="3">
        <v>20</v>
      </c>
      <c r="E1235" s="3">
        <v>895.939</v>
      </c>
      <c r="F1235" s="4" t="str">
        <f>HYPERLINK("http://141.218.60.56/~jnz1568/getInfo.php?workbook=10_05.xlsx&amp;sheet=A0&amp;row=1235&amp;col=6&amp;number=274000&amp;sourceID=14","274000")</f>
        <v>274000</v>
      </c>
      <c r="G1235" s="4" t="str">
        <f>HYPERLINK("http://141.218.60.56/~jnz1568/getInfo.php?workbook=10_05.xlsx&amp;sheet=A0&amp;row=1235&amp;col=7&amp;number=0&amp;sourceID=14","0")</f>
        <v>0</v>
      </c>
    </row>
    <row r="1236" spans="1:7">
      <c r="A1236" s="3">
        <v>10</v>
      </c>
      <c r="B1236" s="3">
        <v>5</v>
      </c>
      <c r="C1236" s="3">
        <v>48</v>
      </c>
      <c r="D1236" s="3">
        <v>20</v>
      </c>
      <c r="E1236" s="3">
        <v>894.336</v>
      </c>
      <c r="F1236" s="4" t="str">
        <f>HYPERLINK("http://141.218.60.56/~jnz1568/getInfo.php?workbook=10_05.xlsx&amp;sheet=A0&amp;row=1236&amp;col=6&amp;number=3390000&amp;sourceID=14","3390000")</f>
        <v>3390000</v>
      </c>
      <c r="G1236" s="4" t="str">
        <f>HYPERLINK("http://141.218.60.56/~jnz1568/getInfo.php?workbook=10_05.xlsx&amp;sheet=A0&amp;row=1236&amp;col=7&amp;number=0&amp;sourceID=14","0")</f>
        <v>0</v>
      </c>
    </row>
    <row r="1237" spans="1:7">
      <c r="A1237" s="3">
        <v>10</v>
      </c>
      <c r="B1237" s="3">
        <v>5</v>
      </c>
      <c r="C1237" s="3">
        <v>49</v>
      </c>
      <c r="D1237" s="3">
        <v>20</v>
      </c>
      <c r="E1237" s="3">
        <v>868.095</v>
      </c>
      <c r="F1237" s="4" t="str">
        <f>HYPERLINK("http://141.218.60.56/~jnz1568/getInfo.php?workbook=10_05.xlsx&amp;sheet=A0&amp;row=1237&amp;col=6&amp;number=72000&amp;sourceID=14","72000")</f>
        <v>72000</v>
      </c>
      <c r="G1237" s="4" t="str">
        <f>HYPERLINK("http://141.218.60.56/~jnz1568/getInfo.php?workbook=10_05.xlsx&amp;sheet=A0&amp;row=1237&amp;col=7&amp;number=0&amp;sourceID=14","0")</f>
        <v>0</v>
      </c>
    </row>
    <row r="1238" spans="1:7">
      <c r="A1238" s="3">
        <v>10</v>
      </c>
      <c r="B1238" s="3">
        <v>5</v>
      </c>
      <c r="C1238" s="3">
        <v>50</v>
      </c>
      <c r="D1238" s="3">
        <v>20</v>
      </c>
      <c r="E1238" s="3">
        <v>865.84</v>
      </c>
      <c r="F1238" s="4" t="str">
        <f>HYPERLINK("http://141.218.60.56/~jnz1568/getInfo.php?workbook=10_05.xlsx&amp;sheet=A0&amp;row=1238&amp;col=6&amp;number=9940&amp;sourceID=14","9940")</f>
        <v>9940</v>
      </c>
      <c r="G1238" s="4" t="str">
        <f>HYPERLINK("http://141.218.60.56/~jnz1568/getInfo.php?workbook=10_05.xlsx&amp;sheet=A0&amp;row=1238&amp;col=7&amp;number=0&amp;sourceID=14","0")</f>
        <v>0</v>
      </c>
    </row>
    <row r="1239" spans="1:7">
      <c r="A1239" s="3">
        <v>10</v>
      </c>
      <c r="B1239" s="3">
        <v>5</v>
      </c>
      <c r="C1239" s="3">
        <v>52</v>
      </c>
      <c r="D1239" s="3">
        <v>20</v>
      </c>
      <c r="E1239" s="3">
        <v>807.397</v>
      </c>
      <c r="F1239" s="4" t="str">
        <f>HYPERLINK("http://141.218.60.56/~jnz1568/getInfo.php?workbook=10_05.xlsx&amp;sheet=A0&amp;row=1239&amp;col=6&amp;number=163000&amp;sourceID=14","163000")</f>
        <v>163000</v>
      </c>
      <c r="G1239" s="4" t="str">
        <f>HYPERLINK("http://141.218.60.56/~jnz1568/getInfo.php?workbook=10_05.xlsx&amp;sheet=A0&amp;row=1239&amp;col=7&amp;number=0&amp;sourceID=14","0")</f>
        <v>0</v>
      </c>
    </row>
    <row r="1240" spans="1:7">
      <c r="A1240" s="3">
        <v>10</v>
      </c>
      <c r="B1240" s="3">
        <v>5</v>
      </c>
      <c r="C1240" s="3">
        <v>54</v>
      </c>
      <c r="D1240" s="3">
        <v>20</v>
      </c>
      <c r="E1240" s="3">
        <v>772.232</v>
      </c>
      <c r="F1240" s="4" t="str">
        <f>HYPERLINK("http://141.218.60.56/~jnz1568/getInfo.php?workbook=10_05.xlsx&amp;sheet=A0&amp;row=1240&amp;col=6&amp;number=29800&amp;sourceID=14","29800")</f>
        <v>29800</v>
      </c>
      <c r="G1240" s="4" t="str">
        <f>HYPERLINK("http://141.218.60.56/~jnz1568/getInfo.php?workbook=10_05.xlsx&amp;sheet=A0&amp;row=1240&amp;col=7&amp;number=0&amp;sourceID=14","0")</f>
        <v>0</v>
      </c>
    </row>
    <row r="1241" spans="1:7">
      <c r="A1241" s="3">
        <v>10</v>
      </c>
      <c r="B1241" s="3">
        <v>5</v>
      </c>
      <c r="C1241" s="3">
        <v>55</v>
      </c>
      <c r="D1241" s="3">
        <v>20</v>
      </c>
      <c r="E1241" s="3">
        <v>767.491</v>
      </c>
      <c r="F1241" s="4" t="str">
        <f>HYPERLINK("http://141.218.60.56/~jnz1568/getInfo.php?workbook=10_05.xlsx&amp;sheet=A0&amp;row=1241&amp;col=6&amp;number=65.2&amp;sourceID=14","65.2")</f>
        <v>65.2</v>
      </c>
      <c r="G1241" s="4" t="str">
        <f>HYPERLINK("http://141.218.60.56/~jnz1568/getInfo.php?workbook=10_05.xlsx&amp;sheet=A0&amp;row=1241&amp;col=7&amp;number=0&amp;sourceID=14","0")</f>
        <v>0</v>
      </c>
    </row>
    <row r="1242" spans="1:7">
      <c r="A1242" s="3">
        <v>10</v>
      </c>
      <c r="B1242" s="3">
        <v>5</v>
      </c>
      <c r="C1242" s="3">
        <v>56</v>
      </c>
      <c r="D1242" s="3">
        <v>20</v>
      </c>
      <c r="E1242" s="3">
        <v>736.405</v>
      </c>
      <c r="F1242" s="4" t="str">
        <f>HYPERLINK("http://141.218.60.56/~jnz1568/getInfo.php?workbook=10_05.xlsx&amp;sheet=A0&amp;row=1242&amp;col=6&amp;number=2590000&amp;sourceID=14","2590000")</f>
        <v>2590000</v>
      </c>
      <c r="G1242" s="4" t="str">
        <f>HYPERLINK("http://141.218.60.56/~jnz1568/getInfo.php?workbook=10_05.xlsx&amp;sheet=A0&amp;row=1242&amp;col=7&amp;number=0&amp;sourceID=14","0")</f>
        <v>0</v>
      </c>
    </row>
    <row r="1243" spans="1:7">
      <c r="A1243" s="3">
        <v>10</v>
      </c>
      <c r="B1243" s="3">
        <v>5</v>
      </c>
      <c r="C1243" s="3">
        <v>65</v>
      </c>
      <c r="D1243" s="3">
        <v>20</v>
      </c>
      <c r="E1243" s="3">
        <v>-528.458</v>
      </c>
      <c r="F1243" s="4" t="str">
        <f>HYPERLINK("http://141.218.60.56/~jnz1568/getInfo.php?workbook=10_05.xlsx&amp;sheet=A0&amp;row=1243&amp;col=6&amp;number=2000000000&amp;sourceID=14","2000000000")</f>
        <v>2000000000</v>
      </c>
      <c r="G1243" s="4" t="str">
        <f>HYPERLINK("http://141.218.60.56/~jnz1568/getInfo.php?workbook=10_05.xlsx&amp;sheet=A0&amp;row=1243&amp;col=7&amp;number=0&amp;sourceID=14","0")</f>
        <v>0</v>
      </c>
    </row>
    <row r="1244" spans="1:7">
      <c r="A1244" s="3">
        <v>10</v>
      </c>
      <c r="B1244" s="3">
        <v>5</v>
      </c>
      <c r="C1244" s="3">
        <v>68</v>
      </c>
      <c r="D1244" s="3">
        <v>20</v>
      </c>
      <c r="E1244" s="3">
        <v>486.394</v>
      </c>
      <c r="F1244" s="4" t="str">
        <f>HYPERLINK("http://141.218.60.56/~jnz1568/getInfo.php?workbook=10_05.xlsx&amp;sheet=A0&amp;row=1244&amp;col=6&amp;number=47800000&amp;sourceID=14","47800000")</f>
        <v>47800000</v>
      </c>
      <c r="G1244" s="4" t="str">
        <f>HYPERLINK("http://141.218.60.56/~jnz1568/getInfo.php?workbook=10_05.xlsx&amp;sheet=A0&amp;row=1244&amp;col=7&amp;number=0&amp;sourceID=14","0")</f>
        <v>0</v>
      </c>
    </row>
    <row r="1245" spans="1:7">
      <c r="A1245" s="3">
        <v>10</v>
      </c>
      <c r="B1245" s="3">
        <v>5</v>
      </c>
      <c r="C1245" s="3">
        <v>69</v>
      </c>
      <c r="D1245" s="3">
        <v>20</v>
      </c>
      <c r="E1245" s="3">
        <v>486.394</v>
      </c>
      <c r="F1245" s="4" t="str">
        <f>HYPERLINK("http://141.218.60.56/~jnz1568/getInfo.php?workbook=10_05.xlsx&amp;sheet=A0&amp;row=1245&amp;col=6&amp;number=702000000&amp;sourceID=14","702000000")</f>
        <v>702000000</v>
      </c>
      <c r="G1245" s="4" t="str">
        <f>HYPERLINK("http://141.218.60.56/~jnz1568/getInfo.php?workbook=10_05.xlsx&amp;sheet=A0&amp;row=1245&amp;col=7&amp;number=0&amp;sourceID=14","0")</f>
        <v>0</v>
      </c>
    </row>
    <row r="1246" spans="1:7">
      <c r="A1246" s="3">
        <v>10</v>
      </c>
      <c r="B1246" s="3">
        <v>5</v>
      </c>
      <c r="C1246" s="3">
        <v>73</v>
      </c>
      <c r="D1246" s="3">
        <v>20</v>
      </c>
      <c r="E1246" s="3">
        <v>467.936</v>
      </c>
      <c r="F1246" s="4" t="str">
        <f>HYPERLINK("http://141.218.60.56/~jnz1568/getInfo.php?workbook=10_05.xlsx&amp;sheet=A0&amp;row=1246&amp;col=6&amp;number=479000000&amp;sourceID=14","479000000")</f>
        <v>479000000</v>
      </c>
      <c r="G1246" s="4" t="str">
        <f>HYPERLINK("http://141.218.60.56/~jnz1568/getInfo.php?workbook=10_05.xlsx&amp;sheet=A0&amp;row=1246&amp;col=7&amp;number=0&amp;sourceID=14","0")</f>
        <v>0</v>
      </c>
    </row>
    <row r="1247" spans="1:7">
      <c r="A1247" s="3">
        <v>10</v>
      </c>
      <c r="B1247" s="3">
        <v>5</v>
      </c>
      <c r="C1247" s="3">
        <v>74</v>
      </c>
      <c r="D1247" s="3">
        <v>20</v>
      </c>
      <c r="E1247" s="3">
        <v>467.673</v>
      </c>
      <c r="F1247" s="4" t="str">
        <f>HYPERLINK("http://141.218.60.56/~jnz1568/getInfo.php?workbook=10_05.xlsx&amp;sheet=A0&amp;row=1247&amp;col=6&amp;number=4430000000&amp;sourceID=14","4430000000")</f>
        <v>4430000000</v>
      </c>
      <c r="G1247" s="4" t="str">
        <f>HYPERLINK("http://141.218.60.56/~jnz1568/getInfo.php?workbook=10_05.xlsx&amp;sheet=A0&amp;row=1247&amp;col=7&amp;number=0&amp;sourceID=14","0")</f>
        <v>0</v>
      </c>
    </row>
    <row r="1248" spans="1:7">
      <c r="A1248" s="3">
        <v>10</v>
      </c>
      <c r="B1248" s="3">
        <v>5</v>
      </c>
      <c r="C1248" s="3">
        <v>76</v>
      </c>
      <c r="D1248" s="3">
        <v>20</v>
      </c>
      <c r="E1248" s="3">
        <v>463.125</v>
      </c>
      <c r="F1248" s="4" t="str">
        <f>HYPERLINK("http://141.218.60.56/~jnz1568/getInfo.php?workbook=10_05.xlsx&amp;sheet=A0&amp;row=1248&amp;col=6&amp;number=4710000000&amp;sourceID=14","4710000000")</f>
        <v>4710000000</v>
      </c>
      <c r="G1248" s="4" t="str">
        <f>HYPERLINK("http://141.218.60.56/~jnz1568/getInfo.php?workbook=10_05.xlsx&amp;sheet=A0&amp;row=1248&amp;col=7&amp;number=0&amp;sourceID=14","0")</f>
        <v>0</v>
      </c>
    </row>
    <row r="1249" spans="1:7">
      <c r="A1249" s="3">
        <v>10</v>
      </c>
      <c r="B1249" s="3">
        <v>5</v>
      </c>
      <c r="C1249" s="3">
        <v>83</v>
      </c>
      <c r="D1249" s="3">
        <v>20</v>
      </c>
      <c r="E1249" s="3">
        <v>407.092</v>
      </c>
      <c r="F1249" s="4" t="str">
        <f>HYPERLINK("http://141.218.60.56/~jnz1568/getInfo.php?workbook=10_05.xlsx&amp;sheet=A0&amp;row=1249&amp;col=6&amp;number=841000&amp;sourceID=14","841000")</f>
        <v>841000</v>
      </c>
      <c r="G1249" s="4" t="str">
        <f>HYPERLINK("http://141.218.60.56/~jnz1568/getInfo.php?workbook=10_05.xlsx&amp;sheet=A0&amp;row=1249&amp;col=7&amp;number=0&amp;sourceID=14","0")</f>
        <v>0</v>
      </c>
    </row>
    <row r="1250" spans="1:7">
      <c r="A1250" s="3">
        <v>10</v>
      </c>
      <c r="B1250" s="3">
        <v>5</v>
      </c>
      <c r="C1250" s="3">
        <v>84</v>
      </c>
      <c r="D1250" s="3">
        <v>20</v>
      </c>
      <c r="E1250" s="3">
        <v>407.092</v>
      </c>
      <c r="F1250" s="4" t="str">
        <f>HYPERLINK("http://141.218.60.56/~jnz1568/getInfo.php?workbook=10_05.xlsx&amp;sheet=A0&amp;row=1250&amp;col=6&amp;number=4220000&amp;sourceID=14","4220000")</f>
        <v>4220000</v>
      </c>
      <c r="G1250" s="4" t="str">
        <f>HYPERLINK("http://141.218.60.56/~jnz1568/getInfo.php?workbook=10_05.xlsx&amp;sheet=A0&amp;row=1250&amp;col=7&amp;number=0&amp;sourceID=14","0")</f>
        <v>0</v>
      </c>
    </row>
    <row r="1251" spans="1:7">
      <c r="A1251" s="3">
        <v>10</v>
      </c>
      <c r="B1251" s="3">
        <v>5</v>
      </c>
      <c r="C1251" s="3">
        <v>85</v>
      </c>
      <c r="D1251" s="3">
        <v>20</v>
      </c>
      <c r="E1251" s="3">
        <v>407.092</v>
      </c>
      <c r="F1251" s="4" t="str">
        <f>HYPERLINK("http://141.218.60.56/~jnz1568/getInfo.php?workbook=10_05.xlsx&amp;sheet=A0&amp;row=1251&amp;col=6&amp;number=146000000&amp;sourceID=14","146000000")</f>
        <v>146000000</v>
      </c>
      <c r="G1251" s="4" t="str">
        <f>HYPERLINK("http://141.218.60.56/~jnz1568/getInfo.php?workbook=10_05.xlsx&amp;sheet=A0&amp;row=1251&amp;col=7&amp;number=0&amp;sourceID=14","0")</f>
        <v>0</v>
      </c>
    </row>
    <row r="1252" spans="1:7">
      <c r="A1252" s="3">
        <v>10</v>
      </c>
      <c r="B1252" s="3">
        <v>5</v>
      </c>
      <c r="C1252" s="3">
        <v>86</v>
      </c>
      <c r="D1252" s="3">
        <v>20</v>
      </c>
      <c r="E1252" s="3">
        <v>-405.565</v>
      </c>
      <c r="F1252" s="4" t="str">
        <f>HYPERLINK("http://141.218.60.56/~jnz1568/getInfo.php?workbook=10_05.xlsx&amp;sheet=A0&amp;row=1252&amp;col=6&amp;number=2210000000&amp;sourceID=14","2210000000")</f>
        <v>2210000000</v>
      </c>
      <c r="G1252" s="4" t="str">
        <f>HYPERLINK("http://141.218.60.56/~jnz1568/getInfo.php?workbook=10_05.xlsx&amp;sheet=A0&amp;row=1252&amp;col=7&amp;number=0&amp;sourceID=14","0")</f>
        <v>0</v>
      </c>
    </row>
    <row r="1253" spans="1:7">
      <c r="A1253" s="3">
        <v>10</v>
      </c>
      <c r="B1253" s="3">
        <v>5</v>
      </c>
      <c r="C1253" s="3">
        <v>87</v>
      </c>
      <c r="D1253" s="3">
        <v>20</v>
      </c>
      <c r="E1253" s="3">
        <v>-405.542</v>
      </c>
      <c r="F1253" s="4" t="str">
        <f>HYPERLINK("http://141.218.60.56/~jnz1568/getInfo.php?workbook=10_05.xlsx&amp;sheet=A0&amp;row=1253&amp;col=6&amp;number=32900000000&amp;sourceID=14","32900000000")</f>
        <v>32900000000</v>
      </c>
      <c r="G1253" s="4" t="str">
        <f>HYPERLINK("http://141.218.60.56/~jnz1568/getInfo.php?workbook=10_05.xlsx&amp;sheet=A0&amp;row=1253&amp;col=7&amp;number=0&amp;sourceID=14","0")</f>
        <v>0</v>
      </c>
    </row>
    <row r="1254" spans="1:7">
      <c r="A1254" s="3">
        <v>10</v>
      </c>
      <c r="B1254" s="3">
        <v>5</v>
      </c>
      <c r="C1254" s="3">
        <v>89</v>
      </c>
      <c r="D1254" s="3">
        <v>20</v>
      </c>
      <c r="E1254" s="3">
        <v>401.341</v>
      </c>
      <c r="F1254" s="4" t="str">
        <f>HYPERLINK("http://141.218.60.56/~jnz1568/getInfo.php?workbook=10_05.xlsx&amp;sheet=A0&amp;row=1254&amp;col=6&amp;number=236000&amp;sourceID=14","236000")</f>
        <v>236000</v>
      </c>
      <c r="G1254" s="4" t="str">
        <f>HYPERLINK("http://141.218.60.56/~jnz1568/getInfo.php?workbook=10_05.xlsx&amp;sheet=A0&amp;row=1254&amp;col=7&amp;number=0&amp;sourceID=14","0")</f>
        <v>0</v>
      </c>
    </row>
    <row r="1255" spans="1:7">
      <c r="A1255" s="3">
        <v>10</v>
      </c>
      <c r="B1255" s="3">
        <v>5</v>
      </c>
      <c r="C1255" s="3">
        <v>90</v>
      </c>
      <c r="D1255" s="3">
        <v>20</v>
      </c>
      <c r="E1255" s="3">
        <v>400.425</v>
      </c>
      <c r="F1255" s="4" t="str">
        <f>HYPERLINK("http://141.218.60.56/~jnz1568/getInfo.php?workbook=10_05.xlsx&amp;sheet=A0&amp;row=1255&amp;col=6&amp;number=149000&amp;sourceID=14","149000")</f>
        <v>149000</v>
      </c>
      <c r="G1255" s="4" t="str">
        <f>HYPERLINK("http://141.218.60.56/~jnz1568/getInfo.php?workbook=10_05.xlsx&amp;sheet=A0&amp;row=1255&amp;col=7&amp;number=0&amp;sourceID=14","0")</f>
        <v>0</v>
      </c>
    </row>
    <row r="1256" spans="1:7">
      <c r="A1256" s="3">
        <v>10</v>
      </c>
      <c r="B1256" s="3">
        <v>5</v>
      </c>
      <c r="C1256" s="3">
        <v>91</v>
      </c>
      <c r="D1256" s="3">
        <v>20</v>
      </c>
      <c r="E1256" s="3">
        <v>-388.154</v>
      </c>
      <c r="F1256" s="4" t="str">
        <f>HYPERLINK("http://141.218.60.56/~jnz1568/getInfo.php?workbook=10_05.xlsx&amp;sheet=A0&amp;row=1256&amp;col=6&amp;number=1910000&amp;sourceID=14","1910000")</f>
        <v>1910000</v>
      </c>
      <c r="G1256" s="4" t="str">
        <f>HYPERLINK("http://141.218.60.56/~jnz1568/getInfo.php?workbook=10_05.xlsx&amp;sheet=A0&amp;row=1256&amp;col=7&amp;number=0&amp;sourceID=14","0")</f>
        <v>0</v>
      </c>
    </row>
    <row r="1257" spans="1:7">
      <c r="A1257" s="3">
        <v>10</v>
      </c>
      <c r="B1257" s="3">
        <v>5</v>
      </c>
      <c r="C1257" s="3">
        <v>92</v>
      </c>
      <c r="D1257" s="3">
        <v>20</v>
      </c>
      <c r="E1257" s="3">
        <v>-386.902</v>
      </c>
      <c r="F1257" s="4" t="str">
        <f>HYPERLINK("http://141.218.60.56/~jnz1568/getInfo.php?workbook=10_05.xlsx&amp;sheet=A0&amp;row=1257&amp;col=6&amp;number=17600000&amp;sourceID=14","17600000")</f>
        <v>17600000</v>
      </c>
      <c r="G1257" s="4" t="str">
        <f>HYPERLINK("http://141.218.60.56/~jnz1568/getInfo.php?workbook=10_05.xlsx&amp;sheet=A0&amp;row=1257&amp;col=7&amp;number=0&amp;sourceID=14","0")</f>
        <v>0</v>
      </c>
    </row>
    <row r="1258" spans="1:7">
      <c r="A1258" s="3">
        <v>10</v>
      </c>
      <c r="B1258" s="3">
        <v>5</v>
      </c>
      <c r="C1258" s="3">
        <v>94</v>
      </c>
      <c r="D1258" s="3">
        <v>20</v>
      </c>
      <c r="E1258" s="3">
        <v>-375.41</v>
      </c>
      <c r="F1258" s="4" t="str">
        <f>HYPERLINK("http://141.218.60.56/~jnz1568/getInfo.php?workbook=10_05.xlsx&amp;sheet=A0&amp;row=1258&amp;col=6&amp;number=17700000&amp;sourceID=14","17700000")</f>
        <v>17700000</v>
      </c>
      <c r="G1258" s="4" t="str">
        <f>HYPERLINK("http://141.218.60.56/~jnz1568/getInfo.php?workbook=10_05.xlsx&amp;sheet=A0&amp;row=1258&amp;col=7&amp;number=0&amp;sourceID=14","0")</f>
        <v>0</v>
      </c>
    </row>
    <row r="1259" spans="1:7">
      <c r="A1259" s="3">
        <v>10</v>
      </c>
      <c r="B1259" s="3">
        <v>5</v>
      </c>
      <c r="C1259" s="3">
        <v>95</v>
      </c>
      <c r="D1259" s="3">
        <v>20</v>
      </c>
      <c r="E1259" s="3">
        <v>375.045</v>
      </c>
      <c r="F1259" s="4" t="str">
        <f>HYPERLINK("http://141.218.60.56/~jnz1568/getInfo.php?workbook=10_05.xlsx&amp;sheet=A0&amp;row=1259&amp;col=6&amp;number=11100&amp;sourceID=14","11100")</f>
        <v>11100</v>
      </c>
      <c r="G1259" s="4" t="str">
        <f>HYPERLINK("http://141.218.60.56/~jnz1568/getInfo.php?workbook=10_05.xlsx&amp;sheet=A0&amp;row=1259&amp;col=7&amp;number=0&amp;sourceID=14","0")</f>
        <v>0</v>
      </c>
    </row>
    <row r="1260" spans="1:7">
      <c r="A1260" s="3">
        <v>10</v>
      </c>
      <c r="B1260" s="3">
        <v>5</v>
      </c>
      <c r="C1260" s="3">
        <v>96</v>
      </c>
      <c r="D1260" s="3">
        <v>20</v>
      </c>
      <c r="E1260" s="3">
        <v>357.878</v>
      </c>
      <c r="F1260" s="4" t="str">
        <f>HYPERLINK("http://141.218.60.56/~jnz1568/getInfo.php?workbook=10_05.xlsx&amp;sheet=A0&amp;row=1260&amp;col=6&amp;number=76500000&amp;sourceID=14","76500000")</f>
        <v>76500000</v>
      </c>
      <c r="G1260" s="4" t="str">
        <f>HYPERLINK("http://141.218.60.56/~jnz1568/getInfo.php?workbook=10_05.xlsx&amp;sheet=A0&amp;row=1260&amp;col=7&amp;number=0&amp;sourceID=14","0")</f>
        <v>0</v>
      </c>
    </row>
    <row r="1261" spans="1:7">
      <c r="A1261" s="3">
        <v>10</v>
      </c>
      <c r="B1261" s="3">
        <v>5</v>
      </c>
      <c r="C1261" s="3">
        <v>97</v>
      </c>
      <c r="D1261" s="3">
        <v>20</v>
      </c>
      <c r="E1261" s="3">
        <v>357.444</v>
      </c>
      <c r="F1261" s="4" t="str">
        <f>HYPERLINK("http://141.218.60.56/~jnz1568/getInfo.php?workbook=10_05.xlsx&amp;sheet=A0&amp;row=1261&amp;col=6&amp;number=1100000000&amp;sourceID=14","1100000000")</f>
        <v>1100000000</v>
      </c>
      <c r="G1261" s="4" t="str">
        <f>HYPERLINK("http://141.218.60.56/~jnz1568/getInfo.php?workbook=10_05.xlsx&amp;sheet=A0&amp;row=1261&amp;col=7&amp;number=0&amp;sourceID=14","0")</f>
        <v>0</v>
      </c>
    </row>
    <row r="1262" spans="1:7">
      <c r="A1262" s="3">
        <v>10</v>
      </c>
      <c r="B1262" s="3">
        <v>5</v>
      </c>
      <c r="C1262" s="3">
        <v>101</v>
      </c>
      <c r="D1262" s="3">
        <v>20</v>
      </c>
      <c r="E1262" s="3">
        <v>-352.747</v>
      </c>
      <c r="F1262" s="4" t="str">
        <f>HYPERLINK("http://141.218.60.56/~jnz1568/getInfo.php?workbook=10_05.xlsx&amp;sheet=A0&amp;row=1262&amp;col=6&amp;number=29400&amp;sourceID=14","29400")</f>
        <v>29400</v>
      </c>
      <c r="G1262" s="4" t="str">
        <f>HYPERLINK("http://141.218.60.56/~jnz1568/getInfo.php?workbook=10_05.xlsx&amp;sheet=A0&amp;row=1262&amp;col=7&amp;number=0&amp;sourceID=14","0")</f>
        <v>0</v>
      </c>
    </row>
    <row r="1263" spans="1:7">
      <c r="A1263" s="3">
        <v>10</v>
      </c>
      <c r="B1263" s="3">
        <v>5</v>
      </c>
      <c r="C1263" s="3">
        <v>103</v>
      </c>
      <c r="D1263" s="3">
        <v>20</v>
      </c>
      <c r="E1263" s="3">
        <v>-351.826</v>
      </c>
      <c r="F1263" s="4" t="str">
        <f>HYPERLINK("http://141.218.60.56/~jnz1568/getInfo.php?workbook=10_05.xlsx&amp;sheet=A0&amp;row=1263&amp;col=6&amp;number=1050&amp;sourceID=14","1050")</f>
        <v>1050</v>
      </c>
      <c r="G1263" s="4" t="str">
        <f>HYPERLINK("http://141.218.60.56/~jnz1568/getInfo.php?workbook=10_05.xlsx&amp;sheet=A0&amp;row=1263&amp;col=7&amp;number=0&amp;sourceID=14","0")</f>
        <v>0</v>
      </c>
    </row>
    <row r="1264" spans="1:7">
      <c r="A1264" s="3">
        <v>10</v>
      </c>
      <c r="B1264" s="3">
        <v>5</v>
      </c>
      <c r="C1264" s="3">
        <v>112</v>
      </c>
      <c r="D1264" s="3">
        <v>20</v>
      </c>
      <c r="E1264" s="3">
        <v>-343.413</v>
      </c>
      <c r="F1264" s="4" t="str">
        <f>HYPERLINK("http://141.218.60.56/~jnz1568/getInfo.php?workbook=10_05.xlsx&amp;sheet=A0&amp;row=1264&amp;col=6&amp;number=8060000&amp;sourceID=14","8060000")</f>
        <v>8060000</v>
      </c>
      <c r="G1264" s="4" t="str">
        <f>HYPERLINK("http://141.218.60.56/~jnz1568/getInfo.php?workbook=10_05.xlsx&amp;sheet=A0&amp;row=1264&amp;col=7&amp;number=0&amp;sourceID=14","0")</f>
        <v>0</v>
      </c>
    </row>
    <row r="1265" spans="1:7">
      <c r="A1265" s="3">
        <v>10</v>
      </c>
      <c r="B1265" s="3">
        <v>5</v>
      </c>
      <c r="C1265" s="3">
        <v>113</v>
      </c>
      <c r="D1265" s="3">
        <v>20</v>
      </c>
      <c r="E1265" s="3">
        <v>342.519</v>
      </c>
      <c r="F1265" s="4" t="str">
        <f>HYPERLINK("http://141.218.60.56/~jnz1568/getInfo.php?workbook=10_05.xlsx&amp;sheet=A0&amp;row=1265&amp;col=6&amp;number=80900000&amp;sourceID=14","80900000")</f>
        <v>80900000</v>
      </c>
      <c r="G1265" s="4" t="str">
        <f>HYPERLINK("http://141.218.60.56/~jnz1568/getInfo.php?workbook=10_05.xlsx&amp;sheet=A0&amp;row=1265&amp;col=7&amp;number=0&amp;sourceID=14","0")</f>
        <v>0</v>
      </c>
    </row>
    <row r="1266" spans="1:7">
      <c r="A1266" s="3">
        <v>10</v>
      </c>
      <c r="B1266" s="3">
        <v>5</v>
      </c>
      <c r="C1266" s="3">
        <v>114</v>
      </c>
      <c r="D1266" s="3">
        <v>20</v>
      </c>
      <c r="E1266" s="3">
        <v>342.519</v>
      </c>
      <c r="F1266" s="4" t="str">
        <f>HYPERLINK("http://141.218.60.56/~jnz1568/getInfo.php?workbook=10_05.xlsx&amp;sheet=A0&amp;row=1266&amp;col=6&amp;number=8600000&amp;sourceID=14","8600000")</f>
        <v>8600000</v>
      </c>
      <c r="G1266" s="4" t="str">
        <f>HYPERLINK("http://141.218.60.56/~jnz1568/getInfo.php?workbook=10_05.xlsx&amp;sheet=A0&amp;row=1266&amp;col=7&amp;number=0&amp;sourceID=14","0")</f>
        <v>0</v>
      </c>
    </row>
    <row r="1267" spans="1:7">
      <c r="A1267" s="3">
        <v>10</v>
      </c>
      <c r="B1267" s="3">
        <v>5</v>
      </c>
      <c r="C1267" s="3">
        <v>128</v>
      </c>
      <c r="D1267" s="3">
        <v>20</v>
      </c>
      <c r="E1267" s="3">
        <v>-327.843</v>
      </c>
      <c r="F1267" s="4" t="str">
        <f>HYPERLINK("http://141.218.60.56/~jnz1568/getInfo.php?workbook=10_05.xlsx&amp;sheet=A0&amp;row=1267&amp;col=6&amp;number=16400000&amp;sourceID=14","16400000")</f>
        <v>16400000</v>
      </c>
      <c r="G1267" s="4" t="str">
        <f>HYPERLINK("http://141.218.60.56/~jnz1568/getInfo.php?workbook=10_05.xlsx&amp;sheet=A0&amp;row=1267&amp;col=7&amp;number=0&amp;sourceID=14","0")</f>
        <v>0</v>
      </c>
    </row>
    <row r="1268" spans="1:7">
      <c r="A1268" s="3">
        <v>10</v>
      </c>
      <c r="B1268" s="3">
        <v>5</v>
      </c>
      <c r="C1268" s="3">
        <v>134</v>
      </c>
      <c r="D1268" s="3">
        <v>20</v>
      </c>
      <c r="E1268" s="3">
        <v>-323.099</v>
      </c>
      <c r="F1268" s="4" t="str">
        <f>HYPERLINK("http://141.218.60.56/~jnz1568/getInfo.php?workbook=10_05.xlsx&amp;sheet=A0&amp;row=1268&amp;col=6&amp;number=19700&amp;sourceID=14","19700")</f>
        <v>19700</v>
      </c>
      <c r="G1268" s="4" t="str">
        <f>HYPERLINK("http://141.218.60.56/~jnz1568/getInfo.php?workbook=10_05.xlsx&amp;sheet=A0&amp;row=1268&amp;col=7&amp;number=0&amp;sourceID=14","0")</f>
        <v>0</v>
      </c>
    </row>
    <row r="1269" spans="1:7">
      <c r="A1269" s="3">
        <v>10</v>
      </c>
      <c r="B1269" s="3">
        <v>5</v>
      </c>
      <c r="C1269" s="3">
        <v>135</v>
      </c>
      <c r="D1269" s="3">
        <v>20</v>
      </c>
      <c r="E1269" s="3">
        <v>-322.848</v>
      </c>
      <c r="F1269" s="4" t="str">
        <f>HYPERLINK("http://141.218.60.56/~jnz1568/getInfo.php?workbook=10_05.xlsx&amp;sheet=A0&amp;row=1269&amp;col=6&amp;number=126000&amp;sourceID=14","126000")</f>
        <v>126000</v>
      </c>
      <c r="G1269" s="4" t="str">
        <f>HYPERLINK("http://141.218.60.56/~jnz1568/getInfo.php?workbook=10_05.xlsx&amp;sheet=A0&amp;row=1269&amp;col=7&amp;number=0&amp;sourceID=14","0")</f>
        <v>0</v>
      </c>
    </row>
    <row r="1270" spans="1:7">
      <c r="A1270" s="3">
        <v>10</v>
      </c>
      <c r="B1270" s="3">
        <v>5</v>
      </c>
      <c r="C1270" s="3">
        <v>136</v>
      </c>
      <c r="D1270" s="3">
        <v>20</v>
      </c>
      <c r="E1270" s="3">
        <v>-322.471</v>
      </c>
      <c r="F1270" s="4" t="str">
        <f>HYPERLINK("http://141.218.60.56/~jnz1568/getInfo.php?workbook=10_05.xlsx&amp;sheet=A0&amp;row=1270&amp;col=6&amp;number=117000&amp;sourceID=14","117000")</f>
        <v>117000</v>
      </c>
      <c r="G1270" s="4" t="str">
        <f>HYPERLINK("http://141.218.60.56/~jnz1568/getInfo.php?workbook=10_05.xlsx&amp;sheet=A0&amp;row=1270&amp;col=7&amp;number=0&amp;sourceID=14","0")</f>
        <v>0</v>
      </c>
    </row>
    <row r="1271" spans="1:7">
      <c r="A1271" s="3">
        <v>10</v>
      </c>
      <c r="B1271" s="3">
        <v>5</v>
      </c>
      <c r="C1271" s="3">
        <v>142</v>
      </c>
      <c r="D1271" s="3">
        <v>20</v>
      </c>
      <c r="E1271" s="3">
        <v>318.224</v>
      </c>
      <c r="F1271" s="4" t="str">
        <f>HYPERLINK("http://141.218.60.56/~jnz1568/getInfo.php?workbook=10_05.xlsx&amp;sheet=A0&amp;row=1271&amp;col=6&amp;number=34600&amp;sourceID=14","34600")</f>
        <v>34600</v>
      </c>
      <c r="G1271" s="4" t="str">
        <f>HYPERLINK("http://141.218.60.56/~jnz1568/getInfo.php?workbook=10_05.xlsx&amp;sheet=A0&amp;row=1271&amp;col=7&amp;number=0&amp;sourceID=14","0")</f>
        <v>0</v>
      </c>
    </row>
    <row r="1272" spans="1:7">
      <c r="A1272" s="3">
        <v>10</v>
      </c>
      <c r="B1272" s="3">
        <v>5</v>
      </c>
      <c r="C1272" s="3">
        <v>143</v>
      </c>
      <c r="D1272" s="3">
        <v>20</v>
      </c>
      <c r="E1272" s="3">
        <v>317.971</v>
      </c>
      <c r="F1272" s="4" t="str">
        <f>HYPERLINK("http://141.218.60.56/~jnz1568/getInfo.php?workbook=10_05.xlsx&amp;sheet=A0&amp;row=1272&amp;col=6&amp;number=838000&amp;sourceID=14","838000")</f>
        <v>838000</v>
      </c>
      <c r="G1272" s="4" t="str">
        <f>HYPERLINK("http://141.218.60.56/~jnz1568/getInfo.php?workbook=10_05.xlsx&amp;sheet=A0&amp;row=1272&amp;col=7&amp;number=0&amp;sourceID=14","0")</f>
        <v>0</v>
      </c>
    </row>
    <row r="1273" spans="1:7">
      <c r="A1273" s="3">
        <v>10</v>
      </c>
      <c r="B1273" s="3">
        <v>5</v>
      </c>
      <c r="C1273" s="3">
        <v>144</v>
      </c>
      <c r="D1273" s="3">
        <v>20</v>
      </c>
      <c r="E1273" s="3">
        <v>317.769</v>
      </c>
      <c r="F1273" s="4" t="str">
        <f>HYPERLINK("http://141.218.60.56/~jnz1568/getInfo.php?workbook=10_05.xlsx&amp;sheet=A0&amp;row=1273&amp;col=6&amp;number=80700&amp;sourceID=14","80700")</f>
        <v>80700</v>
      </c>
      <c r="G1273" s="4" t="str">
        <f>HYPERLINK("http://141.218.60.56/~jnz1568/getInfo.php?workbook=10_05.xlsx&amp;sheet=A0&amp;row=1273&amp;col=7&amp;number=0&amp;sourceID=14","0")</f>
        <v>0</v>
      </c>
    </row>
    <row r="1274" spans="1:7">
      <c r="A1274" s="3">
        <v>10</v>
      </c>
      <c r="B1274" s="3">
        <v>5</v>
      </c>
      <c r="C1274" s="3">
        <v>145</v>
      </c>
      <c r="D1274" s="3">
        <v>20</v>
      </c>
      <c r="E1274" s="3">
        <v>316.852</v>
      </c>
      <c r="F1274" s="4" t="str">
        <f>HYPERLINK("http://141.218.60.56/~jnz1568/getInfo.php?workbook=10_05.xlsx&amp;sheet=A0&amp;row=1274&amp;col=6&amp;number=6330000&amp;sourceID=14","6330000")</f>
        <v>6330000</v>
      </c>
      <c r="G1274" s="4" t="str">
        <f>HYPERLINK("http://141.218.60.56/~jnz1568/getInfo.php?workbook=10_05.xlsx&amp;sheet=A0&amp;row=1274&amp;col=7&amp;number=0&amp;sourceID=14","0")</f>
        <v>0</v>
      </c>
    </row>
    <row r="1275" spans="1:7">
      <c r="A1275" s="3">
        <v>10</v>
      </c>
      <c r="B1275" s="3">
        <v>5</v>
      </c>
      <c r="C1275" s="3">
        <v>146</v>
      </c>
      <c r="D1275" s="3">
        <v>20</v>
      </c>
      <c r="E1275" s="3">
        <v>316.852</v>
      </c>
      <c r="F1275" s="4" t="str">
        <f>HYPERLINK("http://141.218.60.56/~jnz1568/getInfo.php?workbook=10_05.xlsx&amp;sheet=A0&amp;row=1275&amp;col=6&amp;number=78900000&amp;sourceID=14","78900000")</f>
        <v>78900000</v>
      </c>
      <c r="G1275" s="4" t="str">
        <f>HYPERLINK("http://141.218.60.56/~jnz1568/getInfo.php?workbook=10_05.xlsx&amp;sheet=A0&amp;row=1275&amp;col=7&amp;number=0&amp;sourceID=14","0")</f>
        <v>0</v>
      </c>
    </row>
    <row r="1276" spans="1:7">
      <c r="A1276" s="3">
        <v>10</v>
      </c>
      <c r="B1276" s="3">
        <v>5</v>
      </c>
      <c r="C1276" s="3">
        <v>147</v>
      </c>
      <c r="D1276" s="3">
        <v>20</v>
      </c>
      <c r="E1276" s="3">
        <v>316.261</v>
      </c>
      <c r="F1276" s="4" t="str">
        <f>HYPERLINK("http://141.218.60.56/~jnz1568/getInfo.php?workbook=10_05.xlsx&amp;sheet=A0&amp;row=1276&amp;col=6&amp;number=9250000&amp;sourceID=14","9250000")</f>
        <v>9250000</v>
      </c>
      <c r="G1276" s="4" t="str">
        <f>HYPERLINK("http://141.218.60.56/~jnz1568/getInfo.php?workbook=10_05.xlsx&amp;sheet=A0&amp;row=1276&amp;col=7&amp;number=0&amp;sourceID=14","0")</f>
        <v>0</v>
      </c>
    </row>
    <row r="1277" spans="1:7">
      <c r="A1277" s="3">
        <v>10</v>
      </c>
      <c r="B1277" s="3">
        <v>5</v>
      </c>
      <c r="C1277" s="3">
        <v>148</v>
      </c>
      <c r="D1277" s="3">
        <v>20</v>
      </c>
      <c r="E1277" s="3">
        <v>316.161</v>
      </c>
      <c r="F1277" s="4" t="str">
        <f>HYPERLINK("http://141.218.60.56/~jnz1568/getInfo.php?workbook=10_05.xlsx&amp;sheet=A0&amp;row=1277&amp;col=6&amp;number=3100000&amp;sourceID=14","3100000")</f>
        <v>3100000</v>
      </c>
      <c r="G1277" s="4" t="str">
        <f>HYPERLINK("http://141.218.60.56/~jnz1568/getInfo.php?workbook=10_05.xlsx&amp;sheet=A0&amp;row=1277&amp;col=7&amp;number=0&amp;sourceID=14","0")</f>
        <v>0</v>
      </c>
    </row>
    <row r="1278" spans="1:7">
      <c r="A1278" s="3">
        <v>10</v>
      </c>
      <c r="B1278" s="3">
        <v>5</v>
      </c>
      <c r="C1278" s="3">
        <v>152</v>
      </c>
      <c r="D1278" s="3">
        <v>20</v>
      </c>
      <c r="E1278" s="3">
        <v>310.796</v>
      </c>
      <c r="F1278" s="4" t="str">
        <f>HYPERLINK("http://141.218.60.56/~jnz1568/getInfo.php?workbook=10_05.xlsx&amp;sheet=A0&amp;row=1278&amp;col=6&amp;number=13400000&amp;sourceID=14","13400000")</f>
        <v>13400000</v>
      </c>
      <c r="G1278" s="4" t="str">
        <f>HYPERLINK("http://141.218.60.56/~jnz1568/getInfo.php?workbook=10_05.xlsx&amp;sheet=A0&amp;row=1278&amp;col=7&amp;number=0&amp;sourceID=14","0")</f>
        <v>0</v>
      </c>
    </row>
    <row r="1279" spans="1:7">
      <c r="A1279" s="3">
        <v>10</v>
      </c>
      <c r="B1279" s="3">
        <v>5</v>
      </c>
      <c r="C1279" s="3">
        <v>153</v>
      </c>
      <c r="D1279" s="3">
        <v>20</v>
      </c>
      <c r="E1279" s="3">
        <v>310.025</v>
      </c>
      <c r="F1279" s="4" t="str">
        <f>HYPERLINK("http://141.218.60.56/~jnz1568/getInfo.php?workbook=10_05.xlsx&amp;sheet=A0&amp;row=1279&amp;col=6&amp;number=145000000&amp;sourceID=14","145000000")</f>
        <v>145000000</v>
      </c>
      <c r="G1279" s="4" t="str">
        <f>HYPERLINK("http://141.218.60.56/~jnz1568/getInfo.php?workbook=10_05.xlsx&amp;sheet=A0&amp;row=1279&amp;col=7&amp;number=0&amp;sourceID=14","0")</f>
        <v>0</v>
      </c>
    </row>
    <row r="1280" spans="1:7">
      <c r="A1280" s="3">
        <v>10</v>
      </c>
      <c r="B1280" s="3">
        <v>5</v>
      </c>
      <c r="C1280" s="3">
        <v>158</v>
      </c>
      <c r="D1280" s="3">
        <v>20</v>
      </c>
      <c r="E1280" s="3">
        <v>-308.299</v>
      </c>
      <c r="F1280" s="4" t="str">
        <f>HYPERLINK("http://141.218.60.56/~jnz1568/getInfo.php?workbook=10_05.xlsx&amp;sheet=A0&amp;row=1280&amp;col=6&amp;number=4090000&amp;sourceID=14","4090000")</f>
        <v>4090000</v>
      </c>
      <c r="G1280" s="4" t="str">
        <f>HYPERLINK("http://141.218.60.56/~jnz1568/getInfo.php?workbook=10_05.xlsx&amp;sheet=A0&amp;row=1280&amp;col=7&amp;number=0&amp;sourceID=14","0")</f>
        <v>0</v>
      </c>
    </row>
    <row r="1281" spans="1:7">
      <c r="A1281" s="3">
        <v>10</v>
      </c>
      <c r="B1281" s="3">
        <v>5</v>
      </c>
      <c r="C1281" s="3">
        <v>165</v>
      </c>
      <c r="D1281" s="3">
        <v>20</v>
      </c>
      <c r="E1281" s="3">
        <v>-269.505</v>
      </c>
      <c r="F1281" s="4" t="str">
        <f>HYPERLINK("http://141.218.60.56/~jnz1568/getInfo.php?workbook=10_05.xlsx&amp;sheet=A0&amp;row=1281&amp;col=6&amp;number=45900000&amp;sourceID=14","45900000")</f>
        <v>45900000</v>
      </c>
      <c r="G1281" s="4" t="str">
        <f>HYPERLINK("http://141.218.60.56/~jnz1568/getInfo.php?workbook=10_05.xlsx&amp;sheet=A0&amp;row=1281&amp;col=7&amp;number=0&amp;sourceID=14","0")</f>
        <v>0</v>
      </c>
    </row>
    <row r="1282" spans="1:7">
      <c r="A1282" s="3">
        <v>10</v>
      </c>
      <c r="B1282" s="3">
        <v>5</v>
      </c>
      <c r="C1282" s="3">
        <v>167</v>
      </c>
      <c r="D1282" s="3">
        <v>20</v>
      </c>
      <c r="E1282" s="3">
        <v>-251.147</v>
      </c>
      <c r="F1282" s="4" t="str">
        <f>HYPERLINK("http://141.218.60.56/~jnz1568/getInfo.php?workbook=10_05.xlsx&amp;sheet=A0&amp;row=1282&amp;col=6&amp;number=50200000&amp;sourceID=14","50200000")</f>
        <v>50200000</v>
      </c>
      <c r="G1282" s="4" t="str">
        <f>HYPERLINK("http://141.218.60.56/~jnz1568/getInfo.php?workbook=10_05.xlsx&amp;sheet=A0&amp;row=1282&amp;col=7&amp;number=0&amp;sourceID=14","0")</f>
        <v>0</v>
      </c>
    </row>
    <row r="1283" spans="1:7">
      <c r="A1283" s="3">
        <v>10</v>
      </c>
      <c r="B1283" s="3">
        <v>5</v>
      </c>
      <c r="C1283" s="3">
        <v>175</v>
      </c>
      <c r="D1283" s="3">
        <v>20</v>
      </c>
      <c r="E1283" s="3">
        <v>-232.749</v>
      </c>
      <c r="F1283" s="4" t="str">
        <f>HYPERLINK("http://141.218.60.56/~jnz1568/getInfo.php?workbook=10_05.xlsx&amp;sheet=A0&amp;row=1283&amp;col=6&amp;number=38000000&amp;sourceID=14","38000000")</f>
        <v>38000000</v>
      </c>
      <c r="G1283" s="4" t="str">
        <f>HYPERLINK("http://141.218.60.56/~jnz1568/getInfo.php?workbook=10_05.xlsx&amp;sheet=A0&amp;row=1283&amp;col=7&amp;number=0&amp;sourceID=14","0")</f>
        <v>0</v>
      </c>
    </row>
    <row r="1284" spans="1:7">
      <c r="A1284" s="3">
        <v>10</v>
      </c>
      <c r="B1284" s="3">
        <v>5</v>
      </c>
      <c r="C1284" s="3">
        <v>176</v>
      </c>
      <c r="D1284" s="3">
        <v>20</v>
      </c>
      <c r="E1284" s="3">
        <v>-232.748</v>
      </c>
      <c r="F1284" s="4" t="str">
        <f>HYPERLINK("http://141.218.60.56/~jnz1568/getInfo.php?workbook=10_05.xlsx&amp;sheet=A0&amp;row=1284&amp;col=6&amp;number=2620000&amp;sourceID=14","2620000")</f>
        <v>2620000</v>
      </c>
      <c r="G1284" s="4" t="str">
        <f>HYPERLINK("http://141.218.60.56/~jnz1568/getInfo.php?workbook=10_05.xlsx&amp;sheet=A0&amp;row=1284&amp;col=7&amp;number=0&amp;sourceID=14","0")</f>
        <v>0</v>
      </c>
    </row>
    <row r="1285" spans="1:7">
      <c r="A1285" s="3">
        <v>10</v>
      </c>
      <c r="B1285" s="3">
        <v>5</v>
      </c>
      <c r="C1285" s="3">
        <v>177</v>
      </c>
      <c r="D1285" s="3">
        <v>20</v>
      </c>
      <c r="E1285" s="3">
        <v>-232.266</v>
      </c>
      <c r="F1285" s="4" t="str">
        <f>HYPERLINK("http://141.218.60.56/~jnz1568/getInfo.php?workbook=10_05.xlsx&amp;sheet=A0&amp;row=1285&amp;col=6&amp;number=2610000&amp;sourceID=14","2610000")</f>
        <v>2610000</v>
      </c>
      <c r="G1285" s="4" t="str">
        <f>HYPERLINK("http://141.218.60.56/~jnz1568/getInfo.php?workbook=10_05.xlsx&amp;sheet=A0&amp;row=1285&amp;col=7&amp;number=0&amp;sourceID=14","0")</f>
        <v>0</v>
      </c>
    </row>
    <row r="1286" spans="1:7">
      <c r="A1286" s="3">
        <v>10</v>
      </c>
      <c r="B1286" s="3">
        <v>5</v>
      </c>
      <c r="C1286" s="3">
        <v>178</v>
      </c>
      <c r="D1286" s="3">
        <v>20</v>
      </c>
      <c r="E1286" s="3">
        <v>-232.243</v>
      </c>
      <c r="F1286" s="4" t="str">
        <f>HYPERLINK("http://141.218.60.56/~jnz1568/getInfo.php?workbook=10_05.xlsx&amp;sheet=A0&amp;row=1286&amp;col=6&amp;number=24300000&amp;sourceID=14","24300000")</f>
        <v>24300000</v>
      </c>
      <c r="G1286" s="4" t="str">
        <f>HYPERLINK("http://141.218.60.56/~jnz1568/getInfo.php?workbook=10_05.xlsx&amp;sheet=A0&amp;row=1286&amp;col=7&amp;number=0&amp;sourceID=14","0")</f>
        <v>0</v>
      </c>
    </row>
    <row r="1287" spans="1:7">
      <c r="A1287" s="3">
        <v>10</v>
      </c>
      <c r="B1287" s="3">
        <v>5</v>
      </c>
      <c r="C1287" s="3">
        <v>180</v>
      </c>
      <c r="D1287" s="3">
        <v>20</v>
      </c>
      <c r="E1287" s="3">
        <v>-230.058</v>
      </c>
      <c r="F1287" s="4" t="str">
        <f>HYPERLINK("http://141.218.60.56/~jnz1568/getInfo.php?workbook=10_05.xlsx&amp;sheet=A0&amp;row=1287&amp;col=6&amp;number=48800000&amp;sourceID=14","48800000")</f>
        <v>48800000</v>
      </c>
      <c r="G1287" s="4" t="str">
        <f>HYPERLINK("http://141.218.60.56/~jnz1568/getInfo.php?workbook=10_05.xlsx&amp;sheet=A0&amp;row=1287&amp;col=7&amp;number=0&amp;sourceID=14","0")</f>
        <v>0</v>
      </c>
    </row>
    <row r="1288" spans="1:7">
      <c r="A1288" s="3">
        <v>10</v>
      </c>
      <c r="B1288" s="3">
        <v>5</v>
      </c>
      <c r="C1288" s="3">
        <v>26</v>
      </c>
      <c r="D1288" s="3">
        <v>21</v>
      </c>
      <c r="E1288" s="3">
        <v>2346.321</v>
      </c>
      <c r="F1288" s="4" t="str">
        <f>HYPERLINK("http://141.218.60.56/~jnz1568/getInfo.php?workbook=10_05.xlsx&amp;sheet=A0&amp;row=1288&amp;col=6&amp;number=4630000&amp;sourceID=14","4630000")</f>
        <v>4630000</v>
      </c>
      <c r="G1288" s="4" t="str">
        <f>HYPERLINK("http://141.218.60.56/~jnz1568/getInfo.php?workbook=10_05.xlsx&amp;sheet=A0&amp;row=1288&amp;col=7&amp;number=0&amp;sourceID=14","0")</f>
        <v>0</v>
      </c>
    </row>
    <row r="1289" spans="1:7">
      <c r="A1289" s="3">
        <v>10</v>
      </c>
      <c r="B1289" s="3">
        <v>5</v>
      </c>
      <c r="C1289" s="3">
        <v>27</v>
      </c>
      <c r="D1289" s="3">
        <v>21</v>
      </c>
      <c r="E1289" s="3">
        <v>2320.728</v>
      </c>
      <c r="F1289" s="4" t="str">
        <f>HYPERLINK("http://141.218.60.56/~jnz1568/getInfo.php?workbook=10_05.xlsx&amp;sheet=A0&amp;row=1289&amp;col=6&amp;number=809000&amp;sourceID=14","809000")</f>
        <v>809000</v>
      </c>
      <c r="G1289" s="4" t="str">
        <f>HYPERLINK("http://141.218.60.56/~jnz1568/getInfo.php?workbook=10_05.xlsx&amp;sheet=A0&amp;row=1289&amp;col=7&amp;number=0&amp;sourceID=14","0")</f>
        <v>0</v>
      </c>
    </row>
    <row r="1290" spans="1:7">
      <c r="A1290" s="3">
        <v>10</v>
      </c>
      <c r="B1290" s="3">
        <v>5</v>
      </c>
      <c r="C1290" s="3">
        <v>28</v>
      </c>
      <c r="D1290" s="3">
        <v>21</v>
      </c>
      <c r="E1290" s="3">
        <v>-2258.411</v>
      </c>
      <c r="F1290" s="4" t="str">
        <f>HYPERLINK("http://141.218.60.56/~jnz1568/getInfo.php?workbook=10_05.xlsx&amp;sheet=A0&amp;row=1290&amp;col=6&amp;number=139000000&amp;sourceID=14","139000000")</f>
        <v>139000000</v>
      </c>
      <c r="G1290" s="4" t="str">
        <f>HYPERLINK("http://141.218.60.56/~jnz1568/getInfo.php?workbook=10_05.xlsx&amp;sheet=A0&amp;row=1290&amp;col=7&amp;number=0&amp;sourceID=14","0")</f>
        <v>0</v>
      </c>
    </row>
    <row r="1291" spans="1:7">
      <c r="A1291" s="3">
        <v>10</v>
      </c>
      <c r="B1291" s="3">
        <v>5</v>
      </c>
      <c r="C1291" s="3">
        <v>29</v>
      </c>
      <c r="D1291" s="3">
        <v>21</v>
      </c>
      <c r="E1291" s="3">
        <v>-2246.186</v>
      </c>
      <c r="F1291" s="4" t="str">
        <f>HYPERLINK("http://141.218.60.56/~jnz1568/getInfo.php?workbook=10_05.xlsx&amp;sheet=A0&amp;row=1291&amp;col=6&amp;number=73800000&amp;sourceID=14","73800000")</f>
        <v>73800000</v>
      </c>
      <c r="G1291" s="4" t="str">
        <f>HYPERLINK("http://141.218.60.56/~jnz1568/getInfo.php?workbook=10_05.xlsx&amp;sheet=A0&amp;row=1291&amp;col=7&amp;number=0&amp;sourceID=14","0")</f>
        <v>0</v>
      </c>
    </row>
    <row r="1292" spans="1:7">
      <c r="A1292" s="3">
        <v>10</v>
      </c>
      <c r="B1292" s="3">
        <v>5</v>
      </c>
      <c r="C1292" s="3">
        <v>32</v>
      </c>
      <c r="D1292" s="3">
        <v>21</v>
      </c>
      <c r="E1292" s="3">
        <v>-1882.427</v>
      </c>
      <c r="F1292" s="4" t="str">
        <f>HYPERLINK("http://141.218.60.56/~jnz1568/getInfo.php?workbook=10_05.xlsx&amp;sheet=A0&amp;row=1292&amp;col=6&amp;number=55600000&amp;sourceID=14","55600000")</f>
        <v>55600000</v>
      </c>
      <c r="G1292" s="4" t="str">
        <f>HYPERLINK("http://141.218.60.56/~jnz1568/getInfo.php?workbook=10_05.xlsx&amp;sheet=A0&amp;row=1292&amp;col=7&amp;number=0&amp;sourceID=14","0")</f>
        <v>0</v>
      </c>
    </row>
    <row r="1293" spans="1:7">
      <c r="A1293" s="3">
        <v>10</v>
      </c>
      <c r="B1293" s="3">
        <v>5</v>
      </c>
      <c r="C1293" s="3">
        <v>33</v>
      </c>
      <c r="D1293" s="3">
        <v>21</v>
      </c>
      <c r="E1293" s="3">
        <v>-1633.109</v>
      </c>
      <c r="F1293" s="4" t="str">
        <f>HYPERLINK("http://141.218.60.56/~jnz1568/getInfo.php?workbook=10_05.xlsx&amp;sheet=A0&amp;row=1293&amp;col=6&amp;number=80400000&amp;sourceID=14","80400000")</f>
        <v>80400000</v>
      </c>
      <c r="G1293" s="4" t="str">
        <f>HYPERLINK("http://141.218.60.56/~jnz1568/getInfo.php?workbook=10_05.xlsx&amp;sheet=A0&amp;row=1293&amp;col=7&amp;number=0&amp;sourceID=14","0")</f>
        <v>0</v>
      </c>
    </row>
    <row r="1294" spans="1:7">
      <c r="A1294" s="3">
        <v>10</v>
      </c>
      <c r="B1294" s="3">
        <v>5</v>
      </c>
      <c r="C1294" s="3">
        <v>34</v>
      </c>
      <c r="D1294" s="3">
        <v>21</v>
      </c>
      <c r="E1294" s="3">
        <v>-1625.253</v>
      </c>
      <c r="F1294" s="4" t="str">
        <f>HYPERLINK("http://141.218.60.56/~jnz1568/getInfo.php?workbook=10_05.xlsx&amp;sheet=A0&amp;row=1294&amp;col=6&amp;number=194000000&amp;sourceID=14","194000000")</f>
        <v>194000000</v>
      </c>
      <c r="G1294" s="4" t="str">
        <f>HYPERLINK("http://141.218.60.56/~jnz1568/getInfo.php?workbook=10_05.xlsx&amp;sheet=A0&amp;row=1294&amp;col=7&amp;number=0&amp;sourceID=14","0")</f>
        <v>0</v>
      </c>
    </row>
    <row r="1295" spans="1:7">
      <c r="A1295" s="3">
        <v>10</v>
      </c>
      <c r="B1295" s="3">
        <v>5</v>
      </c>
      <c r="C1295" s="3">
        <v>36</v>
      </c>
      <c r="D1295" s="3">
        <v>21</v>
      </c>
      <c r="E1295" s="3">
        <v>1503.084</v>
      </c>
      <c r="F1295" s="4" t="str">
        <f>HYPERLINK("http://141.218.60.56/~jnz1568/getInfo.php?workbook=10_05.xlsx&amp;sheet=A0&amp;row=1295&amp;col=6&amp;number=6290&amp;sourceID=14","6290")</f>
        <v>6290</v>
      </c>
      <c r="G1295" s="4" t="str">
        <f>HYPERLINK("http://141.218.60.56/~jnz1568/getInfo.php?workbook=10_05.xlsx&amp;sheet=A0&amp;row=1295&amp;col=7&amp;number=0&amp;sourceID=14","0")</f>
        <v>0</v>
      </c>
    </row>
    <row r="1296" spans="1:7">
      <c r="A1296" s="3">
        <v>10</v>
      </c>
      <c r="B1296" s="3">
        <v>5</v>
      </c>
      <c r="C1296" s="3">
        <v>40</v>
      </c>
      <c r="D1296" s="3">
        <v>21</v>
      </c>
      <c r="E1296" s="3">
        <v>1230.166</v>
      </c>
      <c r="F1296" s="4" t="str">
        <f>HYPERLINK("http://141.218.60.56/~jnz1568/getInfo.php?workbook=10_05.xlsx&amp;sheet=A0&amp;row=1296&amp;col=6&amp;number=1360&amp;sourceID=14","1360")</f>
        <v>1360</v>
      </c>
      <c r="G1296" s="4" t="str">
        <f>HYPERLINK("http://141.218.60.56/~jnz1568/getInfo.php?workbook=10_05.xlsx&amp;sheet=A0&amp;row=1296&amp;col=7&amp;number=0&amp;sourceID=14","0")</f>
        <v>0</v>
      </c>
    </row>
    <row r="1297" spans="1:7">
      <c r="A1297" s="3">
        <v>10</v>
      </c>
      <c r="B1297" s="3">
        <v>5</v>
      </c>
      <c r="C1297" s="3">
        <v>58</v>
      </c>
      <c r="D1297" s="3">
        <v>21</v>
      </c>
      <c r="E1297" s="3">
        <v>669.211</v>
      </c>
      <c r="F1297" s="4" t="str">
        <f>HYPERLINK("http://141.218.60.56/~jnz1568/getInfo.php?workbook=10_05.xlsx&amp;sheet=A0&amp;row=1297&amp;col=6&amp;number=11800&amp;sourceID=14","11800")</f>
        <v>11800</v>
      </c>
      <c r="G1297" s="4" t="str">
        <f>HYPERLINK("http://141.218.60.56/~jnz1568/getInfo.php?workbook=10_05.xlsx&amp;sheet=A0&amp;row=1297&amp;col=7&amp;number=0&amp;sourceID=14","0")</f>
        <v>0</v>
      </c>
    </row>
    <row r="1298" spans="1:7">
      <c r="A1298" s="3">
        <v>10</v>
      </c>
      <c r="B1298" s="3">
        <v>5</v>
      </c>
      <c r="C1298" s="3">
        <v>59</v>
      </c>
      <c r="D1298" s="3">
        <v>21</v>
      </c>
      <c r="E1298" s="3">
        <v>656.04</v>
      </c>
      <c r="F1298" s="4" t="str">
        <f>HYPERLINK("http://141.218.60.56/~jnz1568/getInfo.php?workbook=10_05.xlsx&amp;sheet=A0&amp;row=1298&amp;col=6&amp;number=5680&amp;sourceID=14","5680")</f>
        <v>5680</v>
      </c>
      <c r="G1298" s="4" t="str">
        <f>HYPERLINK("http://141.218.60.56/~jnz1568/getInfo.php?workbook=10_05.xlsx&amp;sheet=A0&amp;row=1298&amp;col=7&amp;number=0&amp;sourceID=14","0")</f>
        <v>0</v>
      </c>
    </row>
    <row r="1299" spans="1:7">
      <c r="A1299" s="3">
        <v>10</v>
      </c>
      <c r="B1299" s="3">
        <v>5</v>
      </c>
      <c r="C1299" s="3">
        <v>61</v>
      </c>
      <c r="D1299" s="3">
        <v>21</v>
      </c>
      <c r="E1299" s="3">
        <v>649.015</v>
      </c>
      <c r="F1299" s="4" t="str">
        <f>HYPERLINK("http://141.218.60.56/~jnz1568/getInfo.php?workbook=10_05.xlsx&amp;sheet=A0&amp;row=1299&amp;col=6&amp;number=727&amp;sourceID=14","727")</f>
        <v>727</v>
      </c>
      <c r="G1299" s="4" t="str">
        <f>HYPERLINK("http://141.218.60.56/~jnz1568/getInfo.php?workbook=10_05.xlsx&amp;sheet=A0&amp;row=1299&amp;col=7&amp;number=0&amp;sourceID=14","0")</f>
        <v>0</v>
      </c>
    </row>
    <row r="1300" spans="1:7">
      <c r="A1300" s="3">
        <v>10</v>
      </c>
      <c r="B1300" s="3">
        <v>5</v>
      </c>
      <c r="C1300" s="3">
        <v>62</v>
      </c>
      <c r="D1300" s="3">
        <v>21</v>
      </c>
      <c r="E1300" s="3">
        <v>647.753</v>
      </c>
      <c r="F1300" s="4" t="str">
        <f>HYPERLINK("http://141.218.60.56/~jnz1568/getInfo.php?workbook=10_05.xlsx&amp;sheet=A0&amp;row=1300&amp;col=6&amp;number=20200&amp;sourceID=14","20200")</f>
        <v>20200</v>
      </c>
      <c r="G1300" s="4" t="str">
        <f>HYPERLINK("http://141.218.60.56/~jnz1568/getInfo.php?workbook=10_05.xlsx&amp;sheet=A0&amp;row=1300&amp;col=7&amp;number=0&amp;sourceID=14","0")</f>
        <v>0</v>
      </c>
    </row>
    <row r="1301" spans="1:7">
      <c r="A1301" s="3">
        <v>10</v>
      </c>
      <c r="B1301" s="3">
        <v>5</v>
      </c>
      <c r="C1301" s="3">
        <v>63</v>
      </c>
      <c r="D1301" s="3">
        <v>21</v>
      </c>
      <c r="E1301" s="3">
        <v>623.326</v>
      </c>
      <c r="F1301" s="4" t="str">
        <f>HYPERLINK("http://141.218.60.56/~jnz1568/getInfo.php?workbook=10_05.xlsx&amp;sheet=A0&amp;row=1301&amp;col=6&amp;number=51500&amp;sourceID=14","51500")</f>
        <v>51500</v>
      </c>
      <c r="G1301" s="4" t="str">
        <f>HYPERLINK("http://141.218.60.56/~jnz1568/getInfo.php?workbook=10_05.xlsx&amp;sheet=A0&amp;row=1301&amp;col=7&amp;number=0&amp;sourceID=14","0")</f>
        <v>0</v>
      </c>
    </row>
    <row r="1302" spans="1:7">
      <c r="A1302" s="3">
        <v>10</v>
      </c>
      <c r="B1302" s="3">
        <v>5</v>
      </c>
      <c r="C1302" s="3">
        <v>66</v>
      </c>
      <c r="D1302" s="3">
        <v>21</v>
      </c>
      <c r="E1302" s="3">
        <v>539.143</v>
      </c>
      <c r="F1302" s="4" t="str">
        <f>HYPERLINK("http://141.218.60.56/~jnz1568/getInfo.php?workbook=10_05.xlsx&amp;sheet=A0&amp;row=1302&amp;col=6&amp;number=66100&amp;sourceID=14","66100")</f>
        <v>66100</v>
      </c>
      <c r="G1302" s="4" t="str">
        <f>HYPERLINK("http://141.218.60.56/~jnz1568/getInfo.php?workbook=10_05.xlsx&amp;sheet=A0&amp;row=1302&amp;col=7&amp;number=0&amp;sourceID=14","0")</f>
        <v>0</v>
      </c>
    </row>
    <row r="1303" spans="1:7">
      <c r="A1303" s="3">
        <v>10</v>
      </c>
      <c r="B1303" s="3">
        <v>5</v>
      </c>
      <c r="C1303" s="3">
        <v>70</v>
      </c>
      <c r="D1303" s="3">
        <v>21</v>
      </c>
      <c r="E1303" s="3">
        <v>527.26</v>
      </c>
      <c r="F1303" s="4" t="str">
        <f>HYPERLINK("http://141.218.60.56/~jnz1568/getInfo.php?workbook=10_05.xlsx&amp;sheet=A0&amp;row=1303&amp;col=6&amp;number=637000000&amp;sourceID=14","637000000")</f>
        <v>637000000</v>
      </c>
      <c r="G1303" s="4" t="str">
        <f>HYPERLINK("http://141.218.60.56/~jnz1568/getInfo.php?workbook=10_05.xlsx&amp;sheet=A0&amp;row=1303&amp;col=7&amp;number=0&amp;sourceID=14","0")</f>
        <v>0</v>
      </c>
    </row>
    <row r="1304" spans="1:7">
      <c r="A1304" s="3">
        <v>10</v>
      </c>
      <c r="B1304" s="3">
        <v>5</v>
      </c>
      <c r="C1304" s="3">
        <v>71</v>
      </c>
      <c r="D1304" s="3">
        <v>21</v>
      </c>
      <c r="E1304" s="3">
        <v>527.26</v>
      </c>
      <c r="F1304" s="4" t="str">
        <f>HYPERLINK("http://141.218.60.56/~jnz1568/getInfo.php?workbook=10_05.xlsx&amp;sheet=A0&amp;row=1304&amp;col=6&amp;number=1600000000&amp;sourceID=14","1600000000")</f>
        <v>1600000000</v>
      </c>
      <c r="G1304" s="4" t="str">
        <f>HYPERLINK("http://141.218.60.56/~jnz1568/getInfo.php?workbook=10_05.xlsx&amp;sheet=A0&amp;row=1304&amp;col=7&amp;number=0&amp;sourceID=14","0")</f>
        <v>0</v>
      </c>
    </row>
    <row r="1305" spans="1:7">
      <c r="A1305" s="3">
        <v>10</v>
      </c>
      <c r="B1305" s="3">
        <v>5</v>
      </c>
      <c r="C1305" s="3">
        <v>77</v>
      </c>
      <c r="D1305" s="3">
        <v>21</v>
      </c>
      <c r="E1305" s="3">
        <v>-467.326</v>
      </c>
      <c r="F1305" s="4" t="str">
        <f>HYPERLINK("http://141.218.60.56/~jnz1568/getInfo.php?workbook=10_05.xlsx&amp;sheet=A0&amp;row=1305&amp;col=6&amp;number=751000&amp;sourceID=14","751000")</f>
        <v>751000</v>
      </c>
      <c r="G1305" s="4" t="str">
        <f>HYPERLINK("http://141.218.60.56/~jnz1568/getInfo.php?workbook=10_05.xlsx&amp;sheet=A0&amp;row=1305&amp;col=7&amp;number=0&amp;sourceID=14","0")</f>
        <v>0</v>
      </c>
    </row>
    <row r="1306" spans="1:7">
      <c r="A1306" s="3">
        <v>10</v>
      </c>
      <c r="B1306" s="3">
        <v>5</v>
      </c>
      <c r="C1306" s="3">
        <v>78</v>
      </c>
      <c r="D1306" s="3">
        <v>21</v>
      </c>
      <c r="E1306" s="3">
        <v>-465.518</v>
      </c>
      <c r="F1306" s="4" t="str">
        <f>HYPERLINK("http://141.218.60.56/~jnz1568/getInfo.php?workbook=10_05.xlsx&amp;sheet=A0&amp;row=1306&amp;col=6&amp;number=87800&amp;sourceID=14","87800")</f>
        <v>87800</v>
      </c>
      <c r="G1306" s="4" t="str">
        <f>HYPERLINK("http://141.218.60.56/~jnz1568/getInfo.php?workbook=10_05.xlsx&amp;sheet=A0&amp;row=1306&amp;col=7&amp;number=0&amp;sourceID=14","0")</f>
        <v>0</v>
      </c>
    </row>
    <row r="1307" spans="1:7">
      <c r="A1307" s="3">
        <v>10</v>
      </c>
      <c r="B1307" s="3">
        <v>5</v>
      </c>
      <c r="C1307" s="3">
        <v>80</v>
      </c>
      <c r="D1307" s="3">
        <v>21</v>
      </c>
      <c r="E1307" s="3">
        <v>449.116</v>
      </c>
      <c r="F1307" s="4" t="str">
        <f>HYPERLINK("http://141.218.60.56/~jnz1568/getInfo.php?workbook=10_05.xlsx&amp;sheet=A0&amp;row=1307&amp;col=6&amp;number=18100&amp;sourceID=14","18100")</f>
        <v>18100</v>
      </c>
      <c r="G1307" s="4" t="str">
        <f>HYPERLINK("http://141.218.60.56/~jnz1568/getInfo.php?workbook=10_05.xlsx&amp;sheet=A0&amp;row=1307&amp;col=7&amp;number=0&amp;sourceID=14","0")</f>
        <v>0</v>
      </c>
    </row>
    <row r="1308" spans="1:7">
      <c r="A1308" s="3">
        <v>10</v>
      </c>
      <c r="B1308" s="3">
        <v>5</v>
      </c>
      <c r="C1308" s="3">
        <v>99</v>
      </c>
      <c r="D1308" s="3">
        <v>21</v>
      </c>
      <c r="E1308" s="3">
        <v>-375.959</v>
      </c>
      <c r="F1308" s="4" t="str">
        <f>HYPERLINK("http://141.218.60.56/~jnz1568/getInfo.php?workbook=10_05.xlsx&amp;sheet=A0&amp;row=1308&amp;col=6&amp;number=263000&amp;sourceID=14","263000")</f>
        <v>263000</v>
      </c>
      <c r="G1308" s="4" t="str">
        <f>HYPERLINK("http://141.218.60.56/~jnz1568/getInfo.php?workbook=10_05.xlsx&amp;sheet=A0&amp;row=1308&amp;col=7&amp;number=0&amp;sourceID=14","0")</f>
        <v>0</v>
      </c>
    </row>
    <row r="1309" spans="1:7">
      <c r="A1309" s="3">
        <v>10</v>
      </c>
      <c r="B1309" s="3">
        <v>5</v>
      </c>
      <c r="C1309" s="3">
        <v>105</v>
      </c>
      <c r="D1309" s="3">
        <v>21</v>
      </c>
      <c r="E1309" s="3">
        <v>-367.694</v>
      </c>
      <c r="F1309" s="4" t="str">
        <f>HYPERLINK("http://141.218.60.56/~jnz1568/getInfo.php?workbook=10_05.xlsx&amp;sheet=A0&amp;row=1309&amp;col=6&amp;number=767000000&amp;sourceID=14","767000000")</f>
        <v>767000000</v>
      </c>
      <c r="G1309" s="4" t="str">
        <f>HYPERLINK("http://141.218.60.56/~jnz1568/getInfo.php?workbook=10_05.xlsx&amp;sheet=A0&amp;row=1309&amp;col=7&amp;number=0&amp;sourceID=14","0")</f>
        <v>0</v>
      </c>
    </row>
    <row r="1310" spans="1:7">
      <c r="A1310" s="3">
        <v>10</v>
      </c>
      <c r="B1310" s="3">
        <v>5</v>
      </c>
      <c r="C1310" s="3">
        <v>106</v>
      </c>
      <c r="D1310" s="3">
        <v>21</v>
      </c>
      <c r="E1310" s="3">
        <v>-367.525</v>
      </c>
      <c r="F1310" s="4" t="str">
        <f>HYPERLINK("http://141.218.60.56/~jnz1568/getInfo.php?workbook=10_05.xlsx&amp;sheet=A0&amp;row=1310&amp;col=6&amp;number=380000000&amp;sourceID=14","380000000")</f>
        <v>380000000</v>
      </c>
      <c r="G1310" s="4" t="str">
        <f>HYPERLINK("http://141.218.60.56/~jnz1568/getInfo.php?workbook=10_05.xlsx&amp;sheet=A0&amp;row=1310&amp;col=7&amp;number=0&amp;sourceID=14","0")</f>
        <v>0</v>
      </c>
    </row>
    <row r="1311" spans="1:7">
      <c r="A1311" s="3">
        <v>10</v>
      </c>
      <c r="B1311" s="3">
        <v>5</v>
      </c>
      <c r="C1311" s="3">
        <v>109</v>
      </c>
      <c r="D1311" s="3">
        <v>21</v>
      </c>
      <c r="E1311" s="3">
        <v>-366.203</v>
      </c>
      <c r="F1311" s="4" t="str">
        <f>HYPERLINK("http://141.218.60.56/~jnz1568/getInfo.php?workbook=10_05.xlsx&amp;sheet=A0&amp;row=1311&amp;col=6&amp;number=39100000&amp;sourceID=14","39100000")</f>
        <v>39100000</v>
      </c>
      <c r="G1311" s="4" t="str">
        <f>HYPERLINK("http://141.218.60.56/~jnz1568/getInfo.php?workbook=10_05.xlsx&amp;sheet=A0&amp;row=1311&amp;col=7&amp;number=0&amp;sourceID=14","0")</f>
        <v>0</v>
      </c>
    </row>
    <row r="1312" spans="1:7">
      <c r="A1312" s="3">
        <v>10</v>
      </c>
      <c r="B1312" s="3">
        <v>5</v>
      </c>
      <c r="C1312" s="3">
        <v>111</v>
      </c>
      <c r="D1312" s="3">
        <v>21</v>
      </c>
      <c r="E1312" s="3">
        <v>-365.403</v>
      </c>
      <c r="F1312" s="4" t="str">
        <f>HYPERLINK("http://141.218.60.56/~jnz1568/getInfo.php?workbook=10_05.xlsx&amp;sheet=A0&amp;row=1312&amp;col=6&amp;number=45000000&amp;sourceID=14","45000000")</f>
        <v>45000000</v>
      </c>
      <c r="G1312" s="4" t="str">
        <f>HYPERLINK("http://141.218.60.56/~jnz1568/getInfo.php?workbook=10_05.xlsx&amp;sheet=A0&amp;row=1312&amp;col=7&amp;number=0&amp;sourceID=14","0")</f>
        <v>0</v>
      </c>
    </row>
    <row r="1313" spans="1:7">
      <c r="A1313" s="3">
        <v>10</v>
      </c>
      <c r="B1313" s="3">
        <v>5</v>
      </c>
      <c r="C1313" s="3">
        <v>118</v>
      </c>
      <c r="D1313" s="3">
        <v>21</v>
      </c>
      <c r="E1313" s="3">
        <v>-354.928</v>
      </c>
      <c r="F1313" s="4" t="str">
        <f>HYPERLINK("http://141.218.60.56/~jnz1568/getInfo.php?workbook=10_05.xlsx&amp;sheet=A0&amp;row=1313&amp;col=6&amp;number=426000000&amp;sourceID=14","426000000")</f>
        <v>426000000</v>
      </c>
      <c r="G1313" s="4" t="str">
        <f>HYPERLINK("http://141.218.60.56/~jnz1568/getInfo.php?workbook=10_05.xlsx&amp;sheet=A0&amp;row=1313&amp;col=7&amp;number=0&amp;sourceID=14","0")</f>
        <v>0</v>
      </c>
    </row>
    <row r="1314" spans="1:7">
      <c r="A1314" s="3">
        <v>10</v>
      </c>
      <c r="B1314" s="3">
        <v>5</v>
      </c>
      <c r="C1314" s="3">
        <v>119</v>
      </c>
      <c r="D1314" s="3">
        <v>21</v>
      </c>
      <c r="E1314" s="3">
        <v>-354.865</v>
      </c>
      <c r="F1314" s="4" t="str">
        <f>HYPERLINK("http://141.218.60.56/~jnz1568/getInfo.php?workbook=10_05.xlsx&amp;sheet=A0&amp;row=1314&amp;col=6&amp;number=156000000&amp;sourceID=14","156000000")</f>
        <v>156000000</v>
      </c>
      <c r="G1314" s="4" t="str">
        <f>HYPERLINK("http://141.218.60.56/~jnz1568/getInfo.php?workbook=10_05.xlsx&amp;sheet=A0&amp;row=1314&amp;col=7&amp;number=0&amp;sourceID=14","0")</f>
        <v>0</v>
      </c>
    </row>
    <row r="1315" spans="1:7">
      <c r="A1315" s="3">
        <v>10</v>
      </c>
      <c r="B1315" s="3">
        <v>5</v>
      </c>
      <c r="C1315" s="3">
        <v>120</v>
      </c>
      <c r="D1315" s="3">
        <v>21</v>
      </c>
      <c r="E1315" s="3">
        <v>-350.928</v>
      </c>
      <c r="F1315" s="4" t="str">
        <f>HYPERLINK("http://141.218.60.56/~jnz1568/getInfo.php?workbook=10_05.xlsx&amp;sheet=A0&amp;row=1315&amp;col=6&amp;number=2170000000&amp;sourceID=14","2170000000")</f>
        <v>2170000000</v>
      </c>
      <c r="G1315" s="4" t="str">
        <f>HYPERLINK("http://141.218.60.56/~jnz1568/getInfo.php?workbook=10_05.xlsx&amp;sheet=A0&amp;row=1315&amp;col=7&amp;number=0&amp;sourceID=14","0")</f>
        <v>0</v>
      </c>
    </row>
    <row r="1316" spans="1:7">
      <c r="A1316" s="3">
        <v>10</v>
      </c>
      <c r="B1316" s="3">
        <v>5</v>
      </c>
      <c r="C1316" s="3">
        <v>121</v>
      </c>
      <c r="D1316" s="3">
        <v>21</v>
      </c>
      <c r="E1316" s="3">
        <v>-350.653</v>
      </c>
      <c r="F1316" s="4" t="str">
        <f>HYPERLINK("http://141.218.60.56/~jnz1568/getInfo.php?workbook=10_05.xlsx&amp;sheet=A0&amp;row=1316&amp;col=6&amp;number=1150000000&amp;sourceID=14","1150000000")</f>
        <v>1150000000</v>
      </c>
      <c r="G1316" s="4" t="str">
        <f>HYPERLINK("http://141.218.60.56/~jnz1568/getInfo.php?workbook=10_05.xlsx&amp;sheet=A0&amp;row=1316&amp;col=7&amp;number=0&amp;sourceID=14","0")</f>
        <v>0</v>
      </c>
    </row>
    <row r="1317" spans="1:7">
      <c r="A1317" s="3">
        <v>10</v>
      </c>
      <c r="B1317" s="3">
        <v>5</v>
      </c>
      <c r="C1317" s="3">
        <v>123</v>
      </c>
      <c r="D1317" s="3">
        <v>21</v>
      </c>
      <c r="E1317" s="3">
        <v>-349.838</v>
      </c>
      <c r="F1317" s="4" t="str">
        <f>HYPERLINK("http://141.218.60.56/~jnz1568/getInfo.php?workbook=10_05.xlsx&amp;sheet=A0&amp;row=1317&amp;col=6&amp;number=516000000&amp;sourceID=14","516000000")</f>
        <v>516000000</v>
      </c>
      <c r="G1317" s="4" t="str">
        <f>HYPERLINK("http://141.218.60.56/~jnz1568/getInfo.php?workbook=10_05.xlsx&amp;sheet=A0&amp;row=1317&amp;col=7&amp;number=0&amp;sourceID=14","0")</f>
        <v>0</v>
      </c>
    </row>
    <row r="1318" spans="1:7">
      <c r="A1318" s="3">
        <v>10</v>
      </c>
      <c r="B1318" s="3">
        <v>5</v>
      </c>
      <c r="C1318" s="3">
        <v>125</v>
      </c>
      <c r="D1318" s="3">
        <v>21</v>
      </c>
      <c r="E1318" s="3">
        <v>-348.456</v>
      </c>
      <c r="F1318" s="4" t="str">
        <f>HYPERLINK("http://141.218.60.56/~jnz1568/getInfo.php?workbook=10_05.xlsx&amp;sheet=A0&amp;row=1318&amp;col=6&amp;number=49400000&amp;sourceID=14","49400000")</f>
        <v>49400000</v>
      </c>
      <c r="G1318" s="4" t="str">
        <f>HYPERLINK("http://141.218.60.56/~jnz1568/getInfo.php?workbook=10_05.xlsx&amp;sheet=A0&amp;row=1318&amp;col=7&amp;number=0&amp;sourceID=14","0")</f>
        <v>0</v>
      </c>
    </row>
    <row r="1319" spans="1:7">
      <c r="A1319" s="3">
        <v>10</v>
      </c>
      <c r="B1319" s="3">
        <v>5</v>
      </c>
      <c r="C1319" s="3">
        <v>126</v>
      </c>
      <c r="D1319" s="3">
        <v>21</v>
      </c>
      <c r="E1319" s="3">
        <v>-348.122</v>
      </c>
      <c r="F1319" s="4" t="str">
        <f>HYPERLINK("http://141.218.60.56/~jnz1568/getInfo.php?workbook=10_05.xlsx&amp;sheet=A0&amp;row=1319&amp;col=6&amp;number=51500&amp;sourceID=14","51500")</f>
        <v>51500</v>
      </c>
      <c r="G1319" s="4" t="str">
        <f>HYPERLINK("http://141.218.60.56/~jnz1568/getInfo.php?workbook=10_05.xlsx&amp;sheet=A0&amp;row=1319&amp;col=7&amp;number=0&amp;sourceID=14","0")</f>
        <v>0</v>
      </c>
    </row>
    <row r="1320" spans="1:7">
      <c r="A1320" s="3">
        <v>10</v>
      </c>
      <c r="B1320" s="3">
        <v>5</v>
      </c>
      <c r="C1320" s="3">
        <v>129</v>
      </c>
      <c r="D1320" s="3">
        <v>21</v>
      </c>
      <c r="E1320" s="3">
        <v>344.745</v>
      </c>
      <c r="F1320" s="4" t="str">
        <f>HYPERLINK("http://141.218.60.56/~jnz1568/getInfo.php?workbook=10_05.xlsx&amp;sheet=A0&amp;row=1320&amp;col=6&amp;number=6110&amp;sourceID=14","6110")</f>
        <v>6110</v>
      </c>
      <c r="G1320" s="4" t="str">
        <f>HYPERLINK("http://141.218.60.56/~jnz1568/getInfo.php?workbook=10_05.xlsx&amp;sheet=A0&amp;row=1320&amp;col=7&amp;number=0&amp;sourceID=14","0")</f>
        <v>0</v>
      </c>
    </row>
    <row r="1321" spans="1:7">
      <c r="A1321" s="3">
        <v>10</v>
      </c>
      <c r="B1321" s="3">
        <v>5</v>
      </c>
      <c r="C1321" s="3">
        <v>131</v>
      </c>
      <c r="D1321" s="3">
        <v>21</v>
      </c>
      <c r="E1321" s="3">
        <v>-344.101</v>
      </c>
      <c r="F1321" s="4" t="str">
        <f>HYPERLINK("http://141.218.60.56/~jnz1568/getInfo.php?workbook=10_05.xlsx&amp;sheet=A0&amp;row=1321&amp;col=6&amp;number=203000000&amp;sourceID=14","203000000")</f>
        <v>203000000</v>
      </c>
      <c r="G1321" s="4" t="str">
        <f>HYPERLINK("http://141.218.60.56/~jnz1568/getInfo.php?workbook=10_05.xlsx&amp;sheet=A0&amp;row=1321&amp;col=7&amp;number=0&amp;sourceID=14","0")</f>
        <v>0</v>
      </c>
    </row>
    <row r="1322" spans="1:7">
      <c r="A1322" s="3">
        <v>10</v>
      </c>
      <c r="B1322" s="3">
        <v>5</v>
      </c>
      <c r="C1322" s="3">
        <v>132</v>
      </c>
      <c r="D1322" s="3">
        <v>21</v>
      </c>
      <c r="E1322" s="3">
        <v>-343.927</v>
      </c>
      <c r="F1322" s="4" t="str">
        <f>HYPERLINK("http://141.218.60.56/~jnz1568/getInfo.php?workbook=10_05.xlsx&amp;sheet=A0&amp;row=1322&amp;col=6&amp;number=475000000&amp;sourceID=14","475000000")</f>
        <v>475000000</v>
      </c>
      <c r="G1322" s="4" t="str">
        <f>HYPERLINK("http://141.218.60.56/~jnz1568/getInfo.php?workbook=10_05.xlsx&amp;sheet=A0&amp;row=1322&amp;col=7&amp;number=0&amp;sourceID=14","0")</f>
        <v>0</v>
      </c>
    </row>
    <row r="1323" spans="1:7">
      <c r="A1323" s="3">
        <v>10</v>
      </c>
      <c r="B1323" s="3">
        <v>5</v>
      </c>
      <c r="C1323" s="3">
        <v>140</v>
      </c>
      <c r="D1323" s="3">
        <v>21</v>
      </c>
      <c r="E1323" s="3">
        <v>-338.06</v>
      </c>
      <c r="F1323" s="4" t="str">
        <f>HYPERLINK("http://141.218.60.56/~jnz1568/getInfo.php?workbook=10_05.xlsx&amp;sheet=A0&amp;row=1323&amp;col=6&amp;number=230000&amp;sourceID=14","230000")</f>
        <v>230000</v>
      </c>
      <c r="G1323" s="4" t="str">
        <f>HYPERLINK("http://141.218.60.56/~jnz1568/getInfo.php?workbook=10_05.xlsx&amp;sheet=A0&amp;row=1323&amp;col=7&amp;number=0&amp;sourceID=14","0")</f>
        <v>0</v>
      </c>
    </row>
    <row r="1324" spans="1:7">
      <c r="A1324" s="3">
        <v>10</v>
      </c>
      <c r="B1324" s="3">
        <v>5</v>
      </c>
      <c r="C1324" s="3">
        <v>150</v>
      </c>
      <c r="D1324" s="3">
        <v>21</v>
      </c>
      <c r="E1324" s="3">
        <v>-330.314</v>
      </c>
      <c r="F1324" s="4" t="str">
        <f>HYPERLINK("http://141.218.60.56/~jnz1568/getInfo.php?workbook=10_05.xlsx&amp;sheet=A0&amp;row=1324&amp;col=6&amp;number=1910&amp;sourceID=14","1910")</f>
        <v>1910</v>
      </c>
      <c r="G1324" s="4" t="str">
        <f>HYPERLINK("http://141.218.60.56/~jnz1568/getInfo.php?workbook=10_05.xlsx&amp;sheet=A0&amp;row=1324&amp;col=7&amp;number=0&amp;sourceID=14","0")</f>
        <v>0</v>
      </c>
    </row>
    <row r="1325" spans="1:7">
      <c r="A1325" s="3">
        <v>10</v>
      </c>
      <c r="B1325" s="3">
        <v>5</v>
      </c>
      <c r="C1325" s="3">
        <v>156</v>
      </c>
      <c r="D1325" s="3">
        <v>21</v>
      </c>
      <c r="E1325" s="3">
        <v>-325.879</v>
      </c>
      <c r="F1325" s="4" t="str">
        <f>HYPERLINK("http://141.218.60.56/~jnz1568/getInfo.php?workbook=10_05.xlsx&amp;sheet=A0&amp;row=1325&amp;col=6&amp;number=46&amp;sourceID=14","46")</f>
        <v>46</v>
      </c>
      <c r="G1325" s="4" t="str">
        <f>HYPERLINK("http://141.218.60.56/~jnz1568/getInfo.php?workbook=10_05.xlsx&amp;sheet=A0&amp;row=1325&amp;col=7&amp;number=0&amp;sourceID=14","0")</f>
        <v>0</v>
      </c>
    </row>
    <row r="1326" spans="1:7">
      <c r="A1326" s="3">
        <v>10</v>
      </c>
      <c r="B1326" s="3">
        <v>5</v>
      </c>
      <c r="C1326" s="3">
        <v>160</v>
      </c>
      <c r="D1326" s="3">
        <v>21</v>
      </c>
      <c r="E1326" s="3">
        <v>-324.352</v>
      </c>
      <c r="F1326" s="4" t="str">
        <f>HYPERLINK("http://141.218.60.56/~jnz1568/getInfo.php?workbook=10_05.xlsx&amp;sheet=A0&amp;row=1326&amp;col=6&amp;number=37200&amp;sourceID=14","37200")</f>
        <v>37200</v>
      </c>
      <c r="G1326" s="4" t="str">
        <f>HYPERLINK("http://141.218.60.56/~jnz1568/getInfo.php?workbook=10_05.xlsx&amp;sheet=A0&amp;row=1326&amp;col=7&amp;number=0&amp;sourceID=14","0")</f>
        <v>0</v>
      </c>
    </row>
    <row r="1327" spans="1:7">
      <c r="A1327" s="3">
        <v>10</v>
      </c>
      <c r="B1327" s="3">
        <v>5</v>
      </c>
      <c r="C1327" s="3">
        <v>161</v>
      </c>
      <c r="D1327" s="3">
        <v>21</v>
      </c>
      <c r="E1327" s="3">
        <v>324.013</v>
      </c>
      <c r="F1327" s="4" t="str">
        <f>HYPERLINK("http://141.218.60.56/~jnz1568/getInfo.php?workbook=10_05.xlsx&amp;sheet=A0&amp;row=1327&amp;col=6&amp;number=127&amp;sourceID=14","127")</f>
        <v>127</v>
      </c>
      <c r="G1327" s="4" t="str">
        <f>HYPERLINK("http://141.218.60.56/~jnz1568/getInfo.php?workbook=10_05.xlsx&amp;sheet=A0&amp;row=1327&amp;col=7&amp;number=0&amp;sourceID=14","0")</f>
        <v>0</v>
      </c>
    </row>
    <row r="1328" spans="1:7">
      <c r="A1328" s="3">
        <v>10</v>
      </c>
      <c r="B1328" s="3">
        <v>5</v>
      </c>
      <c r="C1328" s="3">
        <v>162</v>
      </c>
      <c r="D1328" s="3">
        <v>21</v>
      </c>
      <c r="E1328" s="3">
        <v>323.699</v>
      </c>
      <c r="F1328" s="4" t="str">
        <f>HYPERLINK("http://141.218.60.56/~jnz1568/getInfo.php?workbook=10_05.xlsx&amp;sheet=A0&amp;row=1328&amp;col=6&amp;number=606&amp;sourceID=14","606")</f>
        <v>606</v>
      </c>
      <c r="G1328" s="4" t="str">
        <f>HYPERLINK("http://141.218.60.56/~jnz1568/getInfo.php?workbook=10_05.xlsx&amp;sheet=A0&amp;row=1328&amp;col=7&amp;number=0&amp;sourceID=14","0")</f>
        <v>0</v>
      </c>
    </row>
    <row r="1329" spans="1:7">
      <c r="A1329" s="3">
        <v>10</v>
      </c>
      <c r="B1329" s="3">
        <v>5</v>
      </c>
      <c r="C1329" s="3">
        <v>163</v>
      </c>
      <c r="D1329" s="3">
        <v>21</v>
      </c>
      <c r="E1329" s="3">
        <v>-310.103</v>
      </c>
      <c r="F1329" s="4" t="str">
        <f>HYPERLINK("http://141.218.60.56/~jnz1568/getInfo.php?workbook=10_05.xlsx&amp;sheet=A0&amp;row=1329&amp;col=6&amp;number=318&amp;sourceID=14","318")</f>
        <v>318</v>
      </c>
      <c r="G1329" s="4" t="str">
        <f>HYPERLINK("http://141.218.60.56/~jnz1568/getInfo.php?workbook=10_05.xlsx&amp;sheet=A0&amp;row=1329&amp;col=7&amp;number=0&amp;sourceID=14","0")</f>
        <v>0</v>
      </c>
    </row>
    <row r="1330" spans="1:7">
      <c r="A1330" s="3">
        <v>10</v>
      </c>
      <c r="B1330" s="3">
        <v>5</v>
      </c>
      <c r="C1330" s="3">
        <v>169</v>
      </c>
      <c r="D1330" s="3">
        <v>21</v>
      </c>
      <c r="E1330" s="3">
        <v>-256.944</v>
      </c>
      <c r="F1330" s="4" t="str">
        <f>HYPERLINK("http://141.218.60.56/~jnz1568/getInfo.php?workbook=10_05.xlsx&amp;sheet=A0&amp;row=1330&amp;col=6&amp;number=65.7&amp;sourceID=14","65.7")</f>
        <v>65.7</v>
      </c>
      <c r="G1330" s="4" t="str">
        <f>HYPERLINK("http://141.218.60.56/~jnz1568/getInfo.php?workbook=10_05.xlsx&amp;sheet=A0&amp;row=1330&amp;col=7&amp;number=0&amp;sourceID=14","0")</f>
        <v>0</v>
      </c>
    </row>
    <row r="1331" spans="1:7">
      <c r="A1331" s="3">
        <v>10</v>
      </c>
      <c r="B1331" s="3">
        <v>5</v>
      </c>
      <c r="C1331" s="3">
        <v>170</v>
      </c>
      <c r="D1331" s="3">
        <v>21</v>
      </c>
      <c r="E1331" s="3">
        <v>-250.902</v>
      </c>
      <c r="F1331" s="4" t="str">
        <f>HYPERLINK("http://141.218.60.56/~jnz1568/getInfo.php?workbook=10_05.xlsx&amp;sheet=A0&amp;row=1331&amp;col=6&amp;number=8.59&amp;sourceID=14","8.59")</f>
        <v>8.59</v>
      </c>
      <c r="G1331" s="4" t="str">
        <f>HYPERLINK("http://141.218.60.56/~jnz1568/getInfo.php?workbook=10_05.xlsx&amp;sheet=A0&amp;row=1331&amp;col=7&amp;number=0&amp;sourceID=14","0")</f>
        <v>0</v>
      </c>
    </row>
    <row r="1332" spans="1:7">
      <c r="A1332" s="3">
        <v>10</v>
      </c>
      <c r="B1332" s="3">
        <v>5</v>
      </c>
      <c r="C1332" s="3">
        <v>171</v>
      </c>
      <c r="D1332" s="3">
        <v>21</v>
      </c>
      <c r="E1332" s="3">
        <v>-250.843</v>
      </c>
      <c r="F1332" s="4" t="str">
        <f>HYPERLINK("http://141.218.60.56/~jnz1568/getInfo.php?workbook=10_05.xlsx&amp;sheet=A0&amp;row=1332&amp;col=6&amp;number=236&amp;sourceID=14","236")</f>
        <v>236</v>
      </c>
      <c r="G1332" s="4" t="str">
        <f>HYPERLINK("http://141.218.60.56/~jnz1568/getInfo.php?workbook=10_05.xlsx&amp;sheet=A0&amp;row=1332&amp;col=7&amp;number=0&amp;sourceID=14","0")</f>
        <v>0</v>
      </c>
    </row>
    <row r="1333" spans="1:7">
      <c r="A1333" s="3">
        <v>10</v>
      </c>
      <c r="B1333" s="3">
        <v>5</v>
      </c>
      <c r="C1333" s="3">
        <v>172</v>
      </c>
      <c r="D1333" s="3">
        <v>21</v>
      </c>
      <c r="E1333" s="3">
        <v>-249.622</v>
      </c>
      <c r="F1333" s="4" t="str">
        <f>HYPERLINK("http://141.218.60.56/~jnz1568/getInfo.php?workbook=10_05.xlsx&amp;sheet=A0&amp;row=1333&amp;col=6&amp;number=196&amp;sourceID=14","196")</f>
        <v>196</v>
      </c>
      <c r="G1333" s="4" t="str">
        <f>HYPERLINK("http://141.218.60.56/~jnz1568/getInfo.php?workbook=10_05.xlsx&amp;sheet=A0&amp;row=1333&amp;col=7&amp;number=0&amp;sourceID=14","0")</f>
        <v>0</v>
      </c>
    </row>
    <row r="1334" spans="1:7">
      <c r="A1334" s="3">
        <v>10</v>
      </c>
      <c r="B1334" s="3">
        <v>5</v>
      </c>
      <c r="C1334" s="3">
        <v>174</v>
      </c>
      <c r="D1334" s="3">
        <v>21</v>
      </c>
      <c r="E1334" s="3">
        <v>-248.3</v>
      </c>
      <c r="F1334" s="4" t="str">
        <f>HYPERLINK("http://141.218.60.56/~jnz1568/getInfo.php?workbook=10_05.xlsx&amp;sheet=A0&amp;row=1334&amp;col=6&amp;number=733&amp;sourceID=14","733")</f>
        <v>733</v>
      </c>
      <c r="G1334" s="4" t="str">
        <f>HYPERLINK("http://141.218.60.56/~jnz1568/getInfo.php?workbook=10_05.xlsx&amp;sheet=A0&amp;row=1334&amp;col=7&amp;number=0&amp;sourceID=14","0")</f>
        <v>0</v>
      </c>
    </row>
    <row r="1335" spans="1:7">
      <c r="A1335" s="3">
        <v>10</v>
      </c>
      <c r="B1335" s="3">
        <v>5</v>
      </c>
      <c r="C1335" s="3">
        <v>26</v>
      </c>
      <c r="D1335" s="3">
        <v>22</v>
      </c>
      <c r="E1335" s="3">
        <v>2373.047</v>
      </c>
      <c r="F1335" s="4" t="str">
        <f>HYPERLINK("http://141.218.60.56/~jnz1568/getInfo.php?workbook=10_05.xlsx&amp;sheet=A0&amp;row=1335&amp;col=6&amp;number=1040000&amp;sourceID=14","1040000")</f>
        <v>1040000</v>
      </c>
      <c r="G1335" s="4" t="str">
        <f>HYPERLINK("http://141.218.60.56/~jnz1568/getInfo.php?workbook=10_05.xlsx&amp;sheet=A0&amp;row=1335&amp;col=7&amp;number=0&amp;sourceID=14","0")</f>
        <v>0</v>
      </c>
    </row>
    <row r="1336" spans="1:7">
      <c r="A1336" s="3">
        <v>10</v>
      </c>
      <c r="B1336" s="3">
        <v>5</v>
      </c>
      <c r="C1336" s="3">
        <v>27</v>
      </c>
      <c r="D1336" s="3">
        <v>22</v>
      </c>
      <c r="E1336" s="3">
        <v>2346.871</v>
      </c>
      <c r="F1336" s="4" t="str">
        <f>HYPERLINK("http://141.218.60.56/~jnz1568/getInfo.php?workbook=10_05.xlsx&amp;sheet=A0&amp;row=1336&amp;col=6&amp;number=2590000&amp;sourceID=14","2590000")</f>
        <v>2590000</v>
      </c>
      <c r="G1336" s="4" t="str">
        <f>HYPERLINK("http://141.218.60.56/~jnz1568/getInfo.php?workbook=10_05.xlsx&amp;sheet=A0&amp;row=1336&amp;col=7&amp;number=0&amp;sourceID=14","0")</f>
        <v>0</v>
      </c>
    </row>
    <row r="1337" spans="1:7">
      <c r="A1337" s="3">
        <v>10</v>
      </c>
      <c r="B1337" s="3">
        <v>5</v>
      </c>
      <c r="C1337" s="3">
        <v>28</v>
      </c>
      <c r="D1337" s="3">
        <v>22</v>
      </c>
      <c r="E1337" s="3">
        <v>-2282.692</v>
      </c>
      <c r="F1337" s="4" t="str">
        <f>HYPERLINK("http://141.218.60.56/~jnz1568/getInfo.php?workbook=10_05.xlsx&amp;sheet=A0&amp;row=1337&amp;col=6&amp;number=25500000&amp;sourceID=14","25500000")</f>
        <v>25500000</v>
      </c>
      <c r="G1337" s="4" t="str">
        <f>HYPERLINK("http://141.218.60.56/~jnz1568/getInfo.php?workbook=10_05.xlsx&amp;sheet=A0&amp;row=1337&amp;col=7&amp;number=0&amp;sourceID=14","0")</f>
        <v>0</v>
      </c>
    </row>
    <row r="1338" spans="1:7">
      <c r="A1338" s="3">
        <v>10</v>
      </c>
      <c r="B1338" s="3">
        <v>5</v>
      </c>
      <c r="C1338" s="3">
        <v>29</v>
      </c>
      <c r="D1338" s="3">
        <v>22</v>
      </c>
      <c r="E1338" s="3">
        <v>-2270.203</v>
      </c>
      <c r="F1338" s="4" t="str">
        <f>HYPERLINK("http://141.218.60.56/~jnz1568/getInfo.php?workbook=10_05.xlsx&amp;sheet=A0&amp;row=1338&amp;col=6&amp;number=85800000&amp;sourceID=14","85800000")</f>
        <v>85800000</v>
      </c>
      <c r="G1338" s="4" t="str">
        <f>HYPERLINK("http://141.218.60.56/~jnz1568/getInfo.php?workbook=10_05.xlsx&amp;sheet=A0&amp;row=1338&amp;col=7&amp;number=0&amp;sourceID=14","0")</f>
        <v>0</v>
      </c>
    </row>
    <row r="1339" spans="1:7">
      <c r="A1339" s="3">
        <v>10</v>
      </c>
      <c r="B1339" s="3">
        <v>5</v>
      </c>
      <c r="C1339" s="3">
        <v>30</v>
      </c>
      <c r="D1339" s="3">
        <v>22</v>
      </c>
      <c r="E1339" s="3">
        <v>2248.465</v>
      </c>
      <c r="F1339" s="4" t="str">
        <f>HYPERLINK("http://141.218.60.56/~jnz1568/getInfo.php?workbook=10_05.xlsx&amp;sheet=A0&amp;row=1339&amp;col=6&amp;number=124000000&amp;sourceID=14","124000000")</f>
        <v>124000000</v>
      </c>
      <c r="G1339" s="4" t="str">
        <f>HYPERLINK("http://141.218.60.56/~jnz1568/getInfo.php?workbook=10_05.xlsx&amp;sheet=A0&amp;row=1339&amp;col=7&amp;number=0&amp;sourceID=14","0")</f>
        <v>0</v>
      </c>
    </row>
    <row r="1340" spans="1:7">
      <c r="A1340" s="3">
        <v>10</v>
      </c>
      <c r="B1340" s="3">
        <v>5</v>
      </c>
      <c r="C1340" s="3">
        <v>32</v>
      </c>
      <c r="D1340" s="3">
        <v>22</v>
      </c>
      <c r="E1340" s="3">
        <v>-1899.267</v>
      </c>
      <c r="F1340" s="4" t="str">
        <f>HYPERLINK("http://141.218.60.56/~jnz1568/getInfo.php?workbook=10_05.xlsx&amp;sheet=A0&amp;row=1340&amp;col=6&amp;number=100000000&amp;sourceID=14","100000000")</f>
        <v>100000000</v>
      </c>
      <c r="G1340" s="4" t="str">
        <f>HYPERLINK("http://141.218.60.56/~jnz1568/getInfo.php?workbook=10_05.xlsx&amp;sheet=A0&amp;row=1340&amp;col=7&amp;number=0&amp;sourceID=14","0")</f>
        <v>0</v>
      </c>
    </row>
    <row r="1341" spans="1:7">
      <c r="A1341" s="3">
        <v>10</v>
      </c>
      <c r="B1341" s="3">
        <v>5</v>
      </c>
      <c r="C1341" s="3">
        <v>33</v>
      </c>
      <c r="D1341" s="3">
        <v>22</v>
      </c>
      <c r="E1341" s="3">
        <v>-1645.768</v>
      </c>
      <c r="F1341" s="4" t="str">
        <f>HYPERLINK("http://141.218.60.56/~jnz1568/getInfo.php?workbook=10_05.xlsx&amp;sheet=A0&amp;row=1341&amp;col=6&amp;number=408000000&amp;sourceID=14","408000000")</f>
        <v>408000000</v>
      </c>
      <c r="G1341" s="4" t="str">
        <f>HYPERLINK("http://141.218.60.56/~jnz1568/getInfo.php?workbook=10_05.xlsx&amp;sheet=A0&amp;row=1341&amp;col=7&amp;number=0&amp;sourceID=14","0")</f>
        <v>0</v>
      </c>
    </row>
    <row r="1342" spans="1:7">
      <c r="A1342" s="3">
        <v>10</v>
      </c>
      <c r="B1342" s="3">
        <v>5</v>
      </c>
      <c r="C1342" s="3">
        <v>34</v>
      </c>
      <c r="D1342" s="3">
        <v>22</v>
      </c>
      <c r="E1342" s="3">
        <v>-1637.79</v>
      </c>
      <c r="F1342" s="4" t="str">
        <f>HYPERLINK("http://141.218.60.56/~jnz1568/getInfo.php?workbook=10_05.xlsx&amp;sheet=A0&amp;row=1342&amp;col=6&amp;number=60400000&amp;sourceID=14","60400000")</f>
        <v>60400000</v>
      </c>
      <c r="G1342" s="4" t="str">
        <f>HYPERLINK("http://141.218.60.56/~jnz1568/getInfo.php?workbook=10_05.xlsx&amp;sheet=A0&amp;row=1342&amp;col=7&amp;number=0&amp;sourceID=14","0")</f>
        <v>0</v>
      </c>
    </row>
    <row r="1343" spans="1:7">
      <c r="A1343" s="3">
        <v>10</v>
      </c>
      <c r="B1343" s="3">
        <v>5</v>
      </c>
      <c r="C1343" s="3">
        <v>35</v>
      </c>
      <c r="D1343" s="3">
        <v>22</v>
      </c>
      <c r="E1343" s="3">
        <v>-1626.389</v>
      </c>
      <c r="F1343" s="4" t="str">
        <f>HYPERLINK("http://141.218.60.56/~jnz1568/getInfo.php?workbook=10_05.xlsx&amp;sheet=A0&amp;row=1343&amp;col=6&amp;number=145000000&amp;sourceID=14","145000000")</f>
        <v>145000000</v>
      </c>
      <c r="G1343" s="4" t="str">
        <f>HYPERLINK("http://141.218.60.56/~jnz1568/getInfo.php?workbook=10_05.xlsx&amp;sheet=A0&amp;row=1343&amp;col=7&amp;number=0&amp;sourceID=14","0")</f>
        <v>0</v>
      </c>
    </row>
    <row r="1344" spans="1:7">
      <c r="A1344" s="3">
        <v>10</v>
      </c>
      <c r="B1344" s="3">
        <v>5</v>
      </c>
      <c r="C1344" s="3">
        <v>36</v>
      </c>
      <c r="D1344" s="3">
        <v>22</v>
      </c>
      <c r="E1344" s="3">
        <v>1514.007</v>
      </c>
      <c r="F1344" s="4" t="str">
        <f>HYPERLINK("http://141.218.60.56/~jnz1568/getInfo.php?workbook=10_05.xlsx&amp;sheet=A0&amp;row=1344&amp;col=6&amp;number=36100&amp;sourceID=14","36100")</f>
        <v>36100</v>
      </c>
      <c r="G1344" s="4" t="str">
        <f>HYPERLINK("http://141.218.60.56/~jnz1568/getInfo.php?workbook=10_05.xlsx&amp;sheet=A0&amp;row=1344&amp;col=7&amp;number=0&amp;sourceID=14","0")</f>
        <v>0</v>
      </c>
    </row>
    <row r="1345" spans="1:7">
      <c r="A1345" s="3">
        <v>10</v>
      </c>
      <c r="B1345" s="3">
        <v>5</v>
      </c>
      <c r="C1345" s="3">
        <v>37</v>
      </c>
      <c r="D1345" s="3">
        <v>22</v>
      </c>
      <c r="E1345" s="3">
        <v>1495.889</v>
      </c>
      <c r="F1345" s="4" t="str">
        <f>HYPERLINK("http://141.218.60.56/~jnz1568/getInfo.php?workbook=10_05.xlsx&amp;sheet=A0&amp;row=1345&amp;col=6&amp;number=42900&amp;sourceID=14","42900")</f>
        <v>42900</v>
      </c>
      <c r="G1345" s="4" t="str">
        <f>HYPERLINK("http://141.218.60.56/~jnz1568/getInfo.php?workbook=10_05.xlsx&amp;sheet=A0&amp;row=1345&amp;col=7&amp;number=0&amp;sourceID=14","0")</f>
        <v>0</v>
      </c>
    </row>
    <row r="1346" spans="1:7">
      <c r="A1346" s="3">
        <v>10</v>
      </c>
      <c r="B1346" s="3">
        <v>5</v>
      </c>
      <c r="C1346" s="3">
        <v>40</v>
      </c>
      <c r="D1346" s="3">
        <v>22</v>
      </c>
      <c r="E1346" s="3">
        <v>1237.473</v>
      </c>
      <c r="F1346" s="4" t="str">
        <f>HYPERLINK("http://141.218.60.56/~jnz1568/getInfo.php?workbook=10_05.xlsx&amp;sheet=A0&amp;row=1346&amp;col=6&amp;number=8280&amp;sourceID=14","8280")</f>
        <v>8280</v>
      </c>
      <c r="G1346" s="4" t="str">
        <f>HYPERLINK("http://141.218.60.56/~jnz1568/getInfo.php?workbook=10_05.xlsx&amp;sheet=A0&amp;row=1346&amp;col=7&amp;number=0&amp;sourceID=14","0")</f>
        <v>0</v>
      </c>
    </row>
    <row r="1347" spans="1:7">
      <c r="A1347" s="3">
        <v>10</v>
      </c>
      <c r="B1347" s="3">
        <v>5</v>
      </c>
      <c r="C1347" s="3">
        <v>58</v>
      </c>
      <c r="D1347" s="3">
        <v>22</v>
      </c>
      <c r="E1347" s="3">
        <v>671.367</v>
      </c>
      <c r="F1347" s="4" t="str">
        <f>HYPERLINK("http://141.218.60.56/~jnz1568/getInfo.php?workbook=10_05.xlsx&amp;sheet=A0&amp;row=1347&amp;col=6&amp;number=58400&amp;sourceID=14","58400")</f>
        <v>58400</v>
      </c>
      <c r="G1347" s="4" t="str">
        <f>HYPERLINK("http://141.218.60.56/~jnz1568/getInfo.php?workbook=10_05.xlsx&amp;sheet=A0&amp;row=1347&amp;col=7&amp;number=0&amp;sourceID=14","0")</f>
        <v>0</v>
      </c>
    </row>
    <row r="1348" spans="1:7">
      <c r="A1348" s="3">
        <v>10</v>
      </c>
      <c r="B1348" s="3">
        <v>5</v>
      </c>
      <c r="C1348" s="3">
        <v>59</v>
      </c>
      <c r="D1348" s="3">
        <v>22</v>
      </c>
      <c r="E1348" s="3">
        <v>658.112</v>
      </c>
      <c r="F1348" s="4" t="str">
        <f>HYPERLINK("http://141.218.60.56/~jnz1568/getInfo.php?workbook=10_05.xlsx&amp;sheet=A0&amp;row=1348&amp;col=6&amp;number=30500&amp;sourceID=14","30500")</f>
        <v>30500</v>
      </c>
      <c r="G1348" s="4" t="str">
        <f>HYPERLINK("http://141.218.60.56/~jnz1568/getInfo.php?workbook=10_05.xlsx&amp;sheet=A0&amp;row=1348&amp;col=7&amp;number=0&amp;sourceID=14","0")</f>
        <v>0</v>
      </c>
    </row>
    <row r="1349" spans="1:7">
      <c r="A1349" s="3">
        <v>10</v>
      </c>
      <c r="B1349" s="3">
        <v>5</v>
      </c>
      <c r="C1349" s="3">
        <v>60</v>
      </c>
      <c r="D1349" s="3">
        <v>22</v>
      </c>
      <c r="E1349" s="3">
        <v>657.507</v>
      </c>
      <c r="F1349" s="4" t="str">
        <f>HYPERLINK("http://141.218.60.56/~jnz1568/getInfo.php?workbook=10_05.xlsx&amp;sheet=A0&amp;row=1349&amp;col=6&amp;number=25200&amp;sourceID=14","25200")</f>
        <v>25200</v>
      </c>
      <c r="G1349" s="4" t="str">
        <f>HYPERLINK("http://141.218.60.56/~jnz1568/getInfo.php?workbook=10_05.xlsx&amp;sheet=A0&amp;row=1349&amp;col=7&amp;number=0&amp;sourceID=14","0")</f>
        <v>0</v>
      </c>
    </row>
    <row r="1350" spans="1:7">
      <c r="A1350" s="3">
        <v>10</v>
      </c>
      <c r="B1350" s="3">
        <v>5</v>
      </c>
      <c r="C1350" s="3">
        <v>61</v>
      </c>
      <c r="D1350" s="3">
        <v>22</v>
      </c>
      <c r="E1350" s="3">
        <v>651.043</v>
      </c>
      <c r="F1350" s="4" t="str">
        <f>HYPERLINK("http://141.218.60.56/~jnz1568/getInfo.php?workbook=10_05.xlsx&amp;sheet=A0&amp;row=1350&amp;col=6&amp;number=17100&amp;sourceID=14","17100")</f>
        <v>17100</v>
      </c>
      <c r="G1350" s="4" t="str">
        <f>HYPERLINK("http://141.218.60.56/~jnz1568/getInfo.php?workbook=10_05.xlsx&amp;sheet=A0&amp;row=1350&amp;col=7&amp;number=0&amp;sourceID=14","0")</f>
        <v>0</v>
      </c>
    </row>
    <row r="1351" spans="1:7">
      <c r="A1351" s="3">
        <v>10</v>
      </c>
      <c r="B1351" s="3">
        <v>5</v>
      </c>
      <c r="C1351" s="3">
        <v>62</v>
      </c>
      <c r="D1351" s="3">
        <v>22</v>
      </c>
      <c r="E1351" s="3">
        <v>649.774</v>
      </c>
      <c r="F1351" s="4" t="str">
        <f>HYPERLINK("http://141.218.60.56/~jnz1568/getInfo.php?workbook=10_05.xlsx&amp;sheet=A0&amp;row=1351&amp;col=6&amp;number=2260&amp;sourceID=14","2260")</f>
        <v>2260</v>
      </c>
      <c r="G1351" s="4" t="str">
        <f>HYPERLINK("http://141.218.60.56/~jnz1568/getInfo.php?workbook=10_05.xlsx&amp;sheet=A0&amp;row=1351&amp;col=7&amp;number=0&amp;sourceID=14","0")</f>
        <v>0</v>
      </c>
    </row>
    <row r="1352" spans="1:7">
      <c r="A1352" s="3">
        <v>10</v>
      </c>
      <c r="B1352" s="3">
        <v>5</v>
      </c>
      <c r="C1352" s="3">
        <v>63</v>
      </c>
      <c r="D1352" s="3">
        <v>22</v>
      </c>
      <c r="E1352" s="3">
        <v>625.197</v>
      </c>
      <c r="F1352" s="4" t="str">
        <f>HYPERLINK("http://141.218.60.56/~jnz1568/getInfo.php?workbook=10_05.xlsx&amp;sheet=A0&amp;row=1352&amp;col=6&amp;number=261000&amp;sourceID=14","261000")</f>
        <v>261000</v>
      </c>
      <c r="G1352" s="4" t="str">
        <f>HYPERLINK("http://141.218.60.56/~jnz1568/getInfo.php?workbook=10_05.xlsx&amp;sheet=A0&amp;row=1352&amp;col=7&amp;number=0&amp;sourceID=14","0")</f>
        <v>0</v>
      </c>
    </row>
    <row r="1353" spans="1:7">
      <c r="A1353" s="3">
        <v>10</v>
      </c>
      <c r="B1353" s="3">
        <v>5</v>
      </c>
      <c r="C1353" s="3">
        <v>66</v>
      </c>
      <c r="D1353" s="3">
        <v>22</v>
      </c>
      <c r="E1353" s="3">
        <v>540.542</v>
      </c>
      <c r="F1353" s="4" t="str">
        <f>HYPERLINK("http://141.218.60.56/~jnz1568/getInfo.php?workbook=10_05.xlsx&amp;sheet=A0&amp;row=1353&amp;col=6&amp;number=26500&amp;sourceID=14","26500")</f>
        <v>26500</v>
      </c>
      <c r="G1353" s="4" t="str">
        <f>HYPERLINK("http://141.218.60.56/~jnz1568/getInfo.php?workbook=10_05.xlsx&amp;sheet=A0&amp;row=1353&amp;col=7&amp;number=0&amp;sourceID=14","0")</f>
        <v>0</v>
      </c>
    </row>
    <row r="1354" spans="1:7">
      <c r="A1354" s="3">
        <v>10</v>
      </c>
      <c r="B1354" s="3">
        <v>5</v>
      </c>
      <c r="C1354" s="3">
        <v>67</v>
      </c>
      <c r="D1354" s="3">
        <v>22</v>
      </c>
      <c r="E1354" s="3">
        <v>540.542</v>
      </c>
      <c r="F1354" s="4" t="str">
        <f>HYPERLINK("http://141.218.60.56/~jnz1568/getInfo.php?workbook=10_05.xlsx&amp;sheet=A0&amp;row=1354&amp;col=6&amp;number=195000&amp;sourceID=14","195000")</f>
        <v>195000</v>
      </c>
      <c r="G1354" s="4" t="str">
        <f>HYPERLINK("http://141.218.60.56/~jnz1568/getInfo.php?workbook=10_05.xlsx&amp;sheet=A0&amp;row=1354&amp;col=7&amp;number=0&amp;sourceID=14","0")</f>
        <v>0</v>
      </c>
    </row>
    <row r="1355" spans="1:7">
      <c r="A1355" s="3">
        <v>10</v>
      </c>
      <c r="B1355" s="3">
        <v>5</v>
      </c>
      <c r="C1355" s="3">
        <v>70</v>
      </c>
      <c r="D1355" s="3">
        <v>22</v>
      </c>
      <c r="E1355" s="3">
        <v>528.598</v>
      </c>
      <c r="F1355" s="4" t="str">
        <f>HYPERLINK("http://141.218.60.56/~jnz1568/getInfo.php?workbook=10_05.xlsx&amp;sheet=A0&amp;row=1355&amp;col=6&amp;number=3160000000&amp;sourceID=14","3160000000")</f>
        <v>3160000000</v>
      </c>
      <c r="G1355" s="4" t="str">
        <f>HYPERLINK("http://141.218.60.56/~jnz1568/getInfo.php?workbook=10_05.xlsx&amp;sheet=A0&amp;row=1355&amp;col=7&amp;number=0&amp;sourceID=14","0")</f>
        <v>0</v>
      </c>
    </row>
    <row r="1356" spans="1:7">
      <c r="A1356" s="3">
        <v>10</v>
      </c>
      <c r="B1356" s="3">
        <v>5</v>
      </c>
      <c r="C1356" s="3">
        <v>71</v>
      </c>
      <c r="D1356" s="3">
        <v>22</v>
      </c>
      <c r="E1356" s="3">
        <v>528.598</v>
      </c>
      <c r="F1356" s="4" t="str">
        <f>HYPERLINK("http://141.218.60.56/~jnz1568/getInfo.php?workbook=10_05.xlsx&amp;sheet=A0&amp;row=1356&amp;col=6&amp;number=510000000&amp;sourceID=14","510000000")</f>
        <v>510000000</v>
      </c>
      <c r="G1356" s="4" t="str">
        <f>HYPERLINK("http://141.218.60.56/~jnz1568/getInfo.php?workbook=10_05.xlsx&amp;sheet=A0&amp;row=1356&amp;col=7&amp;number=0&amp;sourceID=14","0")</f>
        <v>0</v>
      </c>
    </row>
    <row r="1357" spans="1:7">
      <c r="A1357" s="3">
        <v>10</v>
      </c>
      <c r="B1357" s="3">
        <v>5</v>
      </c>
      <c r="C1357" s="3">
        <v>72</v>
      </c>
      <c r="D1357" s="3">
        <v>22</v>
      </c>
      <c r="E1357" s="3">
        <v>528.598</v>
      </c>
      <c r="F1357" s="4" t="str">
        <f>HYPERLINK("http://141.218.60.56/~jnz1568/getInfo.php?workbook=10_05.xlsx&amp;sheet=A0&amp;row=1357&amp;col=6&amp;number=1160000000&amp;sourceID=14","1160000000")</f>
        <v>1160000000</v>
      </c>
      <c r="G1357" s="4" t="str">
        <f>HYPERLINK("http://141.218.60.56/~jnz1568/getInfo.php?workbook=10_05.xlsx&amp;sheet=A0&amp;row=1357&amp;col=7&amp;number=0&amp;sourceID=14","0")</f>
        <v>0</v>
      </c>
    </row>
    <row r="1358" spans="1:7">
      <c r="A1358" s="3">
        <v>10</v>
      </c>
      <c r="B1358" s="3">
        <v>5</v>
      </c>
      <c r="C1358" s="3">
        <v>77</v>
      </c>
      <c r="D1358" s="3">
        <v>22</v>
      </c>
      <c r="E1358" s="3">
        <v>-468.356</v>
      </c>
      <c r="F1358" s="4" t="str">
        <f>HYPERLINK("http://141.218.60.56/~jnz1568/getInfo.php?workbook=10_05.xlsx&amp;sheet=A0&amp;row=1358&amp;col=6&amp;number=12500&amp;sourceID=14","12500")</f>
        <v>12500</v>
      </c>
      <c r="G1358" s="4" t="str">
        <f>HYPERLINK("http://141.218.60.56/~jnz1568/getInfo.php?workbook=10_05.xlsx&amp;sheet=A0&amp;row=1358&amp;col=7&amp;number=0&amp;sourceID=14","0")</f>
        <v>0</v>
      </c>
    </row>
    <row r="1359" spans="1:7">
      <c r="A1359" s="3">
        <v>10</v>
      </c>
      <c r="B1359" s="3">
        <v>5</v>
      </c>
      <c r="C1359" s="3">
        <v>78</v>
      </c>
      <c r="D1359" s="3">
        <v>22</v>
      </c>
      <c r="E1359" s="3">
        <v>-466.541</v>
      </c>
      <c r="F1359" s="4" t="str">
        <f>HYPERLINK("http://141.218.60.56/~jnz1568/getInfo.php?workbook=10_05.xlsx&amp;sheet=A0&amp;row=1359&amp;col=6&amp;number=557000&amp;sourceID=14","557000")</f>
        <v>557000</v>
      </c>
      <c r="G1359" s="4" t="str">
        <f>HYPERLINK("http://141.218.60.56/~jnz1568/getInfo.php?workbook=10_05.xlsx&amp;sheet=A0&amp;row=1359&amp;col=7&amp;number=0&amp;sourceID=14","0")</f>
        <v>0</v>
      </c>
    </row>
    <row r="1360" spans="1:7">
      <c r="A1360" s="3">
        <v>10</v>
      </c>
      <c r="B1360" s="3">
        <v>5</v>
      </c>
      <c r="C1360" s="3">
        <v>80</v>
      </c>
      <c r="D1360" s="3">
        <v>22</v>
      </c>
      <c r="E1360" s="3">
        <v>450.086</v>
      </c>
      <c r="F1360" s="4" t="str">
        <f>HYPERLINK("http://141.218.60.56/~jnz1568/getInfo.php?workbook=10_05.xlsx&amp;sheet=A0&amp;row=1360&amp;col=6&amp;number=68400&amp;sourceID=14","68400")</f>
        <v>68400</v>
      </c>
      <c r="G1360" s="4" t="str">
        <f>HYPERLINK("http://141.218.60.56/~jnz1568/getInfo.php?workbook=10_05.xlsx&amp;sheet=A0&amp;row=1360&amp;col=7&amp;number=0&amp;sourceID=14","0")</f>
        <v>0</v>
      </c>
    </row>
    <row r="1361" spans="1:7">
      <c r="A1361" s="3">
        <v>10</v>
      </c>
      <c r="B1361" s="3">
        <v>5</v>
      </c>
      <c r="C1361" s="3">
        <v>81</v>
      </c>
      <c r="D1361" s="3">
        <v>22</v>
      </c>
      <c r="E1361" s="3">
        <v>450.086</v>
      </c>
      <c r="F1361" s="4" t="str">
        <f>HYPERLINK("http://141.218.60.56/~jnz1568/getInfo.php?workbook=10_05.xlsx&amp;sheet=A0&amp;row=1361&amp;col=6&amp;number=112000&amp;sourceID=14","112000")</f>
        <v>112000</v>
      </c>
      <c r="G1361" s="4" t="str">
        <f>HYPERLINK("http://141.218.60.56/~jnz1568/getInfo.php?workbook=10_05.xlsx&amp;sheet=A0&amp;row=1361&amp;col=7&amp;number=0&amp;sourceID=14","0")</f>
        <v>0</v>
      </c>
    </row>
    <row r="1362" spans="1:7">
      <c r="A1362" s="3">
        <v>10</v>
      </c>
      <c r="B1362" s="3">
        <v>5</v>
      </c>
      <c r="C1362" s="3">
        <v>99</v>
      </c>
      <c r="D1362" s="3">
        <v>22</v>
      </c>
      <c r="E1362" s="3">
        <v>-376.626</v>
      </c>
      <c r="F1362" s="4" t="str">
        <f>HYPERLINK("http://141.218.60.56/~jnz1568/getInfo.php?workbook=10_05.xlsx&amp;sheet=A0&amp;row=1362&amp;col=6&amp;number=316000&amp;sourceID=14","316000")</f>
        <v>316000</v>
      </c>
      <c r="G1362" s="4" t="str">
        <f>HYPERLINK("http://141.218.60.56/~jnz1568/getInfo.php?workbook=10_05.xlsx&amp;sheet=A0&amp;row=1362&amp;col=7&amp;number=0&amp;sourceID=14","0")</f>
        <v>0</v>
      </c>
    </row>
    <row r="1363" spans="1:7">
      <c r="A1363" s="3">
        <v>10</v>
      </c>
      <c r="B1363" s="3">
        <v>5</v>
      </c>
      <c r="C1363" s="3">
        <v>100</v>
      </c>
      <c r="D1363" s="3">
        <v>22</v>
      </c>
      <c r="E1363" s="3">
        <v>-376.253</v>
      </c>
      <c r="F1363" s="4" t="str">
        <f>HYPERLINK("http://141.218.60.56/~jnz1568/getInfo.php?workbook=10_05.xlsx&amp;sheet=A0&amp;row=1363&amp;col=6&amp;number=892000&amp;sourceID=14","892000")</f>
        <v>892000</v>
      </c>
      <c r="G1363" s="4" t="str">
        <f>HYPERLINK("http://141.218.60.56/~jnz1568/getInfo.php?workbook=10_05.xlsx&amp;sheet=A0&amp;row=1363&amp;col=7&amp;number=0&amp;sourceID=14","0")</f>
        <v>0</v>
      </c>
    </row>
    <row r="1364" spans="1:7">
      <c r="A1364" s="3">
        <v>10</v>
      </c>
      <c r="B1364" s="3">
        <v>5</v>
      </c>
      <c r="C1364" s="3">
        <v>105</v>
      </c>
      <c r="D1364" s="3">
        <v>22</v>
      </c>
      <c r="E1364" s="3">
        <v>-368.332</v>
      </c>
      <c r="F1364" s="4" t="str">
        <f>HYPERLINK("http://141.218.60.56/~jnz1568/getInfo.php?workbook=10_05.xlsx&amp;sheet=A0&amp;row=1364&amp;col=6&amp;number=140000000&amp;sourceID=14","140000000")</f>
        <v>140000000</v>
      </c>
      <c r="G1364" s="4" t="str">
        <f>HYPERLINK("http://141.218.60.56/~jnz1568/getInfo.php?workbook=10_05.xlsx&amp;sheet=A0&amp;row=1364&amp;col=7&amp;number=0&amp;sourceID=14","0")</f>
        <v>0</v>
      </c>
    </row>
    <row r="1365" spans="1:7">
      <c r="A1365" s="3">
        <v>10</v>
      </c>
      <c r="B1365" s="3">
        <v>5</v>
      </c>
      <c r="C1365" s="3">
        <v>106</v>
      </c>
      <c r="D1365" s="3">
        <v>22</v>
      </c>
      <c r="E1365" s="3">
        <v>-368.162</v>
      </c>
      <c r="F1365" s="4" t="str">
        <f>HYPERLINK("http://141.218.60.56/~jnz1568/getInfo.php?workbook=10_05.xlsx&amp;sheet=A0&amp;row=1365&amp;col=6&amp;number=450000000&amp;sourceID=14","450000000")</f>
        <v>450000000</v>
      </c>
      <c r="G1365" s="4" t="str">
        <f>HYPERLINK("http://141.218.60.56/~jnz1568/getInfo.php?workbook=10_05.xlsx&amp;sheet=A0&amp;row=1365&amp;col=7&amp;number=0&amp;sourceID=14","0")</f>
        <v>0</v>
      </c>
    </row>
    <row r="1366" spans="1:7">
      <c r="A1366" s="3">
        <v>10</v>
      </c>
      <c r="B1366" s="3">
        <v>5</v>
      </c>
      <c r="C1366" s="3">
        <v>107</v>
      </c>
      <c r="D1366" s="3">
        <v>22</v>
      </c>
      <c r="E1366" s="3">
        <v>-367.786</v>
      </c>
      <c r="F1366" s="4" t="str">
        <f>HYPERLINK("http://141.218.60.56/~jnz1568/getInfo.php?workbook=10_05.xlsx&amp;sheet=A0&amp;row=1366&amp;col=6&amp;number=673000000&amp;sourceID=14","673000000")</f>
        <v>673000000</v>
      </c>
      <c r="G1366" s="4" t="str">
        <f>HYPERLINK("http://141.218.60.56/~jnz1568/getInfo.php?workbook=10_05.xlsx&amp;sheet=A0&amp;row=1366&amp;col=7&amp;number=0&amp;sourceID=14","0")</f>
        <v>0</v>
      </c>
    </row>
    <row r="1367" spans="1:7">
      <c r="A1367" s="3">
        <v>10</v>
      </c>
      <c r="B1367" s="3">
        <v>5</v>
      </c>
      <c r="C1367" s="3">
        <v>109</v>
      </c>
      <c r="D1367" s="3">
        <v>22</v>
      </c>
      <c r="E1367" s="3">
        <v>-366.836</v>
      </c>
      <c r="F1367" s="4" t="str">
        <f>HYPERLINK("http://141.218.60.56/~jnz1568/getInfo.php?workbook=10_05.xlsx&amp;sheet=A0&amp;row=1367&amp;col=6&amp;number=36800000&amp;sourceID=14","36800000")</f>
        <v>36800000</v>
      </c>
      <c r="G1367" s="4" t="str">
        <f>HYPERLINK("http://141.218.60.56/~jnz1568/getInfo.php?workbook=10_05.xlsx&amp;sheet=A0&amp;row=1367&amp;col=7&amp;number=0&amp;sourceID=14","0")</f>
        <v>0</v>
      </c>
    </row>
    <row r="1368" spans="1:7">
      <c r="A1368" s="3">
        <v>10</v>
      </c>
      <c r="B1368" s="3">
        <v>5</v>
      </c>
      <c r="C1368" s="3">
        <v>111</v>
      </c>
      <c r="D1368" s="3">
        <v>22</v>
      </c>
      <c r="E1368" s="3">
        <v>-366.033</v>
      </c>
      <c r="F1368" s="4" t="str">
        <f>HYPERLINK("http://141.218.60.56/~jnz1568/getInfo.php?workbook=10_05.xlsx&amp;sheet=A0&amp;row=1368&amp;col=6&amp;number=7420000&amp;sourceID=14","7420000")</f>
        <v>7420000</v>
      </c>
      <c r="G1368" s="4" t="str">
        <f>HYPERLINK("http://141.218.60.56/~jnz1568/getInfo.php?workbook=10_05.xlsx&amp;sheet=A0&amp;row=1368&amp;col=7&amp;number=0&amp;sourceID=14","0")</f>
        <v>0</v>
      </c>
    </row>
    <row r="1369" spans="1:7">
      <c r="A1369" s="3">
        <v>10</v>
      </c>
      <c r="B1369" s="3">
        <v>5</v>
      </c>
      <c r="C1369" s="3">
        <v>115</v>
      </c>
      <c r="D1369" s="3">
        <v>22</v>
      </c>
      <c r="E1369" s="3">
        <v>-357.039</v>
      </c>
      <c r="F1369" s="4" t="str">
        <f>HYPERLINK("http://141.218.60.56/~jnz1568/getInfo.php?workbook=10_05.xlsx&amp;sheet=A0&amp;row=1369&amp;col=6&amp;number=2410000&amp;sourceID=14","2410000")</f>
        <v>2410000</v>
      </c>
      <c r="G1369" s="4" t="str">
        <f>HYPERLINK("http://141.218.60.56/~jnz1568/getInfo.php?workbook=10_05.xlsx&amp;sheet=A0&amp;row=1369&amp;col=7&amp;number=0&amp;sourceID=14","0")</f>
        <v>0</v>
      </c>
    </row>
    <row r="1370" spans="1:7">
      <c r="A1370" s="3">
        <v>10</v>
      </c>
      <c r="B1370" s="3">
        <v>5</v>
      </c>
      <c r="C1370" s="3">
        <v>117</v>
      </c>
      <c r="D1370" s="3">
        <v>22</v>
      </c>
      <c r="E1370" s="3">
        <v>-355.624</v>
      </c>
      <c r="F1370" s="4" t="str">
        <f>HYPERLINK("http://141.218.60.56/~jnz1568/getInfo.php?workbook=10_05.xlsx&amp;sheet=A0&amp;row=1370&amp;col=6&amp;number=225000000&amp;sourceID=14","225000000")</f>
        <v>225000000</v>
      </c>
      <c r="G1370" s="4" t="str">
        <f>HYPERLINK("http://141.218.60.56/~jnz1568/getInfo.php?workbook=10_05.xlsx&amp;sheet=A0&amp;row=1370&amp;col=7&amp;number=0&amp;sourceID=14","0")</f>
        <v>0</v>
      </c>
    </row>
    <row r="1371" spans="1:7">
      <c r="A1371" s="3">
        <v>10</v>
      </c>
      <c r="B1371" s="3">
        <v>5</v>
      </c>
      <c r="C1371" s="3">
        <v>118</v>
      </c>
      <c r="D1371" s="3">
        <v>22</v>
      </c>
      <c r="E1371" s="3">
        <v>-355.522</v>
      </c>
      <c r="F1371" s="4" t="str">
        <f>HYPERLINK("http://141.218.60.56/~jnz1568/getInfo.php?workbook=10_05.xlsx&amp;sheet=A0&amp;row=1371&amp;col=6&amp;number=200000000&amp;sourceID=14","200000000")</f>
        <v>200000000</v>
      </c>
      <c r="G1371" s="4" t="str">
        <f>HYPERLINK("http://141.218.60.56/~jnz1568/getInfo.php?workbook=10_05.xlsx&amp;sheet=A0&amp;row=1371&amp;col=7&amp;number=0&amp;sourceID=14","0")</f>
        <v>0</v>
      </c>
    </row>
    <row r="1372" spans="1:7">
      <c r="A1372" s="3">
        <v>10</v>
      </c>
      <c r="B1372" s="3">
        <v>5</v>
      </c>
      <c r="C1372" s="3">
        <v>119</v>
      </c>
      <c r="D1372" s="3">
        <v>22</v>
      </c>
      <c r="E1372" s="3">
        <v>-355.459</v>
      </c>
      <c r="F1372" s="4" t="str">
        <f>HYPERLINK("http://141.218.60.56/~jnz1568/getInfo.php?workbook=10_05.xlsx&amp;sheet=A0&amp;row=1372&amp;col=6&amp;number=876000000&amp;sourceID=14","876000000")</f>
        <v>876000000</v>
      </c>
      <c r="G1372" s="4" t="str">
        <f>HYPERLINK("http://141.218.60.56/~jnz1568/getInfo.php?workbook=10_05.xlsx&amp;sheet=A0&amp;row=1372&amp;col=7&amp;number=0&amp;sourceID=14","0")</f>
        <v>0</v>
      </c>
    </row>
    <row r="1373" spans="1:7">
      <c r="A1373" s="3">
        <v>10</v>
      </c>
      <c r="B1373" s="3">
        <v>5</v>
      </c>
      <c r="C1373" s="3">
        <v>120</v>
      </c>
      <c r="D1373" s="3">
        <v>22</v>
      </c>
      <c r="E1373" s="3">
        <v>-351.509</v>
      </c>
      <c r="F1373" s="4" t="str">
        <f>HYPERLINK("http://141.218.60.56/~jnz1568/getInfo.php?workbook=10_05.xlsx&amp;sheet=A0&amp;row=1373&amp;col=6&amp;number=385000000&amp;sourceID=14","385000000")</f>
        <v>385000000</v>
      </c>
      <c r="G1373" s="4" t="str">
        <f>HYPERLINK("http://141.218.60.56/~jnz1568/getInfo.php?workbook=10_05.xlsx&amp;sheet=A0&amp;row=1373&amp;col=7&amp;number=0&amp;sourceID=14","0")</f>
        <v>0</v>
      </c>
    </row>
    <row r="1374" spans="1:7">
      <c r="A1374" s="3">
        <v>10</v>
      </c>
      <c r="B1374" s="3">
        <v>5</v>
      </c>
      <c r="C1374" s="3">
        <v>121</v>
      </c>
      <c r="D1374" s="3">
        <v>22</v>
      </c>
      <c r="E1374" s="3">
        <v>-351.233</v>
      </c>
      <c r="F1374" s="4" t="str">
        <f>HYPERLINK("http://141.218.60.56/~jnz1568/getInfo.php?workbook=10_05.xlsx&amp;sheet=A0&amp;row=1374&amp;col=6&amp;number=1350000000&amp;sourceID=14","1350000000")</f>
        <v>1350000000</v>
      </c>
      <c r="G1374" s="4" t="str">
        <f>HYPERLINK("http://141.218.60.56/~jnz1568/getInfo.php?workbook=10_05.xlsx&amp;sheet=A0&amp;row=1374&amp;col=7&amp;number=0&amp;sourceID=14","0")</f>
        <v>0</v>
      </c>
    </row>
    <row r="1375" spans="1:7">
      <c r="A1375" s="3">
        <v>10</v>
      </c>
      <c r="B1375" s="3">
        <v>5</v>
      </c>
      <c r="C1375" s="3">
        <v>122</v>
      </c>
      <c r="D1375" s="3">
        <v>22</v>
      </c>
      <c r="E1375" s="3">
        <v>-350.777</v>
      </c>
      <c r="F1375" s="4" t="str">
        <f>HYPERLINK("http://141.218.60.56/~jnz1568/getInfo.php?workbook=10_05.xlsx&amp;sheet=A0&amp;row=1375&amp;col=6&amp;number=1960000000&amp;sourceID=14","1960000000")</f>
        <v>1960000000</v>
      </c>
      <c r="G1375" s="4" t="str">
        <f>HYPERLINK("http://141.218.60.56/~jnz1568/getInfo.php?workbook=10_05.xlsx&amp;sheet=A0&amp;row=1375&amp;col=7&amp;number=0&amp;sourceID=14","0")</f>
        <v>0</v>
      </c>
    </row>
    <row r="1376" spans="1:7">
      <c r="A1376" s="3">
        <v>10</v>
      </c>
      <c r="B1376" s="3">
        <v>5</v>
      </c>
      <c r="C1376" s="3">
        <v>123</v>
      </c>
      <c r="D1376" s="3">
        <v>22</v>
      </c>
      <c r="E1376" s="3">
        <v>-350.416</v>
      </c>
      <c r="F1376" s="4" t="str">
        <f>HYPERLINK("http://141.218.60.56/~jnz1568/getInfo.php?workbook=10_05.xlsx&amp;sheet=A0&amp;row=1376&amp;col=6&amp;number=872000000&amp;sourceID=14","872000000")</f>
        <v>872000000</v>
      </c>
      <c r="G1376" s="4" t="str">
        <f>HYPERLINK("http://141.218.60.56/~jnz1568/getInfo.php?workbook=10_05.xlsx&amp;sheet=A0&amp;row=1376&amp;col=7&amp;number=0&amp;sourceID=14","0")</f>
        <v>0</v>
      </c>
    </row>
    <row r="1377" spans="1:7">
      <c r="A1377" s="3">
        <v>10</v>
      </c>
      <c r="B1377" s="3">
        <v>5</v>
      </c>
      <c r="C1377" s="3">
        <v>125</v>
      </c>
      <c r="D1377" s="3">
        <v>22</v>
      </c>
      <c r="E1377" s="3">
        <v>-349.029</v>
      </c>
      <c r="F1377" s="4" t="str">
        <f>HYPERLINK("http://141.218.60.56/~jnz1568/getInfo.php?workbook=10_05.xlsx&amp;sheet=A0&amp;row=1377&amp;col=6&amp;number=5610000&amp;sourceID=14","5610000")</f>
        <v>5610000</v>
      </c>
      <c r="G1377" s="4" t="str">
        <f>HYPERLINK("http://141.218.60.56/~jnz1568/getInfo.php?workbook=10_05.xlsx&amp;sheet=A0&amp;row=1377&amp;col=7&amp;number=0&amp;sourceID=14","0")</f>
        <v>0</v>
      </c>
    </row>
    <row r="1378" spans="1:7">
      <c r="A1378" s="3">
        <v>10</v>
      </c>
      <c r="B1378" s="3">
        <v>5</v>
      </c>
      <c r="C1378" s="3">
        <v>126</v>
      </c>
      <c r="D1378" s="3">
        <v>22</v>
      </c>
      <c r="E1378" s="3">
        <v>-348.694</v>
      </c>
      <c r="F1378" s="4" t="str">
        <f>HYPERLINK("http://141.218.60.56/~jnz1568/getInfo.php?workbook=10_05.xlsx&amp;sheet=A0&amp;row=1378&amp;col=6&amp;number=69400000&amp;sourceID=14","69400000")</f>
        <v>69400000</v>
      </c>
      <c r="G1378" s="4" t="str">
        <f>HYPERLINK("http://141.218.60.56/~jnz1568/getInfo.php?workbook=10_05.xlsx&amp;sheet=A0&amp;row=1378&amp;col=7&amp;number=0&amp;sourceID=14","0")</f>
        <v>0</v>
      </c>
    </row>
    <row r="1379" spans="1:7">
      <c r="A1379" s="3">
        <v>10</v>
      </c>
      <c r="B1379" s="3">
        <v>5</v>
      </c>
      <c r="C1379" s="3">
        <v>129</v>
      </c>
      <c r="D1379" s="3">
        <v>22</v>
      </c>
      <c r="E1379" s="3">
        <v>345.316</v>
      </c>
      <c r="F1379" s="4" t="str">
        <f>HYPERLINK("http://141.218.60.56/~jnz1568/getInfo.php?workbook=10_05.xlsx&amp;sheet=A0&amp;row=1379&amp;col=6&amp;number=2940000&amp;sourceID=14","2940000")</f>
        <v>2940000</v>
      </c>
      <c r="G1379" s="4" t="str">
        <f>HYPERLINK("http://141.218.60.56/~jnz1568/getInfo.php?workbook=10_05.xlsx&amp;sheet=A0&amp;row=1379&amp;col=7&amp;number=0&amp;sourceID=14","0")</f>
        <v>0</v>
      </c>
    </row>
    <row r="1380" spans="1:7">
      <c r="A1380" s="3">
        <v>10</v>
      </c>
      <c r="B1380" s="3">
        <v>5</v>
      </c>
      <c r="C1380" s="3">
        <v>130</v>
      </c>
      <c r="D1380" s="3">
        <v>22</v>
      </c>
      <c r="E1380" s="3">
        <v>345.316</v>
      </c>
      <c r="F1380" s="4" t="str">
        <f>HYPERLINK("http://141.218.60.56/~jnz1568/getInfo.php?workbook=10_05.xlsx&amp;sheet=A0&amp;row=1380&amp;col=6&amp;number=48500000&amp;sourceID=14","48500000")</f>
        <v>48500000</v>
      </c>
      <c r="G1380" s="4" t="str">
        <f>HYPERLINK("http://141.218.60.56/~jnz1568/getInfo.php?workbook=10_05.xlsx&amp;sheet=A0&amp;row=1380&amp;col=7&amp;number=0&amp;sourceID=14","0")</f>
        <v>0</v>
      </c>
    </row>
    <row r="1381" spans="1:7">
      <c r="A1381" s="3">
        <v>10</v>
      </c>
      <c r="B1381" s="3">
        <v>5</v>
      </c>
      <c r="C1381" s="3">
        <v>131</v>
      </c>
      <c r="D1381" s="3">
        <v>22</v>
      </c>
      <c r="E1381" s="3">
        <v>-344.659</v>
      </c>
      <c r="F1381" s="4" t="str">
        <f>HYPERLINK("http://141.218.60.56/~jnz1568/getInfo.php?workbook=10_05.xlsx&amp;sheet=A0&amp;row=1381&amp;col=6&amp;number=1260000000&amp;sourceID=14","1260000000")</f>
        <v>1260000000</v>
      </c>
      <c r="G1381" s="4" t="str">
        <f>HYPERLINK("http://141.218.60.56/~jnz1568/getInfo.php?workbook=10_05.xlsx&amp;sheet=A0&amp;row=1381&amp;col=7&amp;number=0&amp;sourceID=14","0")</f>
        <v>0</v>
      </c>
    </row>
    <row r="1382" spans="1:7">
      <c r="A1382" s="3">
        <v>10</v>
      </c>
      <c r="B1382" s="3">
        <v>5</v>
      </c>
      <c r="C1382" s="3">
        <v>132</v>
      </c>
      <c r="D1382" s="3">
        <v>22</v>
      </c>
      <c r="E1382" s="3">
        <v>-344.485</v>
      </c>
      <c r="F1382" s="4" t="str">
        <f>HYPERLINK("http://141.218.60.56/~jnz1568/getInfo.php?workbook=10_05.xlsx&amp;sheet=A0&amp;row=1382&amp;col=6&amp;number=193000000&amp;sourceID=14","193000000")</f>
        <v>193000000</v>
      </c>
      <c r="G1382" s="4" t="str">
        <f>HYPERLINK("http://141.218.60.56/~jnz1568/getInfo.php?workbook=10_05.xlsx&amp;sheet=A0&amp;row=1382&amp;col=7&amp;number=0&amp;sourceID=14","0")</f>
        <v>0</v>
      </c>
    </row>
    <row r="1383" spans="1:7">
      <c r="A1383" s="3">
        <v>10</v>
      </c>
      <c r="B1383" s="3">
        <v>5</v>
      </c>
      <c r="C1383" s="3">
        <v>133</v>
      </c>
      <c r="D1383" s="3">
        <v>22</v>
      </c>
      <c r="E1383" s="3">
        <v>-344.238</v>
      </c>
      <c r="F1383" s="4" t="str">
        <f>HYPERLINK("http://141.218.60.56/~jnz1568/getInfo.php?workbook=10_05.xlsx&amp;sheet=A0&amp;row=1383&amp;col=6&amp;number=321000000&amp;sourceID=14","321000000")</f>
        <v>321000000</v>
      </c>
      <c r="G1383" s="4" t="str">
        <f>HYPERLINK("http://141.218.60.56/~jnz1568/getInfo.php?workbook=10_05.xlsx&amp;sheet=A0&amp;row=1383&amp;col=7&amp;number=0&amp;sourceID=14","0")</f>
        <v>0</v>
      </c>
    </row>
    <row r="1384" spans="1:7">
      <c r="A1384" s="3">
        <v>10</v>
      </c>
      <c r="B1384" s="3">
        <v>5</v>
      </c>
      <c r="C1384" s="3">
        <v>140</v>
      </c>
      <c r="D1384" s="3">
        <v>22</v>
      </c>
      <c r="E1384" s="3">
        <v>-338.599</v>
      </c>
      <c r="F1384" s="4" t="str">
        <f>HYPERLINK("http://141.218.60.56/~jnz1568/getInfo.php?workbook=10_05.xlsx&amp;sheet=A0&amp;row=1384&amp;col=6&amp;number=1590000&amp;sourceID=14","1590000")</f>
        <v>1590000</v>
      </c>
      <c r="G1384" s="4" t="str">
        <f>HYPERLINK("http://141.218.60.56/~jnz1568/getInfo.php?workbook=10_05.xlsx&amp;sheet=A0&amp;row=1384&amp;col=7&amp;number=0&amp;sourceID=14","0")</f>
        <v>0</v>
      </c>
    </row>
    <row r="1385" spans="1:7">
      <c r="A1385" s="3">
        <v>10</v>
      </c>
      <c r="B1385" s="3">
        <v>5</v>
      </c>
      <c r="C1385" s="3">
        <v>150</v>
      </c>
      <c r="D1385" s="3">
        <v>22</v>
      </c>
      <c r="E1385" s="3">
        <v>-330.828</v>
      </c>
      <c r="F1385" s="4" t="str">
        <f>HYPERLINK("http://141.218.60.56/~jnz1568/getInfo.php?workbook=10_05.xlsx&amp;sheet=A0&amp;row=1385&amp;col=6&amp;number=4200&amp;sourceID=14","4200")</f>
        <v>4200</v>
      </c>
      <c r="G1385" s="4" t="str">
        <f>HYPERLINK("http://141.218.60.56/~jnz1568/getInfo.php?workbook=10_05.xlsx&amp;sheet=A0&amp;row=1385&amp;col=7&amp;number=0&amp;sourceID=14","0")</f>
        <v>0</v>
      </c>
    </row>
    <row r="1386" spans="1:7">
      <c r="A1386" s="3">
        <v>10</v>
      </c>
      <c r="B1386" s="3">
        <v>5</v>
      </c>
      <c r="C1386" s="3">
        <v>151</v>
      </c>
      <c r="D1386" s="3">
        <v>22</v>
      </c>
      <c r="E1386" s="3">
        <v>-330.804</v>
      </c>
      <c r="F1386" s="4" t="str">
        <f>HYPERLINK("http://141.218.60.56/~jnz1568/getInfo.php?workbook=10_05.xlsx&amp;sheet=A0&amp;row=1386&amp;col=6&amp;number=3020&amp;sourceID=14","3020")</f>
        <v>3020</v>
      </c>
      <c r="G1386" s="4" t="str">
        <f>HYPERLINK("http://141.218.60.56/~jnz1568/getInfo.php?workbook=10_05.xlsx&amp;sheet=A0&amp;row=1386&amp;col=7&amp;number=0&amp;sourceID=14","0")</f>
        <v>0</v>
      </c>
    </row>
    <row r="1387" spans="1:7">
      <c r="A1387" s="3">
        <v>10</v>
      </c>
      <c r="B1387" s="3">
        <v>5</v>
      </c>
      <c r="C1387" s="3">
        <v>155</v>
      </c>
      <c r="D1387" s="3">
        <v>22</v>
      </c>
      <c r="E1387" s="3">
        <v>327.269</v>
      </c>
      <c r="F1387" s="4" t="str">
        <f>HYPERLINK("http://141.218.60.56/~jnz1568/getInfo.php?workbook=10_05.xlsx&amp;sheet=A0&amp;row=1387&amp;col=6&amp;number=1840&amp;sourceID=14","1840")</f>
        <v>1840</v>
      </c>
      <c r="G1387" s="4" t="str">
        <f>HYPERLINK("http://141.218.60.56/~jnz1568/getInfo.php?workbook=10_05.xlsx&amp;sheet=A0&amp;row=1387&amp;col=7&amp;number=0&amp;sourceID=14","0")</f>
        <v>0</v>
      </c>
    </row>
    <row r="1388" spans="1:7">
      <c r="A1388" s="3">
        <v>10</v>
      </c>
      <c r="B1388" s="3">
        <v>5</v>
      </c>
      <c r="C1388" s="3">
        <v>156</v>
      </c>
      <c r="D1388" s="3">
        <v>22</v>
      </c>
      <c r="E1388" s="3">
        <v>-326.38</v>
      </c>
      <c r="F1388" s="4" t="str">
        <f>HYPERLINK("http://141.218.60.56/~jnz1568/getInfo.php?workbook=10_05.xlsx&amp;sheet=A0&amp;row=1388&amp;col=6&amp;number=1.55&amp;sourceID=14","1.55")</f>
        <v>1.55</v>
      </c>
      <c r="G1388" s="4" t="str">
        <f>HYPERLINK("http://141.218.60.56/~jnz1568/getInfo.php?workbook=10_05.xlsx&amp;sheet=A0&amp;row=1388&amp;col=7&amp;number=0&amp;sourceID=14","0")</f>
        <v>0</v>
      </c>
    </row>
    <row r="1389" spans="1:7">
      <c r="A1389" s="3">
        <v>10</v>
      </c>
      <c r="B1389" s="3">
        <v>5</v>
      </c>
      <c r="C1389" s="3">
        <v>157</v>
      </c>
      <c r="D1389" s="3">
        <v>22</v>
      </c>
      <c r="E1389" s="3">
        <v>-326.189</v>
      </c>
      <c r="F1389" s="4" t="str">
        <f>HYPERLINK("http://141.218.60.56/~jnz1568/getInfo.php?workbook=10_05.xlsx&amp;sheet=A0&amp;row=1389&amp;col=6&amp;number=682&amp;sourceID=14","682")</f>
        <v>682</v>
      </c>
      <c r="G1389" s="4" t="str">
        <f>HYPERLINK("http://141.218.60.56/~jnz1568/getInfo.php?workbook=10_05.xlsx&amp;sheet=A0&amp;row=1389&amp;col=7&amp;number=0&amp;sourceID=14","0")</f>
        <v>0</v>
      </c>
    </row>
    <row r="1390" spans="1:7">
      <c r="A1390" s="3">
        <v>10</v>
      </c>
      <c r="B1390" s="3">
        <v>5</v>
      </c>
      <c r="C1390" s="3">
        <v>160</v>
      </c>
      <c r="D1390" s="3">
        <v>22</v>
      </c>
      <c r="E1390" s="3">
        <v>-324.848</v>
      </c>
      <c r="F1390" s="4" t="str">
        <f>HYPERLINK("http://141.218.60.56/~jnz1568/getInfo.php?workbook=10_05.xlsx&amp;sheet=A0&amp;row=1390&amp;col=6&amp;number=207000&amp;sourceID=14","207000")</f>
        <v>207000</v>
      </c>
      <c r="G1390" s="4" t="str">
        <f>HYPERLINK("http://141.218.60.56/~jnz1568/getInfo.php?workbook=10_05.xlsx&amp;sheet=A0&amp;row=1390&amp;col=7&amp;number=0&amp;sourceID=14","0")</f>
        <v>0</v>
      </c>
    </row>
    <row r="1391" spans="1:7">
      <c r="A1391" s="3">
        <v>10</v>
      </c>
      <c r="B1391" s="3">
        <v>5</v>
      </c>
      <c r="C1391" s="3">
        <v>161</v>
      </c>
      <c r="D1391" s="3">
        <v>22</v>
      </c>
      <c r="E1391" s="3">
        <v>324.518</v>
      </c>
      <c r="F1391" s="4" t="str">
        <f>HYPERLINK("http://141.218.60.56/~jnz1568/getInfo.php?workbook=10_05.xlsx&amp;sheet=A0&amp;row=1391&amp;col=6&amp;number=1440&amp;sourceID=14","1440")</f>
        <v>1440</v>
      </c>
      <c r="G1391" s="4" t="str">
        <f>HYPERLINK("http://141.218.60.56/~jnz1568/getInfo.php?workbook=10_05.xlsx&amp;sheet=A0&amp;row=1391&amp;col=7&amp;number=0&amp;sourceID=14","0")</f>
        <v>0</v>
      </c>
    </row>
    <row r="1392" spans="1:7">
      <c r="A1392" s="3">
        <v>10</v>
      </c>
      <c r="B1392" s="3">
        <v>5</v>
      </c>
      <c r="C1392" s="3">
        <v>162</v>
      </c>
      <c r="D1392" s="3">
        <v>22</v>
      </c>
      <c r="E1392" s="3">
        <v>324.202</v>
      </c>
      <c r="F1392" s="4" t="str">
        <f>HYPERLINK("http://141.218.60.56/~jnz1568/getInfo.php?workbook=10_05.xlsx&amp;sheet=A0&amp;row=1392&amp;col=6&amp;number=1560&amp;sourceID=14","1560")</f>
        <v>1560</v>
      </c>
      <c r="G1392" s="4" t="str">
        <f>HYPERLINK("http://141.218.60.56/~jnz1568/getInfo.php?workbook=10_05.xlsx&amp;sheet=A0&amp;row=1392&amp;col=7&amp;number=0&amp;sourceID=14","0")</f>
        <v>0</v>
      </c>
    </row>
    <row r="1393" spans="1:7">
      <c r="A1393" s="3">
        <v>10</v>
      </c>
      <c r="B1393" s="3">
        <v>5</v>
      </c>
      <c r="C1393" s="3">
        <v>163</v>
      </c>
      <c r="D1393" s="3">
        <v>22</v>
      </c>
      <c r="E1393" s="3">
        <v>-310.557</v>
      </c>
      <c r="F1393" s="4" t="str">
        <f>HYPERLINK("http://141.218.60.56/~jnz1568/getInfo.php?workbook=10_05.xlsx&amp;sheet=A0&amp;row=1393&amp;col=6&amp;number=1600&amp;sourceID=14","1600")</f>
        <v>1600</v>
      </c>
      <c r="G1393" s="4" t="str">
        <f>HYPERLINK("http://141.218.60.56/~jnz1568/getInfo.php?workbook=10_05.xlsx&amp;sheet=A0&amp;row=1393&amp;col=7&amp;number=0&amp;sourceID=14","0")</f>
        <v>0</v>
      </c>
    </row>
    <row r="1394" spans="1:7">
      <c r="A1394" s="3">
        <v>10</v>
      </c>
      <c r="B1394" s="3">
        <v>5</v>
      </c>
      <c r="C1394" s="3">
        <v>168</v>
      </c>
      <c r="D1394" s="3">
        <v>22</v>
      </c>
      <c r="E1394" s="3">
        <v>-257.287</v>
      </c>
      <c r="F1394" s="4" t="str">
        <f>HYPERLINK("http://141.218.60.56/~jnz1568/getInfo.php?workbook=10_05.xlsx&amp;sheet=A0&amp;row=1394&amp;col=6&amp;number=93.1&amp;sourceID=14","93.1")</f>
        <v>93.1</v>
      </c>
      <c r="G1394" s="4" t="str">
        <f>HYPERLINK("http://141.218.60.56/~jnz1568/getInfo.php?workbook=10_05.xlsx&amp;sheet=A0&amp;row=1394&amp;col=7&amp;number=0&amp;sourceID=14","0")</f>
        <v>0</v>
      </c>
    </row>
    <row r="1395" spans="1:7">
      <c r="A1395" s="3">
        <v>10</v>
      </c>
      <c r="B1395" s="3">
        <v>5</v>
      </c>
      <c r="C1395" s="3">
        <v>169</v>
      </c>
      <c r="D1395" s="3">
        <v>22</v>
      </c>
      <c r="E1395" s="3">
        <v>-257.255</v>
      </c>
      <c r="F1395" s="4" t="str">
        <f>HYPERLINK("http://141.218.60.56/~jnz1568/getInfo.php?workbook=10_05.xlsx&amp;sheet=A0&amp;row=1395&amp;col=6&amp;number=171&amp;sourceID=14","171")</f>
        <v>171</v>
      </c>
      <c r="G1395" s="4" t="str">
        <f>HYPERLINK("http://141.218.60.56/~jnz1568/getInfo.php?workbook=10_05.xlsx&amp;sheet=A0&amp;row=1395&amp;col=7&amp;number=0&amp;sourceID=14","0")</f>
        <v>0</v>
      </c>
    </row>
    <row r="1396" spans="1:7">
      <c r="A1396" s="3">
        <v>10</v>
      </c>
      <c r="B1396" s="3">
        <v>5</v>
      </c>
      <c r="C1396" s="3">
        <v>170</v>
      </c>
      <c r="D1396" s="3">
        <v>22</v>
      </c>
      <c r="E1396" s="3">
        <v>-251.199</v>
      </c>
      <c r="F1396" s="4" t="str">
        <f>HYPERLINK("http://141.218.60.56/~jnz1568/getInfo.php?workbook=10_05.xlsx&amp;sheet=A0&amp;row=1396&amp;col=6&amp;number=118&amp;sourceID=14","118")</f>
        <v>118</v>
      </c>
      <c r="G1396" s="4" t="str">
        <f>HYPERLINK("http://141.218.60.56/~jnz1568/getInfo.php?workbook=10_05.xlsx&amp;sheet=A0&amp;row=1396&amp;col=7&amp;number=0&amp;sourceID=14","0")</f>
        <v>0</v>
      </c>
    </row>
    <row r="1397" spans="1:7">
      <c r="A1397" s="3">
        <v>10</v>
      </c>
      <c r="B1397" s="3">
        <v>5</v>
      </c>
      <c r="C1397" s="3">
        <v>171</v>
      </c>
      <c r="D1397" s="3">
        <v>22</v>
      </c>
      <c r="E1397" s="3">
        <v>-251.139</v>
      </c>
      <c r="F1397" s="4" t="str">
        <f>HYPERLINK("http://141.218.60.56/~jnz1568/getInfo.php?workbook=10_05.xlsx&amp;sheet=A0&amp;row=1397&amp;col=6&amp;number=174&amp;sourceID=14","174")</f>
        <v>174</v>
      </c>
      <c r="G1397" s="4" t="str">
        <f>HYPERLINK("http://141.218.60.56/~jnz1568/getInfo.php?workbook=10_05.xlsx&amp;sheet=A0&amp;row=1397&amp;col=7&amp;number=0&amp;sourceID=14","0")</f>
        <v>0</v>
      </c>
    </row>
    <row r="1398" spans="1:7">
      <c r="A1398" s="3">
        <v>10</v>
      </c>
      <c r="B1398" s="3">
        <v>5</v>
      </c>
      <c r="C1398" s="3">
        <v>172</v>
      </c>
      <c r="D1398" s="3">
        <v>22</v>
      </c>
      <c r="E1398" s="3">
        <v>-249.915</v>
      </c>
      <c r="F1398" s="4" t="str">
        <f>HYPERLINK("http://141.218.60.56/~jnz1568/getInfo.php?workbook=10_05.xlsx&amp;sheet=A0&amp;row=1398&amp;col=6&amp;number=39.3&amp;sourceID=14","39.3")</f>
        <v>39.3</v>
      </c>
      <c r="G1398" s="4" t="str">
        <f>HYPERLINK("http://141.218.60.56/~jnz1568/getInfo.php?workbook=10_05.xlsx&amp;sheet=A0&amp;row=1398&amp;col=7&amp;number=0&amp;sourceID=14","0")</f>
        <v>0</v>
      </c>
    </row>
    <row r="1399" spans="1:7">
      <c r="A1399" s="3">
        <v>10</v>
      </c>
      <c r="B1399" s="3">
        <v>5</v>
      </c>
      <c r="C1399" s="3">
        <v>173</v>
      </c>
      <c r="D1399" s="3">
        <v>22</v>
      </c>
      <c r="E1399" s="3">
        <v>-249.901</v>
      </c>
      <c r="F1399" s="4" t="str">
        <f>HYPERLINK("http://141.218.60.56/~jnz1568/getInfo.php?workbook=10_05.xlsx&amp;sheet=A0&amp;row=1399&amp;col=6&amp;number=840&amp;sourceID=14","840")</f>
        <v>840</v>
      </c>
      <c r="G1399" s="4" t="str">
        <f>HYPERLINK("http://141.218.60.56/~jnz1568/getInfo.php?workbook=10_05.xlsx&amp;sheet=A0&amp;row=1399&amp;col=7&amp;number=0&amp;sourceID=14","0")</f>
        <v>0</v>
      </c>
    </row>
    <row r="1400" spans="1:7">
      <c r="A1400" s="3">
        <v>10</v>
      </c>
      <c r="B1400" s="3">
        <v>5</v>
      </c>
      <c r="C1400" s="3">
        <v>174</v>
      </c>
      <c r="D1400" s="3">
        <v>22</v>
      </c>
      <c r="E1400" s="3">
        <v>-248.59</v>
      </c>
      <c r="F1400" s="4" t="str">
        <f>HYPERLINK("http://141.218.60.56/~jnz1568/getInfo.php?workbook=10_05.xlsx&amp;sheet=A0&amp;row=1400&amp;col=6&amp;number=3500&amp;sourceID=14","3500")</f>
        <v>3500</v>
      </c>
      <c r="G1400" s="4" t="str">
        <f>HYPERLINK("http://141.218.60.56/~jnz1568/getInfo.php?workbook=10_05.xlsx&amp;sheet=A0&amp;row=1400&amp;col=7&amp;number=0&amp;sourceID=14","0")</f>
        <v>0</v>
      </c>
    </row>
    <row r="1401" spans="1:7">
      <c r="A1401" s="3">
        <v>10</v>
      </c>
      <c r="B1401" s="3">
        <v>5</v>
      </c>
      <c r="C1401" s="3">
        <v>27</v>
      </c>
      <c r="D1401" s="3">
        <v>23</v>
      </c>
      <c r="E1401" s="3">
        <v>2389.491</v>
      </c>
      <c r="F1401" s="4" t="str">
        <f>HYPERLINK("http://141.218.60.56/~jnz1568/getInfo.php?workbook=10_05.xlsx&amp;sheet=A0&amp;row=1401&amp;col=6&amp;number=27200&amp;sourceID=14","27200")</f>
        <v>27200</v>
      </c>
      <c r="G1401" s="4" t="str">
        <f>HYPERLINK("http://141.218.60.56/~jnz1568/getInfo.php?workbook=10_05.xlsx&amp;sheet=A0&amp;row=1401&amp;col=7&amp;number=0&amp;sourceID=14","0")</f>
        <v>0</v>
      </c>
    </row>
    <row r="1402" spans="1:7">
      <c r="A1402" s="3">
        <v>10</v>
      </c>
      <c r="B1402" s="3">
        <v>5</v>
      </c>
      <c r="C1402" s="3">
        <v>29</v>
      </c>
      <c r="D1402" s="3">
        <v>23</v>
      </c>
      <c r="E1402" s="3">
        <v>-2310.54</v>
      </c>
      <c r="F1402" s="4" t="str">
        <f>HYPERLINK("http://141.218.60.56/~jnz1568/getInfo.php?workbook=10_05.xlsx&amp;sheet=A0&amp;row=1402&amp;col=6&amp;number=7420000&amp;sourceID=14","7420000")</f>
        <v>7420000</v>
      </c>
      <c r="G1402" s="4" t="str">
        <f>HYPERLINK("http://141.218.60.56/~jnz1568/getInfo.php?workbook=10_05.xlsx&amp;sheet=A0&amp;row=1402&amp;col=7&amp;number=0&amp;sourceID=14","0")</f>
        <v>0</v>
      </c>
    </row>
    <row r="1403" spans="1:7">
      <c r="A1403" s="3">
        <v>10</v>
      </c>
      <c r="B1403" s="3">
        <v>5</v>
      </c>
      <c r="C1403" s="3">
        <v>30</v>
      </c>
      <c r="D1403" s="3">
        <v>23</v>
      </c>
      <c r="E1403" s="3">
        <v>2287.555</v>
      </c>
      <c r="F1403" s="4" t="str">
        <f>HYPERLINK("http://141.218.60.56/~jnz1568/getInfo.php?workbook=10_05.xlsx&amp;sheet=A0&amp;row=1403&amp;col=6&amp;number=47100000&amp;sourceID=14","47100000")</f>
        <v>47100000</v>
      </c>
      <c r="G1403" s="4" t="str">
        <f>HYPERLINK("http://141.218.60.56/~jnz1568/getInfo.php?workbook=10_05.xlsx&amp;sheet=A0&amp;row=1403&amp;col=7&amp;number=0&amp;sourceID=14","0")</f>
        <v>0</v>
      </c>
    </row>
    <row r="1404" spans="1:7">
      <c r="A1404" s="3">
        <v>10</v>
      </c>
      <c r="B1404" s="3">
        <v>5</v>
      </c>
      <c r="C1404" s="3">
        <v>31</v>
      </c>
      <c r="D1404" s="3">
        <v>23</v>
      </c>
      <c r="E1404" s="3">
        <v>2253.922</v>
      </c>
      <c r="F1404" s="4" t="str">
        <f>HYPERLINK("http://141.218.60.56/~jnz1568/getInfo.php?workbook=10_05.xlsx&amp;sheet=A0&amp;row=1404&amp;col=6&amp;number=172000000&amp;sourceID=14","172000000")</f>
        <v>172000000</v>
      </c>
      <c r="G1404" s="4" t="str">
        <f>HYPERLINK("http://141.218.60.56/~jnz1568/getInfo.php?workbook=10_05.xlsx&amp;sheet=A0&amp;row=1404&amp;col=7&amp;number=0&amp;sourceID=14","0")</f>
        <v>0</v>
      </c>
    </row>
    <row r="1405" spans="1:7">
      <c r="A1405" s="3">
        <v>10</v>
      </c>
      <c r="B1405" s="3">
        <v>5</v>
      </c>
      <c r="C1405" s="3">
        <v>32</v>
      </c>
      <c r="D1405" s="3">
        <v>23</v>
      </c>
      <c r="E1405" s="3">
        <v>-1927.417</v>
      </c>
      <c r="F1405" s="4" t="str">
        <f>HYPERLINK("http://141.218.60.56/~jnz1568/getInfo.php?workbook=10_05.xlsx&amp;sheet=A0&amp;row=1405&amp;col=6&amp;number=124000000&amp;sourceID=14","124000000")</f>
        <v>124000000</v>
      </c>
      <c r="G1405" s="4" t="str">
        <f>HYPERLINK("http://141.218.60.56/~jnz1568/getInfo.php?workbook=10_05.xlsx&amp;sheet=A0&amp;row=1405&amp;col=7&amp;number=0&amp;sourceID=14","0")</f>
        <v>0</v>
      </c>
    </row>
    <row r="1406" spans="1:7">
      <c r="A1406" s="3">
        <v>10</v>
      </c>
      <c r="B1406" s="3">
        <v>5</v>
      </c>
      <c r="C1406" s="3">
        <v>34</v>
      </c>
      <c r="D1406" s="3">
        <v>23</v>
      </c>
      <c r="E1406" s="3">
        <v>-1658.68</v>
      </c>
      <c r="F1406" s="4" t="str">
        <f>HYPERLINK("http://141.218.60.56/~jnz1568/getInfo.php?workbook=10_05.xlsx&amp;sheet=A0&amp;row=1406&amp;col=6&amp;number=234000000&amp;sourceID=14","234000000")</f>
        <v>234000000</v>
      </c>
      <c r="G1406" s="4" t="str">
        <f>HYPERLINK("http://141.218.60.56/~jnz1568/getInfo.php?workbook=10_05.xlsx&amp;sheet=A0&amp;row=1406&amp;col=7&amp;number=0&amp;sourceID=14","0")</f>
        <v>0</v>
      </c>
    </row>
    <row r="1407" spans="1:7">
      <c r="A1407" s="3">
        <v>10</v>
      </c>
      <c r="B1407" s="3">
        <v>5</v>
      </c>
      <c r="C1407" s="3">
        <v>35</v>
      </c>
      <c r="D1407" s="3">
        <v>23</v>
      </c>
      <c r="E1407" s="3">
        <v>-1646.988</v>
      </c>
      <c r="F1407" s="4" t="str">
        <f>HYPERLINK("http://141.218.60.56/~jnz1568/getInfo.php?workbook=10_05.xlsx&amp;sheet=A0&amp;row=1407&amp;col=6&amp;number=345000000&amp;sourceID=14","345000000")</f>
        <v>345000000</v>
      </c>
      <c r="G1407" s="4" t="str">
        <f>HYPERLINK("http://141.218.60.56/~jnz1568/getInfo.php?workbook=10_05.xlsx&amp;sheet=A0&amp;row=1407&amp;col=7&amp;number=0&amp;sourceID=14","0")</f>
        <v>0</v>
      </c>
    </row>
    <row r="1408" spans="1:7">
      <c r="A1408" s="3">
        <v>10</v>
      </c>
      <c r="B1408" s="3">
        <v>5</v>
      </c>
      <c r="C1408" s="3">
        <v>36</v>
      </c>
      <c r="D1408" s="3">
        <v>23</v>
      </c>
      <c r="E1408" s="3">
        <v>1531.631</v>
      </c>
      <c r="F1408" s="4" t="str">
        <f>HYPERLINK("http://141.218.60.56/~jnz1568/getInfo.php?workbook=10_05.xlsx&amp;sheet=A0&amp;row=1408&amp;col=6&amp;number=47500&amp;sourceID=14","47500")</f>
        <v>47500</v>
      </c>
      <c r="G1408" s="4" t="str">
        <f>HYPERLINK("http://141.218.60.56/~jnz1568/getInfo.php?workbook=10_05.xlsx&amp;sheet=A0&amp;row=1408&amp;col=7&amp;number=0&amp;sourceID=14","0")</f>
        <v>0</v>
      </c>
    </row>
    <row r="1409" spans="1:7">
      <c r="A1409" s="3">
        <v>10</v>
      </c>
      <c r="B1409" s="3">
        <v>5</v>
      </c>
      <c r="C1409" s="3">
        <v>37</v>
      </c>
      <c r="D1409" s="3">
        <v>23</v>
      </c>
      <c r="E1409" s="3">
        <v>1513.091</v>
      </c>
      <c r="F1409" s="4" t="str">
        <f>HYPERLINK("http://141.218.60.56/~jnz1568/getInfo.php?workbook=10_05.xlsx&amp;sheet=A0&amp;row=1409&amp;col=6&amp;number=404000&amp;sourceID=14","404000")</f>
        <v>404000</v>
      </c>
      <c r="G1409" s="4" t="str">
        <f>HYPERLINK("http://141.218.60.56/~jnz1568/getInfo.php?workbook=10_05.xlsx&amp;sheet=A0&amp;row=1409&amp;col=7&amp;number=0&amp;sourceID=14","0")</f>
        <v>0</v>
      </c>
    </row>
    <row r="1410" spans="1:7">
      <c r="A1410" s="3">
        <v>10</v>
      </c>
      <c r="B1410" s="3">
        <v>5</v>
      </c>
      <c r="C1410" s="3">
        <v>59</v>
      </c>
      <c r="D1410" s="3">
        <v>23</v>
      </c>
      <c r="E1410" s="3">
        <v>661.421</v>
      </c>
      <c r="F1410" s="4" t="str">
        <f>HYPERLINK("http://141.218.60.56/~jnz1568/getInfo.php?workbook=10_05.xlsx&amp;sheet=A0&amp;row=1410&amp;col=6&amp;number=9880&amp;sourceID=14","9880")</f>
        <v>9880</v>
      </c>
      <c r="G1410" s="4" t="str">
        <f>HYPERLINK("http://141.218.60.56/~jnz1568/getInfo.php?workbook=10_05.xlsx&amp;sheet=A0&amp;row=1410&amp;col=7&amp;number=0&amp;sourceID=14","0")</f>
        <v>0</v>
      </c>
    </row>
    <row r="1411" spans="1:7">
      <c r="A1411" s="3">
        <v>10</v>
      </c>
      <c r="B1411" s="3">
        <v>5</v>
      </c>
      <c r="C1411" s="3">
        <v>60</v>
      </c>
      <c r="D1411" s="3">
        <v>23</v>
      </c>
      <c r="E1411" s="3">
        <v>660.809</v>
      </c>
      <c r="F1411" s="4" t="str">
        <f>HYPERLINK("http://141.218.60.56/~jnz1568/getInfo.php?workbook=10_05.xlsx&amp;sheet=A0&amp;row=1411&amp;col=6&amp;number=44400&amp;sourceID=14","44400")</f>
        <v>44400</v>
      </c>
      <c r="G1411" s="4" t="str">
        <f>HYPERLINK("http://141.218.60.56/~jnz1568/getInfo.php?workbook=10_05.xlsx&amp;sheet=A0&amp;row=1411&amp;col=7&amp;number=0&amp;sourceID=14","0")</f>
        <v>0</v>
      </c>
    </row>
    <row r="1412" spans="1:7">
      <c r="A1412" s="3">
        <v>10</v>
      </c>
      <c r="B1412" s="3">
        <v>5</v>
      </c>
      <c r="C1412" s="3">
        <v>62</v>
      </c>
      <c r="D1412" s="3">
        <v>23</v>
      </c>
      <c r="E1412" s="3">
        <v>652.998</v>
      </c>
      <c r="F1412" s="4" t="str">
        <f>HYPERLINK("http://141.218.60.56/~jnz1568/getInfo.php?workbook=10_05.xlsx&amp;sheet=A0&amp;row=1412&amp;col=6&amp;number=13300&amp;sourceID=14","13300")</f>
        <v>13300</v>
      </c>
      <c r="G1412" s="4" t="str">
        <f>HYPERLINK("http://141.218.60.56/~jnz1568/getInfo.php?workbook=10_05.xlsx&amp;sheet=A0&amp;row=1412&amp;col=7&amp;number=0&amp;sourceID=14","0")</f>
        <v>0</v>
      </c>
    </row>
    <row r="1413" spans="1:7">
      <c r="A1413" s="3">
        <v>10</v>
      </c>
      <c r="B1413" s="3">
        <v>5</v>
      </c>
      <c r="C1413" s="3">
        <v>66</v>
      </c>
      <c r="D1413" s="3">
        <v>23</v>
      </c>
      <c r="E1413" s="3">
        <v>542.771</v>
      </c>
      <c r="F1413" s="4" t="str">
        <f>HYPERLINK("http://141.218.60.56/~jnz1568/getInfo.php?workbook=10_05.xlsx&amp;sheet=A0&amp;row=1413&amp;col=6&amp;number=232&amp;sourceID=14","232")</f>
        <v>232</v>
      </c>
      <c r="G1413" s="4" t="str">
        <f>HYPERLINK("http://141.218.60.56/~jnz1568/getInfo.php?workbook=10_05.xlsx&amp;sheet=A0&amp;row=1413&amp;col=7&amp;number=0&amp;sourceID=14","0")</f>
        <v>0</v>
      </c>
    </row>
    <row r="1414" spans="1:7">
      <c r="A1414" s="3">
        <v>10</v>
      </c>
      <c r="B1414" s="3">
        <v>5</v>
      </c>
      <c r="C1414" s="3">
        <v>67</v>
      </c>
      <c r="D1414" s="3">
        <v>23</v>
      </c>
      <c r="E1414" s="3">
        <v>542.771</v>
      </c>
      <c r="F1414" s="4" t="str">
        <f>HYPERLINK("http://141.218.60.56/~jnz1568/getInfo.php?workbook=10_05.xlsx&amp;sheet=A0&amp;row=1414&amp;col=6&amp;number=1160&amp;sourceID=14","1160")</f>
        <v>1160</v>
      </c>
      <c r="G1414" s="4" t="str">
        <f>HYPERLINK("http://141.218.60.56/~jnz1568/getInfo.php?workbook=10_05.xlsx&amp;sheet=A0&amp;row=1414&amp;col=7&amp;number=0&amp;sourceID=14","0")</f>
        <v>0</v>
      </c>
    </row>
    <row r="1415" spans="1:7">
      <c r="A1415" s="3">
        <v>10</v>
      </c>
      <c r="B1415" s="3">
        <v>5</v>
      </c>
      <c r="C1415" s="3">
        <v>71</v>
      </c>
      <c r="D1415" s="3">
        <v>23</v>
      </c>
      <c r="E1415" s="3">
        <v>530.73</v>
      </c>
      <c r="F1415" s="4" t="str">
        <f>HYPERLINK("http://141.218.60.56/~jnz1568/getInfo.php?workbook=10_05.xlsx&amp;sheet=A0&amp;row=1415&amp;col=6&amp;number=1700000000&amp;sourceID=14","1700000000")</f>
        <v>1700000000</v>
      </c>
      <c r="G1415" s="4" t="str">
        <f>HYPERLINK("http://141.218.60.56/~jnz1568/getInfo.php?workbook=10_05.xlsx&amp;sheet=A0&amp;row=1415&amp;col=7&amp;number=0&amp;sourceID=14","0")</f>
        <v>0</v>
      </c>
    </row>
    <row r="1416" spans="1:7">
      <c r="A1416" s="3">
        <v>10</v>
      </c>
      <c r="B1416" s="3">
        <v>5</v>
      </c>
      <c r="C1416" s="3">
        <v>72</v>
      </c>
      <c r="D1416" s="3">
        <v>23</v>
      </c>
      <c r="E1416" s="3">
        <v>530.73</v>
      </c>
      <c r="F1416" s="4" t="str">
        <f>HYPERLINK("http://141.218.60.56/~jnz1568/getInfo.php?workbook=10_05.xlsx&amp;sheet=A0&amp;row=1416&amp;col=6&amp;number=2670000000&amp;sourceID=14","2670000000")</f>
        <v>2670000000</v>
      </c>
      <c r="G1416" s="4" t="str">
        <f>HYPERLINK("http://141.218.60.56/~jnz1568/getInfo.php?workbook=10_05.xlsx&amp;sheet=A0&amp;row=1416&amp;col=7&amp;number=0&amp;sourceID=14","0")</f>
        <v>0</v>
      </c>
    </row>
    <row r="1417" spans="1:7">
      <c r="A1417" s="3">
        <v>10</v>
      </c>
      <c r="B1417" s="3">
        <v>5</v>
      </c>
      <c r="C1417" s="3">
        <v>78</v>
      </c>
      <c r="D1417" s="3">
        <v>23</v>
      </c>
      <c r="E1417" s="3">
        <v>-468.22</v>
      </c>
      <c r="F1417" s="4" t="str">
        <f>HYPERLINK("http://141.218.60.56/~jnz1568/getInfo.php?workbook=10_05.xlsx&amp;sheet=A0&amp;row=1417&amp;col=6&amp;number=385000&amp;sourceID=14","385000")</f>
        <v>385000</v>
      </c>
      <c r="G1417" s="4" t="str">
        <f>HYPERLINK("http://141.218.60.56/~jnz1568/getInfo.php?workbook=10_05.xlsx&amp;sheet=A0&amp;row=1417&amp;col=7&amp;number=0&amp;sourceID=14","0")</f>
        <v>0</v>
      </c>
    </row>
    <row r="1418" spans="1:7">
      <c r="A1418" s="3">
        <v>10</v>
      </c>
      <c r="B1418" s="3">
        <v>5</v>
      </c>
      <c r="C1418" s="3">
        <v>80</v>
      </c>
      <c r="D1418" s="3">
        <v>23</v>
      </c>
      <c r="E1418" s="3">
        <v>451.631</v>
      </c>
      <c r="F1418" s="4" t="str">
        <f>HYPERLINK("http://141.218.60.56/~jnz1568/getInfo.php?workbook=10_05.xlsx&amp;sheet=A0&amp;row=1418&amp;col=6&amp;number=99700&amp;sourceID=14","99700")</f>
        <v>99700</v>
      </c>
      <c r="G1418" s="4" t="str">
        <f>HYPERLINK("http://141.218.60.56/~jnz1568/getInfo.php?workbook=10_05.xlsx&amp;sheet=A0&amp;row=1418&amp;col=7&amp;number=0&amp;sourceID=14","0")</f>
        <v>0</v>
      </c>
    </row>
    <row r="1419" spans="1:7">
      <c r="A1419" s="3">
        <v>10</v>
      </c>
      <c r="B1419" s="3">
        <v>5</v>
      </c>
      <c r="C1419" s="3">
        <v>81</v>
      </c>
      <c r="D1419" s="3">
        <v>23</v>
      </c>
      <c r="E1419" s="3">
        <v>451.631</v>
      </c>
      <c r="F1419" s="4" t="str">
        <f>HYPERLINK("http://141.218.60.56/~jnz1568/getInfo.php?workbook=10_05.xlsx&amp;sheet=A0&amp;row=1419&amp;col=6&amp;number=905000&amp;sourceID=14","905000")</f>
        <v>905000</v>
      </c>
      <c r="G1419" s="4" t="str">
        <f>HYPERLINK("http://141.218.60.56/~jnz1568/getInfo.php?workbook=10_05.xlsx&amp;sheet=A0&amp;row=1419&amp;col=7&amp;number=0&amp;sourceID=14","0")</f>
        <v>0</v>
      </c>
    </row>
    <row r="1420" spans="1:7">
      <c r="A1420" s="3">
        <v>10</v>
      </c>
      <c r="B1420" s="3">
        <v>5</v>
      </c>
      <c r="C1420" s="3">
        <v>99</v>
      </c>
      <c r="D1420" s="3">
        <v>23</v>
      </c>
      <c r="E1420" s="3">
        <v>-377.72</v>
      </c>
      <c r="F1420" s="4" t="str">
        <f>HYPERLINK("http://141.218.60.56/~jnz1568/getInfo.php?workbook=10_05.xlsx&amp;sheet=A0&amp;row=1420&amp;col=6&amp;number=26300&amp;sourceID=14","26300")</f>
        <v>26300</v>
      </c>
      <c r="G1420" s="4" t="str">
        <f>HYPERLINK("http://141.218.60.56/~jnz1568/getInfo.php?workbook=10_05.xlsx&amp;sheet=A0&amp;row=1420&amp;col=7&amp;number=0&amp;sourceID=14","0")</f>
        <v>0</v>
      </c>
    </row>
    <row r="1421" spans="1:7">
      <c r="A1421" s="3">
        <v>10</v>
      </c>
      <c r="B1421" s="3">
        <v>5</v>
      </c>
      <c r="C1421" s="3">
        <v>100</v>
      </c>
      <c r="D1421" s="3">
        <v>23</v>
      </c>
      <c r="E1421" s="3">
        <v>-377.345</v>
      </c>
      <c r="F1421" s="4" t="str">
        <f>HYPERLINK("http://141.218.60.56/~jnz1568/getInfo.php?workbook=10_05.xlsx&amp;sheet=A0&amp;row=1421&amp;col=6&amp;number=340000&amp;sourceID=14","340000")</f>
        <v>340000</v>
      </c>
      <c r="G1421" s="4" t="str">
        <f>HYPERLINK("http://141.218.60.56/~jnz1568/getInfo.php?workbook=10_05.xlsx&amp;sheet=A0&amp;row=1421&amp;col=7&amp;number=0&amp;sourceID=14","0")</f>
        <v>0</v>
      </c>
    </row>
    <row r="1422" spans="1:7">
      <c r="A1422" s="3">
        <v>10</v>
      </c>
      <c r="B1422" s="3">
        <v>5</v>
      </c>
      <c r="C1422" s="3">
        <v>102</v>
      </c>
      <c r="D1422" s="3">
        <v>23</v>
      </c>
      <c r="E1422" s="3">
        <v>-376.81</v>
      </c>
      <c r="F1422" s="4" t="str">
        <f>HYPERLINK("http://141.218.60.56/~jnz1568/getInfo.php?workbook=10_05.xlsx&amp;sheet=A0&amp;row=1422&amp;col=6&amp;number=1310000&amp;sourceID=14","1310000")</f>
        <v>1310000</v>
      </c>
      <c r="G1422" s="4" t="str">
        <f>HYPERLINK("http://141.218.60.56/~jnz1568/getInfo.php?workbook=10_05.xlsx&amp;sheet=A0&amp;row=1422&amp;col=7&amp;number=0&amp;sourceID=14","0")</f>
        <v>0</v>
      </c>
    </row>
    <row r="1423" spans="1:7">
      <c r="A1423" s="3">
        <v>10</v>
      </c>
      <c r="B1423" s="3">
        <v>5</v>
      </c>
      <c r="C1423" s="3">
        <v>106</v>
      </c>
      <c r="D1423" s="3">
        <v>23</v>
      </c>
      <c r="E1423" s="3">
        <v>-369.207</v>
      </c>
      <c r="F1423" s="4" t="str">
        <f>HYPERLINK("http://141.218.60.56/~jnz1568/getInfo.php?workbook=10_05.xlsx&amp;sheet=A0&amp;row=1423&amp;col=6&amp;number=34900000&amp;sourceID=14","34900000")</f>
        <v>34900000</v>
      </c>
      <c r="G1423" s="4" t="str">
        <f>HYPERLINK("http://141.218.60.56/~jnz1568/getInfo.php?workbook=10_05.xlsx&amp;sheet=A0&amp;row=1423&amp;col=7&amp;number=0&amp;sourceID=14","0")</f>
        <v>0</v>
      </c>
    </row>
    <row r="1424" spans="1:7">
      <c r="A1424" s="3">
        <v>10</v>
      </c>
      <c r="B1424" s="3">
        <v>5</v>
      </c>
      <c r="C1424" s="3">
        <v>107</v>
      </c>
      <c r="D1424" s="3">
        <v>23</v>
      </c>
      <c r="E1424" s="3">
        <v>-368.829</v>
      </c>
      <c r="F1424" s="4" t="str">
        <f>HYPERLINK("http://141.218.60.56/~jnz1568/getInfo.php?workbook=10_05.xlsx&amp;sheet=A0&amp;row=1424&amp;col=6&amp;number=245000000&amp;sourceID=14","245000000")</f>
        <v>245000000</v>
      </c>
      <c r="G1424" s="4" t="str">
        <f>HYPERLINK("http://141.218.60.56/~jnz1568/getInfo.php?workbook=10_05.xlsx&amp;sheet=A0&amp;row=1424&amp;col=7&amp;number=0&amp;sourceID=14","0")</f>
        <v>0</v>
      </c>
    </row>
    <row r="1425" spans="1:7">
      <c r="A1425" s="3">
        <v>10</v>
      </c>
      <c r="B1425" s="3">
        <v>5</v>
      </c>
      <c r="C1425" s="3">
        <v>108</v>
      </c>
      <c r="D1425" s="3">
        <v>23</v>
      </c>
      <c r="E1425" s="3">
        <v>-368.436</v>
      </c>
      <c r="F1425" s="4" t="str">
        <f>HYPERLINK("http://141.218.60.56/~jnz1568/getInfo.php?workbook=10_05.xlsx&amp;sheet=A0&amp;row=1425&amp;col=6&amp;number=882000000&amp;sourceID=14","882000000")</f>
        <v>882000000</v>
      </c>
      <c r="G1425" s="4" t="str">
        <f>HYPERLINK("http://141.218.60.56/~jnz1568/getInfo.php?workbook=10_05.xlsx&amp;sheet=A0&amp;row=1425&amp;col=7&amp;number=0&amp;sourceID=14","0")</f>
        <v>0</v>
      </c>
    </row>
    <row r="1426" spans="1:7">
      <c r="A1426" s="3">
        <v>10</v>
      </c>
      <c r="B1426" s="3">
        <v>5</v>
      </c>
      <c r="C1426" s="3">
        <v>109</v>
      </c>
      <c r="D1426" s="3">
        <v>23</v>
      </c>
      <c r="E1426" s="3">
        <v>-367.874</v>
      </c>
      <c r="F1426" s="4" t="str">
        <f>HYPERLINK("http://141.218.60.56/~jnz1568/getInfo.php?workbook=10_05.xlsx&amp;sheet=A0&amp;row=1426&amp;col=6&amp;number=4090000&amp;sourceID=14","4090000")</f>
        <v>4090000</v>
      </c>
      <c r="G1426" s="4" t="str">
        <f>HYPERLINK("http://141.218.60.56/~jnz1568/getInfo.php?workbook=10_05.xlsx&amp;sheet=A0&amp;row=1426&amp;col=7&amp;number=0&amp;sourceID=14","0")</f>
        <v>0</v>
      </c>
    </row>
    <row r="1427" spans="1:7">
      <c r="A1427" s="3">
        <v>10</v>
      </c>
      <c r="B1427" s="3">
        <v>5</v>
      </c>
      <c r="C1427" s="3">
        <v>115</v>
      </c>
      <c r="D1427" s="3">
        <v>23</v>
      </c>
      <c r="E1427" s="3">
        <v>-358.022</v>
      </c>
      <c r="F1427" s="4" t="str">
        <f>HYPERLINK("http://141.218.60.56/~jnz1568/getInfo.php?workbook=10_05.xlsx&amp;sheet=A0&amp;row=1427&amp;col=6&amp;number=636000&amp;sourceID=14","636000")</f>
        <v>636000</v>
      </c>
      <c r="G1427" s="4" t="str">
        <f>HYPERLINK("http://141.218.60.56/~jnz1568/getInfo.php?workbook=10_05.xlsx&amp;sheet=A0&amp;row=1427&amp;col=7&amp;number=0&amp;sourceID=14","0")</f>
        <v>0</v>
      </c>
    </row>
    <row r="1428" spans="1:7">
      <c r="A1428" s="3">
        <v>10</v>
      </c>
      <c r="B1428" s="3">
        <v>5</v>
      </c>
      <c r="C1428" s="3">
        <v>116</v>
      </c>
      <c r="D1428" s="3">
        <v>23</v>
      </c>
      <c r="E1428" s="3">
        <v>-356.885</v>
      </c>
      <c r="F1428" s="4" t="str">
        <f>HYPERLINK("http://141.218.60.56/~jnz1568/getInfo.php?workbook=10_05.xlsx&amp;sheet=A0&amp;row=1428&amp;col=6&amp;number=13600000&amp;sourceID=14","13600000")</f>
        <v>13600000</v>
      </c>
      <c r="G1428" s="4" t="str">
        <f>HYPERLINK("http://141.218.60.56/~jnz1568/getInfo.php?workbook=10_05.xlsx&amp;sheet=A0&amp;row=1428&amp;col=7&amp;number=0&amp;sourceID=14","0")</f>
        <v>0</v>
      </c>
    </row>
    <row r="1429" spans="1:7">
      <c r="A1429" s="3">
        <v>10</v>
      </c>
      <c r="B1429" s="3">
        <v>5</v>
      </c>
      <c r="C1429" s="3">
        <v>117</v>
      </c>
      <c r="D1429" s="3">
        <v>23</v>
      </c>
      <c r="E1429" s="3">
        <v>-356.6</v>
      </c>
      <c r="F1429" s="4" t="str">
        <f>HYPERLINK("http://141.218.60.56/~jnz1568/getInfo.php?workbook=10_05.xlsx&amp;sheet=A0&amp;row=1429&amp;col=6&amp;number=660000000&amp;sourceID=14","660000000")</f>
        <v>660000000</v>
      </c>
      <c r="G1429" s="4" t="str">
        <f>HYPERLINK("http://141.218.60.56/~jnz1568/getInfo.php?workbook=10_05.xlsx&amp;sheet=A0&amp;row=1429&amp;col=7&amp;number=0&amp;sourceID=14","0")</f>
        <v>0</v>
      </c>
    </row>
    <row r="1430" spans="1:7">
      <c r="A1430" s="3">
        <v>10</v>
      </c>
      <c r="B1430" s="3">
        <v>5</v>
      </c>
      <c r="C1430" s="3">
        <v>118</v>
      </c>
      <c r="D1430" s="3">
        <v>23</v>
      </c>
      <c r="E1430" s="3">
        <v>-356.497</v>
      </c>
      <c r="F1430" s="4" t="str">
        <f>HYPERLINK("http://141.218.60.56/~jnz1568/getInfo.php?workbook=10_05.xlsx&amp;sheet=A0&amp;row=1430&amp;col=6&amp;number=360000000&amp;sourceID=14","360000000")</f>
        <v>360000000</v>
      </c>
      <c r="G1430" s="4" t="str">
        <f>HYPERLINK("http://141.218.60.56/~jnz1568/getInfo.php?workbook=10_05.xlsx&amp;sheet=A0&amp;row=1430&amp;col=7&amp;number=0&amp;sourceID=14","0")</f>
        <v>0</v>
      </c>
    </row>
    <row r="1431" spans="1:7">
      <c r="A1431" s="3">
        <v>10</v>
      </c>
      <c r="B1431" s="3">
        <v>5</v>
      </c>
      <c r="C1431" s="3">
        <v>121</v>
      </c>
      <c r="D1431" s="3">
        <v>23</v>
      </c>
      <c r="E1431" s="3">
        <v>-352.184</v>
      </c>
      <c r="F1431" s="4" t="str">
        <f>HYPERLINK("http://141.218.60.56/~jnz1568/getInfo.php?workbook=10_05.xlsx&amp;sheet=A0&amp;row=1431&amp;col=6&amp;number=91500000&amp;sourceID=14","91500000")</f>
        <v>91500000</v>
      </c>
      <c r="G1431" s="4" t="str">
        <f>HYPERLINK("http://141.218.60.56/~jnz1568/getInfo.php?workbook=10_05.xlsx&amp;sheet=A0&amp;row=1431&amp;col=7&amp;number=0&amp;sourceID=14","0")</f>
        <v>0</v>
      </c>
    </row>
    <row r="1432" spans="1:7">
      <c r="A1432" s="3">
        <v>10</v>
      </c>
      <c r="B1432" s="3">
        <v>5</v>
      </c>
      <c r="C1432" s="3">
        <v>122</v>
      </c>
      <c r="D1432" s="3">
        <v>23</v>
      </c>
      <c r="E1432" s="3">
        <v>-351.726</v>
      </c>
      <c r="F1432" s="4" t="str">
        <f>HYPERLINK("http://141.218.60.56/~jnz1568/getInfo.php?workbook=10_05.xlsx&amp;sheet=A0&amp;row=1432&amp;col=6&amp;number=667000000&amp;sourceID=14","667000000")</f>
        <v>667000000</v>
      </c>
      <c r="G1432" s="4" t="str">
        <f>HYPERLINK("http://141.218.60.56/~jnz1568/getInfo.php?workbook=10_05.xlsx&amp;sheet=A0&amp;row=1432&amp;col=7&amp;number=0&amp;sourceID=14","0")</f>
        <v>0</v>
      </c>
    </row>
    <row r="1433" spans="1:7">
      <c r="A1433" s="3">
        <v>10</v>
      </c>
      <c r="B1433" s="3">
        <v>5</v>
      </c>
      <c r="C1433" s="3">
        <v>123</v>
      </c>
      <c r="D1433" s="3">
        <v>23</v>
      </c>
      <c r="E1433" s="3">
        <v>-351.362</v>
      </c>
      <c r="F1433" s="4" t="str">
        <f>HYPERLINK("http://141.218.60.56/~jnz1568/getInfo.php?workbook=10_05.xlsx&amp;sheet=A0&amp;row=1433&amp;col=6&amp;number=1330000000&amp;sourceID=14","1330000000")</f>
        <v>1330000000</v>
      </c>
      <c r="G1433" s="4" t="str">
        <f>HYPERLINK("http://141.218.60.56/~jnz1568/getInfo.php?workbook=10_05.xlsx&amp;sheet=A0&amp;row=1433&amp;col=7&amp;number=0&amp;sourceID=14","0")</f>
        <v>0</v>
      </c>
    </row>
    <row r="1434" spans="1:7">
      <c r="A1434" s="3">
        <v>10</v>
      </c>
      <c r="B1434" s="3">
        <v>5</v>
      </c>
      <c r="C1434" s="3">
        <v>124</v>
      </c>
      <c r="D1434" s="3">
        <v>23</v>
      </c>
      <c r="E1434" s="3">
        <v>-351.06</v>
      </c>
      <c r="F1434" s="4" t="str">
        <f>HYPERLINK("http://141.218.60.56/~jnz1568/getInfo.php?workbook=10_05.xlsx&amp;sheet=A0&amp;row=1434&amp;col=6&amp;number=2650000000&amp;sourceID=14","2650000000")</f>
        <v>2650000000</v>
      </c>
      <c r="G1434" s="4" t="str">
        <f>HYPERLINK("http://141.218.60.56/~jnz1568/getInfo.php?workbook=10_05.xlsx&amp;sheet=A0&amp;row=1434&amp;col=7&amp;number=0&amp;sourceID=14","0")</f>
        <v>0</v>
      </c>
    </row>
    <row r="1435" spans="1:7">
      <c r="A1435" s="3">
        <v>10</v>
      </c>
      <c r="B1435" s="3">
        <v>5</v>
      </c>
      <c r="C1435" s="3">
        <v>126</v>
      </c>
      <c r="D1435" s="3">
        <v>23</v>
      </c>
      <c r="E1435" s="3">
        <v>-349.631</v>
      </c>
      <c r="F1435" s="4" t="str">
        <f>HYPERLINK("http://141.218.60.56/~jnz1568/getInfo.php?workbook=10_05.xlsx&amp;sheet=A0&amp;row=1435&amp;col=6&amp;number=36700000&amp;sourceID=14","36700000")</f>
        <v>36700000</v>
      </c>
      <c r="G1435" s="4" t="str">
        <f>HYPERLINK("http://141.218.60.56/~jnz1568/getInfo.php?workbook=10_05.xlsx&amp;sheet=A0&amp;row=1435&amp;col=7&amp;number=0&amp;sourceID=14","0")</f>
        <v>0</v>
      </c>
    </row>
    <row r="1436" spans="1:7">
      <c r="A1436" s="3">
        <v>10</v>
      </c>
      <c r="B1436" s="3">
        <v>5</v>
      </c>
      <c r="C1436" s="3">
        <v>129</v>
      </c>
      <c r="D1436" s="3">
        <v>23</v>
      </c>
      <c r="E1436" s="3">
        <v>346.225</v>
      </c>
      <c r="F1436" s="4" t="str">
        <f>HYPERLINK("http://141.218.60.56/~jnz1568/getInfo.php?workbook=10_05.xlsx&amp;sheet=A0&amp;row=1436&amp;col=6&amp;number=1620000&amp;sourceID=14","1620000")</f>
        <v>1620000</v>
      </c>
      <c r="G1436" s="4" t="str">
        <f>HYPERLINK("http://141.218.60.56/~jnz1568/getInfo.php?workbook=10_05.xlsx&amp;sheet=A0&amp;row=1436&amp;col=7&amp;number=0&amp;sourceID=14","0")</f>
        <v>0</v>
      </c>
    </row>
    <row r="1437" spans="1:7">
      <c r="A1437" s="3">
        <v>10</v>
      </c>
      <c r="B1437" s="3">
        <v>5</v>
      </c>
      <c r="C1437" s="3">
        <v>130</v>
      </c>
      <c r="D1437" s="3">
        <v>23</v>
      </c>
      <c r="E1437" s="3">
        <v>346.225</v>
      </c>
      <c r="F1437" s="4" t="str">
        <f>HYPERLINK("http://141.218.60.56/~jnz1568/getInfo.php?workbook=10_05.xlsx&amp;sheet=A0&amp;row=1437&amp;col=6&amp;number=241000000&amp;sourceID=14","241000000")</f>
        <v>241000000</v>
      </c>
      <c r="G1437" s="4" t="str">
        <f>HYPERLINK("http://141.218.60.56/~jnz1568/getInfo.php?workbook=10_05.xlsx&amp;sheet=A0&amp;row=1437&amp;col=7&amp;number=0&amp;sourceID=14","0")</f>
        <v>0</v>
      </c>
    </row>
    <row r="1438" spans="1:7">
      <c r="A1438" s="3">
        <v>10</v>
      </c>
      <c r="B1438" s="3">
        <v>5</v>
      </c>
      <c r="C1438" s="3">
        <v>132</v>
      </c>
      <c r="D1438" s="3">
        <v>23</v>
      </c>
      <c r="E1438" s="3">
        <v>-345.4</v>
      </c>
      <c r="F1438" s="4" t="str">
        <f>HYPERLINK("http://141.218.60.56/~jnz1568/getInfo.php?workbook=10_05.xlsx&amp;sheet=A0&amp;row=1438&amp;col=6&amp;number=861000000&amp;sourceID=14","861000000")</f>
        <v>861000000</v>
      </c>
      <c r="G1438" s="4" t="str">
        <f>HYPERLINK("http://141.218.60.56/~jnz1568/getInfo.php?workbook=10_05.xlsx&amp;sheet=A0&amp;row=1438&amp;col=7&amp;number=0&amp;sourceID=14","0")</f>
        <v>0</v>
      </c>
    </row>
    <row r="1439" spans="1:7">
      <c r="A1439" s="3">
        <v>10</v>
      </c>
      <c r="B1439" s="3">
        <v>5</v>
      </c>
      <c r="C1439" s="3">
        <v>133</v>
      </c>
      <c r="D1439" s="3">
        <v>23</v>
      </c>
      <c r="E1439" s="3">
        <v>-345.152</v>
      </c>
      <c r="F1439" s="4" t="str">
        <f>HYPERLINK("http://141.218.60.56/~jnz1568/getInfo.php?workbook=10_05.xlsx&amp;sheet=A0&amp;row=1439&amp;col=6&amp;number=997000000&amp;sourceID=14","997000000")</f>
        <v>997000000</v>
      </c>
      <c r="G1439" s="4" t="str">
        <f>HYPERLINK("http://141.218.60.56/~jnz1568/getInfo.php?workbook=10_05.xlsx&amp;sheet=A0&amp;row=1439&amp;col=7&amp;number=0&amp;sourceID=14","0")</f>
        <v>0</v>
      </c>
    </row>
    <row r="1440" spans="1:7">
      <c r="A1440" s="3">
        <v>10</v>
      </c>
      <c r="B1440" s="3">
        <v>5</v>
      </c>
      <c r="C1440" s="3">
        <v>138</v>
      </c>
      <c r="D1440" s="3">
        <v>23</v>
      </c>
      <c r="E1440" s="3">
        <v>-341.428</v>
      </c>
      <c r="F1440" s="4" t="str">
        <f>HYPERLINK("http://141.218.60.56/~jnz1568/getInfo.php?workbook=10_05.xlsx&amp;sheet=A0&amp;row=1440&amp;col=6&amp;number=14&amp;sourceID=14","14")</f>
        <v>14</v>
      </c>
      <c r="G1440" s="4" t="str">
        <f>HYPERLINK("http://141.218.60.56/~jnz1568/getInfo.php?workbook=10_05.xlsx&amp;sheet=A0&amp;row=1440&amp;col=7&amp;number=0&amp;sourceID=14","0")</f>
        <v>0</v>
      </c>
    </row>
    <row r="1441" spans="1:7">
      <c r="A1441" s="3">
        <v>10</v>
      </c>
      <c r="B1441" s="3">
        <v>5</v>
      </c>
      <c r="C1441" s="3">
        <v>150</v>
      </c>
      <c r="D1441" s="3">
        <v>23</v>
      </c>
      <c r="E1441" s="3">
        <v>-331.672</v>
      </c>
      <c r="F1441" s="4" t="str">
        <f>HYPERLINK("http://141.218.60.56/~jnz1568/getInfo.php?workbook=10_05.xlsx&amp;sheet=A0&amp;row=1441&amp;col=6&amp;number=909&amp;sourceID=14","909")</f>
        <v>909</v>
      </c>
      <c r="G1441" s="4" t="str">
        <f>HYPERLINK("http://141.218.60.56/~jnz1568/getInfo.php?workbook=10_05.xlsx&amp;sheet=A0&amp;row=1441&amp;col=7&amp;number=0&amp;sourceID=14","0")</f>
        <v>0</v>
      </c>
    </row>
    <row r="1442" spans="1:7">
      <c r="A1442" s="3">
        <v>10</v>
      </c>
      <c r="B1442" s="3">
        <v>5</v>
      </c>
      <c r="C1442" s="3">
        <v>151</v>
      </c>
      <c r="D1442" s="3">
        <v>23</v>
      </c>
      <c r="E1442" s="3">
        <v>-331.648</v>
      </c>
      <c r="F1442" s="4" t="str">
        <f>HYPERLINK("http://141.218.60.56/~jnz1568/getInfo.php?workbook=10_05.xlsx&amp;sheet=A0&amp;row=1442&amp;col=6&amp;number=4860&amp;sourceID=14","4860")</f>
        <v>4860</v>
      </c>
      <c r="G1442" s="4" t="str">
        <f>HYPERLINK("http://141.218.60.56/~jnz1568/getInfo.php?workbook=10_05.xlsx&amp;sheet=A0&amp;row=1442&amp;col=7&amp;number=0&amp;sourceID=14","0")</f>
        <v>0</v>
      </c>
    </row>
    <row r="1443" spans="1:7">
      <c r="A1443" s="3">
        <v>10</v>
      </c>
      <c r="B1443" s="3">
        <v>5</v>
      </c>
      <c r="C1443" s="3">
        <v>154</v>
      </c>
      <c r="D1443" s="3">
        <v>23</v>
      </c>
      <c r="E1443" s="3">
        <v>328.085</v>
      </c>
      <c r="F1443" s="4" t="str">
        <f>HYPERLINK("http://141.218.60.56/~jnz1568/getInfo.php?workbook=10_05.xlsx&amp;sheet=A0&amp;row=1443&amp;col=6&amp;number=1650&amp;sourceID=14","1650")</f>
        <v>1650</v>
      </c>
      <c r="G1443" s="4" t="str">
        <f>HYPERLINK("http://141.218.60.56/~jnz1568/getInfo.php?workbook=10_05.xlsx&amp;sheet=A0&amp;row=1443&amp;col=7&amp;number=0&amp;sourceID=14","0")</f>
        <v>0</v>
      </c>
    </row>
    <row r="1444" spans="1:7">
      <c r="A1444" s="3">
        <v>10</v>
      </c>
      <c r="B1444" s="3">
        <v>5</v>
      </c>
      <c r="C1444" s="3">
        <v>155</v>
      </c>
      <c r="D1444" s="3">
        <v>23</v>
      </c>
      <c r="E1444" s="3">
        <v>328.085</v>
      </c>
      <c r="F1444" s="4" t="str">
        <f>HYPERLINK("http://141.218.60.56/~jnz1568/getInfo.php?workbook=10_05.xlsx&amp;sheet=A0&amp;row=1444&amp;col=6&amp;number=3380&amp;sourceID=14","3380")</f>
        <v>3380</v>
      </c>
      <c r="G1444" s="4" t="str">
        <f>HYPERLINK("http://141.218.60.56/~jnz1568/getInfo.php?workbook=10_05.xlsx&amp;sheet=A0&amp;row=1444&amp;col=7&amp;number=0&amp;sourceID=14","0")</f>
        <v>0</v>
      </c>
    </row>
    <row r="1445" spans="1:7">
      <c r="A1445" s="3">
        <v>10</v>
      </c>
      <c r="B1445" s="3">
        <v>5</v>
      </c>
      <c r="C1445" s="3">
        <v>156</v>
      </c>
      <c r="D1445" s="3">
        <v>23</v>
      </c>
      <c r="E1445" s="3">
        <v>-327.201</v>
      </c>
      <c r="F1445" s="4" t="str">
        <f>HYPERLINK("http://141.218.60.56/~jnz1568/getInfo.php?workbook=10_05.xlsx&amp;sheet=A0&amp;row=1445&amp;col=6&amp;number=151&amp;sourceID=14","151")</f>
        <v>151</v>
      </c>
      <c r="G1445" s="4" t="str">
        <f>HYPERLINK("http://141.218.60.56/~jnz1568/getInfo.php?workbook=10_05.xlsx&amp;sheet=A0&amp;row=1445&amp;col=7&amp;number=0&amp;sourceID=14","0")</f>
        <v>0</v>
      </c>
    </row>
    <row r="1446" spans="1:7">
      <c r="A1446" s="3">
        <v>10</v>
      </c>
      <c r="B1446" s="3">
        <v>5</v>
      </c>
      <c r="C1446" s="3">
        <v>157</v>
      </c>
      <c r="D1446" s="3">
        <v>23</v>
      </c>
      <c r="E1446" s="3">
        <v>-327.01</v>
      </c>
      <c r="F1446" s="4" t="str">
        <f>HYPERLINK("http://141.218.60.56/~jnz1568/getInfo.php?workbook=10_05.xlsx&amp;sheet=A0&amp;row=1446&amp;col=6&amp;number=1080&amp;sourceID=14","1080")</f>
        <v>1080</v>
      </c>
      <c r="G1446" s="4" t="str">
        <f>HYPERLINK("http://141.218.60.56/~jnz1568/getInfo.php?workbook=10_05.xlsx&amp;sheet=A0&amp;row=1446&amp;col=7&amp;number=0&amp;sourceID=14","0")</f>
        <v>0</v>
      </c>
    </row>
    <row r="1447" spans="1:7">
      <c r="A1447" s="3">
        <v>10</v>
      </c>
      <c r="B1447" s="3">
        <v>5</v>
      </c>
      <c r="C1447" s="3">
        <v>162</v>
      </c>
      <c r="D1447" s="3">
        <v>23</v>
      </c>
      <c r="E1447" s="3">
        <v>325.003</v>
      </c>
      <c r="F1447" s="4" t="str">
        <f>HYPERLINK("http://141.218.60.56/~jnz1568/getInfo.php?workbook=10_05.xlsx&amp;sheet=A0&amp;row=1447&amp;col=6&amp;number=700&amp;sourceID=14","700")</f>
        <v>700</v>
      </c>
      <c r="G1447" s="4" t="str">
        <f>HYPERLINK("http://141.218.60.56/~jnz1568/getInfo.php?workbook=10_05.xlsx&amp;sheet=A0&amp;row=1447&amp;col=7&amp;number=0&amp;sourceID=14","0")</f>
        <v>0</v>
      </c>
    </row>
    <row r="1448" spans="1:7">
      <c r="A1448" s="3">
        <v>10</v>
      </c>
      <c r="B1448" s="3">
        <v>5</v>
      </c>
      <c r="C1448" s="3">
        <v>168</v>
      </c>
      <c r="D1448" s="3">
        <v>23</v>
      </c>
      <c r="E1448" s="3">
        <v>-257.797</v>
      </c>
      <c r="F1448" s="4" t="str">
        <f>HYPERLINK("http://141.218.60.56/~jnz1568/getInfo.php?workbook=10_05.xlsx&amp;sheet=A0&amp;row=1448&amp;col=6&amp;number=293&amp;sourceID=14","293")</f>
        <v>293</v>
      </c>
      <c r="G1448" s="4" t="str">
        <f>HYPERLINK("http://141.218.60.56/~jnz1568/getInfo.php?workbook=10_05.xlsx&amp;sheet=A0&amp;row=1448&amp;col=7&amp;number=0&amp;sourceID=14","0")</f>
        <v>0</v>
      </c>
    </row>
    <row r="1449" spans="1:7">
      <c r="A1449" s="3">
        <v>10</v>
      </c>
      <c r="B1449" s="3">
        <v>5</v>
      </c>
      <c r="C1449" s="3">
        <v>169</v>
      </c>
      <c r="D1449" s="3">
        <v>23</v>
      </c>
      <c r="E1449" s="3">
        <v>-257.765</v>
      </c>
      <c r="F1449" s="4" t="str">
        <f>HYPERLINK("http://141.218.60.56/~jnz1568/getInfo.php?workbook=10_05.xlsx&amp;sheet=A0&amp;row=1449&amp;col=6&amp;number=39.7&amp;sourceID=14","39.7")</f>
        <v>39.7</v>
      </c>
      <c r="G1449" s="4" t="str">
        <f>HYPERLINK("http://141.218.60.56/~jnz1568/getInfo.php?workbook=10_05.xlsx&amp;sheet=A0&amp;row=1449&amp;col=7&amp;number=0&amp;sourceID=14","0")</f>
        <v>0</v>
      </c>
    </row>
    <row r="1450" spans="1:7">
      <c r="A1450" s="3">
        <v>10</v>
      </c>
      <c r="B1450" s="3">
        <v>5</v>
      </c>
      <c r="C1450" s="3">
        <v>172</v>
      </c>
      <c r="D1450" s="3">
        <v>23</v>
      </c>
      <c r="E1450" s="3">
        <v>-250.397</v>
      </c>
      <c r="F1450" s="4" t="str">
        <f>HYPERLINK("http://141.218.60.56/~jnz1568/getInfo.php?workbook=10_05.xlsx&amp;sheet=A0&amp;row=1450&amp;col=6&amp;number=130&amp;sourceID=14","130")</f>
        <v>130</v>
      </c>
      <c r="G1450" s="4" t="str">
        <f>HYPERLINK("http://141.218.60.56/~jnz1568/getInfo.php?workbook=10_05.xlsx&amp;sheet=A0&amp;row=1450&amp;col=7&amp;number=0&amp;sourceID=14","0")</f>
        <v>0</v>
      </c>
    </row>
    <row r="1451" spans="1:7">
      <c r="A1451" s="3">
        <v>10</v>
      </c>
      <c r="B1451" s="3">
        <v>5</v>
      </c>
      <c r="C1451" s="3">
        <v>173</v>
      </c>
      <c r="D1451" s="3">
        <v>23</v>
      </c>
      <c r="E1451" s="3">
        <v>-250.382</v>
      </c>
      <c r="F1451" s="4" t="str">
        <f>HYPERLINK("http://141.218.60.56/~jnz1568/getInfo.php?workbook=10_05.xlsx&amp;sheet=A0&amp;row=1451&amp;col=6&amp;number=1190&amp;sourceID=14","1190")</f>
        <v>1190</v>
      </c>
      <c r="G1451" s="4" t="str">
        <f>HYPERLINK("http://141.218.60.56/~jnz1568/getInfo.php?workbook=10_05.xlsx&amp;sheet=A0&amp;row=1451&amp;col=7&amp;number=0&amp;sourceID=14","0")</f>
        <v>0</v>
      </c>
    </row>
    <row r="1452" spans="1:7">
      <c r="A1452" s="3">
        <v>10</v>
      </c>
      <c r="B1452" s="3">
        <v>5</v>
      </c>
      <c r="C1452" s="3">
        <v>26</v>
      </c>
      <c r="D1452" s="3">
        <v>24</v>
      </c>
      <c r="E1452" s="3">
        <v>4889.985</v>
      </c>
      <c r="F1452" s="4" t="str">
        <f>HYPERLINK("http://141.218.60.56/~jnz1568/getInfo.php?workbook=10_05.xlsx&amp;sheet=A0&amp;row=1452&amp;col=6&amp;number=9460000&amp;sourceID=14","9460000")</f>
        <v>9460000</v>
      </c>
      <c r="G1452" s="4" t="str">
        <f>HYPERLINK("http://141.218.60.56/~jnz1568/getInfo.php?workbook=10_05.xlsx&amp;sheet=A0&amp;row=1452&amp;col=7&amp;number=0&amp;sourceID=14","0")</f>
        <v>0</v>
      </c>
    </row>
    <row r="1453" spans="1:7">
      <c r="A1453" s="3">
        <v>10</v>
      </c>
      <c r="B1453" s="3">
        <v>5</v>
      </c>
      <c r="C1453" s="3">
        <v>27</v>
      </c>
      <c r="D1453" s="3">
        <v>24</v>
      </c>
      <c r="E1453" s="3">
        <v>4780.124</v>
      </c>
      <c r="F1453" s="4" t="str">
        <f>HYPERLINK("http://141.218.60.56/~jnz1568/getInfo.php?workbook=10_05.xlsx&amp;sheet=A0&amp;row=1453&amp;col=6&amp;number=2710000&amp;sourceID=14","2710000")</f>
        <v>2710000</v>
      </c>
      <c r="G1453" s="4" t="str">
        <f>HYPERLINK("http://141.218.60.56/~jnz1568/getInfo.php?workbook=10_05.xlsx&amp;sheet=A0&amp;row=1453&amp;col=7&amp;number=0&amp;sourceID=14","0")</f>
        <v>0</v>
      </c>
    </row>
    <row r="1454" spans="1:7">
      <c r="A1454" s="3">
        <v>10</v>
      </c>
      <c r="B1454" s="3">
        <v>5</v>
      </c>
      <c r="C1454" s="3">
        <v>28</v>
      </c>
      <c r="D1454" s="3">
        <v>24</v>
      </c>
      <c r="E1454" s="3">
        <v>-4522.235</v>
      </c>
      <c r="F1454" s="4" t="str">
        <f>HYPERLINK("http://141.218.60.56/~jnz1568/getInfo.php?workbook=10_05.xlsx&amp;sheet=A0&amp;row=1454&amp;col=6&amp;number=473000&amp;sourceID=14","473000")</f>
        <v>473000</v>
      </c>
      <c r="G1454" s="4" t="str">
        <f>HYPERLINK("http://141.218.60.56/~jnz1568/getInfo.php?workbook=10_05.xlsx&amp;sheet=A0&amp;row=1454&amp;col=7&amp;number=0&amp;sourceID=14","0")</f>
        <v>0</v>
      </c>
    </row>
    <row r="1455" spans="1:7">
      <c r="A1455" s="3">
        <v>10</v>
      </c>
      <c r="B1455" s="3">
        <v>5</v>
      </c>
      <c r="C1455" s="3">
        <v>29</v>
      </c>
      <c r="D1455" s="3">
        <v>24</v>
      </c>
      <c r="E1455" s="3">
        <v>-4473.481</v>
      </c>
      <c r="F1455" s="4" t="str">
        <f>HYPERLINK("http://141.218.60.56/~jnz1568/getInfo.php?workbook=10_05.xlsx&amp;sheet=A0&amp;row=1455&amp;col=6&amp;number=60500&amp;sourceID=14","60500")</f>
        <v>60500</v>
      </c>
      <c r="G1455" s="4" t="str">
        <f>HYPERLINK("http://141.218.60.56/~jnz1568/getInfo.php?workbook=10_05.xlsx&amp;sheet=A0&amp;row=1455&amp;col=7&amp;number=0&amp;sourceID=14","0")</f>
        <v>0</v>
      </c>
    </row>
    <row r="1456" spans="1:7">
      <c r="A1456" s="3">
        <v>10</v>
      </c>
      <c r="B1456" s="3">
        <v>5</v>
      </c>
      <c r="C1456" s="3">
        <v>32</v>
      </c>
      <c r="D1456" s="3">
        <v>24</v>
      </c>
      <c r="E1456" s="3">
        <v>-3230.293</v>
      </c>
      <c r="F1456" s="4" t="str">
        <f>HYPERLINK("http://141.218.60.56/~jnz1568/getInfo.php?workbook=10_05.xlsx&amp;sheet=A0&amp;row=1456&amp;col=6&amp;number=13800&amp;sourceID=14","13800")</f>
        <v>13800</v>
      </c>
      <c r="G1456" s="4" t="str">
        <f>HYPERLINK("http://141.218.60.56/~jnz1568/getInfo.php?workbook=10_05.xlsx&amp;sheet=A0&amp;row=1456&amp;col=7&amp;number=0&amp;sourceID=14","0")</f>
        <v>0</v>
      </c>
    </row>
    <row r="1457" spans="1:7">
      <c r="A1457" s="3">
        <v>10</v>
      </c>
      <c r="B1457" s="3">
        <v>5</v>
      </c>
      <c r="C1457" s="3">
        <v>33</v>
      </c>
      <c r="D1457" s="3">
        <v>24</v>
      </c>
      <c r="E1457" s="3">
        <v>-2559.71</v>
      </c>
      <c r="F1457" s="4" t="str">
        <f>HYPERLINK("http://141.218.60.56/~jnz1568/getInfo.php?workbook=10_05.xlsx&amp;sheet=A0&amp;row=1457&amp;col=6&amp;number=9600&amp;sourceID=14","9600")</f>
        <v>9600</v>
      </c>
      <c r="G1457" s="4" t="str">
        <f>HYPERLINK("http://141.218.60.56/~jnz1568/getInfo.php?workbook=10_05.xlsx&amp;sheet=A0&amp;row=1457&amp;col=7&amp;number=0&amp;sourceID=14","0")</f>
        <v>0</v>
      </c>
    </row>
    <row r="1458" spans="1:7">
      <c r="A1458" s="3">
        <v>10</v>
      </c>
      <c r="B1458" s="3">
        <v>5</v>
      </c>
      <c r="C1458" s="3">
        <v>34</v>
      </c>
      <c r="D1458" s="3">
        <v>24</v>
      </c>
      <c r="E1458" s="3">
        <v>-2540.461</v>
      </c>
      <c r="F1458" s="4" t="str">
        <f>HYPERLINK("http://141.218.60.56/~jnz1568/getInfo.php?workbook=10_05.xlsx&amp;sheet=A0&amp;row=1458&amp;col=6&amp;number=3070&amp;sourceID=14","3070")</f>
        <v>3070</v>
      </c>
      <c r="G1458" s="4" t="str">
        <f>HYPERLINK("http://141.218.60.56/~jnz1568/getInfo.php?workbook=10_05.xlsx&amp;sheet=A0&amp;row=1458&amp;col=7&amp;number=0&amp;sourceID=14","0")</f>
        <v>0</v>
      </c>
    </row>
    <row r="1459" spans="1:7">
      <c r="A1459" s="3">
        <v>10</v>
      </c>
      <c r="B1459" s="3">
        <v>5</v>
      </c>
      <c r="C1459" s="3">
        <v>36</v>
      </c>
      <c r="D1459" s="3">
        <v>24</v>
      </c>
      <c r="E1459" s="3">
        <v>2254.287</v>
      </c>
      <c r="F1459" s="4" t="str">
        <f>HYPERLINK("http://141.218.60.56/~jnz1568/getInfo.php?workbook=10_05.xlsx&amp;sheet=A0&amp;row=1459&amp;col=6&amp;number=141000000&amp;sourceID=14","141000000")</f>
        <v>141000000</v>
      </c>
      <c r="G1459" s="4" t="str">
        <f>HYPERLINK("http://141.218.60.56/~jnz1568/getInfo.php?workbook=10_05.xlsx&amp;sheet=A0&amp;row=1459&amp;col=7&amp;number=0&amp;sourceID=14","0")</f>
        <v>0</v>
      </c>
    </row>
    <row r="1460" spans="1:7">
      <c r="A1460" s="3">
        <v>10</v>
      </c>
      <c r="B1460" s="3">
        <v>5</v>
      </c>
      <c r="C1460" s="3">
        <v>40</v>
      </c>
      <c r="D1460" s="3">
        <v>24</v>
      </c>
      <c r="E1460" s="3">
        <v>1691.478</v>
      </c>
      <c r="F1460" s="4" t="str">
        <f>HYPERLINK("http://141.218.60.56/~jnz1568/getInfo.php?workbook=10_05.xlsx&amp;sheet=A0&amp;row=1460&amp;col=6&amp;number=148000000&amp;sourceID=14","148000000")</f>
        <v>148000000</v>
      </c>
      <c r="G1460" s="4" t="str">
        <f>HYPERLINK("http://141.218.60.56/~jnz1568/getInfo.php?workbook=10_05.xlsx&amp;sheet=A0&amp;row=1460&amp;col=7&amp;number=0&amp;sourceID=14","0")</f>
        <v>0</v>
      </c>
    </row>
    <row r="1461" spans="1:7">
      <c r="A1461" s="3">
        <v>10</v>
      </c>
      <c r="B1461" s="3">
        <v>5</v>
      </c>
      <c r="C1461" s="3">
        <v>58</v>
      </c>
      <c r="D1461" s="3">
        <v>24</v>
      </c>
      <c r="E1461" s="3">
        <v>785.794</v>
      </c>
      <c r="F1461" s="4" t="str">
        <f>HYPERLINK("http://141.218.60.56/~jnz1568/getInfo.php?workbook=10_05.xlsx&amp;sheet=A0&amp;row=1461&amp;col=6&amp;number=178000000&amp;sourceID=14","178000000")</f>
        <v>178000000</v>
      </c>
      <c r="G1461" s="4" t="str">
        <f>HYPERLINK("http://141.218.60.56/~jnz1568/getInfo.php?workbook=10_05.xlsx&amp;sheet=A0&amp;row=1461&amp;col=7&amp;number=0&amp;sourceID=14","0")</f>
        <v>0</v>
      </c>
    </row>
    <row r="1462" spans="1:7">
      <c r="A1462" s="3">
        <v>10</v>
      </c>
      <c r="B1462" s="3">
        <v>5</v>
      </c>
      <c r="C1462" s="3">
        <v>59</v>
      </c>
      <c r="D1462" s="3">
        <v>24</v>
      </c>
      <c r="E1462" s="3">
        <v>767.697</v>
      </c>
      <c r="F1462" s="4" t="str">
        <f>HYPERLINK("http://141.218.60.56/~jnz1568/getInfo.php?workbook=10_05.xlsx&amp;sheet=A0&amp;row=1462&amp;col=6&amp;number=249000000&amp;sourceID=14","249000000")</f>
        <v>249000000</v>
      </c>
      <c r="G1462" s="4" t="str">
        <f>HYPERLINK("http://141.218.60.56/~jnz1568/getInfo.php?workbook=10_05.xlsx&amp;sheet=A0&amp;row=1462&amp;col=7&amp;number=0&amp;sourceID=14","0")</f>
        <v>0</v>
      </c>
    </row>
    <row r="1463" spans="1:7">
      <c r="A1463" s="3">
        <v>10</v>
      </c>
      <c r="B1463" s="3">
        <v>5</v>
      </c>
      <c r="C1463" s="3">
        <v>61</v>
      </c>
      <c r="D1463" s="3">
        <v>24</v>
      </c>
      <c r="E1463" s="3">
        <v>758.094</v>
      </c>
      <c r="F1463" s="4" t="str">
        <f>HYPERLINK("http://141.218.60.56/~jnz1568/getInfo.php?workbook=10_05.xlsx&amp;sheet=A0&amp;row=1463&amp;col=6&amp;number=22500000&amp;sourceID=14","22500000")</f>
        <v>22500000</v>
      </c>
      <c r="G1463" s="4" t="str">
        <f>HYPERLINK("http://141.218.60.56/~jnz1568/getInfo.php?workbook=10_05.xlsx&amp;sheet=A0&amp;row=1463&amp;col=7&amp;number=0&amp;sourceID=14","0")</f>
        <v>0</v>
      </c>
    </row>
    <row r="1464" spans="1:7">
      <c r="A1464" s="3">
        <v>10</v>
      </c>
      <c r="B1464" s="3">
        <v>5</v>
      </c>
      <c r="C1464" s="3">
        <v>62</v>
      </c>
      <c r="D1464" s="3">
        <v>24</v>
      </c>
      <c r="E1464" s="3">
        <v>756.374</v>
      </c>
      <c r="F1464" s="4" t="str">
        <f>HYPERLINK("http://141.218.60.56/~jnz1568/getInfo.php?workbook=10_05.xlsx&amp;sheet=A0&amp;row=1464&amp;col=6&amp;number=42800000&amp;sourceID=14","42800000")</f>
        <v>42800000</v>
      </c>
      <c r="G1464" s="4" t="str">
        <f>HYPERLINK("http://141.218.60.56/~jnz1568/getInfo.php?workbook=10_05.xlsx&amp;sheet=A0&amp;row=1464&amp;col=7&amp;number=0&amp;sourceID=14","0")</f>
        <v>0</v>
      </c>
    </row>
    <row r="1465" spans="1:7">
      <c r="A1465" s="3">
        <v>10</v>
      </c>
      <c r="B1465" s="3">
        <v>5</v>
      </c>
      <c r="C1465" s="3">
        <v>63</v>
      </c>
      <c r="D1465" s="3">
        <v>24</v>
      </c>
      <c r="E1465" s="3">
        <v>723.276</v>
      </c>
      <c r="F1465" s="4" t="str">
        <f>HYPERLINK("http://141.218.60.56/~jnz1568/getInfo.php?workbook=10_05.xlsx&amp;sheet=A0&amp;row=1465&amp;col=6&amp;number=97000000&amp;sourceID=14","97000000")</f>
        <v>97000000</v>
      </c>
      <c r="G1465" s="4" t="str">
        <f>HYPERLINK("http://141.218.60.56/~jnz1568/getInfo.php?workbook=10_05.xlsx&amp;sheet=A0&amp;row=1465&amp;col=7&amp;number=0&amp;sourceID=14","0")</f>
        <v>0</v>
      </c>
    </row>
    <row r="1466" spans="1:7">
      <c r="A1466" s="3">
        <v>10</v>
      </c>
      <c r="B1466" s="3">
        <v>5</v>
      </c>
      <c r="C1466" s="3">
        <v>66</v>
      </c>
      <c r="D1466" s="3">
        <v>24</v>
      </c>
      <c r="E1466" s="3">
        <v>612.334</v>
      </c>
      <c r="F1466" s="4" t="str">
        <f>HYPERLINK("http://141.218.60.56/~jnz1568/getInfo.php?workbook=10_05.xlsx&amp;sheet=A0&amp;row=1466&amp;col=6&amp;number=332000000&amp;sourceID=14","332000000")</f>
        <v>332000000</v>
      </c>
      <c r="G1466" s="4" t="str">
        <f>HYPERLINK("http://141.218.60.56/~jnz1568/getInfo.php?workbook=10_05.xlsx&amp;sheet=A0&amp;row=1466&amp;col=7&amp;number=0&amp;sourceID=14","0")</f>
        <v>0</v>
      </c>
    </row>
    <row r="1467" spans="1:7">
      <c r="A1467" s="3">
        <v>10</v>
      </c>
      <c r="B1467" s="3">
        <v>5</v>
      </c>
      <c r="C1467" s="3">
        <v>70</v>
      </c>
      <c r="D1467" s="3">
        <v>24</v>
      </c>
      <c r="E1467" s="3">
        <v>597.052</v>
      </c>
      <c r="F1467" s="4" t="str">
        <f>HYPERLINK("http://141.218.60.56/~jnz1568/getInfo.php?workbook=10_05.xlsx&amp;sheet=A0&amp;row=1467&amp;col=6&amp;number=211000&amp;sourceID=14","211000")</f>
        <v>211000</v>
      </c>
      <c r="G1467" s="4" t="str">
        <f>HYPERLINK("http://141.218.60.56/~jnz1568/getInfo.php?workbook=10_05.xlsx&amp;sheet=A0&amp;row=1467&amp;col=7&amp;number=0&amp;sourceID=14","0")</f>
        <v>0</v>
      </c>
    </row>
    <row r="1468" spans="1:7">
      <c r="A1468" s="3">
        <v>10</v>
      </c>
      <c r="B1468" s="3">
        <v>5</v>
      </c>
      <c r="C1468" s="3">
        <v>71</v>
      </c>
      <c r="D1468" s="3">
        <v>24</v>
      </c>
      <c r="E1468" s="3">
        <v>597.052</v>
      </c>
      <c r="F1468" s="4" t="str">
        <f>HYPERLINK("http://141.218.60.56/~jnz1568/getInfo.php?workbook=10_05.xlsx&amp;sheet=A0&amp;row=1468&amp;col=6&amp;number=3170&amp;sourceID=14","3170")</f>
        <v>3170</v>
      </c>
      <c r="G1468" s="4" t="str">
        <f>HYPERLINK("http://141.218.60.56/~jnz1568/getInfo.php?workbook=10_05.xlsx&amp;sheet=A0&amp;row=1468&amp;col=7&amp;number=0&amp;sourceID=14","0")</f>
        <v>0</v>
      </c>
    </row>
    <row r="1469" spans="1:7">
      <c r="A1469" s="3">
        <v>10</v>
      </c>
      <c r="B1469" s="3">
        <v>5</v>
      </c>
      <c r="C1469" s="3">
        <v>77</v>
      </c>
      <c r="D1469" s="3">
        <v>24</v>
      </c>
      <c r="E1469" s="3">
        <v>-521.328</v>
      </c>
      <c r="F1469" s="4" t="str">
        <f>HYPERLINK("http://141.218.60.56/~jnz1568/getInfo.php?workbook=10_05.xlsx&amp;sheet=A0&amp;row=1469&amp;col=6&amp;number=4590000000&amp;sourceID=14","4590000000")</f>
        <v>4590000000</v>
      </c>
      <c r="G1469" s="4" t="str">
        <f>HYPERLINK("http://141.218.60.56/~jnz1568/getInfo.php?workbook=10_05.xlsx&amp;sheet=A0&amp;row=1469&amp;col=7&amp;number=0&amp;sourceID=14","0")</f>
        <v>0</v>
      </c>
    </row>
    <row r="1470" spans="1:7">
      <c r="A1470" s="3">
        <v>10</v>
      </c>
      <c r="B1470" s="3">
        <v>5</v>
      </c>
      <c r="C1470" s="3">
        <v>78</v>
      </c>
      <c r="D1470" s="3">
        <v>24</v>
      </c>
      <c r="E1470" s="3">
        <v>-519.08</v>
      </c>
      <c r="F1470" s="4" t="str">
        <f>HYPERLINK("http://141.218.60.56/~jnz1568/getInfo.php?workbook=10_05.xlsx&amp;sheet=A0&amp;row=1470&amp;col=6&amp;number=1170000000&amp;sourceID=14","1170000000")</f>
        <v>1170000000</v>
      </c>
      <c r="G1470" s="4" t="str">
        <f>HYPERLINK("http://141.218.60.56/~jnz1568/getInfo.php?workbook=10_05.xlsx&amp;sheet=A0&amp;row=1470&amp;col=7&amp;number=0&amp;sourceID=14","0")</f>
        <v>0</v>
      </c>
    </row>
    <row r="1471" spans="1:7">
      <c r="A1471" s="3">
        <v>10</v>
      </c>
      <c r="B1471" s="3">
        <v>5</v>
      </c>
      <c r="C1471" s="3">
        <v>80</v>
      </c>
      <c r="D1471" s="3">
        <v>24</v>
      </c>
      <c r="E1471" s="3">
        <v>498.779</v>
      </c>
      <c r="F1471" s="4" t="str">
        <f>HYPERLINK("http://141.218.60.56/~jnz1568/getInfo.php?workbook=10_05.xlsx&amp;sheet=A0&amp;row=1471&amp;col=6&amp;number=41500000&amp;sourceID=14","41500000")</f>
        <v>41500000</v>
      </c>
      <c r="G1471" s="4" t="str">
        <f>HYPERLINK("http://141.218.60.56/~jnz1568/getInfo.php?workbook=10_05.xlsx&amp;sheet=A0&amp;row=1471&amp;col=7&amp;number=0&amp;sourceID=14","0")</f>
        <v>0</v>
      </c>
    </row>
    <row r="1472" spans="1:7">
      <c r="A1472" s="3">
        <v>10</v>
      </c>
      <c r="B1472" s="3">
        <v>5</v>
      </c>
      <c r="C1472" s="3">
        <v>99</v>
      </c>
      <c r="D1472" s="3">
        <v>24</v>
      </c>
      <c r="E1472" s="3">
        <v>-410.138</v>
      </c>
      <c r="F1472" s="4" t="str">
        <f>HYPERLINK("http://141.218.60.56/~jnz1568/getInfo.php?workbook=10_05.xlsx&amp;sheet=A0&amp;row=1472&amp;col=6&amp;number=4260&amp;sourceID=14","4260")</f>
        <v>4260</v>
      </c>
      <c r="G1472" s="4" t="str">
        <f>HYPERLINK("http://141.218.60.56/~jnz1568/getInfo.php?workbook=10_05.xlsx&amp;sheet=A0&amp;row=1472&amp;col=7&amp;number=0&amp;sourceID=14","0")</f>
        <v>0</v>
      </c>
    </row>
    <row r="1473" spans="1:7">
      <c r="A1473" s="3">
        <v>10</v>
      </c>
      <c r="B1473" s="3">
        <v>5</v>
      </c>
      <c r="C1473" s="3">
        <v>105</v>
      </c>
      <c r="D1473" s="3">
        <v>24</v>
      </c>
      <c r="E1473" s="3">
        <v>-400.321</v>
      </c>
      <c r="F1473" s="4" t="str">
        <f>HYPERLINK("http://141.218.60.56/~jnz1568/getInfo.php?workbook=10_05.xlsx&amp;sheet=A0&amp;row=1473&amp;col=6&amp;number=5430000&amp;sourceID=14","5430000")</f>
        <v>5430000</v>
      </c>
      <c r="G1473" s="4" t="str">
        <f>HYPERLINK("http://141.218.60.56/~jnz1568/getInfo.php?workbook=10_05.xlsx&amp;sheet=A0&amp;row=1473&amp;col=7&amp;number=0&amp;sourceID=14","0")</f>
        <v>0</v>
      </c>
    </row>
    <row r="1474" spans="1:7">
      <c r="A1474" s="3">
        <v>10</v>
      </c>
      <c r="B1474" s="3">
        <v>5</v>
      </c>
      <c r="C1474" s="3">
        <v>106</v>
      </c>
      <c r="D1474" s="3">
        <v>24</v>
      </c>
      <c r="E1474" s="3">
        <v>-400.121</v>
      </c>
      <c r="F1474" s="4" t="str">
        <f>HYPERLINK("http://141.218.60.56/~jnz1568/getInfo.php?workbook=10_05.xlsx&amp;sheet=A0&amp;row=1474&amp;col=6&amp;number=2410000&amp;sourceID=14","2410000")</f>
        <v>2410000</v>
      </c>
      <c r="G1474" s="4" t="str">
        <f>HYPERLINK("http://141.218.60.56/~jnz1568/getInfo.php?workbook=10_05.xlsx&amp;sheet=A0&amp;row=1474&amp;col=7&amp;number=0&amp;sourceID=14","0")</f>
        <v>0</v>
      </c>
    </row>
    <row r="1475" spans="1:7">
      <c r="A1475" s="3">
        <v>10</v>
      </c>
      <c r="B1475" s="3">
        <v>5</v>
      </c>
      <c r="C1475" s="3">
        <v>109</v>
      </c>
      <c r="D1475" s="3">
        <v>24</v>
      </c>
      <c r="E1475" s="3">
        <v>-398.555</v>
      </c>
      <c r="F1475" s="4" t="str">
        <f>HYPERLINK("http://141.218.60.56/~jnz1568/getInfo.php?workbook=10_05.xlsx&amp;sheet=A0&amp;row=1475&amp;col=6&amp;number=27900000&amp;sourceID=14","27900000")</f>
        <v>27900000</v>
      </c>
      <c r="G1475" s="4" t="str">
        <f>HYPERLINK("http://141.218.60.56/~jnz1568/getInfo.php?workbook=10_05.xlsx&amp;sheet=A0&amp;row=1475&amp;col=7&amp;number=0&amp;sourceID=14","0")</f>
        <v>0</v>
      </c>
    </row>
    <row r="1476" spans="1:7">
      <c r="A1476" s="3">
        <v>10</v>
      </c>
      <c r="B1476" s="3">
        <v>5</v>
      </c>
      <c r="C1476" s="3">
        <v>111</v>
      </c>
      <c r="D1476" s="3">
        <v>24</v>
      </c>
      <c r="E1476" s="3">
        <v>-397.607</v>
      </c>
      <c r="F1476" s="4" t="str">
        <f>HYPERLINK("http://141.218.60.56/~jnz1568/getInfo.php?workbook=10_05.xlsx&amp;sheet=A0&amp;row=1476&amp;col=6&amp;number=118000000&amp;sourceID=14","118000000")</f>
        <v>118000000</v>
      </c>
      <c r="G1476" s="4" t="str">
        <f>HYPERLINK("http://141.218.60.56/~jnz1568/getInfo.php?workbook=10_05.xlsx&amp;sheet=A0&amp;row=1476&amp;col=7&amp;number=0&amp;sourceID=14","0")</f>
        <v>0</v>
      </c>
    </row>
    <row r="1477" spans="1:7">
      <c r="A1477" s="3">
        <v>10</v>
      </c>
      <c r="B1477" s="3">
        <v>5</v>
      </c>
      <c r="C1477" s="3">
        <v>118</v>
      </c>
      <c r="D1477" s="3">
        <v>24</v>
      </c>
      <c r="E1477" s="3">
        <v>-385.235</v>
      </c>
      <c r="F1477" s="4" t="str">
        <f>HYPERLINK("http://141.218.60.56/~jnz1568/getInfo.php?workbook=10_05.xlsx&amp;sheet=A0&amp;row=1477&amp;col=6&amp;number=304000&amp;sourceID=14","304000")</f>
        <v>304000</v>
      </c>
      <c r="G1477" s="4" t="str">
        <f>HYPERLINK("http://141.218.60.56/~jnz1568/getInfo.php?workbook=10_05.xlsx&amp;sheet=A0&amp;row=1477&amp;col=7&amp;number=0&amp;sourceID=14","0")</f>
        <v>0</v>
      </c>
    </row>
    <row r="1478" spans="1:7">
      <c r="A1478" s="3">
        <v>10</v>
      </c>
      <c r="B1478" s="3">
        <v>5</v>
      </c>
      <c r="C1478" s="3">
        <v>119</v>
      </c>
      <c r="D1478" s="3">
        <v>24</v>
      </c>
      <c r="E1478" s="3">
        <v>-385.161</v>
      </c>
      <c r="F1478" s="4" t="str">
        <f>HYPERLINK("http://141.218.60.56/~jnz1568/getInfo.php?workbook=10_05.xlsx&amp;sheet=A0&amp;row=1478&amp;col=6&amp;number=11000&amp;sourceID=14","11000")</f>
        <v>11000</v>
      </c>
      <c r="G1478" s="4" t="str">
        <f>HYPERLINK("http://141.218.60.56/~jnz1568/getInfo.php?workbook=10_05.xlsx&amp;sheet=A0&amp;row=1478&amp;col=7&amp;number=0&amp;sourceID=14","0")</f>
        <v>0</v>
      </c>
    </row>
    <row r="1479" spans="1:7">
      <c r="A1479" s="3">
        <v>10</v>
      </c>
      <c r="B1479" s="3">
        <v>5</v>
      </c>
      <c r="C1479" s="3">
        <v>120</v>
      </c>
      <c r="D1479" s="3">
        <v>24</v>
      </c>
      <c r="E1479" s="3">
        <v>-380.528</v>
      </c>
      <c r="F1479" s="4" t="str">
        <f>HYPERLINK("http://141.218.60.56/~jnz1568/getInfo.php?workbook=10_05.xlsx&amp;sheet=A0&amp;row=1479&amp;col=6&amp;number=29800000&amp;sourceID=14","29800000")</f>
        <v>29800000</v>
      </c>
      <c r="G1479" s="4" t="str">
        <f>HYPERLINK("http://141.218.60.56/~jnz1568/getInfo.php?workbook=10_05.xlsx&amp;sheet=A0&amp;row=1479&amp;col=7&amp;number=0&amp;sourceID=14","0")</f>
        <v>0</v>
      </c>
    </row>
    <row r="1480" spans="1:7">
      <c r="A1480" s="3">
        <v>10</v>
      </c>
      <c r="B1480" s="3">
        <v>5</v>
      </c>
      <c r="C1480" s="3">
        <v>121</v>
      </c>
      <c r="D1480" s="3">
        <v>24</v>
      </c>
      <c r="E1480" s="3">
        <v>-380.204</v>
      </c>
      <c r="F1480" s="4" t="str">
        <f>HYPERLINK("http://141.218.60.56/~jnz1568/getInfo.php?workbook=10_05.xlsx&amp;sheet=A0&amp;row=1480&amp;col=6&amp;number=1460000&amp;sourceID=14","1460000")</f>
        <v>1460000</v>
      </c>
      <c r="G1480" s="4" t="str">
        <f>HYPERLINK("http://141.218.60.56/~jnz1568/getInfo.php?workbook=10_05.xlsx&amp;sheet=A0&amp;row=1480&amp;col=7&amp;number=0&amp;sourceID=14","0")</f>
        <v>0</v>
      </c>
    </row>
    <row r="1481" spans="1:7">
      <c r="A1481" s="3">
        <v>10</v>
      </c>
      <c r="B1481" s="3">
        <v>5</v>
      </c>
      <c r="C1481" s="3">
        <v>123</v>
      </c>
      <c r="D1481" s="3">
        <v>24</v>
      </c>
      <c r="E1481" s="3">
        <v>-379.247</v>
      </c>
      <c r="F1481" s="4" t="str">
        <f>HYPERLINK("http://141.218.60.56/~jnz1568/getInfo.php?workbook=10_05.xlsx&amp;sheet=A0&amp;row=1481&amp;col=6&amp;number=12600000&amp;sourceID=14","12600000")</f>
        <v>12600000</v>
      </c>
      <c r="G1481" s="4" t="str">
        <f>HYPERLINK("http://141.218.60.56/~jnz1568/getInfo.php?workbook=10_05.xlsx&amp;sheet=A0&amp;row=1481&amp;col=7&amp;number=0&amp;sourceID=14","0")</f>
        <v>0</v>
      </c>
    </row>
    <row r="1482" spans="1:7">
      <c r="A1482" s="3">
        <v>10</v>
      </c>
      <c r="B1482" s="3">
        <v>5</v>
      </c>
      <c r="C1482" s="3">
        <v>125</v>
      </c>
      <c r="D1482" s="3">
        <v>24</v>
      </c>
      <c r="E1482" s="3">
        <v>-377.623</v>
      </c>
      <c r="F1482" s="4" t="str">
        <f>HYPERLINK("http://141.218.60.56/~jnz1568/getInfo.php?workbook=10_05.xlsx&amp;sheet=A0&amp;row=1482&amp;col=6&amp;number=1370000000&amp;sourceID=14","1370000000")</f>
        <v>1370000000</v>
      </c>
      <c r="G1482" s="4" t="str">
        <f>HYPERLINK("http://141.218.60.56/~jnz1568/getInfo.php?workbook=10_05.xlsx&amp;sheet=A0&amp;row=1482&amp;col=7&amp;number=0&amp;sourceID=14","0")</f>
        <v>0</v>
      </c>
    </row>
    <row r="1483" spans="1:7">
      <c r="A1483" s="3">
        <v>10</v>
      </c>
      <c r="B1483" s="3">
        <v>5</v>
      </c>
      <c r="C1483" s="3">
        <v>126</v>
      </c>
      <c r="D1483" s="3">
        <v>24</v>
      </c>
      <c r="E1483" s="3">
        <v>-377.231</v>
      </c>
      <c r="F1483" s="4" t="str">
        <f>HYPERLINK("http://141.218.60.56/~jnz1568/getInfo.php?workbook=10_05.xlsx&amp;sheet=A0&amp;row=1483&amp;col=6&amp;number=503000000&amp;sourceID=14","503000000")</f>
        <v>503000000</v>
      </c>
      <c r="G1483" s="4" t="str">
        <f>HYPERLINK("http://141.218.60.56/~jnz1568/getInfo.php?workbook=10_05.xlsx&amp;sheet=A0&amp;row=1483&amp;col=7&amp;number=0&amp;sourceID=14","0")</f>
        <v>0</v>
      </c>
    </row>
    <row r="1484" spans="1:7">
      <c r="A1484" s="3">
        <v>10</v>
      </c>
      <c r="B1484" s="3">
        <v>5</v>
      </c>
      <c r="C1484" s="3">
        <v>129</v>
      </c>
      <c r="D1484" s="3">
        <v>24</v>
      </c>
      <c r="E1484" s="3">
        <v>373.274</v>
      </c>
      <c r="F1484" s="4" t="str">
        <f>HYPERLINK("http://141.218.60.56/~jnz1568/getInfo.php?workbook=10_05.xlsx&amp;sheet=A0&amp;row=1484&amp;col=6&amp;number=1780000000&amp;sourceID=14","1780000000")</f>
        <v>1780000000</v>
      </c>
      <c r="G1484" s="4" t="str">
        <f>HYPERLINK("http://141.218.60.56/~jnz1568/getInfo.php?workbook=10_05.xlsx&amp;sheet=A0&amp;row=1484&amp;col=7&amp;number=0&amp;sourceID=14","0")</f>
        <v>0</v>
      </c>
    </row>
    <row r="1485" spans="1:7">
      <c r="A1485" s="3">
        <v>10</v>
      </c>
      <c r="B1485" s="3">
        <v>5</v>
      </c>
      <c r="C1485" s="3">
        <v>131</v>
      </c>
      <c r="D1485" s="3">
        <v>24</v>
      </c>
      <c r="E1485" s="3">
        <v>-372.514</v>
      </c>
      <c r="F1485" s="4" t="str">
        <f>HYPERLINK("http://141.218.60.56/~jnz1568/getInfo.php?workbook=10_05.xlsx&amp;sheet=A0&amp;row=1485&amp;col=6&amp;number=2210000&amp;sourceID=14","2210000")</f>
        <v>2210000</v>
      </c>
      <c r="G1485" s="4" t="str">
        <f>HYPERLINK("http://141.218.60.56/~jnz1568/getInfo.php?workbook=10_05.xlsx&amp;sheet=A0&amp;row=1485&amp;col=7&amp;number=0&amp;sourceID=14","0")</f>
        <v>0</v>
      </c>
    </row>
    <row r="1486" spans="1:7">
      <c r="A1486" s="3">
        <v>10</v>
      </c>
      <c r="B1486" s="3">
        <v>5</v>
      </c>
      <c r="C1486" s="3">
        <v>132</v>
      </c>
      <c r="D1486" s="3">
        <v>24</v>
      </c>
      <c r="E1486" s="3">
        <v>-372.31</v>
      </c>
      <c r="F1486" s="4" t="str">
        <f>HYPERLINK("http://141.218.60.56/~jnz1568/getInfo.php?workbook=10_05.xlsx&amp;sheet=A0&amp;row=1486&amp;col=6&amp;number=7160000&amp;sourceID=14","7160000")</f>
        <v>7160000</v>
      </c>
      <c r="G1486" s="4" t="str">
        <f>HYPERLINK("http://141.218.60.56/~jnz1568/getInfo.php?workbook=10_05.xlsx&amp;sheet=A0&amp;row=1486&amp;col=7&amp;number=0&amp;sourceID=14","0")</f>
        <v>0</v>
      </c>
    </row>
    <row r="1487" spans="1:7">
      <c r="A1487" s="3">
        <v>10</v>
      </c>
      <c r="B1487" s="3">
        <v>5</v>
      </c>
      <c r="C1487" s="3">
        <v>140</v>
      </c>
      <c r="D1487" s="3">
        <v>24</v>
      </c>
      <c r="E1487" s="3">
        <v>-365.444</v>
      </c>
      <c r="F1487" s="4" t="str">
        <f>HYPERLINK("http://141.218.60.56/~jnz1568/getInfo.php?workbook=10_05.xlsx&amp;sheet=A0&amp;row=1487&amp;col=6&amp;number=429000000&amp;sourceID=14","429000000")</f>
        <v>429000000</v>
      </c>
      <c r="G1487" s="4" t="str">
        <f>HYPERLINK("http://141.218.60.56/~jnz1568/getInfo.php?workbook=10_05.xlsx&amp;sheet=A0&amp;row=1487&amp;col=7&amp;number=0&amp;sourceID=14","0")</f>
        <v>0</v>
      </c>
    </row>
    <row r="1488" spans="1:7">
      <c r="A1488" s="3">
        <v>10</v>
      </c>
      <c r="B1488" s="3">
        <v>5</v>
      </c>
      <c r="C1488" s="3">
        <v>150</v>
      </c>
      <c r="D1488" s="3">
        <v>24</v>
      </c>
      <c r="E1488" s="3">
        <v>-356.409</v>
      </c>
      <c r="F1488" s="4" t="str">
        <f>HYPERLINK("http://141.218.60.56/~jnz1568/getInfo.php?workbook=10_05.xlsx&amp;sheet=A0&amp;row=1488&amp;col=6&amp;number=89400000&amp;sourceID=14","89400000")</f>
        <v>89400000</v>
      </c>
      <c r="G1488" s="4" t="str">
        <f>HYPERLINK("http://141.218.60.56/~jnz1568/getInfo.php?workbook=10_05.xlsx&amp;sheet=A0&amp;row=1488&amp;col=7&amp;number=0&amp;sourceID=14","0")</f>
        <v>0</v>
      </c>
    </row>
    <row r="1489" spans="1:7">
      <c r="A1489" s="3">
        <v>10</v>
      </c>
      <c r="B1489" s="3">
        <v>5</v>
      </c>
      <c r="C1489" s="3">
        <v>156</v>
      </c>
      <c r="D1489" s="3">
        <v>24</v>
      </c>
      <c r="E1489" s="3">
        <v>-351.251</v>
      </c>
      <c r="F1489" s="4" t="str">
        <f>HYPERLINK("http://141.218.60.56/~jnz1568/getInfo.php?workbook=10_05.xlsx&amp;sheet=A0&amp;row=1489&amp;col=6&amp;number=446000000&amp;sourceID=14","446000000")</f>
        <v>446000000</v>
      </c>
      <c r="G1489" s="4" t="str">
        <f>HYPERLINK("http://141.218.60.56/~jnz1568/getInfo.php?workbook=10_05.xlsx&amp;sheet=A0&amp;row=1489&amp;col=7&amp;number=0&amp;sourceID=14","0")</f>
        <v>0</v>
      </c>
    </row>
    <row r="1490" spans="1:7">
      <c r="A1490" s="3">
        <v>10</v>
      </c>
      <c r="B1490" s="3">
        <v>5</v>
      </c>
      <c r="C1490" s="3">
        <v>160</v>
      </c>
      <c r="D1490" s="3">
        <v>24</v>
      </c>
      <c r="E1490" s="3">
        <v>-349.477</v>
      </c>
      <c r="F1490" s="4" t="str">
        <f>HYPERLINK("http://141.218.60.56/~jnz1568/getInfo.php?workbook=10_05.xlsx&amp;sheet=A0&amp;row=1490&amp;col=6&amp;number=57500000&amp;sourceID=14","57500000")</f>
        <v>57500000</v>
      </c>
      <c r="G1490" s="4" t="str">
        <f>HYPERLINK("http://141.218.60.56/~jnz1568/getInfo.php?workbook=10_05.xlsx&amp;sheet=A0&amp;row=1490&amp;col=7&amp;number=0&amp;sourceID=14","0")</f>
        <v>0</v>
      </c>
    </row>
    <row r="1491" spans="1:7">
      <c r="A1491" s="3">
        <v>10</v>
      </c>
      <c r="B1491" s="3">
        <v>5</v>
      </c>
      <c r="C1491" s="3">
        <v>161</v>
      </c>
      <c r="D1491" s="3">
        <v>24</v>
      </c>
      <c r="E1491" s="3">
        <v>349.09</v>
      </c>
      <c r="F1491" s="4" t="str">
        <f>HYPERLINK("http://141.218.60.56/~jnz1568/getInfo.php?workbook=10_05.xlsx&amp;sheet=A0&amp;row=1491&amp;col=6&amp;number=47900000&amp;sourceID=14","47900000")</f>
        <v>47900000</v>
      </c>
      <c r="G1491" s="4" t="str">
        <f>HYPERLINK("http://141.218.60.56/~jnz1568/getInfo.php?workbook=10_05.xlsx&amp;sheet=A0&amp;row=1491&amp;col=7&amp;number=0&amp;sourceID=14","0")</f>
        <v>0</v>
      </c>
    </row>
    <row r="1492" spans="1:7">
      <c r="A1492" s="3">
        <v>10</v>
      </c>
      <c r="B1492" s="3">
        <v>5</v>
      </c>
      <c r="C1492" s="3">
        <v>162</v>
      </c>
      <c r="D1492" s="3">
        <v>24</v>
      </c>
      <c r="E1492" s="3">
        <v>348.724</v>
      </c>
      <c r="F1492" s="4" t="str">
        <f>HYPERLINK("http://141.218.60.56/~jnz1568/getInfo.php?workbook=10_05.xlsx&amp;sheet=A0&amp;row=1492&amp;col=6&amp;number=11500000&amp;sourceID=14","11500000")</f>
        <v>11500000</v>
      </c>
      <c r="G1492" s="4" t="str">
        <f>HYPERLINK("http://141.218.60.56/~jnz1568/getInfo.php?workbook=10_05.xlsx&amp;sheet=A0&amp;row=1492&amp;col=7&amp;number=0&amp;sourceID=14","0")</f>
        <v>0</v>
      </c>
    </row>
    <row r="1493" spans="1:7">
      <c r="A1493" s="3">
        <v>10</v>
      </c>
      <c r="B1493" s="3">
        <v>5</v>
      </c>
      <c r="C1493" s="3">
        <v>163</v>
      </c>
      <c r="D1493" s="3">
        <v>24</v>
      </c>
      <c r="E1493" s="3">
        <v>-332.992</v>
      </c>
      <c r="F1493" s="4" t="str">
        <f>HYPERLINK("http://141.218.60.56/~jnz1568/getInfo.php?workbook=10_05.xlsx&amp;sheet=A0&amp;row=1493&amp;col=6&amp;number=38200000&amp;sourceID=14","38200000")</f>
        <v>38200000</v>
      </c>
      <c r="G1493" s="4" t="str">
        <f>HYPERLINK("http://141.218.60.56/~jnz1568/getInfo.php?workbook=10_05.xlsx&amp;sheet=A0&amp;row=1493&amp;col=7&amp;number=0&amp;sourceID=14","0")</f>
        <v>0</v>
      </c>
    </row>
    <row r="1494" spans="1:7">
      <c r="A1494" s="3">
        <v>10</v>
      </c>
      <c r="B1494" s="3">
        <v>5</v>
      </c>
      <c r="C1494" s="3">
        <v>169</v>
      </c>
      <c r="D1494" s="3">
        <v>24</v>
      </c>
      <c r="E1494" s="3">
        <v>-272.462</v>
      </c>
      <c r="F1494" s="4" t="str">
        <f>HYPERLINK("http://141.218.60.56/~jnz1568/getInfo.php?workbook=10_05.xlsx&amp;sheet=A0&amp;row=1494&amp;col=6&amp;number=1460000&amp;sourceID=14","1460000")</f>
        <v>1460000</v>
      </c>
      <c r="G1494" s="4" t="str">
        <f>HYPERLINK("http://141.218.60.56/~jnz1568/getInfo.php?workbook=10_05.xlsx&amp;sheet=A0&amp;row=1494&amp;col=7&amp;number=0&amp;sourceID=14","0")</f>
        <v>0</v>
      </c>
    </row>
    <row r="1495" spans="1:7">
      <c r="A1495" s="3">
        <v>10</v>
      </c>
      <c r="B1495" s="3">
        <v>5</v>
      </c>
      <c r="C1495" s="3">
        <v>170</v>
      </c>
      <c r="D1495" s="3">
        <v>24</v>
      </c>
      <c r="E1495" s="3">
        <v>-265.678</v>
      </c>
      <c r="F1495" s="4" t="str">
        <f>HYPERLINK("http://141.218.60.56/~jnz1568/getInfo.php?workbook=10_05.xlsx&amp;sheet=A0&amp;row=1495&amp;col=6&amp;number=3770000&amp;sourceID=14","3770000")</f>
        <v>3770000</v>
      </c>
      <c r="G1495" s="4" t="str">
        <f>HYPERLINK("http://141.218.60.56/~jnz1568/getInfo.php?workbook=10_05.xlsx&amp;sheet=A0&amp;row=1495&amp;col=7&amp;number=0&amp;sourceID=14","0")</f>
        <v>0</v>
      </c>
    </row>
    <row r="1496" spans="1:7">
      <c r="A1496" s="3">
        <v>10</v>
      </c>
      <c r="B1496" s="3">
        <v>5</v>
      </c>
      <c r="C1496" s="3">
        <v>171</v>
      </c>
      <c r="D1496" s="3">
        <v>24</v>
      </c>
      <c r="E1496" s="3">
        <v>-265.611</v>
      </c>
      <c r="F1496" s="4" t="str">
        <f>HYPERLINK("http://141.218.60.56/~jnz1568/getInfo.php?workbook=10_05.xlsx&amp;sheet=A0&amp;row=1496&amp;col=6&amp;number=899000&amp;sourceID=14","899000")</f>
        <v>899000</v>
      </c>
      <c r="G1496" s="4" t="str">
        <f>HYPERLINK("http://141.218.60.56/~jnz1568/getInfo.php?workbook=10_05.xlsx&amp;sheet=A0&amp;row=1496&amp;col=7&amp;number=0&amp;sourceID=14","0")</f>
        <v>0</v>
      </c>
    </row>
    <row r="1497" spans="1:7">
      <c r="A1497" s="3">
        <v>10</v>
      </c>
      <c r="B1497" s="3">
        <v>5</v>
      </c>
      <c r="C1497" s="3">
        <v>172</v>
      </c>
      <c r="D1497" s="3">
        <v>24</v>
      </c>
      <c r="E1497" s="3">
        <v>-264.242</v>
      </c>
      <c r="F1497" s="4" t="str">
        <f>HYPERLINK("http://141.218.60.56/~jnz1568/getInfo.php?workbook=10_05.xlsx&amp;sheet=A0&amp;row=1497&amp;col=6&amp;number=6490000&amp;sourceID=14","6490000")</f>
        <v>6490000</v>
      </c>
      <c r="G1497" s="4" t="str">
        <f>HYPERLINK("http://141.218.60.56/~jnz1568/getInfo.php?workbook=10_05.xlsx&amp;sheet=A0&amp;row=1497&amp;col=7&amp;number=0&amp;sourceID=14","0")</f>
        <v>0</v>
      </c>
    </row>
    <row r="1498" spans="1:7">
      <c r="A1498" s="3">
        <v>10</v>
      </c>
      <c r="B1498" s="3">
        <v>5</v>
      </c>
      <c r="C1498" s="3">
        <v>174</v>
      </c>
      <c r="D1498" s="3">
        <v>24</v>
      </c>
      <c r="E1498" s="3">
        <v>-262.761</v>
      </c>
      <c r="F1498" s="4" t="str">
        <f>HYPERLINK("http://141.218.60.56/~jnz1568/getInfo.php?workbook=10_05.xlsx&amp;sheet=A0&amp;row=1498&amp;col=6&amp;number=3160000&amp;sourceID=14","3160000")</f>
        <v>3160000</v>
      </c>
      <c r="G1498" s="4" t="str">
        <f>HYPERLINK("http://141.218.60.56/~jnz1568/getInfo.php?workbook=10_05.xlsx&amp;sheet=A0&amp;row=1498&amp;col=7&amp;number=0&amp;sourceID=14","0")</f>
        <v>0</v>
      </c>
    </row>
    <row r="1499" spans="1:7">
      <c r="A1499" s="3">
        <v>10</v>
      </c>
      <c r="B1499" s="3">
        <v>5</v>
      </c>
      <c r="C1499" s="3">
        <v>26</v>
      </c>
      <c r="D1499" s="3">
        <v>25</v>
      </c>
      <c r="E1499" s="3">
        <v>5094.253</v>
      </c>
      <c r="F1499" s="4" t="str">
        <f>HYPERLINK("http://141.218.60.56/~jnz1568/getInfo.php?workbook=10_05.xlsx&amp;sheet=A0&amp;row=1499&amp;col=6&amp;number=3970000&amp;sourceID=14","3970000")</f>
        <v>3970000</v>
      </c>
      <c r="G1499" s="4" t="str">
        <f>HYPERLINK("http://141.218.60.56/~jnz1568/getInfo.php?workbook=10_05.xlsx&amp;sheet=A0&amp;row=1499&amp;col=7&amp;number=0&amp;sourceID=14","0")</f>
        <v>0</v>
      </c>
    </row>
    <row r="1500" spans="1:7">
      <c r="A1500" s="3">
        <v>10</v>
      </c>
      <c r="B1500" s="3">
        <v>5</v>
      </c>
      <c r="C1500" s="3">
        <v>27</v>
      </c>
      <c r="D1500" s="3">
        <v>25</v>
      </c>
      <c r="E1500" s="3">
        <v>4975.134</v>
      </c>
      <c r="F1500" s="4" t="str">
        <f>HYPERLINK("http://141.218.60.56/~jnz1568/getInfo.php?workbook=10_05.xlsx&amp;sheet=A0&amp;row=1500&amp;col=6&amp;number=11100000&amp;sourceID=14","11100000")</f>
        <v>11100000</v>
      </c>
      <c r="G1500" s="4" t="str">
        <f>HYPERLINK("http://141.218.60.56/~jnz1568/getInfo.php?workbook=10_05.xlsx&amp;sheet=A0&amp;row=1500&amp;col=7&amp;number=0&amp;sourceID=14","0")</f>
        <v>0</v>
      </c>
    </row>
    <row r="1501" spans="1:7">
      <c r="A1501" s="3">
        <v>10</v>
      </c>
      <c r="B1501" s="3">
        <v>5</v>
      </c>
      <c r="C1501" s="3">
        <v>28</v>
      </c>
      <c r="D1501" s="3">
        <v>25</v>
      </c>
      <c r="E1501" s="3">
        <v>-4697.05</v>
      </c>
      <c r="F1501" s="4" t="str">
        <f>HYPERLINK("http://141.218.60.56/~jnz1568/getInfo.php?workbook=10_05.xlsx&amp;sheet=A0&amp;row=1501&amp;col=6&amp;number=200000&amp;sourceID=14","200000")</f>
        <v>200000</v>
      </c>
      <c r="G1501" s="4" t="str">
        <f>HYPERLINK("http://141.218.60.56/~jnz1568/getInfo.php?workbook=10_05.xlsx&amp;sheet=A0&amp;row=1501&amp;col=7&amp;number=0&amp;sourceID=14","0")</f>
        <v>0</v>
      </c>
    </row>
    <row r="1502" spans="1:7">
      <c r="A1502" s="3">
        <v>10</v>
      </c>
      <c r="B1502" s="3">
        <v>5</v>
      </c>
      <c r="C1502" s="3">
        <v>29</v>
      </c>
      <c r="D1502" s="3">
        <v>25</v>
      </c>
      <c r="E1502" s="3">
        <v>-4644.475</v>
      </c>
      <c r="F1502" s="4" t="str">
        <f>HYPERLINK("http://141.218.60.56/~jnz1568/getInfo.php?workbook=10_05.xlsx&amp;sheet=A0&amp;row=1502&amp;col=6&amp;number=304000&amp;sourceID=14","304000")</f>
        <v>304000</v>
      </c>
      <c r="G1502" s="4" t="str">
        <f>HYPERLINK("http://141.218.60.56/~jnz1568/getInfo.php?workbook=10_05.xlsx&amp;sheet=A0&amp;row=1502&amp;col=7&amp;number=0&amp;sourceID=14","0")</f>
        <v>0</v>
      </c>
    </row>
    <row r="1503" spans="1:7">
      <c r="A1503" s="3">
        <v>10</v>
      </c>
      <c r="B1503" s="3">
        <v>5</v>
      </c>
      <c r="C1503" s="3">
        <v>30</v>
      </c>
      <c r="D1503" s="3">
        <v>25</v>
      </c>
      <c r="E1503" s="3">
        <v>4552.732</v>
      </c>
      <c r="F1503" s="4" t="str">
        <f>HYPERLINK("http://141.218.60.56/~jnz1568/getInfo.php?workbook=10_05.xlsx&amp;sheet=A0&amp;row=1503&amp;col=6&amp;number=816&amp;sourceID=14","816")</f>
        <v>816</v>
      </c>
      <c r="G1503" s="4" t="str">
        <f>HYPERLINK("http://141.218.60.56/~jnz1568/getInfo.php?workbook=10_05.xlsx&amp;sheet=A0&amp;row=1503&amp;col=7&amp;number=0&amp;sourceID=14","0")</f>
        <v>0</v>
      </c>
    </row>
    <row r="1504" spans="1:7">
      <c r="A1504" s="3">
        <v>10</v>
      </c>
      <c r="B1504" s="3">
        <v>5</v>
      </c>
      <c r="C1504" s="3">
        <v>32</v>
      </c>
      <c r="D1504" s="3">
        <v>25</v>
      </c>
      <c r="E1504" s="3">
        <v>-3318.517</v>
      </c>
      <c r="F1504" s="4" t="str">
        <f>HYPERLINK("http://141.218.60.56/~jnz1568/getInfo.php?workbook=10_05.xlsx&amp;sheet=A0&amp;row=1504&amp;col=6&amp;number=57700&amp;sourceID=14","57700")</f>
        <v>57700</v>
      </c>
      <c r="G1504" s="4" t="str">
        <f>HYPERLINK("http://141.218.60.56/~jnz1568/getInfo.php?workbook=10_05.xlsx&amp;sheet=A0&amp;row=1504&amp;col=7&amp;number=0&amp;sourceID=14","0")</f>
        <v>0</v>
      </c>
    </row>
    <row r="1505" spans="1:7">
      <c r="A1505" s="3">
        <v>10</v>
      </c>
      <c r="B1505" s="3">
        <v>5</v>
      </c>
      <c r="C1505" s="3">
        <v>33</v>
      </c>
      <c r="D1505" s="3">
        <v>25</v>
      </c>
      <c r="E1505" s="3">
        <v>-2614.794</v>
      </c>
      <c r="F1505" s="4" t="str">
        <f>HYPERLINK("http://141.218.60.56/~jnz1568/getInfo.php?workbook=10_05.xlsx&amp;sheet=A0&amp;row=1505&amp;col=6&amp;number=5.85&amp;sourceID=14","5.85")</f>
        <v>5.85</v>
      </c>
      <c r="G1505" s="4" t="str">
        <f>HYPERLINK("http://141.218.60.56/~jnz1568/getInfo.php?workbook=10_05.xlsx&amp;sheet=A0&amp;row=1505&amp;col=7&amp;number=0&amp;sourceID=14","0")</f>
        <v>0</v>
      </c>
    </row>
    <row r="1506" spans="1:7">
      <c r="A1506" s="3">
        <v>10</v>
      </c>
      <c r="B1506" s="3">
        <v>5</v>
      </c>
      <c r="C1506" s="3">
        <v>34</v>
      </c>
      <c r="D1506" s="3">
        <v>25</v>
      </c>
      <c r="E1506" s="3">
        <v>-2594.712</v>
      </c>
      <c r="F1506" s="4" t="str">
        <f>HYPERLINK("http://141.218.60.56/~jnz1568/getInfo.php?workbook=10_05.xlsx&amp;sheet=A0&amp;row=1506&amp;col=6&amp;number=24800&amp;sourceID=14","24800")</f>
        <v>24800</v>
      </c>
      <c r="G1506" s="4" t="str">
        <f>HYPERLINK("http://141.218.60.56/~jnz1568/getInfo.php?workbook=10_05.xlsx&amp;sheet=A0&amp;row=1506&amp;col=7&amp;number=0&amp;sourceID=14","0")</f>
        <v>0</v>
      </c>
    </row>
    <row r="1507" spans="1:7">
      <c r="A1507" s="3">
        <v>10</v>
      </c>
      <c r="B1507" s="3">
        <v>5</v>
      </c>
      <c r="C1507" s="3">
        <v>35</v>
      </c>
      <c r="D1507" s="3">
        <v>25</v>
      </c>
      <c r="E1507" s="3">
        <v>-2566.213</v>
      </c>
      <c r="F1507" s="4" t="str">
        <f>HYPERLINK("http://141.218.60.56/~jnz1568/getInfo.php?workbook=10_05.xlsx&amp;sheet=A0&amp;row=1507&amp;col=6&amp;number=77600&amp;sourceID=14","77600")</f>
        <v>77600</v>
      </c>
      <c r="G1507" s="4" t="str">
        <f>HYPERLINK("http://141.218.60.56/~jnz1568/getInfo.php?workbook=10_05.xlsx&amp;sheet=A0&amp;row=1507&amp;col=7&amp;number=0&amp;sourceID=14","0")</f>
        <v>0</v>
      </c>
    </row>
    <row r="1508" spans="1:7">
      <c r="A1508" s="3">
        <v>10</v>
      </c>
      <c r="B1508" s="3">
        <v>5</v>
      </c>
      <c r="C1508" s="3">
        <v>36</v>
      </c>
      <c r="D1508" s="3">
        <v>25</v>
      </c>
      <c r="E1508" s="3">
        <v>2296.743</v>
      </c>
      <c r="F1508" s="4" t="str">
        <f>HYPERLINK("http://141.218.60.56/~jnz1568/getInfo.php?workbook=10_05.xlsx&amp;sheet=A0&amp;row=1508&amp;col=6&amp;number=28600000&amp;sourceID=14","28600000")</f>
        <v>28600000</v>
      </c>
      <c r="G1508" s="4" t="str">
        <f>HYPERLINK("http://141.218.60.56/~jnz1568/getInfo.php?workbook=10_05.xlsx&amp;sheet=A0&amp;row=1508&amp;col=7&amp;number=0&amp;sourceID=14","0")</f>
        <v>0</v>
      </c>
    </row>
    <row r="1509" spans="1:7">
      <c r="A1509" s="3">
        <v>10</v>
      </c>
      <c r="B1509" s="3">
        <v>5</v>
      </c>
      <c r="C1509" s="3">
        <v>37</v>
      </c>
      <c r="D1509" s="3">
        <v>25</v>
      </c>
      <c r="E1509" s="3">
        <v>2255.304</v>
      </c>
      <c r="F1509" s="4" t="str">
        <f>HYPERLINK("http://141.218.60.56/~jnz1568/getInfo.php?workbook=10_05.xlsx&amp;sheet=A0&amp;row=1509&amp;col=6&amp;number=171000000&amp;sourceID=14","171000000")</f>
        <v>171000000</v>
      </c>
      <c r="G1509" s="4" t="str">
        <f>HYPERLINK("http://141.218.60.56/~jnz1568/getInfo.php?workbook=10_05.xlsx&amp;sheet=A0&amp;row=1509&amp;col=7&amp;number=0&amp;sourceID=14","0")</f>
        <v>0</v>
      </c>
    </row>
    <row r="1510" spans="1:7">
      <c r="A1510" s="3">
        <v>10</v>
      </c>
      <c r="B1510" s="3">
        <v>5</v>
      </c>
      <c r="C1510" s="3">
        <v>40</v>
      </c>
      <c r="D1510" s="3">
        <v>25</v>
      </c>
      <c r="E1510" s="3">
        <v>1715.269</v>
      </c>
      <c r="F1510" s="4" t="str">
        <f>HYPERLINK("http://141.218.60.56/~jnz1568/getInfo.php?workbook=10_05.xlsx&amp;sheet=A0&amp;row=1510&amp;col=6&amp;number=295000000&amp;sourceID=14","295000000")</f>
        <v>295000000</v>
      </c>
      <c r="G1510" s="4" t="str">
        <f>HYPERLINK("http://141.218.60.56/~jnz1568/getInfo.php?workbook=10_05.xlsx&amp;sheet=A0&amp;row=1510&amp;col=7&amp;number=0&amp;sourceID=14","0")</f>
        <v>0</v>
      </c>
    </row>
    <row r="1511" spans="1:7">
      <c r="A1511" s="3">
        <v>10</v>
      </c>
      <c r="B1511" s="3">
        <v>5</v>
      </c>
      <c r="C1511" s="3">
        <v>58</v>
      </c>
      <c r="D1511" s="3">
        <v>25</v>
      </c>
      <c r="E1511" s="3">
        <v>790.89</v>
      </c>
      <c r="F1511" s="4" t="str">
        <f>HYPERLINK("http://141.218.60.56/~jnz1568/getInfo.php?workbook=10_05.xlsx&amp;sheet=A0&amp;row=1511&amp;col=6&amp;number=351000000&amp;sourceID=14","351000000")</f>
        <v>351000000</v>
      </c>
      <c r="G1511" s="4" t="str">
        <f>HYPERLINK("http://141.218.60.56/~jnz1568/getInfo.php?workbook=10_05.xlsx&amp;sheet=A0&amp;row=1511&amp;col=7&amp;number=0&amp;sourceID=14","0")</f>
        <v>0</v>
      </c>
    </row>
    <row r="1512" spans="1:7">
      <c r="A1512" s="3">
        <v>10</v>
      </c>
      <c r="B1512" s="3">
        <v>5</v>
      </c>
      <c r="C1512" s="3">
        <v>59</v>
      </c>
      <c r="D1512" s="3">
        <v>25</v>
      </c>
      <c r="E1512" s="3">
        <v>772.56</v>
      </c>
      <c r="F1512" s="4" t="str">
        <f>HYPERLINK("http://141.218.60.56/~jnz1568/getInfo.php?workbook=10_05.xlsx&amp;sheet=A0&amp;row=1512&amp;col=6&amp;number=71300000&amp;sourceID=14","71300000")</f>
        <v>71300000</v>
      </c>
      <c r="G1512" s="4" t="str">
        <f>HYPERLINK("http://141.218.60.56/~jnz1568/getInfo.php?workbook=10_05.xlsx&amp;sheet=A0&amp;row=1512&amp;col=7&amp;number=0&amp;sourceID=14","0")</f>
        <v>0</v>
      </c>
    </row>
    <row r="1513" spans="1:7">
      <c r="A1513" s="3">
        <v>10</v>
      </c>
      <c r="B1513" s="3">
        <v>5</v>
      </c>
      <c r="C1513" s="3">
        <v>60</v>
      </c>
      <c r="D1513" s="3">
        <v>25</v>
      </c>
      <c r="E1513" s="3">
        <v>771.725</v>
      </c>
      <c r="F1513" s="4" t="str">
        <f>HYPERLINK("http://141.218.60.56/~jnz1568/getInfo.php?workbook=10_05.xlsx&amp;sheet=A0&amp;row=1513&amp;col=6&amp;number=335000000&amp;sourceID=14","335000000")</f>
        <v>335000000</v>
      </c>
      <c r="G1513" s="4" t="str">
        <f>HYPERLINK("http://141.218.60.56/~jnz1568/getInfo.php?workbook=10_05.xlsx&amp;sheet=A0&amp;row=1513&amp;col=7&amp;number=0&amp;sourceID=14","0")</f>
        <v>0</v>
      </c>
    </row>
    <row r="1514" spans="1:7">
      <c r="A1514" s="3">
        <v>10</v>
      </c>
      <c r="B1514" s="3">
        <v>5</v>
      </c>
      <c r="C1514" s="3">
        <v>61</v>
      </c>
      <c r="D1514" s="3">
        <v>25</v>
      </c>
      <c r="E1514" s="3">
        <v>762.836</v>
      </c>
      <c r="F1514" s="4" t="str">
        <f>HYPERLINK("http://141.218.60.56/~jnz1568/getInfo.php?workbook=10_05.xlsx&amp;sheet=A0&amp;row=1514&amp;col=6&amp;number=11200000&amp;sourceID=14","11200000")</f>
        <v>11200000</v>
      </c>
      <c r="G1514" s="4" t="str">
        <f>HYPERLINK("http://141.218.60.56/~jnz1568/getInfo.php?workbook=10_05.xlsx&amp;sheet=A0&amp;row=1514&amp;col=7&amp;number=0&amp;sourceID=14","0")</f>
        <v>0</v>
      </c>
    </row>
    <row r="1515" spans="1:7">
      <c r="A1515" s="3">
        <v>10</v>
      </c>
      <c r="B1515" s="3">
        <v>5</v>
      </c>
      <c r="C1515" s="3">
        <v>62</v>
      </c>
      <c r="D1515" s="3">
        <v>25</v>
      </c>
      <c r="E1515" s="3">
        <v>761.094</v>
      </c>
      <c r="F1515" s="4" t="str">
        <f>HYPERLINK("http://141.218.60.56/~jnz1568/getInfo.php?workbook=10_05.xlsx&amp;sheet=A0&amp;row=1515&amp;col=6&amp;number=10500000&amp;sourceID=14","10500000")</f>
        <v>10500000</v>
      </c>
      <c r="G1515" s="4" t="str">
        <f>HYPERLINK("http://141.218.60.56/~jnz1568/getInfo.php?workbook=10_05.xlsx&amp;sheet=A0&amp;row=1515&amp;col=7&amp;number=0&amp;sourceID=14","0")</f>
        <v>0</v>
      </c>
    </row>
    <row r="1516" spans="1:7">
      <c r="A1516" s="3">
        <v>10</v>
      </c>
      <c r="B1516" s="3">
        <v>5</v>
      </c>
      <c r="C1516" s="3">
        <v>63</v>
      </c>
      <c r="D1516" s="3">
        <v>25</v>
      </c>
      <c r="E1516" s="3">
        <v>727.592</v>
      </c>
      <c r="F1516" s="4" t="str">
        <f>HYPERLINK("http://141.218.60.56/~jnz1568/getInfo.php?workbook=10_05.xlsx&amp;sheet=A0&amp;row=1516&amp;col=6&amp;number=181000000&amp;sourceID=14","181000000")</f>
        <v>181000000</v>
      </c>
      <c r="G1516" s="4" t="str">
        <f>HYPERLINK("http://141.218.60.56/~jnz1568/getInfo.php?workbook=10_05.xlsx&amp;sheet=A0&amp;row=1516&amp;col=7&amp;number=0&amp;sourceID=14","0")</f>
        <v>0</v>
      </c>
    </row>
    <row r="1517" spans="1:7">
      <c r="A1517" s="3">
        <v>10</v>
      </c>
      <c r="B1517" s="3">
        <v>5</v>
      </c>
      <c r="C1517" s="3">
        <v>66</v>
      </c>
      <c r="D1517" s="3">
        <v>25</v>
      </c>
      <c r="E1517" s="3">
        <v>615.424</v>
      </c>
      <c r="F1517" s="4" t="str">
        <f>HYPERLINK("http://141.218.60.56/~jnz1568/getInfo.php?workbook=10_05.xlsx&amp;sheet=A0&amp;row=1517&amp;col=6&amp;number=66200000&amp;sourceID=14","66200000")</f>
        <v>66200000</v>
      </c>
      <c r="G1517" s="4" t="str">
        <f>HYPERLINK("http://141.218.60.56/~jnz1568/getInfo.php?workbook=10_05.xlsx&amp;sheet=A0&amp;row=1517&amp;col=7&amp;number=0&amp;sourceID=14","0")</f>
        <v>0</v>
      </c>
    </row>
    <row r="1518" spans="1:7">
      <c r="A1518" s="3">
        <v>10</v>
      </c>
      <c r="B1518" s="3">
        <v>5</v>
      </c>
      <c r="C1518" s="3">
        <v>67</v>
      </c>
      <c r="D1518" s="3">
        <v>25</v>
      </c>
      <c r="E1518" s="3">
        <v>615.424</v>
      </c>
      <c r="F1518" s="4" t="str">
        <f>HYPERLINK("http://141.218.60.56/~jnz1568/getInfo.php?workbook=10_05.xlsx&amp;sheet=A0&amp;row=1518&amp;col=6&amp;number=398000000&amp;sourceID=14","398000000")</f>
        <v>398000000</v>
      </c>
      <c r="G1518" s="4" t="str">
        <f>HYPERLINK("http://141.218.60.56/~jnz1568/getInfo.php?workbook=10_05.xlsx&amp;sheet=A0&amp;row=1518&amp;col=7&amp;number=0&amp;sourceID=14","0")</f>
        <v>0</v>
      </c>
    </row>
    <row r="1519" spans="1:7">
      <c r="A1519" s="3">
        <v>10</v>
      </c>
      <c r="B1519" s="3">
        <v>5</v>
      </c>
      <c r="C1519" s="3">
        <v>70</v>
      </c>
      <c r="D1519" s="3">
        <v>25</v>
      </c>
      <c r="E1519" s="3">
        <v>599.989</v>
      </c>
      <c r="F1519" s="4" t="str">
        <f>HYPERLINK("http://141.218.60.56/~jnz1568/getInfo.php?workbook=10_05.xlsx&amp;sheet=A0&amp;row=1519&amp;col=6&amp;number=3350&amp;sourceID=14","3350")</f>
        <v>3350</v>
      </c>
      <c r="G1519" s="4" t="str">
        <f>HYPERLINK("http://141.218.60.56/~jnz1568/getInfo.php?workbook=10_05.xlsx&amp;sheet=A0&amp;row=1519&amp;col=7&amp;number=0&amp;sourceID=14","0")</f>
        <v>0</v>
      </c>
    </row>
    <row r="1520" spans="1:7">
      <c r="A1520" s="3">
        <v>10</v>
      </c>
      <c r="B1520" s="3">
        <v>5</v>
      </c>
      <c r="C1520" s="3">
        <v>71</v>
      </c>
      <c r="D1520" s="3">
        <v>25</v>
      </c>
      <c r="E1520" s="3">
        <v>599.989</v>
      </c>
      <c r="F1520" s="4" t="str">
        <f>HYPERLINK("http://141.218.60.56/~jnz1568/getInfo.php?workbook=10_05.xlsx&amp;sheet=A0&amp;row=1520&amp;col=6&amp;number=267000&amp;sourceID=14","267000")</f>
        <v>267000</v>
      </c>
      <c r="G1520" s="4" t="str">
        <f>HYPERLINK("http://141.218.60.56/~jnz1568/getInfo.php?workbook=10_05.xlsx&amp;sheet=A0&amp;row=1520&amp;col=7&amp;number=0&amp;sourceID=14","0")</f>
        <v>0</v>
      </c>
    </row>
    <row r="1521" spans="1:7">
      <c r="A1521" s="3">
        <v>10</v>
      </c>
      <c r="B1521" s="3">
        <v>5</v>
      </c>
      <c r="C1521" s="3">
        <v>72</v>
      </c>
      <c r="D1521" s="3">
        <v>25</v>
      </c>
      <c r="E1521" s="3">
        <v>599.989</v>
      </c>
      <c r="F1521" s="4" t="str">
        <f>HYPERLINK("http://141.218.60.56/~jnz1568/getInfo.php?workbook=10_05.xlsx&amp;sheet=A0&amp;row=1521&amp;col=6&amp;number=148000&amp;sourceID=14","148000")</f>
        <v>148000</v>
      </c>
      <c r="G1521" s="4" t="str">
        <f>HYPERLINK("http://141.218.60.56/~jnz1568/getInfo.php?workbook=10_05.xlsx&amp;sheet=A0&amp;row=1521&amp;col=7&amp;number=0&amp;sourceID=14","0")</f>
        <v>0</v>
      </c>
    </row>
    <row r="1522" spans="1:7">
      <c r="A1522" s="3">
        <v>10</v>
      </c>
      <c r="B1522" s="3">
        <v>5</v>
      </c>
      <c r="C1522" s="3">
        <v>77</v>
      </c>
      <c r="D1522" s="3">
        <v>25</v>
      </c>
      <c r="E1522" s="3">
        <v>-523.575</v>
      </c>
      <c r="F1522" s="4" t="str">
        <f>HYPERLINK("http://141.218.60.56/~jnz1568/getInfo.php?workbook=10_05.xlsx&amp;sheet=A0&amp;row=1522&amp;col=6&amp;number=2270000000&amp;sourceID=14","2270000000")</f>
        <v>2270000000</v>
      </c>
      <c r="G1522" s="4" t="str">
        <f>HYPERLINK("http://141.218.60.56/~jnz1568/getInfo.php?workbook=10_05.xlsx&amp;sheet=A0&amp;row=1522&amp;col=7&amp;number=0&amp;sourceID=14","0")</f>
        <v>0</v>
      </c>
    </row>
    <row r="1523" spans="1:7">
      <c r="A1523" s="3">
        <v>10</v>
      </c>
      <c r="B1523" s="3">
        <v>5</v>
      </c>
      <c r="C1523" s="3">
        <v>78</v>
      </c>
      <c r="D1523" s="3">
        <v>25</v>
      </c>
      <c r="E1523" s="3">
        <v>-521.307</v>
      </c>
      <c r="F1523" s="4" t="str">
        <f>HYPERLINK("http://141.218.60.56/~jnz1568/getInfo.php?workbook=10_05.xlsx&amp;sheet=A0&amp;row=1523&amp;col=6&amp;number=5720000000&amp;sourceID=14","5720000000")</f>
        <v>5720000000</v>
      </c>
      <c r="G1523" s="4" t="str">
        <f>HYPERLINK("http://141.218.60.56/~jnz1568/getInfo.php?workbook=10_05.xlsx&amp;sheet=A0&amp;row=1523&amp;col=7&amp;number=0&amp;sourceID=14","0")</f>
        <v>0</v>
      </c>
    </row>
    <row r="1524" spans="1:7">
      <c r="A1524" s="3">
        <v>10</v>
      </c>
      <c r="B1524" s="3">
        <v>5</v>
      </c>
      <c r="C1524" s="3">
        <v>80</v>
      </c>
      <c r="D1524" s="3">
        <v>25</v>
      </c>
      <c r="E1524" s="3">
        <v>500.827</v>
      </c>
      <c r="F1524" s="4" t="str">
        <f>HYPERLINK("http://141.218.60.56/~jnz1568/getInfo.php?workbook=10_05.xlsx&amp;sheet=A0&amp;row=1524&amp;col=6&amp;number=27300000&amp;sourceID=14","27300000")</f>
        <v>27300000</v>
      </c>
      <c r="G1524" s="4" t="str">
        <f>HYPERLINK("http://141.218.60.56/~jnz1568/getInfo.php?workbook=10_05.xlsx&amp;sheet=A0&amp;row=1524&amp;col=7&amp;number=0&amp;sourceID=14","0")</f>
        <v>0</v>
      </c>
    </row>
    <row r="1525" spans="1:7">
      <c r="A1525" s="3">
        <v>10</v>
      </c>
      <c r="B1525" s="3">
        <v>5</v>
      </c>
      <c r="C1525" s="3">
        <v>81</v>
      </c>
      <c r="D1525" s="3">
        <v>25</v>
      </c>
      <c r="E1525" s="3">
        <v>500.827</v>
      </c>
      <c r="F1525" s="4" t="str">
        <f>HYPERLINK("http://141.218.60.56/~jnz1568/getInfo.php?workbook=10_05.xlsx&amp;sheet=A0&amp;row=1525&amp;col=6&amp;number=55300000&amp;sourceID=14","55300000")</f>
        <v>55300000</v>
      </c>
      <c r="G1525" s="4" t="str">
        <f>HYPERLINK("http://141.218.60.56/~jnz1568/getInfo.php?workbook=10_05.xlsx&amp;sheet=A0&amp;row=1525&amp;col=7&amp;number=0&amp;sourceID=14","0")</f>
        <v>0</v>
      </c>
    </row>
    <row r="1526" spans="1:7">
      <c r="A1526" s="3">
        <v>10</v>
      </c>
      <c r="B1526" s="3">
        <v>5</v>
      </c>
      <c r="C1526" s="3">
        <v>99</v>
      </c>
      <c r="D1526" s="3">
        <v>25</v>
      </c>
      <c r="E1526" s="3">
        <v>-411.527</v>
      </c>
      <c r="F1526" s="4" t="str">
        <f>HYPERLINK("http://141.218.60.56/~jnz1568/getInfo.php?workbook=10_05.xlsx&amp;sheet=A0&amp;row=1526&amp;col=6&amp;number=21.1&amp;sourceID=14","21.1")</f>
        <v>21.1</v>
      </c>
      <c r="G1526" s="4" t="str">
        <f>HYPERLINK("http://141.218.60.56/~jnz1568/getInfo.php?workbook=10_05.xlsx&amp;sheet=A0&amp;row=1526&amp;col=7&amp;number=0&amp;sourceID=14","0")</f>
        <v>0</v>
      </c>
    </row>
    <row r="1527" spans="1:7">
      <c r="A1527" s="3">
        <v>10</v>
      </c>
      <c r="B1527" s="3">
        <v>5</v>
      </c>
      <c r="C1527" s="3">
        <v>100</v>
      </c>
      <c r="D1527" s="3">
        <v>25</v>
      </c>
      <c r="E1527" s="3">
        <v>-411.082</v>
      </c>
      <c r="F1527" s="4" t="str">
        <f>HYPERLINK("http://141.218.60.56/~jnz1568/getInfo.php?workbook=10_05.xlsx&amp;sheet=A0&amp;row=1527&amp;col=6&amp;number=1830&amp;sourceID=14","1830")</f>
        <v>1830</v>
      </c>
      <c r="G1527" s="4" t="str">
        <f>HYPERLINK("http://141.218.60.56/~jnz1568/getInfo.php?workbook=10_05.xlsx&amp;sheet=A0&amp;row=1527&amp;col=7&amp;number=0&amp;sourceID=14","0")</f>
        <v>0</v>
      </c>
    </row>
    <row r="1528" spans="1:7">
      <c r="A1528" s="3">
        <v>10</v>
      </c>
      <c r="B1528" s="3">
        <v>5</v>
      </c>
      <c r="C1528" s="3">
        <v>105</v>
      </c>
      <c r="D1528" s="3">
        <v>25</v>
      </c>
      <c r="E1528" s="3">
        <v>-401.644</v>
      </c>
      <c r="F1528" s="4" t="str">
        <f>HYPERLINK("http://141.218.60.56/~jnz1568/getInfo.php?workbook=10_05.xlsx&amp;sheet=A0&amp;row=1528&amp;col=6&amp;number=2600000&amp;sourceID=14","2600000")</f>
        <v>2600000</v>
      </c>
      <c r="G1528" s="4" t="str">
        <f>HYPERLINK("http://141.218.60.56/~jnz1568/getInfo.php?workbook=10_05.xlsx&amp;sheet=A0&amp;row=1528&amp;col=7&amp;number=0&amp;sourceID=14","0")</f>
        <v>0</v>
      </c>
    </row>
    <row r="1529" spans="1:7">
      <c r="A1529" s="3">
        <v>10</v>
      </c>
      <c r="B1529" s="3">
        <v>5</v>
      </c>
      <c r="C1529" s="3">
        <v>106</v>
      </c>
      <c r="D1529" s="3">
        <v>25</v>
      </c>
      <c r="E1529" s="3">
        <v>-401.443</v>
      </c>
      <c r="F1529" s="4" t="str">
        <f>HYPERLINK("http://141.218.60.56/~jnz1568/getInfo.php?workbook=10_05.xlsx&amp;sheet=A0&amp;row=1529&amp;col=6&amp;number=9130000&amp;sourceID=14","9130000")</f>
        <v>9130000</v>
      </c>
      <c r="G1529" s="4" t="str">
        <f>HYPERLINK("http://141.218.60.56/~jnz1568/getInfo.php?workbook=10_05.xlsx&amp;sheet=A0&amp;row=1529&amp;col=7&amp;number=0&amp;sourceID=14","0")</f>
        <v>0</v>
      </c>
    </row>
    <row r="1530" spans="1:7">
      <c r="A1530" s="3">
        <v>10</v>
      </c>
      <c r="B1530" s="3">
        <v>5</v>
      </c>
      <c r="C1530" s="3">
        <v>107</v>
      </c>
      <c r="D1530" s="3">
        <v>25</v>
      </c>
      <c r="E1530" s="3">
        <v>-400.995</v>
      </c>
      <c r="F1530" s="4" t="str">
        <f>HYPERLINK("http://141.218.60.56/~jnz1568/getInfo.php?workbook=10_05.xlsx&amp;sheet=A0&amp;row=1530&amp;col=6&amp;number=4830&amp;sourceID=14","4830")</f>
        <v>4830</v>
      </c>
      <c r="G1530" s="4" t="str">
        <f>HYPERLINK("http://141.218.60.56/~jnz1568/getInfo.php?workbook=10_05.xlsx&amp;sheet=A0&amp;row=1530&amp;col=7&amp;number=0&amp;sourceID=14","0")</f>
        <v>0</v>
      </c>
    </row>
    <row r="1531" spans="1:7">
      <c r="A1531" s="3">
        <v>10</v>
      </c>
      <c r="B1531" s="3">
        <v>5</v>
      </c>
      <c r="C1531" s="3">
        <v>109</v>
      </c>
      <c r="D1531" s="3">
        <v>25</v>
      </c>
      <c r="E1531" s="3">
        <v>-399.866</v>
      </c>
      <c r="F1531" s="4" t="str">
        <f>HYPERLINK("http://141.218.60.56/~jnz1568/getInfo.php?workbook=10_05.xlsx&amp;sheet=A0&amp;row=1531&amp;col=6&amp;number=115000000&amp;sourceID=14","115000000")</f>
        <v>115000000</v>
      </c>
      <c r="G1531" s="4" t="str">
        <f>HYPERLINK("http://141.218.60.56/~jnz1568/getInfo.php?workbook=10_05.xlsx&amp;sheet=A0&amp;row=1531&amp;col=7&amp;number=0&amp;sourceID=14","0")</f>
        <v>0</v>
      </c>
    </row>
    <row r="1532" spans="1:7">
      <c r="A1532" s="3">
        <v>10</v>
      </c>
      <c r="B1532" s="3">
        <v>5</v>
      </c>
      <c r="C1532" s="3">
        <v>111</v>
      </c>
      <c r="D1532" s="3">
        <v>25</v>
      </c>
      <c r="E1532" s="3">
        <v>-398.913</v>
      </c>
      <c r="F1532" s="4" t="str">
        <f>HYPERLINK("http://141.218.60.56/~jnz1568/getInfo.php?workbook=10_05.xlsx&amp;sheet=A0&amp;row=1532&amp;col=6&amp;number=56400000&amp;sourceID=14","56400000")</f>
        <v>56400000</v>
      </c>
      <c r="G1532" s="4" t="str">
        <f>HYPERLINK("http://141.218.60.56/~jnz1568/getInfo.php?workbook=10_05.xlsx&amp;sheet=A0&amp;row=1532&amp;col=7&amp;number=0&amp;sourceID=14","0")</f>
        <v>0</v>
      </c>
    </row>
    <row r="1533" spans="1:7">
      <c r="A1533" s="3">
        <v>10</v>
      </c>
      <c r="B1533" s="3">
        <v>5</v>
      </c>
      <c r="C1533" s="3">
        <v>115</v>
      </c>
      <c r="D1533" s="3">
        <v>25</v>
      </c>
      <c r="E1533" s="3">
        <v>-388.254</v>
      </c>
      <c r="F1533" s="4" t="str">
        <f>HYPERLINK("http://141.218.60.56/~jnz1568/getInfo.php?workbook=10_05.xlsx&amp;sheet=A0&amp;row=1533&amp;col=6&amp;number=229&amp;sourceID=14","229")</f>
        <v>229</v>
      </c>
      <c r="G1533" s="4" t="str">
        <f>HYPERLINK("http://141.218.60.56/~jnz1568/getInfo.php?workbook=10_05.xlsx&amp;sheet=A0&amp;row=1533&amp;col=7&amp;number=0&amp;sourceID=14","0")</f>
        <v>0</v>
      </c>
    </row>
    <row r="1534" spans="1:7">
      <c r="A1534" s="3">
        <v>10</v>
      </c>
      <c r="B1534" s="3">
        <v>5</v>
      </c>
      <c r="C1534" s="3">
        <v>117</v>
      </c>
      <c r="D1534" s="3">
        <v>25</v>
      </c>
      <c r="E1534" s="3">
        <v>-386.582</v>
      </c>
      <c r="F1534" s="4" t="str">
        <f>HYPERLINK("http://141.218.60.56/~jnz1568/getInfo.php?workbook=10_05.xlsx&amp;sheet=A0&amp;row=1534&amp;col=6&amp;number=345000&amp;sourceID=14","345000")</f>
        <v>345000</v>
      </c>
      <c r="G1534" s="4" t="str">
        <f>HYPERLINK("http://141.218.60.56/~jnz1568/getInfo.php?workbook=10_05.xlsx&amp;sheet=A0&amp;row=1534&amp;col=7&amp;number=0&amp;sourceID=14","0")</f>
        <v>0</v>
      </c>
    </row>
    <row r="1535" spans="1:7">
      <c r="A1535" s="3">
        <v>10</v>
      </c>
      <c r="B1535" s="3">
        <v>5</v>
      </c>
      <c r="C1535" s="3">
        <v>118</v>
      </c>
      <c r="D1535" s="3">
        <v>25</v>
      </c>
      <c r="E1535" s="3">
        <v>-386.461</v>
      </c>
      <c r="F1535" s="4" t="str">
        <f>HYPERLINK("http://141.218.60.56/~jnz1568/getInfo.php?workbook=10_05.xlsx&amp;sheet=A0&amp;row=1535&amp;col=6&amp;number=240000&amp;sourceID=14","240000")</f>
        <v>240000</v>
      </c>
      <c r="G1535" s="4" t="str">
        <f>HYPERLINK("http://141.218.60.56/~jnz1568/getInfo.php?workbook=10_05.xlsx&amp;sheet=A0&amp;row=1535&amp;col=7&amp;number=0&amp;sourceID=14","0")</f>
        <v>0</v>
      </c>
    </row>
    <row r="1536" spans="1:7">
      <c r="A1536" s="3">
        <v>10</v>
      </c>
      <c r="B1536" s="3">
        <v>5</v>
      </c>
      <c r="C1536" s="3">
        <v>119</v>
      </c>
      <c r="D1536" s="3">
        <v>25</v>
      </c>
      <c r="E1536" s="3">
        <v>-386.386</v>
      </c>
      <c r="F1536" s="4" t="str">
        <f>HYPERLINK("http://141.218.60.56/~jnz1568/getInfo.php?workbook=10_05.xlsx&amp;sheet=A0&amp;row=1536&amp;col=6&amp;number=216000&amp;sourceID=14","216000")</f>
        <v>216000</v>
      </c>
      <c r="G1536" s="4" t="str">
        <f>HYPERLINK("http://141.218.60.56/~jnz1568/getInfo.php?workbook=10_05.xlsx&amp;sheet=A0&amp;row=1536&amp;col=7&amp;number=0&amp;sourceID=14","0")</f>
        <v>0</v>
      </c>
    </row>
    <row r="1537" spans="1:7">
      <c r="A1537" s="3">
        <v>10</v>
      </c>
      <c r="B1537" s="3">
        <v>5</v>
      </c>
      <c r="C1537" s="3">
        <v>120</v>
      </c>
      <c r="D1537" s="3">
        <v>25</v>
      </c>
      <c r="E1537" s="3">
        <v>-381.724</v>
      </c>
      <c r="F1537" s="4" t="str">
        <f>HYPERLINK("http://141.218.60.56/~jnz1568/getInfo.php?workbook=10_05.xlsx&amp;sheet=A0&amp;row=1537&amp;col=6&amp;number=12900000&amp;sourceID=14","12900000")</f>
        <v>12900000</v>
      </c>
      <c r="G1537" s="4" t="str">
        <f>HYPERLINK("http://141.218.60.56/~jnz1568/getInfo.php?workbook=10_05.xlsx&amp;sheet=A0&amp;row=1537&amp;col=7&amp;number=0&amp;sourceID=14","0")</f>
        <v>0</v>
      </c>
    </row>
    <row r="1538" spans="1:7">
      <c r="A1538" s="3">
        <v>10</v>
      </c>
      <c r="B1538" s="3">
        <v>5</v>
      </c>
      <c r="C1538" s="3">
        <v>121</v>
      </c>
      <c r="D1538" s="3">
        <v>25</v>
      </c>
      <c r="E1538" s="3">
        <v>-381.398</v>
      </c>
      <c r="F1538" s="4" t="str">
        <f>HYPERLINK("http://141.218.60.56/~jnz1568/getInfo.php?workbook=10_05.xlsx&amp;sheet=A0&amp;row=1538&amp;col=6&amp;number=17900000&amp;sourceID=14","17900000")</f>
        <v>17900000</v>
      </c>
      <c r="G1538" s="4" t="str">
        <f>HYPERLINK("http://141.218.60.56/~jnz1568/getInfo.php?workbook=10_05.xlsx&amp;sheet=A0&amp;row=1538&amp;col=7&amp;number=0&amp;sourceID=14","0")</f>
        <v>0</v>
      </c>
    </row>
    <row r="1539" spans="1:7">
      <c r="A1539" s="3">
        <v>10</v>
      </c>
      <c r="B1539" s="3">
        <v>5</v>
      </c>
      <c r="C1539" s="3">
        <v>122</v>
      </c>
      <c r="D1539" s="3">
        <v>25</v>
      </c>
      <c r="E1539" s="3">
        <v>-380.86</v>
      </c>
      <c r="F1539" s="4" t="str">
        <f>HYPERLINK("http://141.218.60.56/~jnz1568/getInfo.php?workbook=10_05.xlsx&amp;sheet=A0&amp;row=1539&amp;col=6&amp;number=1250000&amp;sourceID=14","1250000")</f>
        <v>1250000</v>
      </c>
      <c r="G1539" s="4" t="str">
        <f>HYPERLINK("http://141.218.60.56/~jnz1568/getInfo.php?workbook=10_05.xlsx&amp;sheet=A0&amp;row=1539&amp;col=7&amp;number=0&amp;sourceID=14","0")</f>
        <v>0</v>
      </c>
    </row>
    <row r="1540" spans="1:7">
      <c r="A1540" s="3">
        <v>10</v>
      </c>
      <c r="B1540" s="3">
        <v>5</v>
      </c>
      <c r="C1540" s="3">
        <v>123</v>
      </c>
      <c r="D1540" s="3">
        <v>25</v>
      </c>
      <c r="E1540" s="3">
        <v>-380.434</v>
      </c>
      <c r="F1540" s="4" t="str">
        <f>HYPERLINK("http://141.218.60.56/~jnz1568/getInfo.php?workbook=10_05.xlsx&amp;sheet=A0&amp;row=1540&amp;col=6&amp;number=42500000&amp;sourceID=14","42500000")</f>
        <v>42500000</v>
      </c>
      <c r="G1540" s="4" t="str">
        <f>HYPERLINK("http://141.218.60.56/~jnz1568/getInfo.php?workbook=10_05.xlsx&amp;sheet=A0&amp;row=1540&amp;col=7&amp;number=0&amp;sourceID=14","0")</f>
        <v>0</v>
      </c>
    </row>
    <row r="1541" spans="1:7">
      <c r="A1541" s="3">
        <v>10</v>
      </c>
      <c r="B1541" s="3">
        <v>5</v>
      </c>
      <c r="C1541" s="3">
        <v>125</v>
      </c>
      <c r="D1541" s="3">
        <v>25</v>
      </c>
      <c r="E1541" s="3">
        <v>-378.8</v>
      </c>
      <c r="F1541" s="4" t="str">
        <f>HYPERLINK("http://141.218.60.56/~jnz1568/getInfo.php?workbook=10_05.xlsx&amp;sheet=A0&amp;row=1541&amp;col=6&amp;number=583000000&amp;sourceID=14","583000000")</f>
        <v>583000000</v>
      </c>
      <c r="G1541" s="4" t="str">
        <f>HYPERLINK("http://141.218.60.56/~jnz1568/getInfo.php?workbook=10_05.xlsx&amp;sheet=A0&amp;row=1541&amp;col=7&amp;number=0&amp;sourceID=14","0")</f>
        <v>0</v>
      </c>
    </row>
    <row r="1542" spans="1:7">
      <c r="A1542" s="3">
        <v>10</v>
      </c>
      <c r="B1542" s="3">
        <v>5</v>
      </c>
      <c r="C1542" s="3">
        <v>126</v>
      </c>
      <c r="D1542" s="3">
        <v>25</v>
      </c>
      <c r="E1542" s="3">
        <v>-378.406</v>
      </c>
      <c r="F1542" s="4" t="str">
        <f>HYPERLINK("http://141.218.60.56/~jnz1568/getInfo.php?workbook=10_05.xlsx&amp;sheet=A0&amp;row=1542&amp;col=6&amp;number=1440000000&amp;sourceID=14","1440000000")</f>
        <v>1440000000</v>
      </c>
      <c r="G1542" s="4" t="str">
        <f>HYPERLINK("http://141.218.60.56/~jnz1568/getInfo.php?workbook=10_05.xlsx&amp;sheet=A0&amp;row=1542&amp;col=7&amp;number=0&amp;sourceID=14","0")</f>
        <v>0</v>
      </c>
    </row>
    <row r="1543" spans="1:7">
      <c r="A1543" s="3">
        <v>10</v>
      </c>
      <c r="B1543" s="3">
        <v>5</v>
      </c>
      <c r="C1543" s="3">
        <v>129</v>
      </c>
      <c r="D1543" s="3">
        <v>25</v>
      </c>
      <c r="E1543" s="3">
        <v>374.42</v>
      </c>
      <c r="F1543" s="4" t="str">
        <f>HYPERLINK("http://141.218.60.56/~jnz1568/getInfo.php?workbook=10_05.xlsx&amp;sheet=A0&amp;row=1543&amp;col=6&amp;number=568000000&amp;sourceID=14","568000000")</f>
        <v>568000000</v>
      </c>
      <c r="G1543" s="4" t="str">
        <f>HYPERLINK("http://141.218.60.56/~jnz1568/getInfo.php?workbook=10_05.xlsx&amp;sheet=A0&amp;row=1543&amp;col=7&amp;number=0&amp;sourceID=14","0")</f>
        <v>0</v>
      </c>
    </row>
    <row r="1544" spans="1:7">
      <c r="A1544" s="3">
        <v>10</v>
      </c>
      <c r="B1544" s="3">
        <v>5</v>
      </c>
      <c r="C1544" s="3">
        <v>130</v>
      </c>
      <c r="D1544" s="3">
        <v>25</v>
      </c>
      <c r="E1544" s="3">
        <v>374.42</v>
      </c>
      <c r="F1544" s="4" t="str">
        <f>HYPERLINK("http://141.218.60.56/~jnz1568/getInfo.php?workbook=10_05.xlsx&amp;sheet=A0&amp;row=1544&amp;col=6&amp;number=1930000000&amp;sourceID=14","1930000000")</f>
        <v>1930000000</v>
      </c>
      <c r="G1544" s="4" t="str">
        <f>HYPERLINK("http://141.218.60.56/~jnz1568/getInfo.php?workbook=10_05.xlsx&amp;sheet=A0&amp;row=1544&amp;col=7&amp;number=0&amp;sourceID=14","0")</f>
        <v>0</v>
      </c>
    </row>
    <row r="1545" spans="1:7">
      <c r="A1545" s="3">
        <v>10</v>
      </c>
      <c r="B1545" s="3">
        <v>5</v>
      </c>
      <c r="C1545" s="3">
        <v>131</v>
      </c>
      <c r="D1545" s="3">
        <v>25</v>
      </c>
      <c r="E1545" s="3">
        <v>-373.659</v>
      </c>
      <c r="F1545" s="4" t="str">
        <f>HYPERLINK("http://141.218.60.56/~jnz1568/getInfo.php?workbook=10_05.xlsx&amp;sheet=A0&amp;row=1545&amp;col=6&amp;number=168000&amp;sourceID=14","168000")</f>
        <v>168000</v>
      </c>
      <c r="G1545" s="4" t="str">
        <f>HYPERLINK("http://141.218.60.56/~jnz1568/getInfo.php?workbook=10_05.xlsx&amp;sheet=A0&amp;row=1545&amp;col=7&amp;number=0&amp;sourceID=14","0")</f>
        <v>0</v>
      </c>
    </row>
    <row r="1546" spans="1:7">
      <c r="A1546" s="3">
        <v>10</v>
      </c>
      <c r="B1546" s="3">
        <v>5</v>
      </c>
      <c r="C1546" s="3">
        <v>132</v>
      </c>
      <c r="D1546" s="3">
        <v>25</v>
      </c>
      <c r="E1546" s="3">
        <v>-373.454</v>
      </c>
      <c r="F1546" s="4" t="str">
        <f>HYPERLINK("http://141.218.60.56/~jnz1568/getInfo.php?workbook=10_05.xlsx&amp;sheet=A0&amp;row=1546&amp;col=6&amp;number=199000&amp;sourceID=14","199000")</f>
        <v>199000</v>
      </c>
      <c r="G1546" s="4" t="str">
        <f>HYPERLINK("http://141.218.60.56/~jnz1568/getInfo.php?workbook=10_05.xlsx&amp;sheet=A0&amp;row=1546&amp;col=7&amp;number=0&amp;sourceID=14","0")</f>
        <v>0</v>
      </c>
    </row>
    <row r="1547" spans="1:7">
      <c r="A1547" s="3">
        <v>10</v>
      </c>
      <c r="B1547" s="3">
        <v>5</v>
      </c>
      <c r="C1547" s="3">
        <v>133</v>
      </c>
      <c r="D1547" s="3">
        <v>25</v>
      </c>
      <c r="E1547" s="3">
        <v>-373.164</v>
      </c>
      <c r="F1547" s="4" t="str">
        <f>HYPERLINK("http://141.218.60.56/~jnz1568/getInfo.php?workbook=10_05.xlsx&amp;sheet=A0&amp;row=1547&amp;col=6&amp;number=434000000&amp;sourceID=14","434000000")</f>
        <v>434000000</v>
      </c>
      <c r="G1547" s="4" t="str">
        <f>HYPERLINK("http://141.218.60.56/~jnz1568/getInfo.php?workbook=10_05.xlsx&amp;sheet=A0&amp;row=1547&amp;col=7&amp;number=0&amp;sourceID=14","0")</f>
        <v>0</v>
      </c>
    </row>
    <row r="1548" spans="1:7">
      <c r="A1548" s="3">
        <v>10</v>
      </c>
      <c r="B1548" s="3">
        <v>5</v>
      </c>
      <c r="C1548" s="3">
        <v>140</v>
      </c>
      <c r="D1548" s="3">
        <v>25</v>
      </c>
      <c r="E1548" s="3">
        <v>-366.547</v>
      </c>
      <c r="F1548" s="4" t="str">
        <f>HYPERLINK("http://141.218.60.56/~jnz1568/getInfo.php?workbook=10_05.xlsx&amp;sheet=A0&amp;row=1548&amp;col=6&amp;number=1070000000&amp;sourceID=14","1070000000")</f>
        <v>1070000000</v>
      </c>
      <c r="G1548" s="4" t="str">
        <f>HYPERLINK("http://141.218.60.56/~jnz1568/getInfo.php?workbook=10_05.xlsx&amp;sheet=A0&amp;row=1548&amp;col=7&amp;number=0&amp;sourceID=14","0")</f>
        <v>0</v>
      </c>
    </row>
    <row r="1549" spans="1:7">
      <c r="A1549" s="3">
        <v>10</v>
      </c>
      <c r="B1549" s="3">
        <v>5</v>
      </c>
      <c r="C1549" s="3">
        <v>150</v>
      </c>
      <c r="D1549" s="3">
        <v>25</v>
      </c>
      <c r="E1549" s="3">
        <v>-357.458</v>
      </c>
      <c r="F1549" s="4" t="str">
        <f>HYPERLINK("http://141.218.60.56/~jnz1568/getInfo.php?workbook=10_05.xlsx&amp;sheet=A0&amp;row=1549&amp;col=6&amp;number=17400000&amp;sourceID=14","17400000")</f>
        <v>17400000</v>
      </c>
      <c r="G1549" s="4" t="str">
        <f>HYPERLINK("http://141.218.60.56/~jnz1568/getInfo.php?workbook=10_05.xlsx&amp;sheet=A0&amp;row=1549&amp;col=7&amp;number=0&amp;sourceID=14","0")</f>
        <v>0</v>
      </c>
    </row>
    <row r="1550" spans="1:7">
      <c r="A1550" s="3">
        <v>10</v>
      </c>
      <c r="B1550" s="3">
        <v>5</v>
      </c>
      <c r="C1550" s="3">
        <v>151</v>
      </c>
      <c r="D1550" s="3">
        <v>25</v>
      </c>
      <c r="E1550" s="3">
        <v>-357.429</v>
      </c>
      <c r="F1550" s="4" t="str">
        <f>HYPERLINK("http://141.218.60.56/~jnz1568/getInfo.php?workbook=10_05.xlsx&amp;sheet=A0&amp;row=1550&amp;col=6&amp;number=49700000&amp;sourceID=14","49700000")</f>
        <v>49700000</v>
      </c>
      <c r="G1550" s="4" t="str">
        <f>HYPERLINK("http://141.218.60.56/~jnz1568/getInfo.php?workbook=10_05.xlsx&amp;sheet=A0&amp;row=1550&amp;col=7&amp;number=0&amp;sourceID=14","0")</f>
        <v>0</v>
      </c>
    </row>
    <row r="1551" spans="1:7">
      <c r="A1551" s="3">
        <v>10</v>
      </c>
      <c r="B1551" s="3">
        <v>5</v>
      </c>
      <c r="C1551" s="3">
        <v>155</v>
      </c>
      <c r="D1551" s="3">
        <v>25</v>
      </c>
      <c r="E1551" s="3">
        <v>353.295</v>
      </c>
      <c r="F1551" s="4" t="str">
        <f>HYPERLINK("http://141.218.60.56/~jnz1568/getInfo.php?workbook=10_05.xlsx&amp;sheet=A0&amp;row=1551&amp;col=6&amp;number=72000000&amp;sourceID=14","72000000")</f>
        <v>72000000</v>
      </c>
      <c r="G1551" s="4" t="str">
        <f>HYPERLINK("http://141.218.60.56/~jnz1568/getInfo.php?workbook=10_05.xlsx&amp;sheet=A0&amp;row=1551&amp;col=7&amp;number=0&amp;sourceID=14","0")</f>
        <v>0</v>
      </c>
    </row>
    <row r="1552" spans="1:7">
      <c r="A1552" s="3">
        <v>10</v>
      </c>
      <c r="B1552" s="3">
        <v>5</v>
      </c>
      <c r="C1552" s="3">
        <v>156</v>
      </c>
      <c r="D1552" s="3">
        <v>25</v>
      </c>
      <c r="E1552" s="3">
        <v>-352.27</v>
      </c>
      <c r="F1552" s="4" t="str">
        <f>HYPERLINK("http://141.218.60.56/~jnz1568/getInfo.php?workbook=10_05.xlsx&amp;sheet=A0&amp;row=1552&amp;col=6&amp;number=96900000&amp;sourceID=14","96900000")</f>
        <v>96900000</v>
      </c>
      <c r="G1552" s="4" t="str">
        <f>HYPERLINK("http://141.218.60.56/~jnz1568/getInfo.php?workbook=10_05.xlsx&amp;sheet=A0&amp;row=1552&amp;col=7&amp;number=0&amp;sourceID=14","0")</f>
        <v>0</v>
      </c>
    </row>
    <row r="1553" spans="1:7">
      <c r="A1553" s="3">
        <v>10</v>
      </c>
      <c r="B1553" s="3">
        <v>5</v>
      </c>
      <c r="C1553" s="3">
        <v>157</v>
      </c>
      <c r="D1553" s="3">
        <v>25</v>
      </c>
      <c r="E1553" s="3">
        <v>-352.048</v>
      </c>
      <c r="F1553" s="4" t="str">
        <f>HYPERLINK("http://141.218.60.56/~jnz1568/getInfo.php?workbook=10_05.xlsx&amp;sheet=A0&amp;row=1553&amp;col=6&amp;number=544000000&amp;sourceID=14","544000000")</f>
        <v>544000000</v>
      </c>
      <c r="G1553" s="4" t="str">
        <f>HYPERLINK("http://141.218.60.56/~jnz1568/getInfo.php?workbook=10_05.xlsx&amp;sheet=A0&amp;row=1553&amp;col=7&amp;number=0&amp;sourceID=14","0")</f>
        <v>0</v>
      </c>
    </row>
    <row r="1554" spans="1:7">
      <c r="A1554" s="3">
        <v>10</v>
      </c>
      <c r="B1554" s="3">
        <v>5</v>
      </c>
      <c r="C1554" s="3">
        <v>160</v>
      </c>
      <c r="D1554" s="3">
        <v>25</v>
      </c>
      <c r="E1554" s="3">
        <v>-350.486</v>
      </c>
      <c r="F1554" s="4" t="str">
        <f>HYPERLINK("http://141.218.60.56/~jnz1568/getInfo.php?workbook=10_05.xlsx&amp;sheet=A0&amp;row=1554&amp;col=6&amp;number=128000000&amp;sourceID=14","128000000")</f>
        <v>128000000</v>
      </c>
      <c r="G1554" s="4" t="str">
        <f>HYPERLINK("http://141.218.60.56/~jnz1568/getInfo.php?workbook=10_05.xlsx&amp;sheet=A0&amp;row=1554&amp;col=7&amp;number=0&amp;sourceID=14","0")</f>
        <v>0</v>
      </c>
    </row>
    <row r="1555" spans="1:7">
      <c r="A1555" s="3">
        <v>10</v>
      </c>
      <c r="B1555" s="3">
        <v>5</v>
      </c>
      <c r="C1555" s="3">
        <v>161</v>
      </c>
      <c r="D1555" s="3">
        <v>25</v>
      </c>
      <c r="E1555" s="3">
        <v>350.092</v>
      </c>
      <c r="F1555" s="4" t="str">
        <f>HYPERLINK("http://141.218.60.56/~jnz1568/getInfo.php?workbook=10_05.xlsx&amp;sheet=A0&amp;row=1555&amp;col=6&amp;number=22800000&amp;sourceID=14","22800000")</f>
        <v>22800000</v>
      </c>
      <c r="G1555" s="4" t="str">
        <f>HYPERLINK("http://141.218.60.56/~jnz1568/getInfo.php?workbook=10_05.xlsx&amp;sheet=A0&amp;row=1555&amp;col=7&amp;number=0&amp;sourceID=14","0")</f>
        <v>0</v>
      </c>
    </row>
    <row r="1556" spans="1:7">
      <c r="A1556" s="3">
        <v>10</v>
      </c>
      <c r="B1556" s="3">
        <v>5</v>
      </c>
      <c r="C1556" s="3">
        <v>162</v>
      </c>
      <c r="D1556" s="3">
        <v>25</v>
      </c>
      <c r="E1556" s="3">
        <v>349.724</v>
      </c>
      <c r="F1556" s="4" t="str">
        <f>HYPERLINK("http://141.218.60.56/~jnz1568/getInfo.php?workbook=10_05.xlsx&amp;sheet=A0&amp;row=1556&amp;col=6&amp;number=60600000&amp;sourceID=14","60600000")</f>
        <v>60600000</v>
      </c>
      <c r="G1556" s="4" t="str">
        <f>HYPERLINK("http://141.218.60.56/~jnz1568/getInfo.php?workbook=10_05.xlsx&amp;sheet=A0&amp;row=1556&amp;col=7&amp;number=0&amp;sourceID=14","0")</f>
        <v>0</v>
      </c>
    </row>
    <row r="1557" spans="1:7">
      <c r="A1557" s="3">
        <v>10</v>
      </c>
      <c r="B1557" s="3">
        <v>5</v>
      </c>
      <c r="C1557" s="3">
        <v>163</v>
      </c>
      <c r="D1557" s="3">
        <v>25</v>
      </c>
      <c r="E1557" s="3">
        <v>-333.907</v>
      </c>
      <c r="F1557" s="4" t="str">
        <f>HYPERLINK("http://141.218.60.56/~jnz1568/getInfo.php?workbook=10_05.xlsx&amp;sheet=A0&amp;row=1557&amp;col=6&amp;number=78000000&amp;sourceID=14","78000000")</f>
        <v>78000000</v>
      </c>
      <c r="G1557" s="4" t="str">
        <f>HYPERLINK("http://141.218.60.56/~jnz1568/getInfo.php?workbook=10_05.xlsx&amp;sheet=A0&amp;row=1557&amp;col=7&amp;number=0&amp;sourceID=14","0")</f>
        <v>0</v>
      </c>
    </row>
    <row r="1558" spans="1:7">
      <c r="A1558" s="3">
        <v>10</v>
      </c>
      <c r="B1558" s="3">
        <v>5</v>
      </c>
      <c r="C1558" s="3">
        <v>168</v>
      </c>
      <c r="D1558" s="3">
        <v>25</v>
      </c>
      <c r="E1558" s="3">
        <v>-273.11</v>
      </c>
      <c r="F1558" s="4" t="str">
        <f>HYPERLINK("http://141.218.60.56/~jnz1568/getInfo.php?workbook=10_05.xlsx&amp;sheet=A0&amp;row=1558&amp;col=6&amp;number=2200000&amp;sourceID=14","2200000")</f>
        <v>2200000</v>
      </c>
      <c r="G1558" s="4" t="str">
        <f>HYPERLINK("http://141.218.60.56/~jnz1568/getInfo.php?workbook=10_05.xlsx&amp;sheet=A0&amp;row=1558&amp;col=7&amp;number=0&amp;sourceID=14","0")</f>
        <v>0</v>
      </c>
    </row>
    <row r="1559" spans="1:7">
      <c r="A1559" s="3">
        <v>10</v>
      </c>
      <c r="B1559" s="3">
        <v>5</v>
      </c>
      <c r="C1559" s="3">
        <v>169</v>
      </c>
      <c r="D1559" s="3">
        <v>25</v>
      </c>
      <c r="E1559" s="3">
        <v>-273.074</v>
      </c>
      <c r="F1559" s="4" t="str">
        <f>HYPERLINK("http://141.218.60.56/~jnz1568/getInfo.php?workbook=10_05.xlsx&amp;sheet=A0&amp;row=1559&amp;col=6&amp;number=376000&amp;sourceID=14","376000")</f>
        <v>376000</v>
      </c>
      <c r="G1559" s="4" t="str">
        <f>HYPERLINK("http://141.218.60.56/~jnz1568/getInfo.php?workbook=10_05.xlsx&amp;sheet=A0&amp;row=1559&amp;col=7&amp;number=0&amp;sourceID=14","0")</f>
        <v>0</v>
      </c>
    </row>
    <row r="1560" spans="1:7">
      <c r="A1560" s="3">
        <v>10</v>
      </c>
      <c r="B1560" s="3">
        <v>5</v>
      </c>
      <c r="C1560" s="3">
        <v>170</v>
      </c>
      <c r="D1560" s="3">
        <v>25</v>
      </c>
      <c r="E1560" s="3">
        <v>-266.26</v>
      </c>
      <c r="F1560" s="4" t="str">
        <f>HYPERLINK("http://141.218.60.56/~jnz1568/getInfo.php?workbook=10_05.xlsx&amp;sheet=A0&amp;row=1560&amp;col=6&amp;number=1850000&amp;sourceID=14","1850000")</f>
        <v>1850000</v>
      </c>
      <c r="G1560" s="4" t="str">
        <f>HYPERLINK("http://141.218.60.56/~jnz1568/getInfo.php?workbook=10_05.xlsx&amp;sheet=A0&amp;row=1560&amp;col=7&amp;number=0&amp;sourceID=14","0")</f>
        <v>0</v>
      </c>
    </row>
    <row r="1561" spans="1:7">
      <c r="A1561" s="3">
        <v>10</v>
      </c>
      <c r="B1561" s="3">
        <v>5</v>
      </c>
      <c r="C1561" s="3">
        <v>171</v>
      </c>
      <c r="D1561" s="3">
        <v>25</v>
      </c>
      <c r="E1561" s="3">
        <v>-266.193</v>
      </c>
      <c r="F1561" s="4" t="str">
        <f>HYPERLINK("http://141.218.60.56/~jnz1568/getInfo.php?workbook=10_05.xlsx&amp;sheet=A0&amp;row=1561&amp;col=6&amp;number=4900000&amp;sourceID=14","4900000")</f>
        <v>4900000</v>
      </c>
      <c r="G1561" s="4" t="str">
        <f>HYPERLINK("http://141.218.60.56/~jnz1568/getInfo.php?workbook=10_05.xlsx&amp;sheet=A0&amp;row=1561&amp;col=7&amp;number=0&amp;sourceID=14","0")</f>
        <v>0</v>
      </c>
    </row>
    <row r="1562" spans="1:7">
      <c r="A1562" s="3">
        <v>10</v>
      </c>
      <c r="B1562" s="3">
        <v>5</v>
      </c>
      <c r="C1562" s="3">
        <v>172</v>
      </c>
      <c r="D1562" s="3">
        <v>25</v>
      </c>
      <c r="E1562" s="3">
        <v>-264.818</v>
      </c>
      <c r="F1562" s="4" t="str">
        <f>HYPERLINK("http://141.218.60.56/~jnz1568/getInfo.php?workbook=10_05.xlsx&amp;sheet=A0&amp;row=1562&amp;col=6&amp;number=1370000&amp;sourceID=14","1370000")</f>
        <v>1370000</v>
      </c>
      <c r="G1562" s="4" t="str">
        <f>HYPERLINK("http://141.218.60.56/~jnz1568/getInfo.php?workbook=10_05.xlsx&amp;sheet=A0&amp;row=1562&amp;col=7&amp;number=0&amp;sourceID=14","0")</f>
        <v>0</v>
      </c>
    </row>
    <row r="1563" spans="1:7">
      <c r="A1563" s="3">
        <v>10</v>
      </c>
      <c r="B1563" s="3">
        <v>5</v>
      </c>
      <c r="C1563" s="3">
        <v>173</v>
      </c>
      <c r="D1563" s="3">
        <v>25</v>
      </c>
      <c r="E1563" s="3">
        <v>-264.802</v>
      </c>
      <c r="F1563" s="4" t="str">
        <f>HYPERLINK("http://141.218.60.56/~jnz1568/getInfo.php?workbook=10_05.xlsx&amp;sheet=A0&amp;row=1563&amp;col=6&amp;number=8260000&amp;sourceID=14","8260000")</f>
        <v>8260000</v>
      </c>
      <c r="G1563" s="4" t="str">
        <f>HYPERLINK("http://141.218.60.56/~jnz1568/getInfo.php?workbook=10_05.xlsx&amp;sheet=A0&amp;row=1563&amp;col=7&amp;number=0&amp;sourceID=14","0")</f>
        <v>0</v>
      </c>
    </row>
    <row r="1564" spans="1:7">
      <c r="A1564" s="3">
        <v>10</v>
      </c>
      <c r="B1564" s="3">
        <v>5</v>
      </c>
      <c r="C1564" s="3">
        <v>174</v>
      </c>
      <c r="D1564" s="3">
        <v>25</v>
      </c>
      <c r="E1564" s="3">
        <v>-263.331</v>
      </c>
      <c r="F1564" s="4" t="str">
        <f>HYPERLINK("http://141.218.60.56/~jnz1568/getInfo.php?workbook=10_05.xlsx&amp;sheet=A0&amp;row=1564&amp;col=6&amp;number=5960000&amp;sourceID=14","5960000")</f>
        <v>5960000</v>
      </c>
      <c r="G1564" s="4" t="str">
        <f>HYPERLINK("http://141.218.60.56/~jnz1568/getInfo.php?workbook=10_05.xlsx&amp;sheet=A0&amp;row=1564&amp;col=7&amp;number=0&amp;sourceID=14","0")</f>
        <v>0</v>
      </c>
    </row>
    <row r="1565" spans="1:7">
      <c r="A1565" s="3">
        <v>10</v>
      </c>
      <c r="B1565" s="3">
        <v>5</v>
      </c>
      <c r="C1565" s="3">
        <v>38</v>
      </c>
      <c r="D1565" s="3">
        <v>26</v>
      </c>
      <c r="E1565" s="3">
        <v>-2611.789</v>
      </c>
      <c r="F1565" s="4" t="str">
        <f>HYPERLINK("http://141.218.60.56/~jnz1568/getInfo.php?workbook=10_05.xlsx&amp;sheet=A0&amp;row=1565&amp;col=6&amp;number=3180000&amp;sourceID=14","3180000")</f>
        <v>3180000</v>
      </c>
      <c r="G1565" s="4" t="str">
        <f>HYPERLINK("http://141.218.60.56/~jnz1568/getInfo.php?workbook=10_05.xlsx&amp;sheet=A0&amp;row=1565&amp;col=7&amp;number=0&amp;sourceID=14","0")</f>
        <v>0</v>
      </c>
    </row>
    <row r="1566" spans="1:7">
      <c r="A1566" s="3">
        <v>10</v>
      </c>
      <c r="B1566" s="3">
        <v>5</v>
      </c>
      <c r="C1566" s="3">
        <v>43</v>
      </c>
      <c r="D1566" s="3">
        <v>26</v>
      </c>
      <c r="E1566" s="3">
        <v>1996.809</v>
      </c>
      <c r="F1566" s="4" t="str">
        <f>HYPERLINK("http://141.218.60.56/~jnz1568/getInfo.php?workbook=10_05.xlsx&amp;sheet=A0&amp;row=1566&amp;col=6&amp;number=1140000&amp;sourceID=14","1140000")</f>
        <v>1140000</v>
      </c>
      <c r="G1566" s="4" t="str">
        <f>HYPERLINK("http://141.218.60.56/~jnz1568/getInfo.php?workbook=10_05.xlsx&amp;sheet=A0&amp;row=1566&amp;col=7&amp;number=0&amp;sourceID=14","0")</f>
        <v>0</v>
      </c>
    </row>
    <row r="1567" spans="1:7">
      <c r="A1567" s="3">
        <v>10</v>
      </c>
      <c r="B1567" s="3">
        <v>5</v>
      </c>
      <c r="C1567" s="3">
        <v>44</v>
      </c>
      <c r="D1567" s="3">
        <v>26</v>
      </c>
      <c r="E1567" s="3">
        <v>1992.829</v>
      </c>
      <c r="F1567" s="4" t="str">
        <f>HYPERLINK("http://141.218.60.56/~jnz1568/getInfo.php?workbook=10_05.xlsx&amp;sheet=A0&amp;row=1567&amp;col=6&amp;number=115000&amp;sourceID=14","115000")</f>
        <v>115000</v>
      </c>
      <c r="G1567" s="4" t="str">
        <f>HYPERLINK("http://141.218.60.56/~jnz1568/getInfo.php?workbook=10_05.xlsx&amp;sheet=A0&amp;row=1567&amp;col=7&amp;number=0&amp;sourceID=14","0")</f>
        <v>0</v>
      </c>
    </row>
    <row r="1568" spans="1:7">
      <c r="A1568" s="3">
        <v>10</v>
      </c>
      <c r="B1568" s="3">
        <v>5</v>
      </c>
      <c r="C1568" s="3">
        <v>47</v>
      </c>
      <c r="D1568" s="3">
        <v>26</v>
      </c>
      <c r="E1568" s="3">
        <v>1929.388</v>
      </c>
      <c r="F1568" s="4" t="str">
        <f>HYPERLINK("http://141.218.60.56/~jnz1568/getInfo.php?workbook=10_05.xlsx&amp;sheet=A0&amp;row=1568&amp;col=6&amp;number=156000000&amp;sourceID=14","156000000")</f>
        <v>156000000</v>
      </c>
      <c r="G1568" s="4" t="str">
        <f>HYPERLINK("http://141.218.60.56/~jnz1568/getInfo.php?workbook=10_05.xlsx&amp;sheet=A0&amp;row=1568&amp;col=7&amp;number=0&amp;sourceID=14","0")</f>
        <v>0</v>
      </c>
    </row>
    <row r="1569" spans="1:7">
      <c r="A1569" s="3">
        <v>10</v>
      </c>
      <c r="B1569" s="3">
        <v>5</v>
      </c>
      <c r="C1569" s="3">
        <v>50</v>
      </c>
      <c r="D1569" s="3">
        <v>26</v>
      </c>
      <c r="E1569" s="3">
        <v>1795.013</v>
      </c>
      <c r="F1569" s="4" t="str">
        <f>HYPERLINK("http://141.218.60.56/~jnz1568/getInfo.php?workbook=10_05.xlsx&amp;sheet=A0&amp;row=1569&amp;col=6&amp;number=1110000&amp;sourceID=14","1110000")</f>
        <v>1110000</v>
      </c>
      <c r="G1569" s="4" t="str">
        <f>HYPERLINK("http://141.218.60.56/~jnz1568/getInfo.php?workbook=10_05.xlsx&amp;sheet=A0&amp;row=1569&amp;col=7&amp;number=0&amp;sourceID=14","0")</f>
        <v>0</v>
      </c>
    </row>
    <row r="1570" spans="1:7">
      <c r="A1570" s="3">
        <v>10</v>
      </c>
      <c r="B1570" s="3">
        <v>5</v>
      </c>
      <c r="C1570" s="3">
        <v>51</v>
      </c>
      <c r="D1570" s="3">
        <v>26</v>
      </c>
      <c r="E1570" s="3">
        <v>1786.994</v>
      </c>
      <c r="F1570" s="4" t="str">
        <f>HYPERLINK("http://141.218.60.56/~jnz1568/getInfo.php?workbook=10_05.xlsx&amp;sheet=A0&amp;row=1570&amp;col=6&amp;number=785000&amp;sourceID=14","785000")</f>
        <v>785000</v>
      </c>
      <c r="G1570" s="4" t="str">
        <f>HYPERLINK("http://141.218.60.56/~jnz1568/getInfo.php?workbook=10_05.xlsx&amp;sheet=A0&amp;row=1570&amp;col=7&amp;number=0&amp;sourceID=14","0")</f>
        <v>0</v>
      </c>
    </row>
    <row r="1571" spans="1:7">
      <c r="A1571" s="3">
        <v>10</v>
      </c>
      <c r="B1571" s="3">
        <v>5</v>
      </c>
      <c r="C1571" s="3">
        <v>52</v>
      </c>
      <c r="D1571" s="3">
        <v>26</v>
      </c>
      <c r="E1571" s="3">
        <v>1560.796</v>
      </c>
      <c r="F1571" s="4" t="str">
        <f>HYPERLINK("http://141.218.60.56/~jnz1568/getInfo.php?workbook=10_05.xlsx&amp;sheet=A0&amp;row=1571&amp;col=6&amp;number=4270000&amp;sourceID=14","4270000")</f>
        <v>4270000</v>
      </c>
      <c r="G1571" s="4" t="str">
        <f>HYPERLINK("http://141.218.60.56/~jnz1568/getInfo.php?workbook=10_05.xlsx&amp;sheet=A0&amp;row=1571&amp;col=7&amp;number=0&amp;sourceID=14","0")</f>
        <v>0</v>
      </c>
    </row>
    <row r="1572" spans="1:7">
      <c r="A1572" s="3">
        <v>10</v>
      </c>
      <c r="B1572" s="3">
        <v>5</v>
      </c>
      <c r="C1572" s="3">
        <v>53</v>
      </c>
      <c r="D1572" s="3">
        <v>26</v>
      </c>
      <c r="E1572" s="3">
        <v>1560.796</v>
      </c>
      <c r="F1572" s="4" t="str">
        <f>HYPERLINK("http://141.218.60.56/~jnz1568/getInfo.php?workbook=10_05.xlsx&amp;sheet=A0&amp;row=1572&amp;col=6&amp;number=15700000&amp;sourceID=14","15700000")</f>
        <v>15700000</v>
      </c>
      <c r="G1572" s="4" t="str">
        <f>HYPERLINK("http://141.218.60.56/~jnz1568/getInfo.php?workbook=10_05.xlsx&amp;sheet=A0&amp;row=1572&amp;col=7&amp;number=0&amp;sourceID=14","0")</f>
        <v>0</v>
      </c>
    </row>
    <row r="1573" spans="1:7">
      <c r="A1573" s="3">
        <v>10</v>
      </c>
      <c r="B1573" s="3">
        <v>5</v>
      </c>
      <c r="C1573" s="3">
        <v>56</v>
      </c>
      <c r="D1573" s="3">
        <v>26</v>
      </c>
      <c r="E1573" s="3">
        <v>1315.619</v>
      </c>
      <c r="F1573" s="4" t="str">
        <f>HYPERLINK("http://141.218.60.56/~jnz1568/getInfo.php?workbook=10_05.xlsx&amp;sheet=A0&amp;row=1573&amp;col=6&amp;number=46400000&amp;sourceID=14","46400000")</f>
        <v>46400000</v>
      </c>
      <c r="G1573" s="4" t="str">
        <f>HYPERLINK("http://141.218.60.56/~jnz1568/getInfo.php?workbook=10_05.xlsx&amp;sheet=A0&amp;row=1573&amp;col=7&amp;number=0&amp;sourceID=14","0")</f>
        <v>0</v>
      </c>
    </row>
    <row r="1574" spans="1:7">
      <c r="A1574" s="3">
        <v>10</v>
      </c>
      <c r="B1574" s="3">
        <v>5</v>
      </c>
      <c r="C1574" s="3">
        <v>57</v>
      </c>
      <c r="D1574" s="3">
        <v>26</v>
      </c>
      <c r="E1574" s="3">
        <v>1308.56</v>
      </c>
      <c r="F1574" s="4" t="str">
        <f>HYPERLINK("http://141.218.60.56/~jnz1568/getInfo.php?workbook=10_05.xlsx&amp;sheet=A0&amp;row=1574&amp;col=6&amp;number=189000000&amp;sourceID=14","189000000")</f>
        <v>189000000</v>
      </c>
      <c r="G1574" s="4" t="str">
        <f>HYPERLINK("http://141.218.60.56/~jnz1568/getInfo.php?workbook=10_05.xlsx&amp;sheet=A0&amp;row=1574&amp;col=7&amp;number=0&amp;sourceID=14","0")</f>
        <v>0</v>
      </c>
    </row>
    <row r="1575" spans="1:7">
      <c r="A1575" s="3">
        <v>10</v>
      </c>
      <c r="B1575" s="3">
        <v>5</v>
      </c>
      <c r="C1575" s="3">
        <v>64</v>
      </c>
      <c r="D1575" s="3">
        <v>26</v>
      </c>
      <c r="E1575" s="3">
        <v>-773.313</v>
      </c>
      <c r="F1575" s="4" t="str">
        <f>HYPERLINK("http://141.218.60.56/~jnz1568/getInfo.php?workbook=10_05.xlsx&amp;sheet=A0&amp;row=1575&amp;col=6&amp;number=12400000&amp;sourceID=14","12400000")</f>
        <v>12400000</v>
      </c>
      <c r="G1575" s="4" t="str">
        <f>HYPERLINK("http://141.218.60.56/~jnz1568/getInfo.php?workbook=10_05.xlsx&amp;sheet=A0&amp;row=1575&amp;col=7&amp;number=0&amp;sourceID=14","0")</f>
        <v>0</v>
      </c>
    </row>
    <row r="1576" spans="1:7">
      <c r="A1576" s="3">
        <v>10</v>
      </c>
      <c r="B1576" s="3">
        <v>5</v>
      </c>
      <c r="C1576" s="3">
        <v>65</v>
      </c>
      <c r="D1576" s="3">
        <v>26</v>
      </c>
      <c r="E1576" s="3">
        <v>-772.59</v>
      </c>
      <c r="F1576" s="4" t="str">
        <f>HYPERLINK("http://141.218.60.56/~jnz1568/getInfo.php?workbook=10_05.xlsx&amp;sheet=A0&amp;row=1576&amp;col=6&amp;number=3150000&amp;sourceID=14","3150000")</f>
        <v>3150000</v>
      </c>
      <c r="G1576" s="4" t="str">
        <f>HYPERLINK("http://141.218.60.56/~jnz1568/getInfo.php?workbook=10_05.xlsx&amp;sheet=A0&amp;row=1576&amp;col=7&amp;number=0&amp;sourceID=14","0")</f>
        <v>0</v>
      </c>
    </row>
    <row r="1577" spans="1:7">
      <c r="A1577" s="3">
        <v>10</v>
      </c>
      <c r="B1577" s="3">
        <v>5</v>
      </c>
      <c r="C1577" s="3">
        <v>73</v>
      </c>
      <c r="D1577" s="3">
        <v>26</v>
      </c>
      <c r="E1577" s="3">
        <v>649.689</v>
      </c>
      <c r="F1577" s="4" t="str">
        <f>HYPERLINK("http://141.218.60.56/~jnz1568/getInfo.php?workbook=10_05.xlsx&amp;sheet=A0&amp;row=1577&amp;col=6&amp;number=43200000&amp;sourceID=14","43200000")</f>
        <v>43200000</v>
      </c>
      <c r="G1577" s="4" t="str">
        <f>HYPERLINK("http://141.218.60.56/~jnz1568/getInfo.php?workbook=10_05.xlsx&amp;sheet=A0&amp;row=1577&amp;col=7&amp;number=0&amp;sourceID=14","0")</f>
        <v>0</v>
      </c>
    </row>
    <row r="1578" spans="1:7">
      <c r="A1578" s="3">
        <v>10</v>
      </c>
      <c r="B1578" s="3">
        <v>5</v>
      </c>
      <c r="C1578" s="3">
        <v>75</v>
      </c>
      <c r="D1578" s="3">
        <v>26</v>
      </c>
      <c r="E1578" s="3">
        <v>640.452</v>
      </c>
      <c r="F1578" s="4" t="str">
        <f>HYPERLINK("http://141.218.60.56/~jnz1568/getInfo.php?workbook=10_05.xlsx&amp;sheet=A0&amp;row=1578&amp;col=6&amp;number=398000&amp;sourceID=14","398000")</f>
        <v>398000</v>
      </c>
      <c r="G1578" s="4" t="str">
        <f>HYPERLINK("http://141.218.60.56/~jnz1568/getInfo.php?workbook=10_05.xlsx&amp;sheet=A0&amp;row=1578&amp;col=7&amp;number=0&amp;sourceID=14","0")</f>
        <v>0</v>
      </c>
    </row>
    <row r="1579" spans="1:7">
      <c r="A1579" s="3">
        <v>10</v>
      </c>
      <c r="B1579" s="3">
        <v>5</v>
      </c>
      <c r="C1579" s="3">
        <v>76</v>
      </c>
      <c r="D1579" s="3">
        <v>26</v>
      </c>
      <c r="E1579" s="3">
        <v>640.452</v>
      </c>
      <c r="F1579" s="4" t="str">
        <f>HYPERLINK("http://141.218.60.56/~jnz1568/getInfo.php?workbook=10_05.xlsx&amp;sheet=A0&amp;row=1579&amp;col=6&amp;number=1200000&amp;sourceID=14","1200000")</f>
        <v>1200000</v>
      </c>
      <c r="G1579" s="4" t="str">
        <f>HYPERLINK("http://141.218.60.56/~jnz1568/getInfo.php?workbook=10_05.xlsx&amp;sheet=A0&amp;row=1579&amp;col=7&amp;number=0&amp;sourceID=14","0")</f>
        <v>0</v>
      </c>
    </row>
    <row r="1580" spans="1:7">
      <c r="A1580" s="3">
        <v>10</v>
      </c>
      <c r="B1580" s="3">
        <v>5</v>
      </c>
      <c r="C1580" s="3">
        <v>79</v>
      </c>
      <c r="D1580" s="3">
        <v>26</v>
      </c>
      <c r="E1580" s="3">
        <v>-559.298</v>
      </c>
      <c r="F1580" s="4" t="str">
        <f>HYPERLINK("http://141.218.60.56/~jnz1568/getInfo.php?workbook=10_05.xlsx&amp;sheet=A0&amp;row=1580&amp;col=6&amp;number=1690000000&amp;sourceID=14","1690000000")</f>
        <v>1690000000</v>
      </c>
      <c r="G1580" s="4" t="str">
        <f>HYPERLINK("http://141.218.60.56/~jnz1568/getInfo.php?workbook=10_05.xlsx&amp;sheet=A0&amp;row=1580&amp;col=7&amp;number=0&amp;sourceID=14","0")</f>
        <v>0</v>
      </c>
    </row>
    <row r="1581" spans="1:7">
      <c r="A1581" s="3">
        <v>10</v>
      </c>
      <c r="B1581" s="3">
        <v>5</v>
      </c>
      <c r="C1581" s="3">
        <v>82</v>
      </c>
      <c r="D1581" s="3">
        <v>26</v>
      </c>
      <c r="E1581" s="3">
        <v>538.04</v>
      </c>
      <c r="F1581" s="4" t="str">
        <f>HYPERLINK("http://141.218.60.56/~jnz1568/getInfo.php?workbook=10_05.xlsx&amp;sheet=A0&amp;row=1581&amp;col=6&amp;number=62800000&amp;sourceID=14","62800000")</f>
        <v>62800000</v>
      </c>
      <c r="G1581" s="4" t="str">
        <f>HYPERLINK("http://141.218.60.56/~jnz1568/getInfo.php?workbook=10_05.xlsx&amp;sheet=A0&amp;row=1581&amp;col=7&amp;number=0&amp;sourceID=14","0")</f>
        <v>0</v>
      </c>
    </row>
    <row r="1582" spans="1:7">
      <c r="A1582" s="3">
        <v>10</v>
      </c>
      <c r="B1582" s="3">
        <v>5</v>
      </c>
      <c r="C1582" s="3">
        <v>83</v>
      </c>
      <c r="D1582" s="3">
        <v>26</v>
      </c>
      <c r="E1582" s="3">
        <v>538.04</v>
      </c>
      <c r="F1582" s="4" t="str">
        <f>HYPERLINK("http://141.218.60.56/~jnz1568/getInfo.php?workbook=10_05.xlsx&amp;sheet=A0&amp;row=1582&amp;col=6&amp;number=28000000&amp;sourceID=14","28000000")</f>
        <v>28000000</v>
      </c>
      <c r="G1582" s="4" t="str">
        <f>HYPERLINK("http://141.218.60.56/~jnz1568/getInfo.php?workbook=10_05.xlsx&amp;sheet=A0&amp;row=1582&amp;col=7&amp;number=0&amp;sourceID=14","0")</f>
        <v>0</v>
      </c>
    </row>
    <row r="1583" spans="1:7">
      <c r="A1583" s="3">
        <v>10</v>
      </c>
      <c r="B1583" s="3">
        <v>5</v>
      </c>
      <c r="C1583" s="3">
        <v>88</v>
      </c>
      <c r="D1583" s="3">
        <v>26</v>
      </c>
      <c r="E1583" s="3">
        <v>529.074</v>
      </c>
      <c r="F1583" s="4" t="str">
        <f>HYPERLINK("http://141.218.60.56/~jnz1568/getInfo.php?workbook=10_05.xlsx&amp;sheet=A0&amp;row=1583&amp;col=6&amp;number=33300000&amp;sourceID=14","33300000")</f>
        <v>33300000</v>
      </c>
      <c r="G1583" s="4" t="str">
        <f>HYPERLINK("http://141.218.60.56/~jnz1568/getInfo.php?workbook=10_05.xlsx&amp;sheet=A0&amp;row=1583&amp;col=7&amp;number=0&amp;sourceID=14","0")</f>
        <v>0</v>
      </c>
    </row>
    <row r="1584" spans="1:7">
      <c r="A1584" s="3">
        <v>10</v>
      </c>
      <c r="B1584" s="3">
        <v>5</v>
      </c>
      <c r="C1584" s="3">
        <v>89</v>
      </c>
      <c r="D1584" s="3">
        <v>26</v>
      </c>
      <c r="E1584" s="3">
        <v>528.04</v>
      </c>
      <c r="F1584" s="4" t="str">
        <f>HYPERLINK("http://141.218.60.56/~jnz1568/getInfo.php?workbook=10_05.xlsx&amp;sheet=A0&amp;row=1584&amp;col=6&amp;number=8810000&amp;sourceID=14","8810000")</f>
        <v>8810000</v>
      </c>
      <c r="G1584" s="4" t="str">
        <f>HYPERLINK("http://141.218.60.56/~jnz1568/getInfo.php?workbook=10_05.xlsx&amp;sheet=A0&amp;row=1584&amp;col=7&amp;number=0&amp;sourceID=14","0")</f>
        <v>0</v>
      </c>
    </row>
    <row r="1585" spans="1:7">
      <c r="A1585" s="3">
        <v>10</v>
      </c>
      <c r="B1585" s="3">
        <v>5</v>
      </c>
      <c r="C1585" s="3">
        <v>91</v>
      </c>
      <c r="D1585" s="3">
        <v>26</v>
      </c>
      <c r="E1585" s="3">
        <v>-505.473</v>
      </c>
      <c r="F1585" s="4" t="str">
        <f>HYPERLINK("http://141.218.60.56/~jnz1568/getInfo.php?workbook=10_05.xlsx&amp;sheet=A0&amp;row=1585&amp;col=6&amp;number=248000000&amp;sourceID=14","248000000")</f>
        <v>248000000</v>
      </c>
      <c r="G1585" s="4" t="str">
        <f>HYPERLINK("http://141.218.60.56/~jnz1568/getInfo.php?workbook=10_05.xlsx&amp;sheet=A0&amp;row=1585&amp;col=7&amp;number=0&amp;sourceID=14","0")</f>
        <v>0</v>
      </c>
    </row>
    <row r="1586" spans="1:7">
      <c r="A1586" s="3">
        <v>10</v>
      </c>
      <c r="B1586" s="3">
        <v>5</v>
      </c>
      <c r="C1586" s="3">
        <v>93</v>
      </c>
      <c r="D1586" s="3">
        <v>26</v>
      </c>
      <c r="E1586" s="3">
        <v>-484.434</v>
      </c>
      <c r="F1586" s="4" t="str">
        <f>HYPERLINK("http://141.218.60.56/~jnz1568/getInfo.php?workbook=10_05.xlsx&amp;sheet=A0&amp;row=1586&amp;col=6&amp;number=979000000&amp;sourceID=14","979000000")</f>
        <v>979000000</v>
      </c>
      <c r="G1586" s="4" t="str">
        <f>HYPERLINK("http://141.218.60.56/~jnz1568/getInfo.php?workbook=10_05.xlsx&amp;sheet=A0&amp;row=1586&amp;col=7&amp;number=0&amp;sourceID=14","0")</f>
        <v>0</v>
      </c>
    </row>
    <row r="1587" spans="1:7">
      <c r="A1587" s="3">
        <v>10</v>
      </c>
      <c r="B1587" s="3">
        <v>5</v>
      </c>
      <c r="C1587" s="3">
        <v>94</v>
      </c>
      <c r="D1587" s="3">
        <v>26</v>
      </c>
      <c r="E1587" s="3">
        <v>-484.073</v>
      </c>
      <c r="F1587" s="4" t="str">
        <f>HYPERLINK("http://141.218.60.56/~jnz1568/getInfo.php?workbook=10_05.xlsx&amp;sheet=A0&amp;row=1587&amp;col=6&amp;number=238000000&amp;sourceID=14","238000000")</f>
        <v>238000000</v>
      </c>
      <c r="G1587" s="4" t="str">
        <f>HYPERLINK("http://141.218.60.56/~jnz1568/getInfo.php?workbook=10_05.xlsx&amp;sheet=A0&amp;row=1587&amp;col=7&amp;number=0&amp;sourceID=14","0")</f>
        <v>0</v>
      </c>
    </row>
    <row r="1588" spans="1:7">
      <c r="A1588" s="3">
        <v>10</v>
      </c>
      <c r="B1588" s="3">
        <v>5</v>
      </c>
      <c r="C1588" s="3">
        <v>95</v>
      </c>
      <c r="D1588" s="3">
        <v>26</v>
      </c>
      <c r="E1588" s="3">
        <v>483.443</v>
      </c>
      <c r="F1588" s="4" t="str">
        <f>HYPERLINK("http://141.218.60.56/~jnz1568/getInfo.php?workbook=10_05.xlsx&amp;sheet=A0&amp;row=1588&amp;col=6&amp;number=97500&amp;sourceID=14","97500")</f>
        <v>97500</v>
      </c>
      <c r="G1588" s="4" t="str">
        <f>HYPERLINK("http://141.218.60.56/~jnz1568/getInfo.php?workbook=10_05.xlsx&amp;sheet=A0&amp;row=1588&amp;col=7&amp;number=0&amp;sourceID=14","0")</f>
        <v>0</v>
      </c>
    </row>
    <row r="1589" spans="1:7">
      <c r="A1589" s="3">
        <v>10</v>
      </c>
      <c r="B1589" s="3">
        <v>5</v>
      </c>
      <c r="C1589" s="3">
        <v>98</v>
      </c>
      <c r="D1589" s="3">
        <v>26</v>
      </c>
      <c r="E1589" s="3">
        <v>-447.897</v>
      </c>
      <c r="F1589" s="4" t="str">
        <f>HYPERLINK("http://141.218.60.56/~jnz1568/getInfo.php?workbook=10_05.xlsx&amp;sheet=A0&amp;row=1589&amp;col=6&amp;number=45400000&amp;sourceID=14","45400000")</f>
        <v>45400000</v>
      </c>
      <c r="G1589" s="4" t="str">
        <f>HYPERLINK("http://141.218.60.56/~jnz1568/getInfo.php?workbook=10_05.xlsx&amp;sheet=A0&amp;row=1589&amp;col=7&amp;number=0&amp;sourceID=14","0")</f>
        <v>0</v>
      </c>
    </row>
    <row r="1590" spans="1:7">
      <c r="A1590" s="3">
        <v>10</v>
      </c>
      <c r="B1590" s="3">
        <v>5</v>
      </c>
      <c r="C1590" s="3">
        <v>101</v>
      </c>
      <c r="D1590" s="3">
        <v>26</v>
      </c>
      <c r="E1590" s="3">
        <v>-447.038</v>
      </c>
      <c r="F1590" s="4" t="str">
        <f>HYPERLINK("http://141.218.60.56/~jnz1568/getInfo.php?workbook=10_05.xlsx&amp;sheet=A0&amp;row=1590&amp;col=6&amp;number=6100000&amp;sourceID=14","6100000")</f>
        <v>6100000</v>
      </c>
      <c r="G1590" s="4" t="str">
        <f>HYPERLINK("http://141.218.60.56/~jnz1568/getInfo.php?workbook=10_05.xlsx&amp;sheet=A0&amp;row=1590&amp;col=7&amp;number=0&amp;sourceID=14","0")</f>
        <v>0</v>
      </c>
    </row>
    <row r="1591" spans="1:7">
      <c r="A1591" s="3">
        <v>10</v>
      </c>
      <c r="B1591" s="3">
        <v>5</v>
      </c>
      <c r="C1591" s="3">
        <v>110</v>
      </c>
      <c r="D1591" s="3">
        <v>26</v>
      </c>
      <c r="E1591" s="3">
        <v>-433.382</v>
      </c>
      <c r="F1591" s="4" t="str">
        <f>HYPERLINK("http://141.218.60.56/~jnz1568/getInfo.php?workbook=10_05.xlsx&amp;sheet=A0&amp;row=1591&amp;col=6&amp;number=670000000&amp;sourceID=14","670000000")</f>
        <v>670000000</v>
      </c>
      <c r="G1591" s="4" t="str">
        <f>HYPERLINK("http://141.218.60.56/~jnz1568/getInfo.php?workbook=10_05.xlsx&amp;sheet=A0&amp;row=1591&amp;col=7&amp;number=0&amp;sourceID=14","0")</f>
        <v>0</v>
      </c>
    </row>
    <row r="1592" spans="1:7">
      <c r="A1592" s="3">
        <v>10</v>
      </c>
      <c r="B1592" s="3">
        <v>5</v>
      </c>
      <c r="C1592" s="3">
        <v>112</v>
      </c>
      <c r="D1592" s="3">
        <v>26</v>
      </c>
      <c r="E1592" s="3">
        <v>-432.153</v>
      </c>
      <c r="F1592" s="4" t="str">
        <f>HYPERLINK("http://141.218.60.56/~jnz1568/getInfo.php?workbook=10_05.xlsx&amp;sheet=A0&amp;row=1592&amp;col=6&amp;number=162000000&amp;sourceID=14","162000000")</f>
        <v>162000000</v>
      </c>
      <c r="G1592" s="4" t="str">
        <f>HYPERLINK("http://141.218.60.56/~jnz1568/getInfo.php?workbook=10_05.xlsx&amp;sheet=A0&amp;row=1592&amp;col=7&amp;number=0&amp;sourceID=14","0")</f>
        <v>0</v>
      </c>
    </row>
    <row r="1593" spans="1:7">
      <c r="A1593" s="3">
        <v>10</v>
      </c>
      <c r="B1593" s="3">
        <v>5</v>
      </c>
      <c r="C1593" s="3">
        <v>114</v>
      </c>
      <c r="D1593" s="3">
        <v>26</v>
      </c>
      <c r="E1593" s="3">
        <v>430.72</v>
      </c>
      <c r="F1593" s="4" t="str">
        <f>HYPERLINK("http://141.218.60.56/~jnz1568/getInfo.php?workbook=10_05.xlsx&amp;sheet=A0&amp;row=1593&amp;col=6&amp;number=435000&amp;sourceID=14","435000")</f>
        <v>435000</v>
      </c>
      <c r="G1593" s="4" t="str">
        <f>HYPERLINK("http://141.218.60.56/~jnz1568/getInfo.php?workbook=10_05.xlsx&amp;sheet=A0&amp;row=1593&amp;col=7&amp;number=0&amp;sourceID=14","0")</f>
        <v>0</v>
      </c>
    </row>
    <row r="1594" spans="1:7">
      <c r="A1594" s="3">
        <v>10</v>
      </c>
      <c r="B1594" s="3">
        <v>5</v>
      </c>
      <c r="C1594" s="3">
        <v>127</v>
      </c>
      <c r="D1594" s="3">
        <v>26</v>
      </c>
      <c r="E1594" s="3">
        <v>-408.529</v>
      </c>
      <c r="F1594" s="4" t="str">
        <f>HYPERLINK("http://141.218.60.56/~jnz1568/getInfo.php?workbook=10_05.xlsx&amp;sheet=A0&amp;row=1594&amp;col=6&amp;number=28600000&amp;sourceID=14","28600000")</f>
        <v>28600000</v>
      </c>
      <c r="G1594" s="4" t="str">
        <f>HYPERLINK("http://141.218.60.56/~jnz1568/getInfo.php?workbook=10_05.xlsx&amp;sheet=A0&amp;row=1594&amp;col=7&amp;number=0&amp;sourceID=14","0")</f>
        <v>0</v>
      </c>
    </row>
    <row r="1595" spans="1:7">
      <c r="A1595" s="3">
        <v>10</v>
      </c>
      <c r="B1595" s="3">
        <v>5</v>
      </c>
      <c r="C1595" s="3">
        <v>128</v>
      </c>
      <c r="D1595" s="3">
        <v>26</v>
      </c>
      <c r="E1595" s="3">
        <v>-407.781</v>
      </c>
      <c r="F1595" s="4" t="str">
        <f>HYPERLINK("http://141.218.60.56/~jnz1568/getInfo.php?workbook=10_05.xlsx&amp;sheet=A0&amp;row=1595&amp;col=6&amp;number=8220000&amp;sourceID=14","8220000")</f>
        <v>8220000</v>
      </c>
      <c r="G1595" s="4" t="str">
        <f>HYPERLINK("http://141.218.60.56/~jnz1568/getInfo.php?workbook=10_05.xlsx&amp;sheet=A0&amp;row=1595&amp;col=7&amp;number=0&amp;sourceID=14","0")</f>
        <v>0</v>
      </c>
    </row>
    <row r="1596" spans="1:7">
      <c r="A1596" s="3">
        <v>10</v>
      </c>
      <c r="B1596" s="3">
        <v>5</v>
      </c>
      <c r="C1596" s="3">
        <v>134</v>
      </c>
      <c r="D1596" s="3">
        <v>26</v>
      </c>
      <c r="E1596" s="3">
        <v>-400.468</v>
      </c>
      <c r="F1596" s="4" t="str">
        <f>HYPERLINK("http://141.218.60.56/~jnz1568/getInfo.php?workbook=10_05.xlsx&amp;sheet=A0&amp;row=1596&amp;col=6&amp;number=329000000&amp;sourceID=14","329000000")</f>
        <v>329000000</v>
      </c>
      <c r="G1596" s="4" t="str">
        <f>HYPERLINK("http://141.218.60.56/~jnz1568/getInfo.php?workbook=10_05.xlsx&amp;sheet=A0&amp;row=1596&amp;col=7&amp;number=0&amp;sourceID=14","0")</f>
        <v>0</v>
      </c>
    </row>
    <row r="1597" spans="1:7">
      <c r="A1597" s="3">
        <v>10</v>
      </c>
      <c r="B1597" s="3">
        <v>5</v>
      </c>
      <c r="C1597" s="3">
        <v>141</v>
      </c>
      <c r="D1597" s="3">
        <v>26</v>
      </c>
      <c r="E1597" s="3">
        <v>-393.059</v>
      </c>
      <c r="F1597" s="4" t="str">
        <f>HYPERLINK("http://141.218.60.56/~jnz1568/getInfo.php?workbook=10_05.xlsx&amp;sheet=A0&amp;row=1597&amp;col=6&amp;number=50400000&amp;sourceID=14","50400000")</f>
        <v>50400000</v>
      </c>
      <c r="G1597" s="4" t="str">
        <f>HYPERLINK("http://141.218.60.56/~jnz1568/getInfo.php?workbook=10_05.xlsx&amp;sheet=A0&amp;row=1597&amp;col=7&amp;number=0&amp;sourceID=14","0")</f>
        <v>0</v>
      </c>
    </row>
    <row r="1598" spans="1:7">
      <c r="A1598" s="3">
        <v>10</v>
      </c>
      <c r="B1598" s="3">
        <v>5</v>
      </c>
      <c r="C1598" s="3">
        <v>142</v>
      </c>
      <c r="D1598" s="3">
        <v>26</v>
      </c>
      <c r="E1598" s="3">
        <v>392.99</v>
      </c>
      <c r="F1598" s="4" t="str">
        <f>HYPERLINK("http://141.218.60.56/~jnz1568/getInfo.php?workbook=10_05.xlsx&amp;sheet=A0&amp;row=1598&amp;col=6&amp;number=55900&amp;sourceID=14","55900")</f>
        <v>55900</v>
      </c>
      <c r="G1598" s="4" t="str">
        <f>HYPERLINK("http://141.218.60.56/~jnz1568/getInfo.php?workbook=10_05.xlsx&amp;sheet=A0&amp;row=1598&amp;col=7&amp;number=0&amp;sourceID=14","0")</f>
        <v>0</v>
      </c>
    </row>
    <row r="1599" spans="1:7">
      <c r="A1599" s="3">
        <v>10</v>
      </c>
      <c r="B1599" s="3">
        <v>5</v>
      </c>
      <c r="C1599" s="3">
        <v>145</v>
      </c>
      <c r="D1599" s="3">
        <v>26</v>
      </c>
      <c r="E1599" s="3">
        <v>390.901</v>
      </c>
      <c r="F1599" s="4" t="str">
        <f>HYPERLINK("http://141.218.60.56/~jnz1568/getInfo.php?workbook=10_05.xlsx&amp;sheet=A0&amp;row=1599&amp;col=6&amp;number=3200000000&amp;sourceID=14","3200000000")</f>
        <v>3200000000</v>
      </c>
      <c r="G1599" s="4" t="str">
        <f>HYPERLINK("http://141.218.60.56/~jnz1568/getInfo.php?workbook=10_05.xlsx&amp;sheet=A0&amp;row=1599&amp;col=7&amp;number=0&amp;sourceID=14","0")</f>
        <v>0</v>
      </c>
    </row>
    <row r="1600" spans="1:7">
      <c r="A1600" s="3">
        <v>10</v>
      </c>
      <c r="B1600" s="3">
        <v>5</v>
      </c>
      <c r="C1600" s="3">
        <v>148</v>
      </c>
      <c r="D1600" s="3">
        <v>26</v>
      </c>
      <c r="E1600" s="3">
        <v>389.849</v>
      </c>
      <c r="F1600" s="4" t="str">
        <f>HYPERLINK("http://141.218.60.56/~jnz1568/getInfo.php?workbook=10_05.xlsx&amp;sheet=A0&amp;row=1600&amp;col=6&amp;number=1510000000&amp;sourceID=14","1510000000")</f>
        <v>1510000000</v>
      </c>
      <c r="G1600" s="4" t="str">
        <f>HYPERLINK("http://141.218.60.56/~jnz1568/getInfo.php?workbook=10_05.xlsx&amp;sheet=A0&amp;row=1600&amp;col=7&amp;number=0&amp;sourceID=14","0")</f>
        <v>0</v>
      </c>
    </row>
    <row r="1601" spans="1:7">
      <c r="A1601" s="3">
        <v>10</v>
      </c>
      <c r="B1601" s="3">
        <v>5</v>
      </c>
      <c r="C1601" s="3">
        <v>149</v>
      </c>
      <c r="D1601" s="3">
        <v>26</v>
      </c>
      <c r="E1601" s="3">
        <v>389.697</v>
      </c>
      <c r="F1601" s="4" t="str">
        <f>HYPERLINK("http://141.218.60.56/~jnz1568/getInfo.php?workbook=10_05.xlsx&amp;sheet=A0&amp;row=1601&amp;col=6&amp;number=3630000&amp;sourceID=14","3630000")</f>
        <v>3630000</v>
      </c>
      <c r="G1601" s="4" t="str">
        <f>HYPERLINK("http://141.218.60.56/~jnz1568/getInfo.php?workbook=10_05.xlsx&amp;sheet=A0&amp;row=1601&amp;col=7&amp;number=0&amp;sourceID=14","0")</f>
        <v>0</v>
      </c>
    </row>
    <row r="1602" spans="1:7">
      <c r="A1602" s="3">
        <v>10</v>
      </c>
      <c r="B1602" s="3">
        <v>5</v>
      </c>
      <c r="C1602" s="3">
        <v>158</v>
      </c>
      <c r="D1602" s="3">
        <v>26</v>
      </c>
      <c r="E1602" s="3">
        <v>-377.978</v>
      </c>
      <c r="F1602" s="4" t="str">
        <f>HYPERLINK("http://141.218.60.56/~jnz1568/getInfo.php?workbook=10_05.xlsx&amp;sheet=A0&amp;row=1602&amp;col=6&amp;number=267000000&amp;sourceID=14","267000000")</f>
        <v>267000000</v>
      </c>
      <c r="G1602" s="4" t="str">
        <f>HYPERLINK("http://141.218.60.56/~jnz1568/getInfo.php?workbook=10_05.xlsx&amp;sheet=A0&amp;row=1602&amp;col=7&amp;number=0&amp;sourceID=14","0")</f>
        <v>0</v>
      </c>
    </row>
    <row r="1603" spans="1:7">
      <c r="A1603" s="3">
        <v>10</v>
      </c>
      <c r="B1603" s="3">
        <v>5</v>
      </c>
      <c r="C1603" s="3">
        <v>159</v>
      </c>
      <c r="D1603" s="3">
        <v>26</v>
      </c>
      <c r="E1603" s="3">
        <v>-377.368</v>
      </c>
      <c r="F1603" s="4" t="str">
        <f>HYPERLINK("http://141.218.60.56/~jnz1568/getInfo.php?workbook=10_05.xlsx&amp;sheet=A0&amp;row=1603&amp;col=6&amp;number=1390000000&amp;sourceID=14","1390000000")</f>
        <v>1390000000</v>
      </c>
      <c r="G1603" s="4" t="str">
        <f>HYPERLINK("http://141.218.60.56/~jnz1568/getInfo.php?workbook=10_05.xlsx&amp;sheet=A0&amp;row=1603&amp;col=7&amp;number=0&amp;sourceID=14","0")</f>
        <v>0</v>
      </c>
    </row>
    <row r="1604" spans="1:7">
      <c r="A1604" s="3">
        <v>10</v>
      </c>
      <c r="B1604" s="3">
        <v>5</v>
      </c>
      <c r="C1604" s="3">
        <v>164</v>
      </c>
      <c r="D1604" s="3">
        <v>26</v>
      </c>
      <c r="E1604" s="3">
        <v>-321.42</v>
      </c>
      <c r="F1604" s="4" t="str">
        <f>HYPERLINK("http://141.218.60.56/~jnz1568/getInfo.php?workbook=10_05.xlsx&amp;sheet=A0&amp;row=1604&amp;col=6&amp;number=13000000&amp;sourceID=14","13000000")</f>
        <v>13000000</v>
      </c>
      <c r="G1604" s="4" t="str">
        <f>HYPERLINK("http://141.218.60.56/~jnz1568/getInfo.php?workbook=10_05.xlsx&amp;sheet=A0&amp;row=1604&amp;col=7&amp;number=0&amp;sourceID=14","0")</f>
        <v>0</v>
      </c>
    </row>
    <row r="1605" spans="1:7">
      <c r="A1605" s="3">
        <v>10</v>
      </c>
      <c r="B1605" s="3">
        <v>5</v>
      </c>
      <c r="C1605" s="3">
        <v>165</v>
      </c>
      <c r="D1605" s="3">
        <v>26</v>
      </c>
      <c r="E1605" s="3">
        <v>-321.279</v>
      </c>
      <c r="F1605" s="4" t="str">
        <f>HYPERLINK("http://141.218.60.56/~jnz1568/getInfo.php?workbook=10_05.xlsx&amp;sheet=A0&amp;row=1605&amp;col=6&amp;number=3310000&amp;sourceID=14","3310000")</f>
        <v>3310000</v>
      </c>
      <c r="G1605" s="4" t="str">
        <f>HYPERLINK("http://141.218.60.56/~jnz1568/getInfo.php?workbook=10_05.xlsx&amp;sheet=A0&amp;row=1605&amp;col=7&amp;number=0&amp;sourceID=14","0")</f>
        <v>0</v>
      </c>
    </row>
    <row r="1606" spans="1:7">
      <c r="A1606" s="3">
        <v>10</v>
      </c>
      <c r="B1606" s="3">
        <v>5</v>
      </c>
      <c r="C1606" s="3">
        <v>166</v>
      </c>
      <c r="D1606" s="3">
        <v>26</v>
      </c>
      <c r="E1606" s="3">
        <v>-295.564</v>
      </c>
      <c r="F1606" s="4" t="str">
        <f>HYPERLINK("http://141.218.60.56/~jnz1568/getInfo.php?workbook=10_05.xlsx&amp;sheet=A0&amp;row=1606&amp;col=6&amp;number=8410000&amp;sourceID=14","8410000")</f>
        <v>8410000</v>
      </c>
      <c r="G1606" s="4" t="str">
        <f>HYPERLINK("http://141.218.60.56/~jnz1568/getInfo.php?workbook=10_05.xlsx&amp;sheet=A0&amp;row=1606&amp;col=7&amp;number=0&amp;sourceID=14","0")</f>
        <v>0</v>
      </c>
    </row>
    <row r="1607" spans="1:7">
      <c r="A1607" s="3">
        <v>10</v>
      </c>
      <c r="B1607" s="3">
        <v>5</v>
      </c>
      <c r="C1607" s="3">
        <v>167</v>
      </c>
      <c r="D1607" s="3">
        <v>26</v>
      </c>
      <c r="E1607" s="3">
        <v>-295.527</v>
      </c>
      <c r="F1607" s="4" t="str">
        <f>HYPERLINK("http://141.218.60.56/~jnz1568/getInfo.php?workbook=10_05.xlsx&amp;sheet=A0&amp;row=1607&amp;col=6&amp;number=2070000&amp;sourceID=14","2070000")</f>
        <v>2070000</v>
      </c>
      <c r="G1607" s="4" t="str">
        <f>HYPERLINK("http://141.218.60.56/~jnz1568/getInfo.php?workbook=10_05.xlsx&amp;sheet=A0&amp;row=1607&amp;col=7&amp;number=0&amp;sourceID=14","0")</f>
        <v>0</v>
      </c>
    </row>
    <row r="1608" spans="1:7">
      <c r="A1608" s="3">
        <v>10</v>
      </c>
      <c r="B1608" s="3">
        <v>5</v>
      </c>
      <c r="C1608" s="3">
        <v>177</v>
      </c>
      <c r="D1608" s="3">
        <v>26</v>
      </c>
      <c r="E1608" s="3">
        <v>-269.727</v>
      </c>
      <c r="F1608" s="4" t="str">
        <f>HYPERLINK("http://141.218.60.56/~jnz1568/getInfo.php?workbook=10_05.xlsx&amp;sheet=A0&amp;row=1608&amp;col=6&amp;number=33400000&amp;sourceID=14","33400000")</f>
        <v>33400000</v>
      </c>
      <c r="G1608" s="4" t="str">
        <f>HYPERLINK("http://141.218.60.56/~jnz1568/getInfo.php?workbook=10_05.xlsx&amp;sheet=A0&amp;row=1608&amp;col=7&amp;number=0&amp;sourceID=14","0")</f>
        <v>0</v>
      </c>
    </row>
    <row r="1609" spans="1:7">
      <c r="A1609" s="3">
        <v>10</v>
      </c>
      <c r="B1609" s="3">
        <v>5</v>
      </c>
      <c r="C1609" s="3">
        <v>179</v>
      </c>
      <c r="D1609" s="3">
        <v>26</v>
      </c>
      <c r="E1609" s="3">
        <v>-266.78</v>
      </c>
      <c r="F1609" s="4" t="str">
        <f>HYPERLINK("http://141.218.60.56/~jnz1568/getInfo.php?workbook=10_05.xlsx&amp;sheet=A0&amp;row=1609&amp;col=6&amp;number=805000&amp;sourceID=14","805000")</f>
        <v>805000</v>
      </c>
      <c r="G1609" s="4" t="str">
        <f>HYPERLINK("http://141.218.60.56/~jnz1568/getInfo.php?workbook=10_05.xlsx&amp;sheet=A0&amp;row=1609&amp;col=7&amp;number=0&amp;sourceID=14","0")</f>
        <v>0</v>
      </c>
    </row>
    <row r="1610" spans="1:7">
      <c r="A1610" s="3">
        <v>10</v>
      </c>
      <c r="B1610" s="3">
        <v>5</v>
      </c>
      <c r="C1610" s="3">
        <v>180</v>
      </c>
      <c r="D1610" s="3">
        <v>26</v>
      </c>
      <c r="E1610" s="3">
        <v>-266.754</v>
      </c>
      <c r="F1610" s="4" t="str">
        <f>HYPERLINK("http://141.218.60.56/~jnz1568/getInfo.php?workbook=10_05.xlsx&amp;sheet=A0&amp;row=1610&amp;col=6&amp;number=129000&amp;sourceID=14","129000")</f>
        <v>129000</v>
      </c>
      <c r="G1610" s="4" t="str">
        <f>HYPERLINK("http://141.218.60.56/~jnz1568/getInfo.php?workbook=10_05.xlsx&amp;sheet=A0&amp;row=1610&amp;col=7&amp;number=0&amp;sourceID=14","0")</f>
        <v>0</v>
      </c>
    </row>
    <row r="1611" spans="1:7">
      <c r="A1611" s="3">
        <v>10</v>
      </c>
      <c r="B1611" s="3">
        <v>5</v>
      </c>
      <c r="C1611" s="3">
        <v>38</v>
      </c>
      <c r="D1611" s="3">
        <v>27</v>
      </c>
      <c r="E1611" s="3">
        <v>-2644.388</v>
      </c>
      <c r="F1611" s="4" t="str">
        <f>HYPERLINK("http://141.218.60.56/~jnz1568/getInfo.php?workbook=10_05.xlsx&amp;sheet=A0&amp;row=1611&amp;col=6&amp;number=652000&amp;sourceID=14","652000")</f>
        <v>652000</v>
      </c>
      <c r="G1611" s="4" t="str">
        <f>HYPERLINK("http://141.218.60.56/~jnz1568/getInfo.php?workbook=10_05.xlsx&amp;sheet=A0&amp;row=1611&amp;col=7&amp;number=0&amp;sourceID=14","0")</f>
        <v>0</v>
      </c>
    </row>
    <row r="1612" spans="1:7">
      <c r="A1612" s="3">
        <v>10</v>
      </c>
      <c r="B1612" s="3">
        <v>5</v>
      </c>
      <c r="C1612" s="3">
        <v>39</v>
      </c>
      <c r="D1612" s="3">
        <v>27</v>
      </c>
      <c r="E1612" s="3">
        <v>-2625.366</v>
      </c>
      <c r="F1612" s="4" t="str">
        <f>HYPERLINK("http://141.218.60.56/~jnz1568/getInfo.php?workbook=10_05.xlsx&amp;sheet=A0&amp;row=1612&amp;col=6&amp;number=1860000&amp;sourceID=14","1860000")</f>
        <v>1860000</v>
      </c>
      <c r="G1612" s="4" t="str">
        <f>HYPERLINK("http://141.218.60.56/~jnz1568/getInfo.php?workbook=10_05.xlsx&amp;sheet=A0&amp;row=1612&amp;col=7&amp;number=0&amp;sourceID=14","0")</f>
        <v>0</v>
      </c>
    </row>
    <row r="1613" spans="1:7">
      <c r="A1613" s="3">
        <v>10</v>
      </c>
      <c r="B1613" s="3">
        <v>5</v>
      </c>
      <c r="C1613" s="3">
        <v>43</v>
      </c>
      <c r="D1613" s="3">
        <v>27</v>
      </c>
      <c r="E1613" s="3">
        <v>2015.726</v>
      </c>
      <c r="F1613" s="4" t="str">
        <f>HYPERLINK("http://141.218.60.56/~jnz1568/getInfo.php?workbook=10_05.xlsx&amp;sheet=A0&amp;row=1613&amp;col=6&amp;number=573000&amp;sourceID=14","573000")</f>
        <v>573000</v>
      </c>
      <c r="G1613" s="4" t="str">
        <f>HYPERLINK("http://141.218.60.56/~jnz1568/getInfo.php?workbook=10_05.xlsx&amp;sheet=A0&amp;row=1613&amp;col=7&amp;number=0&amp;sourceID=14","0")</f>
        <v>0</v>
      </c>
    </row>
    <row r="1614" spans="1:7">
      <c r="A1614" s="3">
        <v>10</v>
      </c>
      <c r="B1614" s="3">
        <v>5</v>
      </c>
      <c r="C1614" s="3">
        <v>44</v>
      </c>
      <c r="D1614" s="3">
        <v>27</v>
      </c>
      <c r="E1614" s="3">
        <v>2011.671</v>
      </c>
      <c r="F1614" s="4" t="str">
        <f>HYPERLINK("http://141.218.60.56/~jnz1568/getInfo.php?workbook=10_05.xlsx&amp;sheet=A0&amp;row=1614&amp;col=6&amp;number=879000&amp;sourceID=14","879000")</f>
        <v>879000</v>
      </c>
      <c r="G1614" s="4" t="str">
        <f>HYPERLINK("http://141.218.60.56/~jnz1568/getInfo.php?workbook=10_05.xlsx&amp;sheet=A0&amp;row=1614&amp;col=7&amp;number=0&amp;sourceID=14","0")</f>
        <v>0</v>
      </c>
    </row>
    <row r="1615" spans="1:7">
      <c r="A1615" s="3">
        <v>10</v>
      </c>
      <c r="B1615" s="3">
        <v>5</v>
      </c>
      <c r="C1615" s="3">
        <v>45</v>
      </c>
      <c r="D1615" s="3">
        <v>27</v>
      </c>
      <c r="E1615" s="3">
        <v>2007.633</v>
      </c>
      <c r="F1615" s="4" t="str">
        <f>HYPERLINK("http://141.218.60.56/~jnz1568/getInfo.php?workbook=10_05.xlsx&amp;sheet=A0&amp;row=1615&amp;col=6&amp;number=22500&amp;sourceID=14","22500")</f>
        <v>22500</v>
      </c>
      <c r="G1615" s="4" t="str">
        <f>HYPERLINK("http://141.218.60.56/~jnz1568/getInfo.php?workbook=10_05.xlsx&amp;sheet=A0&amp;row=1615&amp;col=7&amp;number=0&amp;sourceID=14","0")</f>
        <v>0</v>
      </c>
    </row>
    <row r="1616" spans="1:7">
      <c r="A1616" s="3">
        <v>10</v>
      </c>
      <c r="B1616" s="3">
        <v>5</v>
      </c>
      <c r="C1616" s="3">
        <v>47</v>
      </c>
      <c r="D1616" s="3">
        <v>27</v>
      </c>
      <c r="E1616" s="3">
        <v>1947.044</v>
      </c>
      <c r="F1616" s="4" t="str">
        <f>HYPERLINK("http://141.218.60.56/~jnz1568/getInfo.php?workbook=10_05.xlsx&amp;sheet=A0&amp;row=1616&amp;col=6&amp;number=28100000&amp;sourceID=14","28100000")</f>
        <v>28100000</v>
      </c>
      <c r="G1616" s="4" t="str">
        <f>HYPERLINK("http://141.218.60.56/~jnz1568/getInfo.php?workbook=10_05.xlsx&amp;sheet=A0&amp;row=1616&amp;col=7&amp;number=0&amp;sourceID=14","0")</f>
        <v>0</v>
      </c>
    </row>
    <row r="1617" spans="1:7">
      <c r="A1617" s="3">
        <v>10</v>
      </c>
      <c r="B1617" s="3">
        <v>5</v>
      </c>
      <c r="C1617" s="3">
        <v>48</v>
      </c>
      <c r="D1617" s="3">
        <v>27</v>
      </c>
      <c r="E1617" s="3">
        <v>1939.492</v>
      </c>
      <c r="F1617" s="4" t="str">
        <f>HYPERLINK("http://141.218.60.56/~jnz1568/getInfo.php?workbook=10_05.xlsx&amp;sheet=A0&amp;row=1617&amp;col=6&amp;number=182000000&amp;sourceID=14","182000000")</f>
        <v>182000000</v>
      </c>
      <c r="G1617" s="4" t="str">
        <f>HYPERLINK("http://141.218.60.56/~jnz1568/getInfo.php?workbook=10_05.xlsx&amp;sheet=A0&amp;row=1617&amp;col=7&amp;number=0&amp;sourceID=14","0")</f>
        <v>0</v>
      </c>
    </row>
    <row r="1618" spans="1:7">
      <c r="A1618" s="3">
        <v>10</v>
      </c>
      <c r="B1618" s="3">
        <v>5</v>
      </c>
      <c r="C1618" s="3">
        <v>49</v>
      </c>
      <c r="D1618" s="3">
        <v>27</v>
      </c>
      <c r="E1618" s="3">
        <v>1820.171</v>
      </c>
      <c r="F1618" s="4" t="str">
        <f>HYPERLINK("http://141.218.60.56/~jnz1568/getInfo.php?workbook=10_05.xlsx&amp;sheet=A0&amp;row=1618&amp;col=6&amp;number=5840000&amp;sourceID=14","5840000")</f>
        <v>5840000</v>
      </c>
      <c r="G1618" s="4" t="str">
        <f>HYPERLINK("http://141.218.60.56/~jnz1568/getInfo.php?workbook=10_05.xlsx&amp;sheet=A0&amp;row=1618&amp;col=7&amp;number=0&amp;sourceID=14","0")</f>
        <v>0</v>
      </c>
    </row>
    <row r="1619" spans="1:7">
      <c r="A1619" s="3">
        <v>10</v>
      </c>
      <c r="B1619" s="3">
        <v>5</v>
      </c>
      <c r="C1619" s="3">
        <v>50</v>
      </c>
      <c r="D1619" s="3">
        <v>27</v>
      </c>
      <c r="E1619" s="3">
        <v>1810.286</v>
      </c>
      <c r="F1619" s="4" t="str">
        <f>HYPERLINK("http://141.218.60.56/~jnz1568/getInfo.php?workbook=10_05.xlsx&amp;sheet=A0&amp;row=1619&amp;col=6&amp;number=359000&amp;sourceID=14","359000")</f>
        <v>359000</v>
      </c>
      <c r="G1619" s="4" t="str">
        <f>HYPERLINK("http://141.218.60.56/~jnz1568/getInfo.php?workbook=10_05.xlsx&amp;sheet=A0&amp;row=1619&amp;col=7&amp;number=0&amp;sourceID=14","0")</f>
        <v>0</v>
      </c>
    </row>
    <row r="1620" spans="1:7">
      <c r="A1620" s="3">
        <v>10</v>
      </c>
      <c r="B1620" s="3">
        <v>5</v>
      </c>
      <c r="C1620" s="3">
        <v>51</v>
      </c>
      <c r="D1620" s="3">
        <v>27</v>
      </c>
      <c r="E1620" s="3">
        <v>1802.13</v>
      </c>
      <c r="F1620" s="4" t="str">
        <f>HYPERLINK("http://141.218.60.56/~jnz1568/getInfo.php?workbook=10_05.xlsx&amp;sheet=A0&amp;row=1620&amp;col=6&amp;number=73300&amp;sourceID=14","73300")</f>
        <v>73300</v>
      </c>
      <c r="G1620" s="4" t="str">
        <f>HYPERLINK("http://141.218.60.56/~jnz1568/getInfo.php?workbook=10_05.xlsx&amp;sheet=A0&amp;row=1620&amp;col=7&amp;number=0&amp;sourceID=14","0")</f>
        <v>0</v>
      </c>
    </row>
    <row r="1621" spans="1:7">
      <c r="A1621" s="3">
        <v>10</v>
      </c>
      <c r="B1621" s="3">
        <v>5</v>
      </c>
      <c r="C1621" s="3">
        <v>52</v>
      </c>
      <c r="D1621" s="3">
        <v>27</v>
      </c>
      <c r="E1621" s="3">
        <v>1572.33</v>
      </c>
      <c r="F1621" s="4" t="str">
        <f>HYPERLINK("http://141.218.60.56/~jnz1568/getInfo.php?workbook=10_05.xlsx&amp;sheet=A0&amp;row=1621&amp;col=6&amp;number=24100000&amp;sourceID=14","24100000")</f>
        <v>24100000</v>
      </c>
      <c r="G1621" s="4" t="str">
        <f>HYPERLINK("http://141.218.60.56/~jnz1568/getInfo.php?workbook=10_05.xlsx&amp;sheet=A0&amp;row=1621&amp;col=7&amp;number=0&amp;sourceID=14","0")</f>
        <v>0</v>
      </c>
    </row>
    <row r="1622" spans="1:7">
      <c r="A1622" s="3">
        <v>10</v>
      </c>
      <c r="B1622" s="3">
        <v>5</v>
      </c>
      <c r="C1622" s="3">
        <v>53</v>
      </c>
      <c r="D1622" s="3">
        <v>27</v>
      </c>
      <c r="E1622" s="3">
        <v>1572.33</v>
      </c>
      <c r="F1622" s="4" t="str">
        <f>HYPERLINK("http://141.218.60.56/~jnz1568/getInfo.php?workbook=10_05.xlsx&amp;sheet=A0&amp;row=1622&amp;col=6&amp;number=8050000&amp;sourceID=14","8050000")</f>
        <v>8050000</v>
      </c>
      <c r="G1622" s="4" t="str">
        <f>HYPERLINK("http://141.218.60.56/~jnz1568/getInfo.php?workbook=10_05.xlsx&amp;sheet=A0&amp;row=1622&amp;col=7&amp;number=0&amp;sourceID=14","0")</f>
        <v>0</v>
      </c>
    </row>
    <row r="1623" spans="1:7">
      <c r="A1623" s="3">
        <v>10</v>
      </c>
      <c r="B1623" s="3">
        <v>5</v>
      </c>
      <c r="C1623" s="3">
        <v>54</v>
      </c>
      <c r="D1623" s="3">
        <v>27</v>
      </c>
      <c r="E1623" s="3">
        <v>1444.255</v>
      </c>
      <c r="F1623" s="4" t="str">
        <f>HYPERLINK("http://141.218.60.56/~jnz1568/getInfo.php?workbook=10_05.xlsx&amp;sheet=A0&amp;row=1623&amp;col=6&amp;number=85.6&amp;sourceID=14","85.6")</f>
        <v>85.6</v>
      </c>
      <c r="G1623" s="4" t="str">
        <f>HYPERLINK("http://141.218.60.56/~jnz1568/getInfo.php?workbook=10_05.xlsx&amp;sheet=A0&amp;row=1623&amp;col=7&amp;number=0&amp;sourceID=14","0")</f>
        <v>0</v>
      </c>
    </row>
    <row r="1624" spans="1:7">
      <c r="A1624" s="3">
        <v>10</v>
      </c>
      <c r="B1624" s="3">
        <v>5</v>
      </c>
      <c r="C1624" s="3">
        <v>56</v>
      </c>
      <c r="D1624" s="3">
        <v>27</v>
      </c>
      <c r="E1624" s="3">
        <v>1323.804</v>
      </c>
      <c r="F1624" s="4" t="str">
        <f>HYPERLINK("http://141.218.60.56/~jnz1568/getInfo.php?workbook=10_05.xlsx&amp;sheet=A0&amp;row=1624&amp;col=6&amp;number=240000000&amp;sourceID=14","240000000")</f>
        <v>240000000</v>
      </c>
      <c r="G1624" s="4" t="str">
        <f>HYPERLINK("http://141.218.60.56/~jnz1568/getInfo.php?workbook=10_05.xlsx&amp;sheet=A0&amp;row=1624&amp;col=7&amp;number=0&amp;sourceID=14","0")</f>
        <v>0</v>
      </c>
    </row>
    <row r="1625" spans="1:7">
      <c r="A1625" s="3">
        <v>10</v>
      </c>
      <c r="B1625" s="3">
        <v>5</v>
      </c>
      <c r="C1625" s="3">
        <v>57</v>
      </c>
      <c r="D1625" s="3">
        <v>27</v>
      </c>
      <c r="E1625" s="3">
        <v>1316.658</v>
      </c>
      <c r="F1625" s="4" t="str">
        <f>HYPERLINK("http://141.218.60.56/~jnz1568/getInfo.php?workbook=10_05.xlsx&amp;sheet=A0&amp;row=1625&amp;col=6&amp;number=94700000&amp;sourceID=14","94700000")</f>
        <v>94700000</v>
      </c>
      <c r="G1625" s="4" t="str">
        <f>HYPERLINK("http://141.218.60.56/~jnz1568/getInfo.php?workbook=10_05.xlsx&amp;sheet=A0&amp;row=1625&amp;col=7&amp;number=0&amp;sourceID=14","0")</f>
        <v>0</v>
      </c>
    </row>
    <row r="1626" spans="1:7">
      <c r="A1626" s="3">
        <v>10</v>
      </c>
      <c r="B1626" s="3">
        <v>5</v>
      </c>
      <c r="C1626" s="3">
        <v>64</v>
      </c>
      <c r="D1626" s="3">
        <v>27</v>
      </c>
      <c r="E1626" s="3">
        <v>-776.146</v>
      </c>
      <c r="F1626" s="4" t="str">
        <f>HYPERLINK("http://141.218.60.56/~jnz1568/getInfo.php?workbook=10_05.xlsx&amp;sheet=A0&amp;row=1626&amp;col=6&amp;number=6770000&amp;sourceID=14","6770000")</f>
        <v>6770000</v>
      </c>
      <c r="G1626" s="4" t="str">
        <f>HYPERLINK("http://141.218.60.56/~jnz1568/getInfo.php?workbook=10_05.xlsx&amp;sheet=A0&amp;row=1626&amp;col=7&amp;number=0&amp;sourceID=14","0")</f>
        <v>0</v>
      </c>
    </row>
    <row r="1627" spans="1:7">
      <c r="A1627" s="3">
        <v>10</v>
      </c>
      <c r="B1627" s="3">
        <v>5</v>
      </c>
      <c r="C1627" s="3">
        <v>65</v>
      </c>
      <c r="D1627" s="3">
        <v>27</v>
      </c>
      <c r="E1627" s="3">
        <v>-775.418</v>
      </c>
      <c r="F1627" s="4" t="str">
        <f>HYPERLINK("http://141.218.60.56/~jnz1568/getInfo.php?workbook=10_05.xlsx&amp;sheet=A0&amp;row=1627&amp;col=6&amp;number=15400000&amp;sourceID=14","15400000")</f>
        <v>15400000</v>
      </c>
      <c r="G1627" s="4" t="str">
        <f>HYPERLINK("http://141.218.60.56/~jnz1568/getInfo.php?workbook=10_05.xlsx&amp;sheet=A0&amp;row=1627&amp;col=7&amp;number=0&amp;sourceID=14","0")</f>
        <v>0</v>
      </c>
    </row>
    <row r="1628" spans="1:7">
      <c r="A1628" s="3">
        <v>10</v>
      </c>
      <c r="B1628" s="3">
        <v>5</v>
      </c>
      <c r="C1628" s="3">
        <v>68</v>
      </c>
      <c r="D1628" s="3">
        <v>27</v>
      </c>
      <c r="E1628" s="3">
        <v>688.043</v>
      </c>
      <c r="F1628" s="4" t="str">
        <f>HYPERLINK("http://141.218.60.56/~jnz1568/getInfo.php?workbook=10_05.xlsx&amp;sheet=A0&amp;row=1628&amp;col=6&amp;number=10500&amp;sourceID=14","10500")</f>
        <v>10500</v>
      </c>
      <c r="G1628" s="4" t="str">
        <f>HYPERLINK("http://141.218.60.56/~jnz1568/getInfo.php?workbook=10_05.xlsx&amp;sheet=A0&amp;row=1628&amp;col=7&amp;number=0&amp;sourceID=14","0")</f>
        <v>0</v>
      </c>
    </row>
    <row r="1629" spans="1:7">
      <c r="A1629" s="3">
        <v>10</v>
      </c>
      <c r="B1629" s="3">
        <v>5</v>
      </c>
      <c r="C1629" s="3">
        <v>73</v>
      </c>
      <c r="D1629" s="3">
        <v>27</v>
      </c>
      <c r="E1629" s="3">
        <v>651.679</v>
      </c>
      <c r="F1629" s="4" t="str">
        <f>HYPERLINK("http://141.218.60.56/~jnz1568/getInfo.php?workbook=10_05.xlsx&amp;sheet=A0&amp;row=1629&amp;col=6&amp;number=8450000&amp;sourceID=14","8450000")</f>
        <v>8450000</v>
      </c>
      <c r="G1629" s="4" t="str">
        <f>HYPERLINK("http://141.218.60.56/~jnz1568/getInfo.php?workbook=10_05.xlsx&amp;sheet=A0&amp;row=1629&amp;col=7&amp;number=0&amp;sourceID=14","0")</f>
        <v>0</v>
      </c>
    </row>
    <row r="1630" spans="1:7">
      <c r="A1630" s="3">
        <v>10</v>
      </c>
      <c r="B1630" s="3">
        <v>5</v>
      </c>
      <c r="C1630" s="3">
        <v>74</v>
      </c>
      <c r="D1630" s="3">
        <v>27</v>
      </c>
      <c r="E1630" s="3">
        <v>651.17</v>
      </c>
      <c r="F1630" s="4" t="str">
        <f>HYPERLINK("http://141.218.60.56/~jnz1568/getInfo.php?workbook=10_05.xlsx&amp;sheet=A0&amp;row=1630&amp;col=6&amp;number=53400000&amp;sourceID=14","53400000")</f>
        <v>53400000</v>
      </c>
      <c r="G1630" s="4" t="str">
        <f>HYPERLINK("http://141.218.60.56/~jnz1568/getInfo.php?workbook=10_05.xlsx&amp;sheet=A0&amp;row=1630&amp;col=7&amp;number=0&amp;sourceID=14","0")</f>
        <v>0</v>
      </c>
    </row>
    <row r="1631" spans="1:7">
      <c r="A1631" s="3">
        <v>10</v>
      </c>
      <c r="B1631" s="3">
        <v>5</v>
      </c>
      <c r="C1631" s="3">
        <v>75</v>
      </c>
      <c r="D1631" s="3">
        <v>27</v>
      </c>
      <c r="E1631" s="3">
        <v>642.386</v>
      </c>
      <c r="F1631" s="4" t="str">
        <f>HYPERLINK("http://141.218.60.56/~jnz1568/getInfo.php?workbook=10_05.xlsx&amp;sheet=A0&amp;row=1631&amp;col=6&amp;number=32300000&amp;sourceID=14","32300000")</f>
        <v>32300000</v>
      </c>
      <c r="G1631" s="4" t="str">
        <f>HYPERLINK("http://141.218.60.56/~jnz1568/getInfo.php?workbook=10_05.xlsx&amp;sheet=A0&amp;row=1631&amp;col=7&amp;number=0&amp;sourceID=14","0")</f>
        <v>0</v>
      </c>
    </row>
    <row r="1632" spans="1:7">
      <c r="A1632" s="3">
        <v>10</v>
      </c>
      <c r="B1632" s="3">
        <v>5</v>
      </c>
      <c r="C1632" s="3">
        <v>76</v>
      </c>
      <c r="D1632" s="3">
        <v>27</v>
      </c>
      <c r="E1632" s="3">
        <v>642.386</v>
      </c>
      <c r="F1632" s="4" t="str">
        <f>HYPERLINK("http://141.218.60.56/~jnz1568/getInfo.php?workbook=10_05.xlsx&amp;sheet=A0&amp;row=1632&amp;col=6&amp;number=6780000&amp;sourceID=14","6780000")</f>
        <v>6780000</v>
      </c>
      <c r="G1632" s="4" t="str">
        <f>HYPERLINK("http://141.218.60.56/~jnz1568/getInfo.php?workbook=10_05.xlsx&amp;sheet=A0&amp;row=1632&amp;col=7&amp;number=0&amp;sourceID=14","0")</f>
        <v>0</v>
      </c>
    </row>
    <row r="1633" spans="1:7">
      <c r="A1633" s="3">
        <v>10</v>
      </c>
      <c r="B1633" s="3">
        <v>5</v>
      </c>
      <c r="C1633" s="3">
        <v>79</v>
      </c>
      <c r="D1633" s="3">
        <v>27</v>
      </c>
      <c r="E1633" s="3">
        <v>-560.778</v>
      </c>
      <c r="F1633" s="4" t="str">
        <f>HYPERLINK("http://141.218.60.56/~jnz1568/getInfo.php?workbook=10_05.xlsx&amp;sheet=A0&amp;row=1633&amp;col=6&amp;number=3440000000&amp;sourceID=14","3440000000")</f>
        <v>3440000000</v>
      </c>
      <c r="G1633" s="4" t="str">
        <f>HYPERLINK("http://141.218.60.56/~jnz1568/getInfo.php?workbook=10_05.xlsx&amp;sheet=A0&amp;row=1633&amp;col=7&amp;number=0&amp;sourceID=14","0")</f>
        <v>0</v>
      </c>
    </row>
    <row r="1634" spans="1:7">
      <c r="A1634" s="3">
        <v>10</v>
      </c>
      <c r="B1634" s="3">
        <v>5</v>
      </c>
      <c r="C1634" s="3">
        <v>82</v>
      </c>
      <c r="D1634" s="3">
        <v>27</v>
      </c>
      <c r="E1634" s="3">
        <v>539.404</v>
      </c>
      <c r="F1634" s="4" t="str">
        <f>HYPERLINK("http://141.218.60.56/~jnz1568/getInfo.php?workbook=10_05.xlsx&amp;sheet=A0&amp;row=1634&amp;col=6&amp;number=35000000&amp;sourceID=14","35000000")</f>
        <v>35000000</v>
      </c>
      <c r="G1634" s="4" t="str">
        <f>HYPERLINK("http://141.218.60.56/~jnz1568/getInfo.php?workbook=10_05.xlsx&amp;sheet=A0&amp;row=1634&amp;col=7&amp;number=0&amp;sourceID=14","0")</f>
        <v>0</v>
      </c>
    </row>
    <row r="1635" spans="1:7">
      <c r="A1635" s="3">
        <v>10</v>
      </c>
      <c r="B1635" s="3">
        <v>5</v>
      </c>
      <c r="C1635" s="3">
        <v>83</v>
      </c>
      <c r="D1635" s="3">
        <v>27</v>
      </c>
      <c r="E1635" s="3">
        <v>539.404</v>
      </c>
      <c r="F1635" s="4" t="str">
        <f>HYPERLINK("http://141.218.60.56/~jnz1568/getInfo.php?workbook=10_05.xlsx&amp;sheet=A0&amp;row=1635&amp;col=6&amp;number=28200000&amp;sourceID=14","28200000")</f>
        <v>28200000</v>
      </c>
      <c r="G1635" s="4" t="str">
        <f>HYPERLINK("http://141.218.60.56/~jnz1568/getInfo.php?workbook=10_05.xlsx&amp;sheet=A0&amp;row=1635&amp;col=7&amp;number=0&amp;sourceID=14","0")</f>
        <v>0</v>
      </c>
    </row>
    <row r="1636" spans="1:7">
      <c r="A1636" s="3">
        <v>10</v>
      </c>
      <c r="B1636" s="3">
        <v>5</v>
      </c>
      <c r="C1636" s="3">
        <v>84</v>
      </c>
      <c r="D1636" s="3">
        <v>27</v>
      </c>
      <c r="E1636" s="3">
        <v>539.404</v>
      </c>
      <c r="F1636" s="4" t="str">
        <f>HYPERLINK("http://141.218.60.56/~jnz1568/getInfo.php?workbook=10_05.xlsx&amp;sheet=A0&amp;row=1636&amp;col=6&amp;number=12700000&amp;sourceID=14","12700000")</f>
        <v>12700000</v>
      </c>
      <c r="G1636" s="4" t="str">
        <f>HYPERLINK("http://141.218.60.56/~jnz1568/getInfo.php?workbook=10_05.xlsx&amp;sheet=A0&amp;row=1636&amp;col=7&amp;number=0&amp;sourceID=14","0")</f>
        <v>0</v>
      </c>
    </row>
    <row r="1637" spans="1:7">
      <c r="A1637" s="3">
        <v>10</v>
      </c>
      <c r="B1637" s="3">
        <v>5</v>
      </c>
      <c r="C1637" s="3">
        <v>86</v>
      </c>
      <c r="D1637" s="3">
        <v>27</v>
      </c>
      <c r="E1637" s="3">
        <v>-536.761</v>
      </c>
      <c r="F1637" s="4" t="str">
        <f>HYPERLINK("http://141.218.60.56/~jnz1568/getInfo.php?workbook=10_05.xlsx&amp;sheet=A0&amp;row=1637&amp;col=6&amp;number=37400&amp;sourceID=14","37400")</f>
        <v>37400</v>
      </c>
      <c r="G1637" s="4" t="str">
        <f>HYPERLINK("http://141.218.60.56/~jnz1568/getInfo.php?workbook=10_05.xlsx&amp;sheet=A0&amp;row=1637&amp;col=7&amp;number=0&amp;sourceID=14","0")</f>
        <v>0</v>
      </c>
    </row>
    <row r="1638" spans="1:7">
      <c r="A1638" s="3">
        <v>10</v>
      </c>
      <c r="B1638" s="3">
        <v>5</v>
      </c>
      <c r="C1638" s="3">
        <v>88</v>
      </c>
      <c r="D1638" s="3">
        <v>27</v>
      </c>
      <c r="E1638" s="3">
        <v>530.392</v>
      </c>
      <c r="F1638" s="4" t="str">
        <f>HYPERLINK("http://141.218.60.56/~jnz1568/getInfo.php?workbook=10_05.xlsx&amp;sheet=A0&amp;row=1638&amp;col=6&amp;number=13400000&amp;sourceID=14","13400000")</f>
        <v>13400000</v>
      </c>
      <c r="G1638" s="4" t="str">
        <f>HYPERLINK("http://141.218.60.56/~jnz1568/getInfo.php?workbook=10_05.xlsx&amp;sheet=A0&amp;row=1638&amp;col=7&amp;number=0&amp;sourceID=14","0")</f>
        <v>0</v>
      </c>
    </row>
    <row r="1639" spans="1:7">
      <c r="A1639" s="3">
        <v>10</v>
      </c>
      <c r="B1639" s="3">
        <v>5</v>
      </c>
      <c r="C1639" s="3">
        <v>89</v>
      </c>
      <c r="D1639" s="3">
        <v>27</v>
      </c>
      <c r="E1639" s="3">
        <v>529.354</v>
      </c>
      <c r="F1639" s="4" t="str">
        <f>HYPERLINK("http://141.218.60.56/~jnz1568/getInfo.php?workbook=10_05.xlsx&amp;sheet=A0&amp;row=1639&amp;col=6&amp;number=12400000&amp;sourceID=14","12400000")</f>
        <v>12400000</v>
      </c>
      <c r="G1639" s="4" t="str">
        <f>HYPERLINK("http://141.218.60.56/~jnz1568/getInfo.php?workbook=10_05.xlsx&amp;sheet=A0&amp;row=1639&amp;col=7&amp;number=0&amp;sourceID=14","0")</f>
        <v>0</v>
      </c>
    </row>
    <row r="1640" spans="1:7">
      <c r="A1640" s="3">
        <v>10</v>
      </c>
      <c r="B1640" s="3">
        <v>5</v>
      </c>
      <c r="C1640" s="3">
        <v>90</v>
      </c>
      <c r="D1640" s="3">
        <v>27</v>
      </c>
      <c r="E1640" s="3">
        <v>527.761</v>
      </c>
      <c r="F1640" s="4" t="str">
        <f>HYPERLINK("http://141.218.60.56/~jnz1568/getInfo.php?workbook=10_05.xlsx&amp;sheet=A0&amp;row=1640&amp;col=6&amp;number=11000000&amp;sourceID=14","11000000")</f>
        <v>11000000</v>
      </c>
      <c r="G1640" s="4" t="str">
        <f>HYPERLINK("http://141.218.60.56/~jnz1568/getInfo.php?workbook=10_05.xlsx&amp;sheet=A0&amp;row=1640&amp;col=7&amp;number=0&amp;sourceID=14","0")</f>
        <v>0</v>
      </c>
    </row>
    <row r="1641" spans="1:7">
      <c r="A1641" s="3">
        <v>10</v>
      </c>
      <c r="B1641" s="3">
        <v>5</v>
      </c>
      <c r="C1641" s="3">
        <v>91</v>
      </c>
      <c r="D1641" s="3">
        <v>27</v>
      </c>
      <c r="E1641" s="3">
        <v>-506.682</v>
      </c>
      <c r="F1641" s="4" t="str">
        <f>HYPERLINK("http://141.218.60.56/~jnz1568/getInfo.php?workbook=10_05.xlsx&amp;sheet=A0&amp;row=1641&amp;col=6&amp;number=40200000&amp;sourceID=14","40200000")</f>
        <v>40200000</v>
      </c>
      <c r="G1641" s="4" t="str">
        <f>HYPERLINK("http://141.218.60.56/~jnz1568/getInfo.php?workbook=10_05.xlsx&amp;sheet=A0&amp;row=1641&amp;col=7&amp;number=0&amp;sourceID=14","0")</f>
        <v>0</v>
      </c>
    </row>
    <row r="1642" spans="1:7">
      <c r="A1642" s="3">
        <v>10</v>
      </c>
      <c r="B1642" s="3">
        <v>5</v>
      </c>
      <c r="C1642" s="3">
        <v>92</v>
      </c>
      <c r="D1642" s="3">
        <v>27</v>
      </c>
      <c r="E1642" s="3">
        <v>-504.549</v>
      </c>
      <c r="F1642" s="4" t="str">
        <f>HYPERLINK("http://141.218.60.56/~jnz1568/getInfo.php?workbook=10_05.xlsx&amp;sheet=A0&amp;row=1642&amp;col=6&amp;number=314000000&amp;sourceID=14","314000000")</f>
        <v>314000000</v>
      </c>
      <c r="G1642" s="4" t="str">
        <f>HYPERLINK("http://141.218.60.56/~jnz1568/getInfo.php?workbook=10_05.xlsx&amp;sheet=A0&amp;row=1642&amp;col=7&amp;number=0&amp;sourceID=14","0")</f>
        <v>0</v>
      </c>
    </row>
    <row r="1643" spans="1:7">
      <c r="A1643" s="3">
        <v>10</v>
      </c>
      <c r="B1643" s="3">
        <v>5</v>
      </c>
      <c r="C1643" s="3">
        <v>93</v>
      </c>
      <c r="D1643" s="3">
        <v>27</v>
      </c>
      <c r="E1643" s="3">
        <v>-485.544</v>
      </c>
      <c r="F1643" s="4" t="str">
        <f>HYPERLINK("http://141.218.60.56/~jnz1568/getInfo.php?workbook=10_05.xlsx&amp;sheet=A0&amp;row=1643&amp;col=6&amp;number=457000000&amp;sourceID=14","457000000")</f>
        <v>457000000</v>
      </c>
      <c r="G1643" s="4" t="str">
        <f>HYPERLINK("http://141.218.60.56/~jnz1568/getInfo.php?workbook=10_05.xlsx&amp;sheet=A0&amp;row=1643&amp;col=7&amp;number=0&amp;sourceID=14","0")</f>
        <v>0</v>
      </c>
    </row>
    <row r="1644" spans="1:7">
      <c r="A1644" s="3">
        <v>10</v>
      </c>
      <c r="B1644" s="3">
        <v>5</v>
      </c>
      <c r="C1644" s="3">
        <v>94</v>
      </c>
      <c r="D1644" s="3">
        <v>27</v>
      </c>
      <c r="E1644" s="3">
        <v>-485.181</v>
      </c>
      <c r="F1644" s="4" t="str">
        <f>HYPERLINK("http://141.218.60.56/~jnz1568/getInfo.php?workbook=10_05.xlsx&amp;sheet=A0&amp;row=1644&amp;col=6&amp;number=1150000000&amp;sourceID=14","1150000000")</f>
        <v>1150000000</v>
      </c>
      <c r="G1644" s="4" t="str">
        <f>HYPERLINK("http://141.218.60.56/~jnz1568/getInfo.php?workbook=10_05.xlsx&amp;sheet=A0&amp;row=1644&amp;col=7&amp;number=0&amp;sourceID=14","0")</f>
        <v>0</v>
      </c>
    </row>
    <row r="1645" spans="1:7">
      <c r="A1645" s="3">
        <v>10</v>
      </c>
      <c r="B1645" s="3">
        <v>5</v>
      </c>
      <c r="C1645" s="3">
        <v>95</v>
      </c>
      <c r="D1645" s="3">
        <v>27</v>
      </c>
      <c r="E1645" s="3">
        <v>484.544</v>
      </c>
      <c r="F1645" s="4" t="str">
        <f>HYPERLINK("http://141.218.60.56/~jnz1568/getInfo.php?workbook=10_05.xlsx&amp;sheet=A0&amp;row=1645&amp;col=6&amp;number=490000&amp;sourceID=14","490000")</f>
        <v>490000</v>
      </c>
      <c r="G1645" s="4" t="str">
        <f>HYPERLINK("http://141.218.60.56/~jnz1568/getInfo.php?workbook=10_05.xlsx&amp;sheet=A0&amp;row=1645&amp;col=7&amp;number=0&amp;sourceID=14","0")</f>
        <v>0</v>
      </c>
    </row>
    <row r="1646" spans="1:7">
      <c r="A1646" s="3">
        <v>10</v>
      </c>
      <c r="B1646" s="3">
        <v>5</v>
      </c>
      <c r="C1646" s="3">
        <v>96</v>
      </c>
      <c r="D1646" s="3">
        <v>27</v>
      </c>
      <c r="E1646" s="3">
        <v>456.268</v>
      </c>
      <c r="F1646" s="4" t="str">
        <f>HYPERLINK("http://141.218.60.56/~jnz1568/getInfo.php?workbook=10_05.xlsx&amp;sheet=A0&amp;row=1646&amp;col=6&amp;number=120000&amp;sourceID=14","120000")</f>
        <v>120000</v>
      </c>
      <c r="G1646" s="4" t="str">
        <f>HYPERLINK("http://141.218.60.56/~jnz1568/getInfo.php?workbook=10_05.xlsx&amp;sheet=A0&amp;row=1646&amp;col=7&amp;number=0&amp;sourceID=14","0")</f>
        <v>0</v>
      </c>
    </row>
    <row r="1647" spans="1:7">
      <c r="A1647" s="3">
        <v>10</v>
      </c>
      <c r="B1647" s="3">
        <v>5</v>
      </c>
      <c r="C1647" s="3">
        <v>98</v>
      </c>
      <c r="D1647" s="3">
        <v>27</v>
      </c>
      <c r="E1647" s="3">
        <v>-448.846</v>
      </c>
      <c r="F1647" s="4" t="str">
        <f>HYPERLINK("http://141.218.60.56/~jnz1568/getInfo.php?workbook=10_05.xlsx&amp;sheet=A0&amp;row=1647&amp;col=6&amp;number=10600000&amp;sourceID=14","10600000")</f>
        <v>10600000</v>
      </c>
      <c r="G1647" s="4" t="str">
        <f>HYPERLINK("http://141.218.60.56/~jnz1568/getInfo.php?workbook=10_05.xlsx&amp;sheet=A0&amp;row=1647&amp;col=7&amp;number=0&amp;sourceID=14","0")</f>
        <v>0</v>
      </c>
    </row>
    <row r="1648" spans="1:7">
      <c r="A1648" s="3">
        <v>10</v>
      </c>
      <c r="B1648" s="3">
        <v>5</v>
      </c>
      <c r="C1648" s="3">
        <v>101</v>
      </c>
      <c r="D1648" s="3">
        <v>27</v>
      </c>
      <c r="E1648" s="3">
        <v>-447.983</v>
      </c>
      <c r="F1648" s="4" t="str">
        <f>HYPERLINK("http://141.218.60.56/~jnz1568/getInfo.php?workbook=10_05.xlsx&amp;sheet=A0&amp;row=1648&amp;col=6&amp;number=31400000&amp;sourceID=14","31400000")</f>
        <v>31400000</v>
      </c>
      <c r="G1648" s="4" t="str">
        <f>HYPERLINK("http://141.218.60.56/~jnz1568/getInfo.php?workbook=10_05.xlsx&amp;sheet=A0&amp;row=1648&amp;col=7&amp;number=0&amp;sourceID=14","0")</f>
        <v>0</v>
      </c>
    </row>
    <row r="1649" spans="1:7">
      <c r="A1649" s="3">
        <v>10</v>
      </c>
      <c r="B1649" s="3">
        <v>5</v>
      </c>
      <c r="C1649" s="3">
        <v>103</v>
      </c>
      <c r="D1649" s="3">
        <v>27</v>
      </c>
      <c r="E1649" s="3">
        <v>-446.499</v>
      </c>
      <c r="F1649" s="4" t="str">
        <f>HYPERLINK("http://141.218.60.56/~jnz1568/getInfo.php?workbook=10_05.xlsx&amp;sheet=A0&amp;row=1649&amp;col=6&amp;number=90400&amp;sourceID=14","90400")</f>
        <v>90400</v>
      </c>
      <c r="G1649" s="4" t="str">
        <f>HYPERLINK("http://141.218.60.56/~jnz1568/getInfo.php?workbook=10_05.xlsx&amp;sheet=A0&amp;row=1649&amp;col=7&amp;number=0&amp;sourceID=14","0")</f>
        <v>0</v>
      </c>
    </row>
    <row r="1650" spans="1:7">
      <c r="A1650" s="3">
        <v>10</v>
      </c>
      <c r="B1650" s="3">
        <v>5</v>
      </c>
      <c r="C1650" s="3">
        <v>110</v>
      </c>
      <c r="D1650" s="3">
        <v>27</v>
      </c>
      <c r="E1650" s="3">
        <v>-434.27</v>
      </c>
      <c r="F1650" s="4" t="str">
        <f>HYPERLINK("http://141.218.60.56/~jnz1568/getInfo.php?workbook=10_05.xlsx&amp;sheet=A0&amp;row=1650&amp;col=6&amp;number=377000000&amp;sourceID=14","377000000")</f>
        <v>377000000</v>
      </c>
      <c r="G1650" s="4" t="str">
        <f>HYPERLINK("http://141.218.60.56/~jnz1568/getInfo.php?workbook=10_05.xlsx&amp;sheet=A0&amp;row=1650&amp;col=7&amp;number=0&amp;sourceID=14","0")</f>
        <v>0</v>
      </c>
    </row>
    <row r="1651" spans="1:7">
      <c r="A1651" s="3">
        <v>10</v>
      </c>
      <c r="B1651" s="3">
        <v>5</v>
      </c>
      <c r="C1651" s="3">
        <v>112</v>
      </c>
      <c r="D1651" s="3">
        <v>27</v>
      </c>
      <c r="E1651" s="3">
        <v>-433.036</v>
      </c>
      <c r="F1651" s="4" t="str">
        <f>HYPERLINK("http://141.218.60.56/~jnz1568/getInfo.php?workbook=10_05.xlsx&amp;sheet=A0&amp;row=1651&amp;col=6&amp;number=863000000&amp;sourceID=14","863000000")</f>
        <v>863000000</v>
      </c>
      <c r="G1651" s="4" t="str">
        <f>HYPERLINK("http://141.218.60.56/~jnz1568/getInfo.php?workbook=10_05.xlsx&amp;sheet=A0&amp;row=1651&amp;col=7&amp;number=0&amp;sourceID=14","0")</f>
        <v>0</v>
      </c>
    </row>
    <row r="1652" spans="1:7">
      <c r="A1652" s="3">
        <v>10</v>
      </c>
      <c r="B1652" s="3">
        <v>5</v>
      </c>
      <c r="C1652" s="3">
        <v>113</v>
      </c>
      <c r="D1652" s="3">
        <v>27</v>
      </c>
      <c r="E1652" s="3">
        <v>431.593</v>
      </c>
      <c r="F1652" s="4" t="str">
        <f>HYPERLINK("http://141.218.60.56/~jnz1568/getInfo.php?workbook=10_05.xlsx&amp;sheet=A0&amp;row=1652&amp;col=6&amp;number=998000&amp;sourceID=14","998000")</f>
        <v>998000</v>
      </c>
      <c r="G1652" s="4" t="str">
        <f>HYPERLINK("http://141.218.60.56/~jnz1568/getInfo.php?workbook=10_05.xlsx&amp;sheet=A0&amp;row=1652&amp;col=7&amp;number=0&amp;sourceID=14","0")</f>
        <v>0</v>
      </c>
    </row>
    <row r="1653" spans="1:7">
      <c r="A1653" s="3">
        <v>10</v>
      </c>
      <c r="B1653" s="3">
        <v>5</v>
      </c>
      <c r="C1653" s="3">
        <v>114</v>
      </c>
      <c r="D1653" s="3">
        <v>27</v>
      </c>
      <c r="E1653" s="3">
        <v>431.593</v>
      </c>
      <c r="F1653" s="4" t="str">
        <f>HYPERLINK("http://141.218.60.56/~jnz1568/getInfo.php?workbook=10_05.xlsx&amp;sheet=A0&amp;row=1653&amp;col=6&amp;number=696000&amp;sourceID=14","696000")</f>
        <v>696000</v>
      </c>
      <c r="G1653" s="4" t="str">
        <f>HYPERLINK("http://141.218.60.56/~jnz1568/getInfo.php?workbook=10_05.xlsx&amp;sheet=A0&amp;row=1653&amp;col=7&amp;number=0&amp;sourceID=14","0")</f>
        <v>0</v>
      </c>
    </row>
    <row r="1654" spans="1:7">
      <c r="A1654" s="3">
        <v>10</v>
      </c>
      <c r="B1654" s="3">
        <v>5</v>
      </c>
      <c r="C1654" s="3">
        <v>127</v>
      </c>
      <c r="D1654" s="3">
        <v>27</v>
      </c>
      <c r="E1654" s="3">
        <v>-409.318</v>
      </c>
      <c r="F1654" s="4" t="str">
        <f>HYPERLINK("http://141.218.60.56/~jnz1568/getInfo.php?workbook=10_05.xlsx&amp;sheet=A0&amp;row=1654&amp;col=6&amp;number=12200000&amp;sourceID=14","12200000")</f>
        <v>12200000</v>
      </c>
      <c r="G1654" s="4" t="str">
        <f>HYPERLINK("http://141.218.60.56/~jnz1568/getInfo.php?workbook=10_05.xlsx&amp;sheet=A0&amp;row=1654&amp;col=7&amp;number=0&amp;sourceID=14","0")</f>
        <v>0</v>
      </c>
    </row>
    <row r="1655" spans="1:7">
      <c r="A1655" s="3">
        <v>10</v>
      </c>
      <c r="B1655" s="3">
        <v>5</v>
      </c>
      <c r="C1655" s="3">
        <v>128</v>
      </c>
      <c r="D1655" s="3">
        <v>27</v>
      </c>
      <c r="E1655" s="3">
        <v>-408.568</v>
      </c>
      <c r="F1655" s="4" t="str">
        <f>HYPERLINK("http://141.218.60.56/~jnz1568/getInfo.php?workbook=10_05.xlsx&amp;sheet=A0&amp;row=1655&amp;col=6&amp;number=36500000&amp;sourceID=14","36500000")</f>
        <v>36500000</v>
      </c>
      <c r="G1655" s="4" t="str">
        <f>HYPERLINK("http://141.218.60.56/~jnz1568/getInfo.php?workbook=10_05.xlsx&amp;sheet=A0&amp;row=1655&amp;col=7&amp;number=0&amp;sourceID=14","0")</f>
        <v>0</v>
      </c>
    </row>
    <row r="1656" spans="1:7">
      <c r="A1656" s="3">
        <v>10</v>
      </c>
      <c r="B1656" s="3">
        <v>5</v>
      </c>
      <c r="C1656" s="3">
        <v>134</v>
      </c>
      <c r="D1656" s="3">
        <v>27</v>
      </c>
      <c r="E1656" s="3">
        <v>-401.227</v>
      </c>
      <c r="F1656" s="4" t="str">
        <f>HYPERLINK("http://141.218.60.56/~jnz1568/getInfo.php?workbook=10_05.xlsx&amp;sheet=A0&amp;row=1656&amp;col=6&amp;number=64200000&amp;sourceID=14","64200000")</f>
        <v>64200000</v>
      </c>
      <c r="G1656" s="4" t="str">
        <f>HYPERLINK("http://141.218.60.56/~jnz1568/getInfo.php?workbook=10_05.xlsx&amp;sheet=A0&amp;row=1656&amp;col=7&amp;number=0&amp;sourceID=14","0")</f>
        <v>0</v>
      </c>
    </row>
    <row r="1657" spans="1:7">
      <c r="A1657" s="3">
        <v>10</v>
      </c>
      <c r="B1657" s="3">
        <v>5</v>
      </c>
      <c r="C1657" s="3">
        <v>135</v>
      </c>
      <c r="D1657" s="3">
        <v>27</v>
      </c>
      <c r="E1657" s="3">
        <v>-400.839</v>
      </c>
      <c r="F1657" s="4" t="str">
        <f>HYPERLINK("http://141.218.60.56/~jnz1568/getInfo.php?workbook=10_05.xlsx&amp;sheet=A0&amp;row=1657&amp;col=6&amp;number=189000000&amp;sourceID=14","189000000")</f>
        <v>189000000</v>
      </c>
      <c r="G1657" s="4" t="str">
        <f>HYPERLINK("http://141.218.60.56/~jnz1568/getInfo.php?workbook=10_05.xlsx&amp;sheet=A0&amp;row=1657&amp;col=7&amp;number=0&amp;sourceID=14","0")</f>
        <v>0</v>
      </c>
    </row>
    <row r="1658" spans="1:7">
      <c r="A1658" s="3">
        <v>10</v>
      </c>
      <c r="B1658" s="3">
        <v>5</v>
      </c>
      <c r="C1658" s="3">
        <v>141</v>
      </c>
      <c r="D1658" s="3">
        <v>27</v>
      </c>
      <c r="E1658" s="3">
        <v>-393.79</v>
      </c>
      <c r="F1658" s="4" t="str">
        <f>HYPERLINK("http://141.218.60.56/~jnz1568/getInfo.php?workbook=10_05.xlsx&amp;sheet=A0&amp;row=1658&amp;col=6&amp;number=26300000&amp;sourceID=14","26300000")</f>
        <v>26300000</v>
      </c>
      <c r="G1658" s="4" t="str">
        <f>HYPERLINK("http://141.218.60.56/~jnz1568/getInfo.php?workbook=10_05.xlsx&amp;sheet=A0&amp;row=1658&amp;col=7&amp;number=0&amp;sourceID=14","0")</f>
        <v>0</v>
      </c>
    </row>
    <row r="1659" spans="1:7">
      <c r="A1659" s="3">
        <v>10</v>
      </c>
      <c r="B1659" s="3">
        <v>5</v>
      </c>
      <c r="C1659" s="3">
        <v>142</v>
      </c>
      <c r="D1659" s="3">
        <v>27</v>
      </c>
      <c r="E1659" s="3">
        <v>393.717</v>
      </c>
      <c r="F1659" s="4" t="str">
        <f>HYPERLINK("http://141.218.60.56/~jnz1568/getInfo.php?workbook=10_05.xlsx&amp;sheet=A0&amp;row=1659&amp;col=6&amp;number=57700000&amp;sourceID=14","57700000")</f>
        <v>57700000</v>
      </c>
      <c r="G1659" s="4" t="str">
        <f>HYPERLINK("http://141.218.60.56/~jnz1568/getInfo.php?workbook=10_05.xlsx&amp;sheet=A0&amp;row=1659&amp;col=7&amp;number=0&amp;sourceID=14","0")</f>
        <v>0</v>
      </c>
    </row>
    <row r="1660" spans="1:7">
      <c r="A1660" s="3">
        <v>10</v>
      </c>
      <c r="B1660" s="3">
        <v>5</v>
      </c>
      <c r="C1660" s="3">
        <v>143</v>
      </c>
      <c r="D1660" s="3">
        <v>27</v>
      </c>
      <c r="E1660" s="3">
        <v>393.33</v>
      </c>
      <c r="F1660" s="4" t="str">
        <f>HYPERLINK("http://141.218.60.56/~jnz1568/getInfo.php?workbook=10_05.xlsx&amp;sheet=A0&amp;row=1660&amp;col=6&amp;number=43700000&amp;sourceID=14","43700000")</f>
        <v>43700000</v>
      </c>
      <c r="G1660" s="4" t="str">
        <f>HYPERLINK("http://141.218.60.56/~jnz1568/getInfo.php?workbook=10_05.xlsx&amp;sheet=A0&amp;row=1660&amp;col=7&amp;number=0&amp;sourceID=14","0")</f>
        <v>0</v>
      </c>
    </row>
    <row r="1661" spans="1:7">
      <c r="A1661" s="3">
        <v>10</v>
      </c>
      <c r="B1661" s="3">
        <v>5</v>
      </c>
      <c r="C1661" s="3">
        <v>145</v>
      </c>
      <c r="D1661" s="3">
        <v>27</v>
      </c>
      <c r="E1661" s="3">
        <v>391.62</v>
      </c>
      <c r="F1661" s="4" t="str">
        <f>HYPERLINK("http://141.218.60.56/~jnz1568/getInfo.php?workbook=10_05.xlsx&amp;sheet=A0&amp;row=1661&amp;col=6&amp;number=445000000&amp;sourceID=14","445000000")</f>
        <v>445000000</v>
      </c>
      <c r="G1661" s="4" t="str">
        <f>HYPERLINK("http://141.218.60.56/~jnz1568/getInfo.php?workbook=10_05.xlsx&amp;sheet=A0&amp;row=1661&amp;col=7&amp;number=0&amp;sourceID=14","0")</f>
        <v>0</v>
      </c>
    </row>
    <row r="1662" spans="1:7">
      <c r="A1662" s="3">
        <v>10</v>
      </c>
      <c r="B1662" s="3">
        <v>5</v>
      </c>
      <c r="C1662" s="3">
        <v>146</v>
      </c>
      <c r="D1662" s="3">
        <v>27</v>
      </c>
      <c r="E1662" s="3">
        <v>391.62</v>
      </c>
      <c r="F1662" s="4" t="str">
        <f>HYPERLINK("http://141.218.60.56/~jnz1568/getInfo.php?workbook=10_05.xlsx&amp;sheet=A0&amp;row=1662&amp;col=6&amp;number=4940000000&amp;sourceID=14","4940000000")</f>
        <v>4940000000</v>
      </c>
      <c r="G1662" s="4" t="str">
        <f>HYPERLINK("http://141.218.60.56/~jnz1568/getInfo.php?workbook=10_05.xlsx&amp;sheet=A0&amp;row=1662&amp;col=7&amp;number=0&amp;sourceID=14","0")</f>
        <v>0</v>
      </c>
    </row>
    <row r="1663" spans="1:7">
      <c r="A1663" s="3">
        <v>10</v>
      </c>
      <c r="B1663" s="3">
        <v>5</v>
      </c>
      <c r="C1663" s="3">
        <v>147</v>
      </c>
      <c r="D1663" s="3">
        <v>27</v>
      </c>
      <c r="E1663" s="3">
        <v>390.717</v>
      </c>
      <c r="F1663" s="4" t="str">
        <f>HYPERLINK("http://141.218.60.56/~jnz1568/getInfo.php?workbook=10_05.xlsx&amp;sheet=A0&amp;row=1663&amp;col=6&amp;number=681000000&amp;sourceID=14","681000000")</f>
        <v>681000000</v>
      </c>
      <c r="G1663" s="4" t="str">
        <f>HYPERLINK("http://141.218.60.56/~jnz1568/getInfo.php?workbook=10_05.xlsx&amp;sheet=A0&amp;row=1663&amp;col=7&amp;number=0&amp;sourceID=14","0")</f>
        <v>0</v>
      </c>
    </row>
    <row r="1664" spans="1:7">
      <c r="A1664" s="3">
        <v>10</v>
      </c>
      <c r="B1664" s="3">
        <v>5</v>
      </c>
      <c r="C1664" s="3">
        <v>148</v>
      </c>
      <c r="D1664" s="3">
        <v>27</v>
      </c>
      <c r="E1664" s="3">
        <v>390.565</v>
      </c>
      <c r="F1664" s="4" t="str">
        <f>HYPERLINK("http://141.218.60.56/~jnz1568/getInfo.php?workbook=10_05.xlsx&amp;sheet=A0&amp;row=1664&amp;col=6&amp;number=316000000&amp;sourceID=14","316000000")</f>
        <v>316000000</v>
      </c>
      <c r="G1664" s="4" t="str">
        <f>HYPERLINK("http://141.218.60.56/~jnz1568/getInfo.php?workbook=10_05.xlsx&amp;sheet=A0&amp;row=1664&amp;col=7&amp;number=0&amp;sourceID=14","0")</f>
        <v>0</v>
      </c>
    </row>
    <row r="1665" spans="1:7">
      <c r="A1665" s="3">
        <v>10</v>
      </c>
      <c r="B1665" s="3">
        <v>5</v>
      </c>
      <c r="C1665" s="3">
        <v>149</v>
      </c>
      <c r="D1665" s="3">
        <v>27</v>
      </c>
      <c r="E1665" s="3">
        <v>390.412</v>
      </c>
      <c r="F1665" s="4" t="str">
        <f>HYPERLINK("http://141.218.60.56/~jnz1568/getInfo.php?workbook=10_05.xlsx&amp;sheet=A0&amp;row=1665&amp;col=6&amp;number=85100&amp;sourceID=14","85100")</f>
        <v>85100</v>
      </c>
      <c r="G1665" s="4" t="str">
        <f>HYPERLINK("http://141.218.60.56/~jnz1568/getInfo.php?workbook=10_05.xlsx&amp;sheet=A0&amp;row=1665&amp;col=7&amp;number=0&amp;sourceID=14","0")</f>
        <v>0</v>
      </c>
    </row>
    <row r="1666" spans="1:7">
      <c r="A1666" s="3">
        <v>10</v>
      </c>
      <c r="B1666" s="3">
        <v>5</v>
      </c>
      <c r="C1666" s="3">
        <v>152</v>
      </c>
      <c r="D1666" s="3">
        <v>27</v>
      </c>
      <c r="E1666" s="3">
        <v>382.41</v>
      </c>
      <c r="F1666" s="4" t="str">
        <f>HYPERLINK("http://141.218.60.56/~jnz1568/getInfo.php?workbook=10_05.xlsx&amp;sheet=A0&amp;row=1666&amp;col=6&amp;number=6410000&amp;sourceID=14","6410000")</f>
        <v>6410000</v>
      </c>
      <c r="G1666" s="4" t="str">
        <f>HYPERLINK("http://141.218.60.56/~jnz1568/getInfo.php?workbook=10_05.xlsx&amp;sheet=A0&amp;row=1666&amp;col=7&amp;number=0&amp;sourceID=14","0")</f>
        <v>0</v>
      </c>
    </row>
    <row r="1667" spans="1:7">
      <c r="A1667" s="3">
        <v>10</v>
      </c>
      <c r="B1667" s="3">
        <v>5</v>
      </c>
      <c r="C1667" s="3">
        <v>158</v>
      </c>
      <c r="D1667" s="3">
        <v>27</v>
      </c>
      <c r="E1667" s="3">
        <v>-378.654</v>
      </c>
      <c r="F1667" s="4" t="str">
        <f>HYPERLINK("http://141.218.60.56/~jnz1568/getInfo.php?workbook=10_05.xlsx&amp;sheet=A0&amp;row=1667&amp;col=6&amp;number=1960000000&amp;sourceID=14","1960000000")</f>
        <v>1960000000</v>
      </c>
      <c r="G1667" s="4" t="str">
        <f>HYPERLINK("http://141.218.60.56/~jnz1568/getInfo.php?workbook=10_05.xlsx&amp;sheet=A0&amp;row=1667&amp;col=7&amp;number=0&amp;sourceID=14","0")</f>
        <v>0</v>
      </c>
    </row>
    <row r="1668" spans="1:7">
      <c r="A1668" s="3">
        <v>10</v>
      </c>
      <c r="B1668" s="3">
        <v>5</v>
      </c>
      <c r="C1668" s="3">
        <v>159</v>
      </c>
      <c r="D1668" s="3">
        <v>27</v>
      </c>
      <c r="E1668" s="3">
        <v>-378.041</v>
      </c>
      <c r="F1668" s="4" t="str">
        <f>HYPERLINK("http://141.218.60.56/~jnz1568/getInfo.php?workbook=10_05.xlsx&amp;sheet=A0&amp;row=1668&amp;col=6&amp;number=721000000&amp;sourceID=14","721000000")</f>
        <v>721000000</v>
      </c>
      <c r="G1668" s="4" t="str">
        <f>HYPERLINK("http://141.218.60.56/~jnz1568/getInfo.php?workbook=10_05.xlsx&amp;sheet=A0&amp;row=1668&amp;col=7&amp;number=0&amp;sourceID=14","0")</f>
        <v>0</v>
      </c>
    </row>
    <row r="1669" spans="1:7">
      <c r="A1669" s="3">
        <v>10</v>
      </c>
      <c r="B1669" s="3">
        <v>5</v>
      </c>
      <c r="C1669" s="3">
        <v>164</v>
      </c>
      <c r="D1669" s="3">
        <v>27</v>
      </c>
      <c r="E1669" s="3">
        <v>-321.908</v>
      </c>
      <c r="F1669" s="4" t="str">
        <f>HYPERLINK("http://141.218.60.56/~jnz1568/getInfo.php?workbook=10_05.xlsx&amp;sheet=A0&amp;row=1669&amp;col=6&amp;number=6330000&amp;sourceID=14","6330000")</f>
        <v>6330000</v>
      </c>
      <c r="G1669" s="4" t="str">
        <f>HYPERLINK("http://141.218.60.56/~jnz1568/getInfo.php?workbook=10_05.xlsx&amp;sheet=A0&amp;row=1669&amp;col=7&amp;number=0&amp;sourceID=14","0")</f>
        <v>0</v>
      </c>
    </row>
    <row r="1670" spans="1:7">
      <c r="A1670" s="3">
        <v>10</v>
      </c>
      <c r="B1670" s="3">
        <v>5</v>
      </c>
      <c r="C1670" s="3">
        <v>165</v>
      </c>
      <c r="D1670" s="3">
        <v>27</v>
      </c>
      <c r="E1670" s="3">
        <v>-321.766</v>
      </c>
      <c r="F1670" s="4" t="str">
        <f>HYPERLINK("http://141.218.60.56/~jnz1568/getInfo.php?workbook=10_05.xlsx&amp;sheet=A0&amp;row=1670&amp;col=6&amp;number=15900000&amp;sourceID=14","15900000")</f>
        <v>15900000</v>
      </c>
      <c r="G1670" s="4" t="str">
        <f>HYPERLINK("http://141.218.60.56/~jnz1568/getInfo.php?workbook=10_05.xlsx&amp;sheet=A0&amp;row=1670&amp;col=7&amp;number=0&amp;sourceID=14","0")</f>
        <v>0</v>
      </c>
    </row>
    <row r="1671" spans="1:7">
      <c r="A1671" s="3">
        <v>10</v>
      </c>
      <c r="B1671" s="3">
        <v>5</v>
      </c>
      <c r="C1671" s="3">
        <v>166</v>
      </c>
      <c r="D1671" s="3">
        <v>27</v>
      </c>
      <c r="E1671" s="3">
        <v>-295.977</v>
      </c>
      <c r="F1671" s="4" t="str">
        <f>HYPERLINK("http://141.218.60.56/~jnz1568/getInfo.php?workbook=10_05.xlsx&amp;sheet=A0&amp;row=1671&amp;col=6&amp;number=4240000&amp;sourceID=14","4240000")</f>
        <v>4240000</v>
      </c>
      <c r="G1671" s="4" t="str">
        <f>HYPERLINK("http://141.218.60.56/~jnz1568/getInfo.php?workbook=10_05.xlsx&amp;sheet=A0&amp;row=1671&amp;col=7&amp;number=0&amp;sourceID=14","0")</f>
        <v>0</v>
      </c>
    </row>
    <row r="1672" spans="1:7">
      <c r="A1672" s="3">
        <v>10</v>
      </c>
      <c r="B1672" s="3">
        <v>5</v>
      </c>
      <c r="C1672" s="3">
        <v>167</v>
      </c>
      <c r="D1672" s="3">
        <v>27</v>
      </c>
      <c r="E1672" s="3">
        <v>-295.94</v>
      </c>
      <c r="F1672" s="4" t="str">
        <f>HYPERLINK("http://141.218.60.56/~jnz1568/getInfo.php?workbook=10_05.xlsx&amp;sheet=A0&amp;row=1672&amp;col=6&amp;number=10900000&amp;sourceID=14","10900000")</f>
        <v>10900000</v>
      </c>
      <c r="G1672" s="4" t="str">
        <f>HYPERLINK("http://141.218.60.56/~jnz1568/getInfo.php?workbook=10_05.xlsx&amp;sheet=A0&amp;row=1672&amp;col=7&amp;number=0&amp;sourceID=14","0")</f>
        <v>0</v>
      </c>
    </row>
    <row r="1673" spans="1:7">
      <c r="A1673" s="3">
        <v>10</v>
      </c>
      <c r="B1673" s="3">
        <v>5</v>
      </c>
      <c r="C1673" s="3">
        <v>176</v>
      </c>
      <c r="D1673" s="3">
        <v>27</v>
      </c>
      <c r="E1673" s="3">
        <v>-270.722</v>
      </c>
      <c r="F1673" s="4" t="str">
        <f>HYPERLINK("http://141.218.60.56/~jnz1568/getInfo.php?workbook=10_05.xlsx&amp;sheet=A0&amp;row=1673&amp;col=6&amp;number=27700&amp;sourceID=14","27700")</f>
        <v>27700</v>
      </c>
      <c r="G1673" s="4" t="str">
        <f>HYPERLINK("http://141.218.60.56/~jnz1568/getInfo.php?workbook=10_05.xlsx&amp;sheet=A0&amp;row=1673&amp;col=7&amp;number=0&amp;sourceID=14","0")</f>
        <v>0</v>
      </c>
    </row>
    <row r="1674" spans="1:7">
      <c r="A1674" s="3">
        <v>10</v>
      </c>
      <c r="B1674" s="3">
        <v>5</v>
      </c>
      <c r="C1674" s="3">
        <v>177</v>
      </c>
      <c r="D1674" s="3">
        <v>27</v>
      </c>
      <c r="E1674" s="3">
        <v>-270.071</v>
      </c>
      <c r="F1674" s="4" t="str">
        <f>HYPERLINK("http://141.218.60.56/~jnz1568/getInfo.php?workbook=10_05.xlsx&amp;sheet=A0&amp;row=1674&amp;col=6&amp;number=6810000&amp;sourceID=14","6810000")</f>
        <v>6810000</v>
      </c>
      <c r="G1674" s="4" t="str">
        <f>HYPERLINK("http://141.218.60.56/~jnz1568/getInfo.php?workbook=10_05.xlsx&amp;sheet=A0&amp;row=1674&amp;col=7&amp;number=0&amp;sourceID=14","0")</f>
        <v>0</v>
      </c>
    </row>
    <row r="1675" spans="1:7">
      <c r="A1675" s="3">
        <v>10</v>
      </c>
      <c r="B1675" s="3">
        <v>5</v>
      </c>
      <c r="C1675" s="3">
        <v>178</v>
      </c>
      <c r="D1675" s="3">
        <v>27</v>
      </c>
      <c r="E1675" s="3">
        <v>-270.039</v>
      </c>
      <c r="F1675" s="4" t="str">
        <f>HYPERLINK("http://141.218.60.56/~jnz1568/getInfo.php?workbook=10_05.xlsx&amp;sheet=A0&amp;row=1675&amp;col=6&amp;number=40600000&amp;sourceID=14","40600000")</f>
        <v>40600000</v>
      </c>
      <c r="G1675" s="4" t="str">
        <f>HYPERLINK("http://141.218.60.56/~jnz1568/getInfo.php?workbook=10_05.xlsx&amp;sheet=A0&amp;row=1675&amp;col=7&amp;number=0&amp;sourceID=14","0")</f>
        <v>0</v>
      </c>
    </row>
    <row r="1676" spans="1:7">
      <c r="A1676" s="3">
        <v>10</v>
      </c>
      <c r="B1676" s="3">
        <v>5</v>
      </c>
      <c r="C1676" s="3">
        <v>179</v>
      </c>
      <c r="D1676" s="3">
        <v>27</v>
      </c>
      <c r="E1676" s="3">
        <v>-267.117</v>
      </c>
      <c r="F1676" s="4" t="str">
        <f>HYPERLINK("http://141.218.60.56/~jnz1568/getInfo.php?workbook=10_05.xlsx&amp;sheet=A0&amp;row=1676&amp;col=6&amp;number=379000&amp;sourceID=14","379000")</f>
        <v>379000</v>
      </c>
      <c r="G1676" s="4" t="str">
        <f>HYPERLINK("http://141.218.60.56/~jnz1568/getInfo.php?workbook=10_05.xlsx&amp;sheet=A0&amp;row=1676&amp;col=7&amp;number=0&amp;sourceID=14","0")</f>
        <v>0</v>
      </c>
    </row>
    <row r="1677" spans="1:7">
      <c r="A1677" s="3">
        <v>10</v>
      </c>
      <c r="B1677" s="3">
        <v>5</v>
      </c>
      <c r="C1677" s="3">
        <v>180</v>
      </c>
      <c r="D1677" s="3">
        <v>27</v>
      </c>
      <c r="E1677" s="3">
        <v>-267.09</v>
      </c>
      <c r="F1677" s="4" t="str">
        <f>HYPERLINK("http://141.218.60.56/~jnz1568/getInfo.php?workbook=10_05.xlsx&amp;sheet=A0&amp;row=1677&amp;col=6&amp;number=867000&amp;sourceID=14","867000")</f>
        <v>867000</v>
      </c>
      <c r="G1677" s="4" t="str">
        <f>HYPERLINK("http://141.218.60.56/~jnz1568/getInfo.php?workbook=10_05.xlsx&amp;sheet=A0&amp;row=1677&amp;col=7&amp;number=0&amp;sourceID=14","0")</f>
        <v>0</v>
      </c>
    </row>
    <row r="1678" spans="1:7">
      <c r="A1678" s="3">
        <v>10</v>
      </c>
      <c r="B1678" s="3">
        <v>5</v>
      </c>
      <c r="C1678" s="3">
        <v>38</v>
      </c>
      <c r="D1678" s="3">
        <v>28</v>
      </c>
      <c r="E1678" s="3">
        <v>-2730.828</v>
      </c>
      <c r="F1678" s="4" t="str">
        <f>HYPERLINK("http://141.218.60.56/~jnz1568/getInfo.php?workbook=10_05.xlsx&amp;sheet=A0&amp;row=1678&amp;col=6&amp;number=62500000&amp;sourceID=14","62500000")</f>
        <v>62500000</v>
      </c>
      <c r="G1678" s="4" t="str">
        <f>HYPERLINK("http://141.218.60.56/~jnz1568/getInfo.php?workbook=10_05.xlsx&amp;sheet=A0&amp;row=1678&amp;col=7&amp;number=0&amp;sourceID=14","0")</f>
        <v>0</v>
      </c>
    </row>
    <row r="1679" spans="1:7">
      <c r="A1679" s="3">
        <v>10</v>
      </c>
      <c r="B1679" s="3">
        <v>5</v>
      </c>
      <c r="C1679" s="3">
        <v>43</v>
      </c>
      <c r="D1679" s="3">
        <v>28</v>
      </c>
      <c r="E1679" s="3">
        <v>-2065.437</v>
      </c>
      <c r="F1679" s="4" t="str">
        <f>HYPERLINK("http://141.218.60.56/~jnz1568/getInfo.php?workbook=10_05.xlsx&amp;sheet=A0&amp;row=1679&amp;col=6&amp;number=21800000&amp;sourceID=14","21800000")</f>
        <v>21800000</v>
      </c>
      <c r="G1679" s="4" t="str">
        <f>HYPERLINK("http://141.218.60.56/~jnz1568/getInfo.php?workbook=10_05.xlsx&amp;sheet=A0&amp;row=1679&amp;col=7&amp;number=0&amp;sourceID=14","0")</f>
        <v>0</v>
      </c>
    </row>
    <row r="1680" spans="1:7">
      <c r="A1680" s="3">
        <v>10</v>
      </c>
      <c r="B1680" s="3">
        <v>5</v>
      </c>
      <c r="C1680" s="3">
        <v>44</v>
      </c>
      <c r="D1680" s="3">
        <v>28</v>
      </c>
      <c r="E1680" s="3">
        <v>-2061.264</v>
      </c>
      <c r="F1680" s="4" t="str">
        <f>HYPERLINK("http://141.218.60.56/~jnz1568/getInfo.php?workbook=10_05.xlsx&amp;sheet=A0&amp;row=1680&amp;col=6&amp;number=10300000&amp;sourceID=14","10300000")</f>
        <v>10300000</v>
      </c>
      <c r="G1680" s="4" t="str">
        <f>HYPERLINK("http://141.218.60.56/~jnz1568/getInfo.php?workbook=10_05.xlsx&amp;sheet=A0&amp;row=1680&amp;col=7&amp;number=0&amp;sourceID=14","0")</f>
        <v>0</v>
      </c>
    </row>
    <row r="1681" spans="1:7">
      <c r="A1681" s="3">
        <v>10</v>
      </c>
      <c r="B1681" s="3">
        <v>5</v>
      </c>
      <c r="C1681" s="3">
        <v>47</v>
      </c>
      <c r="D1681" s="3">
        <v>28</v>
      </c>
      <c r="E1681" s="3">
        <v>-1993.624</v>
      </c>
      <c r="F1681" s="4" t="str">
        <f>HYPERLINK("http://141.218.60.56/~jnz1568/getInfo.php?workbook=10_05.xlsx&amp;sheet=A0&amp;row=1681&amp;col=6&amp;number=6390000&amp;sourceID=14","6390000")</f>
        <v>6390000</v>
      </c>
      <c r="G1681" s="4" t="str">
        <f>HYPERLINK("http://141.218.60.56/~jnz1568/getInfo.php?workbook=10_05.xlsx&amp;sheet=A0&amp;row=1681&amp;col=7&amp;number=0&amp;sourceID=14","0")</f>
        <v>0</v>
      </c>
    </row>
    <row r="1682" spans="1:7">
      <c r="A1682" s="3">
        <v>10</v>
      </c>
      <c r="B1682" s="3">
        <v>5</v>
      </c>
      <c r="C1682" s="3">
        <v>50</v>
      </c>
      <c r="D1682" s="3">
        <v>28</v>
      </c>
      <c r="E1682" s="3">
        <v>-1850.313</v>
      </c>
      <c r="F1682" s="4" t="str">
        <f>HYPERLINK("http://141.218.60.56/~jnz1568/getInfo.php?workbook=10_05.xlsx&amp;sheet=A0&amp;row=1682&amp;col=6&amp;number=1010000&amp;sourceID=14","1010000")</f>
        <v>1010000</v>
      </c>
      <c r="G1682" s="4" t="str">
        <f>HYPERLINK("http://141.218.60.56/~jnz1568/getInfo.php?workbook=10_05.xlsx&amp;sheet=A0&amp;row=1682&amp;col=7&amp;number=0&amp;sourceID=14","0")</f>
        <v>0</v>
      </c>
    </row>
    <row r="1683" spans="1:7">
      <c r="A1683" s="3">
        <v>10</v>
      </c>
      <c r="B1683" s="3">
        <v>5</v>
      </c>
      <c r="C1683" s="3">
        <v>51</v>
      </c>
      <c r="D1683" s="3">
        <v>28</v>
      </c>
      <c r="E1683" s="3">
        <v>-1841.692</v>
      </c>
      <c r="F1683" s="4" t="str">
        <f>HYPERLINK("http://141.218.60.56/~jnz1568/getInfo.php?workbook=10_05.xlsx&amp;sheet=A0&amp;row=1683&amp;col=6&amp;number=17700000&amp;sourceID=14","17700000")</f>
        <v>17700000</v>
      </c>
      <c r="G1683" s="4" t="str">
        <f>HYPERLINK("http://141.218.60.56/~jnz1568/getInfo.php?workbook=10_05.xlsx&amp;sheet=A0&amp;row=1683&amp;col=7&amp;number=0&amp;sourceID=14","0")</f>
        <v>0</v>
      </c>
    </row>
    <row r="1684" spans="1:7">
      <c r="A1684" s="3">
        <v>10</v>
      </c>
      <c r="B1684" s="3">
        <v>5</v>
      </c>
      <c r="C1684" s="3">
        <v>52</v>
      </c>
      <c r="D1684" s="3">
        <v>28</v>
      </c>
      <c r="E1684" s="3">
        <v>-1602.952</v>
      </c>
      <c r="F1684" s="4" t="str">
        <f>HYPERLINK("http://141.218.60.56/~jnz1568/getInfo.php?workbook=10_05.xlsx&amp;sheet=A0&amp;row=1684&amp;col=6&amp;number=159000&amp;sourceID=14","159000")</f>
        <v>159000</v>
      </c>
      <c r="G1684" s="4" t="str">
        <f>HYPERLINK("http://141.218.60.56/~jnz1568/getInfo.php?workbook=10_05.xlsx&amp;sheet=A0&amp;row=1684&amp;col=7&amp;number=0&amp;sourceID=14","0")</f>
        <v>0</v>
      </c>
    </row>
    <row r="1685" spans="1:7">
      <c r="A1685" s="3">
        <v>10</v>
      </c>
      <c r="B1685" s="3">
        <v>5</v>
      </c>
      <c r="C1685" s="3">
        <v>53</v>
      </c>
      <c r="D1685" s="3">
        <v>28</v>
      </c>
      <c r="E1685" s="3">
        <v>-1601.54</v>
      </c>
      <c r="F1685" s="4" t="str">
        <f>HYPERLINK("http://141.218.60.56/~jnz1568/getInfo.php?workbook=10_05.xlsx&amp;sheet=A0&amp;row=1685&amp;col=6&amp;number=584000&amp;sourceID=14","584000")</f>
        <v>584000</v>
      </c>
      <c r="G1685" s="4" t="str">
        <f>HYPERLINK("http://141.218.60.56/~jnz1568/getInfo.php?workbook=10_05.xlsx&amp;sheet=A0&amp;row=1685&amp;col=7&amp;number=0&amp;sourceID=14","0")</f>
        <v>0</v>
      </c>
    </row>
    <row r="1686" spans="1:7">
      <c r="A1686" s="3">
        <v>10</v>
      </c>
      <c r="B1686" s="3">
        <v>5</v>
      </c>
      <c r="C1686" s="3">
        <v>56</v>
      </c>
      <c r="D1686" s="3">
        <v>28</v>
      </c>
      <c r="E1686" s="3">
        <v>-1345.047</v>
      </c>
      <c r="F1686" s="4" t="str">
        <f>HYPERLINK("http://141.218.60.56/~jnz1568/getInfo.php?workbook=10_05.xlsx&amp;sheet=A0&amp;row=1686&amp;col=6&amp;number=1700000&amp;sourceID=14","1700000")</f>
        <v>1700000</v>
      </c>
      <c r="G1686" s="4" t="str">
        <f>HYPERLINK("http://141.218.60.56/~jnz1568/getInfo.php?workbook=10_05.xlsx&amp;sheet=A0&amp;row=1686&amp;col=7&amp;number=0&amp;sourceID=14","0")</f>
        <v>0</v>
      </c>
    </row>
    <row r="1687" spans="1:7">
      <c r="A1687" s="3">
        <v>10</v>
      </c>
      <c r="B1687" s="3">
        <v>5</v>
      </c>
      <c r="C1687" s="3">
        <v>57</v>
      </c>
      <c r="D1687" s="3">
        <v>28</v>
      </c>
      <c r="E1687" s="3">
        <v>-1337.741</v>
      </c>
      <c r="F1687" s="4" t="str">
        <f>HYPERLINK("http://141.218.60.56/~jnz1568/getInfo.php?workbook=10_05.xlsx&amp;sheet=A0&amp;row=1687&amp;col=6&amp;number=6940000&amp;sourceID=14","6940000")</f>
        <v>6940000</v>
      </c>
      <c r="G1687" s="4" t="str">
        <f>HYPERLINK("http://141.218.60.56/~jnz1568/getInfo.php?workbook=10_05.xlsx&amp;sheet=A0&amp;row=1687&amp;col=7&amp;number=0&amp;sourceID=14","0")</f>
        <v>0</v>
      </c>
    </row>
    <row r="1688" spans="1:7">
      <c r="A1688" s="3">
        <v>10</v>
      </c>
      <c r="B1688" s="3">
        <v>5</v>
      </c>
      <c r="C1688" s="3">
        <v>64</v>
      </c>
      <c r="D1688" s="3">
        <v>28</v>
      </c>
      <c r="E1688" s="3">
        <v>-783.424</v>
      </c>
      <c r="F1688" s="4" t="str">
        <f>HYPERLINK("http://141.218.60.56/~jnz1568/getInfo.php?workbook=10_05.xlsx&amp;sheet=A0&amp;row=1688&amp;col=6&amp;number=437000&amp;sourceID=14","437000")</f>
        <v>437000</v>
      </c>
      <c r="G1688" s="4" t="str">
        <f>HYPERLINK("http://141.218.60.56/~jnz1568/getInfo.php?workbook=10_05.xlsx&amp;sheet=A0&amp;row=1688&amp;col=7&amp;number=0&amp;sourceID=14","0")</f>
        <v>0</v>
      </c>
    </row>
    <row r="1689" spans="1:7">
      <c r="A1689" s="3">
        <v>10</v>
      </c>
      <c r="B1689" s="3">
        <v>5</v>
      </c>
      <c r="C1689" s="3">
        <v>65</v>
      </c>
      <c r="D1689" s="3">
        <v>28</v>
      </c>
      <c r="E1689" s="3">
        <v>-782.682</v>
      </c>
      <c r="F1689" s="4" t="str">
        <f>HYPERLINK("http://141.218.60.56/~jnz1568/getInfo.php?workbook=10_05.xlsx&amp;sheet=A0&amp;row=1689&amp;col=6&amp;number=110000&amp;sourceID=14","110000")</f>
        <v>110000</v>
      </c>
      <c r="G1689" s="4" t="str">
        <f>HYPERLINK("http://141.218.60.56/~jnz1568/getInfo.php?workbook=10_05.xlsx&amp;sheet=A0&amp;row=1689&amp;col=7&amp;number=0&amp;sourceID=14","0")</f>
        <v>0</v>
      </c>
    </row>
    <row r="1690" spans="1:7">
      <c r="A1690" s="3">
        <v>10</v>
      </c>
      <c r="B1690" s="3">
        <v>5</v>
      </c>
      <c r="C1690" s="3">
        <v>73</v>
      </c>
      <c r="D1690" s="3">
        <v>28</v>
      </c>
      <c r="E1690" s="3">
        <v>-656.773</v>
      </c>
      <c r="F1690" s="4" t="str">
        <f>HYPERLINK("http://141.218.60.56/~jnz1568/getInfo.php?workbook=10_05.xlsx&amp;sheet=A0&amp;row=1690&amp;col=6&amp;number=1380000&amp;sourceID=14","1380000")</f>
        <v>1380000</v>
      </c>
      <c r="G1690" s="4" t="str">
        <f>HYPERLINK("http://141.218.60.56/~jnz1568/getInfo.php?workbook=10_05.xlsx&amp;sheet=A0&amp;row=1690&amp;col=7&amp;number=0&amp;sourceID=14","0")</f>
        <v>0</v>
      </c>
    </row>
    <row r="1691" spans="1:7">
      <c r="A1691" s="3">
        <v>10</v>
      </c>
      <c r="B1691" s="3">
        <v>5</v>
      </c>
      <c r="C1691" s="3">
        <v>75</v>
      </c>
      <c r="D1691" s="3">
        <v>28</v>
      </c>
      <c r="E1691" s="3">
        <v>-647.577</v>
      </c>
      <c r="F1691" s="4" t="str">
        <f>HYPERLINK("http://141.218.60.56/~jnz1568/getInfo.php?workbook=10_05.xlsx&amp;sheet=A0&amp;row=1691&amp;col=6&amp;number=80000&amp;sourceID=14","80000")</f>
        <v>80000</v>
      </c>
      <c r="G1691" s="4" t="str">
        <f>HYPERLINK("http://141.218.60.56/~jnz1568/getInfo.php?workbook=10_05.xlsx&amp;sheet=A0&amp;row=1691&amp;col=7&amp;number=0&amp;sourceID=14","0")</f>
        <v>0</v>
      </c>
    </row>
    <row r="1692" spans="1:7">
      <c r="A1692" s="3">
        <v>10</v>
      </c>
      <c r="B1692" s="3">
        <v>5</v>
      </c>
      <c r="C1692" s="3">
        <v>76</v>
      </c>
      <c r="D1692" s="3">
        <v>28</v>
      </c>
      <c r="E1692" s="3">
        <v>-647.255</v>
      </c>
      <c r="F1692" s="4" t="str">
        <f>HYPERLINK("http://141.218.60.56/~jnz1568/getInfo.php?workbook=10_05.xlsx&amp;sheet=A0&amp;row=1692&amp;col=6&amp;number=132000&amp;sourceID=14","132000")</f>
        <v>132000</v>
      </c>
      <c r="G1692" s="4" t="str">
        <f>HYPERLINK("http://141.218.60.56/~jnz1568/getInfo.php?workbook=10_05.xlsx&amp;sheet=A0&amp;row=1692&amp;col=7&amp;number=0&amp;sourceID=14","0")</f>
        <v>0</v>
      </c>
    </row>
    <row r="1693" spans="1:7">
      <c r="A1693" s="3">
        <v>10</v>
      </c>
      <c r="B1693" s="3">
        <v>5</v>
      </c>
      <c r="C1693" s="3">
        <v>79</v>
      </c>
      <c r="D1693" s="3">
        <v>28</v>
      </c>
      <c r="E1693" s="3">
        <v>-564.568</v>
      </c>
      <c r="F1693" s="4" t="str">
        <f>HYPERLINK("http://141.218.60.56/~jnz1568/getInfo.php?workbook=10_05.xlsx&amp;sheet=A0&amp;row=1693&amp;col=6&amp;number=45400000&amp;sourceID=14","45400000")</f>
        <v>45400000</v>
      </c>
      <c r="G1693" s="4" t="str">
        <f>HYPERLINK("http://141.218.60.56/~jnz1568/getInfo.php?workbook=10_05.xlsx&amp;sheet=A0&amp;row=1693&amp;col=7&amp;number=0&amp;sourceID=14","0")</f>
        <v>0</v>
      </c>
    </row>
    <row r="1694" spans="1:7">
      <c r="A1694" s="3">
        <v>10</v>
      </c>
      <c r="B1694" s="3">
        <v>5</v>
      </c>
      <c r="C1694" s="3">
        <v>82</v>
      </c>
      <c r="D1694" s="3">
        <v>28</v>
      </c>
      <c r="E1694" s="3">
        <v>-545.344</v>
      </c>
      <c r="F1694" s="4" t="str">
        <f>HYPERLINK("http://141.218.60.56/~jnz1568/getInfo.php?workbook=10_05.xlsx&amp;sheet=A0&amp;row=1694&amp;col=6&amp;number=1420000000&amp;sourceID=14","1420000000")</f>
        <v>1420000000</v>
      </c>
      <c r="G1694" s="4" t="str">
        <f>HYPERLINK("http://141.218.60.56/~jnz1568/getInfo.php?workbook=10_05.xlsx&amp;sheet=A0&amp;row=1694&amp;col=7&amp;number=0&amp;sourceID=14","0")</f>
        <v>0</v>
      </c>
    </row>
    <row r="1695" spans="1:7">
      <c r="A1695" s="3">
        <v>10</v>
      </c>
      <c r="B1695" s="3">
        <v>5</v>
      </c>
      <c r="C1695" s="3">
        <v>83</v>
      </c>
      <c r="D1695" s="3">
        <v>28</v>
      </c>
      <c r="E1695" s="3">
        <v>-544.53</v>
      </c>
      <c r="F1695" s="4" t="str">
        <f>HYPERLINK("http://141.218.60.56/~jnz1568/getInfo.php?workbook=10_05.xlsx&amp;sheet=A0&amp;row=1695&amp;col=6&amp;number=739000000&amp;sourceID=14","739000000")</f>
        <v>739000000</v>
      </c>
      <c r="G1695" s="4" t="str">
        <f>HYPERLINK("http://141.218.60.56/~jnz1568/getInfo.php?workbook=10_05.xlsx&amp;sheet=A0&amp;row=1695&amp;col=7&amp;number=0&amp;sourceID=14","0")</f>
        <v>0</v>
      </c>
    </row>
    <row r="1696" spans="1:7">
      <c r="A1696" s="3">
        <v>10</v>
      </c>
      <c r="B1696" s="3">
        <v>5</v>
      </c>
      <c r="C1696" s="3">
        <v>88</v>
      </c>
      <c r="D1696" s="3">
        <v>28</v>
      </c>
      <c r="E1696" s="3">
        <v>-533.781</v>
      </c>
      <c r="F1696" s="4" t="str">
        <f>HYPERLINK("http://141.218.60.56/~jnz1568/getInfo.php?workbook=10_05.xlsx&amp;sheet=A0&amp;row=1696&amp;col=6&amp;number=1390000000&amp;sourceID=14","1390000000")</f>
        <v>1390000000</v>
      </c>
      <c r="G1696" s="4" t="str">
        <f>HYPERLINK("http://141.218.60.56/~jnz1568/getInfo.php?workbook=10_05.xlsx&amp;sheet=A0&amp;row=1696&amp;col=7&amp;number=0&amp;sourceID=14","0")</f>
        <v>0</v>
      </c>
    </row>
    <row r="1697" spans="1:7">
      <c r="A1697" s="3">
        <v>10</v>
      </c>
      <c r="B1697" s="3">
        <v>5</v>
      </c>
      <c r="C1697" s="3">
        <v>89</v>
      </c>
      <c r="D1697" s="3">
        <v>28</v>
      </c>
      <c r="E1697" s="3">
        <v>-532.721</v>
      </c>
      <c r="F1697" s="4" t="str">
        <f>HYPERLINK("http://141.218.60.56/~jnz1568/getInfo.php?workbook=10_05.xlsx&amp;sheet=A0&amp;row=1697&amp;col=6&amp;number=152000000&amp;sourceID=14","152000000")</f>
        <v>152000000</v>
      </c>
      <c r="G1697" s="4" t="str">
        <f>HYPERLINK("http://141.218.60.56/~jnz1568/getInfo.php?workbook=10_05.xlsx&amp;sheet=A0&amp;row=1697&amp;col=7&amp;number=0&amp;sourceID=14","0")</f>
        <v>0</v>
      </c>
    </row>
    <row r="1698" spans="1:7">
      <c r="A1698" s="3">
        <v>10</v>
      </c>
      <c r="B1698" s="3">
        <v>5</v>
      </c>
      <c r="C1698" s="3">
        <v>91</v>
      </c>
      <c r="D1698" s="3">
        <v>28</v>
      </c>
      <c r="E1698" s="3">
        <v>-509.773</v>
      </c>
      <c r="F1698" s="4" t="str">
        <f>HYPERLINK("http://141.218.60.56/~jnz1568/getInfo.php?workbook=10_05.xlsx&amp;sheet=A0&amp;row=1698&amp;col=6&amp;number=9840000&amp;sourceID=14","9840000")</f>
        <v>9840000</v>
      </c>
      <c r="G1698" s="4" t="str">
        <f>HYPERLINK("http://141.218.60.56/~jnz1568/getInfo.php?workbook=10_05.xlsx&amp;sheet=A0&amp;row=1698&amp;col=7&amp;number=0&amp;sourceID=14","0")</f>
        <v>0</v>
      </c>
    </row>
    <row r="1699" spans="1:7">
      <c r="A1699" s="3">
        <v>10</v>
      </c>
      <c r="B1699" s="3">
        <v>5</v>
      </c>
      <c r="C1699" s="3">
        <v>93</v>
      </c>
      <c r="D1699" s="3">
        <v>28</v>
      </c>
      <c r="E1699" s="3">
        <v>-488.382</v>
      </c>
      <c r="F1699" s="4" t="str">
        <f>HYPERLINK("http://141.218.60.56/~jnz1568/getInfo.php?workbook=10_05.xlsx&amp;sheet=A0&amp;row=1699&amp;col=6&amp;number=46400000&amp;sourceID=14","46400000")</f>
        <v>46400000</v>
      </c>
      <c r="G1699" s="4" t="str">
        <f>HYPERLINK("http://141.218.60.56/~jnz1568/getInfo.php?workbook=10_05.xlsx&amp;sheet=A0&amp;row=1699&amp;col=7&amp;number=0&amp;sourceID=14","0")</f>
        <v>0</v>
      </c>
    </row>
    <row r="1700" spans="1:7">
      <c r="A1700" s="3">
        <v>10</v>
      </c>
      <c r="B1700" s="3">
        <v>5</v>
      </c>
      <c r="C1700" s="3">
        <v>94</v>
      </c>
      <c r="D1700" s="3">
        <v>28</v>
      </c>
      <c r="E1700" s="3">
        <v>-488.015</v>
      </c>
      <c r="F1700" s="4" t="str">
        <f>HYPERLINK("http://141.218.60.56/~jnz1568/getInfo.php?workbook=10_05.xlsx&amp;sheet=A0&amp;row=1700&amp;col=6&amp;number=11400000&amp;sourceID=14","11400000")</f>
        <v>11400000</v>
      </c>
      <c r="G1700" s="4" t="str">
        <f>HYPERLINK("http://141.218.60.56/~jnz1568/getInfo.php?workbook=10_05.xlsx&amp;sheet=A0&amp;row=1700&amp;col=7&amp;number=0&amp;sourceID=14","0")</f>
        <v>0</v>
      </c>
    </row>
    <row r="1701" spans="1:7">
      <c r="A1701" s="3">
        <v>10</v>
      </c>
      <c r="B1701" s="3">
        <v>5</v>
      </c>
      <c r="C1701" s="3">
        <v>95</v>
      </c>
      <c r="D1701" s="3">
        <v>28</v>
      </c>
      <c r="E1701" s="3">
        <v>-480.299</v>
      </c>
      <c r="F1701" s="4" t="str">
        <f>HYPERLINK("http://141.218.60.56/~jnz1568/getInfo.php?workbook=10_05.xlsx&amp;sheet=A0&amp;row=1701&amp;col=6&amp;number=874&amp;sourceID=14","874")</f>
        <v>874</v>
      </c>
      <c r="G1701" s="4" t="str">
        <f>HYPERLINK("http://141.218.60.56/~jnz1568/getInfo.php?workbook=10_05.xlsx&amp;sheet=A0&amp;row=1701&amp;col=7&amp;number=0&amp;sourceID=14","0")</f>
        <v>0</v>
      </c>
    </row>
    <row r="1702" spans="1:7">
      <c r="A1702" s="3">
        <v>10</v>
      </c>
      <c r="B1702" s="3">
        <v>5</v>
      </c>
      <c r="C1702" s="3">
        <v>98</v>
      </c>
      <c r="D1702" s="3">
        <v>28</v>
      </c>
      <c r="E1702" s="3">
        <v>-451.27</v>
      </c>
      <c r="F1702" s="4" t="str">
        <f>HYPERLINK("http://141.218.60.56/~jnz1568/getInfo.php?workbook=10_05.xlsx&amp;sheet=A0&amp;row=1702&amp;col=6&amp;number=1090000000&amp;sourceID=14","1090000000")</f>
        <v>1090000000</v>
      </c>
      <c r="G1702" s="4" t="str">
        <f>HYPERLINK("http://141.218.60.56/~jnz1568/getInfo.php?workbook=10_05.xlsx&amp;sheet=A0&amp;row=1702&amp;col=7&amp;number=0&amp;sourceID=14","0")</f>
        <v>0</v>
      </c>
    </row>
    <row r="1703" spans="1:7">
      <c r="A1703" s="3">
        <v>10</v>
      </c>
      <c r="B1703" s="3">
        <v>5</v>
      </c>
      <c r="C1703" s="3">
        <v>101</v>
      </c>
      <c r="D1703" s="3">
        <v>28</v>
      </c>
      <c r="E1703" s="3">
        <v>-450.399</v>
      </c>
      <c r="F1703" s="4" t="str">
        <f>HYPERLINK("http://141.218.60.56/~jnz1568/getInfo.php?workbook=10_05.xlsx&amp;sheet=A0&amp;row=1703&amp;col=6&amp;number=101000000&amp;sourceID=14","101000000")</f>
        <v>101000000</v>
      </c>
      <c r="G1703" s="4" t="str">
        <f>HYPERLINK("http://141.218.60.56/~jnz1568/getInfo.php?workbook=10_05.xlsx&amp;sheet=A0&amp;row=1703&amp;col=7&amp;number=0&amp;sourceID=14","0")</f>
        <v>0</v>
      </c>
    </row>
    <row r="1704" spans="1:7">
      <c r="A1704" s="3">
        <v>10</v>
      </c>
      <c r="B1704" s="3">
        <v>5</v>
      </c>
      <c r="C1704" s="3">
        <v>110</v>
      </c>
      <c r="D1704" s="3">
        <v>28</v>
      </c>
      <c r="E1704" s="3">
        <v>-436.539</v>
      </c>
      <c r="F1704" s="4" t="str">
        <f>HYPERLINK("http://141.218.60.56/~jnz1568/getInfo.php?workbook=10_05.xlsx&amp;sheet=A0&amp;row=1704&amp;col=6&amp;number=31600000&amp;sourceID=14","31600000")</f>
        <v>31600000</v>
      </c>
      <c r="G1704" s="4" t="str">
        <f>HYPERLINK("http://141.218.60.56/~jnz1568/getInfo.php?workbook=10_05.xlsx&amp;sheet=A0&amp;row=1704&amp;col=7&amp;number=0&amp;sourceID=14","0")</f>
        <v>0</v>
      </c>
    </row>
    <row r="1705" spans="1:7">
      <c r="A1705" s="3">
        <v>10</v>
      </c>
      <c r="B1705" s="3">
        <v>5</v>
      </c>
      <c r="C1705" s="3">
        <v>112</v>
      </c>
      <c r="D1705" s="3">
        <v>28</v>
      </c>
      <c r="E1705" s="3">
        <v>-435.293</v>
      </c>
      <c r="F1705" s="4" t="str">
        <f>HYPERLINK("http://141.218.60.56/~jnz1568/getInfo.php?workbook=10_05.xlsx&amp;sheet=A0&amp;row=1705&amp;col=6&amp;number=7580000&amp;sourceID=14","7580000")</f>
        <v>7580000</v>
      </c>
      <c r="G1705" s="4" t="str">
        <f>HYPERLINK("http://141.218.60.56/~jnz1568/getInfo.php?workbook=10_05.xlsx&amp;sheet=A0&amp;row=1705&amp;col=7&amp;number=0&amp;sourceID=14","0")</f>
        <v>0</v>
      </c>
    </row>
    <row r="1706" spans="1:7">
      <c r="A1706" s="3">
        <v>10</v>
      </c>
      <c r="B1706" s="3">
        <v>5</v>
      </c>
      <c r="C1706" s="3">
        <v>114</v>
      </c>
      <c r="D1706" s="3">
        <v>28</v>
      </c>
      <c r="E1706" s="3">
        <v>-433.731</v>
      </c>
      <c r="F1706" s="4" t="str">
        <f>HYPERLINK("http://141.218.60.56/~jnz1568/getInfo.php?workbook=10_05.xlsx&amp;sheet=A0&amp;row=1706&amp;col=6&amp;number=17800&amp;sourceID=14","17800")</f>
        <v>17800</v>
      </c>
      <c r="G1706" s="4" t="str">
        <f>HYPERLINK("http://141.218.60.56/~jnz1568/getInfo.php?workbook=10_05.xlsx&amp;sheet=A0&amp;row=1706&amp;col=7&amp;number=0&amp;sourceID=14","0")</f>
        <v>0</v>
      </c>
    </row>
    <row r="1707" spans="1:7">
      <c r="A1707" s="3">
        <v>10</v>
      </c>
      <c r="B1707" s="3">
        <v>5</v>
      </c>
      <c r="C1707" s="3">
        <v>127</v>
      </c>
      <c r="D1707" s="3">
        <v>28</v>
      </c>
      <c r="E1707" s="3">
        <v>-411.334</v>
      </c>
      <c r="F1707" s="4" t="str">
        <f>HYPERLINK("http://141.218.60.56/~jnz1568/getInfo.php?workbook=10_05.xlsx&amp;sheet=A0&amp;row=1707&amp;col=6&amp;number=449000&amp;sourceID=14","449000")</f>
        <v>449000</v>
      </c>
      <c r="G1707" s="4" t="str">
        <f>HYPERLINK("http://141.218.60.56/~jnz1568/getInfo.php?workbook=10_05.xlsx&amp;sheet=A0&amp;row=1707&amp;col=7&amp;number=0&amp;sourceID=14","0")</f>
        <v>0</v>
      </c>
    </row>
    <row r="1708" spans="1:7">
      <c r="A1708" s="3">
        <v>10</v>
      </c>
      <c r="B1708" s="3">
        <v>5</v>
      </c>
      <c r="C1708" s="3">
        <v>128</v>
      </c>
      <c r="D1708" s="3">
        <v>28</v>
      </c>
      <c r="E1708" s="3">
        <v>-410.576</v>
      </c>
      <c r="F1708" s="4" t="str">
        <f>HYPERLINK("http://141.218.60.56/~jnz1568/getInfo.php?workbook=10_05.xlsx&amp;sheet=A0&amp;row=1708&amp;col=6&amp;number=117000&amp;sourceID=14","117000")</f>
        <v>117000</v>
      </c>
      <c r="G1708" s="4" t="str">
        <f>HYPERLINK("http://141.218.60.56/~jnz1568/getInfo.php?workbook=10_05.xlsx&amp;sheet=A0&amp;row=1708&amp;col=7&amp;number=0&amp;sourceID=14","0")</f>
        <v>0</v>
      </c>
    </row>
    <row r="1709" spans="1:7">
      <c r="A1709" s="3">
        <v>10</v>
      </c>
      <c r="B1709" s="3">
        <v>5</v>
      </c>
      <c r="C1709" s="3">
        <v>134</v>
      </c>
      <c r="D1709" s="3">
        <v>28</v>
      </c>
      <c r="E1709" s="3">
        <v>-403.163</v>
      </c>
      <c r="F1709" s="4" t="str">
        <f>HYPERLINK("http://141.218.60.56/~jnz1568/getInfo.php?workbook=10_05.xlsx&amp;sheet=A0&amp;row=1709&amp;col=6&amp;number=6220000000&amp;sourceID=14","6220000000")</f>
        <v>6220000000</v>
      </c>
      <c r="G1709" s="4" t="str">
        <f>HYPERLINK("http://141.218.60.56/~jnz1568/getInfo.php?workbook=10_05.xlsx&amp;sheet=A0&amp;row=1709&amp;col=7&amp;number=0&amp;sourceID=14","0")</f>
        <v>0</v>
      </c>
    </row>
    <row r="1710" spans="1:7">
      <c r="A1710" s="3">
        <v>10</v>
      </c>
      <c r="B1710" s="3">
        <v>5</v>
      </c>
      <c r="C1710" s="3">
        <v>141</v>
      </c>
      <c r="D1710" s="3">
        <v>28</v>
      </c>
      <c r="E1710" s="3">
        <v>-395.655</v>
      </c>
      <c r="F1710" s="4" t="str">
        <f>HYPERLINK("http://141.218.60.56/~jnz1568/getInfo.php?workbook=10_05.xlsx&amp;sheet=A0&amp;row=1710&amp;col=6&amp;number=935000000&amp;sourceID=14","935000000")</f>
        <v>935000000</v>
      </c>
      <c r="G1710" s="4" t="str">
        <f>HYPERLINK("http://141.218.60.56/~jnz1568/getInfo.php?workbook=10_05.xlsx&amp;sheet=A0&amp;row=1710&amp;col=7&amp;number=0&amp;sourceID=14","0")</f>
        <v>0</v>
      </c>
    </row>
    <row r="1711" spans="1:7">
      <c r="A1711" s="3">
        <v>10</v>
      </c>
      <c r="B1711" s="3">
        <v>5</v>
      </c>
      <c r="C1711" s="3">
        <v>142</v>
      </c>
      <c r="D1711" s="3">
        <v>28</v>
      </c>
      <c r="E1711" s="3">
        <v>-395.586</v>
      </c>
      <c r="F1711" s="4" t="str">
        <f>HYPERLINK("http://141.218.60.56/~jnz1568/getInfo.php?workbook=10_05.xlsx&amp;sheet=A0&amp;row=1711&amp;col=6&amp;number=333000000&amp;sourceID=14","333000000")</f>
        <v>333000000</v>
      </c>
      <c r="G1711" s="4" t="str">
        <f>HYPERLINK("http://141.218.60.56/~jnz1568/getInfo.php?workbook=10_05.xlsx&amp;sheet=A0&amp;row=1711&amp;col=7&amp;number=0&amp;sourceID=14","0")</f>
        <v>0</v>
      </c>
    </row>
    <row r="1712" spans="1:7">
      <c r="A1712" s="3">
        <v>10</v>
      </c>
      <c r="B1712" s="3">
        <v>5</v>
      </c>
      <c r="C1712" s="3">
        <v>145</v>
      </c>
      <c r="D1712" s="3">
        <v>28</v>
      </c>
      <c r="E1712" s="3">
        <v>-393.485</v>
      </c>
      <c r="F1712" s="4" t="str">
        <f>HYPERLINK("http://141.218.60.56/~jnz1568/getInfo.php?workbook=10_05.xlsx&amp;sheet=A0&amp;row=1712&amp;col=6&amp;number=174000000&amp;sourceID=14","174000000")</f>
        <v>174000000</v>
      </c>
      <c r="G1712" s="4" t="str">
        <f>HYPERLINK("http://141.218.60.56/~jnz1568/getInfo.php?workbook=10_05.xlsx&amp;sheet=A0&amp;row=1712&amp;col=7&amp;number=0&amp;sourceID=14","0")</f>
        <v>0</v>
      </c>
    </row>
    <row r="1713" spans="1:7">
      <c r="A1713" s="3">
        <v>10</v>
      </c>
      <c r="B1713" s="3">
        <v>5</v>
      </c>
      <c r="C1713" s="3">
        <v>148</v>
      </c>
      <c r="D1713" s="3">
        <v>28</v>
      </c>
      <c r="E1713" s="3">
        <v>-392.401</v>
      </c>
      <c r="F1713" s="4" t="str">
        <f>HYPERLINK("http://141.218.60.56/~jnz1568/getInfo.php?workbook=10_05.xlsx&amp;sheet=A0&amp;row=1713&amp;col=6&amp;number=77100000&amp;sourceID=14","77100000")</f>
        <v>77100000</v>
      </c>
      <c r="G1713" s="4" t="str">
        <f>HYPERLINK("http://141.218.60.56/~jnz1568/getInfo.php?workbook=10_05.xlsx&amp;sheet=A0&amp;row=1713&amp;col=7&amp;number=0&amp;sourceID=14","0")</f>
        <v>0</v>
      </c>
    </row>
    <row r="1714" spans="1:7">
      <c r="A1714" s="3">
        <v>10</v>
      </c>
      <c r="B1714" s="3">
        <v>5</v>
      </c>
      <c r="C1714" s="3">
        <v>149</v>
      </c>
      <c r="D1714" s="3">
        <v>28</v>
      </c>
      <c r="E1714" s="3">
        <v>-392.248</v>
      </c>
      <c r="F1714" s="4" t="str">
        <f>HYPERLINK("http://141.218.60.56/~jnz1568/getInfo.php?workbook=10_05.xlsx&amp;sheet=A0&amp;row=1714&amp;col=6&amp;number=70100000&amp;sourceID=14","70100000")</f>
        <v>70100000</v>
      </c>
      <c r="G1714" s="4" t="str">
        <f>HYPERLINK("http://141.218.60.56/~jnz1568/getInfo.php?workbook=10_05.xlsx&amp;sheet=A0&amp;row=1714&amp;col=7&amp;number=0&amp;sourceID=14","0")</f>
        <v>0</v>
      </c>
    </row>
    <row r="1715" spans="1:7">
      <c r="A1715" s="3">
        <v>10</v>
      </c>
      <c r="B1715" s="3">
        <v>5</v>
      </c>
      <c r="C1715" s="3">
        <v>158</v>
      </c>
      <c r="D1715" s="3">
        <v>28</v>
      </c>
      <c r="E1715" s="3">
        <v>-380.378</v>
      </c>
      <c r="F1715" s="4" t="str">
        <f>HYPERLINK("http://141.218.60.56/~jnz1568/getInfo.php?workbook=10_05.xlsx&amp;sheet=A0&amp;row=1715&amp;col=6&amp;number=12500000&amp;sourceID=14","12500000")</f>
        <v>12500000</v>
      </c>
      <c r="G1715" s="4" t="str">
        <f>HYPERLINK("http://141.218.60.56/~jnz1568/getInfo.php?workbook=10_05.xlsx&amp;sheet=A0&amp;row=1715&amp;col=7&amp;number=0&amp;sourceID=14","0")</f>
        <v>0</v>
      </c>
    </row>
    <row r="1716" spans="1:7">
      <c r="A1716" s="3">
        <v>10</v>
      </c>
      <c r="B1716" s="3">
        <v>5</v>
      </c>
      <c r="C1716" s="3">
        <v>159</v>
      </c>
      <c r="D1716" s="3">
        <v>28</v>
      </c>
      <c r="E1716" s="3">
        <v>-379.76</v>
      </c>
      <c r="F1716" s="4" t="str">
        <f>HYPERLINK("http://141.218.60.56/~jnz1568/getInfo.php?workbook=10_05.xlsx&amp;sheet=A0&amp;row=1716&amp;col=6&amp;number=65200000&amp;sourceID=14","65200000")</f>
        <v>65200000</v>
      </c>
      <c r="G1716" s="4" t="str">
        <f>HYPERLINK("http://141.218.60.56/~jnz1568/getInfo.php?workbook=10_05.xlsx&amp;sheet=A0&amp;row=1716&amp;col=7&amp;number=0&amp;sourceID=14","0")</f>
        <v>0</v>
      </c>
    </row>
    <row r="1717" spans="1:7">
      <c r="A1717" s="3">
        <v>10</v>
      </c>
      <c r="B1717" s="3">
        <v>5</v>
      </c>
      <c r="C1717" s="3">
        <v>164</v>
      </c>
      <c r="D1717" s="3">
        <v>28</v>
      </c>
      <c r="E1717" s="3">
        <v>-323.154</v>
      </c>
      <c r="F1717" s="4" t="str">
        <f>HYPERLINK("http://141.218.60.56/~jnz1568/getInfo.php?workbook=10_05.xlsx&amp;sheet=A0&amp;row=1717&amp;col=6&amp;number=599000&amp;sourceID=14","599000")</f>
        <v>599000</v>
      </c>
      <c r="G1717" s="4" t="str">
        <f>HYPERLINK("http://141.218.60.56/~jnz1568/getInfo.php?workbook=10_05.xlsx&amp;sheet=A0&amp;row=1717&amp;col=7&amp;number=0&amp;sourceID=14","0")</f>
        <v>0</v>
      </c>
    </row>
    <row r="1718" spans="1:7">
      <c r="A1718" s="3">
        <v>10</v>
      </c>
      <c r="B1718" s="3">
        <v>5</v>
      </c>
      <c r="C1718" s="3">
        <v>165</v>
      </c>
      <c r="D1718" s="3">
        <v>28</v>
      </c>
      <c r="E1718" s="3">
        <v>-323.011</v>
      </c>
      <c r="F1718" s="4" t="str">
        <f>HYPERLINK("http://141.218.60.56/~jnz1568/getInfo.php?workbook=10_05.xlsx&amp;sheet=A0&amp;row=1718&amp;col=6&amp;number=152000&amp;sourceID=14","152000")</f>
        <v>152000</v>
      </c>
      <c r="G1718" s="4" t="str">
        <f>HYPERLINK("http://141.218.60.56/~jnz1568/getInfo.php?workbook=10_05.xlsx&amp;sheet=A0&amp;row=1718&amp;col=7&amp;number=0&amp;sourceID=14","0")</f>
        <v>0</v>
      </c>
    </row>
    <row r="1719" spans="1:7">
      <c r="A1719" s="3">
        <v>10</v>
      </c>
      <c r="B1719" s="3">
        <v>5</v>
      </c>
      <c r="C1719" s="3">
        <v>166</v>
      </c>
      <c r="D1719" s="3">
        <v>28</v>
      </c>
      <c r="E1719" s="3">
        <v>-297.029</v>
      </c>
      <c r="F1719" s="4" t="str">
        <f>HYPERLINK("http://141.218.60.56/~jnz1568/getInfo.php?workbook=10_05.xlsx&amp;sheet=A0&amp;row=1719&amp;col=6&amp;number=323000&amp;sourceID=14","323000")</f>
        <v>323000</v>
      </c>
      <c r="G1719" s="4" t="str">
        <f>HYPERLINK("http://141.218.60.56/~jnz1568/getInfo.php?workbook=10_05.xlsx&amp;sheet=A0&amp;row=1719&amp;col=7&amp;number=0&amp;sourceID=14","0")</f>
        <v>0</v>
      </c>
    </row>
    <row r="1720" spans="1:7">
      <c r="A1720" s="3">
        <v>10</v>
      </c>
      <c r="B1720" s="3">
        <v>5</v>
      </c>
      <c r="C1720" s="3">
        <v>167</v>
      </c>
      <c r="D1720" s="3">
        <v>28</v>
      </c>
      <c r="E1720" s="3">
        <v>-296.992</v>
      </c>
      <c r="F1720" s="4" t="str">
        <f>HYPERLINK("http://141.218.60.56/~jnz1568/getInfo.php?workbook=10_05.xlsx&amp;sheet=A0&amp;row=1720&amp;col=6&amp;number=79900&amp;sourceID=14","79900")</f>
        <v>79900</v>
      </c>
      <c r="G1720" s="4" t="str">
        <f>HYPERLINK("http://141.218.60.56/~jnz1568/getInfo.php?workbook=10_05.xlsx&amp;sheet=A0&amp;row=1720&amp;col=7&amp;number=0&amp;sourceID=14","0")</f>
        <v>0</v>
      </c>
    </row>
    <row r="1721" spans="1:7">
      <c r="A1721" s="3">
        <v>10</v>
      </c>
      <c r="B1721" s="3">
        <v>5</v>
      </c>
      <c r="C1721" s="3">
        <v>177</v>
      </c>
      <c r="D1721" s="3">
        <v>28</v>
      </c>
      <c r="E1721" s="3">
        <v>-270.947</v>
      </c>
      <c r="F1721" s="4" t="str">
        <f>HYPERLINK("http://141.218.60.56/~jnz1568/getInfo.php?workbook=10_05.xlsx&amp;sheet=A0&amp;row=1721&amp;col=6&amp;number=1220000&amp;sourceID=14","1220000")</f>
        <v>1220000</v>
      </c>
      <c r="G1721" s="4" t="str">
        <f>HYPERLINK("http://141.218.60.56/~jnz1568/getInfo.php?workbook=10_05.xlsx&amp;sheet=A0&amp;row=1721&amp;col=7&amp;number=0&amp;sourceID=14","0")</f>
        <v>0</v>
      </c>
    </row>
    <row r="1722" spans="1:7">
      <c r="A1722" s="3">
        <v>10</v>
      </c>
      <c r="B1722" s="3">
        <v>5</v>
      </c>
      <c r="C1722" s="3">
        <v>179</v>
      </c>
      <c r="D1722" s="3">
        <v>28</v>
      </c>
      <c r="E1722" s="3">
        <v>-267.973</v>
      </c>
      <c r="F1722" s="4" t="str">
        <f>HYPERLINK("http://141.218.60.56/~jnz1568/getInfo.php?workbook=10_05.xlsx&amp;sheet=A0&amp;row=1722&amp;col=6&amp;number=32500&amp;sourceID=14","32500")</f>
        <v>32500</v>
      </c>
      <c r="G1722" s="4" t="str">
        <f>HYPERLINK("http://141.218.60.56/~jnz1568/getInfo.php?workbook=10_05.xlsx&amp;sheet=A0&amp;row=1722&amp;col=7&amp;number=0&amp;sourceID=14","0")</f>
        <v>0</v>
      </c>
    </row>
    <row r="1723" spans="1:7">
      <c r="A1723" s="3">
        <v>10</v>
      </c>
      <c r="B1723" s="3">
        <v>5</v>
      </c>
      <c r="C1723" s="3">
        <v>180</v>
      </c>
      <c r="D1723" s="3">
        <v>28</v>
      </c>
      <c r="E1723" s="3">
        <v>-267.947</v>
      </c>
      <c r="F1723" s="4" t="str">
        <f>HYPERLINK("http://141.218.60.56/~jnz1568/getInfo.php?workbook=10_05.xlsx&amp;sheet=A0&amp;row=1723&amp;col=6&amp;number=5270&amp;sourceID=14","5270")</f>
        <v>5270</v>
      </c>
      <c r="G1723" s="4" t="str">
        <f>HYPERLINK("http://141.218.60.56/~jnz1568/getInfo.php?workbook=10_05.xlsx&amp;sheet=A0&amp;row=1723&amp;col=7&amp;number=0&amp;sourceID=14","0")</f>
        <v>0</v>
      </c>
    </row>
    <row r="1724" spans="1:7">
      <c r="A1724" s="3">
        <v>10</v>
      </c>
      <c r="B1724" s="3">
        <v>5</v>
      </c>
      <c r="C1724" s="3">
        <v>38</v>
      </c>
      <c r="D1724" s="3">
        <v>29</v>
      </c>
      <c r="E1724" s="3">
        <v>-2748.919</v>
      </c>
      <c r="F1724" s="4" t="str">
        <f>HYPERLINK("http://141.218.60.56/~jnz1568/getInfo.php?workbook=10_05.xlsx&amp;sheet=A0&amp;row=1724&amp;col=6&amp;number=24100000&amp;sourceID=14","24100000")</f>
        <v>24100000</v>
      </c>
      <c r="G1724" s="4" t="str">
        <f>HYPERLINK("http://141.218.60.56/~jnz1568/getInfo.php?workbook=10_05.xlsx&amp;sheet=A0&amp;row=1724&amp;col=7&amp;number=0&amp;sourceID=14","0")</f>
        <v>0</v>
      </c>
    </row>
    <row r="1725" spans="1:7">
      <c r="A1725" s="3">
        <v>10</v>
      </c>
      <c r="B1725" s="3">
        <v>5</v>
      </c>
      <c r="C1725" s="3">
        <v>39</v>
      </c>
      <c r="D1725" s="3">
        <v>29</v>
      </c>
      <c r="E1725" s="3">
        <v>-2728.369</v>
      </c>
      <c r="F1725" s="4" t="str">
        <f>HYPERLINK("http://141.218.60.56/~jnz1568/getInfo.php?workbook=10_05.xlsx&amp;sheet=A0&amp;row=1725&amp;col=6&amp;number=68500000&amp;sourceID=14","68500000")</f>
        <v>68500000</v>
      </c>
      <c r="G1725" s="4" t="str">
        <f>HYPERLINK("http://141.218.60.56/~jnz1568/getInfo.php?workbook=10_05.xlsx&amp;sheet=A0&amp;row=1725&amp;col=7&amp;number=0&amp;sourceID=14","0")</f>
        <v>0</v>
      </c>
    </row>
    <row r="1726" spans="1:7">
      <c r="A1726" s="3">
        <v>10</v>
      </c>
      <c r="B1726" s="3">
        <v>5</v>
      </c>
      <c r="C1726" s="3">
        <v>43</v>
      </c>
      <c r="D1726" s="3">
        <v>29</v>
      </c>
      <c r="E1726" s="3">
        <v>-2075.769</v>
      </c>
      <c r="F1726" s="4" t="str">
        <f>HYPERLINK("http://141.218.60.56/~jnz1568/getInfo.php?workbook=10_05.xlsx&amp;sheet=A0&amp;row=1726&amp;col=6&amp;number=19200000&amp;sourceID=14","19200000")</f>
        <v>19200000</v>
      </c>
      <c r="G1726" s="4" t="str">
        <f>HYPERLINK("http://141.218.60.56/~jnz1568/getInfo.php?workbook=10_05.xlsx&amp;sheet=A0&amp;row=1726&amp;col=7&amp;number=0&amp;sourceID=14","0")</f>
        <v>0</v>
      </c>
    </row>
    <row r="1727" spans="1:7">
      <c r="A1727" s="3">
        <v>10</v>
      </c>
      <c r="B1727" s="3">
        <v>5</v>
      </c>
      <c r="C1727" s="3">
        <v>44</v>
      </c>
      <c r="D1727" s="3">
        <v>29</v>
      </c>
      <c r="E1727" s="3">
        <v>-2071.555</v>
      </c>
      <c r="F1727" s="4" t="str">
        <f>HYPERLINK("http://141.218.60.56/~jnz1568/getInfo.php?workbook=10_05.xlsx&amp;sheet=A0&amp;row=1727&amp;col=6&amp;number=19200000&amp;sourceID=14","19200000")</f>
        <v>19200000</v>
      </c>
      <c r="G1727" s="4" t="str">
        <f>HYPERLINK("http://141.218.60.56/~jnz1568/getInfo.php?workbook=10_05.xlsx&amp;sheet=A0&amp;row=1727&amp;col=7&amp;number=0&amp;sourceID=14","0")</f>
        <v>0</v>
      </c>
    </row>
    <row r="1728" spans="1:7">
      <c r="A1728" s="3">
        <v>10</v>
      </c>
      <c r="B1728" s="3">
        <v>5</v>
      </c>
      <c r="C1728" s="3">
        <v>45</v>
      </c>
      <c r="D1728" s="3">
        <v>29</v>
      </c>
      <c r="E1728" s="3">
        <v>-2067.315</v>
      </c>
      <c r="F1728" s="4" t="str">
        <f>HYPERLINK("http://141.218.60.56/~jnz1568/getInfo.php?workbook=10_05.xlsx&amp;sheet=A0&amp;row=1728&amp;col=6&amp;number=9290000&amp;sourceID=14","9290000")</f>
        <v>9290000</v>
      </c>
      <c r="G1728" s="4" t="str">
        <f>HYPERLINK("http://141.218.60.56/~jnz1568/getInfo.php?workbook=10_05.xlsx&amp;sheet=A0&amp;row=1728&amp;col=7&amp;number=0&amp;sourceID=14","0")</f>
        <v>0</v>
      </c>
    </row>
    <row r="1729" spans="1:7">
      <c r="A1729" s="3">
        <v>10</v>
      </c>
      <c r="B1729" s="3">
        <v>5</v>
      </c>
      <c r="C1729" s="3">
        <v>47</v>
      </c>
      <c r="D1729" s="3">
        <v>29</v>
      </c>
      <c r="E1729" s="3">
        <v>-2003.249</v>
      </c>
      <c r="F1729" s="4" t="str">
        <f>HYPERLINK("http://141.218.60.56/~jnz1568/getInfo.php?workbook=10_05.xlsx&amp;sheet=A0&amp;row=1729&amp;col=6&amp;number=668000&amp;sourceID=14","668000")</f>
        <v>668000</v>
      </c>
      <c r="G1729" s="4" t="str">
        <f>HYPERLINK("http://141.218.60.56/~jnz1568/getInfo.php?workbook=10_05.xlsx&amp;sheet=A0&amp;row=1729&amp;col=7&amp;number=0&amp;sourceID=14","0")</f>
        <v>0</v>
      </c>
    </row>
    <row r="1730" spans="1:7">
      <c r="A1730" s="3">
        <v>10</v>
      </c>
      <c r="B1730" s="3">
        <v>5</v>
      </c>
      <c r="C1730" s="3">
        <v>48</v>
      </c>
      <c r="D1730" s="3">
        <v>29</v>
      </c>
      <c r="E1730" s="3">
        <v>-1994.897</v>
      </c>
      <c r="F1730" s="4" t="str">
        <f>HYPERLINK("http://141.218.60.56/~jnz1568/getInfo.php?workbook=10_05.xlsx&amp;sheet=A0&amp;row=1730&amp;col=6&amp;number=4080000&amp;sourceID=14","4080000")</f>
        <v>4080000</v>
      </c>
      <c r="G1730" s="4" t="str">
        <f>HYPERLINK("http://141.218.60.56/~jnz1568/getInfo.php?workbook=10_05.xlsx&amp;sheet=A0&amp;row=1730&amp;col=7&amp;number=0&amp;sourceID=14","0")</f>
        <v>0</v>
      </c>
    </row>
    <row r="1731" spans="1:7">
      <c r="A1731" s="3">
        <v>10</v>
      </c>
      <c r="B1731" s="3">
        <v>5</v>
      </c>
      <c r="C1731" s="3">
        <v>49</v>
      </c>
      <c r="D1731" s="3">
        <v>29</v>
      </c>
      <c r="E1731" s="3">
        <v>-1868.883</v>
      </c>
      <c r="F1731" s="4" t="str">
        <f>HYPERLINK("http://141.218.60.56/~jnz1568/getInfo.php?workbook=10_05.xlsx&amp;sheet=A0&amp;row=1731&amp;col=6&amp;number=81700&amp;sourceID=14","81700")</f>
        <v>81700</v>
      </c>
      <c r="G1731" s="4" t="str">
        <f>HYPERLINK("http://141.218.60.56/~jnz1568/getInfo.php?workbook=10_05.xlsx&amp;sheet=A0&amp;row=1731&amp;col=7&amp;number=0&amp;sourceID=14","0")</f>
        <v>0</v>
      </c>
    </row>
    <row r="1732" spans="1:7">
      <c r="A1732" s="3">
        <v>10</v>
      </c>
      <c r="B1732" s="3">
        <v>5</v>
      </c>
      <c r="C1732" s="3">
        <v>50</v>
      </c>
      <c r="D1732" s="3">
        <v>29</v>
      </c>
      <c r="E1732" s="3">
        <v>-1858.601</v>
      </c>
      <c r="F1732" s="4" t="str">
        <f>HYPERLINK("http://141.218.60.56/~jnz1568/getInfo.php?workbook=10_05.xlsx&amp;sheet=A0&amp;row=1732&amp;col=6&amp;number=10200000&amp;sourceID=14","10200000")</f>
        <v>10200000</v>
      </c>
      <c r="G1732" s="4" t="str">
        <f>HYPERLINK("http://141.218.60.56/~jnz1568/getInfo.php?workbook=10_05.xlsx&amp;sheet=A0&amp;row=1732&amp;col=7&amp;number=0&amp;sourceID=14","0")</f>
        <v>0</v>
      </c>
    </row>
    <row r="1733" spans="1:7">
      <c r="A1733" s="3">
        <v>10</v>
      </c>
      <c r="B1733" s="3">
        <v>5</v>
      </c>
      <c r="C1733" s="3">
        <v>51</v>
      </c>
      <c r="D1733" s="3">
        <v>29</v>
      </c>
      <c r="E1733" s="3">
        <v>-1849.903</v>
      </c>
      <c r="F1733" s="4" t="str">
        <f>HYPERLINK("http://141.218.60.56/~jnz1568/getInfo.php?workbook=10_05.xlsx&amp;sheet=A0&amp;row=1733&amp;col=6&amp;number=21600000&amp;sourceID=14","21600000")</f>
        <v>21600000</v>
      </c>
      <c r="G1733" s="4" t="str">
        <f>HYPERLINK("http://141.218.60.56/~jnz1568/getInfo.php?workbook=10_05.xlsx&amp;sheet=A0&amp;row=1733&amp;col=7&amp;number=0&amp;sourceID=14","0")</f>
        <v>0</v>
      </c>
    </row>
    <row r="1734" spans="1:7">
      <c r="A1734" s="3">
        <v>10</v>
      </c>
      <c r="B1734" s="3">
        <v>5</v>
      </c>
      <c r="C1734" s="3">
        <v>52</v>
      </c>
      <c r="D1734" s="3">
        <v>29</v>
      </c>
      <c r="E1734" s="3">
        <v>-1609.169</v>
      </c>
      <c r="F1734" s="4" t="str">
        <f>HYPERLINK("http://141.218.60.56/~jnz1568/getInfo.php?workbook=10_05.xlsx&amp;sheet=A0&amp;row=1734&amp;col=6&amp;number=489000&amp;sourceID=14","489000")</f>
        <v>489000</v>
      </c>
      <c r="G1734" s="4" t="str">
        <f>HYPERLINK("http://141.218.60.56/~jnz1568/getInfo.php?workbook=10_05.xlsx&amp;sheet=A0&amp;row=1734&amp;col=7&amp;number=0&amp;sourceID=14","0")</f>
        <v>0</v>
      </c>
    </row>
    <row r="1735" spans="1:7">
      <c r="A1735" s="3">
        <v>10</v>
      </c>
      <c r="B1735" s="3">
        <v>5</v>
      </c>
      <c r="C1735" s="3">
        <v>53</v>
      </c>
      <c r="D1735" s="3">
        <v>29</v>
      </c>
      <c r="E1735" s="3">
        <v>-1607.746</v>
      </c>
      <c r="F1735" s="4" t="str">
        <f>HYPERLINK("http://141.218.60.56/~jnz1568/getInfo.php?workbook=10_05.xlsx&amp;sheet=A0&amp;row=1735&amp;col=6&amp;number=182000&amp;sourceID=14","182000")</f>
        <v>182000</v>
      </c>
      <c r="G1735" s="4" t="str">
        <f>HYPERLINK("http://141.218.60.56/~jnz1568/getInfo.php?workbook=10_05.xlsx&amp;sheet=A0&amp;row=1735&amp;col=7&amp;number=0&amp;sourceID=14","0")</f>
        <v>0</v>
      </c>
    </row>
    <row r="1736" spans="1:7">
      <c r="A1736" s="3">
        <v>10</v>
      </c>
      <c r="B1736" s="3">
        <v>5</v>
      </c>
      <c r="C1736" s="3">
        <v>54</v>
      </c>
      <c r="D1736" s="3">
        <v>29</v>
      </c>
      <c r="E1736" s="3">
        <v>-1474.777</v>
      </c>
      <c r="F1736" s="4" t="str">
        <f>HYPERLINK("http://141.218.60.56/~jnz1568/getInfo.php?workbook=10_05.xlsx&amp;sheet=A0&amp;row=1736&amp;col=6&amp;number=1150&amp;sourceID=14","1150")</f>
        <v>1150</v>
      </c>
      <c r="G1736" s="4" t="str">
        <f>HYPERLINK("http://141.218.60.56/~jnz1568/getInfo.php?workbook=10_05.xlsx&amp;sheet=A0&amp;row=1736&amp;col=7&amp;number=0&amp;sourceID=14","0")</f>
        <v>0</v>
      </c>
    </row>
    <row r="1737" spans="1:7">
      <c r="A1737" s="3">
        <v>10</v>
      </c>
      <c r="B1737" s="3">
        <v>5</v>
      </c>
      <c r="C1737" s="3">
        <v>56</v>
      </c>
      <c r="D1737" s="3">
        <v>29</v>
      </c>
      <c r="E1737" s="3">
        <v>-1349.421</v>
      </c>
      <c r="F1737" s="4" t="str">
        <f>HYPERLINK("http://141.218.60.56/~jnz1568/getInfo.php?workbook=10_05.xlsx&amp;sheet=A0&amp;row=1737&amp;col=6&amp;number=4930000&amp;sourceID=14","4930000")</f>
        <v>4930000</v>
      </c>
      <c r="G1737" s="4" t="str">
        <f>HYPERLINK("http://141.218.60.56/~jnz1568/getInfo.php?workbook=10_05.xlsx&amp;sheet=A0&amp;row=1737&amp;col=7&amp;number=0&amp;sourceID=14","0")</f>
        <v>0</v>
      </c>
    </row>
    <row r="1738" spans="1:7">
      <c r="A1738" s="3">
        <v>10</v>
      </c>
      <c r="B1738" s="3">
        <v>5</v>
      </c>
      <c r="C1738" s="3">
        <v>57</v>
      </c>
      <c r="D1738" s="3">
        <v>29</v>
      </c>
      <c r="E1738" s="3">
        <v>-1342.068</v>
      </c>
      <c r="F1738" s="4" t="str">
        <f>HYPERLINK("http://141.218.60.56/~jnz1568/getInfo.php?workbook=10_05.xlsx&amp;sheet=A0&amp;row=1738&amp;col=6&amp;number=1830000&amp;sourceID=14","1830000")</f>
        <v>1830000</v>
      </c>
      <c r="G1738" s="4" t="str">
        <f>HYPERLINK("http://141.218.60.56/~jnz1568/getInfo.php?workbook=10_05.xlsx&amp;sheet=A0&amp;row=1738&amp;col=7&amp;number=0&amp;sourceID=14","0")</f>
        <v>0</v>
      </c>
    </row>
    <row r="1739" spans="1:7">
      <c r="A1739" s="3">
        <v>10</v>
      </c>
      <c r="B1739" s="3">
        <v>5</v>
      </c>
      <c r="C1739" s="3">
        <v>64</v>
      </c>
      <c r="D1739" s="3">
        <v>29</v>
      </c>
      <c r="E1739" s="3">
        <v>-784.906</v>
      </c>
      <c r="F1739" s="4" t="str">
        <f>HYPERLINK("http://141.218.60.56/~jnz1568/getInfo.php?workbook=10_05.xlsx&amp;sheet=A0&amp;row=1739&amp;col=6&amp;number=159000&amp;sourceID=14","159000")</f>
        <v>159000</v>
      </c>
      <c r="G1739" s="4" t="str">
        <f>HYPERLINK("http://141.218.60.56/~jnz1568/getInfo.php?workbook=10_05.xlsx&amp;sheet=A0&amp;row=1739&amp;col=7&amp;number=0&amp;sourceID=14","0")</f>
        <v>0</v>
      </c>
    </row>
    <row r="1740" spans="1:7">
      <c r="A1740" s="3">
        <v>10</v>
      </c>
      <c r="B1740" s="3">
        <v>5</v>
      </c>
      <c r="C1740" s="3">
        <v>65</v>
      </c>
      <c r="D1740" s="3">
        <v>29</v>
      </c>
      <c r="E1740" s="3">
        <v>-784.161</v>
      </c>
      <c r="F1740" s="4" t="str">
        <f>HYPERLINK("http://141.218.60.56/~jnz1568/getInfo.php?workbook=10_05.xlsx&amp;sheet=A0&amp;row=1740&amp;col=6&amp;number=289000&amp;sourceID=14","289000")</f>
        <v>289000</v>
      </c>
      <c r="G1740" s="4" t="str">
        <f>HYPERLINK("http://141.218.60.56/~jnz1568/getInfo.php?workbook=10_05.xlsx&amp;sheet=A0&amp;row=1740&amp;col=7&amp;number=0&amp;sourceID=14","0")</f>
        <v>0</v>
      </c>
    </row>
    <row r="1741" spans="1:7">
      <c r="A1741" s="3">
        <v>10</v>
      </c>
      <c r="B1741" s="3">
        <v>5</v>
      </c>
      <c r="C1741" s="3">
        <v>68</v>
      </c>
      <c r="D1741" s="3">
        <v>29</v>
      </c>
      <c r="E1741" s="3">
        <v>-694.885</v>
      </c>
      <c r="F1741" s="4" t="str">
        <f>HYPERLINK("http://141.218.60.56/~jnz1568/getInfo.php?workbook=10_05.xlsx&amp;sheet=A0&amp;row=1741&amp;col=6&amp;number=2400&amp;sourceID=14","2400")</f>
        <v>2400</v>
      </c>
      <c r="G1741" s="4" t="str">
        <f>HYPERLINK("http://141.218.60.56/~jnz1568/getInfo.php?workbook=10_05.xlsx&amp;sheet=A0&amp;row=1741&amp;col=7&amp;number=0&amp;sourceID=14","0")</f>
        <v>0</v>
      </c>
    </row>
    <row r="1742" spans="1:7">
      <c r="A1742" s="3">
        <v>10</v>
      </c>
      <c r="B1742" s="3">
        <v>5</v>
      </c>
      <c r="C1742" s="3">
        <v>73</v>
      </c>
      <c r="D1742" s="3">
        <v>29</v>
      </c>
      <c r="E1742" s="3">
        <v>-657.814</v>
      </c>
      <c r="F1742" s="4" t="str">
        <f>HYPERLINK("http://141.218.60.56/~jnz1568/getInfo.php?workbook=10_05.xlsx&amp;sheet=A0&amp;row=1742&amp;col=6&amp;number=175000&amp;sourceID=14","175000")</f>
        <v>175000</v>
      </c>
      <c r="G1742" s="4" t="str">
        <f>HYPERLINK("http://141.218.60.56/~jnz1568/getInfo.php?workbook=10_05.xlsx&amp;sheet=A0&amp;row=1742&amp;col=7&amp;number=0&amp;sourceID=14","0")</f>
        <v>0</v>
      </c>
    </row>
    <row r="1743" spans="1:7">
      <c r="A1743" s="3">
        <v>10</v>
      </c>
      <c r="B1743" s="3">
        <v>5</v>
      </c>
      <c r="C1743" s="3">
        <v>74</v>
      </c>
      <c r="D1743" s="3">
        <v>29</v>
      </c>
      <c r="E1743" s="3">
        <v>-657.291</v>
      </c>
      <c r="F1743" s="4" t="str">
        <f>HYPERLINK("http://141.218.60.56/~jnz1568/getInfo.php?workbook=10_05.xlsx&amp;sheet=A0&amp;row=1743&amp;col=6&amp;number=936000&amp;sourceID=14","936000")</f>
        <v>936000</v>
      </c>
      <c r="G1743" s="4" t="str">
        <f>HYPERLINK("http://141.218.60.56/~jnz1568/getInfo.php?workbook=10_05.xlsx&amp;sheet=A0&amp;row=1743&amp;col=7&amp;number=0&amp;sourceID=14","0")</f>
        <v>0</v>
      </c>
    </row>
    <row r="1744" spans="1:7">
      <c r="A1744" s="3">
        <v>10</v>
      </c>
      <c r="B1744" s="3">
        <v>5</v>
      </c>
      <c r="C1744" s="3">
        <v>75</v>
      </c>
      <c r="D1744" s="3">
        <v>29</v>
      </c>
      <c r="E1744" s="3">
        <v>-648.59</v>
      </c>
      <c r="F1744" s="4" t="str">
        <f>HYPERLINK("http://141.218.60.56/~jnz1568/getInfo.php?workbook=10_05.xlsx&amp;sheet=A0&amp;row=1744&amp;col=6&amp;number=1500000&amp;sourceID=14","1500000")</f>
        <v>1500000</v>
      </c>
      <c r="G1744" s="4" t="str">
        <f>HYPERLINK("http://141.218.60.56/~jnz1568/getInfo.php?workbook=10_05.xlsx&amp;sheet=A0&amp;row=1744&amp;col=7&amp;number=0&amp;sourceID=14","0")</f>
        <v>0</v>
      </c>
    </row>
    <row r="1745" spans="1:7">
      <c r="A1745" s="3">
        <v>10</v>
      </c>
      <c r="B1745" s="3">
        <v>5</v>
      </c>
      <c r="C1745" s="3">
        <v>76</v>
      </c>
      <c r="D1745" s="3">
        <v>29</v>
      </c>
      <c r="E1745" s="3">
        <v>-648.266</v>
      </c>
      <c r="F1745" s="4" t="str">
        <f>HYPERLINK("http://141.218.60.56/~jnz1568/getInfo.php?workbook=10_05.xlsx&amp;sheet=A0&amp;row=1745&amp;col=6&amp;number=245000&amp;sourceID=14","245000")</f>
        <v>245000</v>
      </c>
      <c r="G1745" s="4" t="str">
        <f>HYPERLINK("http://141.218.60.56/~jnz1568/getInfo.php?workbook=10_05.xlsx&amp;sheet=A0&amp;row=1745&amp;col=7&amp;number=0&amp;sourceID=14","0")</f>
        <v>0</v>
      </c>
    </row>
    <row r="1746" spans="1:7">
      <c r="A1746" s="3">
        <v>10</v>
      </c>
      <c r="B1746" s="3">
        <v>5</v>
      </c>
      <c r="C1746" s="3">
        <v>79</v>
      </c>
      <c r="D1746" s="3">
        <v>29</v>
      </c>
      <c r="E1746" s="3">
        <v>-565.337</v>
      </c>
      <c r="F1746" s="4" t="str">
        <f>HYPERLINK("http://141.218.60.56/~jnz1568/getInfo.php?workbook=10_05.xlsx&amp;sheet=A0&amp;row=1746&amp;col=6&amp;number=48900000&amp;sourceID=14","48900000")</f>
        <v>48900000</v>
      </c>
      <c r="G1746" s="4" t="str">
        <f>HYPERLINK("http://141.218.60.56/~jnz1568/getInfo.php?workbook=10_05.xlsx&amp;sheet=A0&amp;row=1746&amp;col=7&amp;number=0&amp;sourceID=14","0")</f>
        <v>0</v>
      </c>
    </row>
    <row r="1747" spans="1:7">
      <c r="A1747" s="3">
        <v>10</v>
      </c>
      <c r="B1747" s="3">
        <v>5</v>
      </c>
      <c r="C1747" s="3">
        <v>82</v>
      </c>
      <c r="D1747" s="3">
        <v>29</v>
      </c>
      <c r="E1747" s="3">
        <v>-546.061</v>
      </c>
      <c r="F1747" s="4" t="str">
        <f>HYPERLINK("http://141.218.60.56/~jnz1568/getInfo.php?workbook=10_05.xlsx&amp;sheet=A0&amp;row=1747&amp;col=6&amp;number=1570000000&amp;sourceID=14","1570000000")</f>
        <v>1570000000</v>
      </c>
      <c r="G1747" s="4" t="str">
        <f>HYPERLINK("http://141.218.60.56/~jnz1568/getInfo.php?workbook=10_05.xlsx&amp;sheet=A0&amp;row=1747&amp;col=7&amp;number=0&amp;sourceID=14","0")</f>
        <v>0</v>
      </c>
    </row>
    <row r="1748" spans="1:7">
      <c r="A1748" s="3">
        <v>10</v>
      </c>
      <c r="B1748" s="3">
        <v>5</v>
      </c>
      <c r="C1748" s="3">
        <v>83</v>
      </c>
      <c r="D1748" s="3">
        <v>29</v>
      </c>
      <c r="E1748" s="3">
        <v>-545.245</v>
      </c>
      <c r="F1748" s="4" t="str">
        <f>HYPERLINK("http://141.218.60.56/~jnz1568/getInfo.php?workbook=10_05.xlsx&amp;sheet=A0&amp;row=1748&amp;col=6&amp;number=1120000000&amp;sourceID=14","1120000000")</f>
        <v>1120000000</v>
      </c>
      <c r="G1748" s="4" t="str">
        <f>HYPERLINK("http://141.218.60.56/~jnz1568/getInfo.php?workbook=10_05.xlsx&amp;sheet=A0&amp;row=1748&amp;col=7&amp;number=0&amp;sourceID=14","0")</f>
        <v>0</v>
      </c>
    </row>
    <row r="1749" spans="1:7">
      <c r="A1749" s="3">
        <v>10</v>
      </c>
      <c r="B1749" s="3">
        <v>5</v>
      </c>
      <c r="C1749" s="3">
        <v>84</v>
      </c>
      <c r="D1749" s="3">
        <v>29</v>
      </c>
      <c r="E1749" s="3">
        <v>-543.878</v>
      </c>
      <c r="F1749" s="4" t="str">
        <f>HYPERLINK("http://141.218.60.56/~jnz1568/getInfo.php?workbook=10_05.xlsx&amp;sheet=A0&amp;row=1749&amp;col=6&amp;number=722000000&amp;sourceID=14","722000000")</f>
        <v>722000000</v>
      </c>
      <c r="G1749" s="4" t="str">
        <f>HYPERLINK("http://141.218.60.56/~jnz1568/getInfo.php?workbook=10_05.xlsx&amp;sheet=A0&amp;row=1749&amp;col=7&amp;number=0&amp;sourceID=14","0")</f>
        <v>0</v>
      </c>
    </row>
    <row r="1750" spans="1:7">
      <c r="A1750" s="3">
        <v>10</v>
      </c>
      <c r="B1750" s="3">
        <v>5</v>
      </c>
      <c r="C1750" s="3">
        <v>86</v>
      </c>
      <c r="D1750" s="3">
        <v>29</v>
      </c>
      <c r="E1750" s="3">
        <v>-540.936</v>
      </c>
      <c r="F1750" s="4" t="str">
        <f>HYPERLINK("http://141.218.60.56/~jnz1568/getInfo.php?workbook=10_05.xlsx&amp;sheet=A0&amp;row=1750&amp;col=6&amp;number=1580000&amp;sourceID=14","1580000")</f>
        <v>1580000</v>
      </c>
      <c r="G1750" s="4" t="str">
        <f>HYPERLINK("http://141.218.60.56/~jnz1568/getInfo.php?workbook=10_05.xlsx&amp;sheet=A0&amp;row=1750&amp;col=7&amp;number=0&amp;sourceID=14","0")</f>
        <v>0</v>
      </c>
    </row>
    <row r="1751" spans="1:7">
      <c r="A1751" s="3">
        <v>10</v>
      </c>
      <c r="B1751" s="3">
        <v>5</v>
      </c>
      <c r="C1751" s="3">
        <v>88</v>
      </c>
      <c r="D1751" s="3">
        <v>29</v>
      </c>
      <c r="E1751" s="3">
        <v>-534.469</v>
      </c>
      <c r="F1751" s="4" t="str">
        <f>HYPERLINK("http://141.218.60.56/~jnz1568/getInfo.php?workbook=10_05.xlsx&amp;sheet=A0&amp;row=1751&amp;col=6&amp;number=1290000000&amp;sourceID=14","1290000000")</f>
        <v>1290000000</v>
      </c>
      <c r="G1751" s="4" t="str">
        <f>HYPERLINK("http://141.218.60.56/~jnz1568/getInfo.php?workbook=10_05.xlsx&amp;sheet=A0&amp;row=1751&amp;col=7&amp;number=0&amp;sourceID=14","0")</f>
        <v>0</v>
      </c>
    </row>
    <row r="1752" spans="1:7">
      <c r="A1752" s="3">
        <v>10</v>
      </c>
      <c r="B1752" s="3">
        <v>5</v>
      </c>
      <c r="C1752" s="3">
        <v>89</v>
      </c>
      <c r="D1752" s="3">
        <v>29</v>
      </c>
      <c r="E1752" s="3">
        <v>-533.405</v>
      </c>
      <c r="F1752" s="4" t="str">
        <f>HYPERLINK("http://141.218.60.56/~jnz1568/getInfo.php?workbook=10_05.xlsx&amp;sheet=A0&amp;row=1752&amp;col=6&amp;number=930000000&amp;sourceID=14","930000000")</f>
        <v>930000000</v>
      </c>
      <c r="G1752" s="4" t="str">
        <f>HYPERLINK("http://141.218.60.56/~jnz1568/getInfo.php?workbook=10_05.xlsx&amp;sheet=A0&amp;row=1752&amp;col=7&amp;number=0&amp;sourceID=14","0")</f>
        <v>0</v>
      </c>
    </row>
    <row r="1753" spans="1:7">
      <c r="A1753" s="3">
        <v>10</v>
      </c>
      <c r="B1753" s="3">
        <v>5</v>
      </c>
      <c r="C1753" s="3">
        <v>90</v>
      </c>
      <c r="D1753" s="3">
        <v>29</v>
      </c>
      <c r="E1753" s="3">
        <v>-531.786</v>
      </c>
      <c r="F1753" s="4" t="str">
        <f>HYPERLINK("http://141.218.60.56/~jnz1568/getInfo.php?workbook=10_05.xlsx&amp;sheet=A0&amp;row=1753&amp;col=6&amp;number=64300000&amp;sourceID=14","64300000")</f>
        <v>64300000</v>
      </c>
      <c r="G1753" s="4" t="str">
        <f>HYPERLINK("http://141.218.60.56/~jnz1568/getInfo.php?workbook=10_05.xlsx&amp;sheet=A0&amp;row=1753&amp;col=7&amp;number=0&amp;sourceID=14","0")</f>
        <v>0</v>
      </c>
    </row>
    <row r="1754" spans="1:7">
      <c r="A1754" s="3">
        <v>10</v>
      </c>
      <c r="B1754" s="3">
        <v>5</v>
      </c>
      <c r="C1754" s="3">
        <v>91</v>
      </c>
      <c r="D1754" s="3">
        <v>29</v>
      </c>
      <c r="E1754" s="3">
        <v>-510.4</v>
      </c>
      <c r="F1754" s="4" t="str">
        <f>HYPERLINK("http://141.218.60.56/~jnz1568/getInfo.php?workbook=10_05.xlsx&amp;sheet=A0&amp;row=1754&amp;col=6&amp;number=25600&amp;sourceID=14","25600")</f>
        <v>25600</v>
      </c>
      <c r="G1754" s="4" t="str">
        <f>HYPERLINK("http://141.218.60.56/~jnz1568/getInfo.php?workbook=10_05.xlsx&amp;sheet=A0&amp;row=1754&amp;col=7&amp;number=0&amp;sourceID=14","0")</f>
        <v>0</v>
      </c>
    </row>
    <row r="1755" spans="1:7">
      <c r="A1755" s="3">
        <v>10</v>
      </c>
      <c r="B1755" s="3">
        <v>5</v>
      </c>
      <c r="C1755" s="3">
        <v>92</v>
      </c>
      <c r="D1755" s="3">
        <v>29</v>
      </c>
      <c r="E1755" s="3">
        <v>-508.237</v>
      </c>
      <c r="F1755" s="4" t="str">
        <f>HYPERLINK("http://141.218.60.56/~jnz1568/getInfo.php?workbook=10_05.xlsx&amp;sheet=A0&amp;row=1755&amp;col=6&amp;number=8390000&amp;sourceID=14","8390000")</f>
        <v>8390000</v>
      </c>
      <c r="G1755" s="4" t="str">
        <f>HYPERLINK("http://141.218.60.56/~jnz1568/getInfo.php?workbook=10_05.xlsx&amp;sheet=A0&amp;row=1755&amp;col=7&amp;number=0&amp;sourceID=14","0")</f>
        <v>0</v>
      </c>
    </row>
    <row r="1756" spans="1:7">
      <c r="A1756" s="3">
        <v>10</v>
      </c>
      <c r="B1756" s="3">
        <v>5</v>
      </c>
      <c r="C1756" s="3">
        <v>93</v>
      </c>
      <c r="D1756" s="3">
        <v>29</v>
      </c>
      <c r="E1756" s="3">
        <v>-488.958</v>
      </c>
      <c r="F1756" s="4" t="str">
        <f>HYPERLINK("http://141.218.60.56/~jnz1568/getInfo.php?workbook=10_05.xlsx&amp;sheet=A0&amp;row=1756&amp;col=6&amp;number=15000000&amp;sourceID=14","15000000")</f>
        <v>15000000</v>
      </c>
      <c r="G1756" s="4" t="str">
        <f>HYPERLINK("http://141.218.60.56/~jnz1568/getInfo.php?workbook=10_05.xlsx&amp;sheet=A0&amp;row=1756&amp;col=7&amp;number=0&amp;sourceID=14","0")</f>
        <v>0</v>
      </c>
    </row>
    <row r="1757" spans="1:7">
      <c r="A1757" s="3">
        <v>10</v>
      </c>
      <c r="B1757" s="3">
        <v>5</v>
      </c>
      <c r="C1757" s="3">
        <v>94</v>
      </c>
      <c r="D1757" s="3">
        <v>29</v>
      </c>
      <c r="E1757" s="3">
        <v>-488.59</v>
      </c>
      <c r="F1757" s="4" t="str">
        <f>HYPERLINK("http://141.218.60.56/~jnz1568/getInfo.php?workbook=10_05.xlsx&amp;sheet=A0&amp;row=1757&amp;col=6&amp;number=28400000&amp;sourceID=14","28400000")</f>
        <v>28400000</v>
      </c>
      <c r="G1757" s="4" t="str">
        <f>HYPERLINK("http://141.218.60.56/~jnz1568/getInfo.php?workbook=10_05.xlsx&amp;sheet=A0&amp;row=1757&amp;col=7&amp;number=0&amp;sourceID=14","0")</f>
        <v>0</v>
      </c>
    </row>
    <row r="1758" spans="1:7">
      <c r="A1758" s="3">
        <v>10</v>
      </c>
      <c r="B1758" s="3">
        <v>5</v>
      </c>
      <c r="C1758" s="3">
        <v>95</v>
      </c>
      <c r="D1758" s="3">
        <v>29</v>
      </c>
      <c r="E1758" s="3">
        <v>-480.856</v>
      </c>
      <c r="F1758" s="4" t="str">
        <f>HYPERLINK("http://141.218.60.56/~jnz1568/getInfo.php?workbook=10_05.xlsx&amp;sheet=A0&amp;row=1758&amp;col=6&amp;number=18500&amp;sourceID=14","18500")</f>
        <v>18500</v>
      </c>
      <c r="G1758" s="4" t="str">
        <f>HYPERLINK("http://141.218.60.56/~jnz1568/getInfo.php?workbook=10_05.xlsx&amp;sheet=A0&amp;row=1758&amp;col=7&amp;number=0&amp;sourceID=14","0")</f>
        <v>0</v>
      </c>
    </row>
    <row r="1759" spans="1:7">
      <c r="A1759" s="3">
        <v>10</v>
      </c>
      <c r="B1759" s="3">
        <v>5</v>
      </c>
      <c r="C1759" s="3">
        <v>96</v>
      </c>
      <c r="D1759" s="3">
        <v>29</v>
      </c>
      <c r="E1759" s="3">
        <v>-459.285</v>
      </c>
      <c r="F1759" s="4" t="str">
        <f>HYPERLINK("http://141.218.60.56/~jnz1568/getInfo.php?workbook=10_05.xlsx&amp;sheet=A0&amp;row=1759&amp;col=6&amp;number=21300&amp;sourceID=14","21300")</f>
        <v>21300</v>
      </c>
      <c r="G1759" s="4" t="str">
        <f>HYPERLINK("http://141.218.60.56/~jnz1568/getInfo.php?workbook=10_05.xlsx&amp;sheet=A0&amp;row=1759&amp;col=7&amp;number=0&amp;sourceID=14","0")</f>
        <v>0</v>
      </c>
    </row>
    <row r="1760" spans="1:7">
      <c r="A1760" s="3">
        <v>10</v>
      </c>
      <c r="B1760" s="3">
        <v>5</v>
      </c>
      <c r="C1760" s="3">
        <v>98</v>
      </c>
      <c r="D1760" s="3">
        <v>29</v>
      </c>
      <c r="E1760" s="3">
        <v>-451.762</v>
      </c>
      <c r="F1760" s="4" t="str">
        <f>HYPERLINK("http://141.218.60.56/~jnz1568/getInfo.php?workbook=10_05.xlsx&amp;sheet=A0&amp;row=1760&amp;col=6&amp;number=1170000000&amp;sourceID=14","1170000000")</f>
        <v>1170000000</v>
      </c>
      <c r="G1760" s="4" t="str">
        <f>HYPERLINK("http://141.218.60.56/~jnz1568/getInfo.php?workbook=10_05.xlsx&amp;sheet=A0&amp;row=1760&amp;col=7&amp;number=0&amp;sourceID=14","0")</f>
        <v>0</v>
      </c>
    </row>
    <row r="1761" spans="1:7">
      <c r="A1761" s="3">
        <v>10</v>
      </c>
      <c r="B1761" s="3">
        <v>5</v>
      </c>
      <c r="C1761" s="3">
        <v>101</v>
      </c>
      <c r="D1761" s="3">
        <v>29</v>
      </c>
      <c r="E1761" s="3">
        <v>-450.888</v>
      </c>
      <c r="F1761" s="4" t="str">
        <f>HYPERLINK("http://141.218.60.56/~jnz1568/getInfo.php?workbook=10_05.xlsx&amp;sheet=A0&amp;row=1761&amp;col=6&amp;number=677000000&amp;sourceID=14","677000000")</f>
        <v>677000000</v>
      </c>
      <c r="G1761" s="4" t="str">
        <f>HYPERLINK("http://141.218.60.56/~jnz1568/getInfo.php?workbook=10_05.xlsx&amp;sheet=A0&amp;row=1761&amp;col=7&amp;number=0&amp;sourceID=14","0")</f>
        <v>0</v>
      </c>
    </row>
    <row r="1762" spans="1:7">
      <c r="A1762" s="3">
        <v>10</v>
      </c>
      <c r="B1762" s="3">
        <v>5</v>
      </c>
      <c r="C1762" s="3">
        <v>103</v>
      </c>
      <c r="D1762" s="3">
        <v>29</v>
      </c>
      <c r="E1762" s="3">
        <v>-449.384</v>
      </c>
      <c r="F1762" s="4" t="str">
        <f>HYPERLINK("http://141.218.60.56/~jnz1568/getInfo.php?workbook=10_05.xlsx&amp;sheet=A0&amp;row=1762&amp;col=6&amp;number=40500000&amp;sourceID=14","40500000")</f>
        <v>40500000</v>
      </c>
      <c r="G1762" s="4" t="str">
        <f>HYPERLINK("http://141.218.60.56/~jnz1568/getInfo.php?workbook=10_05.xlsx&amp;sheet=A0&amp;row=1762&amp;col=7&amp;number=0&amp;sourceID=14","0")</f>
        <v>0</v>
      </c>
    </row>
    <row r="1763" spans="1:7">
      <c r="A1763" s="3">
        <v>10</v>
      </c>
      <c r="B1763" s="3">
        <v>5</v>
      </c>
      <c r="C1763" s="3">
        <v>110</v>
      </c>
      <c r="D1763" s="3">
        <v>29</v>
      </c>
      <c r="E1763" s="3">
        <v>-436.999</v>
      </c>
      <c r="F1763" s="4" t="str">
        <f>HYPERLINK("http://141.218.60.56/~jnz1568/getInfo.php?workbook=10_05.xlsx&amp;sheet=A0&amp;row=1763&amp;col=6&amp;number=3910000&amp;sourceID=14","3910000")</f>
        <v>3910000</v>
      </c>
      <c r="G1763" s="4" t="str">
        <f>HYPERLINK("http://141.218.60.56/~jnz1568/getInfo.php?workbook=10_05.xlsx&amp;sheet=A0&amp;row=1763&amp;col=7&amp;number=0&amp;sourceID=14","0")</f>
        <v>0</v>
      </c>
    </row>
    <row r="1764" spans="1:7">
      <c r="A1764" s="3">
        <v>10</v>
      </c>
      <c r="B1764" s="3">
        <v>5</v>
      </c>
      <c r="C1764" s="3">
        <v>112</v>
      </c>
      <c r="D1764" s="3">
        <v>29</v>
      </c>
      <c r="E1764" s="3">
        <v>-435.75</v>
      </c>
      <c r="F1764" s="4" t="str">
        <f>HYPERLINK("http://141.218.60.56/~jnz1568/getInfo.php?workbook=10_05.xlsx&amp;sheet=A0&amp;row=1764&amp;col=6&amp;number=25200000&amp;sourceID=14","25200000")</f>
        <v>25200000</v>
      </c>
      <c r="G1764" s="4" t="str">
        <f>HYPERLINK("http://141.218.60.56/~jnz1568/getInfo.php?workbook=10_05.xlsx&amp;sheet=A0&amp;row=1764&amp;col=7&amp;number=0&amp;sourceID=14","0")</f>
        <v>0</v>
      </c>
    </row>
    <row r="1765" spans="1:7">
      <c r="A1765" s="3">
        <v>10</v>
      </c>
      <c r="B1765" s="3">
        <v>5</v>
      </c>
      <c r="C1765" s="3">
        <v>113</v>
      </c>
      <c r="D1765" s="3">
        <v>29</v>
      </c>
      <c r="E1765" s="3">
        <v>-434.33</v>
      </c>
      <c r="F1765" s="4" t="str">
        <f>HYPERLINK("http://141.218.60.56/~jnz1568/getInfo.php?workbook=10_05.xlsx&amp;sheet=A0&amp;row=1765&amp;col=6&amp;number=7400&amp;sourceID=14","7400")</f>
        <v>7400</v>
      </c>
      <c r="G1765" s="4" t="str">
        <f>HYPERLINK("http://141.218.60.56/~jnz1568/getInfo.php?workbook=10_05.xlsx&amp;sheet=A0&amp;row=1765&amp;col=7&amp;number=0&amp;sourceID=14","0")</f>
        <v>0</v>
      </c>
    </row>
    <row r="1766" spans="1:7">
      <c r="A1766" s="3">
        <v>10</v>
      </c>
      <c r="B1766" s="3">
        <v>5</v>
      </c>
      <c r="C1766" s="3">
        <v>114</v>
      </c>
      <c r="D1766" s="3">
        <v>29</v>
      </c>
      <c r="E1766" s="3">
        <v>-434.185</v>
      </c>
      <c r="F1766" s="4" t="str">
        <f>HYPERLINK("http://141.218.60.56/~jnz1568/getInfo.php?workbook=10_05.xlsx&amp;sheet=A0&amp;row=1766&amp;col=6&amp;number=119000&amp;sourceID=14","119000")</f>
        <v>119000</v>
      </c>
      <c r="G1766" s="4" t="str">
        <f>HYPERLINK("http://141.218.60.56/~jnz1568/getInfo.php?workbook=10_05.xlsx&amp;sheet=A0&amp;row=1766&amp;col=7&amp;number=0&amp;sourceID=14","0")</f>
        <v>0</v>
      </c>
    </row>
    <row r="1767" spans="1:7">
      <c r="A1767" s="3">
        <v>10</v>
      </c>
      <c r="B1767" s="3">
        <v>5</v>
      </c>
      <c r="C1767" s="3">
        <v>127</v>
      </c>
      <c r="D1767" s="3">
        <v>29</v>
      </c>
      <c r="E1767" s="3">
        <v>-411.742</v>
      </c>
      <c r="F1767" s="4" t="str">
        <f>HYPERLINK("http://141.218.60.56/~jnz1568/getInfo.php?workbook=10_05.xlsx&amp;sheet=A0&amp;row=1767&amp;col=6&amp;number=5270&amp;sourceID=14","5270")</f>
        <v>5270</v>
      </c>
      <c r="G1767" s="4" t="str">
        <f>HYPERLINK("http://141.218.60.56/~jnz1568/getInfo.php?workbook=10_05.xlsx&amp;sheet=A0&amp;row=1767&amp;col=7&amp;number=0&amp;sourceID=14","0")</f>
        <v>0</v>
      </c>
    </row>
    <row r="1768" spans="1:7">
      <c r="A1768" s="3">
        <v>10</v>
      </c>
      <c r="B1768" s="3">
        <v>5</v>
      </c>
      <c r="C1768" s="3">
        <v>128</v>
      </c>
      <c r="D1768" s="3">
        <v>29</v>
      </c>
      <c r="E1768" s="3">
        <v>-410.982</v>
      </c>
      <c r="F1768" s="4" t="str">
        <f>HYPERLINK("http://141.218.60.56/~jnz1568/getInfo.php?workbook=10_05.xlsx&amp;sheet=A0&amp;row=1768&amp;col=6&amp;number=222000&amp;sourceID=14","222000")</f>
        <v>222000</v>
      </c>
      <c r="G1768" s="4" t="str">
        <f>HYPERLINK("http://141.218.60.56/~jnz1568/getInfo.php?workbook=10_05.xlsx&amp;sheet=A0&amp;row=1768&amp;col=7&amp;number=0&amp;sourceID=14","0")</f>
        <v>0</v>
      </c>
    </row>
    <row r="1769" spans="1:7">
      <c r="A1769" s="3">
        <v>10</v>
      </c>
      <c r="B1769" s="3">
        <v>5</v>
      </c>
      <c r="C1769" s="3">
        <v>134</v>
      </c>
      <c r="D1769" s="3">
        <v>29</v>
      </c>
      <c r="E1769" s="3">
        <v>-403.555</v>
      </c>
      <c r="F1769" s="4" t="str">
        <f>HYPERLINK("http://141.218.60.56/~jnz1568/getInfo.php?workbook=10_05.xlsx&amp;sheet=A0&amp;row=1769&amp;col=6&amp;number=2310000000&amp;sourceID=14","2310000000")</f>
        <v>2310000000</v>
      </c>
      <c r="G1769" s="4" t="str">
        <f>HYPERLINK("http://141.218.60.56/~jnz1568/getInfo.php?workbook=10_05.xlsx&amp;sheet=A0&amp;row=1769&amp;col=7&amp;number=0&amp;sourceID=14","0")</f>
        <v>0</v>
      </c>
    </row>
    <row r="1770" spans="1:7">
      <c r="A1770" s="3">
        <v>10</v>
      </c>
      <c r="B1770" s="3">
        <v>5</v>
      </c>
      <c r="C1770" s="3">
        <v>135</v>
      </c>
      <c r="D1770" s="3">
        <v>29</v>
      </c>
      <c r="E1770" s="3">
        <v>-403.163</v>
      </c>
      <c r="F1770" s="4" t="str">
        <f>HYPERLINK("http://141.218.60.56/~jnz1568/getInfo.php?workbook=10_05.xlsx&amp;sheet=A0&amp;row=1770&amp;col=6&amp;number=6860000000&amp;sourceID=14","6860000000")</f>
        <v>6860000000</v>
      </c>
      <c r="G1770" s="4" t="str">
        <f>HYPERLINK("http://141.218.60.56/~jnz1568/getInfo.php?workbook=10_05.xlsx&amp;sheet=A0&amp;row=1770&amp;col=7&amp;number=0&amp;sourceID=14","0")</f>
        <v>0</v>
      </c>
    </row>
    <row r="1771" spans="1:7">
      <c r="A1771" s="3">
        <v>10</v>
      </c>
      <c r="B1771" s="3">
        <v>5</v>
      </c>
      <c r="C1771" s="3">
        <v>141</v>
      </c>
      <c r="D1771" s="3">
        <v>29</v>
      </c>
      <c r="E1771" s="3">
        <v>-396.032</v>
      </c>
      <c r="F1771" s="4" t="str">
        <f>HYPERLINK("http://141.218.60.56/~jnz1568/getInfo.php?workbook=10_05.xlsx&amp;sheet=A0&amp;row=1771&amp;col=6&amp;number=797000000&amp;sourceID=14","797000000")</f>
        <v>797000000</v>
      </c>
      <c r="G1771" s="4" t="str">
        <f>HYPERLINK("http://141.218.60.56/~jnz1568/getInfo.php?workbook=10_05.xlsx&amp;sheet=A0&amp;row=1771&amp;col=7&amp;number=0&amp;sourceID=14","0")</f>
        <v>0</v>
      </c>
    </row>
    <row r="1772" spans="1:7">
      <c r="A1772" s="3">
        <v>10</v>
      </c>
      <c r="B1772" s="3">
        <v>5</v>
      </c>
      <c r="C1772" s="3">
        <v>142</v>
      </c>
      <c r="D1772" s="3">
        <v>29</v>
      </c>
      <c r="E1772" s="3">
        <v>-395.963</v>
      </c>
      <c r="F1772" s="4" t="str">
        <f>HYPERLINK("http://141.218.60.56/~jnz1568/getInfo.php?workbook=10_05.xlsx&amp;sheet=A0&amp;row=1772&amp;col=6&amp;number=920000000&amp;sourceID=14","920000000")</f>
        <v>920000000</v>
      </c>
      <c r="G1772" s="4" t="str">
        <f>HYPERLINK("http://141.218.60.56/~jnz1568/getInfo.php?workbook=10_05.xlsx&amp;sheet=A0&amp;row=1772&amp;col=7&amp;number=0&amp;sourceID=14","0")</f>
        <v>0</v>
      </c>
    </row>
    <row r="1773" spans="1:7">
      <c r="A1773" s="3">
        <v>10</v>
      </c>
      <c r="B1773" s="3">
        <v>5</v>
      </c>
      <c r="C1773" s="3">
        <v>143</v>
      </c>
      <c r="D1773" s="3">
        <v>29</v>
      </c>
      <c r="E1773" s="3">
        <v>-395.567</v>
      </c>
      <c r="F1773" s="4" t="str">
        <f>HYPERLINK("http://141.218.60.56/~jnz1568/getInfo.php?workbook=10_05.xlsx&amp;sheet=A0&amp;row=1773&amp;col=6&amp;number=245000000&amp;sourceID=14","245000000")</f>
        <v>245000000</v>
      </c>
      <c r="G1773" s="4" t="str">
        <f>HYPERLINK("http://141.218.60.56/~jnz1568/getInfo.php?workbook=10_05.xlsx&amp;sheet=A0&amp;row=1773&amp;col=7&amp;number=0&amp;sourceID=14","0")</f>
        <v>0</v>
      </c>
    </row>
    <row r="1774" spans="1:7">
      <c r="A1774" s="3">
        <v>10</v>
      </c>
      <c r="B1774" s="3">
        <v>5</v>
      </c>
      <c r="C1774" s="3">
        <v>145</v>
      </c>
      <c r="D1774" s="3">
        <v>29</v>
      </c>
      <c r="E1774" s="3">
        <v>-393.858</v>
      </c>
      <c r="F1774" s="4" t="str">
        <f>HYPERLINK("http://141.218.60.56/~jnz1568/getInfo.php?workbook=10_05.xlsx&amp;sheet=A0&amp;row=1774&amp;col=6&amp;number=60500000&amp;sourceID=14","60500000")</f>
        <v>60500000</v>
      </c>
      <c r="G1774" s="4" t="str">
        <f>HYPERLINK("http://141.218.60.56/~jnz1568/getInfo.php?workbook=10_05.xlsx&amp;sheet=A0&amp;row=1774&amp;col=7&amp;number=0&amp;sourceID=14","0")</f>
        <v>0</v>
      </c>
    </row>
    <row r="1775" spans="1:7">
      <c r="A1775" s="3">
        <v>10</v>
      </c>
      <c r="B1775" s="3">
        <v>5</v>
      </c>
      <c r="C1775" s="3">
        <v>146</v>
      </c>
      <c r="D1775" s="3">
        <v>29</v>
      </c>
      <c r="E1775" s="3">
        <v>-393.483</v>
      </c>
      <c r="F1775" s="4" t="str">
        <f>HYPERLINK("http://141.218.60.56/~jnz1568/getInfo.php?workbook=10_05.xlsx&amp;sheet=A0&amp;row=1775&amp;col=6&amp;number=139000000&amp;sourceID=14","139000000")</f>
        <v>139000000</v>
      </c>
      <c r="G1775" s="4" t="str">
        <f>HYPERLINK("http://141.218.60.56/~jnz1568/getInfo.php?workbook=10_05.xlsx&amp;sheet=A0&amp;row=1775&amp;col=7&amp;number=0&amp;sourceID=14","0")</f>
        <v>0</v>
      </c>
    </row>
    <row r="1776" spans="1:7">
      <c r="A1776" s="3">
        <v>10</v>
      </c>
      <c r="B1776" s="3">
        <v>5</v>
      </c>
      <c r="C1776" s="3">
        <v>147</v>
      </c>
      <c r="D1776" s="3">
        <v>29</v>
      </c>
      <c r="E1776" s="3">
        <v>-392.923</v>
      </c>
      <c r="F1776" s="4" t="str">
        <f>HYPERLINK("http://141.218.60.56/~jnz1568/getInfo.php?workbook=10_05.xlsx&amp;sheet=A0&amp;row=1776&amp;col=6&amp;number=1640000&amp;sourceID=14","1640000")</f>
        <v>1640000</v>
      </c>
      <c r="G1776" s="4" t="str">
        <f>HYPERLINK("http://141.218.60.56/~jnz1568/getInfo.php?workbook=10_05.xlsx&amp;sheet=A0&amp;row=1776&amp;col=7&amp;number=0&amp;sourceID=14","0")</f>
        <v>0</v>
      </c>
    </row>
    <row r="1777" spans="1:7">
      <c r="A1777" s="3">
        <v>10</v>
      </c>
      <c r="B1777" s="3">
        <v>5</v>
      </c>
      <c r="C1777" s="3">
        <v>148</v>
      </c>
      <c r="D1777" s="3">
        <v>29</v>
      </c>
      <c r="E1777" s="3">
        <v>-392.772</v>
      </c>
      <c r="F1777" s="4" t="str">
        <f>HYPERLINK("http://141.218.60.56/~jnz1568/getInfo.php?workbook=10_05.xlsx&amp;sheet=A0&amp;row=1777&amp;col=6&amp;number=4460000&amp;sourceID=14","4460000")</f>
        <v>4460000</v>
      </c>
      <c r="G1777" s="4" t="str">
        <f>HYPERLINK("http://141.218.60.56/~jnz1568/getInfo.php?workbook=10_05.xlsx&amp;sheet=A0&amp;row=1777&amp;col=7&amp;number=0&amp;sourceID=14","0")</f>
        <v>0</v>
      </c>
    </row>
    <row r="1778" spans="1:7">
      <c r="A1778" s="3">
        <v>10</v>
      </c>
      <c r="B1778" s="3">
        <v>5</v>
      </c>
      <c r="C1778" s="3">
        <v>149</v>
      </c>
      <c r="D1778" s="3">
        <v>29</v>
      </c>
      <c r="E1778" s="3">
        <v>-392.619</v>
      </c>
      <c r="F1778" s="4" t="str">
        <f>HYPERLINK("http://141.218.60.56/~jnz1568/getInfo.php?workbook=10_05.xlsx&amp;sheet=A0&amp;row=1778&amp;col=6&amp;number=235000000&amp;sourceID=14","235000000")</f>
        <v>235000000</v>
      </c>
      <c r="G1778" s="4" t="str">
        <f>HYPERLINK("http://141.218.60.56/~jnz1568/getInfo.php?workbook=10_05.xlsx&amp;sheet=A0&amp;row=1778&amp;col=7&amp;number=0&amp;sourceID=14","0")</f>
        <v>0</v>
      </c>
    </row>
    <row r="1779" spans="1:7">
      <c r="A1779" s="3">
        <v>10</v>
      </c>
      <c r="B1779" s="3">
        <v>5</v>
      </c>
      <c r="C1779" s="3">
        <v>152</v>
      </c>
      <c r="D1779" s="3">
        <v>29</v>
      </c>
      <c r="E1779" s="3">
        <v>-384.518</v>
      </c>
      <c r="F1779" s="4" t="str">
        <f>HYPERLINK("http://141.218.60.56/~jnz1568/getInfo.php?workbook=10_05.xlsx&amp;sheet=A0&amp;row=1779&amp;col=6&amp;number=2400000&amp;sourceID=14","2400000")</f>
        <v>2400000</v>
      </c>
      <c r="G1779" s="4" t="str">
        <f>HYPERLINK("http://141.218.60.56/~jnz1568/getInfo.php?workbook=10_05.xlsx&amp;sheet=A0&amp;row=1779&amp;col=7&amp;number=0&amp;sourceID=14","0")</f>
        <v>0</v>
      </c>
    </row>
    <row r="1780" spans="1:7">
      <c r="A1780" s="3">
        <v>10</v>
      </c>
      <c r="B1780" s="3">
        <v>5</v>
      </c>
      <c r="C1780" s="3">
        <v>158</v>
      </c>
      <c r="D1780" s="3">
        <v>29</v>
      </c>
      <c r="E1780" s="3">
        <v>-380.727</v>
      </c>
      <c r="F1780" s="4" t="str">
        <f>HYPERLINK("http://141.218.60.56/~jnz1568/getInfo.php?workbook=10_05.xlsx&amp;sheet=A0&amp;row=1780&amp;col=6&amp;number=49700000&amp;sourceID=14","49700000")</f>
        <v>49700000</v>
      </c>
      <c r="G1780" s="4" t="str">
        <f>HYPERLINK("http://141.218.60.56/~jnz1568/getInfo.php?workbook=10_05.xlsx&amp;sheet=A0&amp;row=1780&amp;col=7&amp;number=0&amp;sourceID=14","0")</f>
        <v>0</v>
      </c>
    </row>
    <row r="1781" spans="1:7">
      <c r="A1781" s="3">
        <v>10</v>
      </c>
      <c r="B1781" s="3">
        <v>5</v>
      </c>
      <c r="C1781" s="3">
        <v>159</v>
      </c>
      <c r="D1781" s="3">
        <v>29</v>
      </c>
      <c r="E1781" s="3">
        <v>-380.107</v>
      </c>
      <c r="F1781" s="4" t="str">
        <f>HYPERLINK("http://141.218.60.56/~jnz1568/getInfo.php?workbook=10_05.xlsx&amp;sheet=A0&amp;row=1781&amp;col=6&amp;number=20200000&amp;sourceID=14","20200000")</f>
        <v>20200000</v>
      </c>
      <c r="G1781" s="4" t="str">
        <f>HYPERLINK("http://141.218.60.56/~jnz1568/getInfo.php?workbook=10_05.xlsx&amp;sheet=A0&amp;row=1781&amp;col=7&amp;number=0&amp;sourceID=14","0")</f>
        <v>0</v>
      </c>
    </row>
    <row r="1782" spans="1:7">
      <c r="A1782" s="3">
        <v>10</v>
      </c>
      <c r="B1782" s="3">
        <v>5</v>
      </c>
      <c r="C1782" s="3">
        <v>164</v>
      </c>
      <c r="D1782" s="3">
        <v>29</v>
      </c>
      <c r="E1782" s="3">
        <v>-323.405</v>
      </c>
      <c r="F1782" s="4" t="str">
        <f>HYPERLINK("http://141.218.60.56/~jnz1568/getInfo.php?workbook=10_05.xlsx&amp;sheet=A0&amp;row=1782&amp;col=6&amp;number=316000&amp;sourceID=14","316000")</f>
        <v>316000</v>
      </c>
      <c r="G1782" s="4" t="str">
        <f>HYPERLINK("http://141.218.60.56/~jnz1568/getInfo.php?workbook=10_05.xlsx&amp;sheet=A0&amp;row=1782&amp;col=7&amp;number=0&amp;sourceID=14","0")</f>
        <v>0</v>
      </c>
    </row>
    <row r="1783" spans="1:7">
      <c r="A1783" s="3">
        <v>10</v>
      </c>
      <c r="B1783" s="3">
        <v>5</v>
      </c>
      <c r="C1783" s="3">
        <v>165</v>
      </c>
      <c r="D1783" s="3">
        <v>29</v>
      </c>
      <c r="E1783" s="3">
        <v>-323.262</v>
      </c>
      <c r="F1783" s="4" t="str">
        <f>HYPERLINK("http://141.218.60.56/~jnz1568/getInfo.php?workbook=10_05.xlsx&amp;sheet=A0&amp;row=1783&amp;col=6&amp;number=337000&amp;sourceID=14","337000")</f>
        <v>337000</v>
      </c>
      <c r="G1783" s="4" t="str">
        <f>HYPERLINK("http://141.218.60.56/~jnz1568/getInfo.php?workbook=10_05.xlsx&amp;sheet=A0&amp;row=1783&amp;col=7&amp;number=0&amp;sourceID=14","0")</f>
        <v>0</v>
      </c>
    </row>
    <row r="1784" spans="1:7">
      <c r="A1784" s="3">
        <v>10</v>
      </c>
      <c r="B1784" s="3">
        <v>5</v>
      </c>
      <c r="C1784" s="3">
        <v>166</v>
      </c>
      <c r="D1784" s="3">
        <v>29</v>
      </c>
      <c r="E1784" s="3">
        <v>-297.242</v>
      </c>
      <c r="F1784" s="4" t="str">
        <f>HYPERLINK("http://141.218.60.56/~jnz1568/getInfo.php?workbook=10_05.xlsx&amp;sheet=A0&amp;row=1784&amp;col=6&amp;number=111000&amp;sourceID=14","111000")</f>
        <v>111000</v>
      </c>
      <c r="G1784" s="4" t="str">
        <f>HYPERLINK("http://141.218.60.56/~jnz1568/getInfo.php?workbook=10_05.xlsx&amp;sheet=A0&amp;row=1784&amp;col=7&amp;number=0&amp;sourceID=14","0")</f>
        <v>0</v>
      </c>
    </row>
    <row r="1785" spans="1:7">
      <c r="A1785" s="3">
        <v>10</v>
      </c>
      <c r="B1785" s="3">
        <v>5</v>
      </c>
      <c r="C1785" s="3">
        <v>167</v>
      </c>
      <c r="D1785" s="3">
        <v>29</v>
      </c>
      <c r="E1785" s="3">
        <v>-297.205</v>
      </c>
      <c r="F1785" s="4" t="str">
        <f>HYPERLINK("http://141.218.60.56/~jnz1568/getInfo.php?workbook=10_05.xlsx&amp;sheet=A0&amp;row=1785&amp;col=6&amp;number=220000&amp;sourceID=14","220000")</f>
        <v>220000</v>
      </c>
      <c r="G1785" s="4" t="str">
        <f>HYPERLINK("http://141.218.60.56/~jnz1568/getInfo.php?workbook=10_05.xlsx&amp;sheet=A0&amp;row=1785&amp;col=7&amp;number=0&amp;sourceID=14","0")</f>
        <v>0</v>
      </c>
    </row>
    <row r="1786" spans="1:7">
      <c r="A1786" s="3">
        <v>10</v>
      </c>
      <c r="B1786" s="3">
        <v>5</v>
      </c>
      <c r="C1786" s="3">
        <v>176</v>
      </c>
      <c r="D1786" s="3">
        <v>29</v>
      </c>
      <c r="E1786" s="3">
        <v>-271.78</v>
      </c>
      <c r="F1786" s="4" t="str">
        <f>HYPERLINK("http://141.218.60.56/~jnz1568/getInfo.php?workbook=10_05.xlsx&amp;sheet=A0&amp;row=1786&amp;col=6&amp;number=4600&amp;sourceID=14","4600")</f>
        <v>4600</v>
      </c>
      <c r="G1786" s="4" t="str">
        <f>HYPERLINK("http://141.218.60.56/~jnz1568/getInfo.php?workbook=10_05.xlsx&amp;sheet=A0&amp;row=1786&amp;col=7&amp;number=0&amp;sourceID=14","0")</f>
        <v>0</v>
      </c>
    </row>
    <row r="1787" spans="1:7">
      <c r="A1787" s="3">
        <v>10</v>
      </c>
      <c r="B1787" s="3">
        <v>5</v>
      </c>
      <c r="C1787" s="3">
        <v>177</v>
      </c>
      <c r="D1787" s="3">
        <v>29</v>
      </c>
      <c r="E1787" s="3">
        <v>-271.124</v>
      </c>
      <c r="F1787" s="4" t="str">
        <f>HYPERLINK("http://141.218.60.56/~jnz1568/getInfo.php?workbook=10_05.xlsx&amp;sheet=A0&amp;row=1787&amp;col=6&amp;number=142000&amp;sourceID=14","142000")</f>
        <v>142000</v>
      </c>
      <c r="G1787" s="4" t="str">
        <f>HYPERLINK("http://141.218.60.56/~jnz1568/getInfo.php?workbook=10_05.xlsx&amp;sheet=A0&amp;row=1787&amp;col=7&amp;number=0&amp;sourceID=14","0")</f>
        <v>0</v>
      </c>
    </row>
    <row r="1788" spans="1:7">
      <c r="A1788" s="3">
        <v>10</v>
      </c>
      <c r="B1788" s="3">
        <v>5</v>
      </c>
      <c r="C1788" s="3">
        <v>178</v>
      </c>
      <c r="D1788" s="3">
        <v>29</v>
      </c>
      <c r="E1788" s="3">
        <v>-271.091</v>
      </c>
      <c r="F1788" s="4" t="str">
        <f>HYPERLINK("http://141.218.60.56/~jnz1568/getInfo.php?workbook=10_05.xlsx&amp;sheet=A0&amp;row=1788&amp;col=6&amp;number=816000&amp;sourceID=14","816000")</f>
        <v>816000</v>
      </c>
      <c r="G1788" s="4" t="str">
        <f>HYPERLINK("http://141.218.60.56/~jnz1568/getInfo.php?workbook=10_05.xlsx&amp;sheet=A0&amp;row=1788&amp;col=7&amp;number=0&amp;sourceID=14","0")</f>
        <v>0</v>
      </c>
    </row>
    <row r="1789" spans="1:7">
      <c r="A1789" s="3">
        <v>10</v>
      </c>
      <c r="B1789" s="3">
        <v>5</v>
      </c>
      <c r="C1789" s="3">
        <v>179</v>
      </c>
      <c r="D1789" s="3">
        <v>29</v>
      </c>
      <c r="E1789" s="3">
        <v>-268.147</v>
      </c>
      <c r="F1789" s="4" t="str">
        <f>HYPERLINK("http://141.218.60.56/~jnz1568/getInfo.php?workbook=10_05.xlsx&amp;sheet=A0&amp;row=1789&amp;col=6&amp;number=8630&amp;sourceID=14","8630")</f>
        <v>8630</v>
      </c>
      <c r="G1789" s="4" t="str">
        <f>HYPERLINK("http://141.218.60.56/~jnz1568/getInfo.php?workbook=10_05.xlsx&amp;sheet=A0&amp;row=1789&amp;col=7&amp;number=0&amp;sourceID=14","0")</f>
        <v>0</v>
      </c>
    </row>
    <row r="1790" spans="1:7">
      <c r="A1790" s="3">
        <v>10</v>
      </c>
      <c r="B1790" s="3">
        <v>5</v>
      </c>
      <c r="C1790" s="3">
        <v>180</v>
      </c>
      <c r="D1790" s="3">
        <v>29</v>
      </c>
      <c r="E1790" s="3">
        <v>-268.12</v>
      </c>
      <c r="F1790" s="4" t="str">
        <f>HYPERLINK("http://141.218.60.56/~jnz1568/getInfo.php?workbook=10_05.xlsx&amp;sheet=A0&amp;row=1790&amp;col=6&amp;number=19000&amp;sourceID=14","19000")</f>
        <v>19000</v>
      </c>
      <c r="G1790" s="4" t="str">
        <f>HYPERLINK("http://141.218.60.56/~jnz1568/getInfo.php?workbook=10_05.xlsx&amp;sheet=A0&amp;row=1790&amp;col=7&amp;number=0&amp;sourceID=14","0")</f>
        <v>0</v>
      </c>
    </row>
    <row r="1791" spans="1:7">
      <c r="A1791" s="3">
        <v>10</v>
      </c>
      <c r="B1791" s="3">
        <v>5</v>
      </c>
      <c r="C1791" s="3">
        <v>38</v>
      </c>
      <c r="D1791" s="3">
        <v>30</v>
      </c>
      <c r="E1791" s="3">
        <v>-2781.646</v>
      </c>
      <c r="F1791" s="4" t="str">
        <f>HYPERLINK("http://141.218.60.56/~jnz1568/getInfo.php?workbook=10_05.xlsx&amp;sheet=A0&amp;row=1791&amp;col=6&amp;number=1600000&amp;sourceID=14","1600000")</f>
        <v>1600000</v>
      </c>
      <c r="G1791" s="4" t="str">
        <f>HYPERLINK("http://141.218.60.56/~jnz1568/getInfo.php?workbook=10_05.xlsx&amp;sheet=A0&amp;row=1791&amp;col=7&amp;number=0&amp;sourceID=14","0")</f>
        <v>0</v>
      </c>
    </row>
    <row r="1792" spans="1:7">
      <c r="A1792" s="3">
        <v>10</v>
      </c>
      <c r="B1792" s="3">
        <v>5</v>
      </c>
      <c r="C1792" s="3">
        <v>39</v>
      </c>
      <c r="D1792" s="3">
        <v>30</v>
      </c>
      <c r="E1792" s="3">
        <v>-2760.606</v>
      </c>
      <c r="F1792" s="4" t="str">
        <f>HYPERLINK("http://141.218.60.56/~jnz1568/getInfo.php?workbook=10_05.xlsx&amp;sheet=A0&amp;row=1792&amp;col=6&amp;number=20700000&amp;sourceID=14","20700000")</f>
        <v>20700000</v>
      </c>
      <c r="G1792" s="4" t="str">
        <f>HYPERLINK("http://141.218.60.56/~jnz1568/getInfo.php?workbook=10_05.xlsx&amp;sheet=A0&amp;row=1792&amp;col=7&amp;number=0&amp;sourceID=14","0")</f>
        <v>0</v>
      </c>
    </row>
    <row r="1793" spans="1:7">
      <c r="A1793" s="3">
        <v>10</v>
      </c>
      <c r="B1793" s="3">
        <v>5</v>
      </c>
      <c r="C1793" s="3">
        <v>41</v>
      </c>
      <c r="D1793" s="3">
        <v>30</v>
      </c>
      <c r="E1793" s="3">
        <v>-2732.469</v>
      </c>
      <c r="F1793" s="4" t="str">
        <f>HYPERLINK("http://141.218.60.56/~jnz1568/getInfo.php?workbook=10_05.xlsx&amp;sheet=A0&amp;row=1793&amp;col=6&amp;number=79900000&amp;sourceID=14","79900000")</f>
        <v>79900000</v>
      </c>
      <c r="G1793" s="4" t="str">
        <f>HYPERLINK("http://141.218.60.56/~jnz1568/getInfo.php?workbook=10_05.xlsx&amp;sheet=A0&amp;row=1793&amp;col=7&amp;number=0&amp;sourceID=14","0")</f>
        <v>0</v>
      </c>
    </row>
    <row r="1794" spans="1:7">
      <c r="A1794" s="3">
        <v>10</v>
      </c>
      <c r="B1794" s="3">
        <v>5</v>
      </c>
      <c r="C1794" s="3">
        <v>44</v>
      </c>
      <c r="D1794" s="3">
        <v>30</v>
      </c>
      <c r="E1794" s="3">
        <v>2090.081</v>
      </c>
      <c r="F1794" s="4" t="str">
        <f>HYPERLINK("http://141.218.60.56/~jnz1568/getInfo.php?workbook=10_05.xlsx&amp;sheet=A0&amp;row=1794&amp;col=6&amp;number=12500000&amp;sourceID=14","12500000")</f>
        <v>12500000</v>
      </c>
      <c r="G1794" s="4" t="str">
        <f>HYPERLINK("http://141.218.60.56/~jnz1568/getInfo.php?workbook=10_05.xlsx&amp;sheet=A0&amp;row=1794&amp;col=7&amp;number=0&amp;sourceID=14","0")</f>
        <v>0</v>
      </c>
    </row>
    <row r="1795" spans="1:7">
      <c r="A1795" s="3">
        <v>10</v>
      </c>
      <c r="B1795" s="3">
        <v>5</v>
      </c>
      <c r="C1795" s="3">
        <v>45</v>
      </c>
      <c r="D1795" s="3">
        <v>30</v>
      </c>
      <c r="E1795" s="3">
        <v>2085.722</v>
      </c>
      <c r="F1795" s="4" t="str">
        <f>HYPERLINK("http://141.218.60.56/~jnz1568/getInfo.php?workbook=10_05.xlsx&amp;sheet=A0&amp;row=1795&amp;col=6&amp;number=28200000&amp;sourceID=14","28200000")</f>
        <v>28200000</v>
      </c>
      <c r="G1795" s="4" t="str">
        <f>HYPERLINK("http://141.218.60.56/~jnz1568/getInfo.php?workbook=10_05.xlsx&amp;sheet=A0&amp;row=1795&amp;col=7&amp;number=0&amp;sourceID=14","0")</f>
        <v>0</v>
      </c>
    </row>
    <row r="1796" spans="1:7">
      <c r="A1796" s="3">
        <v>10</v>
      </c>
      <c r="B1796" s="3">
        <v>5</v>
      </c>
      <c r="C1796" s="3">
        <v>46</v>
      </c>
      <c r="D1796" s="3">
        <v>30</v>
      </c>
      <c r="E1796" s="3">
        <v>2072.752</v>
      </c>
      <c r="F1796" s="4" t="str">
        <f>HYPERLINK("http://141.218.60.56/~jnz1568/getInfo.php?workbook=10_05.xlsx&amp;sheet=A0&amp;row=1796&amp;col=6&amp;number=4910000&amp;sourceID=14","4910000")</f>
        <v>4910000</v>
      </c>
      <c r="G1796" s="4" t="str">
        <f>HYPERLINK("http://141.218.60.56/~jnz1568/getInfo.php?workbook=10_05.xlsx&amp;sheet=A0&amp;row=1796&amp;col=7&amp;number=0&amp;sourceID=14","0")</f>
        <v>0</v>
      </c>
    </row>
    <row r="1797" spans="1:7">
      <c r="A1797" s="3">
        <v>10</v>
      </c>
      <c r="B1797" s="3">
        <v>5</v>
      </c>
      <c r="C1797" s="3">
        <v>47</v>
      </c>
      <c r="D1797" s="3">
        <v>30</v>
      </c>
      <c r="E1797" s="3">
        <v>2020.405</v>
      </c>
      <c r="F1797" s="4" t="str">
        <f>HYPERLINK("http://141.218.60.56/~jnz1568/getInfo.php?workbook=10_05.xlsx&amp;sheet=A0&amp;row=1797&amp;col=6&amp;number=161000&amp;sourceID=14","161000")</f>
        <v>161000</v>
      </c>
      <c r="G1797" s="4" t="str">
        <f>HYPERLINK("http://141.218.60.56/~jnz1568/getInfo.php?workbook=10_05.xlsx&amp;sheet=A0&amp;row=1797&amp;col=7&amp;number=0&amp;sourceID=14","0")</f>
        <v>0</v>
      </c>
    </row>
    <row r="1798" spans="1:7">
      <c r="A1798" s="3">
        <v>10</v>
      </c>
      <c r="B1798" s="3">
        <v>5</v>
      </c>
      <c r="C1798" s="3">
        <v>48</v>
      </c>
      <c r="D1798" s="3">
        <v>30</v>
      </c>
      <c r="E1798" s="3">
        <v>2012.274</v>
      </c>
      <c r="F1798" s="4" t="str">
        <f>HYPERLINK("http://141.218.60.56/~jnz1568/getInfo.php?workbook=10_05.xlsx&amp;sheet=A0&amp;row=1798&amp;col=6&amp;number=6970&amp;sourceID=14","6970")</f>
        <v>6970</v>
      </c>
      <c r="G1798" s="4" t="str">
        <f>HYPERLINK("http://141.218.60.56/~jnz1568/getInfo.php?workbook=10_05.xlsx&amp;sheet=A0&amp;row=1798&amp;col=7&amp;number=0&amp;sourceID=14","0")</f>
        <v>0</v>
      </c>
    </row>
    <row r="1799" spans="1:7">
      <c r="A1799" s="3">
        <v>10</v>
      </c>
      <c r="B1799" s="3">
        <v>5</v>
      </c>
      <c r="C1799" s="3">
        <v>49</v>
      </c>
      <c r="D1799" s="3">
        <v>30</v>
      </c>
      <c r="E1799" s="3">
        <v>1884.125</v>
      </c>
      <c r="F1799" s="4" t="str">
        <f>HYPERLINK("http://141.218.60.56/~jnz1568/getInfo.php?workbook=10_05.xlsx&amp;sheet=A0&amp;row=1799&amp;col=6&amp;number=4860000&amp;sourceID=14","4860000")</f>
        <v>4860000</v>
      </c>
      <c r="G1799" s="4" t="str">
        <f>HYPERLINK("http://141.218.60.56/~jnz1568/getInfo.php?workbook=10_05.xlsx&amp;sheet=A0&amp;row=1799&amp;col=7&amp;number=0&amp;sourceID=14","0")</f>
        <v>0</v>
      </c>
    </row>
    <row r="1800" spans="1:7">
      <c r="A1800" s="3">
        <v>10</v>
      </c>
      <c r="B1800" s="3">
        <v>5</v>
      </c>
      <c r="C1800" s="3">
        <v>50</v>
      </c>
      <c r="D1800" s="3">
        <v>30</v>
      </c>
      <c r="E1800" s="3">
        <v>1873.535</v>
      </c>
      <c r="F1800" s="4" t="str">
        <f>HYPERLINK("http://141.218.60.56/~jnz1568/getInfo.php?workbook=10_05.xlsx&amp;sheet=A0&amp;row=1800&amp;col=6&amp;number=27100000&amp;sourceID=14","27100000")</f>
        <v>27100000</v>
      </c>
      <c r="G1800" s="4" t="str">
        <f>HYPERLINK("http://141.218.60.56/~jnz1568/getInfo.php?workbook=10_05.xlsx&amp;sheet=A0&amp;row=1800&amp;col=7&amp;number=0&amp;sourceID=14","0")</f>
        <v>0</v>
      </c>
    </row>
    <row r="1801" spans="1:7">
      <c r="A1801" s="3">
        <v>10</v>
      </c>
      <c r="B1801" s="3">
        <v>5</v>
      </c>
      <c r="C1801" s="3">
        <v>52</v>
      </c>
      <c r="D1801" s="3">
        <v>30</v>
      </c>
      <c r="E1801" s="3">
        <v>1619.826</v>
      </c>
      <c r="F1801" s="4" t="str">
        <f>HYPERLINK("http://141.218.60.56/~jnz1568/getInfo.php?workbook=10_05.xlsx&amp;sheet=A0&amp;row=1801&amp;col=6&amp;number=455&amp;sourceID=14","455")</f>
        <v>455</v>
      </c>
      <c r="G1801" s="4" t="str">
        <f>HYPERLINK("http://141.218.60.56/~jnz1568/getInfo.php?workbook=10_05.xlsx&amp;sheet=A0&amp;row=1801&amp;col=7&amp;number=0&amp;sourceID=14","0")</f>
        <v>0</v>
      </c>
    </row>
    <row r="1802" spans="1:7">
      <c r="A1802" s="3">
        <v>10</v>
      </c>
      <c r="B1802" s="3">
        <v>5</v>
      </c>
      <c r="C1802" s="3">
        <v>54</v>
      </c>
      <c r="D1802" s="3">
        <v>30</v>
      </c>
      <c r="E1802" s="3">
        <v>1484.23</v>
      </c>
      <c r="F1802" s="4" t="str">
        <f>HYPERLINK("http://141.218.60.56/~jnz1568/getInfo.php?workbook=10_05.xlsx&amp;sheet=A0&amp;row=1802&amp;col=6&amp;number=0.202&amp;sourceID=14","0.202")</f>
        <v>0.202</v>
      </c>
      <c r="G1802" s="4" t="str">
        <f>HYPERLINK("http://141.218.60.56/~jnz1568/getInfo.php?workbook=10_05.xlsx&amp;sheet=A0&amp;row=1802&amp;col=7&amp;number=0&amp;sourceID=14","0")</f>
        <v>0</v>
      </c>
    </row>
    <row r="1803" spans="1:7">
      <c r="A1803" s="3">
        <v>10</v>
      </c>
      <c r="B1803" s="3">
        <v>5</v>
      </c>
      <c r="C1803" s="3">
        <v>55</v>
      </c>
      <c r="D1803" s="3">
        <v>30</v>
      </c>
      <c r="E1803" s="3">
        <v>1466.813</v>
      </c>
      <c r="F1803" s="4" t="str">
        <f>HYPERLINK("http://141.218.60.56/~jnz1568/getInfo.php?workbook=10_05.xlsx&amp;sheet=A0&amp;row=1803&amp;col=6&amp;number=2350&amp;sourceID=14","2350")</f>
        <v>2350</v>
      </c>
      <c r="G1803" s="4" t="str">
        <f>HYPERLINK("http://141.218.60.56/~jnz1568/getInfo.php?workbook=10_05.xlsx&amp;sheet=A0&amp;row=1803&amp;col=7&amp;number=0&amp;sourceID=14","0")</f>
        <v>0</v>
      </c>
    </row>
    <row r="1804" spans="1:7">
      <c r="A1804" s="3">
        <v>10</v>
      </c>
      <c r="B1804" s="3">
        <v>5</v>
      </c>
      <c r="C1804" s="3">
        <v>56</v>
      </c>
      <c r="D1804" s="3">
        <v>30</v>
      </c>
      <c r="E1804" s="3">
        <v>1357.313</v>
      </c>
      <c r="F1804" s="4" t="str">
        <f>HYPERLINK("http://141.218.60.56/~jnz1568/getInfo.php?workbook=10_05.xlsx&amp;sheet=A0&amp;row=1804&amp;col=6&amp;number=1760&amp;sourceID=14","1760")</f>
        <v>1760</v>
      </c>
      <c r="G1804" s="4" t="str">
        <f>HYPERLINK("http://141.218.60.56/~jnz1568/getInfo.php?workbook=10_05.xlsx&amp;sheet=A0&amp;row=1804&amp;col=7&amp;number=0&amp;sourceID=14","0")</f>
        <v>0</v>
      </c>
    </row>
    <row r="1805" spans="1:7">
      <c r="A1805" s="3">
        <v>10</v>
      </c>
      <c r="B1805" s="3">
        <v>5</v>
      </c>
      <c r="C1805" s="3">
        <v>65</v>
      </c>
      <c r="D1805" s="3">
        <v>30</v>
      </c>
      <c r="E1805" s="3">
        <v>-786.802</v>
      </c>
      <c r="F1805" s="4" t="str">
        <f>HYPERLINK("http://141.218.60.56/~jnz1568/getInfo.php?workbook=10_05.xlsx&amp;sheet=A0&amp;row=1805&amp;col=6&amp;number=1760&amp;sourceID=14","1760")</f>
        <v>1760</v>
      </c>
      <c r="G1805" s="4" t="str">
        <f>HYPERLINK("http://141.218.60.56/~jnz1568/getInfo.php?workbook=10_05.xlsx&amp;sheet=A0&amp;row=1805&amp;col=7&amp;number=0&amp;sourceID=14","0")</f>
        <v>0</v>
      </c>
    </row>
    <row r="1806" spans="1:7">
      <c r="A1806" s="3">
        <v>10</v>
      </c>
      <c r="B1806" s="3">
        <v>5</v>
      </c>
      <c r="C1806" s="3">
        <v>68</v>
      </c>
      <c r="D1806" s="3">
        <v>30</v>
      </c>
      <c r="E1806" s="3">
        <v>696.986</v>
      </c>
      <c r="F1806" s="4" t="str">
        <f>HYPERLINK("http://141.218.60.56/~jnz1568/getInfo.php?workbook=10_05.xlsx&amp;sheet=A0&amp;row=1806&amp;col=6&amp;number=761&amp;sourceID=14","761")</f>
        <v>761</v>
      </c>
      <c r="G1806" s="4" t="str">
        <f>HYPERLINK("http://141.218.60.56/~jnz1568/getInfo.php?workbook=10_05.xlsx&amp;sheet=A0&amp;row=1806&amp;col=7&amp;number=0&amp;sourceID=14","0")</f>
        <v>0</v>
      </c>
    </row>
    <row r="1807" spans="1:7">
      <c r="A1807" s="3">
        <v>10</v>
      </c>
      <c r="B1807" s="3">
        <v>5</v>
      </c>
      <c r="C1807" s="3">
        <v>69</v>
      </c>
      <c r="D1807" s="3">
        <v>30</v>
      </c>
      <c r="E1807" s="3">
        <v>696.986</v>
      </c>
      <c r="F1807" s="4" t="str">
        <f>HYPERLINK("http://141.218.60.56/~jnz1568/getInfo.php?workbook=10_05.xlsx&amp;sheet=A0&amp;row=1807&amp;col=6&amp;number=8170&amp;sourceID=14","8170")</f>
        <v>8170</v>
      </c>
      <c r="G1807" s="4" t="str">
        <f>HYPERLINK("http://141.218.60.56/~jnz1568/getInfo.php?workbook=10_05.xlsx&amp;sheet=A0&amp;row=1807&amp;col=7&amp;number=0&amp;sourceID=14","0")</f>
        <v>0</v>
      </c>
    </row>
    <row r="1808" spans="1:7">
      <c r="A1808" s="3">
        <v>10</v>
      </c>
      <c r="B1808" s="3">
        <v>5</v>
      </c>
      <c r="C1808" s="3">
        <v>73</v>
      </c>
      <c r="D1808" s="3">
        <v>30</v>
      </c>
      <c r="E1808" s="3">
        <v>659.697</v>
      </c>
      <c r="F1808" s="4" t="str">
        <f>HYPERLINK("http://141.218.60.56/~jnz1568/getInfo.php?workbook=10_05.xlsx&amp;sheet=A0&amp;row=1808&amp;col=6&amp;number=708&amp;sourceID=14","708")</f>
        <v>708</v>
      </c>
      <c r="G1808" s="4" t="str">
        <f>HYPERLINK("http://141.218.60.56/~jnz1568/getInfo.php?workbook=10_05.xlsx&amp;sheet=A0&amp;row=1808&amp;col=7&amp;number=0&amp;sourceID=14","0")</f>
        <v>0</v>
      </c>
    </row>
    <row r="1809" spans="1:7">
      <c r="A1809" s="3">
        <v>10</v>
      </c>
      <c r="B1809" s="3">
        <v>5</v>
      </c>
      <c r="C1809" s="3">
        <v>74</v>
      </c>
      <c r="D1809" s="3">
        <v>30</v>
      </c>
      <c r="E1809" s="3">
        <v>659.175</v>
      </c>
      <c r="F1809" s="4" t="str">
        <f>HYPERLINK("http://141.218.60.56/~jnz1568/getInfo.php?workbook=10_05.xlsx&amp;sheet=A0&amp;row=1809&amp;col=6&amp;number=1200&amp;sourceID=14","1200")</f>
        <v>1200</v>
      </c>
      <c r="G1809" s="4" t="str">
        <f>HYPERLINK("http://141.218.60.56/~jnz1568/getInfo.php?workbook=10_05.xlsx&amp;sheet=A0&amp;row=1809&amp;col=7&amp;number=0&amp;sourceID=14","0")</f>
        <v>0</v>
      </c>
    </row>
    <row r="1810" spans="1:7">
      <c r="A1810" s="3">
        <v>10</v>
      </c>
      <c r="B1810" s="3">
        <v>5</v>
      </c>
      <c r="C1810" s="3">
        <v>76</v>
      </c>
      <c r="D1810" s="3">
        <v>30</v>
      </c>
      <c r="E1810" s="3">
        <v>650.175</v>
      </c>
      <c r="F1810" s="4" t="str">
        <f>HYPERLINK("http://141.218.60.56/~jnz1568/getInfo.php?workbook=10_05.xlsx&amp;sheet=A0&amp;row=1810&amp;col=6&amp;number=173000&amp;sourceID=14","173000")</f>
        <v>173000</v>
      </c>
      <c r="G1810" s="4" t="str">
        <f>HYPERLINK("http://141.218.60.56/~jnz1568/getInfo.php?workbook=10_05.xlsx&amp;sheet=A0&amp;row=1810&amp;col=7&amp;number=0&amp;sourceID=14","0")</f>
        <v>0</v>
      </c>
    </row>
    <row r="1811" spans="1:7">
      <c r="A1811" s="3">
        <v>10</v>
      </c>
      <c r="B1811" s="3">
        <v>5</v>
      </c>
      <c r="C1811" s="3">
        <v>83</v>
      </c>
      <c r="D1811" s="3">
        <v>30</v>
      </c>
      <c r="E1811" s="3">
        <v>544.886</v>
      </c>
      <c r="F1811" s="4" t="str">
        <f>HYPERLINK("http://141.218.60.56/~jnz1568/getInfo.php?workbook=10_05.xlsx&amp;sheet=A0&amp;row=1811&amp;col=6&amp;number=1190000000&amp;sourceID=14","1190000000")</f>
        <v>1190000000</v>
      </c>
      <c r="G1811" s="4" t="str">
        <f>HYPERLINK("http://141.218.60.56/~jnz1568/getInfo.php?workbook=10_05.xlsx&amp;sheet=A0&amp;row=1811&amp;col=7&amp;number=0&amp;sourceID=14","0")</f>
        <v>0</v>
      </c>
    </row>
    <row r="1812" spans="1:7">
      <c r="A1812" s="3">
        <v>10</v>
      </c>
      <c r="B1812" s="3">
        <v>5</v>
      </c>
      <c r="C1812" s="3">
        <v>84</v>
      </c>
      <c r="D1812" s="3">
        <v>30</v>
      </c>
      <c r="E1812" s="3">
        <v>544.886</v>
      </c>
      <c r="F1812" s="4" t="str">
        <f>HYPERLINK("http://141.218.60.56/~jnz1568/getInfo.php?workbook=10_05.xlsx&amp;sheet=A0&amp;row=1812&amp;col=6&amp;number=1690000000&amp;sourceID=14","1690000000")</f>
        <v>1690000000</v>
      </c>
      <c r="G1812" s="4" t="str">
        <f>HYPERLINK("http://141.218.60.56/~jnz1568/getInfo.php?workbook=10_05.xlsx&amp;sheet=A0&amp;row=1812&amp;col=7&amp;number=0&amp;sourceID=14","0")</f>
        <v>0</v>
      </c>
    </row>
    <row r="1813" spans="1:7">
      <c r="A1813" s="3">
        <v>10</v>
      </c>
      <c r="B1813" s="3">
        <v>5</v>
      </c>
      <c r="C1813" s="3">
        <v>85</v>
      </c>
      <c r="D1813" s="3">
        <v>30</v>
      </c>
      <c r="E1813" s="3">
        <v>544.886</v>
      </c>
      <c r="F1813" s="4" t="str">
        <f>HYPERLINK("http://141.218.60.56/~jnz1568/getInfo.php?workbook=10_05.xlsx&amp;sheet=A0&amp;row=1813&amp;col=6&amp;number=472000000&amp;sourceID=14","472000000")</f>
        <v>472000000</v>
      </c>
      <c r="G1813" s="4" t="str">
        <f>HYPERLINK("http://141.218.60.56/~jnz1568/getInfo.php?workbook=10_05.xlsx&amp;sheet=A0&amp;row=1813&amp;col=7&amp;number=0&amp;sourceID=14","0")</f>
        <v>0</v>
      </c>
    </row>
    <row r="1814" spans="1:7">
      <c r="A1814" s="3">
        <v>10</v>
      </c>
      <c r="B1814" s="3">
        <v>5</v>
      </c>
      <c r="C1814" s="3">
        <v>86</v>
      </c>
      <c r="D1814" s="3">
        <v>30</v>
      </c>
      <c r="E1814" s="3">
        <v>-542.192</v>
      </c>
      <c r="F1814" s="4" t="str">
        <f>HYPERLINK("http://141.218.60.56/~jnz1568/getInfo.php?workbook=10_05.xlsx&amp;sheet=A0&amp;row=1814&amp;col=6&amp;number=3980000&amp;sourceID=14","3980000")</f>
        <v>3980000</v>
      </c>
      <c r="G1814" s="4" t="str">
        <f>HYPERLINK("http://141.218.60.56/~jnz1568/getInfo.php?workbook=10_05.xlsx&amp;sheet=A0&amp;row=1814&amp;col=7&amp;number=0&amp;sourceID=14","0")</f>
        <v>0</v>
      </c>
    </row>
    <row r="1815" spans="1:7">
      <c r="A1815" s="3">
        <v>10</v>
      </c>
      <c r="B1815" s="3">
        <v>5</v>
      </c>
      <c r="C1815" s="3">
        <v>87</v>
      </c>
      <c r="D1815" s="3">
        <v>30</v>
      </c>
      <c r="E1815" s="3">
        <v>-542.15</v>
      </c>
      <c r="F1815" s="4" t="str">
        <f>HYPERLINK("http://141.218.60.56/~jnz1568/getInfo.php?workbook=10_05.xlsx&amp;sheet=A0&amp;row=1815&amp;col=6&amp;number=1910000&amp;sourceID=14","1910000")</f>
        <v>1910000</v>
      </c>
      <c r="G1815" s="4" t="str">
        <f>HYPERLINK("http://141.218.60.56/~jnz1568/getInfo.php?workbook=10_05.xlsx&amp;sheet=A0&amp;row=1815&amp;col=7&amp;number=0&amp;sourceID=14","0")</f>
        <v>0</v>
      </c>
    </row>
    <row r="1816" spans="1:7">
      <c r="A1816" s="3">
        <v>10</v>
      </c>
      <c r="B1816" s="3">
        <v>5</v>
      </c>
      <c r="C1816" s="3">
        <v>89</v>
      </c>
      <c r="D1816" s="3">
        <v>30</v>
      </c>
      <c r="E1816" s="3">
        <v>534.631</v>
      </c>
      <c r="F1816" s="4" t="str">
        <f>HYPERLINK("http://141.218.60.56/~jnz1568/getInfo.php?workbook=10_05.xlsx&amp;sheet=A0&amp;row=1816&amp;col=6&amp;number=1590000000&amp;sourceID=14","1590000000")</f>
        <v>1590000000</v>
      </c>
      <c r="G1816" s="4" t="str">
        <f>HYPERLINK("http://141.218.60.56/~jnz1568/getInfo.php?workbook=10_05.xlsx&amp;sheet=A0&amp;row=1816&amp;col=7&amp;number=0&amp;sourceID=14","0")</f>
        <v>0</v>
      </c>
    </row>
    <row r="1817" spans="1:7">
      <c r="A1817" s="3">
        <v>10</v>
      </c>
      <c r="B1817" s="3">
        <v>5</v>
      </c>
      <c r="C1817" s="3">
        <v>90</v>
      </c>
      <c r="D1817" s="3">
        <v>30</v>
      </c>
      <c r="E1817" s="3">
        <v>533.007</v>
      </c>
      <c r="F1817" s="4" t="str">
        <f>HYPERLINK("http://141.218.60.56/~jnz1568/getInfo.php?workbook=10_05.xlsx&amp;sheet=A0&amp;row=1817&amp;col=6&amp;number=554000000&amp;sourceID=14","554000000")</f>
        <v>554000000</v>
      </c>
      <c r="G1817" s="4" t="str">
        <f>HYPERLINK("http://141.218.60.56/~jnz1568/getInfo.php?workbook=10_05.xlsx&amp;sheet=A0&amp;row=1817&amp;col=7&amp;number=0&amp;sourceID=14","0")</f>
        <v>0</v>
      </c>
    </row>
    <row r="1818" spans="1:7">
      <c r="A1818" s="3">
        <v>10</v>
      </c>
      <c r="B1818" s="3">
        <v>5</v>
      </c>
      <c r="C1818" s="3">
        <v>91</v>
      </c>
      <c r="D1818" s="3">
        <v>30</v>
      </c>
      <c r="E1818" s="3">
        <v>-511.518</v>
      </c>
      <c r="F1818" s="4" t="str">
        <f>HYPERLINK("http://141.218.60.56/~jnz1568/getInfo.php?workbook=10_05.xlsx&amp;sheet=A0&amp;row=1818&amp;col=6&amp;number=1310000&amp;sourceID=14","1310000")</f>
        <v>1310000</v>
      </c>
      <c r="G1818" s="4" t="str">
        <f>HYPERLINK("http://141.218.60.56/~jnz1568/getInfo.php?workbook=10_05.xlsx&amp;sheet=A0&amp;row=1818&amp;col=7&amp;number=0&amp;sourceID=14","0")</f>
        <v>0</v>
      </c>
    </row>
    <row r="1819" spans="1:7">
      <c r="A1819" s="3">
        <v>10</v>
      </c>
      <c r="B1819" s="3">
        <v>5</v>
      </c>
      <c r="C1819" s="3">
        <v>92</v>
      </c>
      <c r="D1819" s="3">
        <v>30</v>
      </c>
      <c r="E1819" s="3">
        <v>-509.345</v>
      </c>
      <c r="F1819" s="4" t="str">
        <f>HYPERLINK("http://141.218.60.56/~jnz1568/getInfo.php?workbook=10_05.xlsx&amp;sheet=A0&amp;row=1819&amp;col=6&amp;number=2770000&amp;sourceID=14","2770000")</f>
        <v>2770000</v>
      </c>
      <c r="G1819" s="4" t="str">
        <f>HYPERLINK("http://141.218.60.56/~jnz1568/getInfo.php?workbook=10_05.xlsx&amp;sheet=A0&amp;row=1819&amp;col=7&amp;number=0&amp;sourceID=14","0")</f>
        <v>0</v>
      </c>
    </row>
    <row r="1820" spans="1:7">
      <c r="A1820" s="3">
        <v>10</v>
      </c>
      <c r="B1820" s="3">
        <v>5</v>
      </c>
      <c r="C1820" s="3">
        <v>94</v>
      </c>
      <c r="D1820" s="3">
        <v>30</v>
      </c>
      <c r="E1820" s="3">
        <v>-489.614</v>
      </c>
      <c r="F1820" s="4" t="str">
        <f>HYPERLINK("http://141.218.60.56/~jnz1568/getInfo.php?workbook=10_05.xlsx&amp;sheet=A0&amp;row=1820&amp;col=6&amp;number=234000&amp;sourceID=14","234000")</f>
        <v>234000</v>
      </c>
      <c r="G1820" s="4" t="str">
        <f>HYPERLINK("http://141.218.60.56/~jnz1568/getInfo.php?workbook=10_05.xlsx&amp;sheet=A0&amp;row=1820&amp;col=7&amp;number=0&amp;sourceID=14","0")</f>
        <v>0</v>
      </c>
    </row>
    <row r="1821" spans="1:7">
      <c r="A1821" s="3">
        <v>10</v>
      </c>
      <c r="B1821" s="3">
        <v>5</v>
      </c>
      <c r="C1821" s="3">
        <v>95</v>
      </c>
      <c r="D1821" s="3">
        <v>30</v>
      </c>
      <c r="E1821" s="3">
        <v>488.962</v>
      </c>
      <c r="F1821" s="4" t="str">
        <f>HYPERLINK("http://141.218.60.56/~jnz1568/getInfo.php?workbook=10_05.xlsx&amp;sheet=A0&amp;row=1821&amp;col=6&amp;number=127000&amp;sourceID=14","127000")</f>
        <v>127000</v>
      </c>
      <c r="G1821" s="4" t="str">
        <f>HYPERLINK("http://141.218.60.56/~jnz1568/getInfo.php?workbook=10_05.xlsx&amp;sheet=A0&amp;row=1821&amp;col=7&amp;number=0&amp;sourceID=14","0")</f>
        <v>0</v>
      </c>
    </row>
    <row r="1822" spans="1:7">
      <c r="A1822" s="3">
        <v>10</v>
      </c>
      <c r="B1822" s="3">
        <v>5</v>
      </c>
      <c r="C1822" s="3">
        <v>96</v>
      </c>
      <c r="D1822" s="3">
        <v>30</v>
      </c>
      <c r="E1822" s="3">
        <v>460.183</v>
      </c>
      <c r="F1822" s="4" t="str">
        <f>HYPERLINK("http://141.218.60.56/~jnz1568/getInfo.php?workbook=10_05.xlsx&amp;sheet=A0&amp;row=1822&amp;col=6&amp;number=211000&amp;sourceID=14","211000")</f>
        <v>211000</v>
      </c>
      <c r="G1822" s="4" t="str">
        <f>HYPERLINK("http://141.218.60.56/~jnz1568/getInfo.php?workbook=10_05.xlsx&amp;sheet=A0&amp;row=1822&amp;col=7&amp;number=0&amp;sourceID=14","0")</f>
        <v>0</v>
      </c>
    </row>
    <row r="1823" spans="1:7">
      <c r="A1823" s="3">
        <v>10</v>
      </c>
      <c r="B1823" s="3">
        <v>5</v>
      </c>
      <c r="C1823" s="3">
        <v>97</v>
      </c>
      <c r="D1823" s="3">
        <v>30</v>
      </c>
      <c r="E1823" s="3">
        <v>459.464</v>
      </c>
      <c r="F1823" s="4" t="str">
        <f>HYPERLINK("http://141.218.60.56/~jnz1568/getInfo.php?workbook=10_05.xlsx&amp;sheet=A0&amp;row=1823&amp;col=6&amp;number=1080&amp;sourceID=14","1080")</f>
        <v>1080</v>
      </c>
      <c r="G1823" s="4" t="str">
        <f>HYPERLINK("http://141.218.60.56/~jnz1568/getInfo.php?workbook=10_05.xlsx&amp;sheet=A0&amp;row=1823&amp;col=7&amp;number=0&amp;sourceID=14","0")</f>
        <v>0</v>
      </c>
    </row>
    <row r="1824" spans="1:7">
      <c r="A1824" s="3">
        <v>10</v>
      </c>
      <c r="B1824" s="3">
        <v>5</v>
      </c>
      <c r="C1824" s="3">
        <v>101</v>
      </c>
      <c r="D1824" s="3">
        <v>30</v>
      </c>
      <c r="E1824" s="3">
        <v>-451.76</v>
      </c>
      <c r="F1824" s="4" t="str">
        <f>HYPERLINK("http://141.218.60.56/~jnz1568/getInfo.php?workbook=10_05.xlsx&amp;sheet=A0&amp;row=1824&amp;col=6&amp;number=1470000000&amp;sourceID=14","1470000000")</f>
        <v>1470000000</v>
      </c>
      <c r="G1824" s="4" t="str">
        <f>HYPERLINK("http://141.218.60.56/~jnz1568/getInfo.php?workbook=10_05.xlsx&amp;sheet=A0&amp;row=1824&amp;col=7&amp;number=0&amp;sourceID=14","0")</f>
        <v>0</v>
      </c>
    </row>
    <row r="1825" spans="1:7">
      <c r="A1825" s="3">
        <v>10</v>
      </c>
      <c r="B1825" s="3">
        <v>5</v>
      </c>
      <c r="C1825" s="3">
        <v>103</v>
      </c>
      <c r="D1825" s="3">
        <v>30</v>
      </c>
      <c r="E1825" s="3">
        <v>-450.25</v>
      </c>
      <c r="F1825" s="4" t="str">
        <f>HYPERLINK("http://141.218.60.56/~jnz1568/getInfo.php?workbook=10_05.xlsx&amp;sheet=A0&amp;row=1825&amp;col=6&amp;number=380000000&amp;sourceID=14","380000000")</f>
        <v>380000000</v>
      </c>
      <c r="G1825" s="4" t="str">
        <f>HYPERLINK("http://141.218.60.56/~jnz1568/getInfo.php?workbook=10_05.xlsx&amp;sheet=A0&amp;row=1825&amp;col=7&amp;number=0&amp;sourceID=14","0")</f>
        <v>0</v>
      </c>
    </row>
    <row r="1826" spans="1:7">
      <c r="A1826" s="3">
        <v>10</v>
      </c>
      <c r="B1826" s="3">
        <v>5</v>
      </c>
      <c r="C1826" s="3">
        <v>112</v>
      </c>
      <c r="D1826" s="3">
        <v>30</v>
      </c>
      <c r="E1826" s="3">
        <v>-436.564</v>
      </c>
      <c r="F1826" s="4" t="str">
        <f>HYPERLINK("http://141.218.60.56/~jnz1568/getInfo.php?workbook=10_05.xlsx&amp;sheet=A0&amp;row=1826&amp;col=6&amp;number=1650000&amp;sourceID=14","1650000")</f>
        <v>1650000</v>
      </c>
      <c r="G1826" s="4" t="str">
        <f>HYPERLINK("http://141.218.60.56/~jnz1568/getInfo.php?workbook=10_05.xlsx&amp;sheet=A0&amp;row=1826&amp;col=7&amp;number=0&amp;sourceID=14","0")</f>
        <v>0</v>
      </c>
    </row>
    <row r="1827" spans="1:7">
      <c r="A1827" s="3">
        <v>10</v>
      </c>
      <c r="B1827" s="3">
        <v>5</v>
      </c>
      <c r="C1827" s="3">
        <v>113</v>
      </c>
      <c r="D1827" s="3">
        <v>30</v>
      </c>
      <c r="E1827" s="3">
        <v>435.095</v>
      </c>
      <c r="F1827" s="4" t="str">
        <f>HYPERLINK("http://141.218.60.56/~jnz1568/getInfo.php?workbook=10_05.xlsx&amp;sheet=A0&amp;row=1827&amp;col=6&amp;number=77800&amp;sourceID=14","77800")</f>
        <v>77800</v>
      </c>
      <c r="G1827" s="4" t="str">
        <f>HYPERLINK("http://141.218.60.56/~jnz1568/getInfo.php?workbook=10_05.xlsx&amp;sheet=A0&amp;row=1827&amp;col=7&amp;number=0&amp;sourceID=14","0")</f>
        <v>0</v>
      </c>
    </row>
    <row r="1828" spans="1:7">
      <c r="A1828" s="3">
        <v>10</v>
      </c>
      <c r="B1828" s="3">
        <v>5</v>
      </c>
      <c r="C1828" s="3">
        <v>114</v>
      </c>
      <c r="D1828" s="3">
        <v>30</v>
      </c>
      <c r="E1828" s="3">
        <v>435.095</v>
      </c>
      <c r="F1828" s="4" t="str">
        <f>HYPERLINK("http://141.218.60.56/~jnz1568/getInfo.php?workbook=10_05.xlsx&amp;sheet=A0&amp;row=1828&amp;col=6&amp;number=1930&amp;sourceID=14","1930")</f>
        <v>1930</v>
      </c>
      <c r="G1828" s="4" t="str">
        <f>HYPERLINK("http://141.218.60.56/~jnz1568/getInfo.php?workbook=10_05.xlsx&amp;sheet=A0&amp;row=1828&amp;col=7&amp;number=0&amp;sourceID=14","0")</f>
        <v>0</v>
      </c>
    </row>
    <row r="1829" spans="1:7">
      <c r="A1829" s="3">
        <v>10</v>
      </c>
      <c r="B1829" s="3">
        <v>5</v>
      </c>
      <c r="C1829" s="3">
        <v>128</v>
      </c>
      <c r="D1829" s="3">
        <v>30</v>
      </c>
      <c r="E1829" s="3">
        <v>-411.706</v>
      </c>
      <c r="F1829" s="4" t="str">
        <f>HYPERLINK("http://141.218.60.56/~jnz1568/getInfo.php?workbook=10_05.xlsx&amp;sheet=A0&amp;row=1829&amp;col=6&amp;number=325000&amp;sourceID=14","325000")</f>
        <v>325000</v>
      </c>
      <c r="G1829" s="4" t="str">
        <f>HYPERLINK("http://141.218.60.56/~jnz1568/getInfo.php?workbook=10_05.xlsx&amp;sheet=A0&amp;row=1829&amp;col=7&amp;number=0&amp;sourceID=14","0")</f>
        <v>0</v>
      </c>
    </row>
    <row r="1830" spans="1:7">
      <c r="A1830" s="3">
        <v>10</v>
      </c>
      <c r="B1830" s="3">
        <v>5</v>
      </c>
      <c r="C1830" s="3">
        <v>134</v>
      </c>
      <c r="D1830" s="3">
        <v>30</v>
      </c>
      <c r="E1830" s="3">
        <v>-404.253</v>
      </c>
      <c r="F1830" s="4" t="str">
        <f>HYPERLINK("http://141.218.60.56/~jnz1568/getInfo.php?workbook=10_05.xlsx&amp;sheet=A0&amp;row=1830&amp;col=6&amp;number=144000000&amp;sourceID=14","144000000")</f>
        <v>144000000</v>
      </c>
      <c r="G1830" s="4" t="str">
        <f>HYPERLINK("http://141.218.60.56/~jnz1568/getInfo.php?workbook=10_05.xlsx&amp;sheet=A0&amp;row=1830&amp;col=7&amp;number=0&amp;sourceID=14","0")</f>
        <v>0</v>
      </c>
    </row>
    <row r="1831" spans="1:7">
      <c r="A1831" s="3">
        <v>10</v>
      </c>
      <c r="B1831" s="3">
        <v>5</v>
      </c>
      <c r="C1831" s="3">
        <v>135</v>
      </c>
      <c r="D1831" s="3">
        <v>30</v>
      </c>
      <c r="E1831" s="3">
        <v>-403.86</v>
      </c>
      <c r="F1831" s="4" t="str">
        <f>HYPERLINK("http://141.218.60.56/~jnz1568/getInfo.php?workbook=10_05.xlsx&amp;sheet=A0&amp;row=1831&amp;col=6&amp;number=1940000000&amp;sourceID=14","1940000000")</f>
        <v>1940000000</v>
      </c>
      <c r="G1831" s="4" t="str">
        <f>HYPERLINK("http://141.218.60.56/~jnz1568/getInfo.php?workbook=10_05.xlsx&amp;sheet=A0&amp;row=1831&amp;col=7&amp;number=0&amp;sourceID=14","0")</f>
        <v>0</v>
      </c>
    </row>
    <row r="1832" spans="1:7">
      <c r="A1832" s="3">
        <v>10</v>
      </c>
      <c r="B1832" s="3">
        <v>5</v>
      </c>
      <c r="C1832" s="3">
        <v>136</v>
      </c>
      <c r="D1832" s="3">
        <v>30</v>
      </c>
      <c r="E1832" s="3">
        <v>-403.27</v>
      </c>
      <c r="F1832" s="4" t="str">
        <f>HYPERLINK("http://141.218.60.56/~jnz1568/getInfo.php?workbook=10_05.xlsx&amp;sheet=A0&amp;row=1832&amp;col=6&amp;number=8020000000&amp;sourceID=14","8020000000")</f>
        <v>8020000000</v>
      </c>
      <c r="G1832" s="4" t="str">
        <f>HYPERLINK("http://141.218.60.56/~jnz1568/getInfo.php?workbook=10_05.xlsx&amp;sheet=A0&amp;row=1832&amp;col=7&amp;number=0&amp;sourceID=14","0")</f>
        <v>0</v>
      </c>
    </row>
    <row r="1833" spans="1:7">
      <c r="A1833" s="3">
        <v>10</v>
      </c>
      <c r="B1833" s="3">
        <v>5</v>
      </c>
      <c r="C1833" s="3">
        <v>142</v>
      </c>
      <c r="D1833" s="3">
        <v>30</v>
      </c>
      <c r="E1833" s="3">
        <v>396.629</v>
      </c>
      <c r="F1833" s="4" t="str">
        <f>HYPERLINK("http://141.218.60.56/~jnz1568/getInfo.php?workbook=10_05.xlsx&amp;sheet=A0&amp;row=1833&amp;col=6&amp;number=495000000&amp;sourceID=14","495000000")</f>
        <v>495000000</v>
      </c>
      <c r="G1833" s="4" t="str">
        <f>HYPERLINK("http://141.218.60.56/~jnz1568/getInfo.php?workbook=10_05.xlsx&amp;sheet=A0&amp;row=1833&amp;col=7&amp;number=0&amp;sourceID=14","0")</f>
        <v>0</v>
      </c>
    </row>
    <row r="1834" spans="1:7">
      <c r="A1834" s="3">
        <v>10</v>
      </c>
      <c r="B1834" s="3">
        <v>5</v>
      </c>
      <c r="C1834" s="3">
        <v>143</v>
      </c>
      <c r="D1834" s="3">
        <v>30</v>
      </c>
      <c r="E1834" s="3">
        <v>396.236</v>
      </c>
      <c r="F1834" s="4" t="str">
        <f>HYPERLINK("http://141.218.60.56/~jnz1568/getInfo.php?workbook=10_05.xlsx&amp;sheet=A0&amp;row=1834&amp;col=6&amp;number=1350000000&amp;sourceID=14","1350000000")</f>
        <v>1350000000</v>
      </c>
      <c r="G1834" s="4" t="str">
        <f>HYPERLINK("http://141.218.60.56/~jnz1568/getInfo.php?workbook=10_05.xlsx&amp;sheet=A0&amp;row=1834&amp;col=7&amp;number=0&amp;sourceID=14","0")</f>
        <v>0</v>
      </c>
    </row>
    <row r="1835" spans="1:7">
      <c r="A1835" s="3">
        <v>10</v>
      </c>
      <c r="B1835" s="3">
        <v>5</v>
      </c>
      <c r="C1835" s="3">
        <v>144</v>
      </c>
      <c r="D1835" s="3">
        <v>30</v>
      </c>
      <c r="E1835" s="3">
        <v>395.923</v>
      </c>
      <c r="F1835" s="4" t="str">
        <f>HYPERLINK("http://141.218.60.56/~jnz1568/getInfo.php?workbook=10_05.xlsx&amp;sheet=A0&amp;row=1835&amp;col=6&amp;number=81500000&amp;sourceID=14","81500000")</f>
        <v>81500000</v>
      </c>
      <c r="G1835" s="4" t="str">
        <f>HYPERLINK("http://141.218.60.56/~jnz1568/getInfo.php?workbook=10_05.xlsx&amp;sheet=A0&amp;row=1835&amp;col=7&amp;number=0&amp;sourceID=14","0")</f>
        <v>0</v>
      </c>
    </row>
    <row r="1836" spans="1:7">
      <c r="A1836" s="3">
        <v>10</v>
      </c>
      <c r="B1836" s="3">
        <v>5</v>
      </c>
      <c r="C1836" s="3">
        <v>145</v>
      </c>
      <c r="D1836" s="3">
        <v>30</v>
      </c>
      <c r="E1836" s="3">
        <v>394.501</v>
      </c>
      <c r="F1836" s="4" t="str">
        <f>HYPERLINK("http://141.218.60.56/~jnz1568/getInfo.php?workbook=10_05.xlsx&amp;sheet=A0&amp;row=1836&amp;col=6&amp;number=87600000&amp;sourceID=14","87600000")</f>
        <v>87600000</v>
      </c>
      <c r="G1836" s="4" t="str">
        <f>HYPERLINK("http://141.218.60.56/~jnz1568/getInfo.php?workbook=10_05.xlsx&amp;sheet=A0&amp;row=1836&amp;col=7&amp;number=0&amp;sourceID=14","0")</f>
        <v>0</v>
      </c>
    </row>
    <row r="1837" spans="1:7">
      <c r="A1837" s="3">
        <v>10</v>
      </c>
      <c r="B1837" s="3">
        <v>5</v>
      </c>
      <c r="C1837" s="3">
        <v>146</v>
      </c>
      <c r="D1837" s="3">
        <v>30</v>
      </c>
      <c r="E1837" s="3">
        <v>394.501</v>
      </c>
      <c r="F1837" s="4" t="str">
        <f>HYPERLINK("http://141.218.60.56/~jnz1568/getInfo.php?workbook=10_05.xlsx&amp;sheet=A0&amp;row=1837&amp;col=6&amp;number=7790000&amp;sourceID=14","7790000")</f>
        <v>7790000</v>
      </c>
      <c r="G1837" s="4" t="str">
        <f>HYPERLINK("http://141.218.60.56/~jnz1568/getInfo.php?workbook=10_05.xlsx&amp;sheet=A0&amp;row=1837&amp;col=7&amp;number=0&amp;sourceID=14","0")</f>
        <v>0</v>
      </c>
    </row>
    <row r="1838" spans="1:7">
      <c r="A1838" s="3">
        <v>10</v>
      </c>
      <c r="B1838" s="3">
        <v>5</v>
      </c>
      <c r="C1838" s="3">
        <v>147</v>
      </c>
      <c r="D1838" s="3">
        <v>30</v>
      </c>
      <c r="E1838" s="3">
        <v>393.585</v>
      </c>
      <c r="F1838" s="4" t="str">
        <f>HYPERLINK("http://141.218.60.56/~jnz1568/getInfo.php?workbook=10_05.xlsx&amp;sheet=A0&amp;row=1838&amp;col=6&amp;number=39200000&amp;sourceID=14","39200000")</f>
        <v>39200000</v>
      </c>
      <c r="G1838" s="4" t="str">
        <f>HYPERLINK("http://141.218.60.56/~jnz1568/getInfo.php?workbook=10_05.xlsx&amp;sheet=A0&amp;row=1838&amp;col=7&amp;number=0&amp;sourceID=14","0")</f>
        <v>0</v>
      </c>
    </row>
    <row r="1839" spans="1:7">
      <c r="A1839" s="3">
        <v>10</v>
      </c>
      <c r="B1839" s="3">
        <v>5</v>
      </c>
      <c r="C1839" s="3">
        <v>148</v>
      </c>
      <c r="D1839" s="3">
        <v>30</v>
      </c>
      <c r="E1839" s="3">
        <v>393.43</v>
      </c>
      <c r="F1839" s="4" t="str">
        <f>HYPERLINK("http://141.218.60.56/~jnz1568/getInfo.php?workbook=10_05.xlsx&amp;sheet=A0&amp;row=1839&amp;col=6&amp;number=279000000&amp;sourceID=14","279000000")</f>
        <v>279000000</v>
      </c>
      <c r="G1839" s="4" t="str">
        <f>HYPERLINK("http://141.218.60.56/~jnz1568/getInfo.php?workbook=10_05.xlsx&amp;sheet=A0&amp;row=1839&amp;col=7&amp;number=0&amp;sourceID=14","0")</f>
        <v>0</v>
      </c>
    </row>
    <row r="1840" spans="1:7">
      <c r="A1840" s="3">
        <v>10</v>
      </c>
      <c r="B1840" s="3">
        <v>5</v>
      </c>
      <c r="C1840" s="3">
        <v>152</v>
      </c>
      <c r="D1840" s="3">
        <v>30</v>
      </c>
      <c r="E1840" s="3">
        <v>385.157</v>
      </c>
      <c r="F1840" s="4" t="str">
        <f>HYPERLINK("http://141.218.60.56/~jnz1568/getInfo.php?workbook=10_05.xlsx&amp;sheet=A0&amp;row=1840&amp;col=6&amp;number=122000&amp;sourceID=14","122000")</f>
        <v>122000</v>
      </c>
      <c r="G1840" s="4" t="str">
        <f>HYPERLINK("http://141.218.60.56/~jnz1568/getInfo.php?workbook=10_05.xlsx&amp;sheet=A0&amp;row=1840&amp;col=7&amp;number=0&amp;sourceID=14","0")</f>
        <v>0</v>
      </c>
    </row>
    <row r="1841" spans="1:7">
      <c r="A1841" s="3">
        <v>10</v>
      </c>
      <c r="B1841" s="3">
        <v>5</v>
      </c>
      <c r="C1841" s="3">
        <v>153</v>
      </c>
      <c r="D1841" s="3">
        <v>30</v>
      </c>
      <c r="E1841" s="3">
        <v>383.973</v>
      </c>
      <c r="F1841" s="4" t="str">
        <f>HYPERLINK("http://141.218.60.56/~jnz1568/getInfo.php?workbook=10_05.xlsx&amp;sheet=A0&amp;row=1841&amp;col=6&amp;number=2100000&amp;sourceID=14","2100000")</f>
        <v>2100000</v>
      </c>
      <c r="G1841" s="4" t="str">
        <f>HYPERLINK("http://141.218.60.56/~jnz1568/getInfo.php?workbook=10_05.xlsx&amp;sheet=A0&amp;row=1841&amp;col=7&amp;number=0&amp;sourceID=14","0")</f>
        <v>0</v>
      </c>
    </row>
    <row r="1842" spans="1:7">
      <c r="A1842" s="3">
        <v>10</v>
      </c>
      <c r="B1842" s="3">
        <v>5</v>
      </c>
      <c r="C1842" s="3">
        <v>158</v>
      </c>
      <c r="D1842" s="3">
        <v>30</v>
      </c>
      <c r="E1842" s="3">
        <v>-381.348</v>
      </c>
      <c r="F1842" s="4" t="str">
        <f>HYPERLINK("http://141.218.60.56/~jnz1568/getInfo.php?workbook=10_05.xlsx&amp;sheet=A0&amp;row=1842&amp;col=6&amp;number=70800&amp;sourceID=14","70800")</f>
        <v>70800</v>
      </c>
      <c r="G1842" s="4" t="str">
        <f>HYPERLINK("http://141.218.60.56/~jnz1568/getInfo.php?workbook=10_05.xlsx&amp;sheet=A0&amp;row=1842&amp;col=7&amp;number=0&amp;sourceID=14","0")</f>
        <v>0</v>
      </c>
    </row>
    <row r="1843" spans="1:7">
      <c r="A1843" s="3">
        <v>10</v>
      </c>
      <c r="B1843" s="3">
        <v>5</v>
      </c>
      <c r="C1843" s="3">
        <v>165</v>
      </c>
      <c r="D1843" s="3">
        <v>30</v>
      </c>
      <c r="E1843" s="3">
        <v>-323.71</v>
      </c>
      <c r="F1843" s="4" t="str">
        <f>HYPERLINK("http://141.218.60.56/~jnz1568/getInfo.php?workbook=10_05.xlsx&amp;sheet=A0&amp;row=1843&amp;col=6&amp;number=37800&amp;sourceID=14","37800")</f>
        <v>37800</v>
      </c>
      <c r="G1843" s="4" t="str">
        <f>HYPERLINK("http://141.218.60.56/~jnz1568/getInfo.php?workbook=10_05.xlsx&amp;sheet=A0&amp;row=1843&amp;col=7&amp;number=0&amp;sourceID=14","0")</f>
        <v>0</v>
      </c>
    </row>
    <row r="1844" spans="1:7">
      <c r="A1844" s="3">
        <v>10</v>
      </c>
      <c r="B1844" s="3">
        <v>5</v>
      </c>
      <c r="C1844" s="3">
        <v>167</v>
      </c>
      <c r="D1844" s="3">
        <v>30</v>
      </c>
      <c r="E1844" s="3">
        <v>-297.583</v>
      </c>
      <c r="F1844" s="4" t="str">
        <f>HYPERLINK("http://141.218.60.56/~jnz1568/getInfo.php?workbook=10_05.xlsx&amp;sheet=A0&amp;row=1844&amp;col=6&amp;number=1110&amp;sourceID=14","1110")</f>
        <v>1110</v>
      </c>
      <c r="G1844" s="4" t="str">
        <f>HYPERLINK("http://141.218.60.56/~jnz1568/getInfo.php?workbook=10_05.xlsx&amp;sheet=A0&amp;row=1844&amp;col=7&amp;number=0&amp;sourceID=14","0")</f>
        <v>0</v>
      </c>
    </row>
    <row r="1845" spans="1:7">
      <c r="A1845" s="3">
        <v>10</v>
      </c>
      <c r="B1845" s="3">
        <v>5</v>
      </c>
      <c r="C1845" s="3">
        <v>175</v>
      </c>
      <c r="D1845" s="3">
        <v>30</v>
      </c>
      <c r="E1845" s="3">
        <v>-272.097</v>
      </c>
      <c r="F1845" s="4" t="str">
        <f>HYPERLINK("http://141.218.60.56/~jnz1568/getInfo.php?workbook=10_05.xlsx&amp;sheet=A0&amp;row=1845&amp;col=6&amp;number=3500&amp;sourceID=14","3500")</f>
        <v>3500</v>
      </c>
      <c r="G1845" s="4" t="str">
        <f>HYPERLINK("http://141.218.60.56/~jnz1568/getInfo.php?workbook=10_05.xlsx&amp;sheet=A0&amp;row=1845&amp;col=7&amp;number=0&amp;sourceID=14","0")</f>
        <v>0</v>
      </c>
    </row>
    <row r="1846" spans="1:7">
      <c r="A1846" s="3">
        <v>10</v>
      </c>
      <c r="B1846" s="3">
        <v>5</v>
      </c>
      <c r="C1846" s="3">
        <v>176</v>
      </c>
      <c r="D1846" s="3">
        <v>30</v>
      </c>
      <c r="E1846" s="3">
        <v>-272.097</v>
      </c>
      <c r="F1846" s="4" t="str">
        <f>HYPERLINK("http://141.218.60.56/~jnz1568/getInfo.php?workbook=10_05.xlsx&amp;sheet=A0&amp;row=1846&amp;col=6&amp;number=396&amp;sourceID=14","396")</f>
        <v>396</v>
      </c>
      <c r="G1846" s="4" t="str">
        <f>HYPERLINK("http://141.218.60.56/~jnz1568/getInfo.php?workbook=10_05.xlsx&amp;sheet=A0&amp;row=1846&amp;col=7&amp;number=0&amp;sourceID=14","0")</f>
        <v>0</v>
      </c>
    </row>
    <row r="1847" spans="1:7">
      <c r="A1847" s="3">
        <v>10</v>
      </c>
      <c r="B1847" s="3">
        <v>5</v>
      </c>
      <c r="C1847" s="3">
        <v>177</v>
      </c>
      <c r="D1847" s="3">
        <v>30</v>
      </c>
      <c r="E1847" s="3">
        <v>-271.439</v>
      </c>
      <c r="F1847" s="4" t="str">
        <f>HYPERLINK("http://141.218.60.56/~jnz1568/getInfo.php?workbook=10_05.xlsx&amp;sheet=A0&amp;row=1847&amp;col=6&amp;number=2.39&amp;sourceID=14","2.39")</f>
        <v>2.39</v>
      </c>
      <c r="G1847" s="4" t="str">
        <f>HYPERLINK("http://141.218.60.56/~jnz1568/getInfo.php?workbook=10_05.xlsx&amp;sheet=A0&amp;row=1847&amp;col=7&amp;number=0&amp;sourceID=14","0")</f>
        <v>0</v>
      </c>
    </row>
    <row r="1848" spans="1:7">
      <c r="A1848" s="3">
        <v>10</v>
      </c>
      <c r="B1848" s="3">
        <v>5</v>
      </c>
      <c r="C1848" s="3">
        <v>178</v>
      </c>
      <c r="D1848" s="3">
        <v>30</v>
      </c>
      <c r="E1848" s="3">
        <v>-271.406</v>
      </c>
      <c r="F1848" s="4" t="str">
        <f>HYPERLINK("http://141.218.60.56/~jnz1568/getInfo.php?workbook=10_05.xlsx&amp;sheet=A0&amp;row=1848&amp;col=6&amp;number=82&amp;sourceID=14","82")</f>
        <v>82</v>
      </c>
      <c r="G1848" s="4" t="str">
        <f>HYPERLINK("http://141.218.60.56/~jnz1568/getInfo.php?workbook=10_05.xlsx&amp;sheet=A0&amp;row=1848&amp;col=7&amp;number=0&amp;sourceID=14","0")</f>
        <v>0</v>
      </c>
    </row>
    <row r="1849" spans="1:7">
      <c r="A1849" s="3">
        <v>10</v>
      </c>
      <c r="B1849" s="3">
        <v>5</v>
      </c>
      <c r="C1849" s="3">
        <v>180</v>
      </c>
      <c r="D1849" s="3">
        <v>30</v>
      </c>
      <c r="E1849" s="3">
        <v>-268.428</v>
      </c>
      <c r="F1849" s="4" t="str">
        <f>HYPERLINK("http://141.218.60.56/~jnz1568/getInfo.php?workbook=10_05.xlsx&amp;sheet=A0&amp;row=1849&amp;col=6&amp;number=11.3&amp;sourceID=14","11.3")</f>
        <v>11.3</v>
      </c>
      <c r="G1849" s="4" t="str">
        <f>HYPERLINK("http://141.218.60.56/~jnz1568/getInfo.php?workbook=10_05.xlsx&amp;sheet=A0&amp;row=1849&amp;col=7&amp;number=0&amp;sourceID=14","0")</f>
        <v>0</v>
      </c>
    </row>
    <row r="1850" spans="1:7">
      <c r="A1850" s="3">
        <v>10</v>
      </c>
      <c r="B1850" s="3">
        <v>5</v>
      </c>
      <c r="C1850" s="3">
        <v>39</v>
      </c>
      <c r="D1850" s="3">
        <v>31</v>
      </c>
      <c r="E1850" s="3">
        <v>-2811.679</v>
      </c>
      <c r="F1850" s="4" t="str">
        <f>HYPERLINK("http://141.218.60.56/~jnz1568/getInfo.php?workbook=10_05.xlsx&amp;sheet=A0&amp;row=1850&amp;col=6&amp;number=700000&amp;sourceID=14","700000")</f>
        <v>700000</v>
      </c>
      <c r="G1850" s="4" t="str">
        <f>HYPERLINK("http://141.218.60.56/~jnz1568/getInfo.php?workbook=10_05.xlsx&amp;sheet=A0&amp;row=1850&amp;col=7&amp;number=0&amp;sourceID=14","0")</f>
        <v>0</v>
      </c>
    </row>
    <row r="1851" spans="1:7">
      <c r="A1851" s="3">
        <v>10</v>
      </c>
      <c r="B1851" s="3">
        <v>5</v>
      </c>
      <c r="C1851" s="3">
        <v>41</v>
      </c>
      <c r="D1851" s="3">
        <v>31</v>
      </c>
      <c r="E1851" s="3">
        <v>-2782.498</v>
      </c>
      <c r="F1851" s="4" t="str">
        <f>HYPERLINK("http://141.218.60.56/~jnz1568/getInfo.php?workbook=10_05.xlsx&amp;sheet=A0&amp;row=1851&amp;col=6&amp;number=11500000&amp;sourceID=14","11500000")</f>
        <v>11500000</v>
      </c>
      <c r="G1851" s="4" t="str">
        <f>HYPERLINK("http://141.218.60.56/~jnz1568/getInfo.php?workbook=10_05.xlsx&amp;sheet=A0&amp;row=1851&amp;col=7&amp;number=0&amp;sourceID=14","0")</f>
        <v>0</v>
      </c>
    </row>
    <row r="1852" spans="1:7">
      <c r="A1852" s="3">
        <v>10</v>
      </c>
      <c r="B1852" s="3">
        <v>5</v>
      </c>
      <c r="C1852" s="3">
        <v>42</v>
      </c>
      <c r="D1852" s="3">
        <v>31</v>
      </c>
      <c r="E1852" s="3">
        <v>-2743.941</v>
      </c>
      <c r="F1852" s="4" t="str">
        <f>HYPERLINK("http://141.218.60.56/~jnz1568/getInfo.php?workbook=10_05.xlsx&amp;sheet=A0&amp;row=1852&amp;col=6&amp;number=90900000&amp;sourceID=14","90900000")</f>
        <v>90900000</v>
      </c>
      <c r="G1852" s="4" t="str">
        <f>HYPERLINK("http://141.218.60.56/~jnz1568/getInfo.php?workbook=10_05.xlsx&amp;sheet=A0&amp;row=1852&amp;col=7&amp;number=0&amp;sourceID=14","0")</f>
        <v>0</v>
      </c>
    </row>
    <row r="1853" spans="1:7">
      <c r="A1853" s="3">
        <v>10</v>
      </c>
      <c r="B1853" s="3">
        <v>5</v>
      </c>
      <c r="C1853" s="3">
        <v>45</v>
      </c>
      <c r="D1853" s="3">
        <v>31</v>
      </c>
      <c r="E1853" s="3">
        <v>2114.49</v>
      </c>
      <c r="F1853" s="4" t="str">
        <f>HYPERLINK("http://141.218.60.56/~jnz1568/getInfo.php?workbook=10_05.xlsx&amp;sheet=A0&amp;row=1853&amp;col=6&amp;number=5610000&amp;sourceID=14","5610000")</f>
        <v>5610000</v>
      </c>
      <c r="G1853" s="4" t="str">
        <f>HYPERLINK("http://141.218.60.56/~jnz1568/getInfo.php?workbook=10_05.xlsx&amp;sheet=A0&amp;row=1853&amp;col=7&amp;number=0&amp;sourceID=14","0")</f>
        <v>0</v>
      </c>
    </row>
    <row r="1854" spans="1:7">
      <c r="A1854" s="3">
        <v>10</v>
      </c>
      <c r="B1854" s="3">
        <v>5</v>
      </c>
      <c r="C1854" s="3">
        <v>46</v>
      </c>
      <c r="D1854" s="3">
        <v>31</v>
      </c>
      <c r="E1854" s="3">
        <v>2101.161</v>
      </c>
      <c r="F1854" s="4" t="str">
        <f>HYPERLINK("http://141.218.60.56/~jnz1568/getInfo.php?workbook=10_05.xlsx&amp;sheet=A0&amp;row=1854&amp;col=6&amp;number=38400000&amp;sourceID=14","38400000")</f>
        <v>38400000</v>
      </c>
      <c r="G1854" s="4" t="str">
        <f>HYPERLINK("http://141.218.60.56/~jnz1568/getInfo.php?workbook=10_05.xlsx&amp;sheet=A0&amp;row=1854&amp;col=7&amp;number=0&amp;sourceID=14","0")</f>
        <v>0</v>
      </c>
    </row>
    <row r="1855" spans="1:7">
      <c r="A1855" s="3">
        <v>10</v>
      </c>
      <c r="B1855" s="3">
        <v>5</v>
      </c>
      <c r="C1855" s="3">
        <v>48</v>
      </c>
      <c r="D1855" s="3">
        <v>31</v>
      </c>
      <c r="E1855" s="3">
        <v>2039.039</v>
      </c>
      <c r="F1855" s="4" t="str">
        <f>HYPERLINK("http://141.218.60.56/~jnz1568/getInfo.php?workbook=10_05.xlsx&amp;sheet=A0&amp;row=1855&amp;col=6&amp;number=1160000&amp;sourceID=14","1160000")</f>
        <v>1160000</v>
      </c>
      <c r="G1855" s="4" t="str">
        <f>HYPERLINK("http://141.218.60.56/~jnz1568/getInfo.php?workbook=10_05.xlsx&amp;sheet=A0&amp;row=1855&amp;col=7&amp;number=0&amp;sourceID=14","0")</f>
        <v>0</v>
      </c>
    </row>
    <row r="1856" spans="1:7">
      <c r="A1856" s="3">
        <v>10</v>
      </c>
      <c r="B1856" s="3">
        <v>5</v>
      </c>
      <c r="C1856" s="3">
        <v>49</v>
      </c>
      <c r="D1856" s="3">
        <v>31</v>
      </c>
      <c r="E1856" s="3">
        <v>1907.57</v>
      </c>
      <c r="F1856" s="4" t="str">
        <f>HYPERLINK("http://141.218.60.56/~jnz1568/getInfo.php?workbook=10_05.xlsx&amp;sheet=A0&amp;row=1856&amp;col=6&amp;number=32000000&amp;sourceID=14","32000000")</f>
        <v>32000000</v>
      </c>
      <c r="G1856" s="4" t="str">
        <f>HYPERLINK("http://141.218.60.56/~jnz1568/getInfo.php?workbook=10_05.xlsx&amp;sheet=A0&amp;row=1856&amp;col=7&amp;number=0&amp;sourceID=14","0")</f>
        <v>0</v>
      </c>
    </row>
    <row r="1857" spans="1:7">
      <c r="A1857" s="3">
        <v>10</v>
      </c>
      <c r="B1857" s="3">
        <v>5</v>
      </c>
      <c r="C1857" s="3">
        <v>54</v>
      </c>
      <c r="D1857" s="3">
        <v>31</v>
      </c>
      <c r="E1857" s="3">
        <v>1498.741</v>
      </c>
      <c r="F1857" s="4" t="str">
        <f>HYPERLINK("http://141.218.60.56/~jnz1568/getInfo.php?workbook=10_05.xlsx&amp;sheet=A0&amp;row=1857&amp;col=6&amp;number=88.6&amp;sourceID=14","88.6")</f>
        <v>88.6</v>
      </c>
      <c r="G1857" s="4" t="str">
        <f>HYPERLINK("http://141.218.60.56/~jnz1568/getInfo.php?workbook=10_05.xlsx&amp;sheet=A0&amp;row=1857&amp;col=7&amp;number=0&amp;sourceID=14","0")</f>
        <v>0</v>
      </c>
    </row>
    <row r="1858" spans="1:7">
      <c r="A1858" s="3">
        <v>10</v>
      </c>
      <c r="B1858" s="3">
        <v>5</v>
      </c>
      <c r="C1858" s="3">
        <v>55</v>
      </c>
      <c r="D1858" s="3">
        <v>31</v>
      </c>
      <c r="E1858" s="3">
        <v>1480.984</v>
      </c>
      <c r="F1858" s="4" t="str">
        <f>HYPERLINK("http://141.218.60.56/~jnz1568/getInfo.php?workbook=10_05.xlsx&amp;sheet=A0&amp;row=1858&amp;col=6&amp;number=946&amp;sourceID=14","946")</f>
        <v>946</v>
      </c>
      <c r="G1858" s="4" t="str">
        <f>HYPERLINK("http://141.218.60.56/~jnz1568/getInfo.php?workbook=10_05.xlsx&amp;sheet=A0&amp;row=1858&amp;col=7&amp;number=0&amp;sourceID=14","0")</f>
        <v>0</v>
      </c>
    </row>
    <row r="1859" spans="1:7">
      <c r="A1859" s="3">
        <v>10</v>
      </c>
      <c r="B1859" s="3">
        <v>5</v>
      </c>
      <c r="C1859" s="3">
        <v>68</v>
      </c>
      <c r="D1859" s="3">
        <v>31</v>
      </c>
      <c r="E1859" s="3">
        <v>700.17</v>
      </c>
      <c r="F1859" s="4" t="str">
        <f>HYPERLINK("http://141.218.60.56/~jnz1568/getInfo.php?workbook=10_05.xlsx&amp;sheet=A0&amp;row=1859&amp;col=6&amp;number=512&amp;sourceID=14","512")</f>
        <v>512</v>
      </c>
      <c r="G1859" s="4" t="str">
        <f>HYPERLINK("http://141.218.60.56/~jnz1568/getInfo.php?workbook=10_05.xlsx&amp;sheet=A0&amp;row=1859&amp;col=7&amp;number=0&amp;sourceID=14","0")</f>
        <v>0</v>
      </c>
    </row>
    <row r="1860" spans="1:7">
      <c r="A1860" s="3">
        <v>10</v>
      </c>
      <c r="B1860" s="3">
        <v>5</v>
      </c>
      <c r="C1860" s="3">
        <v>69</v>
      </c>
      <c r="D1860" s="3">
        <v>31</v>
      </c>
      <c r="E1860" s="3">
        <v>700.17</v>
      </c>
      <c r="F1860" s="4" t="str">
        <f>HYPERLINK("http://141.218.60.56/~jnz1568/getInfo.php?workbook=10_05.xlsx&amp;sheet=A0&amp;row=1860&amp;col=6&amp;number=10200&amp;sourceID=14","10200")</f>
        <v>10200</v>
      </c>
      <c r="G1860" s="4" t="str">
        <f>HYPERLINK("http://141.218.60.56/~jnz1568/getInfo.php?workbook=10_05.xlsx&amp;sheet=A0&amp;row=1860&amp;col=7&amp;number=0&amp;sourceID=14","0")</f>
        <v>0</v>
      </c>
    </row>
    <row r="1861" spans="1:7">
      <c r="A1861" s="3">
        <v>10</v>
      </c>
      <c r="B1861" s="3">
        <v>5</v>
      </c>
      <c r="C1861" s="3">
        <v>74</v>
      </c>
      <c r="D1861" s="3">
        <v>31</v>
      </c>
      <c r="E1861" s="3">
        <v>662.021</v>
      </c>
      <c r="F1861" s="4" t="str">
        <f>HYPERLINK("http://141.218.60.56/~jnz1568/getInfo.php?workbook=10_05.xlsx&amp;sheet=A0&amp;row=1861&amp;col=6&amp;number=836&amp;sourceID=14","836")</f>
        <v>836</v>
      </c>
      <c r="G1861" s="4" t="str">
        <f>HYPERLINK("http://141.218.60.56/~jnz1568/getInfo.php?workbook=10_05.xlsx&amp;sheet=A0&amp;row=1861&amp;col=7&amp;number=0&amp;sourceID=14","0")</f>
        <v>0</v>
      </c>
    </row>
    <row r="1862" spans="1:7">
      <c r="A1862" s="3">
        <v>10</v>
      </c>
      <c r="B1862" s="3">
        <v>5</v>
      </c>
      <c r="C1862" s="3">
        <v>84</v>
      </c>
      <c r="D1862" s="3">
        <v>31</v>
      </c>
      <c r="E1862" s="3">
        <v>546.829</v>
      </c>
      <c r="F1862" s="4" t="str">
        <f>HYPERLINK("http://141.218.60.56/~jnz1568/getInfo.php?workbook=10_05.xlsx&amp;sheet=A0&amp;row=1862&amp;col=6&amp;number=697000000&amp;sourceID=14","697000000")</f>
        <v>697000000</v>
      </c>
      <c r="G1862" s="4" t="str">
        <f>HYPERLINK("http://141.218.60.56/~jnz1568/getInfo.php?workbook=10_05.xlsx&amp;sheet=A0&amp;row=1862&amp;col=7&amp;number=0&amp;sourceID=14","0")</f>
        <v>0</v>
      </c>
    </row>
    <row r="1863" spans="1:7">
      <c r="A1863" s="3">
        <v>10</v>
      </c>
      <c r="B1863" s="3">
        <v>5</v>
      </c>
      <c r="C1863" s="3">
        <v>85</v>
      </c>
      <c r="D1863" s="3">
        <v>31</v>
      </c>
      <c r="E1863" s="3">
        <v>546.829</v>
      </c>
      <c r="F1863" s="4" t="str">
        <f>HYPERLINK("http://141.218.60.56/~jnz1568/getInfo.php?workbook=10_05.xlsx&amp;sheet=A0&amp;row=1863&amp;col=6&amp;number=2670000000&amp;sourceID=14","2670000000")</f>
        <v>2670000000</v>
      </c>
      <c r="G1863" s="4" t="str">
        <f>HYPERLINK("http://141.218.60.56/~jnz1568/getInfo.php?workbook=10_05.xlsx&amp;sheet=A0&amp;row=1863&amp;col=7&amp;number=0&amp;sourceID=14","0")</f>
        <v>0</v>
      </c>
    </row>
    <row r="1864" spans="1:7">
      <c r="A1864" s="3">
        <v>10</v>
      </c>
      <c r="B1864" s="3">
        <v>5</v>
      </c>
      <c r="C1864" s="3">
        <v>86</v>
      </c>
      <c r="D1864" s="3">
        <v>31</v>
      </c>
      <c r="E1864" s="3">
        <v>-544.133</v>
      </c>
      <c r="F1864" s="4" t="str">
        <f>HYPERLINK("http://141.218.60.56/~jnz1568/getInfo.php?workbook=10_05.xlsx&amp;sheet=A0&amp;row=1864&amp;col=6&amp;number=1480000&amp;sourceID=14","1480000")</f>
        <v>1480000</v>
      </c>
      <c r="G1864" s="4" t="str">
        <f>HYPERLINK("http://141.218.60.56/~jnz1568/getInfo.php?workbook=10_05.xlsx&amp;sheet=A0&amp;row=1864&amp;col=7&amp;number=0&amp;sourceID=14","0")</f>
        <v>0</v>
      </c>
    </row>
    <row r="1865" spans="1:7">
      <c r="A1865" s="3">
        <v>10</v>
      </c>
      <c r="B1865" s="3">
        <v>5</v>
      </c>
      <c r="C1865" s="3">
        <v>87</v>
      </c>
      <c r="D1865" s="3">
        <v>31</v>
      </c>
      <c r="E1865" s="3">
        <v>-544.091</v>
      </c>
      <c r="F1865" s="4" t="str">
        <f>HYPERLINK("http://141.218.60.56/~jnz1568/getInfo.php?workbook=10_05.xlsx&amp;sheet=A0&amp;row=1865&amp;col=6&amp;number=11500000&amp;sourceID=14","11500000")</f>
        <v>11500000</v>
      </c>
      <c r="G1865" s="4" t="str">
        <f>HYPERLINK("http://141.218.60.56/~jnz1568/getInfo.php?workbook=10_05.xlsx&amp;sheet=A0&amp;row=1865&amp;col=7&amp;number=0&amp;sourceID=14","0")</f>
        <v>0</v>
      </c>
    </row>
    <row r="1866" spans="1:7">
      <c r="A1866" s="3">
        <v>10</v>
      </c>
      <c r="B1866" s="3">
        <v>5</v>
      </c>
      <c r="C1866" s="3">
        <v>90</v>
      </c>
      <c r="D1866" s="3">
        <v>31</v>
      </c>
      <c r="E1866" s="3">
        <v>534.867</v>
      </c>
      <c r="F1866" s="4" t="str">
        <f>HYPERLINK("http://141.218.60.56/~jnz1568/getInfo.php?workbook=10_05.xlsx&amp;sheet=A0&amp;row=1866&amp;col=6&amp;number=2000000000&amp;sourceID=14","2000000000")</f>
        <v>2000000000</v>
      </c>
      <c r="G1866" s="4" t="str">
        <f>HYPERLINK("http://141.218.60.56/~jnz1568/getInfo.php?workbook=10_05.xlsx&amp;sheet=A0&amp;row=1866&amp;col=7&amp;number=0&amp;sourceID=14","0")</f>
        <v>0</v>
      </c>
    </row>
    <row r="1867" spans="1:7">
      <c r="A1867" s="3">
        <v>10</v>
      </c>
      <c r="B1867" s="3">
        <v>5</v>
      </c>
      <c r="C1867" s="3">
        <v>92</v>
      </c>
      <c r="D1867" s="3">
        <v>31</v>
      </c>
      <c r="E1867" s="3">
        <v>-511.058</v>
      </c>
      <c r="F1867" s="4" t="str">
        <f>HYPERLINK("http://141.218.60.56/~jnz1568/getInfo.php?workbook=10_05.xlsx&amp;sheet=A0&amp;row=1867&amp;col=6&amp;number=9410000&amp;sourceID=14","9410000")</f>
        <v>9410000</v>
      </c>
      <c r="G1867" s="4" t="str">
        <f>HYPERLINK("http://141.218.60.56/~jnz1568/getInfo.php?workbook=10_05.xlsx&amp;sheet=A0&amp;row=1867&amp;col=7&amp;number=0&amp;sourceID=14","0")</f>
        <v>0</v>
      </c>
    </row>
    <row r="1868" spans="1:7">
      <c r="A1868" s="3">
        <v>10</v>
      </c>
      <c r="B1868" s="3">
        <v>5</v>
      </c>
      <c r="C1868" s="3">
        <v>96</v>
      </c>
      <c r="D1868" s="3">
        <v>31</v>
      </c>
      <c r="E1868" s="3">
        <v>461.569</v>
      </c>
      <c r="F1868" s="4" t="str">
        <f>HYPERLINK("http://141.218.60.56/~jnz1568/getInfo.php?workbook=10_05.xlsx&amp;sheet=A0&amp;row=1868&amp;col=6&amp;number=42800&amp;sourceID=14","42800")</f>
        <v>42800</v>
      </c>
      <c r="G1868" s="4" t="str">
        <f>HYPERLINK("http://141.218.60.56/~jnz1568/getInfo.php?workbook=10_05.xlsx&amp;sheet=A0&amp;row=1868&amp;col=7&amp;number=0&amp;sourceID=14","0")</f>
        <v>0</v>
      </c>
    </row>
    <row r="1869" spans="1:7">
      <c r="A1869" s="3">
        <v>10</v>
      </c>
      <c r="B1869" s="3">
        <v>5</v>
      </c>
      <c r="C1869" s="3">
        <v>97</v>
      </c>
      <c r="D1869" s="3">
        <v>31</v>
      </c>
      <c r="E1869" s="3">
        <v>460.846</v>
      </c>
      <c r="F1869" s="4" t="str">
        <f>HYPERLINK("http://141.218.60.56/~jnz1568/getInfo.php?workbook=10_05.xlsx&amp;sheet=A0&amp;row=1869&amp;col=6&amp;number=877000&amp;sourceID=14","877000")</f>
        <v>877000</v>
      </c>
      <c r="G1869" s="4" t="str">
        <f>HYPERLINK("http://141.218.60.56/~jnz1568/getInfo.php?workbook=10_05.xlsx&amp;sheet=A0&amp;row=1869&amp;col=7&amp;number=0&amp;sourceID=14","0")</f>
        <v>0</v>
      </c>
    </row>
    <row r="1870" spans="1:7">
      <c r="A1870" s="3">
        <v>10</v>
      </c>
      <c r="B1870" s="3">
        <v>5</v>
      </c>
      <c r="C1870" s="3">
        <v>103</v>
      </c>
      <c r="D1870" s="3">
        <v>31</v>
      </c>
      <c r="E1870" s="3">
        <v>-451.588</v>
      </c>
      <c r="F1870" s="4" t="str">
        <f>HYPERLINK("http://141.218.60.56/~jnz1568/getInfo.php?workbook=10_05.xlsx&amp;sheet=A0&amp;row=1870&amp;col=6&amp;number=1830000000&amp;sourceID=14","1830000000")</f>
        <v>1830000000</v>
      </c>
      <c r="G1870" s="4" t="str">
        <f>HYPERLINK("http://141.218.60.56/~jnz1568/getInfo.php?workbook=10_05.xlsx&amp;sheet=A0&amp;row=1870&amp;col=7&amp;number=0&amp;sourceID=14","0")</f>
        <v>0</v>
      </c>
    </row>
    <row r="1871" spans="1:7">
      <c r="A1871" s="3">
        <v>10</v>
      </c>
      <c r="B1871" s="3">
        <v>5</v>
      </c>
      <c r="C1871" s="3">
        <v>113</v>
      </c>
      <c r="D1871" s="3">
        <v>31</v>
      </c>
      <c r="E1871" s="3">
        <v>436.334</v>
      </c>
      <c r="F1871" s="4" t="str">
        <f>HYPERLINK("http://141.218.60.56/~jnz1568/getInfo.php?workbook=10_05.xlsx&amp;sheet=A0&amp;row=1871&amp;col=6&amp;number=3850&amp;sourceID=14","3850")</f>
        <v>3850</v>
      </c>
      <c r="G1871" s="4" t="str">
        <f>HYPERLINK("http://141.218.60.56/~jnz1568/getInfo.php?workbook=10_05.xlsx&amp;sheet=A0&amp;row=1871&amp;col=7&amp;number=0&amp;sourceID=14","0")</f>
        <v>0</v>
      </c>
    </row>
    <row r="1872" spans="1:7">
      <c r="A1872" s="3">
        <v>10</v>
      </c>
      <c r="B1872" s="3">
        <v>5</v>
      </c>
      <c r="C1872" s="3">
        <v>135</v>
      </c>
      <c r="D1872" s="3">
        <v>31</v>
      </c>
      <c r="E1872" s="3">
        <v>-404.936</v>
      </c>
      <c r="F1872" s="4" t="str">
        <f>HYPERLINK("http://141.218.60.56/~jnz1568/getInfo.php?workbook=10_05.xlsx&amp;sheet=A0&amp;row=1872&amp;col=6&amp;number=59400000&amp;sourceID=14","59400000")</f>
        <v>59400000</v>
      </c>
      <c r="G1872" s="4" t="str">
        <f>HYPERLINK("http://141.218.60.56/~jnz1568/getInfo.php?workbook=10_05.xlsx&amp;sheet=A0&amp;row=1872&amp;col=7&amp;number=0&amp;sourceID=14","0")</f>
        <v>0</v>
      </c>
    </row>
    <row r="1873" spans="1:7">
      <c r="A1873" s="3">
        <v>10</v>
      </c>
      <c r="B1873" s="3">
        <v>5</v>
      </c>
      <c r="C1873" s="3">
        <v>136</v>
      </c>
      <c r="D1873" s="3">
        <v>31</v>
      </c>
      <c r="E1873" s="3">
        <v>-404.343</v>
      </c>
      <c r="F1873" s="4" t="str">
        <f>HYPERLINK("http://141.218.60.56/~jnz1568/getInfo.php?workbook=10_05.xlsx&amp;sheet=A0&amp;row=1873&amp;col=6&amp;number=1030000000&amp;sourceID=14","1030000000")</f>
        <v>1030000000</v>
      </c>
      <c r="G1873" s="4" t="str">
        <f>HYPERLINK("http://141.218.60.56/~jnz1568/getInfo.php?workbook=10_05.xlsx&amp;sheet=A0&amp;row=1873&amp;col=7&amp;number=0&amp;sourceID=14","0")</f>
        <v>0</v>
      </c>
    </row>
    <row r="1874" spans="1:7">
      <c r="A1874" s="3">
        <v>10</v>
      </c>
      <c r="B1874" s="3">
        <v>5</v>
      </c>
      <c r="C1874" s="3">
        <v>137</v>
      </c>
      <c r="D1874" s="3">
        <v>31</v>
      </c>
      <c r="E1874" s="3">
        <v>-403.519</v>
      </c>
      <c r="F1874" s="4" t="str">
        <f>HYPERLINK("http://141.218.60.56/~jnz1568/getInfo.php?workbook=10_05.xlsx&amp;sheet=A0&amp;row=1874&amp;col=6&amp;number=9100000000&amp;sourceID=14","9100000000")</f>
        <v>9100000000</v>
      </c>
      <c r="G1874" s="4" t="str">
        <f>HYPERLINK("http://141.218.60.56/~jnz1568/getInfo.php?workbook=10_05.xlsx&amp;sheet=A0&amp;row=1874&amp;col=7&amp;number=0&amp;sourceID=14","0")</f>
        <v>0</v>
      </c>
    </row>
    <row r="1875" spans="1:7">
      <c r="A1875" s="3">
        <v>10</v>
      </c>
      <c r="B1875" s="3">
        <v>5</v>
      </c>
      <c r="C1875" s="3">
        <v>143</v>
      </c>
      <c r="D1875" s="3">
        <v>31</v>
      </c>
      <c r="E1875" s="3">
        <v>397.263</v>
      </c>
      <c r="F1875" s="4" t="str">
        <f>HYPERLINK("http://141.218.60.56/~jnz1568/getInfo.php?workbook=10_05.xlsx&amp;sheet=A0&amp;row=1875&amp;col=6&amp;number=161000000&amp;sourceID=14","161000000")</f>
        <v>161000000</v>
      </c>
      <c r="G1875" s="4" t="str">
        <f>HYPERLINK("http://141.218.60.56/~jnz1568/getInfo.php?workbook=10_05.xlsx&amp;sheet=A0&amp;row=1875&amp;col=7&amp;number=0&amp;sourceID=14","0")</f>
        <v>0</v>
      </c>
    </row>
    <row r="1876" spans="1:7">
      <c r="A1876" s="3">
        <v>10</v>
      </c>
      <c r="B1876" s="3">
        <v>5</v>
      </c>
      <c r="C1876" s="3">
        <v>144</v>
      </c>
      <c r="D1876" s="3">
        <v>31</v>
      </c>
      <c r="E1876" s="3">
        <v>396.948</v>
      </c>
      <c r="F1876" s="4" t="str">
        <f>HYPERLINK("http://141.218.60.56/~jnz1568/getInfo.php?workbook=10_05.xlsx&amp;sheet=A0&amp;row=1876&amp;col=6&amp;number=1890000000&amp;sourceID=14","1890000000")</f>
        <v>1890000000</v>
      </c>
      <c r="G1876" s="4" t="str">
        <f>HYPERLINK("http://141.218.60.56/~jnz1568/getInfo.php?workbook=10_05.xlsx&amp;sheet=A0&amp;row=1876&amp;col=7&amp;number=0&amp;sourceID=14","0")</f>
        <v>0</v>
      </c>
    </row>
    <row r="1877" spans="1:7">
      <c r="A1877" s="3">
        <v>10</v>
      </c>
      <c r="B1877" s="3">
        <v>5</v>
      </c>
      <c r="C1877" s="3">
        <v>146</v>
      </c>
      <c r="D1877" s="3">
        <v>31</v>
      </c>
      <c r="E1877" s="3">
        <v>395.519</v>
      </c>
      <c r="F1877" s="4" t="str">
        <f>HYPERLINK("http://141.218.60.56/~jnz1568/getInfo.php?workbook=10_05.xlsx&amp;sheet=A0&amp;row=1877&amp;col=6&amp;number=29700000&amp;sourceID=14","29700000")</f>
        <v>29700000</v>
      </c>
      <c r="G1877" s="4" t="str">
        <f>HYPERLINK("http://141.218.60.56/~jnz1568/getInfo.php?workbook=10_05.xlsx&amp;sheet=A0&amp;row=1877&amp;col=7&amp;number=0&amp;sourceID=14","0")</f>
        <v>0</v>
      </c>
    </row>
    <row r="1878" spans="1:7">
      <c r="A1878" s="3">
        <v>10</v>
      </c>
      <c r="B1878" s="3">
        <v>5</v>
      </c>
      <c r="C1878" s="3">
        <v>147</v>
      </c>
      <c r="D1878" s="3">
        <v>31</v>
      </c>
      <c r="E1878" s="3">
        <v>394.598</v>
      </c>
      <c r="F1878" s="4" t="str">
        <f>HYPERLINK("http://141.218.60.56/~jnz1568/getInfo.php?workbook=10_05.xlsx&amp;sheet=A0&amp;row=1878&amp;col=6&amp;number=448000000&amp;sourceID=14","448000000")</f>
        <v>448000000</v>
      </c>
      <c r="G1878" s="4" t="str">
        <f>HYPERLINK("http://141.218.60.56/~jnz1568/getInfo.php?workbook=10_05.xlsx&amp;sheet=A0&amp;row=1878&amp;col=7&amp;number=0&amp;sourceID=14","0")</f>
        <v>0</v>
      </c>
    </row>
    <row r="1879" spans="1:7">
      <c r="A1879" s="3">
        <v>10</v>
      </c>
      <c r="B1879" s="3">
        <v>5</v>
      </c>
      <c r="C1879" s="3">
        <v>152</v>
      </c>
      <c r="D1879" s="3">
        <v>31</v>
      </c>
      <c r="E1879" s="3">
        <v>386.127</v>
      </c>
      <c r="F1879" s="4" t="str">
        <f>HYPERLINK("http://141.218.60.56/~jnz1568/getInfo.php?workbook=10_05.xlsx&amp;sheet=A0&amp;row=1879&amp;col=6&amp;number=4120&amp;sourceID=14","4120")</f>
        <v>4120</v>
      </c>
      <c r="G1879" s="4" t="str">
        <f>HYPERLINK("http://141.218.60.56/~jnz1568/getInfo.php?workbook=10_05.xlsx&amp;sheet=A0&amp;row=1879&amp;col=7&amp;number=0&amp;sourceID=14","0")</f>
        <v>0</v>
      </c>
    </row>
    <row r="1880" spans="1:7">
      <c r="A1880" s="3">
        <v>10</v>
      </c>
      <c r="B1880" s="3">
        <v>5</v>
      </c>
      <c r="C1880" s="3">
        <v>153</v>
      </c>
      <c r="D1880" s="3">
        <v>31</v>
      </c>
      <c r="E1880" s="3">
        <v>384.938</v>
      </c>
      <c r="F1880" s="4" t="str">
        <f>HYPERLINK("http://141.218.60.56/~jnz1568/getInfo.php?workbook=10_05.xlsx&amp;sheet=A0&amp;row=1880&amp;col=6&amp;number=40500&amp;sourceID=14","40500")</f>
        <v>40500</v>
      </c>
      <c r="G1880" s="4" t="str">
        <f>HYPERLINK("http://141.218.60.56/~jnz1568/getInfo.php?workbook=10_05.xlsx&amp;sheet=A0&amp;row=1880&amp;col=7&amp;number=0&amp;sourceID=14","0")</f>
        <v>0</v>
      </c>
    </row>
    <row r="1881" spans="1:7">
      <c r="A1881" s="3">
        <v>10</v>
      </c>
      <c r="B1881" s="3">
        <v>5</v>
      </c>
      <c r="C1881" s="3">
        <v>175</v>
      </c>
      <c r="D1881" s="3">
        <v>31</v>
      </c>
      <c r="E1881" s="3">
        <v>-272.586</v>
      </c>
      <c r="F1881" s="4" t="str">
        <f>HYPERLINK("http://141.218.60.56/~jnz1568/getInfo.php?workbook=10_05.xlsx&amp;sheet=A0&amp;row=1881&amp;col=6&amp;number=149&amp;sourceID=14","149")</f>
        <v>149</v>
      </c>
      <c r="G1881" s="4" t="str">
        <f>HYPERLINK("http://141.218.60.56/~jnz1568/getInfo.php?workbook=10_05.xlsx&amp;sheet=A0&amp;row=1881&amp;col=7&amp;number=0&amp;sourceID=14","0")</f>
        <v>0</v>
      </c>
    </row>
    <row r="1882" spans="1:7">
      <c r="A1882" s="3">
        <v>10</v>
      </c>
      <c r="B1882" s="3">
        <v>5</v>
      </c>
      <c r="C1882" s="3">
        <v>176</v>
      </c>
      <c r="D1882" s="3">
        <v>31</v>
      </c>
      <c r="E1882" s="3">
        <v>-272.585</v>
      </c>
      <c r="F1882" s="4" t="str">
        <f>HYPERLINK("http://141.218.60.56/~jnz1568/getInfo.php?workbook=10_05.xlsx&amp;sheet=A0&amp;row=1882&amp;col=6&amp;number=3.3&amp;sourceID=14","3.3")</f>
        <v>3.3</v>
      </c>
      <c r="G1882" s="4" t="str">
        <f>HYPERLINK("http://141.218.60.56/~jnz1568/getInfo.php?workbook=10_05.xlsx&amp;sheet=A0&amp;row=1882&amp;col=7&amp;number=0&amp;sourceID=14","0")</f>
        <v>0</v>
      </c>
    </row>
    <row r="1883" spans="1:7">
      <c r="A1883" s="3">
        <v>10</v>
      </c>
      <c r="B1883" s="3">
        <v>5</v>
      </c>
      <c r="C1883" s="3">
        <v>178</v>
      </c>
      <c r="D1883" s="3">
        <v>31</v>
      </c>
      <c r="E1883" s="3">
        <v>-271.892</v>
      </c>
      <c r="F1883" s="4" t="str">
        <f>HYPERLINK("http://141.218.60.56/~jnz1568/getInfo.php?workbook=10_05.xlsx&amp;sheet=A0&amp;row=1883&amp;col=6&amp;number=13.3&amp;sourceID=14","13.3")</f>
        <v>13.3</v>
      </c>
      <c r="G1883" s="4" t="str">
        <f>HYPERLINK("http://141.218.60.56/~jnz1568/getInfo.php?workbook=10_05.xlsx&amp;sheet=A0&amp;row=1883&amp;col=7&amp;number=0&amp;sourceID=14","0")</f>
        <v>0</v>
      </c>
    </row>
    <row r="1884" spans="1:7">
      <c r="A1884" s="3">
        <v>10</v>
      </c>
      <c r="B1884" s="3">
        <v>5</v>
      </c>
      <c r="C1884" s="3">
        <v>38</v>
      </c>
      <c r="D1884" s="3">
        <v>32</v>
      </c>
      <c r="E1884" s="3">
        <v>-3600.367</v>
      </c>
      <c r="F1884" s="4" t="str">
        <f>HYPERLINK("http://141.218.60.56/~jnz1568/getInfo.php?workbook=10_05.xlsx&amp;sheet=A0&amp;row=1884&amp;col=6&amp;number=1.95&amp;sourceID=14","1.95")</f>
        <v>1.95</v>
      </c>
      <c r="G1884" s="4" t="str">
        <f>HYPERLINK("http://141.218.60.56/~jnz1568/getInfo.php?workbook=10_05.xlsx&amp;sheet=A0&amp;row=1884&amp;col=7&amp;number=0&amp;sourceID=14","0")</f>
        <v>0</v>
      </c>
    </row>
    <row r="1885" spans="1:7">
      <c r="A1885" s="3">
        <v>10</v>
      </c>
      <c r="B1885" s="3">
        <v>5</v>
      </c>
      <c r="C1885" s="3">
        <v>39</v>
      </c>
      <c r="D1885" s="3">
        <v>32</v>
      </c>
      <c r="E1885" s="3">
        <v>-3565.196</v>
      </c>
      <c r="F1885" s="4" t="str">
        <f>HYPERLINK("http://141.218.60.56/~jnz1568/getInfo.php?workbook=10_05.xlsx&amp;sheet=A0&amp;row=1885&amp;col=6&amp;number=6.73&amp;sourceID=14","6.73")</f>
        <v>6.73</v>
      </c>
      <c r="G1885" s="4" t="str">
        <f>HYPERLINK("http://141.218.60.56/~jnz1568/getInfo.php?workbook=10_05.xlsx&amp;sheet=A0&amp;row=1885&amp;col=7&amp;number=0&amp;sourceID=14","0")</f>
        <v>0</v>
      </c>
    </row>
    <row r="1886" spans="1:7">
      <c r="A1886" s="3">
        <v>10</v>
      </c>
      <c r="B1886" s="3">
        <v>5</v>
      </c>
      <c r="C1886" s="3">
        <v>43</v>
      </c>
      <c r="D1886" s="3">
        <v>32</v>
      </c>
      <c r="E1886" s="3">
        <v>-2527.044</v>
      </c>
      <c r="F1886" s="4" t="str">
        <f>HYPERLINK("http://141.218.60.56/~jnz1568/getInfo.php?workbook=10_05.xlsx&amp;sheet=A0&amp;row=1886&amp;col=6&amp;number=268000&amp;sourceID=14","268000")</f>
        <v>268000</v>
      </c>
      <c r="G1886" s="4" t="str">
        <f>HYPERLINK("http://141.218.60.56/~jnz1568/getInfo.php?workbook=10_05.xlsx&amp;sheet=A0&amp;row=1886&amp;col=7&amp;number=0&amp;sourceID=14","0")</f>
        <v>0</v>
      </c>
    </row>
    <row r="1887" spans="1:7">
      <c r="A1887" s="3">
        <v>10</v>
      </c>
      <c r="B1887" s="3">
        <v>5</v>
      </c>
      <c r="C1887" s="3">
        <v>44</v>
      </c>
      <c r="D1887" s="3">
        <v>32</v>
      </c>
      <c r="E1887" s="3">
        <v>-2520.801</v>
      </c>
      <c r="F1887" s="4" t="str">
        <f>HYPERLINK("http://141.218.60.56/~jnz1568/getInfo.php?workbook=10_05.xlsx&amp;sheet=A0&amp;row=1887&amp;col=6&amp;number=937000&amp;sourceID=14","937000")</f>
        <v>937000</v>
      </c>
      <c r="G1887" s="4" t="str">
        <f>HYPERLINK("http://141.218.60.56/~jnz1568/getInfo.php?workbook=10_05.xlsx&amp;sheet=A0&amp;row=1887&amp;col=7&amp;number=0&amp;sourceID=14","0")</f>
        <v>0</v>
      </c>
    </row>
    <row r="1888" spans="1:7">
      <c r="A1888" s="3">
        <v>10</v>
      </c>
      <c r="B1888" s="3">
        <v>5</v>
      </c>
      <c r="C1888" s="3">
        <v>45</v>
      </c>
      <c r="D1888" s="3">
        <v>32</v>
      </c>
      <c r="E1888" s="3">
        <v>-2514.526</v>
      </c>
      <c r="F1888" s="4" t="str">
        <f>HYPERLINK("http://141.218.60.56/~jnz1568/getInfo.php?workbook=10_05.xlsx&amp;sheet=A0&amp;row=1888&amp;col=6&amp;number=1460000&amp;sourceID=14","1460000")</f>
        <v>1460000</v>
      </c>
      <c r="G1888" s="4" t="str">
        <f>HYPERLINK("http://141.218.60.56/~jnz1568/getInfo.php?workbook=10_05.xlsx&amp;sheet=A0&amp;row=1888&amp;col=7&amp;number=0&amp;sourceID=14","0")</f>
        <v>0</v>
      </c>
    </row>
    <row r="1889" spans="1:7">
      <c r="A1889" s="3">
        <v>10</v>
      </c>
      <c r="B1889" s="3">
        <v>5</v>
      </c>
      <c r="C1889" s="3">
        <v>47</v>
      </c>
      <c r="D1889" s="3">
        <v>32</v>
      </c>
      <c r="E1889" s="3">
        <v>-2420.374</v>
      </c>
      <c r="F1889" s="4" t="str">
        <f>HYPERLINK("http://141.218.60.56/~jnz1568/getInfo.php?workbook=10_05.xlsx&amp;sheet=A0&amp;row=1889&amp;col=6&amp;number=161000&amp;sourceID=14","161000")</f>
        <v>161000</v>
      </c>
      <c r="G1889" s="4" t="str">
        <f>HYPERLINK("http://141.218.60.56/~jnz1568/getInfo.php?workbook=10_05.xlsx&amp;sheet=A0&amp;row=1889&amp;col=7&amp;number=0&amp;sourceID=14","0")</f>
        <v>0</v>
      </c>
    </row>
    <row r="1890" spans="1:7">
      <c r="A1890" s="3">
        <v>10</v>
      </c>
      <c r="B1890" s="3">
        <v>5</v>
      </c>
      <c r="C1890" s="3">
        <v>48</v>
      </c>
      <c r="D1890" s="3">
        <v>32</v>
      </c>
      <c r="E1890" s="3">
        <v>-2408.192</v>
      </c>
      <c r="F1890" s="4" t="str">
        <f>HYPERLINK("http://141.218.60.56/~jnz1568/getInfo.php?workbook=10_05.xlsx&amp;sheet=A0&amp;row=1890&amp;col=6&amp;number=2030000&amp;sourceID=14","2030000")</f>
        <v>2030000</v>
      </c>
      <c r="G1890" s="4" t="str">
        <f>HYPERLINK("http://141.218.60.56/~jnz1568/getInfo.php?workbook=10_05.xlsx&amp;sheet=A0&amp;row=1890&amp;col=7&amp;number=0&amp;sourceID=14","0")</f>
        <v>0</v>
      </c>
    </row>
    <row r="1891" spans="1:7">
      <c r="A1891" s="3">
        <v>10</v>
      </c>
      <c r="B1891" s="3">
        <v>5</v>
      </c>
      <c r="C1891" s="3">
        <v>49</v>
      </c>
      <c r="D1891" s="3">
        <v>32</v>
      </c>
      <c r="E1891" s="3">
        <v>-2226.928</v>
      </c>
      <c r="F1891" s="4" t="str">
        <f>HYPERLINK("http://141.218.60.56/~jnz1568/getInfo.php?workbook=10_05.xlsx&amp;sheet=A0&amp;row=1891&amp;col=6&amp;number=114000000&amp;sourceID=14","114000000")</f>
        <v>114000000</v>
      </c>
      <c r="G1891" s="4" t="str">
        <f>HYPERLINK("http://141.218.60.56/~jnz1568/getInfo.php?workbook=10_05.xlsx&amp;sheet=A0&amp;row=1891&amp;col=7&amp;number=0&amp;sourceID=14","0")</f>
        <v>0</v>
      </c>
    </row>
    <row r="1892" spans="1:7">
      <c r="A1892" s="3">
        <v>10</v>
      </c>
      <c r="B1892" s="3">
        <v>5</v>
      </c>
      <c r="C1892" s="3">
        <v>50</v>
      </c>
      <c r="D1892" s="3">
        <v>32</v>
      </c>
      <c r="E1892" s="3">
        <v>-2212.345</v>
      </c>
      <c r="F1892" s="4" t="str">
        <f>HYPERLINK("http://141.218.60.56/~jnz1568/getInfo.php?workbook=10_05.xlsx&amp;sheet=A0&amp;row=1892&amp;col=6&amp;number=113000000&amp;sourceID=14","113000000")</f>
        <v>113000000</v>
      </c>
      <c r="G1892" s="4" t="str">
        <f>HYPERLINK("http://141.218.60.56/~jnz1568/getInfo.php?workbook=10_05.xlsx&amp;sheet=A0&amp;row=1892&amp;col=7&amp;number=0&amp;sourceID=14","0")</f>
        <v>0</v>
      </c>
    </row>
    <row r="1893" spans="1:7">
      <c r="A1893" s="3">
        <v>10</v>
      </c>
      <c r="B1893" s="3">
        <v>5</v>
      </c>
      <c r="C1893" s="3">
        <v>51</v>
      </c>
      <c r="D1893" s="3">
        <v>32</v>
      </c>
      <c r="E1893" s="3">
        <v>-2200.03</v>
      </c>
      <c r="F1893" s="4" t="str">
        <f>HYPERLINK("http://141.218.60.56/~jnz1568/getInfo.php?workbook=10_05.xlsx&amp;sheet=A0&amp;row=1893&amp;col=6&amp;number=112000000&amp;sourceID=14","112000000")</f>
        <v>112000000</v>
      </c>
      <c r="G1893" s="4" t="str">
        <f>HYPERLINK("http://141.218.60.56/~jnz1568/getInfo.php?workbook=10_05.xlsx&amp;sheet=A0&amp;row=1893&amp;col=7&amp;number=0&amp;sourceID=14","0")</f>
        <v>0</v>
      </c>
    </row>
    <row r="1894" spans="1:7">
      <c r="A1894" s="3">
        <v>10</v>
      </c>
      <c r="B1894" s="3">
        <v>5</v>
      </c>
      <c r="C1894" s="3">
        <v>52</v>
      </c>
      <c r="D1894" s="3">
        <v>32</v>
      </c>
      <c r="E1894" s="3">
        <v>-1867.731</v>
      </c>
      <c r="F1894" s="4" t="str">
        <f>HYPERLINK("http://141.218.60.56/~jnz1568/getInfo.php?workbook=10_05.xlsx&amp;sheet=A0&amp;row=1894&amp;col=6&amp;number=23500&amp;sourceID=14","23500")</f>
        <v>23500</v>
      </c>
      <c r="G1894" s="4" t="str">
        <f>HYPERLINK("http://141.218.60.56/~jnz1568/getInfo.php?workbook=10_05.xlsx&amp;sheet=A0&amp;row=1894&amp;col=7&amp;number=0&amp;sourceID=14","0")</f>
        <v>0</v>
      </c>
    </row>
    <row r="1895" spans="1:7">
      <c r="A1895" s="3">
        <v>10</v>
      </c>
      <c r="B1895" s="3">
        <v>5</v>
      </c>
      <c r="C1895" s="3">
        <v>53</v>
      </c>
      <c r="D1895" s="3">
        <v>32</v>
      </c>
      <c r="E1895" s="3">
        <v>-1865.814</v>
      </c>
      <c r="F1895" s="4" t="str">
        <f>HYPERLINK("http://141.218.60.56/~jnz1568/getInfo.php?workbook=10_05.xlsx&amp;sheet=A0&amp;row=1895&amp;col=6&amp;number=7660&amp;sourceID=14","7660")</f>
        <v>7660</v>
      </c>
      <c r="G1895" s="4" t="str">
        <f>HYPERLINK("http://141.218.60.56/~jnz1568/getInfo.php?workbook=10_05.xlsx&amp;sheet=A0&amp;row=1895&amp;col=7&amp;number=0&amp;sourceID=14","0")</f>
        <v>0</v>
      </c>
    </row>
    <row r="1896" spans="1:7">
      <c r="A1896" s="3">
        <v>10</v>
      </c>
      <c r="B1896" s="3">
        <v>5</v>
      </c>
      <c r="C1896" s="3">
        <v>54</v>
      </c>
      <c r="D1896" s="3">
        <v>32</v>
      </c>
      <c r="E1896" s="3">
        <v>-1689.078</v>
      </c>
      <c r="F1896" s="4" t="str">
        <f>HYPERLINK("http://141.218.60.56/~jnz1568/getInfo.php?workbook=10_05.xlsx&amp;sheet=A0&amp;row=1896&amp;col=6&amp;number=5.06&amp;sourceID=14","5.06")</f>
        <v>5.06</v>
      </c>
      <c r="G1896" s="4" t="str">
        <f>HYPERLINK("http://141.218.60.56/~jnz1568/getInfo.php?workbook=10_05.xlsx&amp;sheet=A0&amp;row=1896&amp;col=7&amp;number=0&amp;sourceID=14","0")</f>
        <v>0</v>
      </c>
    </row>
    <row r="1897" spans="1:7">
      <c r="A1897" s="3">
        <v>10</v>
      </c>
      <c r="B1897" s="3">
        <v>5</v>
      </c>
      <c r="C1897" s="3">
        <v>56</v>
      </c>
      <c r="D1897" s="3">
        <v>32</v>
      </c>
      <c r="E1897" s="3">
        <v>-1526.65</v>
      </c>
      <c r="F1897" s="4" t="str">
        <f>HYPERLINK("http://141.218.60.56/~jnz1568/getInfo.php?workbook=10_05.xlsx&amp;sheet=A0&amp;row=1897&amp;col=6&amp;number=280000&amp;sourceID=14","280000")</f>
        <v>280000</v>
      </c>
      <c r="G1897" s="4" t="str">
        <f>HYPERLINK("http://141.218.60.56/~jnz1568/getInfo.php?workbook=10_05.xlsx&amp;sheet=A0&amp;row=1897&amp;col=7&amp;number=0&amp;sourceID=14","0")</f>
        <v>0</v>
      </c>
    </row>
    <row r="1898" spans="1:7">
      <c r="A1898" s="3">
        <v>10</v>
      </c>
      <c r="B1898" s="3">
        <v>5</v>
      </c>
      <c r="C1898" s="3">
        <v>57</v>
      </c>
      <c r="D1898" s="3">
        <v>32</v>
      </c>
      <c r="E1898" s="3">
        <v>-1517.246</v>
      </c>
      <c r="F1898" s="4" t="str">
        <f>HYPERLINK("http://141.218.60.56/~jnz1568/getInfo.php?workbook=10_05.xlsx&amp;sheet=A0&amp;row=1898&amp;col=6&amp;number=109000&amp;sourceID=14","109000")</f>
        <v>109000</v>
      </c>
      <c r="G1898" s="4" t="str">
        <f>HYPERLINK("http://141.218.60.56/~jnz1568/getInfo.php?workbook=10_05.xlsx&amp;sheet=A0&amp;row=1898&amp;col=7&amp;number=0&amp;sourceID=14","0")</f>
        <v>0</v>
      </c>
    </row>
    <row r="1899" spans="1:7">
      <c r="A1899" s="3">
        <v>10</v>
      </c>
      <c r="B1899" s="3">
        <v>5</v>
      </c>
      <c r="C1899" s="3">
        <v>64</v>
      </c>
      <c r="D1899" s="3">
        <v>32</v>
      </c>
      <c r="E1899" s="3">
        <v>-841.745</v>
      </c>
      <c r="F1899" s="4" t="str">
        <f>HYPERLINK("http://141.218.60.56/~jnz1568/getInfo.php?workbook=10_05.xlsx&amp;sheet=A0&amp;row=1899&amp;col=6&amp;number=6430&amp;sourceID=14","6430")</f>
        <v>6430</v>
      </c>
      <c r="G1899" s="4" t="str">
        <f>HYPERLINK("http://141.218.60.56/~jnz1568/getInfo.php?workbook=10_05.xlsx&amp;sheet=A0&amp;row=1899&amp;col=7&amp;number=0&amp;sourceID=14","0")</f>
        <v>0</v>
      </c>
    </row>
    <row r="1900" spans="1:7">
      <c r="A1900" s="3">
        <v>10</v>
      </c>
      <c r="B1900" s="3">
        <v>5</v>
      </c>
      <c r="C1900" s="3">
        <v>65</v>
      </c>
      <c r="D1900" s="3">
        <v>32</v>
      </c>
      <c r="E1900" s="3">
        <v>-840.889</v>
      </c>
      <c r="F1900" s="4" t="str">
        <f>HYPERLINK("http://141.218.60.56/~jnz1568/getInfo.php?workbook=10_05.xlsx&amp;sheet=A0&amp;row=1900&amp;col=6&amp;number=14800&amp;sourceID=14","14800")</f>
        <v>14800</v>
      </c>
      <c r="G1900" s="4" t="str">
        <f>HYPERLINK("http://141.218.60.56/~jnz1568/getInfo.php?workbook=10_05.xlsx&amp;sheet=A0&amp;row=1900&amp;col=7&amp;number=0&amp;sourceID=14","0")</f>
        <v>0</v>
      </c>
    </row>
    <row r="1901" spans="1:7">
      <c r="A1901" s="3">
        <v>10</v>
      </c>
      <c r="B1901" s="3">
        <v>5</v>
      </c>
      <c r="C1901" s="3">
        <v>68</v>
      </c>
      <c r="D1901" s="3">
        <v>32</v>
      </c>
      <c r="E1901" s="3">
        <v>-739.067</v>
      </c>
      <c r="F1901" s="4" t="str">
        <f>HYPERLINK("http://141.218.60.56/~jnz1568/getInfo.php?workbook=10_05.xlsx&amp;sheet=A0&amp;row=1901&amp;col=6&amp;number=10.2&amp;sourceID=14","10.2")</f>
        <v>10.2</v>
      </c>
      <c r="G1901" s="4" t="str">
        <f>HYPERLINK("http://141.218.60.56/~jnz1568/getInfo.php?workbook=10_05.xlsx&amp;sheet=A0&amp;row=1901&amp;col=7&amp;number=0&amp;sourceID=14","0")</f>
        <v>0</v>
      </c>
    </row>
    <row r="1902" spans="1:7">
      <c r="A1902" s="3">
        <v>10</v>
      </c>
      <c r="B1902" s="3">
        <v>5</v>
      </c>
      <c r="C1902" s="3">
        <v>73</v>
      </c>
      <c r="D1902" s="3">
        <v>32</v>
      </c>
      <c r="E1902" s="3">
        <v>-697.274</v>
      </c>
      <c r="F1902" s="4" t="str">
        <f>HYPERLINK("http://141.218.60.56/~jnz1568/getInfo.php?workbook=10_05.xlsx&amp;sheet=A0&amp;row=1902&amp;col=6&amp;number=2490&amp;sourceID=14","2490")</f>
        <v>2490</v>
      </c>
      <c r="G1902" s="4" t="str">
        <f>HYPERLINK("http://141.218.60.56/~jnz1568/getInfo.php?workbook=10_05.xlsx&amp;sheet=A0&amp;row=1902&amp;col=7&amp;number=0&amp;sourceID=14","0")</f>
        <v>0</v>
      </c>
    </row>
    <row r="1903" spans="1:7">
      <c r="A1903" s="3">
        <v>10</v>
      </c>
      <c r="B1903" s="3">
        <v>5</v>
      </c>
      <c r="C1903" s="3">
        <v>74</v>
      </c>
      <c r="D1903" s="3">
        <v>32</v>
      </c>
      <c r="E1903" s="3">
        <v>-696.686</v>
      </c>
      <c r="F1903" s="4" t="str">
        <f>HYPERLINK("http://141.218.60.56/~jnz1568/getInfo.php?workbook=10_05.xlsx&amp;sheet=A0&amp;row=1903&amp;col=6&amp;number=17300&amp;sourceID=14","17300")</f>
        <v>17300</v>
      </c>
      <c r="G1903" s="4" t="str">
        <f>HYPERLINK("http://141.218.60.56/~jnz1568/getInfo.php?workbook=10_05.xlsx&amp;sheet=A0&amp;row=1903&amp;col=7&amp;number=0&amp;sourceID=14","0")</f>
        <v>0</v>
      </c>
    </row>
    <row r="1904" spans="1:7">
      <c r="A1904" s="3">
        <v>10</v>
      </c>
      <c r="B1904" s="3">
        <v>5</v>
      </c>
      <c r="C1904" s="3">
        <v>75</v>
      </c>
      <c r="D1904" s="3">
        <v>32</v>
      </c>
      <c r="E1904" s="3">
        <v>-686.918</v>
      </c>
      <c r="F1904" s="4" t="str">
        <f>HYPERLINK("http://141.218.60.56/~jnz1568/getInfo.php?workbook=10_05.xlsx&amp;sheet=A0&amp;row=1904&amp;col=6&amp;number=47200&amp;sourceID=14","47200")</f>
        <v>47200</v>
      </c>
      <c r="G1904" s="4" t="str">
        <f>HYPERLINK("http://141.218.60.56/~jnz1568/getInfo.php?workbook=10_05.xlsx&amp;sheet=A0&amp;row=1904&amp;col=7&amp;number=0&amp;sourceID=14","0")</f>
        <v>0</v>
      </c>
    </row>
    <row r="1905" spans="1:7">
      <c r="A1905" s="3">
        <v>10</v>
      </c>
      <c r="B1905" s="3">
        <v>5</v>
      </c>
      <c r="C1905" s="3">
        <v>76</v>
      </c>
      <c r="D1905" s="3">
        <v>32</v>
      </c>
      <c r="E1905" s="3">
        <v>-686.555</v>
      </c>
      <c r="F1905" s="4" t="str">
        <f>HYPERLINK("http://141.218.60.56/~jnz1568/getInfo.php?workbook=10_05.xlsx&amp;sheet=A0&amp;row=1905&amp;col=6&amp;number=72100&amp;sourceID=14","72100")</f>
        <v>72100</v>
      </c>
      <c r="G1905" s="4" t="str">
        <f>HYPERLINK("http://141.218.60.56/~jnz1568/getInfo.php?workbook=10_05.xlsx&amp;sheet=A0&amp;row=1905&amp;col=7&amp;number=0&amp;sourceID=14","0")</f>
        <v>0</v>
      </c>
    </row>
    <row r="1906" spans="1:7">
      <c r="A1906" s="3">
        <v>10</v>
      </c>
      <c r="B1906" s="3">
        <v>5</v>
      </c>
      <c r="C1906" s="3">
        <v>79</v>
      </c>
      <c r="D1906" s="3">
        <v>32</v>
      </c>
      <c r="E1906" s="3">
        <v>-594.238</v>
      </c>
      <c r="F1906" s="4" t="str">
        <f>HYPERLINK("http://141.218.60.56/~jnz1568/getInfo.php?workbook=10_05.xlsx&amp;sheet=A0&amp;row=1906&amp;col=6&amp;number=590000&amp;sourceID=14","590000")</f>
        <v>590000</v>
      </c>
      <c r="G1906" s="4" t="str">
        <f>HYPERLINK("http://141.218.60.56/~jnz1568/getInfo.php?workbook=10_05.xlsx&amp;sheet=A0&amp;row=1906&amp;col=7&amp;number=0&amp;sourceID=14","0")</f>
        <v>0</v>
      </c>
    </row>
    <row r="1907" spans="1:7">
      <c r="A1907" s="3">
        <v>10</v>
      </c>
      <c r="B1907" s="3">
        <v>5</v>
      </c>
      <c r="C1907" s="3">
        <v>82</v>
      </c>
      <c r="D1907" s="3">
        <v>32</v>
      </c>
      <c r="E1907" s="3">
        <v>-572.978</v>
      </c>
      <c r="F1907" s="4" t="str">
        <f>HYPERLINK("http://141.218.60.56/~jnz1568/getInfo.php?workbook=10_05.xlsx&amp;sheet=A0&amp;row=1907&amp;col=6&amp;number=1750000&amp;sourceID=14","1750000")</f>
        <v>1750000</v>
      </c>
      <c r="G1907" s="4" t="str">
        <f>HYPERLINK("http://141.218.60.56/~jnz1568/getInfo.php?workbook=10_05.xlsx&amp;sheet=A0&amp;row=1907&amp;col=7&amp;number=0&amp;sourceID=14","0")</f>
        <v>0</v>
      </c>
    </row>
    <row r="1908" spans="1:7">
      <c r="A1908" s="3">
        <v>10</v>
      </c>
      <c r="B1908" s="3">
        <v>5</v>
      </c>
      <c r="C1908" s="3">
        <v>83</v>
      </c>
      <c r="D1908" s="3">
        <v>32</v>
      </c>
      <c r="E1908" s="3">
        <v>-572.08</v>
      </c>
      <c r="F1908" s="4" t="str">
        <f>HYPERLINK("http://141.218.60.56/~jnz1568/getInfo.php?workbook=10_05.xlsx&amp;sheet=A0&amp;row=1908&amp;col=6&amp;number=5570000&amp;sourceID=14","5570000")</f>
        <v>5570000</v>
      </c>
      <c r="G1908" s="4" t="str">
        <f>HYPERLINK("http://141.218.60.56/~jnz1568/getInfo.php?workbook=10_05.xlsx&amp;sheet=A0&amp;row=1908&amp;col=7&amp;number=0&amp;sourceID=14","0")</f>
        <v>0</v>
      </c>
    </row>
    <row r="1909" spans="1:7">
      <c r="A1909" s="3">
        <v>10</v>
      </c>
      <c r="B1909" s="3">
        <v>5</v>
      </c>
      <c r="C1909" s="3">
        <v>84</v>
      </c>
      <c r="D1909" s="3">
        <v>32</v>
      </c>
      <c r="E1909" s="3">
        <v>-570.575</v>
      </c>
      <c r="F1909" s="4" t="str">
        <f>HYPERLINK("http://141.218.60.56/~jnz1568/getInfo.php?workbook=10_05.xlsx&amp;sheet=A0&amp;row=1909&amp;col=6&amp;number=7190000&amp;sourceID=14","7190000")</f>
        <v>7190000</v>
      </c>
      <c r="G1909" s="4" t="str">
        <f>HYPERLINK("http://141.218.60.56/~jnz1568/getInfo.php?workbook=10_05.xlsx&amp;sheet=A0&amp;row=1909&amp;col=7&amp;number=0&amp;sourceID=14","0")</f>
        <v>0</v>
      </c>
    </row>
    <row r="1910" spans="1:7">
      <c r="A1910" s="3">
        <v>10</v>
      </c>
      <c r="B1910" s="3">
        <v>5</v>
      </c>
      <c r="C1910" s="3">
        <v>86</v>
      </c>
      <c r="D1910" s="3">
        <v>32</v>
      </c>
      <c r="E1910" s="3">
        <v>-567.338</v>
      </c>
      <c r="F1910" s="4" t="str">
        <f>HYPERLINK("http://141.218.60.56/~jnz1568/getInfo.php?workbook=10_05.xlsx&amp;sheet=A0&amp;row=1910&amp;col=6&amp;number=9050&amp;sourceID=14","9050")</f>
        <v>9050</v>
      </c>
      <c r="G1910" s="4" t="str">
        <f>HYPERLINK("http://141.218.60.56/~jnz1568/getInfo.php?workbook=10_05.xlsx&amp;sheet=A0&amp;row=1910&amp;col=7&amp;number=0&amp;sourceID=14","0")</f>
        <v>0</v>
      </c>
    </row>
    <row r="1911" spans="1:7">
      <c r="A1911" s="3">
        <v>10</v>
      </c>
      <c r="B1911" s="3">
        <v>5</v>
      </c>
      <c r="C1911" s="3">
        <v>88</v>
      </c>
      <c r="D1911" s="3">
        <v>32</v>
      </c>
      <c r="E1911" s="3">
        <v>-560.228</v>
      </c>
      <c r="F1911" s="4" t="str">
        <f>HYPERLINK("http://141.218.60.56/~jnz1568/getInfo.php?workbook=10_05.xlsx&amp;sheet=A0&amp;row=1911&amp;col=6&amp;number=854000000&amp;sourceID=14","854000000")</f>
        <v>854000000</v>
      </c>
      <c r="G1911" s="4" t="str">
        <f>HYPERLINK("http://141.218.60.56/~jnz1568/getInfo.php?workbook=10_05.xlsx&amp;sheet=A0&amp;row=1911&amp;col=7&amp;number=0&amp;sourceID=14","0")</f>
        <v>0</v>
      </c>
    </row>
    <row r="1912" spans="1:7">
      <c r="A1912" s="3">
        <v>10</v>
      </c>
      <c r="B1912" s="3">
        <v>5</v>
      </c>
      <c r="C1912" s="3">
        <v>89</v>
      </c>
      <c r="D1912" s="3">
        <v>32</v>
      </c>
      <c r="E1912" s="3">
        <v>-559.06</v>
      </c>
      <c r="F1912" s="4" t="str">
        <f>HYPERLINK("http://141.218.60.56/~jnz1568/getInfo.php?workbook=10_05.xlsx&amp;sheet=A0&amp;row=1912&amp;col=6&amp;number=908000000&amp;sourceID=14","908000000")</f>
        <v>908000000</v>
      </c>
      <c r="G1912" s="4" t="str">
        <f>HYPERLINK("http://141.218.60.56/~jnz1568/getInfo.php?workbook=10_05.xlsx&amp;sheet=A0&amp;row=1912&amp;col=7&amp;number=0&amp;sourceID=14","0")</f>
        <v>0</v>
      </c>
    </row>
    <row r="1913" spans="1:7">
      <c r="A1913" s="3">
        <v>10</v>
      </c>
      <c r="B1913" s="3">
        <v>5</v>
      </c>
      <c r="C1913" s="3">
        <v>90</v>
      </c>
      <c r="D1913" s="3">
        <v>32</v>
      </c>
      <c r="E1913" s="3">
        <v>-557.281</v>
      </c>
      <c r="F1913" s="4" t="str">
        <f>HYPERLINK("http://141.218.60.56/~jnz1568/getInfo.php?workbook=10_05.xlsx&amp;sheet=A0&amp;row=1913&amp;col=6&amp;number=1020000000&amp;sourceID=14","1020000000")</f>
        <v>1020000000</v>
      </c>
      <c r="G1913" s="4" t="str">
        <f>HYPERLINK("http://141.218.60.56/~jnz1568/getInfo.php?workbook=10_05.xlsx&amp;sheet=A0&amp;row=1913&amp;col=7&amp;number=0&amp;sourceID=14","0")</f>
        <v>0</v>
      </c>
    </row>
    <row r="1914" spans="1:7">
      <c r="A1914" s="3">
        <v>10</v>
      </c>
      <c r="B1914" s="3">
        <v>5</v>
      </c>
      <c r="C1914" s="3">
        <v>91</v>
      </c>
      <c r="D1914" s="3">
        <v>32</v>
      </c>
      <c r="E1914" s="3">
        <v>-533.841</v>
      </c>
      <c r="F1914" s="4" t="str">
        <f>HYPERLINK("http://141.218.60.56/~jnz1568/getInfo.php?workbook=10_05.xlsx&amp;sheet=A0&amp;row=1914&amp;col=6&amp;number=828000&amp;sourceID=14","828000")</f>
        <v>828000</v>
      </c>
      <c r="G1914" s="4" t="str">
        <f>HYPERLINK("http://141.218.60.56/~jnz1568/getInfo.php?workbook=10_05.xlsx&amp;sheet=A0&amp;row=1914&amp;col=7&amp;number=0&amp;sourceID=14","0")</f>
        <v>0</v>
      </c>
    </row>
    <row r="1915" spans="1:7">
      <c r="A1915" s="3">
        <v>10</v>
      </c>
      <c r="B1915" s="3">
        <v>5</v>
      </c>
      <c r="C1915" s="3">
        <v>92</v>
      </c>
      <c r="D1915" s="3">
        <v>32</v>
      </c>
      <c r="E1915" s="3">
        <v>-531.475</v>
      </c>
      <c r="F1915" s="4" t="str">
        <f>HYPERLINK("http://141.218.60.56/~jnz1568/getInfo.php?workbook=10_05.xlsx&amp;sheet=A0&amp;row=1915&amp;col=6&amp;number=5420000&amp;sourceID=14","5420000")</f>
        <v>5420000</v>
      </c>
      <c r="G1915" s="4" t="str">
        <f>HYPERLINK("http://141.218.60.56/~jnz1568/getInfo.php?workbook=10_05.xlsx&amp;sheet=A0&amp;row=1915&amp;col=7&amp;number=0&amp;sourceID=14","0")</f>
        <v>0</v>
      </c>
    </row>
    <row r="1916" spans="1:7">
      <c r="A1916" s="3">
        <v>10</v>
      </c>
      <c r="B1916" s="3">
        <v>5</v>
      </c>
      <c r="C1916" s="3">
        <v>93</v>
      </c>
      <c r="D1916" s="3">
        <v>32</v>
      </c>
      <c r="E1916" s="3">
        <v>-510.429</v>
      </c>
      <c r="F1916" s="4" t="str">
        <f>HYPERLINK("http://141.218.60.56/~jnz1568/getInfo.php?workbook=10_05.xlsx&amp;sheet=A0&amp;row=1916&amp;col=6&amp;number=37600&amp;sourceID=14","37600")</f>
        <v>37600</v>
      </c>
      <c r="G1916" s="4" t="str">
        <f>HYPERLINK("http://141.218.60.56/~jnz1568/getInfo.php?workbook=10_05.xlsx&amp;sheet=A0&amp;row=1916&amp;col=7&amp;number=0&amp;sourceID=14","0")</f>
        <v>0</v>
      </c>
    </row>
    <row r="1917" spans="1:7">
      <c r="A1917" s="3">
        <v>10</v>
      </c>
      <c r="B1917" s="3">
        <v>5</v>
      </c>
      <c r="C1917" s="3">
        <v>94</v>
      </c>
      <c r="D1917" s="3">
        <v>32</v>
      </c>
      <c r="E1917" s="3">
        <v>-510.028</v>
      </c>
      <c r="F1917" s="4" t="str">
        <f>HYPERLINK("http://141.218.60.56/~jnz1568/getInfo.php?workbook=10_05.xlsx&amp;sheet=A0&amp;row=1917&amp;col=6&amp;number=96700&amp;sourceID=14","96700")</f>
        <v>96700</v>
      </c>
      <c r="G1917" s="4" t="str">
        <f>HYPERLINK("http://141.218.60.56/~jnz1568/getInfo.php?workbook=10_05.xlsx&amp;sheet=A0&amp;row=1917&amp;col=7&amp;number=0&amp;sourceID=14","0")</f>
        <v>0</v>
      </c>
    </row>
    <row r="1918" spans="1:7">
      <c r="A1918" s="3">
        <v>10</v>
      </c>
      <c r="B1918" s="3">
        <v>5</v>
      </c>
      <c r="C1918" s="3">
        <v>95</v>
      </c>
      <c r="D1918" s="3">
        <v>32</v>
      </c>
      <c r="E1918" s="3">
        <v>-501.606</v>
      </c>
      <c r="F1918" s="4" t="str">
        <f>HYPERLINK("http://141.218.60.56/~jnz1568/getInfo.php?workbook=10_05.xlsx&amp;sheet=A0&amp;row=1918&amp;col=6&amp;number=1570000&amp;sourceID=14","1570000")</f>
        <v>1570000</v>
      </c>
      <c r="G1918" s="4" t="str">
        <f>HYPERLINK("http://141.218.60.56/~jnz1568/getInfo.php?workbook=10_05.xlsx&amp;sheet=A0&amp;row=1918&amp;col=7&amp;number=0&amp;sourceID=14","0")</f>
        <v>0</v>
      </c>
    </row>
    <row r="1919" spans="1:7">
      <c r="A1919" s="3">
        <v>10</v>
      </c>
      <c r="B1919" s="3">
        <v>5</v>
      </c>
      <c r="C1919" s="3">
        <v>96</v>
      </c>
      <c r="D1919" s="3">
        <v>32</v>
      </c>
      <c r="E1919" s="3">
        <v>-478.179</v>
      </c>
      <c r="F1919" s="4" t="str">
        <f>HYPERLINK("http://141.218.60.56/~jnz1568/getInfo.php?workbook=10_05.xlsx&amp;sheet=A0&amp;row=1919&amp;col=6&amp;number=1040&amp;sourceID=14","1040")</f>
        <v>1040</v>
      </c>
      <c r="G1919" s="4" t="str">
        <f>HYPERLINK("http://141.218.60.56/~jnz1568/getInfo.php?workbook=10_05.xlsx&amp;sheet=A0&amp;row=1919&amp;col=7&amp;number=0&amp;sourceID=14","0")</f>
        <v>0</v>
      </c>
    </row>
    <row r="1920" spans="1:7">
      <c r="A1920" s="3">
        <v>10</v>
      </c>
      <c r="B1920" s="3">
        <v>5</v>
      </c>
      <c r="C1920" s="3">
        <v>98</v>
      </c>
      <c r="D1920" s="3">
        <v>32</v>
      </c>
      <c r="E1920" s="3">
        <v>-470.029</v>
      </c>
      <c r="F1920" s="4" t="str">
        <f>HYPERLINK("http://141.218.60.56/~jnz1568/getInfo.php?workbook=10_05.xlsx&amp;sheet=A0&amp;row=1920&amp;col=6&amp;number=1040000000&amp;sourceID=14","1040000000")</f>
        <v>1040000000</v>
      </c>
      <c r="G1920" s="4" t="str">
        <f>HYPERLINK("http://141.218.60.56/~jnz1568/getInfo.php?workbook=10_05.xlsx&amp;sheet=A0&amp;row=1920&amp;col=7&amp;number=0&amp;sourceID=14","0")</f>
        <v>0</v>
      </c>
    </row>
    <row r="1921" spans="1:7">
      <c r="A1921" s="3">
        <v>10</v>
      </c>
      <c r="B1921" s="3">
        <v>5</v>
      </c>
      <c r="C1921" s="3">
        <v>101</v>
      </c>
      <c r="D1921" s="3">
        <v>32</v>
      </c>
      <c r="E1921" s="3">
        <v>-469.084</v>
      </c>
      <c r="F1921" s="4" t="str">
        <f>HYPERLINK("http://141.218.60.56/~jnz1568/getInfo.php?workbook=10_05.xlsx&amp;sheet=A0&amp;row=1921&amp;col=6&amp;number=969000000&amp;sourceID=14","969000000")</f>
        <v>969000000</v>
      </c>
      <c r="G1921" s="4" t="str">
        <f>HYPERLINK("http://141.218.60.56/~jnz1568/getInfo.php?workbook=10_05.xlsx&amp;sheet=A0&amp;row=1921&amp;col=7&amp;number=0&amp;sourceID=14","0")</f>
        <v>0</v>
      </c>
    </row>
    <row r="1922" spans="1:7">
      <c r="A1922" s="3">
        <v>10</v>
      </c>
      <c r="B1922" s="3">
        <v>5</v>
      </c>
      <c r="C1922" s="3">
        <v>103</v>
      </c>
      <c r="D1922" s="3">
        <v>32</v>
      </c>
      <c r="E1922" s="3">
        <v>-467.457</v>
      </c>
      <c r="F1922" s="4" t="str">
        <f>HYPERLINK("http://141.218.60.56/~jnz1568/getInfo.php?workbook=10_05.xlsx&amp;sheet=A0&amp;row=1922&amp;col=6&amp;number=844000000&amp;sourceID=14","844000000")</f>
        <v>844000000</v>
      </c>
      <c r="G1922" s="4" t="str">
        <f>HYPERLINK("http://141.218.60.56/~jnz1568/getInfo.php?workbook=10_05.xlsx&amp;sheet=A0&amp;row=1922&amp;col=7&amp;number=0&amp;sourceID=14","0")</f>
        <v>0</v>
      </c>
    </row>
    <row r="1923" spans="1:7">
      <c r="A1923" s="3">
        <v>10</v>
      </c>
      <c r="B1923" s="3">
        <v>5</v>
      </c>
      <c r="C1923" s="3">
        <v>110</v>
      </c>
      <c r="D1923" s="3">
        <v>32</v>
      </c>
      <c r="E1923" s="3">
        <v>-454.07</v>
      </c>
      <c r="F1923" s="4" t="str">
        <f>HYPERLINK("http://141.218.60.56/~jnz1568/getInfo.php?workbook=10_05.xlsx&amp;sheet=A0&amp;row=1923&amp;col=6&amp;number=2430000&amp;sourceID=14","2430000")</f>
        <v>2430000</v>
      </c>
      <c r="G1923" s="4" t="str">
        <f>HYPERLINK("http://141.218.60.56/~jnz1568/getInfo.php?workbook=10_05.xlsx&amp;sheet=A0&amp;row=1923&amp;col=7&amp;number=0&amp;sourceID=14","0")</f>
        <v>0</v>
      </c>
    </row>
    <row r="1924" spans="1:7">
      <c r="A1924" s="3">
        <v>10</v>
      </c>
      <c r="B1924" s="3">
        <v>5</v>
      </c>
      <c r="C1924" s="3">
        <v>112</v>
      </c>
      <c r="D1924" s="3">
        <v>32</v>
      </c>
      <c r="E1924" s="3">
        <v>-452.721</v>
      </c>
      <c r="F1924" s="4" t="str">
        <f>HYPERLINK("http://141.218.60.56/~jnz1568/getInfo.php?workbook=10_05.xlsx&amp;sheet=A0&amp;row=1924&amp;col=6&amp;number=5430000&amp;sourceID=14","5430000")</f>
        <v>5430000</v>
      </c>
      <c r="G1924" s="4" t="str">
        <f>HYPERLINK("http://141.218.60.56/~jnz1568/getInfo.php?workbook=10_05.xlsx&amp;sheet=A0&amp;row=1924&amp;col=7&amp;number=0&amp;sourceID=14","0")</f>
        <v>0</v>
      </c>
    </row>
    <row r="1925" spans="1:7">
      <c r="A1925" s="3">
        <v>10</v>
      </c>
      <c r="B1925" s="3">
        <v>5</v>
      </c>
      <c r="C1925" s="3">
        <v>113</v>
      </c>
      <c r="D1925" s="3">
        <v>32</v>
      </c>
      <c r="E1925" s="3">
        <v>-451.189</v>
      </c>
      <c r="F1925" s="4" t="str">
        <f>HYPERLINK("http://141.218.60.56/~jnz1568/getInfo.php?workbook=10_05.xlsx&amp;sheet=A0&amp;row=1925&amp;col=6&amp;number=38300&amp;sourceID=14","38300")</f>
        <v>38300</v>
      </c>
      <c r="G1925" s="4" t="str">
        <f>HYPERLINK("http://141.218.60.56/~jnz1568/getInfo.php?workbook=10_05.xlsx&amp;sheet=A0&amp;row=1925&amp;col=7&amp;number=0&amp;sourceID=14","0")</f>
        <v>0</v>
      </c>
    </row>
    <row r="1926" spans="1:7">
      <c r="A1926" s="3">
        <v>10</v>
      </c>
      <c r="B1926" s="3">
        <v>5</v>
      </c>
      <c r="C1926" s="3">
        <v>114</v>
      </c>
      <c r="D1926" s="3">
        <v>32</v>
      </c>
      <c r="E1926" s="3">
        <v>-451.032</v>
      </c>
      <c r="F1926" s="4" t="str">
        <f>HYPERLINK("http://141.218.60.56/~jnz1568/getInfo.php?workbook=10_05.xlsx&amp;sheet=A0&amp;row=1926&amp;col=6&amp;number=3980&amp;sourceID=14","3980")</f>
        <v>3980</v>
      </c>
      <c r="G1926" s="4" t="str">
        <f>HYPERLINK("http://141.218.60.56/~jnz1568/getInfo.php?workbook=10_05.xlsx&amp;sheet=A0&amp;row=1926&amp;col=7&amp;number=0&amp;sourceID=14","0")</f>
        <v>0</v>
      </c>
    </row>
    <row r="1927" spans="1:7">
      <c r="A1927" s="3">
        <v>10</v>
      </c>
      <c r="B1927" s="3">
        <v>5</v>
      </c>
      <c r="C1927" s="3">
        <v>127</v>
      </c>
      <c r="D1927" s="3">
        <v>32</v>
      </c>
      <c r="E1927" s="3">
        <v>-426.862</v>
      </c>
      <c r="F1927" s="4" t="str">
        <f>HYPERLINK("http://141.218.60.56/~jnz1568/getInfo.php?workbook=10_05.xlsx&amp;sheet=A0&amp;row=1927&amp;col=6&amp;number=93500&amp;sourceID=14","93500")</f>
        <v>93500</v>
      </c>
      <c r="G1927" s="4" t="str">
        <f>HYPERLINK("http://141.218.60.56/~jnz1568/getInfo.php?workbook=10_05.xlsx&amp;sheet=A0&amp;row=1927&amp;col=7&amp;number=0&amp;sourceID=14","0")</f>
        <v>0</v>
      </c>
    </row>
    <row r="1928" spans="1:7">
      <c r="A1928" s="3">
        <v>10</v>
      </c>
      <c r="B1928" s="3">
        <v>5</v>
      </c>
      <c r="C1928" s="3">
        <v>128</v>
      </c>
      <c r="D1928" s="3">
        <v>32</v>
      </c>
      <c r="E1928" s="3">
        <v>-426.046</v>
      </c>
      <c r="F1928" s="4" t="str">
        <f>HYPERLINK("http://141.218.60.56/~jnz1568/getInfo.php?workbook=10_05.xlsx&amp;sheet=A0&amp;row=1928&amp;col=6&amp;number=376000&amp;sourceID=14","376000")</f>
        <v>376000</v>
      </c>
      <c r="G1928" s="4" t="str">
        <f>HYPERLINK("http://141.218.60.56/~jnz1568/getInfo.php?workbook=10_05.xlsx&amp;sheet=A0&amp;row=1928&amp;col=7&amp;number=0&amp;sourceID=14","0")</f>
        <v>0</v>
      </c>
    </row>
    <row r="1929" spans="1:7">
      <c r="A1929" s="3">
        <v>10</v>
      </c>
      <c r="B1929" s="3">
        <v>5</v>
      </c>
      <c r="C1929" s="3">
        <v>134</v>
      </c>
      <c r="D1929" s="3">
        <v>32</v>
      </c>
      <c r="E1929" s="3">
        <v>-418.07</v>
      </c>
      <c r="F1929" s="4" t="str">
        <f>HYPERLINK("http://141.218.60.56/~jnz1568/getInfo.php?workbook=10_05.xlsx&amp;sheet=A0&amp;row=1929&amp;col=6&amp;number=104000&amp;sourceID=14","104000")</f>
        <v>104000</v>
      </c>
      <c r="G1929" s="4" t="str">
        <f>HYPERLINK("http://141.218.60.56/~jnz1568/getInfo.php?workbook=10_05.xlsx&amp;sheet=A0&amp;row=1929&amp;col=7&amp;number=0&amp;sourceID=14","0")</f>
        <v>0</v>
      </c>
    </row>
    <row r="1930" spans="1:7">
      <c r="A1930" s="3">
        <v>10</v>
      </c>
      <c r="B1930" s="3">
        <v>5</v>
      </c>
      <c r="C1930" s="3">
        <v>135</v>
      </c>
      <c r="D1930" s="3">
        <v>32</v>
      </c>
      <c r="E1930" s="3">
        <v>-417.649</v>
      </c>
      <c r="F1930" s="4" t="str">
        <f>HYPERLINK("http://141.218.60.56/~jnz1568/getInfo.php?workbook=10_05.xlsx&amp;sheet=A0&amp;row=1930&amp;col=6&amp;number=363000&amp;sourceID=14","363000")</f>
        <v>363000</v>
      </c>
      <c r="G1930" s="4" t="str">
        <f>HYPERLINK("http://141.218.60.56/~jnz1568/getInfo.php?workbook=10_05.xlsx&amp;sheet=A0&amp;row=1930&amp;col=7&amp;number=0&amp;sourceID=14","0")</f>
        <v>0</v>
      </c>
    </row>
    <row r="1931" spans="1:7">
      <c r="A1931" s="3">
        <v>10</v>
      </c>
      <c r="B1931" s="3">
        <v>5</v>
      </c>
      <c r="C1931" s="3">
        <v>141</v>
      </c>
      <c r="D1931" s="3">
        <v>32</v>
      </c>
      <c r="E1931" s="3">
        <v>-410.001</v>
      </c>
      <c r="F1931" s="4" t="str">
        <f>HYPERLINK("http://141.218.60.56/~jnz1568/getInfo.php?workbook=10_05.xlsx&amp;sheet=A0&amp;row=1931&amp;col=6&amp;number=84300000&amp;sourceID=14","84300000")</f>
        <v>84300000</v>
      </c>
      <c r="G1931" s="4" t="str">
        <f>HYPERLINK("http://141.218.60.56/~jnz1568/getInfo.php?workbook=10_05.xlsx&amp;sheet=A0&amp;row=1931&amp;col=7&amp;number=0&amp;sourceID=14","0")</f>
        <v>0</v>
      </c>
    </row>
    <row r="1932" spans="1:7">
      <c r="A1932" s="3">
        <v>10</v>
      </c>
      <c r="B1932" s="3">
        <v>5</v>
      </c>
      <c r="C1932" s="3">
        <v>142</v>
      </c>
      <c r="D1932" s="3">
        <v>32</v>
      </c>
      <c r="E1932" s="3">
        <v>-409.928</v>
      </c>
      <c r="F1932" s="4" t="str">
        <f>HYPERLINK("http://141.218.60.56/~jnz1568/getInfo.php?workbook=10_05.xlsx&amp;sheet=A0&amp;row=1932&amp;col=6&amp;number=337000000&amp;sourceID=14","337000000")</f>
        <v>337000000</v>
      </c>
      <c r="G1932" s="4" t="str">
        <f>HYPERLINK("http://141.218.60.56/~jnz1568/getInfo.php?workbook=10_05.xlsx&amp;sheet=A0&amp;row=1932&amp;col=7&amp;number=0&amp;sourceID=14","0")</f>
        <v>0</v>
      </c>
    </row>
    <row r="1933" spans="1:7">
      <c r="A1933" s="3">
        <v>10</v>
      </c>
      <c r="B1933" s="3">
        <v>5</v>
      </c>
      <c r="C1933" s="3">
        <v>143</v>
      </c>
      <c r="D1933" s="3">
        <v>32</v>
      </c>
      <c r="E1933" s="3">
        <v>-409.503</v>
      </c>
      <c r="F1933" s="4" t="str">
        <f>HYPERLINK("http://141.218.60.56/~jnz1568/getInfo.php?workbook=10_05.xlsx&amp;sheet=A0&amp;row=1933&amp;col=6&amp;number=753000000&amp;sourceID=14","753000000")</f>
        <v>753000000</v>
      </c>
      <c r="G1933" s="4" t="str">
        <f>HYPERLINK("http://141.218.60.56/~jnz1568/getInfo.php?workbook=10_05.xlsx&amp;sheet=A0&amp;row=1933&amp;col=7&amp;number=0&amp;sourceID=14","0")</f>
        <v>0</v>
      </c>
    </row>
    <row r="1934" spans="1:7">
      <c r="A1934" s="3">
        <v>10</v>
      </c>
      <c r="B1934" s="3">
        <v>5</v>
      </c>
      <c r="C1934" s="3">
        <v>145</v>
      </c>
      <c r="D1934" s="3">
        <v>32</v>
      </c>
      <c r="E1934" s="3">
        <v>-407.671</v>
      </c>
      <c r="F1934" s="4" t="str">
        <f>HYPERLINK("http://141.218.60.56/~jnz1568/getInfo.php?workbook=10_05.xlsx&amp;sheet=A0&amp;row=1934&amp;col=6&amp;number=1470000000&amp;sourceID=14","1470000000")</f>
        <v>1470000000</v>
      </c>
      <c r="G1934" s="4" t="str">
        <f>HYPERLINK("http://141.218.60.56/~jnz1568/getInfo.php?workbook=10_05.xlsx&amp;sheet=A0&amp;row=1934&amp;col=7&amp;number=0&amp;sourceID=14","0")</f>
        <v>0</v>
      </c>
    </row>
    <row r="1935" spans="1:7">
      <c r="A1935" s="3">
        <v>10</v>
      </c>
      <c r="B1935" s="3">
        <v>5</v>
      </c>
      <c r="C1935" s="3">
        <v>146</v>
      </c>
      <c r="D1935" s="3">
        <v>32</v>
      </c>
      <c r="E1935" s="3">
        <v>-407.27</v>
      </c>
      <c r="F1935" s="4" t="str">
        <f>HYPERLINK("http://141.218.60.56/~jnz1568/getInfo.php?workbook=10_05.xlsx&amp;sheet=A0&amp;row=1935&amp;col=6&amp;number=633000000&amp;sourceID=14","633000000")</f>
        <v>633000000</v>
      </c>
      <c r="G1935" s="4" t="str">
        <f>HYPERLINK("http://141.218.60.56/~jnz1568/getInfo.php?workbook=10_05.xlsx&amp;sheet=A0&amp;row=1935&amp;col=7&amp;number=0&amp;sourceID=14","0")</f>
        <v>0</v>
      </c>
    </row>
    <row r="1936" spans="1:7">
      <c r="A1936" s="3">
        <v>10</v>
      </c>
      <c r="B1936" s="3">
        <v>5</v>
      </c>
      <c r="C1936" s="3">
        <v>147</v>
      </c>
      <c r="D1936" s="3">
        <v>32</v>
      </c>
      <c r="E1936" s="3">
        <v>-406.67</v>
      </c>
      <c r="F1936" s="4" t="str">
        <f>HYPERLINK("http://141.218.60.56/~jnz1568/getInfo.php?workbook=10_05.xlsx&amp;sheet=A0&amp;row=1936&amp;col=6&amp;number=3590000000&amp;sourceID=14","3590000000")</f>
        <v>3590000000</v>
      </c>
      <c r="G1936" s="4" t="str">
        <f>HYPERLINK("http://141.218.60.56/~jnz1568/getInfo.php?workbook=10_05.xlsx&amp;sheet=A0&amp;row=1936&amp;col=7&amp;number=0&amp;sourceID=14","0")</f>
        <v>0</v>
      </c>
    </row>
    <row r="1937" spans="1:7">
      <c r="A1937" s="3">
        <v>10</v>
      </c>
      <c r="B1937" s="3">
        <v>5</v>
      </c>
      <c r="C1937" s="3">
        <v>148</v>
      </c>
      <c r="D1937" s="3">
        <v>32</v>
      </c>
      <c r="E1937" s="3">
        <v>-406.508</v>
      </c>
      <c r="F1937" s="4" t="str">
        <f>HYPERLINK("http://141.218.60.56/~jnz1568/getInfo.php?workbook=10_05.xlsx&amp;sheet=A0&amp;row=1937&amp;col=6&amp;number=2820000000&amp;sourceID=14","2820000000")</f>
        <v>2820000000</v>
      </c>
      <c r="G1937" s="4" t="str">
        <f>HYPERLINK("http://141.218.60.56/~jnz1568/getInfo.php?workbook=10_05.xlsx&amp;sheet=A0&amp;row=1937&amp;col=7&amp;number=0&amp;sourceID=14","0")</f>
        <v>0</v>
      </c>
    </row>
    <row r="1938" spans="1:7">
      <c r="A1938" s="3">
        <v>10</v>
      </c>
      <c r="B1938" s="3">
        <v>5</v>
      </c>
      <c r="C1938" s="3">
        <v>149</v>
      </c>
      <c r="D1938" s="3">
        <v>32</v>
      </c>
      <c r="E1938" s="3">
        <v>-406.345</v>
      </c>
      <c r="F1938" s="4" t="str">
        <f>HYPERLINK("http://141.218.60.56/~jnz1568/getInfo.php?workbook=10_05.xlsx&amp;sheet=A0&amp;row=1938&amp;col=6&amp;number=4360000000&amp;sourceID=14","4360000000")</f>
        <v>4360000000</v>
      </c>
      <c r="G1938" s="4" t="str">
        <f>HYPERLINK("http://141.218.60.56/~jnz1568/getInfo.php?workbook=10_05.xlsx&amp;sheet=A0&amp;row=1938&amp;col=7&amp;number=0&amp;sourceID=14","0")</f>
        <v>0</v>
      </c>
    </row>
    <row r="1939" spans="1:7">
      <c r="A1939" s="3">
        <v>10</v>
      </c>
      <c r="B1939" s="3">
        <v>5</v>
      </c>
      <c r="C1939" s="3">
        <v>152</v>
      </c>
      <c r="D1939" s="3">
        <v>32</v>
      </c>
      <c r="E1939" s="3">
        <v>-397.674</v>
      </c>
      <c r="F1939" s="4" t="str">
        <f>HYPERLINK("http://141.218.60.56/~jnz1568/getInfo.php?workbook=10_05.xlsx&amp;sheet=A0&amp;row=1939&amp;col=6&amp;number=45900&amp;sourceID=14","45900")</f>
        <v>45900</v>
      </c>
      <c r="G1939" s="4" t="str">
        <f>HYPERLINK("http://141.218.60.56/~jnz1568/getInfo.php?workbook=10_05.xlsx&amp;sheet=A0&amp;row=1939&amp;col=7&amp;number=0&amp;sourceID=14","0")</f>
        <v>0</v>
      </c>
    </row>
    <row r="1940" spans="1:7">
      <c r="A1940" s="3">
        <v>10</v>
      </c>
      <c r="B1940" s="3">
        <v>5</v>
      </c>
      <c r="C1940" s="3">
        <v>158</v>
      </c>
      <c r="D1940" s="3">
        <v>32</v>
      </c>
      <c r="E1940" s="3">
        <v>-393.619</v>
      </c>
      <c r="F1940" s="4" t="str">
        <f>HYPERLINK("http://141.218.60.56/~jnz1568/getInfo.php?workbook=10_05.xlsx&amp;sheet=A0&amp;row=1940&amp;col=6&amp;number=7480000&amp;sourceID=14","7480000")</f>
        <v>7480000</v>
      </c>
      <c r="G1940" s="4" t="str">
        <f>HYPERLINK("http://141.218.60.56/~jnz1568/getInfo.php?workbook=10_05.xlsx&amp;sheet=A0&amp;row=1940&amp;col=7&amp;number=0&amp;sourceID=14","0")</f>
        <v>0</v>
      </c>
    </row>
    <row r="1941" spans="1:7">
      <c r="A1941" s="3">
        <v>10</v>
      </c>
      <c r="B1941" s="3">
        <v>5</v>
      </c>
      <c r="C1941" s="3">
        <v>159</v>
      </c>
      <c r="D1941" s="3">
        <v>32</v>
      </c>
      <c r="E1941" s="3">
        <v>-392.957</v>
      </c>
      <c r="F1941" s="4" t="str">
        <f>HYPERLINK("http://141.218.60.56/~jnz1568/getInfo.php?workbook=10_05.xlsx&amp;sheet=A0&amp;row=1941&amp;col=6&amp;number=2680000&amp;sourceID=14","2680000")</f>
        <v>2680000</v>
      </c>
      <c r="G1941" s="4" t="str">
        <f>HYPERLINK("http://141.218.60.56/~jnz1568/getInfo.php?workbook=10_05.xlsx&amp;sheet=A0&amp;row=1941&amp;col=7&amp;number=0&amp;sourceID=14","0")</f>
        <v>0</v>
      </c>
    </row>
    <row r="1942" spans="1:7">
      <c r="A1942" s="3">
        <v>10</v>
      </c>
      <c r="B1942" s="3">
        <v>5</v>
      </c>
      <c r="C1942" s="3">
        <v>164</v>
      </c>
      <c r="D1942" s="3">
        <v>32</v>
      </c>
      <c r="E1942" s="3">
        <v>-332.661</v>
      </c>
      <c r="F1942" s="4" t="str">
        <f>HYPERLINK("http://141.218.60.56/~jnz1568/getInfo.php?workbook=10_05.xlsx&amp;sheet=A0&amp;row=1942&amp;col=6&amp;number=25400&amp;sourceID=14","25400")</f>
        <v>25400</v>
      </c>
      <c r="G1942" s="4" t="str">
        <f>HYPERLINK("http://141.218.60.56/~jnz1568/getInfo.php?workbook=10_05.xlsx&amp;sheet=A0&amp;row=1942&amp;col=7&amp;number=0&amp;sourceID=14","0")</f>
        <v>0</v>
      </c>
    </row>
    <row r="1943" spans="1:7">
      <c r="A1943" s="3">
        <v>10</v>
      </c>
      <c r="B1943" s="3">
        <v>5</v>
      </c>
      <c r="C1943" s="3">
        <v>165</v>
      </c>
      <c r="D1943" s="3">
        <v>32</v>
      </c>
      <c r="E1943" s="3">
        <v>-332.509</v>
      </c>
      <c r="F1943" s="4" t="str">
        <f>HYPERLINK("http://141.218.60.56/~jnz1568/getInfo.php?workbook=10_05.xlsx&amp;sheet=A0&amp;row=1943&amp;col=6&amp;number=63600&amp;sourceID=14","63600")</f>
        <v>63600</v>
      </c>
      <c r="G1943" s="4" t="str">
        <f>HYPERLINK("http://141.218.60.56/~jnz1568/getInfo.php?workbook=10_05.xlsx&amp;sheet=A0&amp;row=1943&amp;col=7&amp;number=0&amp;sourceID=14","0")</f>
        <v>0</v>
      </c>
    </row>
    <row r="1944" spans="1:7">
      <c r="A1944" s="3">
        <v>10</v>
      </c>
      <c r="B1944" s="3">
        <v>5</v>
      </c>
      <c r="C1944" s="3">
        <v>166</v>
      </c>
      <c r="D1944" s="3">
        <v>32</v>
      </c>
      <c r="E1944" s="3">
        <v>-305.042</v>
      </c>
      <c r="F1944" s="4" t="str">
        <f>HYPERLINK("http://141.218.60.56/~jnz1568/getInfo.php?workbook=10_05.xlsx&amp;sheet=A0&amp;row=1944&amp;col=6&amp;number=14000&amp;sourceID=14","14000")</f>
        <v>14000</v>
      </c>
      <c r="G1944" s="4" t="str">
        <f>HYPERLINK("http://141.218.60.56/~jnz1568/getInfo.php?workbook=10_05.xlsx&amp;sheet=A0&amp;row=1944&amp;col=7&amp;number=0&amp;sourceID=14","0")</f>
        <v>0</v>
      </c>
    </row>
    <row r="1945" spans="1:7">
      <c r="A1945" s="3">
        <v>10</v>
      </c>
      <c r="B1945" s="3">
        <v>5</v>
      </c>
      <c r="C1945" s="3">
        <v>167</v>
      </c>
      <c r="D1945" s="3">
        <v>32</v>
      </c>
      <c r="E1945" s="3">
        <v>-305.003</v>
      </c>
      <c r="F1945" s="4" t="str">
        <f>HYPERLINK("http://141.218.60.56/~jnz1568/getInfo.php?workbook=10_05.xlsx&amp;sheet=A0&amp;row=1945&amp;col=6&amp;number=34300&amp;sourceID=14","34300")</f>
        <v>34300</v>
      </c>
      <c r="G1945" s="4" t="str">
        <f>HYPERLINK("http://141.218.60.56/~jnz1568/getInfo.php?workbook=10_05.xlsx&amp;sheet=A0&amp;row=1945&amp;col=7&amp;number=0&amp;sourceID=14","0")</f>
        <v>0</v>
      </c>
    </row>
    <row r="1946" spans="1:7">
      <c r="A1946" s="3">
        <v>10</v>
      </c>
      <c r="B1946" s="3">
        <v>5</v>
      </c>
      <c r="C1946" s="3">
        <v>176</v>
      </c>
      <c r="D1946" s="3">
        <v>32</v>
      </c>
      <c r="E1946" s="3">
        <v>-278.287</v>
      </c>
      <c r="F1946" s="4" t="str">
        <f>HYPERLINK("http://141.218.60.56/~jnz1568/getInfo.php?workbook=10_05.xlsx&amp;sheet=A0&amp;row=1946&amp;col=6&amp;number=24.8&amp;sourceID=14","24.8")</f>
        <v>24.8</v>
      </c>
      <c r="G1946" s="4" t="str">
        <f>HYPERLINK("http://141.218.60.56/~jnz1568/getInfo.php?workbook=10_05.xlsx&amp;sheet=A0&amp;row=1946&amp;col=7&amp;number=0&amp;sourceID=14","0")</f>
        <v>0</v>
      </c>
    </row>
    <row r="1947" spans="1:7">
      <c r="A1947" s="3">
        <v>10</v>
      </c>
      <c r="B1947" s="3">
        <v>5</v>
      </c>
      <c r="C1947" s="3">
        <v>177</v>
      </c>
      <c r="D1947" s="3">
        <v>32</v>
      </c>
      <c r="E1947" s="3">
        <v>-277.599</v>
      </c>
      <c r="F1947" s="4" t="str">
        <f>HYPERLINK("http://141.218.60.56/~jnz1568/getInfo.php?workbook=10_05.xlsx&amp;sheet=A0&amp;row=1947&amp;col=6&amp;number=5430&amp;sourceID=14","5430")</f>
        <v>5430</v>
      </c>
      <c r="G1947" s="4" t="str">
        <f>HYPERLINK("http://141.218.60.56/~jnz1568/getInfo.php?workbook=10_05.xlsx&amp;sheet=A0&amp;row=1947&amp;col=7&amp;number=0&amp;sourceID=14","0")</f>
        <v>0</v>
      </c>
    </row>
    <row r="1948" spans="1:7">
      <c r="A1948" s="3">
        <v>10</v>
      </c>
      <c r="B1948" s="3">
        <v>5</v>
      </c>
      <c r="C1948" s="3">
        <v>178</v>
      </c>
      <c r="D1948" s="3">
        <v>32</v>
      </c>
      <c r="E1948" s="3">
        <v>-277.565</v>
      </c>
      <c r="F1948" s="4" t="str">
        <f>HYPERLINK("http://141.218.60.56/~jnz1568/getInfo.php?workbook=10_05.xlsx&amp;sheet=A0&amp;row=1948&amp;col=6&amp;number=31800&amp;sourceID=14","31800")</f>
        <v>31800</v>
      </c>
      <c r="G1948" s="4" t="str">
        <f>HYPERLINK("http://141.218.60.56/~jnz1568/getInfo.php?workbook=10_05.xlsx&amp;sheet=A0&amp;row=1948&amp;col=7&amp;number=0&amp;sourceID=14","0")</f>
        <v>0</v>
      </c>
    </row>
    <row r="1949" spans="1:7">
      <c r="A1949" s="3">
        <v>10</v>
      </c>
      <c r="B1949" s="3">
        <v>5</v>
      </c>
      <c r="C1949" s="3">
        <v>179</v>
      </c>
      <c r="D1949" s="3">
        <v>32</v>
      </c>
      <c r="E1949" s="3">
        <v>-274.478</v>
      </c>
      <c r="F1949" s="4" t="str">
        <f>HYPERLINK("http://141.218.60.56/~jnz1568/getInfo.php?workbook=10_05.xlsx&amp;sheet=A0&amp;row=1949&amp;col=6&amp;number=482&amp;sourceID=14","482")</f>
        <v>482</v>
      </c>
      <c r="G1949" s="4" t="str">
        <f>HYPERLINK("http://141.218.60.56/~jnz1568/getInfo.php?workbook=10_05.xlsx&amp;sheet=A0&amp;row=1949&amp;col=7&amp;number=0&amp;sourceID=14","0")</f>
        <v>0</v>
      </c>
    </row>
    <row r="1950" spans="1:7">
      <c r="A1950" s="3">
        <v>10</v>
      </c>
      <c r="B1950" s="3">
        <v>5</v>
      </c>
      <c r="C1950" s="3">
        <v>180</v>
      </c>
      <c r="D1950" s="3">
        <v>32</v>
      </c>
      <c r="E1950" s="3">
        <v>-274.451</v>
      </c>
      <c r="F1950" s="4" t="str">
        <f>HYPERLINK("http://141.218.60.56/~jnz1568/getInfo.php?workbook=10_05.xlsx&amp;sheet=A0&amp;row=1950&amp;col=6&amp;number=1250&amp;sourceID=14","1250")</f>
        <v>1250</v>
      </c>
      <c r="G1950" s="4" t="str">
        <f>HYPERLINK("http://141.218.60.56/~jnz1568/getInfo.php?workbook=10_05.xlsx&amp;sheet=A0&amp;row=1950&amp;col=7&amp;number=0&amp;sourceID=14","0")</f>
        <v>0</v>
      </c>
    </row>
    <row r="1951" spans="1:7">
      <c r="A1951" s="3">
        <v>10</v>
      </c>
      <c r="B1951" s="3">
        <v>5</v>
      </c>
      <c r="C1951" s="3">
        <v>38</v>
      </c>
      <c r="D1951" s="3">
        <v>33</v>
      </c>
      <c r="E1951" s="3">
        <v>-5085.186</v>
      </c>
      <c r="F1951" s="4" t="str">
        <f>HYPERLINK("http://141.218.60.56/~jnz1568/getInfo.php?workbook=10_05.xlsx&amp;sheet=A0&amp;row=1951&amp;col=6&amp;number=741&amp;sourceID=14","741")</f>
        <v>741</v>
      </c>
      <c r="G1951" s="4" t="str">
        <f>HYPERLINK("http://141.218.60.56/~jnz1568/getInfo.php?workbook=10_05.xlsx&amp;sheet=A0&amp;row=1951&amp;col=7&amp;number=0&amp;sourceID=14","0")</f>
        <v>0</v>
      </c>
    </row>
    <row r="1952" spans="1:7">
      <c r="A1952" s="3">
        <v>10</v>
      </c>
      <c r="B1952" s="3">
        <v>5</v>
      </c>
      <c r="C1952" s="3">
        <v>43</v>
      </c>
      <c r="D1952" s="3">
        <v>33</v>
      </c>
      <c r="E1952" s="3">
        <v>-3178.443</v>
      </c>
      <c r="F1952" s="4" t="str">
        <f>HYPERLINK("http://141.218.60.56/~jnz1568/getInfo.php?workbook=10_05.xlsx&amp;sheet=A0&amp;row=1952&amp;col=6&amp;number=38200000&amp;sourceID=14","38200000")</f>
        <v>38200000</v>
      </c>
      <c r="G1952" s="4" t="str">
        <f>HYPERLINK("http://141.218.60.56/~jnz1568/getInfo.php?workbook=10_05.xlsx&amp;sheet=A0&amp;row=1952&amp;col=7&amp;number=0&amp;sourceID=14","0")</f>
        <v>0</v>
      </c>
    </row>
    <row r="1953" spans="1:7">
      <c r="A1953" s="3">
        <v>10</v>
      </c>
      <c r="B1953" s="3">
        <v>5</v>
      </c>
      <c r="C1953" s="3">
        <v>44</v>
      </c>
      <c r="D1953" s="3">
        <v>33</v>
      </c>
      <c r="E1953" s="3">
        <v>-3168.574</v>
      </c>
      <c r="F1953" s="4" t="str">
        <f>HYPERLINK("http://141.218.60.56/~jnz1568/getInfo.php?workbook=10_05.xlsx&amp;sheet=A0&amp;row=1953&amp;col=6&amp;number=20500000&amp;sourceID=14","20500000")</f>
        <v>20500000</v>
      </c>
      <c r="G1953" s="4" t="str">
        <f>HYPERLINK("http://141.218.60.56/~jnz1568/getInfo.php?workbook=10_05.xlsx&amp;sheet=A0&amp;row=1953&amp;col=7&amp;number=0&amp;sourceID=14","0")</f>
        <v>0</v>
      </c>
    </row>
    <row r="1954" spans="1:7">
      <c r="A1954" s="3">
        <v>10</v>
      </c>
      <c r="B1954" s="3">
        <v>5</v>
      </c>
      <c r="C1954" s="3">
        <v>47</v>
      </c>
      <c r="D1954" s="3">
        <v>33</v>
      </c>
      <c r="E1954" s="3">
        <v>-3011.509</v>
      </c>
      <c r="F1954" s="4" t="str">
        <f>HYPERLINK("http://141.218.60.56/~jnz1568/getInfo.php?workbook=10_05.xlsx&amp;sheet=A0&amp;row=1954&amp;col=6&amp;number=363&amp;sourceID=14","363")</f>
        <v>363</v>
      </c>
      <c r="G1954" s="4" t="str">
        <f>HYPERLINK("http://141.218.60.56/~jnz1568/getInfo.php?workbook=10_05.xlsx&amp;sheet=A0&amp;row=1954&amp;col=7&amp;number=0&amp;sourceID=14","0")</f>
        <v>0</v>
      </c>
    </row>
    <row r="1955" spans="1:7">
      <c r="A1955" s="3">
        <v>10</v>
      </c>
      <c r="B1955" s="3">
        <v>5</v>
      </c>
      <c r="C1955" s="3">
        <v>50</v>
      </c>
      <c r="D1955" s="3">
        <v>33</v>
      </c>
      <c r="E1955" s="3">
        <v>-2696.077</v>
      </c>
      <c r="F1955" s="4" t="str">
        <f>HYPERLINK("http://141.218.60.56/~jnz1568/getInfo.php?workbook=10_05.xlsx&amp;sheet=A0&amp;row=1955&amp;col=6&amp;number=10400000&amp;sourceID=14","10400000")</f>
        <v>10400000</v>
      </c>
      <c r="G1955" s="4" t="str">
        <f>HYPERLINK("http://141.218.60.56/~jnz1568/getInfo.php?workbook=10_05.xlsx&amp;sheet=A0&amp;row=1955&amp;col=7&amp;number=0&amp;sourceID=14","0")</f>
        <v>0</v>
      </c>
    </row>
    <row r="1956" spans="1:7">
      <c r="A1956" s="3">
        <v>10</v>
      </c>
      <c r="B1956" s="3">
        <v>5</v>
      </c>
      <c r="C1956" s="3">
        <v>51</v>
      </c>
      <c r="D1956" s="3">
        <v>33</v>
      </c>
      <c r="E1956" s="3">
        <v>-2677.811</v>
      </c>
      <c r="F1956" s="4" t="str">
        <f>HYPERLINK("http://141.218.60.56/~jnz1568/getInfo.php?workbook=10_05.xlsx&amp;sheet=A0&amp;row=1956&amp;col=6&amp;number=4160000&amp;sourceID=14","4160000")</f>
        <v>4160000</v>
      </c>
      <c r="G1956" s="4" t="str">
        <f>HYPERLINK("http://141.218.60.56/~jnz1568/getInfo.php?workbook=10_05.xlsx&amp;sheet=A0&amp;row=1956&amp;col=7&amp;number=0&amp;sourceID=14","0")</f>
        <v>0</v>
      </c>
    </row>
    <row r="1957" spans="1:7">
      <c r="A1957" s="3">
        <v>10</v>
      </c>
      <c r="B1957" s="3">
        <v>5</v>
      </c>
      <c r="C1957" s="3">
        <v>52</v>
      </c>
      <c r="D1957" s="3">
        <v>33</v>
      </c>
      <c r="E1957" s="3">
        <v>-2201.144</v>
      </c>
      <c r="F1957" s="4" t="str">
        <f>HYPERLINK("http://141.218.60.56/~jnz1568/getInfo.php?workbook=10_05.xlsx&amp;sheet=A0&amp;row=1957&amp;col=6&amp;number=284&amp;sourceID=14","284")</f>
        <v>284</v>
      </c>
      <c r="G1957" s="4" t="str">
        <f>HYPERLINK("http://141.218.60.56/~jnz1568/getInfo.php?workbook=10_05.xlsx&amp;sheet=A0&amp;row=1957&amp;col=7&amp;number=0&amp;sourceID=14","0")</f>
        <v>0</v>
      </c>
    </row>
    <row r="1958" spans="1:7">
      <c r="A1958" s="3">
        <v>10</v>
      </c>
      <c r="B1958" s="3">
        <v>5</v>
      </c>
      <c r="C1958" s="3">
        <v>53</v>
      </c>
      <c r="D1958" s="3">
        <v>33</v>
      </c>
      <c r="E1958" s="3">
        <v>-2198.483</v>
      </c>
      <c r="F1958" s="4" t="str">
        <f>HYPERLINK("http://141.218.60.56/~jnz1568/getInfo.php?workbook=10_05.xlsx&amp;sheet=A0&amp;row=1958&amp;col=6&amp;number=511&amp;sourceID=14","511")</f>
        <v>511</v>
      </c>
      <c r="G1958" s="4" t="str">
        <f>HYPERLINK("http://141.218.60.56/~jnz1568/getInfo.php?workbook=10_05.xlsx&amp;sheet=A0&amp;row=1958&amp;col=7&amp;number=0&amp;sourceID=14","0")</f>
        <v>0</v>
      </c>
    </row>
    <row r="1959" spans="1:7">
      <c r="A1959" s="3">
        <v>10</v>
      </c>
      <c r="B1959" s="3">
        <v>5</v>
      </c>
      <c r="C1959" s="3">
        <v>56</v>
      </c>
      <c r="D1959" s="3">
        <v>33</v>
      </c>
      <c r="E1959" s="3">
        <v>-1742.376</v>
      </c>
      <c r="F1959" s="4" t="str">
        <f>HYPERLINK("http://141.218.60.56/~jnz1568/getInfo.php?workbook=10_05.xlsx&amp;sheet=A0&amp;row=1959&amp;col=6&amp;number=13100&amp;sourceID=14","13100")</f>
        <v>13100</v>
      </c>
      <c r="G1959" s="4" t="str">
        <f>HYPERLINK("http://141.218.60.56/~jnz1568/getInfo.php?workbook=10_05.xlsx&amp;sheet=A0&amp;row=1959&amp;col=7&amp;number=0&amp;sourceID=14","0")</f>
        <v>0</v>
      </c>
    </row>
    <row r="1960" spans="1:7">
      <c r="A1960" s="3">
        <v>10</v>
      </c>
      <c r="B1960" s="3">
        <v>5</v>
      </c>
      <c r="C1960" s="3">
        <v>57</v>
      </c>
      <c r="D1960" s="3">
        <v>33</v>
      </c>
      <c r="E1960" s="3">
        <v>-1730.137</v>
      </c>
      <c r="F1960" s="4" t="str">
        <f>HYPERLINK("http://141.218.60.56/~jnz1568/getInfo.php?workbook=10_05.xlsx&amp;sheet=A0&amp;row=1960&amp;col=6&amp;number=825&amp;sourceID=14","825")</f>
        <v>825</v>
      </c>
      <c r="G1960" s="4" t="str">
        <f>HYPERLINK("http://141.218.60.56/~jnz1568/getInfo.php?workbook=10_05.xlsx&amp;sheet=A0&amp;row=1960&amp;col=7&amp;number=0&amp;sourceID=14","0")</f>
        <v>0</v>
      </c>
    </row>
    <row r="1961" spans="1:7">
      <c r="A1961" s="3">
        <v>10</v>
      </c>
      <c r="B1961" s="3">
        <v>5</v>
      </c>
      <c r="C1961" s="3">
        <v>64</v>
      </c>
      <c r="D1961" s="3">
        <v>33</v>
      </c>
      <c r="E1961" s="3">
        <v>-903.417</v>
      </c>
      <c r="F1961" s="4" t="str">
        <f>HYPERLINK("http://141.218.60.56/~jnz1568/getInfo.php?workbook=10_05.xlsx&amp;sheet=A0&amp;row=1961&amp;col=6&amp;number=6130&amp;sourceID=14","6130")</f>
        <v>6130</v>
      </c>
      <c r="G1961" s="4" t="str">
        <f>HYPERLINK("http://141.218.60.56/~jnz1568/getInfo.php?workbook=10_05.xlsx&amp;sheet=A0&amp;row=1961&amp;col=7&amp;number=0&amp;sourceID=14","0")</f>
        <v>0</v>
      </c>
    </row>
    <row r="1962" spans="1:7">
      <c r="A1962" s="3">
        <v>10</v>
      </c>
      <c r="B1962" s="3">
        <v>5</v>
      </c>
      <c r="C1962" s="3">
        <v>65</v>
      </c>
      <c r="D1962" s="3">
        <v>33</v>
      </c>
      <c r="E1962" s="3">
        <v>-902.431</v>
      </c>
      <c r="F1962" s="4" t="str">
        <f>HYPERLINK("http://141.218.60.56/~jnz1568/getInfo.php?workbook=10_05.xlsx&amp;sheet=A0&amp;row=1962&amp;col=6&amp;number=8730&amp;sourceID=14","8730")</f>
        <v>8730</v>
      </c>
      <c r="G1962" s="4" t="str">
        <f>HYPERLINK("http://141.218.60.56/~jnz1568/getInfo.php?workbook=10_05.xlsx&amp;sheet=A0&amp;row=1962&amp;col=7&amp;number=0&amp;sourceID=14","0")</f>
        <v>0</v>
      </c>
    </row>
    <row r="1963" spans="1:7">
      <c r="A1963" s="3">
        <v>10</v>
      </c>
      <c r="B1963" s="3">
        <v>5</v>
      </c>
      <c r="C1963" s="3">
        <v>73</v>
      </c>
      <c r="D1963" s="3">
        <v>33</v>
      </c>
      <c r="E1963" s="3">
        <v>-739.067</v>
      </c>
      <c r="F1963" s="4" t="str">
        <f>HYPERLINK("http://141.218.60.56/~jnz1568/getInfo.php?workbook=10_05.xlsx&amp;sheet=A0&amp;row=1963&amp;col=6&amp;number=1360&amp;sourceID=14","1360")</f>
        <v>1360</v>
      </c>
      <c r="G1963" s="4" t="str">
        <f>HYPERLINK("http://141.218.60.56/~jnz1568/getInfo.php?workbook=10_05.xlsx&amp;sheet=A0&amp;row=1963&amp;col=7&amp;number=0&amp;sourceID=14","0")</f>
        <v>0</v>
      </c>
    </row>
    <row r="1964" spans="1:7">
      <c r="A1964" s="3">
        <v>10</v>
      </c>
      <c r="B1964" s="3">
        <v>5</v>
      </c>
      <c r="C1964" s="3">
        <v>75</v>
      </c>
      <c r="D1964" s="3">
        <v>33</v>
      </c>
      <c r="E1964" s="3">
        <v>-727.443</v>
      </c>
      <c r="F1964" s="4" t="str">
        <f>HYPERLINK("http://141.218.60.56/~jnz1568/getInfo.php?workbook=10_05.xlsx&amp;sheet=A0&amp;row=1964&amp;col=6&amp;number=167000&amp;sourceID=14","167000")</f>
        <v>167000</v>
      </c>
      <c r="G1964" s="4" t="str">
        <f>HYPERLINK("http://141.218.60.56/~jnz1568/getInfo.php?workbook=10_05.xlsx&amp;sheet=A0&amp;row=1964&amp;col=7&amp;number=0&amp;sourceID=14","0")</f>
        <v>0</v>
      </c>
    </row>
    <row r="1965" spans="1:7">
      <c r="A1965" s="3">
        <v>10</v>
      </c>
      <c r="B1965" s="3">
        <v>5</v>
      </c>
      <c r="C1965" s="3">
        <v>76</v>
      </c>
      <c r="D1965" s="3">
        <v>33</v>
      </c>
      <c r="E1965" s="3">
        <v>-727.036</v>
      </c>
      <c r="F1965" s="4" t="str">
        <f>HYPERLINK("http://141.218.60.56/~jnz1568/getInfo.php?workbook=10_05.xlsx&amp;sheet=A0&amp;row=1965&amp;col=6&amp;number=124000&amp;sourceID=14","124000")</f>
        <v>124000</v>
      </c>
      <c r="G1965" s="4" t="str">
        <f>HYPERLINK("http://141.218.60.56/~jnz1568/getInfo.php?workbook=10_05.xlsx&amp;sheet=A0&amp;row=1965&amp;col=7&amp;number=0&amp;sourceID=14","0")</f>
        <v>0</v>
      </c>
    </row>
    <row r="1966" spans="1:7">
      <c r="A1966" s="3">
        <v>10</v>
      </c>
      <c r="B1966" s="3">
        <v>5</v>
      </c>
      <c r="C1966" s="3">
        <v>79</v>
      </c>
      <c r="D1966" s="3">
        <v>33</v>
      </c>
      <c r="E1966" s="3">
        <v>-624.326</v>
      </c>
      <c r="F1966" s="4" t="str">
        <f>HYPERLINK("http://141.218.60.56/~jnz1568/getInfo.php?workbook=10_05.xlsx&amp;sheet=A0&amp;row=1966&amp;col=6&amp;number=451000&amp;sourceID=14","451000")</f>
        <v>451000</v>
      </c>
      <c r="G1966" s="4" t="str">
        <f>HYPERLINK("http://141.218.60.56/~jnz1568/getInfo.php?workbook=10_05.xlsx&amp;sheet=A0&amp;row=1966&amp;col=7&amp;number=0&amp;sourceID=14","0")</f>
        <v>0</v>
      </c>
    </row>
    <row r="1967" spans="1:7">
      <c r="A1967" s="3">
        <v>10</v>
      </c>
      <c r="B1967" s="3">
        <v>5</v>
      </c>
      <c r="C1967" s="3">
        <v>82</v>
      </c>
      <c r="D1967" s="3">
        <v>33</v>
      </c>
      <c r="E1967" s="3">
        <v>-600.901</v>
      </c>
      <c r="F1967" s="4" t="str">
        <f>HYPERLINK("http://141.218.60.56/~jnz1568/getInfo.php?workbook=10_05.xlsx&amp;sheet=A0&amp;row=1967&amp;col=6&amp;number=794000000&amp;sourceID=14","794000000")</f>
        <v>794000000</v>
      </c>
      <c r="G1967" s="4" t="str">
        <f>HYPERLINK("http://141.218.60.56/~jnz1568/getInfo.php?workbook=10_05.xlsx&amp;sheet=A0&amp;row=1967&amp;col=7&amp;number=0&amp;sourceID=14","0")</f>
        <v>0</v>
      </c>
    </row>
    <row r="1968" spans="1:7">
      <c r="A1968" s="3">
        <v>10</v>
      </c>
      <c r="B1968" s="3">
        <v>5</v>
      </c>
      <c r="C1968" s="3">
        <v>83</v>
      </c>
      <c r="D1968" s="3">
        <v>33</v>
      </c>
      <c r="E1968" s="3">
        <v>-599.914</v>
      </c>
      <c r="F1968" s="4" t="str">
        <f>HYPERLINK("http://141.218.60.56/~jnz1568/getInfo.php?workbook=10_05.xlsx&amp;sheet=A0&amp;row=1968&amp;col=6&amp;number=415000000&amp;sourceID=14","415000000")</f>
        <v>415000000</v>
      </c>
      <c r="G1968" s="4" t="str">
        <f>HYPERLINK("http://141.218.60.56/~jnz1568/getInfo.php?workbook=10_05.xlsx&amp;sheet=A0&amp;row=1968&amp;col=7&amp;number=0&amp;sourceID=14","0")</f>
        <v>0</v>
      </c>
    </row>
    <row r="1969" spans="1:7">
      <c r="A1969" s="3">
        <v>10</v>
      </c>
      <c r="B1969" s="3">
        <v>5</v>
      </c>
      <c r="C1969" s="3">
        <v>88</v>
      </c>
      <c r="D1969" s="3">
        <v>33</v>
      </c>
      <c r="E1969" s="3">
        <v>-586.893</v>
      </c>
      <c r="F1969" s="4" t="str">
        <f>HYPERLINK("http://141.218.60.56/~jnz1568/getInfo.php?workbook=10_05.xlsx&amp;sheet=A0&amp;row=1969&amp;col=6&amp;number=222000000&amp;sourceID=14","222000000")</f>
        <v>222000000</v>
      </c>
      <c r="G1969" s="4" t="str">
        <f>HYPERLINK("http://141.218.60.56/~jnz1568/getInfo.php?workbook=10_05.xlsx&amp;sheet=A0&amp;row=1969&amp;col=7&amp;number=0&amp;sourceID=14","0")</f>
        <v>0</v>
      </c>
    </row>
    <row r="1970" spans="1:7">
      <c r="A1970" s="3">
        <v>10</v>
      </c>
      <c r="B1970" s="3">
        <v>5</v>
      </c>
      <c r="C1970" s="3">
        <v>89</v>
      </c>
      <c r="D1970" s="3">
        <v>33</v>
      </c>
      <c r="E1970" s="3">
        <v>-585.611</v>
      </c>
      <c r="F1970" s="4" t="str">
        <f>HYPERLINK("http://141.218.60.56/~jnz1568/getInfo.php?workbook=10_05.xlsx&amp;sheet=A0&amp;row=1970&amp;col=6&amp;number=566000000&amp;sourceID=14","566000000")</f>
        <v>566000000</v>
      </c>
      <c r="G1970" s="4" t="str">
        <f>HYPERLINK("http://141.218.60.56/~jnz1568/getInfo.php?workbook=10_05.xlsx&amp;sheet=A0&amp;row=1970&amp;col=7&amp;number=0&amp;sourceID=14","0")</f>
        <v>0</v>
      </c>
    </row>
    <row r="1971" spans="1:7">
      <c r="A1971" s="3">
        <v>10</v>
      </c>
      <c r="B1971" s="3">
        <v>5</v>
      </c>
      <c r="C1971" s="3">
        <v>91</v>
      </c>
      <c r="D1971" s="3">
        <v>33</v>
      </c>
      <c r="E1971" s="3">
        <v>-557.999</v>
      </c>
      <c r="F1971" s="4" t="str">
        <f>HYPERLINK("http://141.218.60.56/~jnz1568/getInfo.php?workbook=10_05.xlsx&amp;sheet=A0&amp;row=1971&amp;col=6&amp;number=516000&amp;sourceID=14","516000")</f>
        <v>516000</v>
      </c>
      <c r="G1971" s="4" t="str">
        <f>HYPERLINK("http://141.218.60.56/~jnz1568/getInfo.php?workbook=10_05.xlsx&amp;sheet=A0&amp;row=1971&amp;col=7&amp;number=0&amp;sourceID=14","0")</f>
        <v>0</v>
      </c>
    </row>
    <row r="1972" spans="1:7">
      <c r="A1972" s="3">
        <v>10</v>
      </c>
      <c r="B1972" s="3">
        <v>5</v>
      </c>
      <c r="C1972" s="3">
        <v>93</v>
      </c>
      <c r="D1972" s="3">
        <v>33</v>
      </c>
      <c r="E1972" s="3">
        <v>-532.471</v>
      </c>
      <c r="F1972" s="4" t="str">
        <f>HYPERLINK("http://141.218.60.56/~jnz1568/getInfo.php?workbook=10_05.xlsx&amp;sheet=A0&amp;row=1972&amp;col=6&amp;number=90900&amp;sourceID=14","90900")</f>
        <v>90900</v>
      </c>
      <c r="G1972" s="4" t="str">
        <f>HYPERLINK("http://141.218.60.56/~jnz1568/getInfo.php?workbook=10_05.xlsx&amp;sheet=A0&amp;row=1972&amp;col=7&amp;number=0&amp;sourceID=14","0")</f>
        <v>0</v>
      </c>
    </row>
    <row r="1973" spans="1:7">
      <c r="A1973" s="3">
        <v>10</v>
      </c>
      <c r="B1973" s="3">
        <v>5</v>
      </c>
      <c r="C1973" s="3">
        <v>94</v>
      </c>
      <c r="D1973" s="3">
        <v>33</v>
      </c>
      <c r="E1973" s="3">
        <v>-532.035</v>
      </c>
      <c r="F1973" s="4" t="str">
        <f>HYPERLINK("http://141.218.60.56/~jnz1568/getInfo.php?workbook=10_05.xlsx&amp;sheet=A0&amp;row=1973&amp;col=6&amp;number=381000&amp;sourceID=14","381000")</f>
        <v>381000</v>
      </c>
      <c r="G1973" s="4" t="str">
        <f>HYPERLINK("http://141.218.60.56/~jnz1568/getInfo.php?workbook=10_05.xlsx&amp;sheet=A0&amp;row=1973&amp;col=7&amp;number=0&amp;sourceID=14","0")</f>
        <v>0</v>
      </c>
    </row>
    <row r="1974" spans="1:7">
      <c r="A1974" s="3">
        <v>10</v>
      </c>
      <c r="B1974" s="3">
        <v>5</v>
      </c>
      <c r="C1974" s="3">
        <v>95</v>
      </c>
      <c r="D1974" s="3">
        <v>33</v>
      </c>
      <c r="E1974" s="3">
        <v>-522.877</v>
      </c>
      <c r="F1974" s="4" t="str">
        <f>HYPERLINK("http://141.218.60.56/~jnz1568/getInfo.php?workbook=10_05.xlsx&amp;sheet=A0&amp;row=1974&amp;col=6&amp;number=781000000&amp;sourceID=14","781000000")</f>
        <v>781000000</v>
      </c>
      <c r="G1974" s="4" t="str">
        <f>HYPERLINK("http://141.218.60.56/~jnz1568/getInfo.php?workbook=10_05.xlsx&amp;sheet=A0&amp;row=1974&amp;col=7&amp;number=0&amp;sourceID=14","0")</f>
        <v>0</v>
      </c>
    </row>
    <row r="1975" spans="1:7">
      <c r="A1975" s="3">
        <v>10</v>
      </c>
      <c r="B1975" s="3">
        <v>5</v>
      </c>
      <c r="C1975" s="3">
        <v>98</v>
      </c>
      <c r="D1975" s="3">
        <v>33</v>
      </c>
      <c r="E1975" s="3">
        <v>-488.657</v>
      </c>
      <c r="F1975" s="4" t="str">
        <f>HYPERLINK("http://141.218.60.56/~jnz1568/getInfo.php?workbook=10_05.xlsx&amp;sheet=A0&amp;row=1975&amp;col=6&amp;number=381000000&amp;sourceID=14","381000000")</f>
        <v>381000000</v>
      </c>
      <c r="G1975" s="4" t="str">
        <f>HYPERLINK("http://141.218.60.56/~jnz1568/getInfo.php?workbook=10_05.xlsx&amp;sheet=A0&amp;row=1975&amp;col=7&amp;number=0&amp;sourceID=14","0")</f>
        <v>0</v>
      </c>
    </row>
    <row r="1976" spans="1:7">
      <c r="A1976" s="3">
        <v>10</v>
      </c>
      <c r="B1976" s="3">
        <v>5</v>
      </c>
      <c r="C1976" s="3">
        <v>101</v>
      </c>
      <c r="D1976" s="3">
        <v>33</v>
      </c>
      <c r="E1976" s="3">
        <v>-487.635</v>
      </c>
      <c r="F1976" s="4" t="str">
        <f>HYPERLINK("http://141.218.60.56/~jnz1568/getInfo.php?workbook=10_05.xlsx&amp;sheet=A0&amp;row=1976&amp;col=6&amp;number=973000000&amp;sourceID=14","973000000")</f>
        <v>973000000</v>
      </c>
      <c r="G1976" s="4" t="str">
        <f>HYPERLINK("http://141.218.60.56/~jnz1568/getInfo.php?workbook=10_05.xlsx&amp;sheet=A0&amp;row=1976&amp;col=7&amp;number=0&amp;sourceID=14","0")</f>
        <v>0</v>
      </c>
    </row>
    <row r="1977" spans="1:7">
      <c r="A1977" s="3">
        <v>10</v>
      </c>
      <c r="B1977" s="3">
        <v>5</v>
      </c>
      <c r="C1977" s="3">
        <v>110</v>
      </c>
      <c r="D1977" s="3">
        <v>33</v>
      </c>
      <c r="E1977" s="3">
        <v>-471.43</v>
      </c>
      <c r="F1977" s="4" t="str">
        <f>HYPERLINK("http://141.218.60.56/~jnz1568/getInfo.php?workbook=10_05.xlsx&amp;sheet=A0&amp;row=1977&amp;col=6&amp;number=950&amp;sourceID=14","950")</f>
        <v>950</v>
      </c>
      <c r="G1977" s="4" t="str">
        <f>HYPERLINK("http://141.218.60.56/~jnz1568/getInfo.php?workbook=10_05.xlsx&amp;sheet=A0&amp;row=1977&amp;col=7&amp;number=0&amp;sourceID=14","0")</f>
        <v>0</v>
      </c>
    </row>
    <row r="1978" spans="1:7">
      <c r="A1978" s="3">
        <v>10</v>
      </c>
      <c r="B1978" s="3">
        <v>5</v>
      </c>
      <c r="C1978" s="3">
        <v>112</v>
      </c>
      <c r="D1978" s="3">
        <v>33</v>
      </c>
      <c r="E1978" s="3">
        <v>-469.976</v>
      </c>
      <c r="F1978" s="4" t="str">
        <f>HYPERLINK("http://141.218.60.56/~jnz1568/getInfo.php?workbook=10_05.xlsx&amp;sheet=A0&amp;row=1978&amp;col=6&amp;number=353000&amp;sourceID=14","353000")</f>
        <v>353000</v>
      </c>
      <c r="G1978" s="4" t="str">
        <f>HYPERLINK("http://141.218.60.56/~jnz1568/getInfo.php?workbook=10_05.xlsx&amp;sheet=A0&amp;row=1978&amp;col=7&amp;number=0&amp;sourceID=14","0")</f>
        <v>0</v>
      </c>
    </row>
    <row r="1979" spans="1:7">
      <c r="A1979" s="3">
        <v>10</v>
      </c>
      <c r="B1979" s="3">
        <v>5</v>
      </c>
      <c r="C1979" s="3">
        <v>114</v>
      </c>
      <c r="D1979" s="3">
        <v>33</v>
      </c>
      <c r="E1979" s="3">
        <v>-468.157</v>
      </c>
      <c r="F1979" s="4" t="str">
        <f>HYPERLINK("http://141.218.60.56/~jnz1568/getInfo.php?workbook=10_05.xlsx&amp;sheet=A0&amp;row=1979&amp;col=6&amp;number=30900&amp;sourceID=14","30900")</f>
        <v>30900</v>
      </c>
      <c r="G1979" s="4" t="str">
        <f>HYPERLINK("http://141.218.60.56/~jnz1568/getInfo.php?workbook=10_05.xlsx&amp;sheet=A0&amp;row=1979&amp;col=7&amp;number=0&amp;sourceID=14","0")</f>
        <v>0</v>
      </c>
    </row>
    <row r="1980" spans="1:7">
      <c r="A1980" s="3">
        <v>10</v>
      </c>
      <c r="B1980" s="3">
        <v>5</v>
      </c>
      <c r="C1980" s="3">
        <v>127</v>
      </c>
      <c r="D1980" s="3">
        <v>33</v>
      </c>
      <c r="E1980" s="3">
        <v>-442.17</v>
      </c>
      <c r="F1980" s="4" t="str">
        <f>HYPERLINK("http://141.218.60.56/~jnz1568/getInfo.php?workbook=10_05.xlsx&amp;sheet=A0&amp;row=1980&amp;col=6&amp;number=397000&amp;sourceID=14","397000")</f>
        <v>397000</v>
      </c>
      <c r="G1980" s="4" t="str">
        <f>HYPERLINK("http://141.218.60.56/~jnz1568/getInfo.php?workbook=10_05.xlsx&amp;sheet=A0&amp;row=1980&amp;col=7&amp;number=0&amp;sourceID=14","0")</f>
        <v>0</v>
      </c>
    </row>
    <row r="1981" spans="1:7">
      <c r="A1981" s="3">
        <v>10</v>
      </c>
      <c r="B1981" s="3">
        <v>5</v>
      </c>
      <c r="C1981" s="3">
        <v>128</v>
      </c>
      <c r="D1981" s="3">
        <v>33</v>
      </c>
      <c r="E1981" s="3">
        <v>-441.293</v>
      </c>
      <c r="F1981" s="4" t="str">
        <f>HYPERLINK("http://141.218.60.56/~jnz1568/getInfo.php?workbook=10_05.xlsx&amp;sheet=A0&amp;row=1981&amp;col=6&amp;number=1360000&amp;sourceID=14","1360000")</f>
        <v>1360000</v>
      </c>
      <c r="G1981" s="4" t="str">
        <f>HYPERLINK("http://141.218.60.56/~jnz1568/getInfo.php?workbook=10_05.xlsx&amp;sheet=A0&amp;row=1981&amp;col=7&amp;number=0&amp;sourceID=14","0")</f>
        <v>0</v>
      </c>
    </row>
    <row r="1982" spans="1:7">
      <c r="A1982" s="3">
        <v>10</v>
      </c>
      <c r="B1982" s="3">
        <v>5</v>
      </c>
      <c r="C1982" s="3">
        <v>134</v>
      </c>
      <c r="D1982" s="3">
        <v>33</v>
      </c>
      <c r="E1982" s="3">
        <v>-432.742</v>
      </c>
      <c r="F1982" s="4" t="str">
        <f>HYPERLINK("http://141.218.60.56/~jnz1568/getInfo.php?workbook=10_05.xlsx&amp;sheet=A0&amp;row=1982&amp;col=6&amp;number=6990000&amp;sourceID=14","6990000")</f>
        <v>6990000</v>
      </c>
      <c r="G1982" s="4" t="str">
        <f>HYPERLINK("http://141.218.60.56/~jnz1568/getInfo.php?workbook=10_05.xlsx&amp;sheet=A0&amp;row=1982&amp;col=7&amp;number=0&amp;sourceID=14","0")</f>
        <v>0</v>
      </c>
    </row>
    <row r="1983" spans="1:7">
      <c r="A1983" s="3">
        <v>10</v>
      </c>
      <c r="B1983" s="3">
        <v>5</v>
      </c>
      <c r="C1983" s="3">
        <v>141</v>
      </c>
      <c r="D1983" s="3">
        <v>33</v>
      </c>
      <c r="E1983" s="3">
        <v>-424.103</v>
      </c>
      <c r="F1983" s="4" t="str">
        <f>HYPERLINK("http://141.218.60.56/~jnz1568/getInfo.php?workbook=10_05.xlsx&amp;sheet=A0&amp;row=1983&amp;col=6&amp;number=5810000000&amp;sourceID=14","5810000000")</f>
        <v>5810000000</v>
      </c>
      <c r="G1983" s="4" t="str">
        <f>HYPERLINK("http://141.218.60.56/~jnz1568/getInfo.php?workbook=10_05.xlsx&amp;sheet=A0&amp;row=1983&amp;col=7&amp;number=0&amp;sourceID=14","0")</f>
        <v>0</v>
      </c>
    </row>
    <row r="1984" spans="1:7">
      <c r="A1984" s="3">
        <v>10</v>
      </c>
      <c r="B1984" s="3">
        <v>5</v>
      </c>
      <c r="C1984" s="3">
        <v>142</v>
      </c>
      <c r="D1984" s="3">
        <v>33</v>
      </c>
      <c r="E1984" s="3">
        <v>-424.024</v>
      </c>
      <c r="F1984" s="4" t="str">
        <f>HYPERLINK("http://141.218.60.56/~jnz1568/getInfo.php?workbook=10_05.xlsx&amp;sheet=A0&amp;row=1984&amp;col=6&amp;number=3500000000&amp;sourceID=14","3500000000")</f>
        <v>3500000000</v>
      </c>
      <c r="G1984" s="4" t="str">
        <f>HYPERLINK("http://141.218.60.56/~jnz1568/getInfo.php?workbook=10_05.xlsx&amp;sheet=A0&amp;row=1984&amp;col=7&amp;number=0&amp;sourceID=14","0")</f>
        <v>0</v>
      </c>
    </row>
    <row r="1985" spans="1:7">
      <c r="A1985" s="3">
        <v>10</v>
      </c>
      <c r="B1985" s="3">
        <v>5</v>
      </c>
      <c r="C1985" s="3">
        <v>145</v>
      </c>
      <c r="D1985" s="3">
        <v>33</v>
      </c>
      <c r="E1985" s="3">
        <v>-421.611</v>
      </c>
      <c r="F1985" s="4" t="str">
        <f>HYPERLINK("http://141.218.60.56/~jnz1568/getInfo.php?workbook=10_05.xlsx&amp;sheet=A0&amp;row=1985&amp;col=6&amp;number=272000000&amp;sourceID=14","272000000")</f>
        <v>272000000</v>
      </c>
      <c r="G1985" s="4" t="str">
        <f>HYPERLINK("http://141.218.60.56/~jnz1568/getInfo.php?workbook=10_05.xlsx&amp;sheet=A0&amp;row=1985&amp;col=7&amp;number=0&amp;sourceID=14","0")</f>
        <v>0</v>
      </c>
    </row>
    <row r="1986" spans="1:7">
      <c r="A1986" s="3">
        <v>10</v>
      </c>
      <c r="B1986" s="3">
        <v>5</v>
      </c>
      <c r="C1986" s="3">
        <v>148</v>
      </c>
      <c r="D1986" s="3">
        <v>33</v>
      </c>
      <c r="E1986" s="3">
        <v>-420.367</v>
      </c>
      <c r="F1986" s="4" t="str">
        <f>HYPERLINK("http://141.218.60.56/~jnz1568/getInfo.php?workbook=10_05.xlsx&amp;sheet=A0&amp;row=1986&amp;col=6&amp;number=337000000&amp;sourceID=14","337000000")</f>
        <v>337000000</v>
      </c>
      <c r="G1986" s="4" t="str">
        <f>HYPERLINK("http://141.218.60.56/~jnz1568/getInfo.php?workbook=10_05.xlsx&amp;sheet=A0&amp;row=1986&amp;col=7&amp;number=0&amp;sourceID=14","0")</f>
        <v>0</v>
      </c>
    </row>
    <row r="1987" spans="1:7">
      <c r="A1987" s="3">
        <v>10</v>
      </c>
      <c r="B1987" s="3">
        <v>5</v>
      </c>
      <c r="C1987" s="3">
        <v>149</v>
      </c>
      <c r="D1987" s="3">
        <v>33</v>
      </c>
      <c r="E1987" s="3">
        <v>-420.192</v>
      </c>
      <c r="F1987" s="4" t="str">
        <f>HYPERLINK("http://141.218.60.56/~jnz1568/getInfo.php?workbook=10_05.xlsx&amp;sheet=A0&amp;row=1987&amp;col=6&amp;number=232000000&amp;sourceID=14","232000000")</f>
        <v>232000000</v>
      </c>
      <c r="G1987" s="4" t="str">
        <f>HYPERLINK("http://141.218.60.56/~jnz1568/getInfo.php?workbook=10_05.xlsx&amp;sheet=A0&amp;row=1987&amp;col=7&amp;number=0&amp;sourceID=14","0")</f>
        <v>0</v>
      </c>
    </row>
    <row r="1988" spans="1:7">
      <c r="A1988" s="3">
        <v>10</v>
      </c>
      <c r="B1988" s="3">
        <v>5</v>
      </c>
      <c r="C1988" s="3">
        <v>158</v>
      </c>
      <c r="D1988" s="3">
        <v>33</v>
      </c>
      <c r="E1988" s="3">
        <v>-406.599</v>
      </c>
      <c r="F1988" s="4" t="str">
        <f>HYPERLINK("http://141.218.60.56/~jnz1568/getInfo.php?workbook=10_05.xlsx&amp;sheet=A0&amp;row=1988&amp;col=6&amp;number=550000&amp;sourceID=14","550000")</f>
        <v>550000</v>
      </c>
      <c r="G1988" s="4" t="str">
        <f>HYPERLINK("http://141.218.60.56/~jnz1568/getInfo.php?workbook=10_05.xlsx&amp;sheet=A0&amp;row=1988&amp;col=7&amp;number=0&amp;sourceID=14","0")</f>
        <v>0</v>
      </c>
    </row>
    <row r="1989" spans="1:7">
      <c r="A1989" s="3">
        <v>10</v>
      </c>
      <c r="B1989" s="3">
        <v>5</v>
      </c>
      <c r="C1989" s="3">
        <v>159</v>
      </c>
      <c r="D1989" s="3">
        <v>33</v>
      </c>
      <c r="E1989" s="3">
        <v>-405.893</v>
      </c>
      <c r="F1989" s="4" t="str">
        <f>HYPERLINK("http://141.218.60.56/~jnz1568/getInfo.php?workbook=10_05.xlsx&amp;sheet=A0&amp;row=1989&amp;col=6&amp;number=2120000&amp;sourceID=14","2120000")</f>
        <v>2120000</v>
      </c>
      <c r="G1989" s="4" t="str">
        <f>HYPERLINK("http://141.218.60.56/~jnz1568/getInfo.php?workbook=10_05.xlsx&amp;sheet=A0&amp;row=1989&amp;col=7&amp;number=0&amp;sourceID=14","0")</f>
        <v>0</v>
      </c>
    </row>
    <row r="1990" spans="1:7">
      <c r="A1990" s="3">
        <v>10</v>
      </c>
      <c r="B1990" s="3">
        <v>5</v>
      </c>
      <c r="C1990" s="3">
        <v>164</v>
      </c>
      <c r="D1990" s="3">
        <v>33</v>
      </c>
      <c r="E1990" s="3">
        <v>-341.884</v>
      </c>
      <c r="F1990" s="4" t="str">
        <f>HYPERLINK("http://141.218.60.56/~jnz1568/getInfo.php?workbook=10_05.xlsx&amp;sheet=A0&amp;row=1990&amp;col=6&amp;number=43500&amp;sourceID=14","43500")</f>
        <v>43500</v>
      </c>
      <c r="G1990" s="4" t="str">
        <f>HYPERLINK("http://141.218.60.56/~jnz1568/getInfo.php?workbook=10_05.xlsx&amp;sheet=A0&amp;row=1990&amp;col=7&amp;number=0&amp;sourceID=14","0")</f>
        <v>0</v>
      </c>
    </row>
    <row r="1991" spans="1:7">
      <c r="A1991" s="3">
        <v>10</v>
      </c>
      <c r="B1991" s="3">
        <v>5</v>
      </c>
      <c r="C1991" s="3">
        <v>165</v>
      </c>
      <c r="D1991" s="3">
        <v>33</v>
      </c>
      <c r="E1991" s="3">
        <v>-341.724</v>
      </c>
      <c r="F1991" s="4" t="str">
        <f>HYPERLINK("http://141.218.60.56/~jnz1568/getInfo.php?workbook=10_05.xlsx&amp;sheet=A0&amp;row=1991&amp;col=6&amp;number=11700&amp;sourceID=14","11700")</f>
        <v>11700</v>
      </c>
      <c r="G1991" s="4" t="str">
        <f>HYPERLINK("http://141.218.60.56/~jnz1568/getInfo.php?workbook=10_05.xlsx&amp;sheet=A0&amp;row=1991&amp;col=7&amp;number=0&amp;sourceID=14","0")</f>
        <v>0</v>
      </c>
    </row>
    <row r="1992" spans="1:7">
      <c r="A1992" s="3">
        <v>10</v>
      </c>
      <c r="B1992" s="3">
        <v>5</v>
      </c>
      <c r="C1992" s="3">
        <v>166</v>
      </c>
      <c r="D1992" s="3">
        <v>33</v>
      </c>
      <c r="E1992" s="3">
        <v>-312.78</v>
      </c>
      <c r="F1992" s="4" t="str">
        <f>HYPERLINK("http://141.218.60.56/~jnz1568/getInfo.php?workbook=10_05.xlsx&amp;sheet=A0&amp;row=1992&amp;col=6&amp;number=15600&amp;sourceID=14","15600")</f>
        <v>15600</v>
      </c>
      <c r="G1992" s="4" t="str">
        <f>HYPERLINK("http://141.218.60.56/~jnz1568/getInfo.php?workbook=10_05.xlsx&amp;sheet=A0&amp;row=1992&amp;col=7&amp;number=0&amp;sourceID=14","0")</f>
        <v>0</v>
      </c>
    </row>
    <row r="1993" spans="1:7">
      <c r="A1993" s="3">
        <v>10</v>
      </c>
      <c r="B1993" s="3">
        <v>5</v>
      </c>
      <c r="C1993" s="3">
        <v>167</v>
      </c>
      <c r="D1993" s="3">
        <v>33</v>
      </c>
      <c r="E1993" s="3">
        <v>-312.739</v>
      </c>
      <c r="F1993" s="4" t="str">
        <f>HYPERLINK("http://141.218.60.56/~jnz1568/getInfo.php?workbook=10_05.xlsx&amp;sheet=A0&amp;row=1993&amp;col=6&amp;number=15400&amp;sourceID=14","15400")</f>
        <v>15400</v>
      </c>
      <c r="G1993" s="4" t="str">
        <f>HYPERLINK("http://141.218.60.56/~jnz1568/getInfo.php?workbook=10_05.xlsx&amp;sheet=A0&amp;row=1993&amp;col=7&amp;number=0&amp;sourceID=14","0")</f>
        <v>0</v>
      </c>
    </row>
    <row r="1994" spans="1:7">
      <c r="A1994" s="3">
        <v>10</v>
      </c>
      <c r="B1994" s="3">
        <v>5</v>
      </c>
      <c r="C1994" s="3">
        <v>177</v>
      </c>
      <c r="D1994" s="3">
        <v>33</v>
      </c>
      <c r="E1994" s="3">
        <v>-283.992</v>
      </c>
      <c r="F1994" s="4" t="str">
        <f>HYPERLINK("http://141.218.60.56/~jnz1568/getInfo.php?workbook=10_05.xlsx&amp;sheet=A0&amp;row=1994&amp;col=6&amp;number=292&amp;sourceID=14","292")</f>
        <v>292</v>
      </c>
      <c r="G1994" s="4" t="str">
        <f>HYPERLINK("http://141.218.60.56/~jnz1568/getInfo.php?workbook=10_05.xlsx&amp;sheet=A0&amp;row=1994&amp;col=7&amp;number=0&amp;sourceID=14","0")</f>
        <v>0</v>
      </c>
    </row>
    <row r="1995" spans="1:7">
      <c r="A1995" s="3">
        <v>10</v>
      </c>
      <c r="B1995" s="3">
        <v>5</v>
      </c>
      <c r="C1995" s="3">
        <v>179</v>
      </c>
      <c r="D1995" s="3">
        <v>33</v>
      </c>
      <c r="E1995" s="3">
        <v>-280.727</v>
      </c>
      <c r="F1995" s="4" t="str">
        <f>HYPERLINK("http://141.218.60.56/~jnz1568/getInfo.php?workbook=10_05.xlsx&amp;sheet=A0&amp;row=1995&amp;col=6&amp;number=13900&amp;sourceID=14","13900")</f>
        <v>13900</v>
      </c>
      <c r="G1995" s="4" t="str">
        <f>HYPERLINK("http://141.218.60.56/~jnz1568/getInfo.php?workbook=10_05.xlsx&amp;sheet=A0&amp;row=1995&amp;col=7&amp;number=0&amp;sourceID=14","0")</f>
        <v>0</v>
      </c>
    </row>
    <row r="1996" spans="1:7">
      <c r="A1996" s="3">
        <v>10</v>
      </c>
      <c r="B1996" s="3">
        <v>5</v>
      </c>
      <c r="C1996" s="3">
        <v>180</v>
      </c>
      <c r="D1996" s="3">
        <v>33</v>
      </c>
      <c r="E1996" s="3">
        <v>-280.698</v>
      </c>
      <c r="F1996" s="4" t="str">
        <f>HYPERLINK("http://141.218.60.56/~jnz1568/getInfo.php?workbook=10_05.xlsx&amp;sheet=A0&amp;row=1996&amp;col=6&amp;number=11800&amp;sourceID=14","11800")</f>
        <v>11800</v>
      </c>
      <c r="G1996" s="4" t="str">
        <f>HYPERLINK("http://141.218.60.56/~jnz1568/getInfo.php?workbook=10_05.xlsx&amp;sheet=A0&amp;row=1996&amp;col=7&amp;number=0&amp;sourceID=14","0")</f>
        <v>0</v>
      </c>
    </row>
    <row r="1997" spans="1:7">
      <c r="A1997" s="3">
        <v>10</v>
      </c>
      <c r="B1997" s="3">
        <v>5</v>
      </c>
      <c r="C1997" s="3">
        <v>38</v>
      </c>
      <c r="D1997" s="3">
        <v>34</v>
      </c>
      <c r="E1997" s="3">
        <v>-5162.899</v>
      </c>
      <c r="F1997" s="4" t="str">
        <f>HYPERLINK("http://141.218.60.56/~jnz1568/getInfo.php?workbook=10_05.xlsx&amp;sheet=A0&amp;row=1997&amp;col=6&amp;number=899&amp;sourceID=14","899")</f>
        <v>899</v>
      </c>
      <c r="G1997" s="4" t="str">
        <f>HYPERLINK("http://141.218.60.56/~jnz1568/getInfo.php?workbook=10_05.xlsx&amp;sheet=A0&amp;row=1997&amp;col=7&amp;number=0&amp;sourceID=14","0")</f>
        <v>0</v>
      </c>
    </row>
    <row r="1998" spans="1:7">
      <c r="A1998" s="3">
        <v>10</v>
      </c>
      <c r="B1998" s="3">
        <v>5</v>
      </c>
      <c r="C1998" s="3">
        <v>39</v>
      </c>
      <c r="D1998" s="3">
        <v>34</v>
      </c>
      <c r="E1998" s="3">
        <v>-5090.881</v>
      </c>
      <c r="F1998" s="4" t="str">
        <f>HYPERLINK("http://141.218.60.56/~jnz1568/getInfo.php?workbook=10_05.xlsx&amp;sheet=A0&amp;row=1998&amp;col=6&amp;number=2620&amp;sourceID=14","2620")</f>
        <v>2620</v>
      </c>
      <c r="G1998" s="4" t="str">
        <f>HYPERLINK("http://141.218.60.56/~jnz1568/getInfo.php?workbook=10_05.xlsx&amp;sheet=A0&amp;row=1998&amp;col=7&amp;number=0&amp;sourceID=14","0")</f>
        <v>0</v>
      </c>
    </row>
    <row r="1999" spans="1:7">
      <c r="A1999" s="3">
        <v>10</v>
      </c>
      <c r="B1999" s="3">
        <v>5</v>
      </c>
      <c r="C1999" s="3">
        <v>43</v>
      </c>
      <c r="D1999" s="3">
        <v>34</v>
      </c>
      <c r="E1999" s="3">
        <v>-3208.631</v>
      </c>
      <c r="F1999" s="4" t="str">
        <f>HYPERLINK("http://141.218.60.56/~jnz1568/getInfo.php?workbook=10_05.xlsx&amp;sheet=A0&amp;row=1999&amp;col=6&amp;number=6460000&amp;sourceID=14","6460000")</f>
        <v>6460000</v>
      </c>
      <c r="G1999" s="4" t="str">
        <f>HYPERLINK("http://141.218.60.56/~jnz1568/getInfo.php?workbook=10_05.xlsx&amp;sheet=A0&amp;row=1999&amp;col=7&amp;number=0&amp;sourceID=14","0")</f>
        <v>0</v>
      </c>
    </row>
    <row r="2000" spans="1:7">
      <c r="A2000" s="3">
        <v>10</v>
      </c>
      <c r="B2000" s="3">
        <v>5</v>
      </c>
      <c r="C2000" s="3">
        <v>44</v>
      </c>
      <c r="D2000" s="3">
        <v>34</v>
      </c>
      <c r="E2000" s="3">
        <v>-3198.573</v>
      </c>
      <c r="F2000" s="4" t="str">
        <f>HYPERLINK("http://141.218.60.56/~jnz1568/getInfo.php?workbook=10_05.xlsx&amp;sheet=A0&amp;row=2000&amp;col=6&amp;number=22100000&amp;sourceID=14","22100000")</f>
        <v>22100000</v>
      </c>
      <c r="G2000" s="4" t="str">
        <f>HYPERLINK("http://141.218.60.56/~jnz1568/getInfo.php?workbook=10_05.xlsx&amp;sheet=A0&amp;row=2000&amp;col=7&amp;number=0&amp;sourceID=14","0")</f>
        <v>0</v>
      </c>
    </row>
    <row r="2001" spans="1:7">
      <c r="A2001" s="3">
        <v>10</v>
      </c>
      <c r="B2001" s="3">
        <v>5</v>
      </c>
      <c r="C2001" s="3">
        <v>45</v>
      </c>
      <c r="D2001" s="3">
        <v>34</v>
      </c>
      <c r="E2001" s="3">
        <v>-3188.476</v>
      </c>
      <c r="F2001" s="4" t="str">
        <f>HYPERLINK("http://141.218.60.56/~jnz1568/getInfo.php?workbook=10_05.xlsx&amp;sheet=A0&amp;row=2001&amp;col=6&amp;number=32600000&amp;sourceID=14","32600000")</f>
        <v>32600000</v>
      </c>
      <c r="G2001" s="4" t="str">
        <f>HYPERLINK("http://141.218.60.56/~jnz1568/getInfo.php?workbook=10_05.xlsx&amp;sheet=A0&amp;row=2001&amp;col=7&amp;number=0&amp;sourceID=14","0")</f>
        <v>0</v>
      </c>
    </row>
    <row r="2002" spans="1:7">
      <c r="A2002" s="3">
        <v>10</v>
      </c>
      <c r="B2002" s="3">
        <v>5</v>
      </c>
      <c r="C2002" s="3">
        <v>47</v>
      </c>
      <c r="D2002" s="3">
        <v>34</v>
      </c>
      <c r="E2002" s="3">
        <v>-3038.596</v>
      </c>
      <c r="F2002" s="4" t="str">
        <f>HYPERLINK("http://141.218.60.56/~jnz1568/getInfo.php?workbook=10_05.xlsx&amp;sheet=A0&amp;row=2002&amp;col=6&amp;number=104000&amp;sourceID=14","104000")</f>
        <v>104000</v>
      </c>
      <c r="G2002" s="4" t="str">
        <f>HYPERLINK("http://141.218.60.56/~jnz1568/getInfo.php?workbook=10_05.xlsx&amp;sheet=A0&amp;row=2002&amp;col=7&amp;number=0&amp;sourceID=14","0")</f>
        <v>0</v>
      </c>
    </row>
    <row r="2003" spans="1:7">
      <c r="A2003" s="3">
        <v>10</v>
      </c>
      <c r="B2003" s="3">
        <v>5</v>
      </c>
      <c r="C2003" s="3">
        <v>48</v>
      </c>
      <c r="D2003" s="3">
        <v>34</v>
      </c>
      <c r="E2003" s="3">
        <v>-3019.42</v>
      </c>
      <c r="F2003" s="4" t="str">
        <f>HYPERLINK("http://141.218.60.56/~jnz1568/getInfo.php?workbook=10_05.xlsx&amp;sheet=A0&amp;row=2003&amp;col=6&amp;number=5510&amp;sourceID=14","5510")</f>
        <v>5510</v>
      </c>
      <c r="G2003" s="4" t="str">
        <f>HYPERLINK("http://141.218.60.56/~jnz1568/getInfo.php?workbook=10_05.xlsx&amp;sheet=A0&amp;row=2003&amp;col=7&amp;number=0&amp;sourceID=14","0")</f>
        <v>0</v>
      </c>
    </row>
    <row r="2004" spans="1:7">
      <c r="A2004" s="3">
        <v>10</v>
      </c>
      <c r="B2004" s="3">
        <v>5</v>
      </c>
      <c r="C2004" s="3">
        <v>49</v>
      </c>
      <c r="D2004" s="3">
        <v>34</v>
      </c>
      <c r="E2004" s="3">
        <v>-2739.806</v>
      </c>
      <c r="F2004" s="4" t="str">
        <f>HYPERLINK("http://141.218.60.56/~jnz1568/getInfo.php?workbook=10_05.xlsx&amp;sheet=A0&amp;row=2004&amp;col=6&amp;number=4070000&amp;sourceID=14","4070000")</f>
        <v>4070000</v>
      </c>
      <c r="G2004" s="4" t="str">
        <f>HYPERLINK("http://141.218.60.56/~jnz1568/getInfo.php?workbook=10_05.xlsx&amp;sheet=A0&amp;row=2004&amp;col=7&amp;number=0&amp;sourceID=14","0")</f>
        <v>0</v>
      </c>
    </row>
    <row r="2005" spans="1:7">
      <c r="A2005" s="3">
        <v>10</v>
      </c>
      <c r="B2005" s="3">
        <v>5</v>
      </c>
      <c r="C2005" s="3">
        <v>50</v>
      </c>
      <c r="D2005" s="3">
        <v>34</v>
      </c>
      <c r="E2005" s="3">
        <v>-2717.766</v>
      </c>
      <c r="F2005" s="4" t="str">
        <f>HYPERLINK("http://141.218.60.56/~jnz1568/getInfo.php?workbook=10_05.xlsx&amp;sheet=A0&amp;row=2005&amp;col=6&amp;number=7880000&amp;sourceID=14","7880000")</f>
        <v>7880000</v>
      </c>
      <c r="G2005" s="4" t="str">
        <f>HYPERLINK("http://141.218.60.56/~jnz1568/getInfo.php?workbook=10_05.xlsx&amp;sheet=A0&amp;row=2005&amp;col=7&amp;number=0&amp;sourceID=14","0")</f>
        <v>0</v>
      </c>
    </row>
    <row r="2006" spans="1:7">
      <c r="A2006" s="3">
        <v>10</v>
      </c>
      <c r="B2006" s="3">
        <v>5</v>
      </c>
      <c r="C2006" s="3">
        <v>51</v>
      </c>
      <c r="D2006" s="3">
        <v>34</v>
      </c>
      <c r="E2006" s="3">
        <v>-2699.206</v>
      </c>
      <c r="F2006" s="4" t="str">
        <f>HYPERLINK("http://141.218.60.56/~jnz1568/getInfo.php?workbook=10_05.xlsx&amp;sheet=A0&amp;row=2006&amp;col=6&amp;number=32300000&amp;sourceID=14","32300000")</f>
        <v>32300000</v>
      </c>
      <c r="G2006" s="4" t="str">
        <f>HYPERLINK("http://141.218.60.56/~jnz1568/getInfo.php?workbook=10_05.xlsx&amp;sheet=A0&amp;row=2006&amp;col=7&amp;number=0&amp;sourceID=14","0")</f>
        <v>0</v>
      </c>
    </row>
    <row r="2007" spans="1:7">
      <c r="A2007" s="3">
        <v>10</v>
      </c>
      <c r="B2007" s="3">
        <v>5</v>
      </c>
      <c r="C2007" s="3">
        <v>52</v>
      </c>
      <c r="D2007" s="3">
        <v>34</v>
      </c>
      <c r="E2007" s="3">
        <v>-2215.58</v>
      </c>
      <c r="F2007" s="4" t="str">
        <f>HYPERLINK("http://141.218.60.56/~jnz1568/getInfo.php?workbook=10_05.xlsx&amp;sheet=A0&amp;row=2007&amp;col=6&amp;number=2190&amp;sourceID=14","2190")</f>
        <v>2190</v>
      </c>
      <c r="G2007" s="4" t="str">
        <f>HYPERLINK("http://141.218.60.56/~jnz1568/getInfo.php?workbook=10_05.xlsx&amp;sheet=A0&amp;row=2007&amp;col=7&amp;number=0&amp;sourceID=14","0")</f>
        <v>0</v>
      </c>
    </row>
    <row r="2008" spans="1:7">
      <c r="A2008" s="3">
        <v>10</v>
      </c>
      <c r="B2008" s="3">
        <v>5</v>
      </c>
      <c r="C2008" s="3">
        <v>53</v>
      </c>
      <c r="D2008" s="3">
        <v>34</v>
      </c>
      <c r="E2008" s="3">
        <v>-2212.883</v>
      </c>
      <c r="F2008" s="4" t="str">
        <f>HYPERLINK("http://141.218.60.56/~jnz1568/getInfo.php?workbook=10_05.xlsx&amp;sheet=A0&amp;row=2008&amp;col=6&amp;number=914&amp;sourceID=14","914")</f>
        <v>914</v>
      </c>
      <c r="G2008" s="4" t="str">
        <f>HYPERLINK("http://141.218.60.56/~jnz1568/getInfo.php?workbook=10_05.xlsx&amp;sheet=A0&amp;row=2008&amp;col=7&amp;number=0&amp;sourceID=14","0")</f>
        <v>0</v>
      </c>
    </row>
    <row r="2009" spans="1:7">
      <c r="A2009" s="3">
        <v>10</v>
      </c>
      <c r="B2009" s="3">
        <v>5</v>
      </c>
      <c r="C2009" s="3">
        <v>54</v>
      </c>
      <c r="D2009" s="3">
        <v>34</v>
      </c>
      <c r="E2009" s="3">
        <v>-1968.585</v>
      </c>
      <c r="F2009" s="4" t="str">
        <f>HYPERLINK("http://141.218.60.56/~jnz1568/getInfo.php?workbook=10_05.xlsx&amp;sheet=A0&amp;row=2009&amp;col=6&amp;number=33900&amp;sourceID=14","33900")</f>
        <v>33900</v>
      </c>
      <c r="G2009" s="4" t="str">
        <f>HYPERLINK("http://141.218.60.56/~jnz1568/getInfo.php?workbook=10_05.xlsx&amp;sheet=A0&amp;row=2009&amp;col=7&amp;number=0&amp;sourceID=14","0")</f>
        <v>0</v>
      </c>
    </row>
    <row r="2010" spans="1:7">
      <c r="A2010" s="3">
        <v>10</v>
      </c>
      <c r="B2010" s="3">
        <v>5</v>
      </c>
      <c r="C2010" s="3">
        <v>56</v>
      </c>
      <c r="D2010" s="3">
        <v>34</v>
      </c>
      <c r="E2010" s="3">
        <v>-1751.409</v>
      </c>
      <c r="F2010" s="4" t="str">
        <f>HYPERLINK("http://141.218.60.56/~jnz1568/getInfo.php?workbook=10_05.xlsx&amp;sheet=A0&amp;row=2010&amp;col=6&amp;number=5640&amp;sourceID=14","5640")</f>
        <v>5640</v>
      </c>
      <c r="G2010" s="4" t="str">
        <f>HYPERLINK("http://141.218.60.56/~jnz1568/getInfo.php?workbook=10_05.xlsx&amp;sheet=A0&amp;row=2010&amp;col=7&amp;number=0&amp;sourceID=14","0")</f>
        <v>0</v>
      </c>
    </row>
    <row r="2011" spans="1:7">
      <c r="A2011" s="3">
        <v>10</v>
      </c>
      <c r="B2011" s="3">
        <v>5</v>
      </c>
      <c r="C2011" s="3">
        <v>57</v>
      </c>
      <c r="D2011" s="3">
        <v>34</v>
      </c>
      <c r="E2011" s="3">
        <v>-1739.043</v>
      </c>
      <c r="F2011" s="4" t="str">
        <f>HYPERLINK("http://141.218.60.56/~jnz1568/getInfo.php?workbook=10_05.xlsx&amp;sheet=A0&amp;row=2011&amp;col=6&amp;number=19400&amp;sourceID=14","19400")</f>
        <v>19400</v>
      </c>
      <c r="G2011" s="4" t="str">
        <f>HYPERLINK("http://141.218.60.56/~jnz1568/getInfo.php?workbook=10_05.xlsx&amp;sheet=A0&amp;row=2011&amp;col=7&amp;number=0&amp;sourceID=14","0")</f>
        <v>0</v>
      </c>
    </row>
    <row r="2012" spans="1:7">
      <c r="A2012" s="3">
        <v>10</v>
      </c>
      <c r="B2012" s="3">
        <v>5</v>
      </c>
      <c r="C2012" s="3">
        <v>64</v>
      </c>
      <c r="D2012" s="3">
        <v>34</v>
      </c>
      <c r="E2012" s="3">
        <v>-905.84</v>
      </c>
      <c r="F2012" s="4" t="str">
        <f>HYPERLINK("http://141.218.60.56/~jnz1568/getInfo.php?workbook=10_05.xlsx&amp;sheet=A0&amp;row=2012&amp;col=6&amp;number=6740&amp;sourceID=14","6740")</f>
        <v>6740</v>
      </c>
      <c r="G2012" s="4" t="str">
        <f>HYPERLINK("http://141.218.60.56/~jnz1568/getInfo.php?workbook=10_05.xlsx&amp;sheet=A0&amp;row=2012&amp;col=7&amp;number=0&amp;sourceID=14","0")</f>
        <v>0</v>
      </c>
    </row>
    <row r="2013" spans="1:7">
      <c r="A2013" s="3">
        <v>10</v>
      </c>
      <c r="B2013" s="3">
        <v>5</v>
      </c>
      <c r="C2013" s="3">
        <v>65</v>
      </c>
      <c r="D2013" s="3">
        <v>34</v>
      </c>
      <c r="E2013" s="3">
        <v>-904.848</v>
      </c>
      <c r="F2013" s="4" t="str">
        <f>HYPERLINK("http://141.218.60.56/~jnz1568/getInfo.php?workbook=10_05.xlsx&amp;sheet=A0&amp;row=2013&amp;col=6&amp;number=2130&amp;sourceID=14","2130")</f>
        <v>2130</v>
      </c>
      <c r="G2013" s="4" t="str">
        <f>HYPERLINK("http://141.218.60.56/~jnz1568/getInfo.php?workbook=10_05.xlsx&amp;sheet=A0&amp;row=2013&amp;col=7&amp;number=0&amp;sourceID=14","0")</f>
        <v>0</v>
      </c>
    </row>
    <row r="2014" spans="1:7">
      <c r="A2014" s="3">
        <v>10</v>
      </c>
      <c r="B2014" s="3">
        <v>5</v>
      </c>
      <c r="C2014" s="3">
        <v>68</v>
      </c>
      <c r="D2014" s="3">
        <v>34</v>
      </c>
      <c r="E2014" s="3">
        <v>-788.024</v>
      </c>
      <c r="F2014" s="4" t="str">
        <f>HYPERLINK("http://141.218.60.56/~jnz1568/getInfo.php?workbook=10_05.xlsx&amp;sheet=A0&amp;row=2014&amp;col=6&amp;number=623&amp;sourceID=14","623")</f>
        <v>623</v>
      </c>
      <c r="G2014" s="4" t="str">
        <f>HYPERLINK("http://141.218.60.56/~jnz1568/getInfo.php?workbook=10_05.xlsx&amp;sheet=A0&amp;row=2014&amp;col=7&amp;number=0&amp;sourceID=14","0")</f>
        <v>0</v>
      </c>
    </row>
    <row r="2015" spans="1:7">
      <c r="A2015" s="3">
        <v>10</v>
      </c>
      <c r="B2015" s="3">
        <v>5</v>
      </c>
      <c r="C2015" s="3">
        <v>73</v>
      </c>
      <c r="D2015" s="3">
        <v>34</v>
      </c>
      <c r="E2015" s="3">
        <v>-740.687</v>
      </c>
      <c r="F2015" s="4" t="str">
        <f>HYPERLINK("http://141.218.60.56/~jnz1568/getInfo.php?workbook=10_05.xlsx&amp;sheet=A0&amp;row=2015&amp;col=6&amp;number=34000&amp;sourceID=14","34000")</f>
        <v>34000</v>
      </c>
      <c r="G2015" s="4" t="str">
        <f>HYPERLINK("http://141.218.60.56/~jnz1568/getInfo.php?workbook=10_05.xlsx&amp;sheet=A0&amp;row=2015&amp;col=7&amp;number=0&amp;sourceID=14","0")</f>
        <v>0</v>
      </c>
    </row>
    <row r="2016" spans="1:7">
      <c r="A2016" s="3">
        <v>10</v>
      </c>
      <c r="B2016" s="3">
        <v>5</v>
      </c>
      <c r="C2016" s="3">
        <v>74</v>
      </c>
      <c r="D2016" s="3">
        <v>34</v>
      </c>
      <c r="E2016" s="3">
        <v>-740.024</v>
      </c>
      <c r="F2016" s="4" t="str">
        <f>HYPERLINK("http://141.218.60.56/~jnz1568/getInfo.php?workbook=10_05.xlsx&amp;sheet=A0&amp;row=2016&amp;col=6&amp;number=703&amp;sourceID=14","703")</f>
        <v>703</v>
      </c>
      <c r="G2016" s="4" t="str">
        <f>HYPERLINK("http://141.218.60.56/~jnz1568/getInfo.php?workbook=10_05.xlsx&amp;sheet=A0&amp;row=2016&amp;col=7&amp;number=0&amp;sourceID=14","0")</f>
        <v>0</v>
      </c>
    </row>
    <row r="2017" spans="1:7">
      <c r="A2017" s="3">
        <v>10</v>
      </c>
      <c r="B2017" s="3">
        <v>5</v>
      </c>
      <c r="C2017" s="3">
        <v>75</v>
      </c>
      <c r="D2017" s="3">
        <v>34</v>
      </c>
      <c r="E2017" s="3">
        <v>-729.013</v>
      </c>
      <c r="F2017" s="4" t="str">
        <f>HYPERLINK("http://141.218.60.56/~jnz1568/getInfo.php?workbook=10_05.xlsx&amp;sheet=A0&amp;row=2017&amp;col=6&amp;number=17100&amp;sourceID=14","17100")</f>
        <v>17100</v>
      </c>
      <c r="G2017" s="4" t="str">
        <f>HYPERLINK("http://141.218.60.56/~jnz1568/getInfo.php?workbook=10_05.xlsx&amp;sheet=A0&amp;row=2017&amp;col=7&amp;number=0&amp;sourceID=14","0")</f>
        <v>0</v>
      </c>
    </row>
    <row r="2018" spans="1:7">
      <c r="A2018" s="3">
        <v>10</v>
      </c>
      <c r="B2018" s="3">
        <v>5</v>
      </c>
      <c r="C2018" s="3">
        <v>76</v>
      </c>
      <c r="D2018" s="3">
        <v>34</v>
      </c>
      <c r="E2018" s="3">
        <v>-728.604</v>
      </c>
      <c r="F2018" s="4" t="str">
        <f>HYPERLINK("http://141.218.60.56/~jnz1568/getInfo.php?workbook=10_05.xlsx&amp;sheet=A0&amp;row=2018&amp;col=6&amp;number=12400&amp;sourceID=14","12400")</f>
        <v>12400</v>
      </c>
      <c r="G2018" s="4" t="str">
        <f>HYPERLINK("http://141.218.60.56/~jnz1568/getInfo.php?workbook=10_05.xlsx&amp;sheet=A0&amp;row=2018&amp;col=7&amp;number=0&amp;sourceID=14","0")</f>
        <v>0</v>
      </c>
    </row>
    <row r="2019" spans="1:7">
      <c r="A2019" s="3">
        <v>10</v>
      </c>
      <c r="B2019" s="3">
        <v>5</v>
      </c>
      <c r="C2019" s="3">
        <v>79</v>
      </c>
      <c r="D2019" s="3">
        <v>34</v>
      </c>
      <c r="E2019" s="3">
        <v>-625.482</v>
      </c>
      <c r="F2019" s="4" t="str">
        <f>HYPERLINK("http://141.218.60.56/~jnz1568/getInfo.php?workbook=10_05.xlsx&amp;sheet=A0&amp;row=2019&amp;col=6&amp;number=1620000&amp;sourceID=14","1620000")</f>
        <v>1620000</v>
      </c>
      <c r="G2019" s="4" t="str">
        <f>HYPERLINK("http://141.218.60.56/~jnz1568/getInfo.php?workbook=10_05.xlsx&amp;sheet=A0&amp;row=2019&amp;col=7&amp;number=0&amp;sourceID=14","0")</f>
        <v>0</v>
      </c>
    </row>
    <row r="2020" spans="1:7">
      <c r="A2020" s="3">
        <v>10</v>
      </c>
      <c r="B2020" s="3">
        <v>5</v>
      </c>
      <c r="C2020" s="3">
        <v>82</v>
      </c>
      <c r="D2020" s="3">
        <v>34</v>
      </c>
      <c r="E2020" s="3">
        <v>-601.972</v>
      </c>
      <c r="F2020" s="4" t="str">
        <f>HYPERLINK("http://141.218.60.56/~jnz1568/getInfo.php?workbook=10_05.xlsx&amp;sheet=A0&amp;row=2020&amp;col=6&amp;number=142000000&amp;sourceID=14","142000000")</f>
        <v>142000000</v>
      </c>
      <c r="G2020" s="4" t="str">
        <f>HYPERLINK("http://141.218.60.56/~jnz1568/getInfo.php?workbook=10_05.xlsx&amp;sheet=A0&amp;row=2020&amp;col=7&amp;number=0&amp;sourceID=14","0")</f>
        <v>0</v>
      </c>
    </row>
    <row r="2021" spans="1:7">
      <c r="A2021" s="3">
        <v>10</v>
      </c>
      <c r="B2021" s="3">
        <v>5</v>
      </c>
      <c r="C2021" s="3">
        <v>83</v>
      </c>
      <c r="D2021" s="3">
        <v>34</v>
      </c>
      <c r="E2021" s="3">
        <v>-600.981</v>
      </c>
      <c r="F2021" s="4" t="str">
        <f>HYPERLINK("http://141.218.60.56/~jnz1568/getInfo.php?workbook=10_05.xlsx&amp;sheet=A0&amp;row=2021&amp;col=6&amp;number=475000000&amp;sourceID=14","475000000")</f>
        <v>475000000</v>
      </c>
      <c r="G2021" s="4" t="str">
        <f>HYPERLINK("http://141.218.60.56/~jnz1568/getInfo.php?workbook=10_05.xlsx&amp;sheet=A0&amp;row=2021&amp;col=7&amp;number=0&amp;sourceID=14","0")</f>
        <v>0</v>
      </c>
    </row>
    <row r="2022" spans="1:7">
      <c r="A2022" s="3">
        <v>10</v>
      </c>
      <c r="B2022" s="3">
        <v>5</v>
      </c>
      <c r="C2022" s="3">
        <v>84</v>
      </c>
      <c r="D2022" s="3">
        <v>34</v>
      </c>
      <c r="E2022" s="3">
        <v>-599.32</v>
      </c>
      <c r="F2022" s="4" t="str">
        <f>HYPERLINK("http://141.218.60.56/~jnz1568/getInfo.php?workbook=10_05.xlsx&amp;sheet=A0&amp;row=2022&amp;col=6&amp;number=672000000&amp;sourceID=14","672000000")</f>
        <v>672000000</v>
      </c>
      <c r="G2022" s="4" t="str">
        <f>HYPERLINK("http://141.218.60.56/~jnz1568/getInfo.php?workbook=10_05.xlsx&amp;sheet=A0&amp;row=2022&amp;col=7&amp;number=0&amp;sourceID=14","0")</f>
        <v>0</v>
      </c>
    </row>
    <row r="2023" spans="1:7">
      <c r="A2023" s="3">
        <v>10</v>
      </c>
      <c r="B2023" s="3">
        <v>5</v>
      </c>
      <c r="C2023" s="3">
        <v>86</v>
      </c>
      <c r="D2023" s="3">
        <v>34</v>
      </c>
      <c r="E2023" s="3">
        <v>-595.75</v>
      </c>
      <c r="F2023" s="4" t="str">
        <f>HYPERLINK("http://141.218.60.56/~jnz1568/getInfo.php?workbook=10_05.xlsx&amp;sheet=A0&amp;row=2023&amp;col=6&amp;number=1520000&amp;sourceID=14","1520000")</f>
        <v>1520000</v>
      </c>
      <c r="G2023" s="4" t="str">
        <f>HYPERLINK("http://141.218.60.56/~jnz1568/getInfo.php?workbook=10_05.xlsx&amp;sheet=A0&amp;row=2023&amp;col=7&amp;number=0&amp;sourceID=14","0")</f>
        <v>0</v>
      </c>
    </row>
    <row r="2024" spans="1:7">
      <c r="A2024" s="3">
        <v>10</v>
      </c>
      <c r="B2024" s="3">
        <v>5</v>
      </c>
      <c r="C2024" s="3">
        <v>88</v>
      </c>
      <c r="D2024" s="3">
        <v>34</v>
      </c>
      <c r="E2024" s="3">
        <v>-587.915</v>
      </c>
      <c r="F2024" s="4" t="str">
        <f>HYPERLINK("http://141.218.60.56/~jnz1568/getInfo.php?workbook=10_05.xlsx&amp;sheet=A0&amp;row=2024&amp;col=6&amp;number=1330000000&amp;sourceID=14","1330000000")</f>
        <v>1330000000</v>
      </c>
      <c r="G2024" s="4" t="str">
        <f>HYPERLINK("http://141.218.60.56/~jnz1568/getInfo.php?workbook=10_05.xlsx&amp;sheet=A0&amp;row=2024&amp;col=7&amp;number=0&amp;sourceID=14","0")</f>
        <v>0</v>
      </c>
    </row>
    <row r="2025" spans="1:7">
      <c r="A2025" s="3">
        <v>10</v>
      </c>
      <c r="B2025" s="3">
        <v>5</v>
      </c>
      <c r="C2025" s="3">
        <v>89</v>
      </c>
      <c r="D2025" s="3">
        <v>34</v>
      </c>
      <c r="E2025" s="3">
        <v>-586.628</v>
      </c>
      <c r="F2025" s="4" t="str">
        <f>HYPERLINK("http://141.218.60.56/~jnz1568/getInfo.php?workbook=10_05.xlsx&amp;sheet=A0&amp;row=2025&amp;col=6&amp;number=259000000&amp;sourceID=14","259000000")</f>
        <v>259000000</v>
      </c>
      <c r="G2025" s="4" t="str">
        <f>HYPERLINK("http://141.218.60.56/~jnz1568/getInfo.php?workbook=10_05.xlsx&amp;sheet=A0&amp;row=2025&amp;col=7&amp;number=0&amp;sourceID=14","0")</f>
        <v>0</v>
      </c>
    </row>
    <row r="2026" spans="1:7">
      <c r="A2026" s="3">
        <v>10</v>
      </c>
      <c r="B2026" s="3">
        <v>5</v>
      </c>
      <c r="C2026" s="3">
        <v>90</v>
      </c>
      <c r="D2026" s="3">
        <v>34</v>
      </c>
      <c r="E2026" s="3">
        <v>-584.67</v>
      </c>
      <c r="F2026" s="4" t="str">
        <f>HYPERLINK("http://141.218.60.56/~jnz1568/getInfo.php?workbook=10_05.xlsx&amp;sheet=A0&amp;row=2026&amp;col=6&amp;number=352000000&amp;sourceID=14","352000000")</f>
        <v>352000000</v>
      </c>
      <c r="G2026" s="4" t="str">
        <f>HYPERLINK("http://141.218.60.56/~jnz1568/getInfo.php?workbook=10_05.xlsx&amp;sheet=A0&amp;row=2026&amp;col=7&amp;number=0&amp;sourceID=14","0")</f>
        <v>0</v>
      </c>
    </row>
    <row r="2027" spans="1:7">
      <c r="A2027" s="3">
        <v>10</v>
      </c>
      <c r="B2027" s="3">
        <v>5</v>
      </c>
      <c r="C2027" s="3">
        <v>91</v>
      </c>
      <c r="D2027" s="3">
        <v>34</v>
      </c>
      <c r="E2027" s="3">
        <v>-558.923</v>
      </c>
      <c r="F2027" s="4" t="str">
        <f>HYPERLINK("http://141.218.60.56/~jnz1568/getInfo.php?workbook=10_05.xlsx&amp;sheet=A0&amp;row=2027&amp;col=6&amp;number=30100&amp;sourceID=14","30100")</f>
        <v>30100</v>
      </c>
      <c r="G2027" s="4" t="str">
        <f>HYPERLINK("http://141.218.60.56/~jnz1568/getInfo.php?workbook=10_05.xlsx&amp;sheet=A0&amp;row=2027&amp;col=7&amp;number=0&amp;sourceID=14","0")</f>
        <v>0</v>
      </c>
    </row>
    <row r="2028" spans="1:7">
      <c r="A2028" s="3">
        <v>10</v>
      </c>
      <c r="B2028" s="3">
        <v>5</v>
      </c>
      <c r="C2028" s="3">
        <v>92</v>
      </c>
      <c r="D2028" s="3">
        <v>34</v>
      </c>
      <c r="E2028" s="3">
        <v>-556.329</v>
      </c>
      <c r="F2028" s="4" t="str">
        <f>HYPERLINK("http://141.218.60.56/~jnz1568/getInfo.php?workbook=10_05.xlsx&amp;sheet=A0&amp;row=2028&amp;col=6&amp;number=1380000&amp;sourceID=14","1380000")</f>
        <v>1380000</v>
      </c>
      <c r="G2028" s="4" t="str">
        <f>HYPERLINK("http://141.218.60.56/~jnz1568/getInfo.php?workbook=10_05.xlsx&amp;sheet=A0&amp;row=2028&amp;col=7&amp;number=0&amp;sourceID=14","0")</f>
        <v>0</v>
      </c>
    </row>
    <row r="2029" spans="1:7">
      <c r="A2029" s="3">
        <v>10</v>
      </c>
      <c r="B2029" s="3">
        <v>5</v>
      </c>
      <c r="C2029" s="3">
        <v>93</v>
      </c>
      <c r="D2029" s="3">
        <v>34</v>
      </c>
      <c r="E2029" s="3">
        <v>-533.312</v>
      </c>
      <c r="F2029" s="4" t="str">
        <f>HYPERLINK("http://141.218.60.56/~jnz1568/getInfo.php?workbook=10_05.xlsx&amp;sheet=A0&amp;row=2029&amp;col=6&amp;number=121000&amp;sourceID=14","121000")</f>
        <v>121000</v>
      </c>
      <c r="G2029" s="4" t="str">
        <f>HYPERLINK("http://141.218.60.56/~jnz1568/getInfo.php?workbook=10_05.xlsx&amp;sheet=A0&amp;row=2029&amp;col=7&amp;number=0&amp;sourceID=14","0")</f>
        <v>0</v>
      </c>
    </row>
    <row r="2030" spans="1:7">
      <c r="A2030" s="3">
        <v>10</v>
      </c>
      <c r="B2030" s="3">
        <v>5</v>
      </c>
      <c r="C2030" s="3">
        <v>94</v>
      </c>
      <c r="D2030" s="3">
        <v>34</v>
      </c>
      <c r="E2030" s="3">
        <v>-532.874</v>
      </c>
      <c r="F2030" s="4" t="str">
        <f>HYPERLINK("http://141.218.60.56/~jnz1568/getInfo.php?workbook=10_05.xlsx&amp;sheet=A0&amp;row=2030&amp;col=6&amp;number=2000000&amp;sourceID=14","2000000")</f>
        <v>2000000</v>
      </c>
      <c r="G2030" s="4" t="str">
        <f>HYPERLINK("http://141.218.60.56/~jnz1568/getInfo.php?workbook=10_05.xlsx&amp;sheet=A0&amp;row=2030&amp;col=7&amp;number=0&amp;sourceID=14","0")</f>
        <v>0</v>
      </c>
    </row>
    <row r="2031" spans="1:7">
      <c r="A2031" s="3">
        <v>10</v>
      </c>
      <c r="B2031" s="3">
        <v>5</v>
      </c>
      <c r="C2031" s="3">
        <v>95</v>
      </c>
      <c r="D2031" s="3">
        <v>34</v>
      </c>
      <c r="E2031" s="3">
        <v>-523.687</v>
      </c>
      <c r="F2031" s="4" t="str">
        <f>HYPERLINK("http://141.218.60.56/~jnz1568/getInfo.php?workbook=10_05.xlsx&amp;sheet=A0&amp;row=2031&amp;col=6&amp;number=1500000000&amp;sourceID=14","1500000000")</f>
        <v>1500000000</v>
      </c>
      <c r="G2031" s="4" t="str">
        <f>HYPERLINK("http://141.218.60.56/~jnz1568/getInfo.php?workbook=10_05.xlsx&amp;sheet=A0&amp;row=2031&amp;col=7&amp;number=0&amp;sourceID=14","0")</f>
        <v>0</v>
      </c>
    </row>
    <row r="2032" spans="1:7">
      <c r="A2032" s="3">
        <v>10</v>
      </c>
      <c r="B2032" s="3">
        <v>5</v>
      </c>
      <c r="C2032" s="3">
        <v>96</v>
      </c>
      <c r="D2032" s="3">
        <v>34</v>
      </c>
      <c r="E2032" s="3">
        <v>-498.205</v>
      </c>
      <c r="F2032" s="4" t="str">
        <f>HYPERLINK("http://141.218.60.56/~jnz1568/getInfo.php?workbook=10_05.xlsx&amp;sheet=A0&amp;row=2032&amp;col=6&amp;number=1410&amp;sourceID=14","1410")</f>
        <v>1410</v>
      </c>
      <c r="G2032" s="4" t="str">
        <f>HYPERLINK("http://141.218.60.56/~jnz1568/getInfo.php?workbook=10_05.xlsx&amp;sheet=A0&amp;row=2032&amp;col=7&amp;number=0&amp;sourceID=14","0")</f>
        <v>0</v>
      </c>
    </row>
    <row r="2033" spans="1:7">
      <c r="A2033" s="3">
        <v>10</v>
      </c>
      <c r="B2033" s="3">
        <v>5</v>
      </c>
      <c r="C2033" s="3">
        <v>98</v>
      </c>
      <c r="D2033" s="3">
        <v>34</v>
      </c>
      <c r="E2033" s="3">
        <v>-489.365</v>
      </c>
      <c r="F2033" s="4" t="str">
        <f>HYPERLINK("http://141.218.60.56/~jnz1568/getInfo.php?workbook=10_05.xlsx&amp;sheet=A0&amp;row=2033&amp;col=6&amp;number=1790000000&amp;sourceID=14","1790000000")</f>
        <v>1790000000</v>
      </c>
      <c r="G2033" s="4" t="str">
        <f>HYPERLINK("http://141.218.60.56/~jnz1568/getInfo.php?workbook=10_05.xlsx&amp;sheet=A0&amp;row=2033&amp;col=7&amp;number=0&amp;sourceID=14","0")</f>
        <v>0</v>
      </c>
    </row>
    <row r="2034" spans="1:7">
      <c r="A2034" s="3">
        <v>10</v>
      </c>
      <c r="B2034" s="3">
        <v>5</v>
      </c>
      <c r="C2034" s="3">
        <v>101</v>
      </c>
      <c r="D2034" s="3">
        <v>34</v>
      </c>
      <c r="E2034" s="3">
        <v>-488.339</v>
      </c>
      <c r="F2034" s="4" t="str">
        <f>HYPERLINK("http://141.218.60.56/~jnz1568/getInfo.php?workbook=10_05.xlsx&amp;sheet=A0&amp;row=2034&amp;col=6&amp;number=268000000&amp;sourceID=14","268000000")</f>
        <v>268000000</v>
      </c>
      <c r="G2034" s="4" t="str">
        <f>HYPERLINK("http://141.218.60.56/~jnz1568/getInfo.php?workbook=10_05.xlsx&amp;sheet=A0&amp;row=2034&amp;col=7&amp;number=0&amp;sourceID=14","0")</f>
        <v>0</v>
      </c>
    </row>
    <row r="2035" spans="1:7">
      <c r="A2035" s="3">
        <v>10</v>
      </c>
      <c r="B2035" s="3">
        <v>5</v>
      </c>
      <c r="C2035" s="3">
        <v>103</v>
      </c>
      <c r="D2035" s="3">
        <v>34</v>
      </c>
      <c r="E2035" s="3">
        <v>-486.576</v>
      </c>
      <c r="F2035" s="4" t="str">
        <f>HYPERLINK("http://141.218.60.56/~jnz1568/getInfo.php?workbook=10_05.xlsx&amp;sheet=A0&amp;row=2035&amp;col=6&amp;number=786000000&amp;sourceID=14","786000000")</f>
        <v>786000000</v>
      </c>
      <c r="G2035" s="4" t="str">
        <f>HYPERLINK("http://141.218.60.56/~jnz1568/getInfo.php?workbook=10_05.xlsx&amp;sheet=A0&amp;row=2035&amp;col=7&amp;number=0&amp;sourceID=14","0")</f>
        <v>0</v>
      </c>
    </row>
    <row r="2036" spans="1:7">
      <c r="A2036" s="3">
        <v>10</v>
      </c>
      <c r="B2036" s="3">
        <v>5</v>
      </c>
      <c r="C2036" s="3">
        <v>110</v>
      </c>
      <c r="D2036" s="3">
        <v>34</v>
      </c>
      <c r="E2036" s="3">
        <v>-472.089</v>
      </c>
      <c r="F2036" s="4" t="str">
        <f>HYPERLINK("http://141.218.60.56/~jnz1568/getInfo.php?workbook=10_05.xlsx&amp;sheet=A0&amp;row=2036&amp;col=6&amp;number=330000&amp;sourceID=14","330000")</f>
        <v>330000</v>
      </c>
      <c r="G2036" s="4" t="str">
        <f>HYPERLINK("http://141.218.60.56/~jnz1568/getInfo.php?workbook=10_05.xlsx&amp;sheet=A0&amp;row=2036&amp;col=7&amp;number=0&amp;sourceID=14","0")</f>
        <v>0</v>
      </c>
    </row>
    <row r="2037" spans="1:7">
      <c r="A2037" s="3">
        <v>10</v>
      </c>
      <c r="B2037" s="3">
        <v>5</v>
      </c>
      <c r="C2037" s="3">
        <v>112</v>
      </c>
      <c r="D2037" s="3">
        <v>34</v>
      </c>
      <c r="E2037" s="3">
        <v>-470.631</v>
      </c>
      <c r="F2037" s="4" t="str">
        <f>HYPERLINK("http://141.218.60.56/~jnz1568/getInfo.php?workbook=10_05.xlsx&amp;sheet=A0&amp;row=2037&amp;col=6&amp;number=296000&amp;sourceID=14","296000")</f>
        <v>296000</v>
      </c>
      <c r="G2037" s="4" t="str">
        <f>HYPERLINK("http://141.218.60.56/~jnz1568/getInfo.php?workbook=10_05.xlsx&amp;sheet=A0&amp;row=2037&amp;col=7&amp;number=0&amp;sourceID=14","0")</f>
        <v>0</v>
      </c>
    </row>
    <row r="2038" spans="1:7">
      <c r="A2038" s="3">
        <v>10</v>
      </c>
      <c r="B2038" s="3">
        <v>5</v>
      </c>
      <c r="C2038" s="3">
        <v>113</v>
      </c>
      <c r="D2038" s="3">
        <v>34</v>
      </c>
      <c r="E2038" s="3">
        <v>-468.976</v>
      </c>
      <c r="F2038" s="4" t="str">
        <f>HYPERLINK("http://141.218.60.56/~jnz1568/getInfo.php?workbook=10_05.xlsx&amp;sheet=A0&amp;row=2038&amp;col=6&amp;number=62000&amp;sourceID=14","62000")</f>
        <v>62000</v>
      </c>
      <c r="G2038" s="4" t="str">
        <f>HYPERLINK("http://141.218.60.56/~jnz1568/getInfo.php?workbook=10_05.xlsx&amp;sheet=A0&amp;row=2038&amp;col=7&amp;number=0&amp;sourceID=14","0")</f>
        <v>0</v>
      </c>
    </row>
    <row r="2039" spans="1:7">
      <c r="A2039" s="3">
        <v>10</v>
      </c>
      <c r="B2039" s="3">
        <v>5</v>
      </c>
      <c r="C2039" s="3">
        <v>114</v>
      </c>
      <c r="D2039" s="3">
        <v>34</v>
      </c>
      <c r="E2039" s="3">
        <v>-468.807</v>
      </c>
      <c r="F2039" s="4" t="str">
        <f>HYPERLINK("http://141.218.60.56/~jnz1568/getInfo.php?workbook=10_05.xlsx&amp;sheet=A0&amp;row=2039&amp;col=6&amp;number=290000&amp;sourceID=14","290000")</f>
        <v>290000</v>
      </c>
      <c r="G2039" s="4" t="str">
        <f>HYPERLINK("http://141.218.60.56/~jnz1568/getInfo.php?workbook=10_05.xlsx&amp;sheet=A0&amp;row=2039&amp;col=7&amp;number=0&amp;sourceID=14","0")</f>
        <v>0</v>
      </c>
    </row>
    <row r="2040" spans="1:7">
      <c r="A2040" s="3">
        <v>10</v>
      </c>
      <c r="B2040" s="3">
        <v>5</v>
      </c>
      <c r="C2040" s="3">
        <v>127</v>
      </c>
      <c r="D2040" s="3">
        <v>34</v>
      </c>
      <c r="E2040" s="3">
        <v>-442.749</v>
      </c>
      <c r="F2040" s="4" t="str">
        <f>HYPERLINK("http://141.218.60.56/~jnz1568/getInfo.php?workbook=10_05.xlsx&amp;sheet=A0&amp;row=2040&amp;col=6&amp;number=9860&amp;sourceID=14","9860")</f>
        <v>9860</v>
      </c>
      <c r="G2040" s="4" t="str">
        <f>HYPERLINK("http://141.218.60.56/~jnz1568/getInfo.php?workbook=10_05.xlsx&amp;sheet=A0&amp;row=2040&amp;col=7&amp;number=0&amp;sourceID=14","0")</f>
        <v>0</v>
      </c>
    </row>
    <row r="2041" spans="1:7">
      <c r="A2041" s="3">
        <v>10</v>
      </c>
      <c r="B2041" s="3">
        <v>5</v>
      </c>
      <c r="C2041" s="3">
        <v>128</v>
      </c>
      <c r="D2041" s="3">
        <v>34</v>
      </c>
      <c r="E2041" s="3">
        <v>-441.871</v>
      </c>
      <c r="F2041" s="4" t="str">
        <f>HYPERLINK("http://141.218.60.56/~jnz1568/getInfo.php?workbook=10_05.xlsx&amp;sheet=A0&amp;row=2041&amp;col=6&amp;number=85.3&amp;sourceID=14","85.3")</f>
        <v>85.3</v>
      </c>
      <c r="G2041" s="4" t="str">
        <f>HYPERLINK("http://141.218.60.56/~jnz1568/getInfo.php?workbook=10_05.xlsx&amp;sheet=A0&amp;row=2041&amp;col=7&amp;number=0&amp;sourceID=14","0")</f>
        <v>0</v>
      </c>
    </row>
    <row r="2042" spans="1:7">
      <c r="A2042" s="3">
        <v>10</v>
      </c>
      <c r="B2042" s="3">
        <v>5</v>
      </c>
      <c r="C2042" s="3">
        <v>134</v>
      </c>
      <c r="D2042" s="3">
        <v>34</v>
      </c>
      <c r="E2042" s="3">
        <v>-433.297</v>
      </c>
      <c r="F2042" s="4" t="str">
        <f>HYPERLINK("http://141.218.60.56/~jnz1568/getInfo.php?workbook=10_05.xlsx&amp;sheet=A0&amp;row=2042&amp;col=6&amp;number=8010000&amp;sourceID=14","8010000")</f>
        <v>8010000</v>
      </c>
      <c r="G2042" s="4" t="str">
        <f>HYPERLINK("http://141.218.60.56/~jnz1568/getInfo.php?workbook=10_05.xlsx&amp;sheet=A0&amp;row=2042&amp;col=7&amp;number=0&amp;sourceID=14","0")</f>
        <v>0</v>
      </c>
    </row>
    <row r="2043" spans="1:7">
      <c r="A2043" s="3">
        <v>10</v>
      </c>
      <c r="B2043" s="3">
        <v>5</v>
      </c>
      <c r="C2043" s="3">
        <v>135</v>
      </c>
      <c r="D2043" s="3">
        <v>34</v>
      </c>
      <c r="E2043" s="3">
        <v>-432.845</v>
      </c>
      <c r="F2043" s="4" t="str">
        <f>HYPERLINK("http://141.218.60.56/~jnz1568/getInfo.php?workbook=10_05.xlsx&amp;sheet=A0&amp;row=2043&amp;col=6&amp;number=25500000&amp;sourceID=14","25500000")</f>
        <v>25500000</v>
      </c>
      <c r="G2043" s="4" t="str">
        <f>HYPERLINK("http://141.218.60.56/~jnz1568/getInfo.php?workbook=10_05.xlsx&amp;sheet=A0&amp;row=2043&amp;col=7&amp;number=0&amp;sourceID=14","0")</f>
        <v>0</v>
      </c>
    </row>
    <row r="2044" spans="1:7">
      <c r="A2044" s="3">
        <v>10</v>
      </c>
      <c r="B2044" s="3">
        <v>5</v>
      </c>
      <c r="C2044" s="3">
        <v>141</v>
      </c>
      <c r="D2044" s="3">
        <v>34</v>
      </c>
      <c r="E2044" s="3">
        <v>-424.636</v>
      </c>
      <c r="F2044" s="4" t="str">
        <f>HYPERLINK("http://141.218.60.56/~jnz1568/getInfo.php?workbook=10_05.xlsx&amp;sheet=A0&amp;row=2044&amp;col=6&amp;number=705000000&amp;sourceID=14","705000000")</f>
        <v>705000000</v>
      </c>
      <c r="G2044" s="4" t="str">
        <f>HYPERLINK("http://141.218.60.56/~jnz1568/getInfo.php?workbook=10_05.xlsx&amp;sheet=A0&amp;row=2044&amp;col=7&amp;number=0&amp;sourceID=14","0")</f>
        <v>0</v>
      </c>
    </row>
    <row r="2045" spans="1:7">
      <c r="A2045" s="3">
        <v>10</v>
      </c>
      <c r="B2045" s="3">
        <v>5</v>
      </c>
      <c r="C2045" s="3">
        <v>142</v>
      </c>
      <c r="D2045" s="3">
        <v>34</v>
      </c>
      <c r="E2045" s="3">
        <v>-424.557</v>
      </c>
      <c r="F2045" s="4" t="str">
        <f>HYPERLINK("http://141.218.60.56/~jnz1568/getInfo.php?workbook=10_05.xlsx&amp;sheet=A0&amp;row=2045&amp;col=6&amp;number=2690000000&amp;sourceID=14","2690000000")</f>
        <v>2690000000</v>
      </c>
      <c r="G2045" s="4" t="str">
        <f>HYPERLINK("http://141.218.60.56/~jnz1568/getInfo.php?workbook=10_05.xlsx&amp;sheet=A0&amp;row=2045&amp;col=7&amp;number=0&amp;sourceID=14","0")</f>
        <v>0</v>
      </c>
    </row>
    <row r="2046" spans="1:7">
      <c r="A2046" s="3">
        <v>10</v>
      </c>
      <c r="B2046" s="3">
        <v>5</v>
      </c>
      <c r="C2046" s="3">
        <v>143</v>
      </c>
      <c r="D2046" s="3">
        <v>34</v>
      </c>
      <c r="E2046" s="3">
        <v>-424.102</v>
      </c>
      <c r="F2046" s="4" t="str">
        <f>HYPERLINK("http://141.218.60.56/~jnz1568/getInfo.php?workbook=10_05.xlsx&amp;sheet=A0&amp;row=2046&amp;col=6&amp;number=5280000000&amp;sourceID=14","5280000000")</f>
        <v>5280000000</v>
      </c>
      <c r="G2046" s="4" t="str">
        <f>HYPERLINK("http://141.218.60.56/~jnz1568/getInfo.php?workbook=10_05.xlsx&amp;sheet=A0&amp;row=2046&amp;col=7&amp;number=0&amp;sourceID=14","0")</f>
        <v>0</v>
      </c>
    </row>
    <row r="2047" spans="1:7">
      <c r="A2047" s="3">
        <v>10</v>
      </c>
      <c r="B2047" s="3">
        <v>5</v>
      </c>
      <c r="C2047" s="3">
        <v>145</v>
      </c>
      <c r="D2047" s="3">
        <v>34</v>
      </c>
      <c r="E2047" s="3">
        <v>-422.138</v>
      </c>
      <c r="F2047" s="4" t="str">
        <f>HYPERLINK("http://141.218.60.56/~jnz1568/getInfo.php?workbook=10_05.xlsx&amp;sheet=A0&amp;row=2047&amp;col=6&amp;number=333000000&amp;sourceID=14","333000000")</f>
        <v>333000000</v>
      </c>
      <c r="G2047" s="4" t="str">
        <f>HYPERLINK("http://141.218.60.56/~jnz1568/getInfo.php?workbook=10_05.xlsx&amp;sheet=A0&amp;row=2047&amp;col=7&amp;number=0&amp;sourceID=14","0")</f>
        <v>0</v>
      </c>
    </row>
    <row r="2048" spans="1:7">
      <c r="A2048" s="3">
        <v>10</v>
      </c>
      <c r="B2048" s="3">
        <v>5</v>
      </c>
      <c r="C2048" s="3">
        <v>146</v>
      </c>
      <c r="D2048" s="3">
        <v>34</v>
      </c>
      <c r="E2048" s="3">
        <v>-421.707</v>
      </c>
      <c r="F2048" s="4" t="str">
        <f>HYPERLINK("http://141.218.60.56/~jnz1568/getInfo.php?workbook=10_05.xlsx&amp;sheet=A0&amp;row=2048&amp;col=6&amp;number=60600000&amp;sourceID=14","60600000")</f>
        <v>60600000</v>
      </c>
      <c r="G2048" s="4" t="str">
        <f>HYPERLINK("http://141.218.60.56/~jnz1568/getInfo.php?workbook=10_05.xlsx&amp;sheet=A0&amp;row=2048&amp;col=7&amp;number=0&amp;sourceID=14","0")</f>
        <v>0</v>
      </c>
    </row>
    <row r="2049" spans="1:7">
      <c r="A2049" s="3">
        <v>10</v>
      </c>
      <c r="B2049" s="3">
        <v>5</v>
      </c>
      <c r="C2049" s="3">
        <v>147</v>
      </c>
      <c r="D2049" s="3">
        <v>34</v>
      </c>
      <c r="E2049" s="3">
        <v>-421.064</v>
      </c>
      <c r="F2049" s="4" t="str">
        <f>HYPERLINK("http://141.218.60.56/~jnz1568/getInfo.php?workbook=10_05.xlsx&amp;sheet=A0&amp;row=2049&amp;col=6&amp;number=464000&amp;sourceID=14","464000")</f>
        <v>464000</v>
      </c>
      <c r="G2049" s="4" t="str">
        <f>HYPERLINK("http://141.218.60.56/~jnz1568/getInfo.php?workbook=10_05.xlsx&amp;sheet=A0&amp;row=2049&amp;col=7&amp;number=0&amp;sourceID=14","0")</f>
        <v>0</v>
      </c>
    </row>
    <row r="2050" spans="1:7">
      <c r="A2050" s="3">
        <v>10</v>
      </c>
      <c r="B2050" s="3">
        <v>5</v>
      </c>
      <c r="C2050" s="3">
        <v>148</v>
      </c>
      <c r="D2050" s="3">
        <v>34</v>
      </c>
      <c r="E2050" s="3">
        <v>-420.89</v>
      </c>
      <c r="F2050" s="4" t="str">
        <f>HYPERLINK("http://141.218.60.56/~jnz1568/getInfo.php?workbook=10_05.xlsx&amp;sheet=A0&amp;row=2050&amp;col=6&amp;number=1080000000&amp;sourceID=14","1080000000")</f>
        <v>1080000000</v>
      </c>
      <c r="G2050" s="4" t="str">
        <f>HYPERLINK("http://141.218.60.56/~jnz1568/getInfo.php?workbook=10_05.xlsx&amp;sheet=A0&amp;row=2050&amp;col=7&amp;number=0&amp;sourceID=14","0")</f>
        <v>0</v>
      </c>
    </row>
    <row r="2051" spans="1:7">
      <c r="A2051" s="3">
        <v>10</v>
      </c>
      <c r="B2051" s="3">
        <v>5</v>
      </c>
      <c r="C2051" s="3">
        <v>149</v>
      </c>
      <c r="D2051" s="3">
        <v>34</v>
      </c>
      <c r="E2051" s="3">
        <v>-420.715</v>
      </c>
      <c r="F2051" s="4" t="str">
        <f>HYPERLINK("http://141.218.60.56/~jnz1568/getInfo.php?workbook=10_05.xlsx&amp;sheet=A0&amp;row=2051&amp;col=6&amp;number=3610000000&amp;sourceID=14","3610000000")</f>
        <v>3610000000</v>
      </c>
      <c r="G2051" s="4" t="str">
        <f>HYPERLINK("http://141.218.60.56/~jnz1568/getInfo.php?workbook=10_05.xlsx&amp;sheet=A0&amp;row=2051&amp;col=7&amp;number=0&amp;sourceID=14","0")</f>
        <v>0</v>
      </c>
    </row>
    <row r="2052" spans="1:7">
      <c r="A2052" s="3">
        <v>10</v>
      </c>
      <c r="B2052" s="3">
        <v>5</v>
      </c>
      <c r="C2052" s="3">
        <v>152</v>
      </c>
      <c r="D2052" s="3">
        <v>34</v>
      </c>
      <c r="E2052" s="3">
        <v>-411.427</v>
      </c>
      <c r="F2052" s="4" t="str">
        <f>HYPERLINK("http://141.218.60.56/~jnz1568/getInfo.php?workbook=10_05.xlsx&amp;sheet=A0&amp;row=2052&amp;col=6&amp;number=328000&amp;sourceID=14","328000")</f>
        <v>328000</v>
      </c>
      <c r="G2052" s="4" t="str">
        <f>HYPERLINK("http://141.218.60.56/~jnz1568/getInfo.php?workbook=10_05.xlsx&amp;sheet=A0&amp;row=2052&amp;col=7&amp;number=0&amp;sourceID=14","0")</f>
        <v>0</v>
      </c>
    </row>
    <row r="2053" spans="1:7">
      <c r="A2053" s="3">
        <v>10</v>
      </c>
      <c r="B2053" s="3">
        <v>5</v>
      </c>
      <c r="C2053" s="3">
        <v>158</v>
      </c>
      <c r="D2053" s="3">
        <v>34</v>
      </c>
      <c r="E2053" s="3">
        <v>-407.089</v>
      </c>
      <c r="F2053" s="4" t="str">
        <f>HYPERLINK("http://141.218.60.56/~jnz1568/getInfo.php?workbook=10_05.xlsx&amp;sheet=A0&amp;row=2053&amp;col=6&amp;number=831000&amp;sourceID=14","831000")</f>
        <v>831000</v>
      </c>
      <c r="G2053" s="4" t="str">
        <f>HYPERLINK("http://141.218.60.56/~jnz1568/getInfo.php?workbook=10_05.xlsx&amp;sheet=A0&amp;row=2053&amp;col=7&amp;number=0&amp;sourceID=14","0")</f>
        <v>0</v>
      </c>
    </row>
    <row r="2054" spans="1:7">
      <c r="A2054" s="3">
        <v>10</v>
      </c>
      <c r="B2054" s="3">
        <v>5</v>
      </c>
      <c r="C2054" s="3">
        <v>159</v>
      </c>
      <c r="D2054" s="3">
        <v>34</v>
      </c>
      <c r="E2054" s="3">
        <v>-406.381</v>
      </c>
      <c r="F2054" s="4" t="str">
        <f>HYPERLINK("http://141.218.60.56/~jnz1568/getInfo.php?workbook=10_05.xlsx&amp;sheet=A0&amp;row=2054&amp;col=6&amp;number=405000&amp;sourceID=14","405000")</f>
        <v>405000</v>
      </c>
      <c r="G2054" s="4" t="str">
        <f>HYPERLINK("http://141.218.60.56/~jnz1568/getInfo.php?workbook=10_05.xlsx&amp;sheet=A0&amp;row=2054&amp;col=7&amp;number=0&amp;sourceID=14","0")</f>
        <v>0</v>
      </c>
    </row>
    <row r="2055" spans="1:7">
      <c r="A2055" s="3">
        <v>10</v>
      </c>
      <c r="B2055" s="3">
        <v>5</v>
      </c>
      <c r="C2055" s="3">
        <v>164</v>
      </c>
      <c r="D2055" s="3">
        <v>34</v>
      </c>
      <c r="E2055" s="3">
        <v>-342.231</v>
      </c>
      <c r="F2055" s="4" t="str">
        <f>HYPERLINK("http://141.218.60.56/~jnz1568/getInfo.php?workbook=10_05.xlsx&amp;sheet=A0&amp;row=2055&amp;col=6&amp;number=6550&amp;sourceID=14","6550")</f>
        <v>6550</v>
      </c>
      <c r="G2055" s="4" t="str">
        <f>HYPERLINK("http://141.218.60.56/~jnz1568/getInfo.php?workbook=10_05.xlsx&amp;sheet=A0&amp;row=2055&amp;col=7&amp;number=0&amp;sourceID=14","0")</f>
        <v>0</v>
      </c>
    </row>
    <row r="2056" spans="1:7">
      <c r="A2056" s="3">
        <v>10</v>
      </c>
      <c r="B2056" s="3">
        <v>5</v>
      </c>
      <c r="C2056" s="3">
        <v>165</v>
      </c>
      <c r="D2056" s="3">
        <v>34</v>
      </c>
      <c r="E2056" s="3">
        <v>-342.07</v>
      </c>
      <c r="F2056" s="4" t="str">
        <f>HYPERLINK("http://141.218.60.56/~jnz1568/getInfo.php?workbook=10_05.xlsx&amp;sheet=A0&amp;row=2056&amp;col=6&amp;number=23800&amp;sourceID=14","23800")</f>
        <v>23800</v>
      </c>
      <c r="G2056" s="4" t="str">
        <f>HYPERLINK("http://141.218.60.56/~jnz1568/getInfo.php?workbook=10_05.xlsx&amp;sheet=A0&amp;row=2056&amp;col=7&amp;number=0&amp;sourceID=14","0")</f>
        <v>0</v>
      </c>
    </row>
    <row r="2057" spans="1:7">
      <c r="A2057" s="3">
        <v>10</v>
      </c>
      <c r="B2057" s="3">
        <v>5</v>
      </c>
      <c r="C2057" s="3">
        <v>166</v>
      </c>
      <c r="D2057" s="3">
        <v>34</v>
      </c>
      <c r="E2057" s="3">
        <v>-313.07</v>
      </c>
      <c r="F2057" s="4" t="str">
        <f>HYPERLINK("http://141.218.60.56/~jnz1568/getInfo.php?workbook=10_05.xlsx&amp;sheet=A0&amp;row=2057&amp;col=6&amp;number=659&amp;sourceID=14","659")</f>
        <v>659</v>
      </c>
      <c r="G2057" s="4" t="str">
        <f>HYPERLINK("http://141.218.60.56/~jnz1568/getInfo.php?workbook=10_05.xlsx&amp;sheet=A0&amp;row=2057&amp;col=7&amp;number=0&amp;sourceID=14","0")</f>
        <v>0</v>
      </c>
    </row>
    <row r="2058" spans="1:7">
      <c r="A2058" s="3">
        <v>10</v>
      </c>
      <c r="B2058" s="3">
        <v>5</v>
      </c>
      <c r="C2058" s="3">
        <v>167</v>
      </c>
      <c r="D2058" s="3">
        <v>34</v>
      </c>
      <c r="E2058" s="3">
        <v>-313.029</v>
      </c>
      <c r="F2058" s="4" t="str">
        <f>HYPERLINK("http://141.218.60.56/~jnz1568/getInfo.php?workbook=10_05.xlsx&amp;sheet=A0&amp;row=2058&amp;col=6&amp;number=153&amp;sourceID=14","153")</f>
        <v>153</v>
      </c>
      <c r="G2058" s="4" t="str">
        <f>HYPERLINK("http://141.218.60.56/~jnz1568/getInfo.php?workbook=10_05.xlsx&amp;sheet=A0&amp;row=2058&amp;col=7&amp;number=0&amp;sourceID=14","0")</f>
        <v>0</v>
      </c>
    </row>
    <row r="2059" spans="1:7">
      <c r="A2059" s="3">
        <v>10</v>
      </c>
      <c r="B2059" s="3">
        <v>5</v>
      </c>
      <c r="C2059" s="3">
        <v>176</v>
      </c>
      <c r="D2059" s="3">
        <v>34</v>
      </c>
      <c r="E2059" s="3">
        <v>-284.953</v>
      </c>
      <c r="F2059" s="4" t="str">
        <f>HYPERLINK("http://141.218.60.56/~jnz1568/getInfo.php?workbook=10_05.xlsx&amp;sheet=A0&amp;row=2059&amp;col=6&amp;number=18300&amp;sourceID=14","18300")</f>
        <v>18300</v>
      </c>
      <c r="G2059" s="4" t="str">
        <f>HYPERLINK("http://141.218.60.56/~jnz1568/getInfo.php?workbook=10_05.xlsx&amp;sheet=A0&amp;row=2059&amp;col=7&amp;number=0&amp;sourceID=14","0")</f>
        <v>0</v>
      </c>
    </row>
    <row r="2060" spans="1:7">
      <c r="A2060" s="3">
        <v>10</v>
      </c>
      <c r="B2060" s="3">
        <v>5</v>
      </c>
      <c r="C2060" s="3">
        <v>178</v>
      </c>
      <c r="D2060" s="3">
        <v>34</v>
      </c>
      <c r="E2060" s="3">
        <v>-284.196</v>
      </c>
      <c r="F2060" s="4" t="str">
        <f>HYPERLINK("http://141.218.60.56/~jnz1568/getInfo.php?workbook=10_05.xlsx&amp;sheet=A0&amp;row=2060&amp;col=6&amp;number=1910&amp;sourceID=14","1910")</f>
        <v>1910</v>
      </c>
      <c r="G2060" s="4" t="str">
        <f>HYPERLINK("http://141.218.60.56/~jnz1568/getInfo.php?workbook=10_05.xlsx&amp;sheet=A0&amp;row=2060&amp;col=7&amp;number=0&amp;sourceID=14","0")</f>
        <v>0</v>
      </c>
    </row>
    <row r="2061" spans="1:7">
      <c r="A2061" s="3">
        <v>10</v>
      </c>
      <c r="B2061" s="3">
        <v>5</v>
      </c>
      <c r="C2061" s="3">
        <v>179</v>
      </c>
      <c r="D2061" s="3">
        <v>34</v>
      </c>
      <c r="E2061" s="3">
        <v>-280.961</v>
      </c>
      <c r="F2061" s="4" t="str">
        <f>HYPERLINK("http://141.218.60.56/~jnz1568/getInfo.php?workbook=10_05.xlsx&amp;sheet=A0&amp;row=2061&amp;col=6&amp;number=112&amp;sourceID=14","112")</f>
        <v>112</v>
      </c>
      <c r="G2061" s="4" t="str">
        <f>HYPERLINK("http://141.218.60.56/~jnz1568/getInfo.php?workbook=10_05.xlsx&amp;sheet=A0&amp;row=2061&amp;col=7&amp;number=0&amp;sourceID=14","0")</f>
        <v>0</v>
      </c>
    </row>
    <row r="2062" spans="1:7">
      <c r="A2062" s="3">
        <v>10</v>
      </c>
      <c r="B2062" s="3">
        <v>5</v>
      </c>
      <c r="C2062" s="3">
        <v>180</v>
      </c>
      <c r="D2062" s="3">
        <v>34</v>
      </c>
      <c r="E2062" s="3">
        <v>-280.932</v>
      </c>
      <c r="F2062" s="4" t="str">
        <f>HYPERLINK("http://141.218.60.56/~jnz1568/getInfo.php?workbook=10_05.xlsx&amp;sheet=A0&amp;row=2062&amp;col=6&amp;number=320&amp;sourceID=14","320")</f>
        <v>320</v>
      </c>
      <c r="G2062" s="4" t="str">
        <f>HYPERLINK("http://141.218.60.56/~jnz1568/getInfo.php?workbook=10_05.xlsx&amp;sheet=A0&amp;row=2062&amp;col=7&amp;number=0&amp;sourceID=14","0")</f>
        <v>0</v>
      </c>
    </row>
    <row r="2063" spans="1:7">
      <c r="A2063" s="3">
        <v>10</v>
      </c>
      <c r="B2063" s="3">
        <v>5</v>
      </c>
      <c r="C2063" s="3">
        <v>38</v>
      </c>
      <c r="D2063" s="3">
        <v>35</v>
      </c>
      <c r="E2063" s="3">
        <v>-5279.562</v>
      </c>
      <c r="F2063" s="4" t="str">
        <f>HYPERLINK("http://141.218.60.56/~jnz1568/getInfo.php?workbook=10_05.xlsx&amp;sheet=A0&amp;row=2063&amp;col=6&amp;number=78.2&amp;sourceID=14","78.2")</f>
        <v>78.2</v>
      </c>
      <c r="G2063" s="4" t="str">
        <f>HYPERLINK("http://141.218.60.56/~jnz1568/getInfo.php?workbook=10_05.xlsx&amp;sheet=A0&amp;row=2063&amp;col=7&amp;number=0&amp;sourceID=14","0")</f>
        <v>0</v>
      </c>
    </row>
    <row r="2064" spans="1:7">
      <c r="A2064" s="3">
        <v>10</v>
      </c>
      <c r="B2064" s="3">
        <v>5</v>
      </c>
      <c r="C2064" s="3">
        <v>39</v>
      </c>
      <c r="D2064" s="3">
        <v>35</v>
      </c>
      <c r="E2064" s="3">
        <v>-5204.277</v>
      </c>
      <c r="F2064" s="4" t="str">
        <f>HYPERLINK("http://141.218.60.56/~jnz1568/getInfo.php?workbook=10_05.xlsx&amp;sheet=A0&amp;row=2064&amp;col=6&amp;number=1040&amp;sourceID=14","1040")</f>
        <v>1040</v>
      </c>
      <c r="G2064" s="4" t="str">
        <f>HYPERLINK("http://141.218.60.56/~jnz1568/getInfo.php?workbook=10_05.xlsx&amp;sheet=A0&amp;row=2064&amp;col=7&amp;number=0&amp;sourceID=14","0")</f>
        <v>0</v>
      </c>
    </row>
    <row r="2065" spans="1:7">
      <c r="A2065" s="3">
        <v>10</v>
      </c>
      <c r="B2065" s="3">
        <v>5</v>
      </c>
      <c r="C2065" s="3">
        <v>41</v>
      </c>
      <c r="D2065" s="3">
        <v>35</v>
      </c>
      <c r="E2065" s="3">
        <v>-5105.176</v>
      </c>
      <c r="F2065" s="4" t="str">
        <f>HYPERLINK("http://141.218.60.56/~jnz1568/getInfo.php?workbook=10_05.xlsx&amp;sheet=A0&amp;row=2065&amp;col=6&amp;number=4170&amp;sourceID=14","4170")</f>
        <v>4170</v>
      </c>
      <c r="G2065" s="4" t="str">
        <f>HYPERLINK("http://141.218.60.56/~jnz1568/getInfo.php?workbook=10_05.xlsx&amp;sheet=A0&amp;row=2065&amp;col=7&amp;number=0&amp;sourceID=14","0")</f>
        <v>0</v>
      </c>
    </row>
    <row r="2066" spans="1:7">
      <c r="A2066" s="3">
        <v>10</v>
      </c>
      <c r="B2066" s="3">
        <v>5</v>
      </c>
      <c r="C2066" s="3">
        <v>44</v>
      </c>
      <c r="D2066" s="3">
        <v>35</v>
      </c>
      <c r="E2066" s="3">
        <v>-3242.969</v>
      </c>
      <c r="F2066" s="4" t="str">
        <f>HYPERLINK("http://141.218.60.56/~jnz1568/getInfo.php?workbook=10_05.xlsx&amp;sheet=A0&amp;row=2066&amp;col=6&amp;number=1560000&amp;sourceID=14","1560000")</f>
        <v>1560000</v>
      </c>
      <c r="G2066" s="4" t="str">
        <f>HYPERLINK("http://141.218.60.56/~jnz1568/getInfo.php?workbook=10_05.xlsx&amp;sheet=A0&amp;row=2066&amp;col=7&amp;number=0&amp;sourceID=14","0")</f>
        <v>0</v>
      </c>
    </row>
    <row r="2067" spans="1:7">
      <c r="A2067" s="3">
        <v>10</v>
      </c>
      <c r="B2067" s="3">
        <v>5</v>
      </c>
      <c r="C2067" s="3">
        <v>45</v>
      </c>
      <c r="D2067" s="3">
        <v>35</v>
      </c>
      <c r="E2067" s="3">
        <v>-3232.59</v>
      </c>
      <c r="F2067" s="4" t="str">
        <f>HYPERLINK("http://141.218.60.56/~jnz1568/getInfo.php?workbook=10_05.xlsx&amp;sheet=A0&amp;row=2067&amp;col=6&amp;number=10500000&amp;sourceID=14","10500000")</f>
        <v>10500000</v>
      </c>
      <c r="G2067" s="4" t="str">
        <f>HYPERLINK("http://141.218.60.56/~jnz1568/getInfo.php?workbook=10_05.xlsx&amp;sheet=A0&amp;row=2067&amp;col=7&amp;number=0&amp;sourceID=14","0")</f>
        <v>0</v>
      </c>
    </row>
    <row r="2068" spans="1:7">
      <c r="A2068" s="3">
        <v>10</v>
      </c>
      <c r="B2068" s="3">
        <v>5</v>
      </c>
      <c r="C2068" s="3">
        <v>46</v>
      </c>
      <c r="D2068" s="3">
        <v>35</v>
      </c>
      <c r="E2068" s="3">
        <v>-3200.825</v>
      </c>
      <c r="F2068" s="4" t="str">
        <f>HYPERLINK("http://141.218.60.56/~jnz1568/getInfo.php?workbook=10_05.xlsx&amp;sheet=A0&amp;row=2068&amp;col=6&amp;number=43400000&amp;sourceID=14","43400000")</f>
        <v>43400000</v>
      </c>
      <c r="G2068" s="4" t="str">
        <f>HYPERLINK("http://141.218.60.56/~jnz1568/getInfo.php?workbook=10_05.xlsx&amp;sheet=A0&amp;row=2068&amp;col=7&amp;number=0&amp;sourceID=14","0")</f>
        <v>0</v>
      </c>
    </row>
    <row r="2069" spans="1:7">
      <c r="A2069" s="3">
        <v>10</v>
      </c>
      <c r="B2069" s="3">
        <v>5</v>
      </c>
      <c r="C2069" s="3">
        <v>47</v>
      </c>
      <c r="D2069" s="3">
        <v>35</v>
      </c>
      <c r="E2069" s="3">
        <v>-3078.634</v>
      </c>
      <c r="F2069" s="4" t="str">
        <f>HYPERLINK("http://141.218.60.56/~jnz1568/getInfo.php?workbook=10_05.xlsx&amp;sheet=A0&amp;row=2069&amp;col=6&amp;number=66800&amp;sourceID=14","66800")</f>
        <v>66800</v>
      </c>
      <c r="G2069" s="4" t="str">
        <f>HYPERLINK("http://141.218.60.56/~jnz1568/getInfo.php?workbook=10_05.xlsx&amp;sheet=A0&amp;row=2069&amp;col=7&amp;number=0&amp;sourceID=14","0")</f>
        <v>0</v>
      </c>
    </row>
    <row r="2070" spans="1:7">
      <c r="A2070" s="3">
        <v>10</v>
      </c>
      <c r="B2070" s="3">
        <v>5</v>
      </c>
      <c r="C2070" s="3">
        <v>48</v>
      </c>
      <c r="D2070" s="3">
        <v>35</v>
      </c>
      <c r="E2070" s="3">
        <v>-3058.952</v>
      </c>
      <c r="F2070" s="4" t="str">
        <f>HYPERLINK("http://141.218.60.56/~jnz1568/getInfo.php?workbook=10_05.xlsx&amp;sheet=A0&amp;row=2070&amp;col=6&amp;number=1040000&amp;sourceID=14","1040000")</f>
        <v>1040000</v>
      </c>
      <c r="G2070" s="4" t="str">
        <f>HYPERLINK("http://141.218.60.56/~jnz1568/getInfo.php?workbook=10_05.xlsx&amp;sheet=A0&amp;row=2070&amp;col=7&amp;number=0&amp;sourceID=14","0")</f>
        <v>0</v>
      </c>
    </row>
    <row r="2071" spans="1:7">
      <c r="A2071" s="3">
        <v>10</v>
      </c>
      <c r="B2071" s="3">
        <v>5</v>
      </c>
      <c r="C2071" s="3">
        <v>49</v>
      </c>
      <c r="D2071" s="3">
        <v>35</v>
      </c>
      <c r="E2071" s="3">
        <v>-2772.315</v>
      </c>
      <c r="F2071" s="4" t="str">
        <f>HYPERLINK("http://141.218.60.56/~jnz1568/getInfo.php?workbook=10_05.xlsx&amp;sheet=A0&amp;row=2071&amp;col=6&amp;number=23100000&amp;sourceID=14","23100000")</f>
        <v>23100000</v>
      </c>
      <c r="G2071" s="4" t="str">
        <f>HYPERLINK("http://141.218.60.56/~jnz1568/getInfo.php?workbook=10_05.xlsx&amp;sheet=A0&amp;row=2071&amp;col=7&amp;number=0&amp;sourceID=14","0")</f>
        <v>0</v>
      </c>
    </row>
    <row r="2072" spans="1:7">
      <c r="A2072" s="3">
        <v>10</v>
      </c>
      <c r="B2072" s="3">
        <v>5</v>
      </c>
      <c r="C2072" s="3">
        <v>50</v>
      </c>
      <c r="D2072" s="3">
        <v>35</v>
      </c>
      <c r="E2072" s="3">
        <v>-2749.751</v>
      </c>
      <c r="F2072" s="4" t="str">
        <f>HYPERLINK("http://141.218.60.56/~jnz1568/getInfo.php?workbook=10_05.xlsx&amp;sheet=A0&amp;row=2072&amp;col=6&amp;number=14900000&amp;sourceID=14","14900000")</f>
        <v>14900000</v>
      </c>
      <c r="G2072" s="4" t="str">
        <f>HYPERLINK("http://141.218.60.56/~jnz1568/getInfo.php?workbook=10_05.xlsx&amp;sheet=A0&amp;row=2072&amp;col=7&amp;number=0&amp;sourceID=14","0")</f>
        <v>0</v>
      </c>
    </row>
    <row r="2073" spans="1:7">
      <c r="A2073" s="3">
        <v>10</v>
      </c>
      <c r="B2073" s="3">
        <v>5</v>
      </c>
      <c r="C2073" s="3">
        <v>52</v>
      </c>
      <c r="D2073" s="3">
        <v>35</v>
      </c>
      <c r="E2073" s="3">
        <v>-2236.79</v>
      </c>
      <c r="F2073" s="4" t="str">
        <f>HYPERLINK("http://141.218.60.56/~jnz1568/getInfo.php?workbook=10_05.xlsx&amp;sheet=A0&amp;row=2073&amp;col=6&amp;number=40.9&amp;sourceID=14","40.9")</f>
        <v>40.9</v>
      </c>
      <c r="G2073" s="4" t="str">
        <f>HYPERLINK("http://141.218.60.56/~jnz1568/getInfo.php?workbook=10_05.xlsx&amp;sheet=A0&amp;row=2073&amp;col=7&amp;number=0&amp;sourceID=14","0")</f>
        <v>0</v>
      </c>
    </row>
    <row r="2074" spans="1:7">
      <c r="A2074" s="3">
        <v>10</v>
      </c>
      <c r="B2074" s="3">
        <v>5</v>
      </c>
      <c r="C2074" s="3">
        <v>54</v>
      </c>
      <c r="D2074" s="3">
        <v>35</v>
      </c>
      <c r="E2074" s="3">
        <v>-1985.312</v>
      </c>
      <c r="F2074" s="4" t="str">
        <f>HYPERLINK("http://141.218.60.56/~jnz1568/getInfo.php?workbook=10_05.xlsx&amp;sheet=A0&amp;row=2074&amp;col=6&amp;number=13500&amp;sourceID=14","13500")</f>
        <v>13500</v>
      </c>
      <c r="G2074" s="4" t="str">
        <f>HYPERLINK("http://141.218.60.56/~jnz1568/getInfo.php?workbook=10_05.xlsx&amp;sheet=A0&amp;row=2074&amp;col=7&amp;number=0&amp;sourceID=14","0")</f>
        <v>0</v>
      </c>
    </row>
    <row r="2075" spans="1:7">
      <c r="A2075" s="3">
        <v>10</v>
      </c>
      <c r="B2075" s="3">
        <v>5</v>
      </c>
      <c r="C2075" s="3">
        <v>55</v>
      </c>
      <c r="D2075" s="3">
        <v>35</v>
      </c>
      <c r="E2075" s="3">
        <v>-1954.235</v>
      </c>
      <c r="F2075" s="4" t="str">
        <f>HYPERLINK("http://141.218.60.56/~jnz1568/getInfo.php?workbook=10_05.xlsx&amp;sheet=A0&amp;row=2075&amp;col=6&amp;number=210000&amp;sourceID=14","210000")</f>
        <v>210000</v>
      </c>
      <c r="G2075" s="4" t="str">
        <f>HYPERLINK("http://141.218.60.56/~jnz1568/getInfo.php?workbook=10_05.xlsx&amp;sheet=A0&amp;row=2075&amp;col=7&amp;number=0&amp;sourceID=14","0")</f>
        <v>0</v>
      </c>
    </row>
    <row r="2076" spans="1:7">
      <c r="A2076" s="3">
        <v>10</v>
      </c>
      <c r="B2076" s="3">
        <v>5</v>
      </c>
      <c r="C2076" s="3">
        <v>56</v>
      </c>
      <c r="D2076" s="3">
        <v>35</v>
      </c>
      <c r="E2076" s="3">
        <v>-1764.636</v>
      </c>
      <c r="F2076" s="4" t="str">
        <f>HYPERLINK("http://141.218.60.56/~jnz1568/getInfo.php?workbook=10_05.xlsx&amp;sheet=A0&amp;row=2076&amp;col=6&amp;number=29800&amp;sourceID=14","29800")</f>
        <v>29800</v>
      </c>
      <c r="G2076" s="4" t="str">
        <f>HYPERLINK("http://141.218.60.56/~jnz1568/getInfo.php?workbook=10_05.xlsx&amp;sheet=A0&amp;row=2076&amp;col=7&amp;number=0&amp;sourceID=14","0")</f>
        <v>0</v>
      </c>
    </row>
    <row r="2077" spans="1:7">
      <c r="A2077" s="3">
        <v>10</v>
      </c>
      <c r="B2077" s="3">
        <v>5</v>
      </c>
      <c r="C2077" s="3">
        <v>65</v>
      </c>
      <c r="D2077" s="3">
        <v>35</v>
      </c>
      <c r="E2077" s="3">
        <v>-908.366</v>
      </c>
      <c r="F2077" s="4" t="str">
        <f>HYPERLINK("http://141.218.60.56/~jnz1568/getInfo.php?workbook=10_05.xlsx&amp;sheet=A0&amp;row=2077&amp;col=6&amp;number=45000&amp;sourceID=14","45000")</f>
        <v>45000</v>
      </c>
      <c r="G2077" s="4" t="str">
        <f>HYPERLINK("http://141.218.60.56/~jnz1568/getInfo.php?workbook=10_05.xlsx&amp;sheet=A0&amp;row=2077&amp;col=7&amp;number=0&amp;sourceID=14","0")</f>
        <v>0</v>
      </c>
    </row>
    <row r="2078" spans="1:7">
      <c r="A2078" s="3">
        <v>10</v>
      </c>
      <c r="B2078" s="3">
        <v>5</v>
      </c>
      <c r="C2078" s="3">
        <v>68</v>
      </c>
      <c r="D2078" s="3">
        <v>35</v>
      </c>
      <c r="E2078" s="3">
        <v>-790.69</v>
      </c>
      <c r="F2078" s="4" t="str">
        <f>HYPERLINK("http://141.218.60.56/~jnz1568/getInfo.php?workbook=10_05.xlsx&amp;sheet=A0&amp;row=2078&amp;col=6&amp;number=386&amp;sourceID=14","386")</f>
        <v>386</v>
      </c>
      <c r="G2078" s="4" t="str">
        <f>HYPERLINK("http://141.218.60.56/~jnz1568/getInfo.php?workbook=10_05.xlsx&amp;sheet=A0&amp;row=2078&amp;col=7&amp;number=0&amp;sourceID=14","0")</f>
        <v>0</v>
      </c>
    </row>
    <row r="2079" spans="1:7">
      <c r="A2079" s="3">
        <v>10</v>
      </c>
      <c r="B2079" s="3">
        <v>5</v>
      </c>
      <c r="C2079" s="3">
        <v>69</v>
      </c>
      <c r="D2079" s="3">
        <v>35</v>
      </c>
      <c r="E2079" s="3">
        <v>-790.622</v>
      </c>
      <c r="F2079" s="4" t="str">
        <f>HYPERLINK("http://141.218.60.56/~jnz1568/getInfo.php?workbook=10_05.xlsx&amp;sheet=A0&amp;row=2079&amp;col=6&amp;number=4550&amp;sourceID=14","4550")</f>
        <v>4550</v>
      </c>
      <c r="G2079" s="4" t="str">
        <f>HYPERLINK("http://141.218.60.56/~jnz1568/getInfo.php?workbook=10_05.xlsx&amp;sheet=A0&amp;row=2079&amp;col=7&amp;number=0&amp;sourceID=14","0")</f>
        <v>0</v>
      </c>
    </row>
    <row r="2080" spans="1:7">
      <c r="A2080" s="3">
        <v>10</v>
      </c>
      <c r="B2080" s="3">
        <v>5</v>
      </c>
      <c r="C2080" s="3">
        <v>73</v>
      </c>
      <c r="D2080" s="3">
        <v>35</v>
      </c>
      <c r="E2080" s="3">
        <v>-743.043</v>
      </c>
      <c r="F2080" s="4" t="str">
        <f>HYPERLINK("http://141.218.60.56/~jnz1568/getInfo.php?workbook=10_05.xlsx&amp;sheet=A0&amp;row=2080&amp;col=6&amp;number=16200&amp;sourceID=14","16200")</f>
        <v>16200</v>
      </c>
      <c r="G2080" s="4" t="str">
        <f>HYPERLINK("http://141.218.60.56/~jnz1568/getInfo.php?workbook=10_05.xlsx&amp;sheet=A0&amp;row=2080&amp;col=7&amp;number=0&amp;sourceID=14","0")</f>
        <v>0</v>
      </c>
    </row>
    <row r="2081" spans="1:7">
      <c r="A2081" s="3">
        <v>10</v>
      </c>
      <c r="B2081" s="3">
        <v>5</v>
      </c>
      <c r="C2081" s="3">
        <v>74</v>
      </c>
      <c r="D2081" s="3">
        <v>35</v>
      </c>
      <c r="E2081" s="3">
        <v>-742.375</v>
      </c>
      <c r="F2081" s="4" t="str">
        <f>HYPERLINK("http://141.218.60.56/~jnz1568/getInfo.php?workbook=10_05.xlsx&amp;sheet=A0&amp;row=2081&amp;col=6&amp;number=145000&amp;sourceID=14","145000")</f>
        <v>145000</v>
      </c>
      <c r="G2081" s="4" t="str">
        <f>HYPERLINK("http://141.218.60.56/~jnz1568/getInfo.php?workbook=10_05.xlsx&amp;sheet=A0&amp;row=2081&amp;col=7&amp;number=0&amp;sourceID=14","0")</f>
        <v>0</v>
      </c>
    </row>
    <row r="2082" spans="1:7">
      <c r="A2082" s="3">
        <v>10</v>
      </c>
      <c r="B2082" s="3">
        <v>5</v>
      </c>
      <c r="C2082" s="3">
        <v>76</v>
      </c>
      <c r="D2082" s="3">
        <v>35</v>
      </c>
      <c r="E2082" s="3">
        <v>-730.883</v>
      </c>
      <c r="F2082" s="4" t="str">
        <f>HYPERLINK("http://141.218.60.56/~jnz1568/getInfo.php?workbook=10_05.xlsx&amp;sheet=A0&amp;row=2082&amp;col=6&amp;number=6010&amp;sourceID=14","6010")</f>
        <v>6010</v>
      </c>
      <c r="G2082" s="4" t="str">
        <f>HYPERLINK("http://141.218.60.56/~jnz1568/getInfo.php?workbook=10_05.xlsx&amp;sheet=A0&amp;row=2082&amp;col=7&amp;number=0&amp;sourceID=14","0")</f>
        <v>0</v>
      </c>
    </row>
    <row r="2083" spans="1:7">
      <c r="A2083" s="3">
        <v>10</v>
      </c>
      <c r="B2083" s="3">
        <v>5</v>
      </c>
      <c r="C2083" s="3">
        <v>83</v>
      </c>
      <c r="D2083" s="3">
        <v>35</v>
      </c>
      <c r="E2083" s="3">
        <v>-602.531</v>
      </c>
      <c r="F2083" s="4" t="str">
        <f>HYPERLINK("http://141.218.60.56/~jnz1568/getInfo.php?workbook=10_05.xlsx&amp;sheet=A0&amp;row=2083&amp;col=6&amp;number=37300000&amp;sourceID=14","37300000")</f>
        <v>37300000</v>
      </c>
      <c r="G2083" s="4" t="str">
        <f>HYPERLINK("http://141.218.60.56/~jnz1568/getInfo.php?workbook=10_05.xlsx&amp;sheet=A0&amp;row=2083&amp;col=7&amp;number=0&amp;sourceID=14","0")</f>
        <v>0</v>
      </c>
    </row>
    <row r="2084" spans="1:7">
      <c r="A2084" s="3">
        <v>10</v>
      </c>
      <c r="B2084" s="3">
        <v>5</v>
      </c>
      <c r="C2084" s="3">
        <v>84</v>
      </c>
      <c r="D2084" s="3">
        <v>35</v>
      </c>
      <c r="E2084" s="3">
        <v>-600.862</v>
      </c>
      <c r="F2084" s="4" t="str">
        <f>HYPERLINK("http://141.218.60.56/~jnz1568/getInfo.php?workbook=10_05.xlsx&amp;sheet=A0&amp;row=2084&amp;col=6&amp;number=241000000&amp;sourceID=14","241000000")</f>
        <v>241000000</v>
      </c>
      <c r="G2084" s="4" t="str">
        <f>HYPERLINK("http://141.218.60.56/~jnz1568/getInfo.php?workbook=10_05.xlsx&amp;sheet=A0&amp;row=2084&amp;col=7&amp;number=0&amp;sourceID=14","0")</f>
        <v>0</v>
      </c>
    </row>
    <row r="2085" spans="1:7">
      <c r="A2085" s="3">
        <v>10</v>
      </c>
      <c r="B2085" s="3">
        <v>5</v>
      </c>
      <c r="C2085" s="3">
        <v>85</v>
      </c>
      <c r="D2085" s="3">
        <v>35</v>
      </c>
      <c r="E2085" s="3">
        <v>-598.495</v>
      </c>
      <c r="F2085" s="4" t="str">
        <f>HYPERLINK("http://141.218.60.56/~jnz1568/getInfo.php?workbook=10_05.xlsx&amp;sheet=A0&amp;row=2085&amp;col=6&amp;number=902000000&amp;sourceID=14","902000000")</f>
        <v>902000000</v>
      </c>
      <c r="G2085" s="4" t="str">
        <f>HYPERLINK("http://141.218.60.56/~jnz1568/getInfo.php?workbook=10_05.xlsx&amp;sheet=A0&amp;row=2085&amp;col=7&amp;number=0&amp;sourceID=14","0")</f>
        <v>0</v>
      </c>
    </row>
    <row r="2086" spans="1:7">
      <c r="A2086" s="3">
        <v>10</v>
      </c>
      <c r="B2086" s="3">
        <v>5</v>
      </c>
      <c r="C2086" s="3">
        <v>86</v>
      </c>
      <c r="D2086" s="3">
        <v>35</v>
      </c>
      <c r="E2086" s="3">
        <v>-597.273</v>
      </c>
      <c r="F2086" s="4" t="str">
        <f>HYPERLINK("http://141.218.60.56/~jnz1568/getInfo.php?workbook=10_05.xlsx&amp;sheet=A0&amp;row=2086&amp;col=6&amp;number=628000&amp;sourceID=14","628000")</f>
        <v>628000</v>
      </c>
      <c r="G2086" s="4" t="str">
        <f>HYPERLINK("http://141.218.60.56/~jnz1568/getInfo.php?workbook=10_05.xlsx&amp;sheet=A0&amp;row=2086&amp;col=7&amp;number=0&amp;sourceID=14","0")</f>
        <v>0</v>
      </c>
    </row>
    <row r="2087" spans="1:7">
      <c r="A2087" s="3">
        <v>10</v>
      </c>
      <c r="B2087" s="3">
        <v>5</v>
      </c>
      <c r="C2087" s="3">
        <v>87</v>
      </c>
      <c r="D2087" s="3">
        <v>35</v>
      </c>
      <c r="E2087" s="3">
        <v>-597.223</v>
      </c>
      <c r="F2087" s="4" t="str">
        <f>HYPERLINK("http://141.218.60.56/~jnz1568/getInfo.php?workbook=10_05.xlsx&amp;sheet=A0&amp;row=2087&amp;col=6&amp;number=3990000&amp;sourceID=14","3990000")</f>
        <v>3990000</v>
      </c>
      <c r="G2087" s="4" t="str">
        <f>HYPERLINK("http://141.218.60.56/~jnz1568/getInfo.php?workbook=10_05.xlsx&amp;sheet=A0&amp;row=2087&amp;col=7&amp;number=0&amp;sourceID=14","0")</f>
        <v>0</v>
      </c>
    </row>
    <row r="2088" spans="1:7">
      <c r="A2088" s="3">
        <v>10</v>
      </c>
      <c r="B2088" s="3">
        <v>5</v>
      </c>
      <c r="C2088" s="3">
        <v>89</v>
      </c>
      <c r="D2088" s="3">
        <v>35</v>
      </c>
      <c r="E2088" s="3">
        <v>-588.105</v>
      </c>
      <c r="F2088" s="4" t="str">
        <f>HYPERLINK("http://141.218.60.56/~jnz1568/getInfo.php?workbook=10_05.xlsx&amp;sheet=A0&amp;row=2088&amp;col=6&amp;number=699000000&amp;sourceID=14","699000000")</f>
        <v>699000000</v>
      </c>
      <c r="G2088" s="4" t="str">
        <f>HYPERLINK("http://141.218.60.56/~jnz1568/getInfo.php?workbook=10_05.xlsx&amp;sheet=A0&amp;row=2088&amp;col=7&amp;number=0&amp;sourceID=14","0")</f>
        <v>0</v>
      </c>
    </row>
    <row r="2089" spans="1:7">
      <c r="A2089" s="3">
        <v>10</v>
      </c>
      <c r="B2089" s="3">
        <v>5</v>
      </c>
      <c r="C2089" s="3">
        <v>90</v>
      </c>
      <c r="D2089" s="3">
        <v>35</v>
      </c>
      <c r="E2089" s="3">
        <v>-586.137</v>
      </c>
      <c r="F2089" s="4" t="str">
        <f>HYPERLINK("http://141.218.60.56/~jnz1568/getInfo.php?workbook=10_05.xlsx&amp;sheet=A0&amp;row=2089&amp;col=6&amp;number=1130000000&amp;sourceID=14","1130000000")</f>
        <v>1130000000</v>
      </c>
      <c r="G2089" s="4" t="str">
        <f>HYPERLINK("http://141.218.60.56/~jnz1568/getInfo.php?workbook=10_05.xlsx&amp;sheet=A0&amp;row=2089&amp;col=7&amp;number=0&amp;sourceID=14","0")</f>
        <v>0</v>
      </c>
    </row>
    <row r="2090" spans="1:7">
      <c r="A2090" s="3">
        <v>10</v>
      </c>
      <c r="B2090" s="3">
        <v>5</v>
      </c>
      <c r="C2090" s="3">
        <v>91</v>
      </c>
      <c r="D2090" s="3">
        <v>35</v>
      </c>
      <c r="E2090" s="3">
        <v>-560.263</v>
      </c>
      <c r="F2090" s="4" t="str">
        <f>HYPERLINK("http://141.218.60.56/~jnz1568/getInfo.php?workbook=10_05.xlsx&amp;sheet=A0&amp;row=2090&amp;col=6&amp;number=73700&amp;sourceID=14","73700")</f>
        <v>73700</v>
      </c>
      <c r="G2090" s="4" t="str">
        <f>HYPERLINK("http://141.218.60.56/~jnz1568/getInfo.php?workbook=10_05.xlsx&amp;sheet=A0&amp;row=2090&amp;col=7&amp;number=0&amp;sourceID=14","0")</f>
        <v>0</v>
      </c>
    </row>
    <row r="2091" spans="1:7">
      <c r="A2091" s="3">
        <v>10</v>
      </c>
      <c r="B2091" s="3">
        <v>5</v>
      </c>
      <c r="C2091" s="3">
        <v>92</v>
      </c>
      <c r="D2091" s="3">
        <v>35</v>
      </c>
      <c r="E2091" s="3">
        <v>-557.657</v>
      </c>
      <c r="F2091" s="4" t="str">
        <f>HYPERLINK("http://141.218.60.56/~jnz1568/getInfo.php?workbook=10_05.xlsx&amp;sheet=A0&amp;row=2091&amp;col=6&amp;number=524000&amp;sourceID=14","524000")</f>
        <v>524000</v>
      </c>
      <c r="G2091" s="4" t="str">
        <f>HYPERLINK("http://141.218.60.56/~jnz1568/getInfo.php?workbook=10_05.xlsx&amp;sheet=A0&amp;row=2091&amp;col=7&amp;number=0&amp;sourceID=14","0")</f>
        <v>0</v>
      </c>
    </row>
    <row r="2092" spans="1:7">
      <c r="A2092" s="3">
        <v>10</v>
      </c>
      <c r="B2092" s="3">
        <v>5</v>
      </c>
      <c r="C2092" s="3">
        <v>94</v>
      </c>
      <c r="D2092" s="3">
        <v>35</v>
      </c>
      <c r="E2092" s="3">
        <v>-534.092</v>
      </c>
      <c r="F2092" s="4" t="str">
        <f>HYPERLINK("http://141.218.60.56/~jnz1568/getInfo.php?workbook=10_05.xlsx&amp;sheet=A0&amp;row=2092&amp;col=6&amp;number=5540000&amp;sourceID=14","5540000")</f>
        <v>5540000</v>
      </c>
      <c r="G2092" s="4" t="str">
        <f>HYPERLINK("http://141.218.60.56/~jnz1568/getInfo.php?workbook=10_05.xlsx&amp;sheet=A0&amp;row=2092&amp;col=7&amp;number=0&amp;sourceID=14","0")</f>
        <v>0</v>
      </c>
    </row>
    <row r="2093" spans="1:7">
      <c r="A2093" s="3">
        <v>10</v>
      </c>
      <c r="B2093" s="3">
        <v>5</v>
      </c>
      <c r="C2093" s="3">
        <v>95</v>
      </c>
      <c r="D2093" s="3">
        <v>35</v>
      </c>
      <c r="E2093" s="3">
        <v>-524.864</v>
      </c>
      <c r="F2093" s="4" t="str">
        <f>HYPERLINK("http://141.218.60.56/~jnz1568/getInfo.php?workbook=10_05.xlsx&amp;sheet=A0&amp;row=2093&amp;col=6&amp;number=2120000000&amp;sourceID=14","2120000000")</f>
        <v>2120000000</v>
      </c>
      <c r="G2093" s="4" t="str">
        <f>HYPERLINK("http://141.218.60.56/~jnz1568/getInfo.php?workbook=10_05.xlsx&amp;sheet=A0&amp;row=2093&amp;col=7&amp;number=0&amp;sourceID=14","0")</f>
        <v>0</v>
      </c>
    </row>
    <row r="2094" spans="1:7">
      <c r="A2094" s="3">
        <v>10</v>
      </c>
      <c r="B2094" s="3">
        <v>5</v>
      </c>
      <c r="C2094" s="3">
        <v>96</v>
      </c>
      <c r="D2094" s="3">
        <v>35</v>
      </c>
      <c r="E2094" s="3">
        <v>-499.269</v>
      </c>
      <c r="F2094" s="4" t="str">
        <f>HYPERLINK("http://141.218.60.56/~jnz1568/getInfo.php?workbook=10_05.xlsx&amp;sheet=A0&amp;row=2094&amp;col=6&amp;number=2940&amp;sourceID=14","2940")</f>
        <v>2940</v>
      </c>
      <c r="G2094" s="4" t="str">
        <f>HYPERLINK("http://141.218.60.56/~jnz1568/getInfo.php?workbook=10_05.xlsx&amp;sheet=A0&amp;row=2094&amp;col=7&amp;number=0&amp;sourceID=14","0")</f>
        <v>0</v>
      </c>
    </row>
    <row r="2095" spans="1:7">
      <c r="A2095" s="3">
        <v>10</v>
      </c>
      <c r="B2095" s="3">
        <v>5</v>
      </c>
      <c r="C2095" s="3">
        <v>97</v>
      </c>
      <c r="D2095" s="3">
        <v>35</v>
      </c>
      <c r="E2095" s="3">
        <v>-498.423</v>
      </c>
      <c r="F2095" s="4" t="str">
        <f>HYPERLINK("http://141.218.60.56/~jnz1568/getInfo.php?workbook=10_05.xlsx&amp;sheet=A0&amp;row=2095&amp;col=6&amp;number=12300&amp;sourceID=14","12300")</f>
        <v>12300</v>
      </c>
      <c r="G2095" s="4" t="str">
        <f>HYPERLINK("http://141.218.60.56/~jnz1568/getInfo.php?workbook=10_05.xlsx&amp;sheet=A0&amp;row=2095&amp;col=7&amp;number=0&amp;sourceID=14","0")</f>
        <v>0</v>
      </c>
    </row>
    <row r="2096" spans="1:7">
      <c r="A2096" s="3">
        <v>10</v>
      </c>
      <c r="B2096" s="3">
        <v>5</v>
      </c>
      <c r="C2096" s="3">
        <v>101</v>
      </c>
      <c r="D2096" s="3">
        <v>35</v>
      </c>
      <c r="E2096" s="3">
        <v>-489.362</v>
      </c>
      <c r="F2096" s="4" t="str">
        <f>HYPERLINK("http://141.218.60.56/~jnz1568/getInfo.php?workbook=10_05.xlsx&amp;sheet=A0&amp;row=2096&amp;col=6&amp;number=1040000000&amp;sourceID=14","1040000000")</f>
        <v>1040000000</v>
      </c>
      <c r="G2096" s="4" t="str">
        <f>HYPERLINK("http://141.218.60.56/~jnz1568/getInfo.php?workbook=10_05.xlsx&amp;sheet=A0&amp;row=2096&amp;col=7&amp;number=0&amp;sourceID=14","0")</f>
        <v>0</v>
      </c>
    </row>
    <row r="2097" spans="1:7">
      <c r="A2097" s="3">
        <v>10</v>
      </c>
      <c r="B2097" s="3">
        <v>5</v>
      </c>
      <c r="C2097" s="3">
        <v>103</v>
      </c>
      <c r="D2097" s="3">
        <v>35</v>
      </c>
      <c r="E2097" s="3">
        <v>-487.592</v>
      </c>
      <c r="F2097" s="4" t="str">
        <f>HYPERLINK("http://141.218.60.56/~jnz1568/getInfo.php?workbook=10_05.xlsx&amp;sheet=A0&amp;row=2097&amp;col=6&amp;number=1670000000&amp;sourceID=14","1670000000")</f>
        <v>1670000000</v>
      </c>
      <c r="G2097" s="4" t="str">
        <f>HYPERLINK("http://141.218.60.56/~jnz1568/getInfo.php?workbook=10_05.xlsx&amp;sheet=A0&amp;row=2097&amp;col=7&amp;number=0&amp;sourceID=14","0")</f>
        <v>0</v>
      </c>
    </row>
    <row r="2098" spans="1:7">
      <c r="A2098" s="3">
        <v>10</v>
      </c>
      <c r="B2098" s="3">
        <v>5</v>
      </c>
      <c r="C2098" s="3">
        <v>112</v>
      </c>
      <c r="D2098" s="3">
        <v>35</v>
      </c>
      <c r="E2098" s="3">
        <v>-471.581</v>
      </c>
      <c r="F2098" s="4" t="str">
        <f>HYPERLINK("http://141.218.60.56/~jnz1568/getInfo.php?workbook=10_05.xlsx&amp;sheet=A0&amp;row=2098&amp;col=6&amp;number=177000&amp;sourceID=14","177000")</f>
        <v>177000</v>
      </c>
      <c r="G2098" s="4" t="str">
        <f>HYPERLINK("http://141.218.60.56/~jnz1568/getInfo.php?workbook=10_05.xlsx&amp;sheet=A0&amp;row=2098&amp;col=7&amp;number=0&amp;sourceID=14","0")</f>
        <v>0</v>
      </c>
    </row>
    <row r="2099" spans="1:7">
      <c r="A2099" s="3">
        <v>10</v>
      </c>
      <c r="B2099" s="3">
        <v>5</v>
      </c>
      <c r="C2099" s="3">
        <v>113</v>
      </c>
      <c r="D2099" s="3">
        <v>35</v>
      </c>
      <c r="E2099" s="3">
        <v>-469.919</v>
      </c>
      <c r="F2099" s="4" t="str">
        <f>HYPERLINK("http://141.218.60.56/~jnz1568/getInfo.php?workbook=10_05.xlsx&amp;sheet=A0&amp;row=2099&amp;col=6&amp;number=814000&amp;sourceID=14","814000")</f>
        <v>814000</v>
      </c>
      <c r="G2099" s="4" t="str">
        <f>HYPERLINK("http://141.218.60.56/~jnz1568/getInfo.php?workbook=10_05.xlsx&amp;sheet=A0&amp;row=2099&amp;col=7&amp;number=0&amp;sourceID=14","0")</f>
        <v>0</v>
      </c>
    </row>
    <row r="2100" spans="1:7">
      <c r="A2100" s="3">
        <v>10</v>
      </c>
      <c r="B2100" s="3">
        <v>5</v>
      </c>
      <c r="C2100" s="3">
        <v>114</v>
      </c>
      <c r="D2100" s="3">
        <v>35</v>
      </c>
      <c r="E2100" s="3">
        <v>-469.749</v>
      </c>
      <c r="F2100" s="4" t="str">
        <f>HYPERLINK("http://141.218.60.56/~jnz1568/getInfo.php?workbook=10_05.xlsx&amp;sheet=A0&amp;row=2100&amp;col=6&amp;number=65700&amp;sourceID=14","65700")</f>
        <v>65700</v>
      </c>
      <c r="G2100" s="4" t="str">
        <f>HYPERLINK("http://141.218.60.56/~jnz1568/getInfo.php?workbook=10_05.xlsx&amp;sheet=A0&amp;row=2100&amp;col=7&amp;number=0&amp;sourceID=14","0")</f>
        <v>0</v>
      </c>
    </row>
    <row r="2101" spans="1:7">
      <c r="A2101" s="3">
        <v>10</v>
      </c>
      <c r="B2101" s="3">
        <v>5</v>
      </c>
      <c r="C2101" s="3">
        <v>128</v>
      </c>
      <c r="D2101" s="3">
        <v>35</v>
      </c>
      <c r="E2101" s="3">
        <v>-442.708</v>
      </c>
      <c r="F2101" s="4" t="str">
        <f>HYPERLINK("http://141.218.60.56/~jnz1568/getInfo.php?workbook=10_05.xlsx&amp;sheet=A0&amp;row=2101&amp;col=6&amp;number=18600&amp;sourceID=14","18600")</f>
        <v>18600</v>
      </c>
      <c r="G2101" s="4" t="str">
        <f>HYPERLINK("http://141.218.60.56/~jnz1568/getInfo.php?workbook=10_05.xlsx&amp;sheet=A0&amp;row=2101&amp;col=7&amp;number=0&amp;sourceID=14","0")</f>
        <v>0</v>
      </c>
    </row>
    <row r="2102" spans="1:7">
      <c r="A2102" s="3">
        <v>10</v>
      </c>
      <c r="B2102" s="3">
        <v>5</v>
      </c>
      <c r="C2102" s="3">
        <v>134</v>
      </c>
      <c r="D2102" s="3">
        <v>35</v>
      </c>
      <c r="E2102" s="3">
        <v>-434.102</v>
      </c>
      <c r="F2102" s="4" t="str">
        <f>HYPERLINK("http://141.218.60.56/~jnz1568/getInfo.php?workbook=10_05.xlsx&amp;sheet=A0&amp;row=2102&amp;col=6&amp;number=626000&amp;sourceID=14","626000")</f>
        <v>626000</v>
      </c>
      <c r="G2102" s="4" t="str">
        <f>HYPERLINK("http://141.218.60.56/~jnz1568/getInfo.php?workbook=10_05.xlsx&amp;sheet=A0&amp;row=2102&amp;col=7&amp;number=0&amp;sourceID=14","0")</f>
        <v>0</v>
      </c>
    </row>
    <row r="2103" spans="1:7">
      <c r="A2103" s="3">
        <v>10</v>
      </c>
      <c r="B2103" s="3">
        <v>5</v>
      </c>
      <c r="C2103" s="3">
        <v>135</v>
      </c>
      <c r="D2103" s="3">
        <v>35</v>
      </c>
      <c r="E2103" s="3">
        <v>-433.648</v>
      </c>
      <c r="F2103" s="4" t="str">
        <f>HYPERLINK("http://141.218.60.56/~jnz1568/getInfo.php?workbook=10_05.xlsx&amp;sheet=A0&amp;row=2103&amp;col=6&amp;number=8980000&amp;sourceID=14","8980000")</f>
        <v>8980000</v>
      </c>
      <c r="G2103" s="4" t="str">
        <f>HYPERLINK("http://141.218.60.56/~jnz1568/getInfo.php?workbook=10_05.xlsx&amp;sheet=A0&amp;row=2103&amp;col=7&amp;number=0&amp;sourceID=14","0")</f>
        <v>0</v>
      </c>
    </row>
    <row r="2104" spans="1:7">
      <c r="A2104" s="3">
        <v>10</v>
      </c>
      <c r="B2104" s="3">
        <v>5</v>
      </c>
      <c r="C2104" s="3">
        <v>136</v>
      </c>
      <c r="D2104" s="3">
        <v>35</v>
      </c>
      <c r="E2104" s="3">
        <v>-432.969</v>
      </c>
      <c r="F2104" s="4" t="str">
        <f>HYPERLINK("http://141.218.60.56/~jnz1568/getInfo.php?workbook=10_05.xlsx&amp;sheet=A0&amp;row=2104&amp;col=6&amp;number=41100000&amp;sourceID=14","41100000")</f>
        <v>41100000</v>
      </c>
      <c r="G2104" s="4" t="str">
        <f>HYPERLINK("http://141.218.60.56/~jnz1568/getInfo.php?workbook=10_05.xlsx&amp;sheet=A0&amp;row=2104&amp;col=7&amp;number=0&amp;sourceID=14","0")</f>
        <v>0</v>
      </c>
    </row>
    <row r="2105" spans="1:7">
      <c r="A2105" s="3">
        <v>10</v>
      </c>
      <c r="B2105" s="3">
        <v>5</v>
      </c>
      <c r="C2105" s="3">
        <v>142</v>
      </c>
      <c r="D2105" s="3">
        <v>35</v>
      </c>
      <c r="E2105" s="3">
        <v>-425.33</v>
      </c>
      <c r="F2105" s="4" t="str">
        <f>HYPERLINK("http://141.218.60.56/~jnz1568/getInfo.php?workbook=10_05.xlsx&amp;sheet=A0&amp;row=2105&amp;col=6&amp;number=74800000&amp;sourceID=14","74800000")</f>
        <v>74800000</v>
      </c>
      <c r="G2105" s="4" t="str">
        <f>HYPERLINK("http://141.218.60.56/~jnz1568/getInfo.php?workbook=10_05.xlsx&amp;sheet=A0&amp;row=2105&amp;col=7&amp;number=0&amp;sourceID=14","0")</f>
        <v>0</v>
      </c>
    </row>
    <row r="2106" spans="1:7">
      <c r="A2106" s="3">
        <v>10</v>
      </c>
      <c r="B2106" s="3">
        <v>5</v>
      </c>
      <c r="C2106" s="3">
        <v>143</v>
      </c>
      <c r="D2106" s="3">
        <v>35</v>
      </c>
      <c r="E2106" s="3">
        <v>-424.873</v>
      </c>
      <c r="F2106" s="4" t="str">
        <f>HYPERLINK("http://141.218.60.56/~jnz1568/getInfo.php?workbook=10_05.xlsx&amp;sheet=A0&amp;row=2106&amp;col=6&amp;number=583000000&amp;sourceID=14","583000000")</f>
        <v>583000000</v>
      </c>
      <c r="G2106" s="4" t="str">
        <f>HYPERLINK("http://141.218.60.56/~jnz1568/getInfo.php?workbook=10_05.xlsx&amp;sheet=A0&amp;row=2106&amp;col=7&amp;number=0&amp;sourceID=14","0")</f>
        <v>0</v>
      </c>
    </row>
    <row r="2107" spans="1:7">
      <c r="A2107" s="3">
        <v>10</v>
      </c>
      <c r="B2107" s="3">
        <v>5</v>
      </c>
      <c r="C2107" s="3">
        <v>144</v>
      </c>
      <c r="D2107" s="3">
        <v>35</v>
      </c>
      <c r="E2107" s="3">
        <v>-424.517</v>
      </c>
      <c r="F2107" s="4" t="str">
        <f>HYPERLINK("http://141.218.60.56/~jnz1568/getInfo.php?workbook=10_05.xlsx&amp;sheet=A0&amp;row=2107&amp;col=6&amp;number=6450000000&amp;sourceID=14","6450000000")</f>
        <v>6450000000</v>
      </c>
      <c r="G2107" s="4" t="str">
        <f>HYPERLINK("http://141.218.60.56/~jnz1568/getInfo.php?workbook=10_05.xlsx&amp;sheet=A0&amp;row=2107&amp;col=7&amp;number=0&amp;sourceID=14","0")</f>
        <v>0</v>
      </c>
    </row>
    <row r="2108" spans="1:7">
      <c r="A2108" s="3">
        <v>10</v>
      </c>
      <c r="B2108" s="3">
        <v>5</v>
      </c>
      <c r="C2108" s="3">
        <v>145</v>
      </c>
      <c r="D2108" s="3">
        <v>35</v>
      </c>
      <c r="E2108" s="3">
        <v>-422.902</v>
      </c>
      <c r="F2108" s="4" t="str">
        <f>HYPERLINK("http://141.218.60.56/~jnz1568/getInfo.php?workbook=10_05.xlsx&amp;sheet=A0&amp;row=2108&amp;col=6&amp;number=542000000&amp;sourceID=14","542000000")</f>
        <v>542000000</v>
      </c>
      <c r="G2108" s="4" t="str">
        <f>HYPERLINK("http://141.218.60.56/~jnz1568/getInfo.php?workbook=10_05.xlsx&amp;sheet=A0&amp;row=2108&amp;col=7&amp;number=0&amp;sourceID=14","0")</f>
        <v>0</v>
      </c>
    </row>
    <row r="2109" spans="1:7">
      <c r="A2109" s="3">
        <v>10</v>
      </c>
      <c r="B2109" s="3">
        <v>5</v>
      </c>
      <c r="C2109" s="3">
        <v>146</v>
      </c>
      <c r="D2109" s="3">
        <v>35</v>
      </c>
      <c r="E2109" s="3">
        <v>-422.469</v>
      </c>
      <c r="F2109" s="4" t="str">
        <f>HYPERLINK("http://141.218.60.56/~jnz1568/getInfo.php?workbook=10_05.xlsx&amp;sheet=A0&amp;row=2109&amp;col=6&amp;number=251000000&amp;sourceID=14","251000000")</f>
        <v>251000000</v>
      </c>
      <c r="G2109" s="4" t="str">
        <f>HYPERLINK("http://141.218.60.56/~jnz1568/getInfo.php?workbook=10_05.xlsx&amp;sheet=A0&amp;row=2109&amp;col=7&amp;number=0&amp;sourceID=14","0")</f>
        <v>0</v>
      </c>
    </row>
    <row r="2110" spans="1:7">
      <c r="A2110" s="3">
        <v>10</v>
      </c>
      <c r="B2110" s="3">
        <v>5</v>
      </c>
      <c r="C2110" s="3">
        <v>147</v>
      </c>
      <c r="D2110" s="3">
        <v>35</v>
      </c>
      <c r="E2110" s="3">
        <v>-421.824</v>
      </c>
      <c r="F2110" s="4" t="str">
        <f>HYPERLINK("http://141.218.60.56/~jnz1568/getInfo.php?workbook=10_05.xlsx&amp;sheet=A0&amp;row=2110&amp;col=6&amp;number=3560000000&amp;sourceID=14","3560000000")</f>
        <v>3560000000</v>
      </c>
      <c r="G2110" s="4" t="str">
        <f>HYPERLINK("http://141.218.60.56/~jnz1568/getInfo.php?workbook=10_05.xlsx&amp;sheet=A0&amp;row=2110&amp;col=7&amp;number=0&amp;sourceID=14","0")</f>
        <v>0</v>
      </c>
    </row>
    <row r="2111" spans="1:7">
      <c r="A2111" s="3">
        <v>10</v>
      </c>
      <c r="B2111" s="3">
        <v>5</v>
      </c>
      <c r="C2111" s="3">
        <v>148</v>
      </c>
      <c r="D2111" s="3">
        <v>35</v>
      </c>
      <c r="E2111" s="3">
        <v>-421.65</v>
      </c>
      <c r="F2111" s="4" t="str">
        <f>HYPERLINK("http://141.218.60.56/~jnz1568/getInfo.php?workbook=10_05.xlsx&amp;sheet=A0&amp;row=2111&amp;col=6&amp;number=1280000000&amp;sourceID=14","1280000000")</f>
        <v>1280000000</v>
      </c>
      <c r="G2111" s="4" t="str">
        <f>HYPERLINK("http://141.218.60.56/~jnz1568/getInfo.php?workbook=10_05.xlsx&amp;sheet=A0&amp;row=2111&amp;col=7&amp;number=0&amp;sourceID=14","0")</f>
        <v>0</v>
      </c>
    </row>
    <row r="2112" spans="1:7">
      <c r="A2112" s="3">
        <v>10</v>
      </c>
      <c r="B2112" s="3">
        <v>5</v>
      </c>
      <c r="C2112" s="3">
        <v>152</v>
      </c>
      <c r="D2112" s="3">
        <v>35</v>
      </c>
      <c r="E2112" s="3">
        <v>-412.153</v>
      </c>
      <c r="F2112" s="4" t="str">
        <f>HYPERLINK("http://141.218.60.56/~jnz1568/getInfo.php?workbook=10_05.xlsx&amp;sheet=A0&amp;row=2112&amp;col=6&amp;number=71100&amp;sourceID=14","71100")</f>
        <v>71100</v>
      </c>
      <c r="G2112" s="4" t="str">
        <f>HYPERLINK("http://141.218.60.56/~jnz1568/getInfo.php?workbook=10_05.xlsx&amp;sheet=A0&amp;row=2112&amp;col=7&amp;number=0&amp;sourceID=14","0")</f>
        <v>0</v>
      </c>
    </row>
    <row r="2113" spans="1:7">
      <c r="A2113" s="3">
        <v>10</v>
      </c>
      <c r="B2113" s="3">
        <v>5</v>
      </c>
      <c r="C2113" s="3">
        <v>153</v>
      </c>
      <c r="D2113" s="3">
        <v>35</v>
      </c>
      <c r="E2113" s="3">
        <v>-410.796</v>
      </c>
      <c r="F2113" s="4" t="str">
        <f>HYPERLINK("http://141.218.60.56/~jnz1568/getInfo.php?workbook=10_05.xlsx&amp;sheet=A0&amp;row=2113&amp;col=6&amp;number=1330000&amp;sourceID=14","1330000")</f>
        <v>1330000</v>
      </c>
      <c r="G2113" s="4" t="str">
        <f>HYPERLINK("http://141.218.60.56/~jnz1568/getInfo.php?workbook=10_05.xlsx&amp;sheet=A0&amp;row=2113&amp;col=7&amp;number=0&amp;sourceID=14","0")</f>
        <v>0</v>
      </c>
    </row>
    <row r="2114" spans="1:7">
      <c r="A2114" s="3">
        <v>10</v>
      </c>
      <c r="B2114" s="3">
        <v>5</v>
      </c>
      <c r="C2114" s="3">
        <v>158</v>
      </c>
      <c r="D2114" s="3">
        <v>35</v>
      </c>
      <c r="E2114" s="3">
        <v>-407.799</v>
      </c>
      <c r="F2114" s="4" t="str">
        <f>HYPERLINK("http://141.218.60.56/~jnz1568/getInfo.php?workbook=10_05.xlsx&amp;sheet=A0&amp;row=2114&amp;col=6&amp;number=25700&amp;sourceID=14","25700")</f>
        <v>25700</v>
      </c>
      <c r="G2114" s="4" t="str">
        <f>HYPERLINK("http://141.218.60.56/~jnz1568/getInfo.php?workbook=10_05.xlsx&amp;sheet=A0&amp;row=2114&amp;col=7&amp;number=0&amp;sourceID=14","0")</f>
        <v>0</v>
      </c>
    </row>
    <row r="2115" spans="1:7">
      <c r="A2115" s="3">
        <v>10</v>
      </c>
      <c r="B2115" s="3">
        <v>5</v>
      </c>
      <c r="C2115" s="3">
        <v>165</v>
      </c>
      <c r="D2115" s="3">
        <v>35</v>
      </c>
      <c r="E2115" s="3">
        <v>-342.572</v>
      </c>
      <c r="F2115" s="4" t="str">
        <f>HYPERLINK("http://141.218.60.56/~jnz1568/getInfo.php?workbook=10_05.xlsx&amp;sheet=A0&amp;row=2115&amp;col=6&amp;number=127000&amp;sourceID=14","127000")</f>
        <v>127000</v>
      </c>
      <c r="G2115" s="4" t="str">
        <f>HYPERLINK("http://141.218.60.56/~jnz1568/getInfo.php?workbook=10_05.xlsx&amp;sheet=A0&amp;row=2115&amp;col=7&amp;number=0&amp;sourceID=14","0")</f>
        <v>0</v>
      </c>
    </row>
    <row r="2116" spans="1:7">
      <c r="A2116" s="3">
        <v>10</v>
      </c>
      <c r="B2116" s="3">
        <v>5</v>
      </c>
      <c r="C2116" s="3">
        <v>167</v>
      </c>
      <c r="D2116" s="3">
        <v>35</v>
      </c>
      <c r="E2116" s="3">
        <v>-313.449</v>
      </c>
      <c r="F2116" s="4" t="str">
        <f>HYPERLINK("http://141.218.60.56/~jnz1568/getInfo.php?workbook=10_05.xlsx&amp;sheet=A0&amp;row=2116&amp;col=6&amp;number=3720&amp;sourceID=14","3720")</f>
        <v>3720</v>
      </c>
      <c r="G2116" s="4" t="str">
        <f>HYPERLINK("http://141.218.60.56/~jnz1568/getInfo.php?workbook=10_05.xlsx&amp;sheet=A0&amp;row=2116&amp;col=7&amp;number=0&amp;sourceID=14","0")</f>
        <v>0</v>
      </c>
    </row>
    <row r="2117" spans="1:7">
      <c r="A2117" s="3">
        <v>10</v>
      </c>
      <c r="B2117" s="3">
        <v>5</v>
      </c>
      <c r="C2117" s="3">
        <v>175</v>
      </c>
      <c r="D2117" s="3">
        <v>35</v>
      </c>
      <c r="E2117" s="3">
        <v>-285.302</v>
      </c>
      <c r="F2117" s="4" t="str">
        <f>HYPERLINK("http://141.218.60.56/~jnz1568/getInfo.php?workbook=10_05.xlsx&amp;sheet=A0&amp;row=2117&amp;col=6&amp;number=112000&amp;sourceID=14","112000")</f>
        <v>112000</v>
      </c>
      <c r="G2117" s="4" t="str">
        <f>HYPERLINK("http://141.218.60.56/~jnz1568/getInfo.php?workbook=10_05.xlsx&amp;sheet=A0&amp;row=2117&amp;col=7&amp;number=0&amp;sourceID=14","0")</f>
        <v>0</v>
      </c>
    </row>
    <row r="2118" spans="1:7">
      <c r="A2118" s="3">
        <v>10</v>
      </c>
      <c r="B2118" s="3">
        <v>5</v>
      </c>
      <c r="C2118" s="3">
        <v>176</v>
      </c>
      <c r="D2118" s="3">
        <v>35</v>
      </c>
      <c r="E2118" s="3">
        <v>-285.301</v>
      </c>
      <c r="F2118" s="4" t="str">
        <f>HYPERLINK("http://141.218.60.56/~jnz1568/getInfo.php?workbook=10_05.xlsx&amp;sheet=A0&amp;row=2118&amp;col=6&amp;number=7720&amp;sourceID=14","7720")</f>
        <v>7720</v>
      </c>
      <c r="G2118" s="4" t="str">
        <f>HYPERLINK("http://141.218.60.56/~jnz1568/getInfo.php?workbook=10_05.xlsx&amp;sheet=A0&amp;row=2118&amp;col=7&amp;number=0&amp;sourceID=14","0")</f>
        <v>0</v>
      </c>
    </row>
    <row r="2119" spans="1:7">
      <c r="A2119" s="3">
        <v>10</v>
      </c>
      <c r="B2119" s="3">
        <v>5</v>
      </c>
      <c r="C2119" s="3">
        <v>177</v>
      </c>
      <c r="D2119" s="3">
        <v>35</v>
      </c>
      <c r="E2119" s="3">
        <v>-284.577</v>
      </c>
      <c r="F2119" s="4" t="str">
        <f>HYPERLINK("http://141.218.60.56/~jnz1568/getInfo.php?workbook=10_05.xlsx&amp;sheet=A0&amp;row=2119&amp;col=6&amp;number=113&amp;sourceID=14","113")</f>
        <v>113</v>
      </c>
      <c r="G2119" s="4" t="str">
        <f>HYPERLINK("http://141.218.60.56/~jnz1568/getInfo.php?workbook=10_05.xlsx&amp;sheet=A0&amp;row=2119&amp;col=7&amp;number=0&amp;sourceID=14","0")</f>
        <v>0</v>
      </c>
    </row>
    <row r="2120" spans="1:7">
      <c r="A2120" s="3">
        <v>10</v>
      </c>
      <c r="B2120" s="3">
        <v>5</v>
      </c>
      <c r="C2120" s="3">
        <v>178</v>
      </c>
      <c r="D2120" s="3">
        <v>35</v>
      </c>
      <c r="E2120" s="3">
        <v>-284.542</v>
      </c>
      <c r="F2120" s="4" t="str">
        <f>HYPERLINK("http://141.218.60.56/~jnz1568/getInfo.php?workbook=10_05.xlsx&amp;sheet=A0&amp;row=2120&amp;col=6&amp;number=1440&amp;sourceID=14","1440")</f>
        <v>1440</v>
      </c>
      <c r="G2120" s="4" t="str">
        <f>HYPERLINK("http://141.218.60.56/~jnz1568/getInfo.php?workbook=10_05.xlsx&amp;sheet=A0&amp;row=2120&amp;col=7&amp;number=0&amp;sourceID=14","0")</f>
        <v>0</v>
      </c>
    </row>
    <row r="2121" spans="1:7">
      <c r="A2121" s="3">
        <v>10</v>
      </c>
      <c r="B2121" s="3">
        <v>5</v>
      </c>
      <c r="C2121" s="3">
        <v>180</v>
      </c>
      <c r="D2121" s="3">
        <v>35</v>
      </c>
      <c r="E2121" s="3">
        <v>-281.27</v>
      </c>
      <c r="F2121" s="4" t="str">
        <f>HYPERLINK("http://141.218.60.56/~jnz1568/getInfo.php?workbook=10_05.xlsx&amp;sheet=A0&amp;row=2121&amp;col=6&amp;number=1810&amp;sourceID=14","1810")</f>
        <v>1810</v>
      </c>
      <c r="G2121" s="4" t="str">
        <f>HYPERLINK("http://141.218.60.56/~jnz1568/getInfo.php?workbook=10_05.xlsx&amp;sheet=A0&amp;row=2121&amp;col=7&amp;number=0&amp;sourceID=14","0")</f>
        <v>0</v>
      </c>
    </row>
    <row r="2122" spans="1:7">
      <c r="A2122" s="3">
        <v>10</v>
      </c>
      <c r="B2122" s="3">
        <v>5</v>
      </c>
      <c r="C2122" s="3">
        <v>38</v>
      </c>
      <c r="D2122" s="3">
        <v>36</v>
      </c>
      <c r="E2122" s="3">
        <v>-6956.051</v>
      </c>
      <c r="F2122" s="4" t="str">
        <f>HYPERLINK("http://141.218.60.56/~jnz1568/getInfo.php?workbook=10_05.xlsx&amp;sheet=A0&amp;row=2122&amp;col=6&amp;number=388&amp;sourceID=14","388")</f>
        <v>388</v>
      </c>
      <c r="G2122" s="4" t="str">
        <f>HYPERLINK("http://141.218.60.56/~jnz1568/getInfo.php?workbook=10_05.xlsx&amp;sheet=A0&amp;row=2122&amp;col=7&amp;number=0&amp;sourceID=14","0")</f>
        <v>0</v>
      </c>
    </row>
    <row r="2123" spans="1:7">
      <c r="A2123" s="3">
        <v>10</v>
      </c>
      <c r="B2123" s="3">
        <v>5</v>
      </c>
      <c r="C2123" s="3">
        <v>39</v>
      </c>
      <c r="D2123" s="3">
        <v>36</v>
      </c>
      <c r="E2123" s="3">
        <v>-6825.951</v>
      </c>
      <c r="F2123" s="4" t="str">
        <f>HYPERLINK("http://141.218.60.56/~jnz1568/getInfo.php?workbook=10_05.xlsx&amp;sheet=A0&amp;row=2123&amp;col=6&amp;number=2.06&amp;sourceID=14","2.06")</f>
        <v>2.06</v>
      </c>
      <c r="G2123" s="4" t="str">
        <f>HYPERLINK("http://141.218.60.56/~jnz1568/getInfo.php?workbook=10_05.xlsx&amp;sheet=A0&amp;row=2123&amp;col=7&amp;number=0&amp;sourceID=14","0")</f>
        <v>0</v>
      </c>
    </row>
    <row r="2124" spans="1:7">
      <c r="A2124" s="3">
        <v>10</v>
      </c>
      <c r="B2124" s="3">
        <v>5</v>
      </c>
      <c r="C2124" s="3">
        <v>43</v>
      </c>
      <c r="D2124" s="3">
        <v>36</v>
      </c>
      <c r="E2124" s="3">
        <v>3821.176</v>
      </c>
      <c r="F2124" s="4" t="str">
        <f>HYPERLINK("http://141.218.60.56/~jnz1568/getInfo.php?workbook=10_05.xlsx&amp;sheet=A0&amp;row=2124&amp;col=6&amp;number=1950&amp;sourceID=14","1950")</f>
        <v>1950</v>
      </c>
      <c r="G2124" s="4" t="str">
        <f>HYPERLINK("http://141.218.60.56/~jnz1568/getInfo.php?workbook=10_05.xlsx&amp;sheet=A0&amp;row=2124&amp;col=7&amp;number=0&amp;sourceID=14","0")</f>
        <v>0</v>
      </c>
    </row>
    <row r="2125" spans="1:7">
      <c r="A2125" s="3">
        <v>10</v>
      </c>
      <c r="B2125" s="3">
        <v>5</v>
      </c>
      <c r="C2125" s="3">
        <v>44</v>
      </c>
      <c r="D2125" s="3">
        <v>36</v>
      </c>
      <c r="E2125" s="3">
        <v>3806.631</v>
      </c>
      <c r="F2125" s="4" t="str">
        <f>HYPERLINK("http://141.218.60.56/~jnz1568/getInfo.php?workbook=10_05.xlsx&amp;sheet=A0&amp;row=2125&amp;col=6&amp;number=10100&amp;sourceID=14","10100")</f>
        <v>10100</v>
      </c>
      <c r="G2125" s="4" t="str">
        <f>HYPERLINK("http://141.218.60.56/~jnz1568/getInfo.php?workbook=10_05.xlsx&amp;sheet=A0&amp;row=2125&amp;col=7&amp;number=0&amp;sourceID=14","0")</f>
        <v>0</v>
      </c>
    </row>
    <row r="2126" spans="1:7">
      <c r="A2126" s="3">
        <v>10</v>
      </c>
      <c r="B2126" s="3">
        <v>5</v>
      </c>
      <c r="C2126" s="3">
        <v>45</v>
      </c>
      <c r="D2126" s="3">
        <v>36</v>
      </c>
      <c r="E2126" s="3">
        <v>3792.195</v>
      </c>
      <c r="F2126" s="4" t="str">
        <f>HYPERLINK("http://141.218.60.56/~jnz1568/getInfo.php?workbook=10_05.xlsx&amp;sheet=A0&amp;row=2126&amp;col=6&amp;number=241&amp;sourceID=14","241")</f>
        <v>241</v>
      </c>
      <c r="G2126" s="4" t="str">
        <f>HYPERLINK("http://141.218.60.56/~jnz1568/getInfo.php?workbook=10_05.xlsx&amp;sheet=A0&amp;row=2126&amp;col=7&amp;number=0&amp;sourceID=14","0")</f>
        <v>0</v>
      </c>
    </row>
    <row r="2127" spans="1:7">
      <c r="A2127" s="3">
        <v>10</v>
      </c>
      <c r="B2127" s="3">
        <v>5</v>
      </c>
      <c r="C2127" s="3">
        <v>47</v>
      </c>
      <c r="D2127" s="3">
        <v>36</v>
      </c>
      <c r="E2127" s="3">
        <v>3581.668</v>
      </c>
      <c r="F2127" s="4" t="str">
        <f>HYPERLINK("http://141.218.60.56/~jnz1568/getInfo.php?workbook=10_05.xlsx&amp;sheet=A0&amp;row=2127&amp;col=6&amp;number=7800000&amp;sourceID=14","7800000")</f>
        <v>7800000</v>
      </c>
      <c r="G2127" s="4" t="str">
        <f>HYPERLINK("http://141.218.60.56/~jnz1568/getInfo.php?workbook=10_05.xlsx&amp;sheet=A0&amp;row=2127&amp;col=7&amp;number=0&amp;sourceID=14","0")</f>
        <v>0</v>
      </c>
    </row>
    <row r="2128" spans="1:7">
      <c r="A2128" s="3">
        <v>10</v>
      </c>
      <c r="B2128" s="3">
        <v>5</v>
      </c>
      <c r="C2128" s="3">
        <v>48</v>
      </c>
      <c r="D2128" s="3">
        <v>36</v>
      </c>
      <c r="E2128" s="3">
        <v>3556.194</v>
      </c>
      <c r="F2128" s="4" t="str">
        <f>HYPERLINK("http://141.218.60.56/~jnz1568/getInfo.php?workbook=10_05.xlsx&amp;sheet=A0&amp;row=2128&amp;col=6&amp;number=609000&amp;sourceID=14","609000")</f>
        <v>609000</v>
      </c>
      <c r="G2128" s="4" t="str">
        <f>HYPERLINK("http://141.218.60.56/~jnz1568/getInfo.php?workbook=10_05.xlsx&amp;sheet=A0&amp;row=2128&amp;col=7&amp;number=0&amp;sourceID=14","0")</f>
        <v>0</v>
      </c>
    </row>
    <row r="2129" spans="1:7">
      <c r="A2129" s="3">
        <v>10</v>
      </c>
      <c r="B2129" s="3">
        <v>5</v>
      </c>
      <c r="C2129" s="3">
        <v>49</v>
      </c>
      <c r="D2129" s="3">
        <v>36</v>
      </c>
      <c r="E2129" s="3">
        <v>3174.609</v>
      </c>
      <c r="F2129" s="4" t="str">
        <f>HYPERLINK("http://141.218.60.56/~jnz1568/getInfo.php?workbook=10_05.xlsx&amp;sheet=A0&amp;row=2129&amp;col=6&amp;number=40800&amp;sourceID=14","40800")</f>
        <v>40800</v>
      </c>
      <c r="G2129" s="4" t="str">
        <f>HYPERLINK("http://141.218.60.56/~jnz1568/getInfo.php?workbook=10_05.xlsx&amp;sheet=A0&amp;row=2129&amp;col=7&amp;number=0&amp;sourceID=14","0")</f>
        <v>0</v>
      </c>
    </row>
    <row r="2130" spans="1:7">
      <c r="A2130" s="3">
        <v>10</v>
      </c>
      <c r="B2130" s="3">
        <v>5</v>
      </c>
      <c r="C2130" s="3">
        <v>50</v>
      </c>
      <c r="D2130" s="3">
        <v>36</v>
      </c>
      <c r="E2130" s="3">
        <v>3144.66</v>
      </c>
      <c r="F2130" s="4" t="str">
        <f>HYPERLINK("http://141.218.60.56/~jnz1568/getInfo.php?workbook=10_05.xlsx&amp;sheet=A0&amp;row=2130&amp;col=6&amp;number=58400&amp;sourceID=14","58400")</f>
        <v>58400</v>
      </c>
      <c r="G2130" s="4" t="str">
        <f>HYPERLINK("http://141.218.60.56/~jnz1568/getInfo.php?workbook=10_05.xlsx&amp;sheet=A0&amp;row=2130&amp;col=7&amp;number=0&amp;sourceID=14","0")</f>
        <v>0</v>
      </c>
    </row>
    <row r="2131" spans="1:7">
      <c r="A2131" s="3">
        <v>10</v>
      </c>
      <c r="B2131" s="3">
        <v>5</v>
      </c>
      <c r="C2131" s="3">
        <v>51</v>
      </c>
      <c r="D2131" s="3">
        <v>36</v>
      </c>
      <c r="E2131" s="3">
        <v>3120.131</v>
      </c>
      <c r="F2131" s="4" t="str">
        <f>HYPERLINK("http://141.218.60.56/~jnz1568/getInfo.php?workbook=10_05.xlsx&amp;sheet=A0&amp;row=2131&amp;col=6&amp;number=1740&amp;sourceID=14","1740")</f>
        <v>1740</v>
      </c>
      <c r="G2131" s="4" t="str">
        <f>HYPERLINK("http://141.218.60.56/~jnz1568/getInfo.php?workbook=10_05.xlsx&amp;sheet=A0&amp;row=2131&amp;col=7&amp;number=0&amp;sourceID=14","0")</f>
        <v>0</v>
      </c>
    </row>
    <row r="2132" spans="1:7">
      <c r="A2132" s="3">
        <v>10</v>
      </c>
      <c r="B2132" s="3">
        <v>5</v>
      </c>
      <c r="C2132" s="3">
        <v>52</v>
      </c>
      <c r="D2132" s="3">
        <v>36</v>
      </c>
      <c r="E2132" s="3">
        <v>2490.044</v>
      </c>
      <c r="F2132" s="4" t="str">
        <f>HYPERLINK("http://141.218.60.56/~jnz1568/getInfo.php?workbook=10_05.xlsx&amp;sheet=A0&amp;row=2132&amp;col=6&amp;number=6310&amp;sourceID=14","6310")</f>
        <v>6310</v>
      </c>
      <c r="G2132" s="4" t="str">
        <f>HYPERLINK("http://141.218.60.56/~jnz1568/getInfo.php?workbook=10_05.xlsx&amp;sheet=A0&amp;row=2132&amp;col=7&amp;number=0&amp;sourceID=14","0")</f>
        <v>0</v>
      </c>
    </row>
    <row r="2133" spans="1:7">
      <c r="A2133" s="3">
        <v>10</v>
      </c>
      <c r="B2133" s="3">
        <v>5</v>
      </c>
      <c r="C2133" s="3">
        <v>53</v>
      </c>
      <c r="D2133" s="3">
        <v>36</v>
      </c>
      <c r="E2133" s="3">
        <v>2490.044</v>
      </c>
      <c r="F2133" s="4" t="str">
        <f>HYPERLINK("http://141.218.60.56/~jnz1568/getInfo.php?workbook=10_05.xlsx&amp;sheet=A0&amp;row=2133&amp;col=6&amp;number=3700&amp;sourceID=14","3700")</f>
        <v>3700</v>
      </c>
      <c r="G2133" s="4" t="str">
        <f>HYPERLINK("http://141.218.60.56/~jnz1568/getInfo.php?workbook=10_05.xlsx&amp;sheet=A0&amp;row=2133&amp;col=7&amp;number=0&amp;sourceID=14","0")</f>
        <v>0</v>
      </c>
    </row>
    <row r="2134" spans="1:7">
      <c r="A2134" s="3">
        <v>10</v>
      </c>
      <c r="B2134" s="3">
        <v>5</v>
      </c>
      <c r="C2134" s="3">
        <v>54</v>
      </c>
      <c r="D2134" s="3">
        <v>36</v>
      </c>
      <c r="E2134" s="3">
        <v>2183.41</v>
      </c>
      <c r="F2134" s="4" t="str">
        <f>HYPERLINK("http://141.218.60.56/~jnz1568/getInfo.php?workbook=10_05.xlsx&amp;sheet=A0&amp;row=2134&amp;col=6&amp;number=197000000&amp;sourceID=14","197000000")</f>
        <v>197000000</v>
      </c>
      <c r="G2134" s="4" t="str">
        <f>HYPERLINK("http://141.218.60.56/~jnz1568/getInfo.php?workbook=10_05.xlsx&amp;sheet=A0&amp;row=2134&amp;col=7&amp;number=0&amp;sourceID=14","0")</f>
        <v>0</v>
      </c>
    </row>
    <row r="2135" spans="1:7">
      <c r="A2135" s="3">
        <v>10</v>
      </c>
      <c r="B2135" s="3">
        <v>5</v>
      </c>
      <c r="C2135" s="3">
        <v>56</v>
      </c>
      <c r="D2135" s="3">
        <v>36</v>
      </c>
      <c r="E2135" s="3">
        <v>1919.389</v>
      </c>
      <c r="F2135" s="4" t="str">
        <f>HYPERLINK("http://141.218.60.56/~jnz1568/getInfo.php?workbook=10_05.xlsx&amp;sheet=A0&amp;row=2135&amp;col=6&amp;number=2730000&amp;sourceID=14","2730000")</f>
        <v>2730000</v>
      </c>
      <c r="G2135" s="4" t="str">
        <f>HYPERLINK("http://141.218.60.56/~jnz1568/getInfo.php?workbook=10_05.xlsx&amp;sheet=A0&amp;row=2135&amp;col=7&amp;number=0&amp;sourceID=14","0")</f>
        <v>0</v>
      </c>
    </row>
    <row r="2136" spans="1:7">
      <c r="A2136" s="3">
        <v>10</v>
      </c>
      <c r="B2136" s="3">
        <v>5</v>
      </c>
      <c r="C2136" s="3">
        <v>57</v>
      </c>
      <c r="D2136" s="3">
        <v>36</v>
      </c>
      <c r="E2136" s="3">
        <v>1904.403</v>
      </c>
      <c r="F2136" s="4" t="str">
        <f>HYPERLINK("http://141.218.60.56/~jnz1568/getInfo.php?workbook=10_05.xlsx&amp;sheet=A0&amp;row=2136&amp;col=6&amp;number=36500000&amp;sourceID=14","36500000")</f>
        <v>36500000</v>
      </c>
      <c r="G2136" s="4" t="str">
        <f>HYPERLINK("http://141.218.60.56/~jnz1568/getInfo.php?workbook=10_05.xlsx&amp;sheet=A0&amp;row=2136&amp;col=7&amp;number=0&amp;sourceID=14","0")</f>
        <v>0</v>
      </c>
    </row>
    <row r="2137" spans="1:7">
      <c r="A2137" s="3">
        <v>10</v>
      </c>
      <c r="B2137" s="3">
        <v>5</v>
      </c>
      <c r="C2137" s="3">
        <v>64</v>
      </c>
      <c r="D2137" s="3">
        <v>36</v>
      </c>
      <c r="E2137" s="3">
        <v>-948.75</v>
      </c>
      <c r="F2137" s="4" t="str">
        <f>HYPERLINK("http://141.218.60.56/~jnz1568/getInfo.php?workbook=10_05.xlsx&amp;sheet=A0&amp;row=2137&amp;col=6&amp;number=42000000&amp;sourceID=14","42000000")</f>
        <v>42000000</v>
      </c>
      <c r="G2137" s="4" t="str">
        <f>HYPERLINK("http://141.218.60.56/~jnz1568/getInfo.php?workbook=10_05.xlsx&amp;sheet=A0&amp;row=2137&amp;col=7&amp;number=0&amp;sourceID=14","0")</f>
        <v>0</v>
      </c>
    </row>
    <row r="2138" spans="1:7">
      <c r="A2138" s="3">
        <v>10</v>
      </c>
      <c r="B2138" s="3">
        <v>5</v>
      </c>
      <c r="C2138" s="3">
        <v>65</v>
      </c>
      <c r="D2138" s="3">
        <v>36</v>
      </c>
      <c r="E2138" s="3">
        <v>-947.662</v>
      </c>
      <c r="F2138" s="4" t="str">
        <f>HYPERLINK("http://141.218.60.56/~jnz1568/getInfo.php?workbook=10_05.xlsx&amp;sheet=A0&amp;row=2138&amp;col=6&amp;number=4420000&amp;sourceID=14","4420000")</f>
        <v>4420000</v>
      </c>
      <c r="G2138" s="4" t="str">
        <f>HYPERLINK("http://141.218.60.56/~jnz1568/getInfo.php?workbook=10_05.xlsx&amp;sheet=A0&amp;row=2138&amp;col=7&amp;number=0&amp;sourceID=14","0")</f>
        <v>0</v>
      </c>
    </row>
    <row r="2139" spans="1:7">
      <c r="A2139" s="3">
        <v>10</v>
      </c>
      <c r="B2139" s="3">
        <v>5</v>
      </c>
      <c r="C2139" s="3">
        <v>68</v>
      </c>
      <c r="D2139" s="3">
        <v>36</v>
      </c>
      <c r="E2139" s="3">
        <v>820.346</v>
      </c>
      <c r="F2139" s="4" t="str">
        <f>HYPERLINK("http://141.218.60.56/~jnz1568/getInfo.php?workbook=10_05.xlsx&amp;sheet=A0&amp;row=2139&amp;col=6&amp;number=110000&amp;sourceID=14","110000")</f>
        <v>110000</v>
      </c>
      <c r="G2139" s="4" t="str">
        <f>HYPERLINK("http://141.218.60.56/~jnz1568/getInfo.php?workbook=10_05.xlsx&amp;sheet=A0&amp;row=2139&amp;col=7&amp;number=0&amp;sourceID=14","0")</f>
        <v>0</v>
      </c>
    </row>
    <row r="2140" spans="1:7">
      <c r="A2140" s="3">
        <v>10</v>
      </c>
      <c r="B2140" s="3">
        <v>5</v>
      </c>
      <c r="C2140" s="3">
        <v>73</v>
      </c>
      <c r="D2140" s="3">
        <v>36</v>
      </c>
      <c r="E2140" s="3">
        <v>769.173</v>
      </c>
      <c r="F2140" s="4" t="str">
        <f>HYPERLINK("http://141.218.60.56/~jnz1568/getInfo.php?workbook=10_05.xlsx&amp;sheet=A0&amp;row=2140&amp;col=6&amp;number=100000000&amp;sourceID=14","100000000")</f>
        <v>100000000</v>
      </c>
      <c r="G2140" s="4" t="str">
        <f>HYPERLINK("http://141.218.60.56/~jnz1568/getInfo.php?workbook=10_05.xlsx&amp;sheet=A0&amp;row=2140&amp;col=7&amp;number=0&amp;sourceID=14","0")</f>
        <v>0</v>
      </c>
    </row>
    <row r="2141" spans="1:7">
      <c r="A2141" s="3">
        <v>10</v>
      </c>
      <c r="B2141" s="3">
        <v>5</v>
      </c>
      <c r="C2141" s="3">
        <v>74</v>
      </c>
      <c r="D2141" s="3">
        <v>36</v>
      </c>
      <c r="E2141" s="3">
        <v>768.464</v>
      </c>
      <c r="F2141" s="4" t="str">
        <f>HYPERLINK("http://141.218.60.56/~jnz1568/getInfo.php?workbook=10_05.xlsx&amp;sheet=A0&amp;row=2141&amp;col=6&amp;number=6480000&amp;sourceID=14","6480000")</f>
        <v>6480000</v>
      </c>
      <c r="G2141" s="4" t="str">
        <f>HYPERLINK("http://141.218.60.56/~jnz1568/getInfo.php?workbook=10_05.xlsx&amp;sheet=A0&amp;row=2141&amp;col=7&amp;number=0&amp;sourceID=14","0")</f>
        <v>0</v>
      </c>
    </row>
    <row r="2142" spans="1:7">
      <c r="A2142" s="3">
        <v>10</v>
      </c>
      <c r="B2142" s="3">
        <v>5</v>
      </c>
      <c r="C2142" s="3">
        <v>75</v>
      </c>
      <c r="D2142" s="3">
        <v>36</v>
      </c>
      <c r="E2142" s="3">
        <v>756.259</v>
      </c>
      <c r="F2142" s="4" t="str">
        <f>HYPERLINK("http://141.218.60.56/~jnz1568/getInfo.php?workbook=10_05.xlsx&amp;sheet=A0&amp;row=2142&amp;col=6&amp;number=172000&amp;sourceID=14","172000")</f>
        <v>172000</v>
      </c>
      <c r="G2142" s="4" t="str">
        <f>HYPERLINK("http://141.218.60.56/~jnz1568/getInfo.php?workbook=10_05.xlsx&amp;sheet=A0&amp;row=2142&amp;col=7&amp;number=0&amp;sourceID=14","0")</f>
        <v>0</v>
      </c>
    </row>
    <row r="2143" spans="1:7">
      <c r="A2143" s="3">
        <v>10</v>
      </c>
      <c r="B2143" s="3">
        <v>5</v>
      </c>
      <c r="C2143" s="3">
        <v>76</v>
      </c>
      <c r="D2143" s="3">
        <v>36</v>
      </c>
      <c r="E2143" s="3">
        <v>756.259</v>
      </c>
      <c r="F2143" s="4" t="str">
        <f>HYPERLINK("http://141.218.60.56/~jnz1568/getInfo.php?workbook=10_05.xlsx&amp;sheet=A0&amp;row=2143&amp;col=6&amp;number=16000&amp;sourceID=14","16000")</f>
        <v>16000</v>
      </c>
      <c r="G2143" s="4" t="str">
        <f>HYPERLINK("http://141.218.60.56/~jnz1568/getInfo.php?workbook=10_05.xlsx&amp;sheet=A0&amp;row=2143&amp;col=7&amp;number=0&amp;sourceID=14","0")</f>
        <v>0</v>
      </c>
    </row>
    <row r="2144" spans="1:7">
      <c r="A2144" s="3">
        <v>10</v>
      </c>
      <c r="B2144" s="3">
        <v>5</v>
      </c>
      <c r="C2144" s="3">
        <v>79</v>
      </c>
      <c r="D2144" s="3">
        <v>36</v>
      </c>
      <c r="E2144" s="3">
        <v>-645.646</v>
      </c>
      <c r="F2144" s="4" t="str">
        <f>HYPERLINK("http://141.218.60.56/~jnz1568/getInfo.php?workbook=10_05.xlsx&amp;sheet=A0&amp;row=2144&amp;col=6&amp;number=28100&amp;sourceID=14","28100")</f>
        <v>28100</v>
      </c>
      <c r="G2144" s="4" t="str">
        <f>HYPERLINK("http://141.218.60.56/~jnz1568/getInfo.php?workbook=10_05.xlsx&amp;sheet=A0&amp;row=2144&amp;col=7&amp;number=0&amp;sourceID=14","0")</f>
        <v>0</v>
      </c>
    </row>
    <row r="2145" spans="1:7">
      <c r="A2145" s="3">
        <v>10</v>
      </c>
      <c r="B2145" s="3">
        <v>5</v>
      </c>
      <c r="C2145" s="3">
        <v>82</v>
      </c>
      <c r="D2145" s="3">
        <v>36</v>
      </c>
      <c r="E2145" s="3">
        <v>617.476</v>
      </c>
      <c r="F2145" s="4" t="str">
        <f>HYPERLINK("http://141.218.60.56/~jnz1568/getInfo.php?workbook=10_05.xlsx&amp;sheet=A0&amp;row=2145&amp;col=6&amp;number=698000&amp;sourceID=14","698000")</f>
        <v>698000</v>
      </c>
      <c r="G2145" s="4" t="str">
        <f>HYPERLINK("http://141.218.60.56/~jnz1568/getInfo.php?workbook=10_05.xlsx&amp;sheet=A0&amp;row=2145&amp;col=7&amp;number=0&amp;sourceID=14","0")</f>
        <v>0</v>
      </c>
    </row>
    <row r="2146" spans="1:7">
      <c r="A2146" s="3">
        <v>10</v>
      </c>
      <c r="B2146" s="3">
        <v>5</v>
      </c>
      <c r="C2146" s="3">
        <v>83</v>
      </c>
      <c r="D2146" s="3">
        <v>36</v>
      </c>
      <c r="E2146" s="3">
        <v>617.476</v>
      </c>
      <c r="F2146" s="4" t="str">
        <f>HYPERLINK("http://141.218.60.56/~jnz1568/getInfo.php?workbook=10_05.xlsx&amp;sheet=A0&amp;row=2146&amp;col=6&amp;number=218000&amp;sourceID=14","218000")</f>
        <v>218000</v>
      </c>
      <c r="G2146" s="4" t="str">
        <f>HYPERLINK("http://141.218.60.56/~jnz1568/getInfo.php?workbook=10_05.xlsx&amp;sheet=A0&amp;row=2146&amp;col=7&amp;number=0&amp;sourceID=14","0")</f>
        <v>0</v>
      </c>
    </row>
    <row r="2147" spans="1:7">
      <c r="A2147" s="3">
        <v>10</v>
      </c>
      <c r="B2147" s="3">
        <v>5</v>
      </c>
      <c r="C2147" s="3">
        <v>84</v>
      </c>
      <c r="D2147" s="3">
        <v>36</v>
      </c>
      <c r="E2147" s="3">
        <v>617.476</v>
      </c>
      <c r="F2147" s="4" t="str">
        <f>HYPERLINK("http://141.218.60.56/~jnz1568/getInfo.php?workbook=10_05.xlsx&amp;sheet=A0&amp;row=2147&amp;col=6&amp;number=225000&amp;sourceID=14","225000")</f>
        <v>225000</v>
      </c>
      <c r="G2147" s="4" t="str">
        <f>HYPERLINK("http://141.218.60.56/~jnz1568/getInfo.php?workbook=10_05.xlsx&amp;sheet=A0&amp;row=2147&amp;col=7&amp;number=0&amp;sourceID=14","0")</f>
        <v>0</v>
      </c>
    </row>
    <row r="2148" spans="1:7">
      <c r="A2148" s="3">
        <v>10</v>
      </c>
      <c r="B2148" s="3">
        <v>5</v>
      </c>
      <c r="C2148" s="3">
        <v>86</v>
      </c>
      <c r="D2148" s="3">
        <v>36</v>
      </c>
      <c r="E2148" s="3">
        <v>-614.014</v>
      </c>
      <c r="F2148" s="4" t="str">
        <f>HYPERLINK("http://141.218.60.56/~jnz1568/getInfo.php?workbook=10_05.xlsx&amp;sheet=A0&amp;row=2148&amp;col=6&amp;number=9060000&amp;sourceID=14","9060000")</f>
        <v>9060000</v>
      </c>
      <c r="G2148" s="4" t="str">
        <f>HYPERLINK("http://141.218.60.56/~jnz1568/getInfo.php?workbook=10_05.xlsx&amp;sheet=A0&amp;row=2148&amp;col=7&amp;number=0&amp;sourceID=14","0")</f>
        <v>0</v>
      </c>
    </row>
    <row r="2149" spans="1:7">
      <c r="A2149" s="3">
        <v>10</v>
      </c>
      <c r="B2149" s="3">
        <v>5</v>
      </c>
      <c r="C2149" s="3">
        <v>88</v>
      </c>
      <c r="D2149" s="3">
        <v>36</v>
      </c>
      <c r="E2149" s="3">
        <v>605.695</v>
      </c>
      <c r="F2149" s="4" t="str">
        <f>HYPERLINK("http://141.218.60.56/~jnz1568/getInfo.php?workbook=10_05.xlsx&amp;sheet=A0&amp;row=2149&amp;col=6&amp;number=36600&amp;sourceID=14","36600")</f>
        <v>36600</v>
      </c>
      <c r="G2149" s="4" t="str">
        <f>HYPERLINK("http://141.218.60.56/~jnz1568/getInfo.php?workbook=10_05.xlsx&amp;sheet=A0&amp;row=2149&amp;col=7&amp;number=0&amp;sourceID=14","0")</f>
        <v>0</v>
      </c>
    </row>
    <row r="2150" spans="1:7">
      <c r="A2150" s="3">
        <v>10</v>
      </c>
      <c r="B2150" s="3">
        <v>5</v>
      </c>
      <c r="C2150" s="3">
        <v>89</v>
      </c>
      <c r="D2150" s="3">
        <v>36</v>
      </c>
      <c r="E2150" s="3">
        <v>604.34</v>
      </c>
      <c r="F2150" s="4" t="str">
        <f>HYPERLINK("http://141.218.60.56/~jnz1568/getInfo.php?workbook=10_05.xlsx&amp;sheet=A0&amp;row=2150&amp;col=6&amp;number=608000&amp;sourceID=14","608000")</f>
        <v>608000</v>
      </c>
      <c r="G2150" s="4" t="str">
        <f>HYPERLINK("http://141.218.60.56/~jnz1568/getInfo.php?workbook=10_05.xlsx&amp;sheet=A0&amp;row=2150&amp;col=7&amp;number=0&amp;sourceID=14","0")</f>
        <v>0</v>
      </c>
    </row>
    <row r="2151" spans="1:7">
      <c r="A2151" s="3">
        <v>10</v>
      </c>
      <c r="B2151" s="3">
        <v>5</v>
      </c>
      <c r="C2151" s="3">
        <v>90</v>
      </c>
      <c r="D2151" s="3">
        <v>36</v>
      </c>
      <c r="E2151" s="3">
        <v>602.266</v>
      </c>
      <c r="F2151" s="4" t="str">
        <f>HYPERLINK("http://141.218.60.56/~jnz1568/getInfo.php?workbook=10_05.xlsx&amp;sheet=A0&amp;row=2151&amp;col=6&amp;number=206000&amp;sourceID=14","206000")</f>
        <v>206000</v>
      </c>
      <c r="G2151" s="4" t="str">
        <f>HYPERLINK("http://141.218.60.56/~jnz1568/getInfo.php?workbook=10_05.xlsx&amp;sheet=A0&amp;row=2151&amp;col=7&amp;number=0&amp;sourceID=14","0")</f>
        <v>0</v>
      </c>
    </row>
    <row r="2152" spans="1:7">
      <c r="A2152" s="3">
        <v>10</v>
      </c>
      <c r="B2152" s="3">
        <v>5</v>
      </c>
      <c r="C2152" s="3">
        <v>91</v>
      </c>
      <c r="D2152" s="3">
        <v>36</v>
      </c>
      <c r="E2152" s="3">
        <v>-574.968</v>
      </c>
      <c r="F2152" s="4" t="str">
        <f>HYPERLINK("http://141.218.60.56/~jnz1568/getInfo.php?workbook=10_05.xlsx&amp;sheet=A0&amp;row=2152&amp;col=6&amp;number=2110000000&amp;sourceID=14","2110000000")</f>
        <v>2110000000</v>
      </c>
      <c r="G2152" s="4" t="str">
        <f>HYPERLINK("http://141.218.60.56/~jnz1568/getInfo.php?workbook=10_05.xlsx&amp;sheet=A0&amp;row=2152&amp;col=7&amp;number=0&amp;sourceID=14","0")</f>
        <v>0</v>
      </c>
    </row>
    <row r="2153" spans="1:7">
      <c r="A2153" s="3">
        <v>10</v>
      </c>
      <c r="B2153" s="3">
        <v>5</v>
      </c>
      <c r="C2153" s="3">
        <v>92</v>
      </c>
      <c r="D2153" s="3">
        <v>36</v>
      </c>
      <c r="E2153" s="3">
        <v>-572.224</v>
      </c>
      <c r="F2153" s="4" t="str">
        <f>HYPERLINK("http://141.218.60.56/~jnz1568/getInfo.php?workbook=10_05.xlsx&amp;sheet=A0&amp;row=2153&amp;col=6&amp;number=149000000&amp;sourceID=14","149000000")</f>
        <v>149000000</v>
      </c>
      <c r="G2153" s="4" t="str">
        <f>HYPERLINK("http://141.218.60.56/~jnz1568/getInfo.php?workbook=10_05.xlsx&amp;sheet=A0&amp;row=2153&amp;col=7&amp;number=0&amp;sourceID=14","0")</f>
        <v>0</v>
      </c>
    </row>
    <row r="2154" spans="1:7">
      <c r="A2154" s="3">
        <v>10</v>
      </c>
      <c r="B2154" s="3">
        <v>5</v>
      </c>
      <c r="C2154" s="3">
        <v>93</v>
      </c>
      <c r="D2154" s="3">
        <v>36</v>
      </c>
      <c r="E2154" s="3">
        <v>-547.901</v>
      </c>
      <c r="F2154" s="4" t="str">
        <f>HYPERLINK("http://141.218.60.56/~jnz1568/getInfo.php?workbook=10_05.xlsx&amp;sheet=A0&amp;row=2154&amp;col=6&amp;number=3600000000&amp;sourceID=14","3600000000")</f>
        <v>3600000000</v>
      </c>
      <c r="G2154" s="4" t="str">
        <f>HYPERLINK("http://141.218.60.56/~jnz1568/getInfo.php?workbook=10_05.xlsx&amp;sheet=A0&amp;row=2154&amp;col=7&amp;number=0&amp;sourceID=14","0")</f>
        <v>0</v>
      </c>
    </row>
    <row r="2155" spans="1:7">
      <c r="A2155" s="3">
        <v>10</v>
      </c>
      <c r="B2155" s="3">
        <v>5</v>
      </c>
      <c r="C2155" s="3">
        <v>94</v>
      </c>
      <c r="D2155" s="3">
        <v>36</v>
      </c>
      <c r="E2155" s="3">
        <v>-547.439</v>
      </c>
      <c r="F2155" s="4" t="str">
        <f>HYPERLINK("http://141.218.60.56/~jnz1568/getInfo.php?workbook=10_05.xlsx&amp;sheet=A0&amp;row=2155&amp;col=6&amp;number=376000000&amp;sourceID=14","376000000")</f>
        <v>376000000</v>
      </c>
      <c r="G2155" s="4" t="str">
        <f>HYPERLINK("http://141.218.60.56/~jnz1568/getInfo.php?workbook=10_05.xlsx&amp;sheet=A0&amp;row=2155&amp;col=7&amp;number=0&amp;sourceID=14","0")</f>
        <v>0</v>
      </c>
    </row>
    <row r="2156" spans="1:7">
      <c r="A2156" s="3">
        <v>10</v>
      </c>
      <c r="B2156" s="3">
        <v>5</v>
      </c>
      <c r="C2156" s="3">
        <v>95</v>
      </c>
      <c r="D2156" s="3">
        <v>36</v>
      </c>
      <c r="E2156" s="3">
        <v>546.628</v>
      </c>
      <c r="F2156" s="4" t="str">
        <f>HYPERLINK("http://141.218.60.56/~jnz1568/getInfo.php?workbook=10_05.xlsx&amp;sheet=A0&amp;row=2156&amp;col=6&amp;number=555000&amp;sourceID=14","555000")</f>
        <v>555000</v>
      </c>
      <c r="G2156" s="4" t="str">
        <f>HYPERLINK("http://141.218.60.56/~jnz1568/getInfo.php?workbook=10_05.xlsx&amp;sheet=A0&amp;row=2156&amp;col=7&amp;number=0&amp;sourceID=14","0")</f>
        <v>0</v>
      </c>
    </row>
    <row r="2157" spans="1:7">
      <c r="A2157" s="3">
        <v>10</v>
      </c>
      <c r="B2157" s="3">
        <v>5</v>
      </c>
      <c r="C2157" s="3">
        <v>96</v>
      </c>
      <c r="D2157" s="3">
        <v>36</v>
      </c>
      <c r="E2157" s="3">
        <v>510.909</v>
      </c>
      <c r="F2157" s="4" t="str">
        <f>HYPERLINK("http://141.218.60.56/~jnz1568/getInfo.php?workbook=10_05.xlsx&amp;sheet=A0&amp;row=2157&amp;col=6&amp;number=31300000&amp;sourceID=14","31300000")</f>
        <v>31300000</v>
      </c>
      <c r="G2157" s="4" t="str">
        <f>HYPERLINK("http://141.218.60.56/~jnz1568/getInfo.php?workbook=10_05.xlsx&amp;sheet=A0&amp;row=2157&amp;col=7&amp;number=0&amp;sourceID=14","0")</f>
        <v>0</v>
      </c>
    </row>
    <row r="2158" spans="1:7">
      <c r="A2158" s="3">
        <v>10</v>
      </c>
      <c r="B2158" s="3">
        <v>5</v>
      </c>
      <c r="C2158" s="3">
        <v>98</v>
      </c>
      <c r="D2158" s="3">
        <v>36</v>
      </c>
      <c r="E2158" s="3">
        <v>-501.621</v>
      </c>
      <c r="F2158" s="4" t="str">
        <f>HYPERLINK("http://141.218.60.56/~jnz1568/getInfo.php?workbook=10_05.xlsx&amp;sheet=A0&amp;row=2158&amp;col=6&amp;number=5820&amp;sourceID=14","5820")</f>
        <v>5820</v>
      </c>
      <c r="G2158" s="4" t="str">
        <f>HYPERLINK("http://141.218.60.56/~jnz1568/getInfo.php?workbook=10_05.xlsx&amp;sheet=A0&amp;row=2158&amp;col=7&amp;number=0&amp;sourceID=14","0")</f>
        <v>0</v>
      </c>
    </row>
    <row r="2159" spans="1:7">
      <c r="A2159" s="3">
        <v>10</v>
      </c>
      <c r="B2159" s="3">
        <v>5</v>
      </c>
      <c r="C2159" s="3">
        <v>101</v>
      </c>
      <c r="D2159" s="3">
        <v>36</v>
      </c>
      <c r="E2159" s="3">
        <v>-500.544</v>
      </c>
      <c r="F2159" s="4" t="str">
        <f>HYPERLINK("http://141.218.60.56/~jnz1568/getInfo.php?workbook=10_05.xlsx&amp;sheet=A0&amp;row=2159&amp;col=6&amp;number=198000&amp;sourceID=14","198000")</f>
        <v>198000</v>
      </c>
      <c r="G2159" s="4" t="str">
        <f>HYPERLINK("http://141.218.60.56/~jnz1568/getInfo.php?workbook=10_05.xlsx&amp;sheet=A0&amp;row=2159&amp;col=7&amp;number=0&amp;sourceID=14","0")</f>
        <v>0</v>
      </c>
    </row>
    <row r="2160" spans="1:7">
      <c r="A2160" s="3">
        <v>10</v>
      </c>
      <c r="B2160" s="3">
        <v>5</v>
      </c>
      <c r="C2160" s="3">
        <v>103</v>
      </c>
      <c r="D2160" s="3">
        <v>36</v>
      </c>
      <c r="E2160" s="3">
        <v>-498.692</v>
      </c>
      <c r="F2160" s="4" t="str">
        <f>HYPERLINK("http://141.218.60.56/~jnz1568/getInfo.php?workbook=10_05.xlsx&amp;sheet=A0&amp;row=2160&amp;col=6&amp;number=90900&amp;sourceID=14","90900")</f>
        <v>90900</v>
      </c>
      <c r="G2160" s="4" t="str">
        <f>HYPERLINK("http://141.218.60.56/~jnz1568/getInfo.php?workbook=10_05.xlsx&amp;sheet=A0&amp;row=2160&amp;col=7&amp;number=0&amp;sourceID=14","0")</f>
        <v>0</v>
      </c>
    </row>
    <row r="2161" spans="1:7">
      <c r="A2161" s="3">
        <v>10</v>
      </c>
      <c r="B2161" s="3">
        <v>5</v>
      </c>
      <c r="C2161" s="3">
        <v>110</v>
      </c>
      <c r="D2161" s="3">
        <v>36</v>
      </c>
      <c r="E2161" s="3">
        <v>-483.485</v>
      </c>
      <c r="F2161" s="4" t="str">
        <f>HYPERLINK("http://141.218.60.56/~jnz1568/getInfo.php?workbook=10_05.xlsx&amp;sheet=A0&amp;row=2161&amp;col=6&amp;number=1550000000&amp;sourceID=14","1550000000")</f>
        <v>1550000000</v>
      </c>
      <c r="G2161" s="4" t="str">
        <f>HYPERLINK("http://141.218.60.56/~jnz1568/getInfo.php?workbook=10_05.xlsx&amp;sheet=A0&amp;row=2161&amp;col=7&amp;number=0&amp;sourceID=14","0")</f>
        <v>0</v>
      </c>
    </row>
    <row r="2162" spans="1:7">
      <c r="A2162" s="3">
        <v>10</v>
      </c>
      <c r="B2162" s="3">
        <v>5</v>
      </c>
      <c r="C2162" s="3">
        <v>112</v>
      </c>
      <c r="D2162" s="3">
        <v>36</v>
      </c>
      <c r="E2162" s="3">
        <v>-481.956</v>
      </c>
      <c r="F2162" s="4" t="str">
        <f>HYPERLINK("http://141.218.60.56/~jnz1568/getInfo.php?workbook=10_05.xlsx&amp;sheet=A0&amp;row=2162&amp;col=6&amp;number=178000000&amp;sourceID=14","178000000")</f>
        <v>178000000</v>
      </c>
      <c r="G2162" s="4" t="str">
        <f>HYPERLINK("http://141.218.60.56/~jnz1568/getInfo.php?workbook=10_05.xlsx&amp;sheet=A0&amp;row=2162&amp;col=7&amp;number=0&amp;sourceID=14","0")</f>
        <v>0</v>
      </c>
    </row>
    <row r="2163" spans="1:7">
      <c r="A2163" s="3">
        <v>10</v>
      </c>
      <c r="B2163" s="3">
        <v>5</v>
      </c>
      <c r="C2163" s="3">
        <v>113</v>
      </c>
      <c r="D2163" s="3">
        <v>36</v>
      </c>
      <c r="E2163" s="3">
        <v>480.17</v>
      </c>
      <c r="F2163" s="4" t="str">
        <f>HYPERLINK("http://141.218.60.56/~jnz1568/getInfo.php?workbook=10_05.xlsx&amp;sheet=A0&amp;row=2163&amp;col=6&amp;number=14300000&amp;sourceID=14","14300000")</f>
        <v>14300000</v>
      </c>
      <c r="G2163" s="4" t="str">
        <f>HYPERLINK("http://141.218.60.56/~jnz1568/getInfo.php?workbook=10_05.xlsx&amp;sheet=A0&amp;row=2163&amp;col=7&amp;number=0&amp;sourceID=14","0")</f>
        <v>0</v>
      </c>
    </row>
    <row r="2164" spans="1:7">
      <c r="A2164" s="3">
        <v>10</v>
      </c>
      <c r="B2164" s="3">
        <v>5</v>
      </c>
      <c r="C2164" s="3">
        <v>114</v>
      </c>
      <c r="D2164" s="3">
        <v>36</v>
      </c>
      <c r="E2164" s="3">
        <v>480.17</v>
      </c>
      <c r="F2164" s="4" t="str">
        <f>HYPERLINK("http://141.218.60.56/~jnz1568/getInfo.php?workbook=10_05.xlsx&amp;sheet=A0&amp;row=2164&amp;col=6&amp;number=177000000&amp;sourceID=14","177000000")</f>
        <v>177000000</v>
      </c>
      <c r="G2164" s="4" t="str">
        <f>HYPERLINK("http://141.218.60.56/~jnz1568/getInfo.php?workbook=10_05.xlsx&amp;sheet=A0&amp;row=2164&amp;col=7&amp;number=0&amp;sourceID=14","0")</f>
        <v>0</v>
      </c>
    </row>
    <row r="2165" spans="1:7">
      <c r="A2165" s="3">
        <v>10</v>
      </c>
      <c r="B2165" s="3">
        <v>5</v>
      </c>
      <c r="C2165" s="3">
        <v>127</v>
      </c>
      <c r="D2165" s="3">
        <v>36</v>
      </c>
      <c r="E2165" s="3">
        <v>-452.758</v>
      </c>
      <c r="F2165" s="4" t="str">
        <f>HYPERLINK("http://141.218.60.56/~jnz1568/getInfo.php?workbook=10_05.xlsx&amp;sheet=A0&amp;row=2165&amp;col=6&amp;number=37600000&amp;sourceID=14","37600000")</f>
        <v>37600000</v>
      </c>
      <c r="G2165" s="4" t="str">
        <f>HYPERLINK("http://141.218.60.56/~jnz1568/getInfo.php?workbook=10_05.xlsx&amp;sheet=A0&amp;row=2165&amp;col=7&amp;number=0&amp;sourceID=14","0")</f>
        <v>0</v>
      </c>
    </row>
    <row r="2166" spans="1:7">
      <c r="A2166" s="3">
        <v>10</v>
      </c>
      <c r="B2166" s="3">
        <v>5</v>
      </c>
      <c r="C2166" s="3">
        <v>128</v>
      </c>
      <c r="D2166" s="3">
        <v>36</v>
      </c>
      <c r="E2166" s="3">
        <v>-451.839</v>
      </c>
      <c r="F2166" s="4" t="str">
        <f>HYPERLINK("http://141.218.60.56/~jnz1568/getInfo.php?workbook=10_05.xlsx&amp;sheet=A0&amp;row=2166&amp;col=6&amp;number=5980000&amp;sourceID=14","5980000")</f>
        <v>5980000</v>
      </c>
      <c r="G2166" s="4" t="str">
        <f>HYPERLINK("http://141.218.60.56/~jnz1568/getInfo.php?workbook=10_05.xlsx&amp;sheet=A0&amp;row=2166&amp;col=7&amp;number=0&amp;sourceID=14","0")</f>
        <v>0</v>
      </c>
    </row>
    <row r="2167" spans="1:7">
      <c r="A2167" s="3">
        <v>10</v>
      </c>
      <c r="B2167" s="3">
        <v>5</v>
      </c>
      <c r="C2167" s="3">
        <v>134</v>
      </c>
      <c r="D2167" s="3">
        <v>36</v>
      </c>
      <c r="E2167" s="3">
        <v>-442.878</v>
      </c>
      <c r="F2167" s="4" t="str">
        <f>HYPERLINK("http://141.218.60.56/~jnz1568/getInfo.php?workbook=10_05.xlsx&amp;sheet=A0&amp;row=2167&amp;col=6&amp;number=3740000&amp;sourceID=14","3740000")</f>
        <v>3740000</v>
      </c>
      <c r="G2167" s="4" t="str">
        <f>HYPERLINK("http://141.218.60.56/~jnz1568/getInfo.php?workbook=10_05.xlsx&amp;sheet=A0&amp;row=2167&amp;col=7&amp;number=0&amp;sourceID=14","0")</f>
        <v>0</v>
      </c>
    </row>
    <row r="2168" spans="1:7">
      <c r="A2168" s="3">
        <v>10</v>
      </c>
      <c r="B2168" s="3">
        <v>5</v>
      </c>
      <c r="C2168" s="3">
        <v>135</v>
      </c>
      <c r="D2168" s="3">
        <v>36</v>
      </c>
      <c r="E2168" s="3">
        <v>-442.406</v>
      </c>
      <c r="F2168" s="4" t="str">
        <f>HYPERLINK("http://141.218.60.56/~jnz1568/getInfo.php?workbook=10_05.xlsx&amp;sheet=A0&amp;row=2168&amp;col=6&amp;number=350000&amp;sourceID=14","350000")</f>
        <v>350000</v>
      </c>
      <c r="G2168" s="4" t="str">
        <f>HYPERLINK("http://141.218.60.56/~jnz1568/getInfo.php?workbook=10_05.xlsx&amp;sheet=A0&amp;row=2168&amp;col=7&amp;number=0&amp;sourceID=14","0")</f>
        <v>0</v>
      </c>
    </row>
    <row r="2169" spans="1:7">
      <c r="A2169" s="3">
        <v>10</v>
      </c>
      <c r="B2169" s="3">
        <v>5</v>
      </c>
      <c r="C2169" s="3">
        <v>141</v>
      </c>
      <c r="D2169" s="3">
        <v>36</v>
      </c>
      <c r="E2169" s="3">
        <v>-433.835</v>
      </c>
      <c r="F2169" s="4" t="str">
        <f>HYPERLINK("http://141.218.60.56/~jnz1568/getInfo.php?workbook=10_05.xlsx&amp;sheet=A0&amp;row=2169&amp;col=6&amp;number=471000&amp;sourceID=14","471000")</f>
        <v>471000</v>
      </c>
      <c r="G2169" s="4" t="str">
        <f>HYPERLINK("http://141.218.60.56/~jnz1568/getInfo.php?workbook=10_05.xlsx&amp;sheet=A0&amp;row=2169&amp;col=7&amp;number=0&amp;sourceID=14","0")</f>
        <v>0</v>
      </c>
    </row>
    <row r="2170" spans="1:7">
      <c r="A2170" s="3">
        <v>10</v>
      </c>
      <c r="B2170" s="3">
        <v>5</v>
      </c>
      <c r="C2170" s="3">
        <v>142</v>
      </c>
      <c r="D2170" s="3">
        <v>36</v>
      </c>
      <c r="E2170" s="3">
        <v>433.746</v>
      </c>
      <c r="F2170" s="4" t="str">
        <f>HYPERLINK("http://141.218.60.56/~jnz1568/getInfo.php?workbook=10_05.xlsx&amp;sheet=A0&amp;row=2170&amp;col=6&amp;number=9110000&amp;sourceID=14","9110000")</f>
        <v>9110000</v>
      </c>
      <c r="G2170" s="4" t="str">
        <f>HYPERLINK("http://141.218.60.56/~jnz1568/getInfo.php?workbook=10_05.xlsx&amp;sheet=A0&amp;row=2170&amp;col=7&amp;number=0&amp;sourceID=14","0")</f>
        <v>0</v>
      </c>
    </row>
    <row r="2171" spans="1:7">
      <c r="A2171" s="3">
        <v>10</v>
      </c>
      <c r="B2171" s="3">
        <v>5</v>
      </c>
      <c r="C2171" s="3">
        <v>143</v>
      </c>
      <c r="D2171" s="3">
        <v>36</v>
      </c>
      <c r="E2171" s="3">
        <v>433.276</v>
      </c>
      <c r="F2171" s="4" t="str">
        <f>HYPERLINK("http://141.218.60.56/~jnz1568/getInfo.php?workbook=10_05.xlsx&amp;sheet=A0&amp;row=2171&amp;col=6&amp;number=1100000&amp;sourceID=14","1100000")</f>
        <v>1100000</v>
      </c>
      <c r="G2171" s="4" t="str">
        <f>HYPERLINK("http://141.218.60.56/~jnz1568/getInfo.php?workbook=10_05.xlsx&amp;sheet=A0&amp;row=2171&amp;col=7&amp;number=0&amp;sourceID=14","0")</f>
        <v>0</v>
      </c>
    </row>
    <row r="2172" spans="1:7">
      <c r="A2172" s="3">
        <v>10</v>
      </c>
      <c r="B2172" s="3">
        <v>5</v>
      </c>
      <c r="C2172" s="3">
        <v>145</v>
      </c>
      <c r="D2172" s="3">
        <v>36</v>
      </c>
      <c r="E2172" s="3">
        <v>431.203</v>
      </c>
      <c r="F2172" s="4" t="str">
        <f>HYPERLINK("http://141.218.60.56/~jnz1568/getInfo.php?workbook=10_05.xlsx&amp;sheet=A0&amp;row=2172&amp;col=6&amp;number=1410000000&amp;sourceID=14","1410000000")</f>
        <v>1410000000</v>
      </c>
      <c r="G2172" s="4" t="str">
        <f>HYPERLINK("http://141.218.60.56/~jnz1568/getInfo.php?workbook=10_05.xlsx&amp;sheet=A0&amp;row=2172&amp;col=7&amp;number=0&amp;sourceID=14","0")</f>
        <v>0</v>
      </c>
    </row>
    <row r="2173" spans="1:7">
      <c r="A2173" s="3">
        <v>10</v>
      </c>
      <c r="B2173" s="3">
        <v>5</v>
      </c>
      <c r="C2173" s="3">
        <v>146</v>
      </c>
      <c r="D2173" s="3">
        <v>36</v>
      </c>
      <c r="E2173" s="3">
        <v>431.203</v>
      </c>
      <c r="F2173" s="4" t="str">
        <f>HYPERLINK("http://141.218.60.56/~jnz1568/getInfo.php?workbook=10_05.xlsx&amp;sheet=A0&amp;row=2173&amp;col=6&amp;number=217000000&amp;sourceID=14","217000000")</f>
        <v>217000000</v>
      </c>
      <c r="G2173" s="4" t="str">
        <f>HYPERLINK("http://141.218.60.56/~jnz1568/getInfo.php?workbook=10_05.xlsx&amp;sheet=A0&amp;row=2173&amp;col=7&amp;number=0&amp;sourceID=14","0")</f>
        <v>0</v>
      </c>
    </row>
    <row r="2174" spans="1:7">
      <c r="A2174" s="3">
        <v>10</v>
      </c>
      <c r="B2174" s="3">
        <v>5</v>
      </c>
      <c r="C2174" s="3">
        <v>147</v>
      </c>
      <c r="D2174" s="3">
        <v>36</v>
      </c>
      <c r="E2174" s="3">
        <v>430.108</v>
      </c>
      <c r="F2174" s="4" t="str">
        <f>HYPERLINK("http://141.218.60.56/~jnz1568/getInfo.php?workbook=10_05.xlsx&amp;sheet=A0&amp;row=2174&amp;col=6&amp;number=19900000&amp;sourceID=14","19900000")</f>
        <v>19900000</v>
      </c>
      <c r="G2174" s="4" t="str">
        <f>HYPERLINK("http://141.218.60.56/~jnz1568/getInfo.php?workbook=10_05.xlsx&amp;sheet=A0&amp;row=2174&amp;col=7&amp;number=0&amp;sourceID=14","0")</f>
        <v>0</v>
      </c>
    </row>
    <row r="2175" spans="1:7">
      <c r="A2175" s="3">
        <v>10</v>
      </c>
      <c r="B2175" s="3">
        <v>5</v>
      </c>
      <c r="C2175" s="3">
        <v>148</v>
      </c>
      <c r="D2175" s="3">
        <v>36</v>
      </c>
      <c r="E2175" s="3">
        <v>429.923</v>
      </c>
      <c r="F2175" s="4" t="str">
        <f>HYPERLINK("http://141.218.60.56/~jnz1568/getInfo.php?workbook=10_05.xlsx&amp;sheet=A0&amp;row=2175&amp;col=6&amp;number=635000000&amp;sourceID=14","635000000")</f>
        <v>635000000</v>
      </c>
      <c r="G2175" s="4" t="str">
        <f>HYPERLINK("http://141.218.60.56/~jnz1568/getInfo.php?workbook=10_05.xlsx&amp;sheet=A0&amp;row=2175&amp;col=7&amp;number=0&amp;sourceID=14","0")</f>
        <v>0</v>
      </c>
    </row>
    <row r="2176" spans="1:7">
      <c r="A2176" s="3">
        <v>10</v>
      </c>
      <c r="B2176" s="3">
        <v>5</v>
      </c>
      <c r="C2176" s="3">
        <v>149</v>
      </c>
      <c r="D2176" s="3">
        <v>36</v>
      </c>
      <c r="E2176" s="3">
        <v>429.739</v>
      </c>
      <c r="F2176" s="4" t="str">
        <f>HYPERLINK("http://141.218.60.56/~jnz1568/getInfo.php?workbook=10_05.xlsx&amp;sheet=A0&amp;row=2176&amp;col=6&amp;number=441000&amp;sourceID=14","441000")</f>
        <v>441000</v>
      </c>
      <c r="G2176" s="4" t="str">
        <f>HYPERLINK("http://141.218.60.56/~jnz1568/getInfo.php?workbook=10_05.xlsx&amp;sheet=A0&amp;row=2176&amp;col=7&amp;number=0&amp;sourceID=14","0")</f>
        <v>0</v>
      </c>
    </row>
    <row r="2177" spans="1:7">
      <c r="A2177" s="3">
        <v>10</v>
      </c>
      <c r="B2177" s="3">
        <v>5</v>
      </c>
      <c r="C2177" s="3">
        <v>152</v>
      </c>
      <c r="D2177" s="3">
        <v>36</v>
      </c>
      <c r="E2177" s="3">
        <v>420.063</v>
      </c>
      <c r="F2177" s="4" t="str">
        <f>HYPERLINK("http://141.218.60.56/~jnz1568/getInfo.php?workbook=10_05.xlsx&amp;sheet=A0&amp;row=2177&amp;col=6&amp;number=7000000000&amp;sourceID=14","7000000000")</f>
        <v>7000000000</v>
      </c>
      <c r="G2177" s="4" t="str">
        <f>HYPERLINK("http://141.218.60.56/~jnz1568/getInfo.php?workbook=10_05.xlsx&amp;sheet=A0&amp;row=2177&amp;col=7&amp;number=0&amp;sourceID=14","0")</f>
        <v>0</v>
      </c>
    </row>
    <row r="2178" spans="1:7">
      <c r="A2178" s="3">
        <v>10</v>
      </c>
      <c r="B2178" s="3">
        <v>5</v>
      </c>
      <c r="C2178" s="3">
        <v>158</v>
      </c>
      <c r="D2178" s="3">
        <v>36</v>
      </c>
      <c r="E2178" s="3">
        <v>-415.535</v>
      </c>
      <c r="F2178" s="4" t="str">
        <f>HYPERLINK("http://141.218.60.56/~jnz1568/getInfo.php?workbook=10_05.xlsx&amp;sheet=A0&amp;row=2178&amp;col=6&amp;number=4090000&amp;sourceID=14","4090000")</f>
        <v>4090000</v>
      </c>
      <c r="G2178" s="4" t="str">
        <f>HYPERLINK("http://141.218.60.56/~jnz1568/getInfo.php?workbook=10_05.xlsx&amp;sheet=A0&amp;row=2178&amp;col=7&amp;number=0&amp;sourceID=14","0")</f>
        <v>0</v>
      </c>
    </row>
    <row r="2179" spans="1:7">
      <c r="A2179" s="3">
        <v>10</v>
      </c>
      <c r="B2179" s="3">
        <v>5</v>
      </c>
      <c r="C2179" s="3">
        <v>159</v>
      </c>
      <c r="D2179" s="3">
        <v>36</v>
      </c>
      <c r="E2179" s="3">
        <v>-414.797</v>
      </c>
      <c r="F2179" s="4" t="str">
        <f>HYPERLINK("http://141.218.60.56/~jnz1568/getInfo.php?workbook=10_05.xlsx&amp;sheet=A0&amp;row=2179&amp;col=6&amp;number=248000000&amp;sourceID=14","248000000")</f>
        <v>248000000</v>
      </c>
      <c r="G2179" s="4" t="str">
        <f>HYPERLINK("http://141.218.60.56/~jnz1568/getInfo.php?workbook=10_05.xlsx&amp;sheet=A0&amp;row=2179&amp;col=7&amp;number=0&amp;sourceID=14","0")</f>
        <v>0</v>
      </c>
    </row>
    <row r="2180" spans="1:7">
      <c r="A2180" s="3">
        <v>10</v>
      </c>
      <c r="B2180" s="3">
        <v>5</v>
      </c>
      <c r="C2180" s="3">
        <v>164</v>
      </c>
      <c r="D2180" s="3">
        <v>36</v>
      </c>
      <c r="E2180" s="3">
        <v>-348.18</v>
      </c>
      <c r="F2180" s="4" t="str">
        <f>HYPERLINK("http://141.218.60.56/~jnz1568/getInfo.php?workbook=10_05.xlsx&amp;sheet=A0&amp;row=2180&amp;col=6&amp;number=60600000&amp;sourceID=14","60600000")</f>
        <v>60600000</v>
      </c>
      <c r="G2180" s="4" t="str">
        <f>HYPERLINK("http://141.218.60.56/~jnz1568/getInfo.php?workbook=10_05.xlsx&amp;sheet=A0&amp;row=2180&amp;col=7&amp;number=0&amp;sourceID=14","0")</f>
        <v>0</v>
      </c>
    </row>
    <row r="2181" spans="1:7">
      <c r="A2181" s="3">
        <v>10</v>
      </c>
      <c r="B2181" s="3">
        <v>5</v>
      </c>
      <c r="C2181" s="3">
        <v>165</v>
      </c>
      <c r="D2181" s="3">
        <v>36</v>
      </c>
      <c r="E2181" s="3">
        <v>-348.014</v>
      </c>
      <c r="F2181" s="4" t="str">
        <f>HYPERLINK("http://141.218.60.56/~jnz1568/getInfo.php?workbook=10_05.xlsx&amp;sheet=A0&amp;row=2181&amp;col=6&amp;number=5810000&amp;sourceID=14","5810000")</f>
        <v>5810000</v>
      </c>
      <c r="G2181" s="4" t="str">
        <f>HYPERLINK("http://141.218.60.56/~jnz1568/getInfo.php?workbook=10_05.xlsx&amp;sheet=A0&amp;row=2181&amp;col=7&amp;number=0&amp;sourceID=14","0")</f>
        <v>0</v>
      </c>
    </row>
    <row r="2182" spans="1:7">
      <c r="A2182" s="3">
        <v>10</v>
      </c>
      <c r="B2182" s="3">
        <v>5</v>
      </c>
      <c r="C2182" s="3">
        <v>166</v>
      </c>
      <c r="D2182" s="3">
        <v>36</v>
      </c>
      <c r="E2182" s="3">
        <v>-318.041</v>
      </c>
      <c r="F2182" s="4" t="str">
        <f>HYPERLINK("http://141.218.60.56/~jnz1568/getInfo.php?workbook=10_05.xlsx&amp;sheet=A0&amp;row=2182&amp;col=6&amp;number=4570000&amp;sourceID=14","4570000")</f>
        <v>4570000</v>
      </c>
      <c r="G2182" s="4" t="str">
        <f>HYPERLINK("http://141.218.60.56/~jnz1568/getInfo.php?workbook=10_05.xlsx&amp;sheet=A0&amp;row=2182&amp;col=7&amp;number=0&amp;sourceID=14","0")</f>
        <v>0</v>
      </c>
    </row>
    <row r="2183" spans="1:7">
      <c r="A2183" s="3">
        <v>10</v>
      </c>
      <c r="B2183" s="3">
        <v>5</v>
      </c>
      <c r="C2183" s="3">
        <v>167</v>
      </c>
      <c r="D2183" s="3">
        <v>36</v>
      </c>
      <c r="E2183" s="3">
        <v>-317.999</v>
      </c>
      <c r="F2183" s="4" t="str">
        <f>HYPERLINK("http://141.218.60.56/~jnz1568/getInfo.php?workbook=10_05.xlsx&amp;sheet=A0&amp;row=2183&amp;col=6&amp;number=313000&amp;sourceID=14","313000")</f>
        <v>313000</v>
      </c>
      <c r="G2183" s="4" t="str">
        <f>HYPERLINK("http://141.218.60.56/~jnz1568/getInfo.php?workbook=10_05.xlsx&amp;sheet=A0&amp;row=2183&amp;col=7&amp;number=0&amp;sourceID=14","0")</f>
        <v>0</v>
      </c>
    </row>
    <row r="2184" spans="1:7">
      <c r="A2184" s="3">
        <v>10</v>
      </c>
      <c r="B2184" s="3">
        <v>5</v>
      </c>
      <c r="C2184" s="3">
        <v>176</v>
      </c>
      <c r="D2184" s="3">
        <v>36</v>
      </c>
      <c r="E2184" s="3">
        <v>-289.065</v>
      </c>
      <c r="F2184" s="4" t="str">
        <f>HYPERLINK("http://141.218.60.56/~jnz1568/getInfo.php?workbook=10_05.xlsx&amp;sheet=A0&amp;row=2184&amp;col=6&amp;number=122000000&amp;sourceID=14","122000000")</f>
        <v>122000000</v>
      </c>
      <c r="G2184" s="4" t="str">
        <f>HYPERLINK("http://141.218.60.56/~jnz1568/getInfo.php?workbook=10_05.xlsx&amp;sheet=A0&amp;row=2184&amp;col=7&amp;number=0&amp;sourceID=14","0")</f>
        <v>0</v>
      </c>
    </row>
    <row r="2185" spans="1:7">
      <c r="A2185" s="3">
        <v>10</v>
      </c>
      <c r="B2185" s="3">
        <v>5</v>
      </c>
      <c r="C2185" s="3">
        <v>177</v>
      </c>
      <c r="D2185" s="3">
        <v>36</v>
      </c>
      <c r="E2185" s="3">
        <v>-288.323</v>
      </c>
      <c r="F2185" s="4" t="str">
        <f>HYPERLINK("http://141.218.60.56/~jnz1568/getInfo.php?workbook=10_05.xlsx&amp;sheet=A0&amp;row=2185&amp;col=6&amp;number=1750000&amp;sourceID=14","1750000")</f>
        <v>1750000</v>
      </c>
      <c r="G2185" s="4" t="str">
        <f>HYPERLINK("http://141.218.60.56/~jnz1568/getInfo.php?workbook=10_05.xlsx&amp;sheet=A0&amp;row=2185&amp;col=7&amp;number=0&amp;sourceID=14","0")</f>
        <v>0</v>
      </c>
    </row>
    <row r="2186" spans="1:7">
      <c r="A2186" s="3">
        <v>10</v>
      </c>
      <c r="B2186" s="3">
        <v>5</v>
      </c>
      <c r="C2186" s="3">
        <v>178</v>
      </c>
      <c r="D2186" s="3">
        <v>36</v>
      </c>
      <c r="E2186" s="3">
        <v>-288.286</v>
      </c>
      <c r="F2186" s="4" t="str">
        <f>HYPERLINK("http://141.218.60.56/~jnz1568/getInfo.php?workbook=10_05.xlsx&amp;sheet=A0&amp;row=2186&amp;col=6&amp;number=306000&amp;sourceID=14","306000")</f>
        <v>306000</v>
      </c>
      <c r="G2186" s="4" t="str">
        <f>HYPERLINK("http://141.218.60.56/~jnz1568/getInfo.php?workbook=10_05.xlsx&amp;sheet=A0&amp;row=2186&amp;col=7&amp;number=0&amp;sourceID=14","0")</f>
        <v>0</v>
      </c>
    </row>
    <row r="2187" spans="1:7">
      <c r="A2187" s="3">
        <v>10</v>
      </c>
      <c r="B2187" s="3">
        <v>5</v>
      </c>
      <c r="C2187" s="3">
        <v>179</v>
      </c>
      <c r="D2187" s="3">
        <v>36</v>
      </c>
      <c r="E2187" s="3">
        <v>-284.958</v>
      </c>
      <c r="F2187" s="4" t="str">
        <f>HYPERLINK("http://141.218.60.56/~jnz1568/getInfo.php?workbook=10_05.xlsx&amp;sheet=A0&amp;row=2187&amp;col=6&amp;number=2450000&amp;sourceID=14","2450000")</f>
        <v>2450000</v>
      </c>
      <c r="G2187" s="4" t="str">
        <f>HYPERLINK("http://141.218.60.56/~jnz1568/getInfo.php?workbook=10_05.xlsx&amp;sheet=A0&amp;row=2187&amp;col=7&amp;number=0&amp;sourceID=14","0")</f>
        <v>0</v>
      </c>
    </row>
    <row r="2188" spans="1:7">
      <c r="A2188" s="3">
        <v>10</v>
      </c>
      <c r="B2188" s="3">
        <v>5</v>
      </c>
      <c r="C2188" s="3">
        <v>180</v>
      </c>
      <c r="D2188" s="3">
        <v>36</v>
      </c>
      <c r="E2188" s="3">
        <v>-284.928</v>
      </c>
      <c r="F2188" s="4" t="str">
        <f>HYPERLINK("http://141.218.60.56/~jnz1568/getInfo.php?workbook=10_05.xlsx&amp;sheet=A0&amp;row=2188&amp;col=6&amp;number=281000&amp;sourceID=14","281000")</f>
        <v>281000</v>
      </c>
      <c r="G2188" s="4" t="str">
        <f>HYPERLINK("http://141.218.60.56/~jnz1568/getInfo.php?workbook=10_05.xlsx&amp;sheet=A0&amp;row=2188&amp;col=7&amp;number=0&amp;sourceID=14","0")</f>
        <v>0</v>
      </c>
    </row>
    <row r="2189" spans="1:7">
      <c r="A2189" s="3">
        <v>10</v>
      </c>
      <c r="B2189" s="3">
        <v>5</v>
      </c>
      <c r="C2189" s="3">
        <v>38</v>
      </c>
      <c r="D2189" s="3">
        <v>37</v>
      </c>
      <c r="E2189" s="3">
        <v>-7366.496</v>
      </c>
      <c r="F2189" s="4" t="str">
        <f>HYPERLINK("http://141.218.60.56/~jnz1568/getInfo.php?workbook=10_05.xlsx&amp;sheet=A0&amp;row=2189&amp;col=6&amp;number=31.7&amp;sourceID=14","31.7")</f>
        <v>31.7</v>
      </c>
      <c r="G2189" s="4" t="str">
        <f>HYPERLINK("http://141.218.60.56/~jnz1568/getInfo.php?workbook=10_05.xlsx&amp;sheet=A0&amp;row=2189&amp;col=7&amp;number=0&amp;sourceID=14","0")</f>
        <v>0</v>
      </c>
    </row>
    <row r="2190" spans="1:7">
      <c r="A2190" s="3">
        <v>10</v>
      </c>
      <c r="B2190" s="3">
        <v>5</v>
      </c>
      <c r="C2190" s="3">
        <v>39</v>
      </c>
      <c r="D2190" s="3">
        <v>37</v>
      </c>
      <c r="E2190" s="3">
        <v>-7220.751</v>
      </c>
      <c r="F2190" s="4" t="str">
        <f>HYPERLINK("http://141.218.60.56/~jnz1568/getInfo.php?workbook=10_05.xlsx&amp;sheet=A0&amp;row=2190&amp;col=6&amp;number=177&amp;sourceID=14","177")</f>
        <v>177</v>
      </c>
      <c r="G2190" s="4" t="str">
        <f>HYPERLINK("http://141.218.60.56/~jnz1568/getInfo.php?workbook=10_05.xlsx&amp;sheet=A0&amp;row=2190&amp;col=7&amp;number=0&amp;sourceID=14","0")</f>
        <v>0</v>
      </c>
    </row>
    <row r="2191" spans="1:7">
      <c r="A2191" s="3">
        <v>10</v>
      </c>
      <c r="B2191" s="3">
        <v>5</v>
      </c>
      <c r="C2191" s="3">
        <v>41</v>
      </c>
      <c r="D2191" s="3">
        <v>37</v>
      </c>
      <c r="E2191" s="3">
        <v>-7031.373</v>
      </c>
      <c r="F2191" s="4" t="str">
        <f>HYPERLINK("http://141.218.60.56/~jnz1568/getInfo.php?workbook=10_05.xlsx&amp;sheet=A0&amp;row=2191&amp;col=6&amp;number=28.9&amp;sourceID=14","28.9")</f>
        <v>28.9</v>
      </c>
      <c r="G2191" s="4" t="str">
        <f>HYPERLINK("http://141.218.60.56/~jnz1568/getInfo.php?workbook=10_05.xlsx&amp;sheet=A0&amp;row=2191&amp;col=7&amp;number=0&amp;sourceID=14","0")</f>
        <v>0</v>
      </c>
    </row>
    <row r="2192" spans="1:7">
      <c r="A2192" s="3">
        <v>10</v>
      </c>
      <c r="B2192" s="3">
        <v>5</v>
      </c>
      <c r="C2192" s="3">
        <v>44</v>
      </c>
      <c r="D2192" s="3">
        <v>37</v>
      </c>
      <c r="E2192" s="3">
        <v>3926.195</v>
      </c>
      <c r="F2192" s="4" t="str">
        <f>HYPERLINK("http://141.218.60.56/~jnz1568/getInfo.php?workbook=10_05.xlsx&amp;sheet=A0&amp;row=2192&amp;col=6&amp;number=3630&amp;sourceID=14","3630")</f>
        <v>3630</v>
      </c>
      <c r="G2192" s="4" t="str">
        <f>HYPERLINK("http://141.218.60.56/~jnz1568/getInfo.php?workbook=10_05.xlsx&amp;sheet=A0&amp;row=2192&amp;col=7&amp;number=0&amp;sourceID=14","0")</f>
        <v>0</v>
      </c>
    </row>
    <row r="2193" spans="1:7">
      <c r="A2193" s="3">
        <v>10</v>
      </c>
      <c r="B2193" s="3">
        <v>5</v>
      </c>
      <c r="C2193" s="3">
        <v>45</v>
      </c>
      <c r="D2193" s="3">
        <v>37</v>
      </c>
      <c r="E2193" s="3">
        <v>3910.84</v>
      </c>
      <c r="F2193" s="4" t="str">
        <f>HYPERLINK("http://141.218.60.56/~jnz1568/getInfo.php?workbook=10_05.xlsx&amp;sheet=A0&amp;row=2193&amp;col=6&amp;number=24100&amp;sourceID=14","24100")</f>
        <v>24100</v>
      </c>
      <c r="G2193" s="4" t="str">
        <f>HYPERLINK("http://141.218.60.56/~jnz1568/getInfo.php?workbook=10_05.xlsx&amp;sheet=A0&amp;row=2193&amp;col=7&amp;number=0&amp;sourceID=14","0")</f>
        <v>0</v>
      </c>
    </row>
    <row r="2194" spans="1:7">
      <c r="A2194" s="3">
        <v>10</v>
      </c>
      <c r="B2194" s="3">
        <v>5</v>
      </c>
      <c r="C2194" s="3">
        <v>46</v>
      </c>
      <c r="D2194" s="3">
        <v>37</v>
      </c>
      <c r="E2194" s="3">
        <v>3865.488</v>
      </c>
      <c r="F2194" s="4" t="str">
        <f>HYPERLINK("http://141.218.60.56/~jnz1568/getInfo.php?workbook=10_05.xlsx&amp;sheet=A0&amp;row=2194&amp;col=6&amp;number=13900&amp;sourceID=14","13900")</f>
        <v>13900</v>
      </c>
      <c r="G2194" s="4" t="str">
        <f>HYPERLINK("http://141.218.60.56/~jnz1568/getInfo.php?workbook=10_05.xlsx&amp;sheet=A0&amp;row=2194&amp;col=7&amp;number=0&amp;sourceID=14","0")</f>
        <v>0</v>
      </c>
    </row>
    <row r="2195" spans="1:7">
      <c r="A2195" s="3">
        <v>10</v>
      </c>
      <c r="B2195" s="3">
        <v>5</v>
      </c>
      <c r="C2195" s="3">
        <v>47</v>
      </c>
      <c r="D2195" s="3">
        <v>37</v>
      </c>
      <c r="E2195" s="3">
        <v>3687.322</v>
      </c>
      <c r="F2195" s="4" t="str">
        <f>HYPERLINK("http://141.218.60.56/~jnz1568/getInfo.php?workbook=10_05.xlsx&amp;sheet=A0&amp;row=2195&amp;col=6&amp;number=710000&amp;sourceID=14","710000")</f>
        <v>710000</v>
      </c>
      <c r="G2195" s="4" t="str">
        <f>HYPERLINK("http://141.218.60.56/~jnz1568/getInfo.php?workbook=10_05.xlsx&amp;sheet=A0&amp;row=2195&amp;col=7&amp;number=0&amp;sourceID=14","0")</f>
        <v>0</v>
      </c>
    </row>
    <row r="2196" spans="1:7">
      <c r="A2196" s="3">
        <v>10</v>
      </c>
      <c r="B2196" s="3">
        <v>5</v>
      </c>
      <c r="C2196" s="3">
        <v>48</v>
      </c>
      <c r="D2196" s="3">
        <v>37</v>
      </c>
      <c r="E2196" s="3">
        <v>3660.329</v>
      </c>
      <c r="F2196" s="4" t="str">
        <f>HYPERLINK("http://141.218.60.56/~jnz1568/getInfo.php?workbook=10_05.xlsx&amp;sheet=A0&amp;row=2196&amp;col=6&amp;number=6870000&amp;sourceID=14","6870000")</f>
        <v>6870000</v>
      </c>
      <c r="G2196" s="4" t="str">
        <f>HYPERLINK("http://141.218.60.56/~jnz1568/getInfo.php?workbook=10_05.xlsx&amp;sheet=A0&amp;row=2196&amp;col=7&amp;number=0&amp;sourceID=14","0")</f>
        <v>0</v>
      </c>
    </row>
    <row r="2197" spans="1:7">
      <c r="A2197" s="3">
        <v>10</v>
      </c>
      <c r="B2197" s="3">
        <v>5</v>
      </c>
      <c r="C2197" s="3">
        <v>49</v>
      </c>
      <c r="D2197" s="3">
        <v>37</v>
      </c>
      <c r="E2197" s="3">
        <v>3257.335</v>
      </c>
      <c r="F2197" s="4" t="str">
        <f>HYPERLINK("http://141.218.60.56/~jnz1568/getInfo.php?workbook=10_05.xlsx&amp;sheet=A0&amp;row=2197&amp;col=6&amp;number=514000&amp;sourceID=14","514000")</f>
        <v>514000</v>
      </c>
      <c r="G2197" s="4" t="str">
        <f>HYPERLINK("http://141.218.60.56/~jnz1568/getInfo.php?workbook=10_05.xlsx&amp;sheet=A0&amp;row=2197&amp;col=7&amp;number=0&amp;sourceID=14","0")</f>
        <v>0</v>
      </c>
    </row>
    <row r="2198" spans="1:7">
      <c r="A2198" s="3">
        <v>10</v>
      </c>
      <c r="B2198" s="3">
        <v>5</v>
      </c>
      <c r="C2198" s="3">
        <v>50</v>
      </c>
      <c r="D2198" s="3">
        <v>37</v>
      </c>
      <c r="E2198" s="3">
        <v>3225.812</v>
      </c>
      <c r="F2198" s="4" t="str">
        <f>HYPERLINK("http://141.218.60.56/~jnz1568/getInfo.php?workbook=10_05.xlsx&amp;sheet=A0&amp;row=2198&amp;col=6&amp;number=16900&amp;sourceID=14","16900")</f>
        <v>16900</v>
      </c>
      <c r="G2198" s="4" t="str">
        <f>HYPERLINK("http://141.218.60.56/~jnz1568/getInfo.php?workbook=10_05.xlsx&amp;sheet=A0&amp;row=2198&amp;col=7&amp;number=0&amp;sourceID=14","0")</f>
        <v>0</v>
      </c>
    </row>
    <row r="2199" spans="1:7">
      <c r="A2199" s="3">
        <v>10</v>
      </c>
      <c r="B2199" s="3">
        <v>5</v>
      </c>
      <c r="C2199" s="3">
        <v>52</v>
      </c>
      <c r="D2199" s="3">
        <v>37</v>
      </c>
      <c r="E2199" s="3">
        <v>2540.655</v>
      </c>
      <c r="F2199" s="4" t="str">
        <f>HYPERLINK("http://141.218.60.56/~jnz1568/getInfo.php?workbook=10_05.xlsx&amp;sheet=A0&amp;row=2199&amp;col=6&amp;number=172&amp;sourceID=14","172")</f>
        <v>172</v>
      </c>
      <c r="G2199" s="4" t="str">
        <f>HYPERLINK("http://141.218.60.56/~jnz1568/getInfo.php?workbook=10_05.xlsx&amp;sheet=A0&amp;row=2199&amp;col=7&amp;number=0&amp;sourceID=14","0")</f>
        <v>0</v>
      </c>
    </row>
    <row r="2200" spans="1:7">
      <c r="A2200" s="3">
        <v>10</v>
      </c>
      <c r="B2200" s="3">
        <v>5</v>
      </c>
      <c r="C2200" s="3">
        <v>54</v>
      </c>
      <c r="D2200" s="3">
        <v>37</v>
      </c>
      <c r="E2200" s="3">
        <v>2222.226</v>
      </c>
      <c r="F2200" s="4" t="str">
        <f>HYPERLINK("http://141.218.60.56/~jnz1568/getInfo.php?workbook=10_05.xlsx&amp;sheet=A0&amp;row=2200&amp;col=6&amp;number=14100000&amp;sourceID=14","14100000")</f>
        <v>14100000</v>
      </c>
      <c r="G2200" s="4" t="str">
        <f>HYPERLINK("http://141.218.60.56/~jnz1568/getInfo.php?workbook=10_05.xlsx&amp;sheet=A0&amp;row=2200&amp;col=7&amp;number=0&amp;sourceID=14","0")</f>
        <v>0</v>
      </c>
    </row>
    <row r="2201" spans="1:7">
      <c r="A2201" s="3">
        <v>10</v>
      </c>
      <c r="B2201" s="3">
        <v>5</v>
      </c>
      <c r="C2201" s="3">
        <v>55</v>
      </c>
      <c r="D2201" s="3">
        <v>37</v>
      </c>
      <c r="E2201" s="3">
        <v>2183.41</v>
      </c>
      <c r="F2201" s="4" t="str">
        <f>HYPERLINK("http://141.218.60.56/~jnz1568/getInfo.php?workbook=10_05.xlsx&amp;sheet=A0&amp;row=2201&amp;col=6&amp;number=212000000&amp;sourceID=14","212000000")</f>
        <v>212000000</v>
      </c>
      <c r="G2201" s="4" t="str">
        <f>HYPERLINK("http://141.218.60.56/~jnz1568/getInfo.php?workbook=10_05.xlsx&amp;sheet=A0&amp;row=2201&amp;col=7&amp;number=0&amp;sourceID=14","0")</f>
        <v>0</v>
      </c>
    </row>
    <row r="2202" spans="1:7">
      <c r="A2202" s="3">
        <v>10</v>
      </c>
      <c r="B2202" s="3">
        <v>5</v>
      </c>
      <c r="C2202" s="3">
        <v>56</v>
      </c>
      <c r="D2202" s="3">
        <v>37</v>
      </c>
      <c r="E2202" s="3">
        <v>1949.321</v>
      </c>
      <c r="F2202" s="4" t="str">
        <f>HYPERLINK("http://141.218.60.56/~jnz1568/getInfo.php?workbook=10_05.xlsx&amp;sheet=A0&amp;row=2202&amp;col=6&amp;number=30400000&amp;sourceID=14","30400000")</f>
        <v>30400000</v>
      </c>
      <c r="G2202" s="4" t="str">
        <f>HYPERLINK("http://141.218.60.56/~jnz1568/getInfo.php?workbook=10_05.xlsx&amp;sheet=A0&amp;row=2202&amp;col=7&amp;number=0&amp;sourceID=14","0")</f>
        <v>0</v>
      </c>
    </row>
    <row r="2203" spans="1:7">
      <c r="A2203" s="3">
        <v>10</v>
      </c>
      <c r="B2203" s="3">
        <v>5</v>
      </c>
      <c r="C2203" s="3">
        <v>65</v>
      </c>
      <c r="D2203" s="3">
        <v>37</v>
      </c>
      <c r="E2203" s="3">
        <v>-954.911</v>
      </c>
      <c r="F2203" s="4" t="str">
        <f>HYPERLINK("http://141.218.60.56/~jnz1568/getInfo.php?workbook=10_05.xlsx&amp;sheet=A0&amp;row=2203&amp;col=6&amp;number=37300000&amp;sourceID=14","37300000")</f>
        <v>37300000</v>
      </c>
      <c r="G2203" s="4" t="str">
        <f>HYPERLINK("http://141.218.60.56/~jnz1568/getInfo.php?workbook=10_05.xlsx&amp;sheet=A0&amp;row=2203&amp;col=7&amp;number=0&amp;sourceID=14","0")</f>
        <v>0</v>
      </c>
    </row>
    <row r="2204" spans="1:7">
      <c r="A2204" s="3">
        <v>10</v>
      </c>
      <c r="B2204" s="3">
        <v>5</v>
      </c>
      <c r="C2204" s="3">
        <v>68</v>
      </c>
      <c r="D2204" s="3">
        <v>37</v>
      </c>
      <c r="E2204" s="3">
        <v>825.765</v>
      </c>
      <c r="F2204" s="4" t="str">
        <f>HYPERLINK("http://141.218.60.56/~jnz1568/getInfo.php?workbook=10_05.xlsx&amp;sheet=A0&amp;row=2204&amp;col=6&amp;number=79.7&amp;sourceID=14","79.7")</f>
        <v>79.7</v>
      </c>
      <c r="G2204" s="4" t="str">
        <f>HYPERLINK("http://141.218.60.56/~jnz1568/getInfo.php?workbook=10_05.xlsx&amp;sheet=A0&amp;row=2204&amp;col=7&amp;number=0&amp;sourceID=14","0")</f>
        <v>0</v>
      </c>
    </row>
    <row r="2205" spans="1:7">
      <c r="A2205" s="3">
        <v>10</v>
      </c>
      <c r="B2205" s="3">
        <v>5</v>
      </c>
      <c r="C2205" s="3">
        <v>69</v>
      </c>
      <c r="D2205" s="3">
        <v>37</v>
      </c>
      <c r="E2205" s="3">
        <v>825.765</v>
      </c>
      <c r="F2205" s="4" t="str">
        <f>HYPERLINK("http://141.218.60.56/~jnz1568/getInfo.php?workbook=10_05.xlsx&amp;sheet=A0&amp;row=2205&amp;col=6&amp;number=25800&amp;sourceID=14","25800")</f>
        <v>25800</v>
      </c>
      <c r="G2205" s="4" t="str">
        <f>HYPERLINK("http://141.218.60.56/~jnz1568/getInfo.php?workbook=10_05.xlsx&amp;sheet=A0&amp;row=2205&amp;col=7&amp;number=0&amp;sourceID=14","0")</f>
        <v>0</v>
      </c>
    </row>
    <row r="2206" spans="1:7">
      <c r="A2206" s="3">
        <v>10</v>
      </c>
      <c r="B2206" s="3">
        <v>5</v>
      </c>
      <c r="C2206" s="3">
        <v>73</v>
      </c>
      <c r="D2206" s="3">
        <v>37</v>
      </c>
      <c r="E2206" s="3">
        <v>773.935</v>
      </c>
      <c r="F2206" s="4" t="str">
        <f>HYPERLINK("http://141.218.60.56/~jnz1568/getInfo.php?workbook=10_05.xlsx&amp;sheet=A0&amp;row=2206&amp;col=6&amp;number=11200000&amp;sourceID=14","11200000")</f>
        <v>11200000</v>
      </c>
      <c r="G2206" s="4" t="str">
        <f>HYPERLINK("http://141.218.60.56/~jnz1568/getInfo.php?workbook=10_05.xlsx&amp;sheet=A0&amp;row=2206&amp;col=7&amp;number=0&amp;sourceID=14","0")</f>
        <v>0</v>
      </c>
    </row>
    <row r="2207" spans="1:7">
      <c r="A2207" s="3">
        <v>10</v>
      </c>
      <c r="B2207" s="3">
        <v>5</v>
      </c>
      <c r="C2207" s="3">
        <v>74</v>
      </c>
      <c r="D2207" s="3">
        <v>37</v>
      </c>
      <c r="E2207" s="3">
        <v>773.217</v>
      </c>
      <c r="F2207" s="4" t="str">
        <f>HYPERLINK("http://141.218.60.56/~jnz1568/getInfo.php?workbook=10_05.xlsx&amp;sheet=A0&amp;row=2207&amp;col=6&amp;number=101000000&amp;sourceID=14","101000000")</f>
        <v>101000000</v>
      </c>
      <c r="G2207" s="4" t="str">
        <f>HYPERLINK("http://141.218.60.56/~jnz1568/getInfo.php?workbook=10_05.xlsx&amp;sheet=A0&amp;row=2207&amp;col=7&amp;number=0&amp;sourceID=14","0")</f>
        <v>0</v>
      </c>
    </row>
    <row r="2208" spans="1:7">
      <c r="A2208" s="3">
        <v>10</v>
      </c>
      <c r="B2208" s="3">
        <v>5</v>
      </c>
      <c r="C2208" s="3">
        <v>76</v>
      </c>
      <c r="D2208" s="3">
        <v>37</v>
      </c>
      <c r="E2208" s="3">
        <v>760.863</v>
      </c>
      <c r="F2208" s="4" t="str">
        <f>HYPERLINK("http://141.218.60.56/~jnz1568/getInfo.php?workbook=10_05.xlsx&amp;sheet=A0&amp;row=2208&amp;col=6&amp;number=58400&amp;sourceID=14","58400")</f>
        <v>58400</v>
      </c>
      <c r="G2208" s="4" t="str">
        <f>HYPERLINK("http://141.218.60.56/~jnz1568/getInfo.php?workbook=10_05.xlsx&amp;sheet=A0&amp;row=2208&amp;col=7&amp;number=0&amp;sourceID=14","0")</f>
        <v>0</v>
      </c>
    </row>
    <row r="2209" spans="1:7">
      <c r="A2209" s="3">
        <v>10</v>
      </c>
      <c r="B2209" s="3">
        <v>5</v>
      </c>
      <c r="C2209" s="3">
        <v>83</v>
      </c>
      <c r="D2209" s="3">
        <v>37</v>
      </c>
      <c r="E2209" s="3">
        <v>620.541</v>
      </c>
      <c r="F2209" s="4" t="str">
        <f>HYPERLINK("http://141.218.60.56/~jnz1568/getInfo.php?workbook=10_05.xlsx&amp;sheet=A0&amp;row=2209&amp;col=6&amp;number=220000&amp;sourceID=14","220000")</f>
        <v>220000</v>
      </c>
      <c r="G2209" s="4" t="str">
        <f>HYPERLINK("http://141.218.60.56/~jnz1568/getInfo.php?workbook=10_05.xlsx&amp;sheet=A0&amp;row=2209&amp;col=7&amp;number=0&amp;sourceID=14","0")</f>
        <v>0</v>
      </c>
    </row>
    <row r="2210" spans="1:7">
      <c r="A2210" s="3">
        <v>10</v>
      </c>
      <c r="B2210" s="3">
        <v>5</v>
      </c>
      <c r="C2210" s="3">
        <v>84</v>
      </c>
      <c r="D2210" s="3">
        <v>37</v>
      </c>
      <c r="E2210" s="3">
        <v>620.541</v>
      </c>
      <c r="F2210" s="4" t="str">
        <f>HYPERLINK("http://141.218.60.56/~jnz1568/getInfo.php?workbook=10_05.xlsx&amp;sheet=A0&amp;row=2210&amp;col=6&amp;number=264000&amp;sourceID=14","264000")</f>
        <v>264000</v>
      </c>
      <c r="G2210" s="4" t="str">
        <f>HYPERLINK("http://141.218.60.56/~jnz1568/getInfo.php?workbook=10_05.xlsx&amp;sheet=A0&amp;row=2210&amp;col=7&amp;number=0&amp;sourceID=14","0")</f>
        <v>0</v>
      </c>
    </row>
    <row r="2211" spans="1:7">
      <c r="A2211" s="3">
        <v>10</v>
      </c>
      <c r="B2211" s="3">
        <v>5</v>
      </c>
      <c r="C2211" s="3">
        <v>85</v>
      </c>
      <c r="D2211" s="3">
        <v>37</v>
      </c>
      <c r="E2211" s="3">
        <v>620.541</v>
      </c>
      <c r="F2211" s="4" t="str">
        <f>HYPERLINK("http://141.218.60.56/~jnz1568/getInfo.php?workbook=10_05.xlsx&amp;sheet=A0&amp;row=2211&amp;col=6&amp;number=1250000&amp;sourceID=14","1250000")</f>
        <v>1250000</v>
      </c>
      <c r="G2211" s="4" t="str">
        <f>HYPERLINK("http://141.218.60.56/~jnz1568/getInfo.php?workbook=10_05.xlsx&amp;sheet=A0&amp;row=2211&amp;col=7&amp;number=0&amp;sourceID=14","0")</f>
        <v>0</v>
      </c>
    </row>
    <row r="2212" spans="1:7">
      <c r="A2212" s="3">
        <v>10</v>
      </c>
      <c r="B2212" s="3">
        <v>5</v>
      </c>
      <c r="C2212" s="3">
        <v>86</v>
      </c>
      <c r="D2212" s="3">
        <v>37</v>
      </c>
      <c r="E2212" s="3">
        <v>-617.049</v>
      </c>
      <c r="F2212" s="4" t="str">
        <f>HYPERLINK("http://141.218.60.56/~jnz1568/getInfo.php?workbook=10_05.xlsx&amp;sheet=A0&amp;row=2212&amp;col=6&amp;number=1190000&amp;sourceID=14","1190000")</f>
        <v>1190000</v>
      </c>
      <c r="G2212" s="4" t="str">
        <f>HYPERLINK("http://141.218.60.56/~jnz1568/getInfo.php?workbook=10_05.xlsx&amp;sheet=A0&amp;row=2212&amp;col=7&amp;number=0&amp;sourceID=14","0")</f>
        <v>0</v>
      </c>
    </row>
    <row r="2213" spans="1:7">
      <c r="A2213" s="3">
        <v>10</v>
      </c>
      <c r="B2213" s="3">
        <v>5</v>
      </c>
      <c r="C2213" s="3">
        <v>87</v>
      </c>
      <c r="D2213" s="3">
        <v>37</v>
      </c>
      <c r="E2213" s="3">
        <v>-616.996</v>
      </c>
      <c r="F2213" s="4" t="str">
        <f>HYPERLINK("http://141.218.60.56/~jnz1568/getInfo.php?workbook=10_05.xlsx&amp;sheet=A0&amp;row=2213&amp;col=6&amp;number=9570000&amp;sourceID=14","9570000")</f>
        <v>9570000</v>
      </c>
      <c r="G2213" s="4" t="str">
        <f>HYPERLINK("http://141.218.60.56/~jnz1568/getInfo.php?workbook=10_05.xlsx&amp;sheet=A0&amp;row=2213&amp;col=7&amp;number=0&amp;sourceID=14","0")</f>
        <v>0</v>
      </c>
    </row>
    <row r="2214" spans="1:7">
      <c r="A2214" s="3">
        <v>10</v>
      </c>
      <c r="B2214" s="3">
        <v>5</v>
      </c>
      <c r="C2214" s="3">
        <v>89</v>
      </c>
      <c r="D2214" s="3">
        <v>37</v>
      </c>
      <c r="E2214" s="3">
        <v>607.276</v>
      </c>
      <c r="F2214" s="4" t="str">
        <f>HYPERLINK("http://141.218.60.56/~jnz1568/getInfo.php?workbook=10_05.xlsx&amp;sheet=A0&amp;row=2214&amp;col=6&amp;number=2790&amp;sourceID=14","2790")</f>
        <v>2790</v>
      </c>
      <c r="G2214" s="4" t="str">
        <f>HYPERLINK("http://141.218.60.56/~jnz1568/getInfo.php?workbook=10_05.xlsx&amp;sheet=A0&amp;row=2214&amp;col=7&amp;number=0&amp;sourceID=14","0")</f>
        <v>0</v>
      </c>
    </row>
    <row r="2215" spans="1:7">
      <c r="A2215" s="3">
        <v>10</v>
      </c>
      <c r="B2215" s="3">
        <v>5</v>
      </c>
      <c r="C2215" s="3">
        <v>90</v>
      </c>
      <c r="D2215" s="3">
        <v>37</v>
      </c>
      <c r="E2215" s="3">
        <v>605.181</v>
      </c>
      <c r="F2215" s="4" t="str">
        <f>HYPERLINK("http://141.218.60.56/~jnz1568/getInfo.php?workbook=10_05.xlsx&amp;sheet=A0&amp;row=2215&amp;col=6&amp;number=2520000&amp;sourceID=14","2520000")</f>
        <v>2520000</v>
      </c>
      <c r="G2215" s="4" t="str">
        <f>HYPERLINK("http://141.218.60.56/~jnz1568/getInfo.php?workbook=10_05.xlsx&amp;sheet=A0&amp;row=2215&amp;col=7&amp;number=0&amp;sourceID=14","0")</f>
        <v>0</v>
      </c>
    </row>
    <row r="2216" spans="1:7">
      <c r="A2216" s="3">
        <v>10</v>
      </c>
      <c r="B2216" s="3">
        <v>5</v>
      </c>
      <c r="C2216" s="3">
        <v>91</v>
      </c>
      <c r="D2216" s="3">
        <v>37</v>
      </c>
      <c r="E2216" s="3">
        <v>-577.628</v>
      </c>
      <c r="F2216" s="4" t="str">
        <f>HYPERLINK("http://141.218.60.56/~jnz1568/getInfo.php?workbook=10_05.xlsx&amp;sheet=A0&amp;row=2216&amp;col=6&amp;number=236000000&amp;sourceID=14","236000000")</f>
        <v>236000000</v>
      </c>
      <c r="G2216" s="4" t="str">
        <f>HYPERLINK("http://141.218.60.56/~jnz1568/getInfo.php?workbook=10_05.xlsx&amp;sheet=A0&amp;row=2216&amp;col=7&amp;number=0&amp;sourceID=14","0")</f>
        <v>0</v>
      </c>
    </row>
    <row r="2217" spans="1:7">
      <c r="A2217" s="3">
        <v>10</v>
      </c>
      <c r="B2217" s="3">
        <v>5</v>
      </c>
      <c r="C2217" s="3">
        <v>92</v>
      </c>
      <c r="D2217" s="3">
        <v>37</v>
      </c>
      <c r="E2217" s="3">
        <v>-574.859</v>
      </c>
      <c r="F2217" s="4" t="str">
        <f>HYPERLINK("http://141.218.60.56/~jnz1568/getInfo.php?workbook=10_05.xlsx&amp;sheet=A0&amp;row=2217&amp;col=6&amp;number=2180000000&amp;sourceID=14","2180000000")</f>
        <v>2180000000</v>
      </c>
      <c r="G2217" s="4" t="str">
        <f>HYPERLINK("http://141.218.60.56/~jnz1568/getInfo.php?workbook=10_05.xlsx&amp;sheet=A0&amp;row=2217&amp;col=7&amp;number=0&amp;sourceID=14","0")</f>
        <v>0</v>
      </c>
    </row>
    <row r="2218" spans="1:7">
      <c r="A2218" s="3">
        <v>10</v>
      </c>
      <c r="B2218" s="3">
        <v>5</v>
      </c>
      <c r="C2218" s="3">
        <v>94</v>
      </c>
      <c r="D2218" s="3">
        <v>37</v>
      </c>
      <c r="E2218" s="3">
        <v>-549.85</v>
      </c>
      <c r="F2218" s="4" t="str">
        <f>HYPERLINK("http://141.218.60.56/~jnz1568/getInfo.php?workbook=10_05.xlsx&amp;sheet=A0&amp;row=2218&amp;col=6&amp;number=3160000000&amp;sourceID=14","3160000000")</f>
        <v>3160000000</v>
      </c>
      <c r="G2218" s="4" t="str">
        <f>HYPERLINK("http://141.218.60.56/~jnz1568/getInfo.php?workbook=10_05.xlsx&amp;sheet=A0&amp;row=2218&amp;col=7&amp;number=0&amp;sourceID=14","0")</f>
        <v>0</v>
      </c>
    </row>
    <row r="2219" spans="1:7">
      <c r="A2219" s="3">
        <v>10</v>
      </c>
      <c r="B2219" s="3">
        <v>5</v>
      </c>
      <c r="C2219" s="3">
        <v>95</v>
      </c>
      <c r="D2219" s="3">
        <v>37</v>
      </c>
      <c r="E2219" s="3">
        <v>549.029</v>
      </c>
      <c r="F2219" s="4" t="str">
        <f>HYPERLINK("http://141.218.60.56/~jnz1568/getInfo.php?workbook=10_05.xlsx&amp;sheet=A0&amp;row=2219&amp;col=6&amp;number=4470000&amp;sourceID=14","4470000")</f>
        <v>4470000</v>
      </c>
      <c r="G2219" s="4" t="str">
        <f>HYPERLINK("http://141.218.60.56/~jnz1568/getInfo.php?workbook=10_05.xlsx&amp;sheet=A0&amp;row=2219&amp;col=7&amp;number=0&amp;sourceID=14","0")</f>
        <v>0</v>
      </c>
    </row>
    <row r="2220" spans="1:7">
      <c r="A2220" s="3">
        <v>10</v>
      </c>
      <c r="B2220" s="3">
        <v>5</v>
      </c>
      <c r="C2220" s="3">
        <v>96</v>
      </c>
      <c r="D2220" s="3">
        <v>37</v>
      </c>
      <c r="E2220" s="3">
        <v>513.006</v>
      </c>
      <c r="F2220" s="4" t="str">
        <f>HYPERLINK("http://141.218.60.56/~jnz1568/getInfo.php?workbook=10_05.xlsx&amp;sheet=A0&amp;row=2220&amp;col=6&amp;number=539000&amp;sourceID=14","539000")</f>
        <v>539000</v>
      </c>
      <c r="G2220" s="4" t="str">
        <f>HYPERLINK("http://141.218.60.56/~jnz1568/getInfo.php?workbook=10_05.xlsx&amp;sheet=A0&amp;row=2220&amp;col=7&amp;number=0&amp;sourceID=14","0")</f>
        <v>0</v>
      </c>
    </row>
    <row r="2221" spans="1:7">
      <c r="A2221" s="3">
        <v>10</v>
      </c>
      <c r="B2221" s="3">
        <v>5</v>
      </c>
      <c r="C2221" s="3">
        <v>97</v>
      </c>
      <c r="D2221" s="3">
        <v>37</v>
      </c>
      <c r="E2221" s="3">
        <v>512.112</v>
      </c>
      <c r="F2221" s="4" t="str">
        <f>HYPERLINK("http://141.218.60.56/~jnz1568/getInfo.php?workbook=10_05.xlsx&amp;sheet=A0&amp;row=2221&amp;col=6&amp;number=35200000&amp;sourceID=14","35200000")</f>
        <v>35200000</v>
      </c>
      <c r="G2221" s="4" t="str">
        <f>HYPERLINK("http://141.218.60.56/~jnz1568/getInfo.php?workbook=10_05.xlsx&amp;sheet=A0&amp;row=2221&amp;col=7&amp;number=0&amp;sourceID=14","0")</f>
        <v>0</v>
      </c>
    </row>
    <row r="2222" spans="1:7">
      <c r="A2222" s="3">
        <v>10</v>
      </c>
      <c r="B2222" s="3">
        <v>5</v>
      </c>
      <c r="C2222" s="3">
        <v>101</v>
      </c>
      <c r="D2222" s="3">
        <v>37</v>
      </c>
      <c r="E2222" s="3">
        <v>-502.559</v>
      </c>
      <c r="F2222" s="4" t="str">
        <f>HYPERLINK("http://141.218.60.56/~jnz1568/getInfo.php?workbook=10_05.xlsx&amp;sheet=A0&amp;row=2222&amp;col=6&amp;number=73.8&amp;sourceID=14","73.8")</f>
        <v>73.8</v>
      </c>
      <c r="G2222" s="4" t="str">
        <f>HYPERLINK("http://141.218.60.56/~jnz1568/getInfo.php?workbook=10_05.xlsx&amp;sheet=A0&amp;row=2222&amp;col=7&amp;number=0&amp;sourceID=14","0")</f>
        <v>0</v>
      </c>
    </row>
    <row r="2223" spans="1:7">
      <c r="A2223" s="3">
        <v>10</v>
      </c>
      <c r="B2223" s="3">
        <v>5</v>
      </c>
      <c r="C2223" s="3">
        <v>103</v>
      </c>
      <c r="D2223" s="3">
        <v>37</v>
      </c>
      <c r="E2223" s="3">
        <v>-500.692</v>
      </c>
      <c r="F2223" s="4" t="str">
        <f>HYPERLINK("http://141.218.60.56/~jnz1568/getInfo.php?workbook=10_05.xlsx&amp;sheet=A0&amp;row=2223&amp;col=6&amp;number=1050000&amp;sourceID=14","1050000")</f>
        <v>1050000</v>
      </c>
      <c r="G2223" s="4" t="str">
        <f>HYPERLINK("http://141.218.60.56/~jnz1568/getInfo.php?workbook=10_05.xlsx&amp;sheet=A0&amp;row=2223&amp;col=7&amp;number=0&amp;sourceID=14","0")</f>
        <v>0</v>
      </c>
    </row>
    <row r="2224" spans="1:7">
      <c r="A2224" s="3">
        <v>10</v>
      </c>
      <c r="B2224" s="3">
        <v>5</v>
      </c>
      <c r="C2224" s="3">
        <v>112</v>
      </c>
      <c r="D2224" s="3">
        <v>37</v>
      </c>
      <c r="E2224" s="3">
        <v>-483.824</v>
      </c>
      <c r="F2224" s="4" t="str">
        <f>HYPERLINK("http://141.218.60.56/~jnz1568/getInfo.php?workbook=10_05.xlsx&amp;sheet=A0&amp;row=2224&amp;col=6&amp;number=1510000000&amp;sourceID=14","1510000000")</f>
        <v>1510000000</v>
      </c>
      <c r="G2224" s="4" t="str">
        <f>HYPERLINK("http://141.218.60.56/~jnz1568/getInfo.php?workbook=10_05.xlsx&amp;sheet=A0&amp;row=2224&amp;col=7&amp;number=0&amp;sourceID=14","0")</f>
        <v>0</v>
      </c>
    </row>
    <row r="2225" spans="1:7">
      <c r="A2225" s="3">
        <v>10</v>
      </c>
      <c r="B2225" s="3">
        <v>5</v>
      </c>
      <c r="C2225" s="3">
        <v>113</v>
      </c>
      <c r="D2225" s="3">
        <v>37</v>
      </c>
      <c r="E2225" s="3">
        <v>482.022</v>
      </c>
      <c r="F2225" s="4" t="str">
        <f>HYPERLINK("http://141.218.60.56/~jnz1568/getInfo.php?workbook=10_05.xlsx&amp;sheet=A0&amp;row=2225&amp;col=6&amp;number=184000000&amp;sourceID=14","184000000")</f>
        <v>184000000</v>
      </c>
      <c r="G2225" s="4" t="str">
        <f>HYPERLINK("http://141.218.60.56/~jnz1568/getInfo.php?workbook=10_05.xlsx&amp;sheet=A0&amp;row=2225&amp;col=7&amp;number=0&amp;sourceID=14","0")</f>
        <v>0</v>
      </c>
    </row>
    <row r="2226" spans="1:7">
      <c r="A2226" s="3">
        <v>10</v>
      </c>
      <c r="B2226" s="3">
        <v>5</v>
      </c>
      <c r="C2226" s="3">
        <v>114</v>
      </c>
      <c r="D2226" s="3">
        <v>37</v>
      </c>
      <c r="E2226" s="3">
        <v>482.022</v>
      </c>
      <c r="F2226" s="4" t="str">
        <f>HYPERLINK("http://141.218.60.56/~jnz1568/getInfo.php?workbook=10_05.xlsx&amp;sheet=A0&amp;row=2226&amp;col=6&amp;number=14400000&amp;sourceID=14","14400000")</f>
        <v>14400000</v>
      </c>
      <c r="G2226" s="4" t="str">
        <f>HYPERLINK("http://141.218.60.56/~jnz1568/getInfo.php?workbook=10_05.xlsx&amp;sheet=A0&amp;row=2226&amp;col=7&amp;number=0&amp;sourceID=14","0")</f>
        <v>0</v>
      </c>
    </row>
    <row r="2227" spans="1:7">
      <c r="A2227" s="3">
        <v>10</v>
      </c>
      <c r="B2227" s="3">
        <v>5</v>
      </c>
      <c r="C2227" s="3">
        <v>128</v>
      </c>
      <c r="D2227" s="3">
        <v>37</v>
      </c>
      <c r="E2227" s="3">
        <v>-453.481</v>
      </c>
      <c r="F2227" s="4" t="str">
        <f>HYPERLINK("http://141.218.60.56/~jnz1568/getInfo.php?workbook=10_05.xlsx&amp;sheet=A0&amp;row=2227&amp;col=6&amp;number=32600000&amp;sourceID=14","32600000")</f>
        <v>32600000</v>
      </c>
      <c r="G2227" s="4" t="str">
        <f>HYPERLINK("http://141.218.60.56/~jnz1568/getInfo.php?workbook=10_05.xlsx&amp;sheet=A0&amp;row=2227&amp;col=7&amp;number=0&amp;sourceID=14","0")</f>
        <v>0</v>
      </c>
    </row>
    <row r="2228" spans="1:7">
      <c r="A2228" s="3">
        <v>10</v>
      </c>
      <c r="B2228" s="3">
        <v>5</v>
      </c>
      <c r="C2228" s="3">
        <v>134</v>
      </c>
      <c r="D2228" s="3">
        <v>37</v>
      </c>
      <c r="E2228" s="3">
        <v>-444.455</v>
      </c>
      <c r="F2228" s="4" t="str">
        <f>HYPERLINK("http://141.218.60.56/~jnz1568/getInfo.php?workbook=10_05.xlsx&amp;sheet=A0&amp;row=2228&amp;col=6&amp;number=343000&amp;sourceID=14","343000")</f>
        <v>343000</v>
      </c>
      <c r="G2228" s="4" t="str">
        <f>HYPERLINK("http://141.218.60.56/~jnz1568/getInfo.php?workbook=10_05.xlsx&amp;sheet=A0&amp;row=2228&amp;col=7&amp;number=0&amp;sourceID=14","0")</f>
        <v>0</v>
      </c>
    </row>
    <row r="2229" spans="1:7">
      <c r="A2229" s="3">
        <v>10</v>
      </c>
      <c r="B2229" s="3">
        <v>5</v>
      </c>
      <c r="C2229" s="3">
        <v>135</v>
      </c>
      <c r="D2229" s="3">
        <v>37</v>
      </c>
      <c r="E2229" s="3">
        <v>-443.98</v>
      </c>
      <c r="F2229" s="4" t="str">
        <f>HYPERLINK("http://141.218.60.56/~jnz1568/getInfo.php?workbook=10_05.xlsx&amp;sheet=A0&amp;row=2229&amp;col=6&amp;number=1980000&amp;sourceID=14","1980000")</f>
        <v>1980000</v>
      </c>
      <c r="G2229" s="4" t="str">
        <f>HYPERLINK("http://141.218.60.56/~jnz1568/getInfo.php?workbook=10_05.xlsx&amp;sheet=A0&amp;row=2229&amp;col=7&amp;number=0&amp;sourceID=14","0")</f>
        <v>0</v>
      </c>
    </row>
    <row r="2230" spans="1:7">
      <c r="A2230" s="3">
        <v>10</v>
      </c>
      <c r="B2230" s="3">
        <v>5</v>
      </c>
      <c r="C2230" s="3">
        <v>136</v>
      </c>
      <c r="D2230" s="3">
        <v>37</v>
      </c>
      <c r="E2230" s="3">
        <v>-443.267</v>
      </c>
      <c r="F2230" s="4" t="str">
        <f>HYPERLINK("http://141.218.60.56/~jnz1568/getInfo.php?workbook=10_05.xlsx&amp;sheet=A0&amp;row=2230&amp;col=6&amp;number=1130000&amp;sourceID=14","1130000")</f>
        <v>1130000</v>
      </c>
      <c r="G2230" s="4" t="str">
        <f>HYPERLINK("http://141.218.60.56/~jnz1568/getInfo.php?workbook=10_05.xlsx&amp;sheet=A0&amp;row=2230&amp;col=7&amp;number=0&amp;sourceID=14","0")</f>
        <v>0</v>
      </c>
    </row>
    <row r="2231" spans="1:7">
      <c r="A2231" s="3">
        <v>10</v>
      </c>
      <c r="B2231" s="3">
        <v>5</v>
      </c>
      <c r="C2231" s="3">
        <v>142</v>
      </c>
      <c r="D2231" s="3">
        <v>37</v>
      </c>
      <c r="E2231" s="3">
        <v>435.257</v>
      </c>
      <c r="F2231" s="4" t="str">
        <f>HYPERLINK("http://141.218.60.56/~jnz1568/getInfo.php?workbook=10_05.xlsx&amp;sheet=A0&amp;row=2231&amp;col=6&amp;number=1600000&amp;sourceID=14","1600000")</f>
        <v>1600000</v>
      </c>
      <c r="G2231" s="4" t="str">
        <f>HYPERLINK("http://141.218.60.56/~jnz1568/getInfo.php?workbook=10_05.xlsx&amp;sheet=A0&amp;row=2231&amp;col=7&amp;number=0&amp;sourceID=14","0")</f>
        <v>0</v>
      </c>
    </row>
    <row r="2232" spans="1:7">
      <c r="A2232" s="3">
        <v>10</v>
      </c>
      <c r="B2232" s="3">
        <v>5</v>
      </c>
      <c r="C2232" s="3">
        <v>143</v>
      </c>
      <c r="D2232" s="3">
        <v>37</v>
      </c>
      <c r="E2232" s="3">
        <v>434.783</v>
      </c>
      <c r="F2232" s="4" t="str">
        <f>HYPERLINK("http://141.218.60.56/~jnz1568/getInfo.php?workbook=10_05.xlsx&amp;sheet=A0&amp;row=2232&amp;col=6&amp;number=23800000&amp;sourceID=14","23800000")</f>
        <v>23800000</v>
      </c>
      <c r="G2232" s="4" t="str">
        <f>HYPERLINK("http://141.218.60.56/~jnz1568/getInfo.php?workbook=10_05.xlsx&amp;sheet=A0&amp;row=2232&amp;col=7&amp;number=0&amp;sourceID=14","0")</f>
        <v>0</v>
      </c>
    </row>
    <row r="2233" spans="1:7">
      <c r="A2233" s="3">
        <v>10</v>
      </c>
      <c r="B2233" s="3">
        <v>5</v>
      </c>
      <c r="C2233" s="3">
        <v>144</v>
      </c>
      <c r="D2233" s="3">
        <v>37</v>
      </c>
      <c r="E2233" s="3">
        <v>434.406</v>
      </c>
      <c r="F2233" s="4" t="str">
        <f>HYPERLINK("http://141.218.60.56/~jnz1568/getInfo.php?workbook=10_05.xlsx&amp;sheet=A0&amp;row=2233&amp;col=6&amp;number=1030000&amp;sourceID=14","1030000")</f>
        <v>1030000</v>
      </c>
      <c r="G2233" s="4" t="str">
        <f>HYPERLINK("http://141.218.60.56/~jnz1568/getInfo.php?workbook=10_05.xlsx&amp;sheet=A0&amp;row=2233&amp;col=7&amp;number=0&amp;sourceID=14","0")</f>
        <v>0</v>
      </c>
    </row>
    <row r="2234" spans="1:7">
      <c r="A2234" s="3">
        <v>10</v>
      </c>
      <c r="B2234" s="3">
        <v>5</v>
      </c>
      <c r="C2234" s="3">
        <v>145</v>
      </c>
      <c r="D2234" s="3">
        <v>37</v>
      </c>
      <c r="E2234" s="3">
        <v>432.695</v>
      </c>
      <c r="F2234" s="4" t="str">
        <f>HYPERLINK("http://141.218.60.56/~jnz1568/getInfo.php?workbook=10_05.xlsx&amp;sheet=A0&amp;row=2234&amp;col=6&amp;number=150000000&amp;sourceID=14","150000000")</f>
        <v>150000000</v>
      </c>
      <c r="G2234" s="4" t="str">
        <f>HYPERLINK("http://141.218.60.56/~jnz1568/getInfo.php?workbook=10_05.xlsx&amp;sheet=A0&amp;row=2234&amp;col=7&amp;number=0&amp;sourceID=14","0")</f>
        <v>0</v>
      </c>
    </row>
    <row r="2235" spans="1:7">
      <c r="A2235" s="3">
        <v>10</v>
      </c>
      <c r="B2235" s="3">
        <v>5</v>
      </c>
      <c r="C2235" s="3">
        <v>146</v>
      </c>
      <c r="D2235" s="3">
        <v>37</v>
      </c>
      <c r="E2235" s="3">
        <v>432.695</v>
      </c>
      <c r="F2235" s="4" t="str">
        <f>HYPERLINK("http://141.218.60.56/~jnz1568/getInfo.php?workbook=10_05.xlsx&amp;sheet=A0&amp;row=2235&amp;col=6&amp;number=1790000000&amp;sourceID=14","1790000000")</f>
        <v>1790000000</v>
      </c>
      <c r="G2235" s="4" t="str">
        <f>HYPERLINK("http://141.218.60.56/~jnz1568/getInfo.php?workbook=10_05.xlsx&amp;sheet=A0&amp;row=2235&amp;col=7&amp;number=0&amp;sourceID=14","0")</f>
        <v>0</v>
      </c>
    </row>
    <row r="2236" spans="1:7">
      <c r="A2236" s="3">
        <v>10</v>
      </c>
      <c r="B2236" s="3">
        <v>5</v>
      </c>
      <c r="C2236" s="3">
        <v>147</v>
      </c>
      <c r="D2236" s="3">
        <v>37</v>
      </c>
      <c r="E2236" s="3">
        <v>431.593</v>
      </c>
      <c r="F2236" s="4" t="str">
        <f>HYPERLINK("http://141.218.60.56/~jnz1568/getInfo.php?workbook=10_05.xlsx&amp;sheet=A0&amp;row=2236&amp;col=6&amp;number=150000000&amp;sourceID=14","150000000")</f>
        <v>150000000</v>
      </c>
      <c r="G2236" s="4" t="str">
        <f>HYPERLINK("http://141.218.60.56/~jnz1568/getInfo.php?workbook=10_05.xlsx&amp;sheet=A0&amp;row=2236&amp;col=7&amp;number=0&amp;sourceID=14","0")</f>
        <v>0</v>
      </c>
    </row>
    <row r="2237" spans="1:7">
      <c r="A2237" s="3">
        <v>10</v>
      </c>
      <c r="B2237" s="3">
        <v>5</v>
      </c>
      <c r="C2237" s="3">
        <v>148</v>
      </c>
      <c r="D2237" s="3">
        <v>37</v>
      </c>
      <c r="E2237" s="3">
        <v>431.407</v>
      </c>
      <c r="F2237" s="4" t="str">
        <f>HYPERLINK("http://141.218.60.56/~jnz1568/getInfo.php?workbook=10_05.xlsx&amp;sheet=A0&amp;row=2237&amp;col=6&amp;number=49500000&amp;sourceID=14","49500000")</f>
        <v>49500000</v>
      </c>
      <c r="G2237" s="4" t="str">
        <f>HYPERLINK("http://141.218.60.56/~jnz1568/getInfo.php?workbook=10_05.xlsx&amp;sheet=A0&amp;row=2237&amp;col=7&amp;number=0&amp;sourceID=14","0")</f>
        <v>0</v>
      </c>
    </row>
    <row r="2238" spans="1:7">
      <c r="A2238" s="3">
        <v>10</v>
      </c>
      <c r="B2238" s="3">
        <v>5</v>
      </c>
      <c r="C2238" s="3">
        <v>152</v>
      </c>
      <c r="D2238" s="3">
        <v>37</v>
      </c>
      <c r="E2238" s="3">
        <v>421.479</v>
      </c>
      <c r="F2238" s="4" t="str">
        <f>HYPERLINK("http://141.218.60.56/~jnz1568/getInfo.php?workbook=10_05.xlsx&amp;sheet=A0&amp;row=2238&amp;col=6&amp;number=617000000&amp;sourceID=14","617000000")</f>
        <v>617000000</v>
      </c>
      <c r="G2238" s="4" t="str">
        <f>HYPERLINK("http://141.218.60.56/~jnz1568/getInfo.php?workbook=10_05.xlsx&amp;sheet=A0&amp;row=2238&amp;col=7&amp;number=0&amp;sourceID=14","0")</f>
        <v>0</v>
      </c>
    </row>
    <row r="2239" spans="1:7">
      <c r="A2239" s="3">
        <v>10</v>
      </c>
      <c r="B2239" s="3">
        <v>5</v>
      </c>
      <c r="C2239" s="3">
        <v>153</v>
      </c>
      <c r="D2239" s="3">
        <v>37</v>
      </c>
      <c r="E2239" s="3">
        <v>420.063</v>
      </c>
      <c r="F2239" s="4" t="str">
        <f>HYPERLINK("http://141.218.60.56/~jnz1568/getInfo.php?workbook=10_05.xlsx&amp;sheet=A0&amp;row=2239&amp;col=6&amp;number=7610000000&amp;sourceID=14","7610000000")</f>
        <v>7610000000</v>
      </c>
      <c r="G2239" s="4" t="str">
        <f>HYPERLINK("http://141.218.60.56/~jnz1568/getInfo.php?workbook=10_05.xlsx&amp;sheet=A0&amp;row=2239&amp;col=7&amp;number=0&amp;sourceID=14","0")</f>
        <v>0</v>
      </c>
    </row>
    <row r="2240" spans="1:7">
      <c r="A2240" s="3">
        <v>10</v>
      </c>
      <c r="B2240" s="3">
        <v>5</v>
      </c>
      <c r="C2240" s="3">
        <v>158</v>
      </c>
      <c r="D2240" s="3">
        <v>37</v>
      </c>
      <c r="E2240" s="3">
        <v>-416.923</v>
      </c>
      <c r="F2240" s="4" t="str">
        <f>HYPERLINK("http://141.218.60.56/~jnz1568/getInfo.php?workbook=10_05.xlsx&amp;sheet=A0&amp;row=2240&amp;col=6&amp;number=234000000&amp;sourceID=14","234000000")</f>
        <v>234000000</v>
      </c>
      <c r="G2240" s="4" t="str">
        <f>HYPERLINK("http://141.218.60.56/~jnz1568/getInfo.php?workbook=10_05.xlsx&amp;sheet=A0&amp;row=2240&amp;col=7&amp;number=0&amp;sourceID=14","0")</f>
        <v>0</v>
      </c>
    </row>
    <row r="2241" spans="1:7">
      <c r="A2241" s="3">
        <v>10</v>
      </c>
      <c r="B2241" s="3">
        <v>5</v>
      </c>
      <c r="C2241" s="3">
        <v>165</v>
      </c>
      <c r="D2241" s="3">
        <v>37</v>
      </c>
      <c r="E2241" s="3">
        <v>-348.987</v>
      </c>
      <c r="F2241" s="4" t="str">
        <f>HYPERLINK("http://141.218.60.56/~jnz1568/getInfo.php?workbook=10_05.xlsx&amp;sheet=A0&amp;row=2241&amp;col=6&amp;number=59300000&amp;sourceID=14","59300000")</f>
        <v>59300000</v>
      </c>
      <c r="G2241" s="4" t="str">
        <f>HYPERLINK("http://141.218.60.56/~jnz1568/getInfo.php?workbook=10_05.xlsx&amp;sheet=A0&amp;row=2241&amp;col=7&amp;number=0&amp;sourceID=14","0")</f>
        <v>0</v>
      </c>
    </row>
    <row r="2242" spans="1:7">
      <c r="A2242" s="3">
        <v>10</v>
      </c>
      <c r="B2242" s="3">
        <v>5</v>
      </c>
      <c r="C2242" s="3">
        <v>167</v>
      </c>
      <c r="D2242" s="3">
        <v>37</v>
      </c>
      <c r="E2242" s="3">
        <v>-318.811</v>
      </c>
      <c r="F2242" s="4" t="str">
        <f>HYPERLINK("http://141.218.60.56/~jnz1568/getInfo.php?workbook=10_05.xlsx&amp;sheet=A0&amp;row=2242&amp;col=6&amp;number=3630000&amp;sourceID=14","3630000")</f>
        <v>3630000</v>
      </c>
      <c r="G2242" s="4" t="str">
        <f>HYPERLINK("http://141.218.60.56/~jnz1568/getInfo.php?workbook=10_05.xlsx&amp;sheet=A0&amp;row=2242&amp;col=7&amp;number=0&amp;sourceID=14","0")</f>
        <v>0</v>
      </c>
    </row>
    <row r="2243" spans="1:7">
      <c r="A2243" s="3">
        <v>10</v>
      </c>
      <c r="B2243" s="3">
        <v>5</v>
      </c>
      <c r="C2243" s="3">
        <v>175</v>
      </c>
      <c r="D2243" s="3">
        <v>37</v>
      </c>
      <c r="E2243" s="3">
        <v>-289.737</v>
      </c>
      <c r="F2243" s="4" t="str">
        <f>HYPERLINK("http://141.218.60.56/~jnz1568/getInfo.php?workbook=10_05.xlsx&amp;sheet=A0&amp;row=2243&amp;col=6&amp;number=130000000&amp;sourceID=14","130000000")</f>
        <v>130000000</v>
      </c>
      <c r="G2243" s="4" t="str">
        <f>HYPERLINK("http://141.218.60.56/~jnz1568/getInfo.php?workbook=10_05.xlsx&amp;sheet=A0&amp;row=2243&amp;col=7&amp;number=0&amp;sourceID=14","0")</f>
        <v>0</v>
      </c>
    </row>
    <row r="2244" spans="1:7">
      <c r="A2244" s="3">
        <v>10</v>
      </c>
      <c r="B2244" s="3">
        <v>5</v>
      </c>
      <c r="C2244" s="3">
        <v>176</v>
      </c>
      <c r="D2244" s="3">
        <v>37</v>
      </c>
      <c r="E2244" s="3">
        <v>-289.736</v>
      </c>
      <c r="F2244" s="4" t="str">
        <f>HYPERLINK("http://141.218.60.56/~jnz1568/getInfo.php?workbook=10_05.xlsx&amp;sheet=A0&amp;row=2244&amp;col=6&amp;number=8780000&amp;sourceID=14","8780000")</f>
        <v>8780000</v>
      </c>
      <c r="G2244" s="4" t="str">
        <f>HYPERLINK("http://141.218.60.56/~jnz1568/getInfo.php?workbook=10_05.xlsx&amp;sheet=A0&amp;row=2244&amp;col=7&amp;number=0&amp;sourceID=14","0")</f>
        <v>0</v>
      </c>
    </row>
    <row r="2245" spans="1:7">
      <c r="A2245" s="3">
        <v>10</v>
      </c>
      <c r="B2245" s="3">
        <v>5</v>
      </c>
      <c r="C2245" s="3">
        <v>177</v>
      </c>
      <c r="D2245" s="3">
        <v>37</v>
      </c>
      <c r="E2245" s="3">
        <v>-288.99</v>
      </c>
      <c r="F2245" s="4" t="str">
        <f>HYPERLINK("http://141.218.60.56/~jnz1568/getInfo.php?workbook=10_05.xlsx&amp;sheet=A0&amp;row=2245&amp;col=6&amp;number=223000&amp;sourceID=14","223000")</f>
        <v>223000</v>
      </c>
      <c r="G2245" s="4" t="str">
        <f>HYPERLINK("http://141.218.60.56/~jnz1568/getInfo.php?workbook=10_05.xlsx&amp;sheet=A0&amp;row=2245&amp;col=7&amp;number=0&amp;sourceID=14","0")</f>
        <v>0</v>
      </c>
    </row>
    <row r="2246" spans="1:7">
      <c r="A2246" s="3">
        <v>10</v>
      </c>
      <c r="B2246" s="3">
        <v>5</v>
      </c>
      <c r="C2246" s="3">
        <v>178</v>
      </c>
      <c r="D2246" s="3">
        <v>37</v>
      </c>
      <c r="E2246" s="3">
        <v>-288.954</v>
      </c>
      <c r="F2246" s="4" t="str">
        <f>HYPERLINK("http://141.218.60.56/~jnz1568/getInfo.php?workbook=10_05.xlsx&amp;sheet=A0&amp;row=2246&amp;col=6&amp;number=2010000&amp;sourceID=14","2010000")</f>
        <v>2010000</v>
      </c>
      <c r="G2246" s="4" t="str">
        <f>HYPERLINK("http://141.218.60.56/~jnz1568/getInfo.php?workbook=10_05.xlsx&amp;sheet=A0&amp;row=2246&amp;col=7&amp;number=0&amp;sourceID=14","0")</f>
        <v>0</v>
      </c>
    </row>
    <row r="2247" spans="1:7">
      <c r="A2247" s="3">
        <v>10</v>
      </c>
      <c r="B2247" s="3">
        <v>5</v>
      </c>
      <c r="C2247" s="3">
        <v>180</v>
      </c>
      <c r="D2247" s="3">
        <v>37</v>
      </c>
      <c r="E2247" s="3">
        <v>-285.58</v>
      </c>
      <c r="F2247" s="4" t="str">
        <f>HYPERLINK("http://141.218.60.56/~jnz1568/getInfo.php?workbook=10_05.xlsx&amp;sheet=A0&amp;row=2247&amp;col=6&amp;number=2270000&amp;sourceID=14","2270000")</f>
        <v>2270000</v>
      </c>
      <c r="G2247" s="4" t="str">
        <f>HYPERLINK("http://141.218.60.56/~jnz1568/getInfo.php?workbook=10_05.xlsx&amp;sheet=A0&amp;row=2247&amp;col=7&amp;number=0&amp;sourceID=14","0")</f>
        <v>0</v>
      </c>
    </row>
    <row r="2248" spans="1:7">
      <c r="A2248" s="3">
        <v>10</v>
      </c>
      <c r="B2248" s="3">
        <v>5</v>
      </c>
      <c r="C2248" s="3">
        <v>58</v>
      </c>
      <c r="D2248" s="3">
        <v>38</v>
      </c>
      <c r="E2248" s="3">
        <v>-1459.196</v>
      </c>
      <c r="F2248" s="4" t="str">
        <f>HYPERLINK("http://141.218.60.56/~jnz1568/getInfo.php?workbook=10_05.xlsx&amp;sheet=A0&amp;row=2248&amp;col=6&amp;number=0.24&amp;sourceID=14","0.24")</f>
        <v>0.24</v>
      </c>
      <c r="G2248" s="4" t="str">
        <f>HYPERLINK("http://141.218.60.56/~jnz1568/getInfo.php?workbook=10_05.xlsx&amp;sheet=A0&amp;row=2248&amp;col=7&amp;number=0&amp;sourceID=14","0")</f>
        <v>0</v>
      </c>
    </row>
    <row r="2249" spans="1:7">
      <c r="A2249" s="3">
        <v>10</v>
      </c>
      <c r="B2249" s="3">
        <v>5</v>
      </c>
      <c r="C2249" s="3">
        <v>59</v>
      </c>
      <c r="D2249" s="3">
        <v>38</v>
      </c>
      <c r="E2249" s="3">
        <v>-1398.076</v>
      </c>
      <c r="F2249" s="4" t="str">
        <f>HYPERLINK("http://141.218.60.56/~jnz1568/getInfo.php?workbook=10_05.xlsx&amp;sheet=A0&amp;row=2249&amp;col=6&amp;number=4690&amp;sourceID=14","4690")</f>
        <v>4690</v>
      </c>
      <c r="G2249" s="4" t="str">
        <f>HYPERLINK("http://141.218.60.56/~jnz1568/getInfo.php?workbook=10_05.xlsx&amp;sheet=A0&amp;row=2249&amp;col=7&amp;number=0&amp;sourceID=14","0")</f>
        <v>0</v>
      </c>
    </row>
    <row r="2250" spans="1:7">
      <c r="A2250" s="3">
        <v>10</v>
      </c>
      <c r="B2250" s="3">
        <v>5</v>
      </c>
      <c r="C2250" s="3">
        <v>60</v>
      </c>
      <c r="D2250" s="3">
        <v>38</v>
      </c>
      <c r="E2250" s="3">
        <v>-1395.306</v>
      </c>
      <c r="F2250" s="4" t="str">
        <f>HYPERLINK("http://141.218.60.56/~jnz1568/getInfo.php?workbook=10_05.xlsx&amp;sheet=A0&amp;row=2250&amp;col=6&amp;number=301&amp;sourceID=14","301")</f>
        <v>301</v>
      </c>
      <c r="G2250" s="4" t="str">
        <f>HYPERLINK("http://141.218.60.56/~jnz1568/getInfo.php?workbook=10_05.xlsx&amp;sheet=A0&amp;row=2250&amp;col=7&amp;number=0&amp;sourceID=14","0")</f>
        <v>0</v>
      </c>
    </row>
    <row r="2251" spans="1:7">
      <c r="A2251" s="3">
        <v>10</v>
      </c>
      <c r="B2251" s="3">
        <v>5</v>
      </c>
      <c r="C2251" s="3">
        <v>61</v>
      </c>
      <c r="D2251" s="3">
        <v>38</v>
      </c>
      <c r="E2251" s="3">
        <v>-1366.627</v>
      </c>
      <c r="F2251" s="4" t="str">
        <f>HYPERLINK("http://141.218.60.56/~jnz1568/getInfo.php?workbook=10_05.xlsx&amp;sheet=A0&amp;row=2251&amp;col=6&amp;number=123&amp;sourceID=14","123")</f>
        <v>123</v>
      </c>
      <c r="G2251" s="4" t="str">
        <f>HYPERLINK("http://141.218.60.56/~jnz1568/getInfo.php?workbook=10_05.xlsx&amp;sheet=A0&amp;row=2251&amp;col=7&amp;number=0&amp;sourceID=14","0")</f>
        <v>0</v>
      </c>
    </row>
    <row r="2252" spans="1:7">
      <c r="A2252" s="3">
        <v>10</v>
      </c>
      <c r="B2252" s="3">
        <v>5</v>
      </c>
      <c r="C2252" s="3">
        <v>62</v>
      </c>
      <c r="D2252" s="3">
        <v>38</v>
      </c>
      <c r="E2252" s="3">
        <v>-1360.917</v>
      </c>
      <c r="F2252" s="4" t="str">
        <f>HYPERLINK("http://141.218.60.56/~jnz1568/getInfo.php?workbook=10_05.xlsx&amp;sheet=A0&amp;row=2252&amp;col=6&amp;number=165&amp;sourceID=14","165")</f>
        <v>165</v>
      </c>
      <c r="G2252" s="4" t="str">
        <f>HYPERLINK("http://141.218.60.56/~jnz1568/getInfo.php?workbook=10_05.xlsx&amp;sheet=A0&amp;row=2252&amp;col=7&amp;number=0&amp;sourceID=14","0")</f>
        <v>0</v>
      </c>
    </row>
    <row r="2253" spans="1:7">
      <c r="A2253" s="3">
        <v>10</v>
      </c>
      <c r="B2253" s="3">
        <v>5</v>
      </c>
      <c r="C2253" s="3">
        <v>63</v>
      </c>
      <c r="D2253" s="3">
        <v>38</v>
      </c>
      <c r="E2253" s="3">
        <v>-1257.453</v>
      </c>
      <c r="F2253" s="4" t="str">
        <f>HYPERLINK("http://141.218.60.56/~jnz1568/getInfo.php?workbook=10_05.xlsx&amp;sheet=A0&amp;row=2253&amp;col=6&amp;number=19.5&amp;sourceID=14","19.5")</f>
        <v>19.5</v>
      </c>
      <c r="G2253" s="4" t="str">
        <f>HYPERLINK("http://141.218.60.56/~jnz1568/getInfo.php?workbook=10_05.xlsx&amp;sheet=A0&amp;row=2253&amp;col=7&amp;number=0&amp;sourceID=14","0")</f>
        <v>0</v>
      </c>
    </row>
    <row r="2254" spans="1:7">
      <c r="A2254" s="3">
        <v>10</v>
      </c>
      <c r="B2254" s="3">
        <v>5</v>
      </c>
      <c r="C2254" s="3">
        <v>66</v>
      </c>
      <c r="D2254" s="3">
        <v>38</v>
      </c>
      <c r="E2254" s="3">
        <v>-956.409</v>
      </c>
      <c r="F2254" s="4" t="str">
        <f>HYPERLINK("http://141.218.60.56/~jnz1568/getInfo.php?workbook=10_05.xlsx&amp;sheet=A0&amp;row=2254&amp;col=6&amp;number=25.1&amp;sourceID=14","25.1")</f>
        <v>25.1</v>
      </c>
      <c r="G2254" s="4" t="str">
        <f>HYPERLINK("http://141.218.60.56/~jnz1568/getInfo.php?workbook=10_05.xlsx&amp;sheet=A0&amp;row=2254&amp;col=7&amp;number=0&amp;sourceID=14","0")</f>
        <v>0</v>
      </c>
    </row>
    <row r="2255" spans="1:7">
      <c r="A2255" s="3">
        <v>10</v>
      </c>
      <c r="B2255" s="3">
        <v>5</v>
      </c>
      <c r="C2255" s="3">
        <v>67</v>
      </c>
      <c r="D2255" s="3">
        <v>38</v>
      </c>
      <c r="E2255" s="3">
        <v>-956.116</v>
      </c>
      <c r="F2255" s="4" t="str">
        <f>HYPERLINK("http://141.218.60.56/~jnz1568/getInfo.php?workbook=10_05.xlsx&amp;sheet=A0&amp;row=2255&amp;col=6&amp;number=1.87&amp;sourceID=14","1.87")</f>
        <v>1.87</v>
      </c>
      <c r="G2255" s="4" t="str">
        <f>HYPERLINK("http://141.218.60.56/~jnz1568/getInfo.php?workbook=10_05.xlsx&amp;sheet=A0&amp;row=2255&amp;col=7&amp;number=0&amp;sourceID=14","0")</f>
        <v>0</v>
      </c>
    </row>
    <row r="2256" spans="1:7">
      <c r="A2256" s="3">
        <v>10</v>
      </c>
      <c r="B2256" s="3">
        <v>5</v>
      </c>
      <c r="C2256" s="3">
        <v>70</v>
      </c>
      <c r="D2256" s="3">
        <v>38</v>
      </c>
      <c r="E2256" s="3">
        <v>-925.713</v>
      </c>
      <c r="F2256" s="4" t="str">
        <f>HYPERLINK("http://141.218.60.56/~jnz1568/getInfo.php?workbook=10_05.xlsx&amp;sheet=A0&amp;row=2256&amp;col=6&amp;number=12000&amp;sourceID=14","12000")</f>
        <v>12000</v>
      </c>
      <c r="G2256" s="4" t="str">
        <f>HYPERLINK("http://141.218.60.56/~jnz1568/getInfo.php?workbook=10_05.xlsx&amp;sheet=A0&amp;row=2256&amp;col=7&amp;number=0&amp;sourceID=14","0")</f>
        <v>0</v>
      </c>
    </row>
    <row r="2257" spans="1:7">
      <c r="A2257" s="3">
        <v>10</v>
      </c>
      <c r="B2257" s="3">
        <v>5</v>
      </c>
      <c r="C2257" s="3">
        <v>71</v>
      </c>
      <c r="D2257" s="3">
        <v>38</v>
      </c>
      <c r="E2257" s="3">
        <v>-921.873</v>
      </c>
      <c r="F2257" s="4" t="str">
        <f>HYPERLINK("http://141.218.60.56/~jnz1568/getInfo.php?workbook=10_05.xlsx&amp;sheet=A0&amp;row=2257&amp;col=6&amp;number=7530&amp;sourceID=14","7530")</f>
        <v>7530</v>
      </c>
      <c r="G2257" s="4" t="str">
        <f>HYPERLINK("http://141.218.60.56/~jnz1568/getInfo.php?workbook=10_05.xlsx&amp;sheet=A0&amp;row=2257&amp;col=7&amp;number=0&amp;sourceID=14","0")</f>
        <v>0</v>
      </c>
    </row>
    <row r="2258" spans="1:7">
      <c r="A2258" s="3">
        <v>10</v>
      </c>
      <c r="B2258" s="3">
        <v>5</v>
      </c>
      <c r="C2258" s="3">
        <v>72</v>
      </c>
      <c r="D2258" s="3">
        <v>38</v>
      </c>
      <c r="E2258" s="3">
        <v>-915.669</v>
      </c>
      <c r="F2258" s="4" t="str">
        <f>HYPERLINK("http://141.218.60.56/~jnz1568/getInfo.php?workbook=10_05.xlsx&amp;sheet=A0&amp;row=2258&amp;col=6&amp;number=461&amp;sourceID=14","461")</f>
        <v>461</v>
      </c>
      <c r="G2258" s="4" t="str">
        <f>HYPERLINK("http://141.218.60.56/~jnz1568/getInfo.php?workbook=10_05.xlsx&amp;sheet=A0&amp;row=2258&amp;col=7&amp;number=0&amp;sourceID=14","0")</f>
        <v>0</v>
      </c>
    </row>
    <row r="2259" spans="1:7">
      <c r="A2259" s="3">
        <v>10</v>
      </c>
      <c r="B2259" s="3">
        <v>5</v>
      </c>
      <c r="C2259" s="3">
        <v>77</v>
      </c>
      <c r="D2259" s="3">
        <v>38</v>
      </c>
      <c r="E2259" s="3">
        <v>-751.395</v>
      </c>
      <c r="F2259" s="4" t="str">
        <f>HYPERLINK("http://141.218.60.56/~jnz1568/getInfo.php?workbook=10_05.xlsx&amp;sheet=A0&amp;row=2259&amp;col=6&amp;number=30900&amp;sourceID=14","30900")</f>
        <v>30900</v>
      </c>
      <c r="G2259" s="4" t="str">
        <f>HYPERLINK("http://141.218.60.56/~jnz1568/getInfo.php?workbook=10_05.xlsx&amp;sheet=A0&amp;row=2259&amp;col=7&amp;number=0&amp;sourceID=14","0")</f>
        <v>0</v>
      </c>
    </row>
    <row r="2260" spans="1:7">
      <c r="A2260" s="3">
        <v>10</v>
      </c>
      <c r="B2260" s="3">
        <v>5</v>
      </c>
      <c r="C2260" s="3">
        <v>78</v>
      </c>
      <c r="D2260" s="3">
        <v>38</v>
      </c>
      <c r="E2260" s="3">
        <v>-746.733</v>
      </c>
      <c r="F2260" s="4" t="str">
        <f>HYPERLINK("http://141.218.60.56/~jnz1568/getInfo.php?workbook=10_05.xlsx&amp;sheet=A0&amp;row=2260&amp;col=6&amp;number=2400&amp;sourceID=14","2400")</f>
        <v>2400</v>
      </c>
      <c r="G2260" s="4" t="str">
        <f>HYPERLINK("http://141.218.60.56/~jnz1568/getInfo.php?workbook=10_05.xlsx&amp;sheet=A0&amp;row=2260&amp;col=7&amp;number=0&amp;sourceID=14","0")</f>
        <v>0</v>
      </c>
    </row>
    <row r="2261" spans="1:7">
      <c r="A2261" s="3">
        <v>10</v>
      </c>
      <c r="B2261" s="3">
        <v>5</v>
      </c>
      <c r="C2261" s="3">
        <v>80</v>
      </c>
      <c r="D2261" s="3">
        <v>38</v>
      </c>
      <c r="E2261" s="3">
        <v>-705.588</v>
      </c>
      <c r="F2261" s="4" t="str">
        <f>HYPERLINK("http://141.218.60.56/~jnz1568/getInfo.php?workbook=10_05.xlsx&amp;sheet=A0&amp;row=2261&amp;col=6&amp;number=22700&amp;sourceID=14","22700")</f>
        <v>22700</v>
      </c>
      <c r="G2261" s="4" t="str">
        <f>HYPERLINK("http://141.218.60.56/~jnz1568/getInfo.php?workbook=10_05.xlsx&amp;sheet=A0&amp;row=2261&amp;col=7&amp;number=0&amp;sourceID=14","0")</f>
        <v>0</v>
      </c>
    </row>
    <row r="2262" spans="1:7">
      <c r="A2262" s="3">
        <v>10</v>
      </c>
      <c r="B2262" s="3">
        <v>5</v>
      </c>
      <c r="C2262" s="3">
        <v>81</v>
      </c>
      <c r="D2262" s="3">
        <v>38</v>
      </c>
      <c r="E2262" s="3">
        <v>-705.374</v>
      </c>
      <c r="F2262" s="4" t="str">
        <f>HYPERLINK("http://141.218.60.56/~jnz1568/getInfo.php?workbook=10_05.xlsx&amp;sheet=A0&amp;row=2262&amp;col=6&amp;number=1850&amp;sourceID=14","1850")</f>
        <v>1850</v>
      </c>
      <c r="G2262" s="4" t="str">
        <f>HYPERLINK("http://141.218.60.56/~jnz1568/getInfo.php?workbook=10_05.xlsx&amp;sheet=A0&amp;row=2262&amp;col=7&amp;number=0&amp;sourceID=14","0")</f>
        <v>0</v>
      </c>
    </row>
    <row r="2263" spans="1:7">
      <c r="A2263" s="3">
        <v>10</v>
      </c>
      <c r="B2263" s="3">
        <v>5</v>
      </c>
      <c r="C2263" s="3">
        <v>99</v>
      </c>
      <c r="D2263" s="3">
        <v>38</v>
      </c>
      <c r="E2263" s="3">
        <v>-540.282</v>
      </c>
      <c r="F2263" s="4" t="str">
        <f>HYPERLINK("http://141.218.60.56/~jnz1568/getInfo.php?workbook=10_05.xlsx&amp;sheet=A0&amp;row=2263&amp;col=6&amp;number=2020000000&amp;sourceID=14","2020000000")</f>
        <v>2020000000</v>
      </c>
      <c r="G2263" s="4" t="str">
        <f>HYPERLINK("http://141.218.60.56/~jnz1568/getInfo.php?workbook=10_05.xlsx&amp;sheet=A0&amp;row=2263&amp;col=7&amp;number=0&amp;sourceID=14","0")</f>
        <v>0</v>
      </c>
    </row>
    <row r="2264" spans="1:7">
      <c r="A2264" s="3">
        <v>10</v>
      </c>
      <c r="B2264" s="3">
        <v>5</v>
      </c>
      <c r="C2264" s="3">
        <v>100</v>
      </c>
      <c r="D2264" s="3">
        <v>38</v>
      </c>
      <c r="E2264" s="3">
        <v>-539.515</v>
      </c>
      <c r="F2264" s="4" t="str">
        <f>HYPERLINK("http://141.218.60.56/~jnz1568/getInfo.php?workbook=10_05.xlsx&amp;sheet=A0&amp;row=2264&amp;col=6&amp;number=363000000&amp;sourceID=14","363000000")</f>
        <v>363000000</v>
      </c>
      <c r="G2264" s="4" t="str">
        <f>HYPERLINK("http://141.218.60.56/~jnz1568/getInfo.php?workbook=10_05.xlsx&amp;sheet=A0&amp;row=2264&amp;col=7&amp;number=0&amp;sourceID=14","0")</f>
        <v>0</v>
      </c>
    </row>
    <row r="2265" spans="1:7">
      <c r="A2265" s="3">
        <v>10</v>
      </c>
      <c r="B2265" s="3">
        <v>5</v>
      </c>
      <c r="C2265" s="3">
        <v>105</v>
      </c>
      <c r="D2265" s="3">
        <v>38</v>
      </c>
      <c r="E2265" s="3">
        <v>-523.375</v>
      </c>
      <c r="F2265" s="4" t="str">
        <f>HYPERLINK("http://141.218.60.56/~jnz1568/getInfo.php?workbook=10_05.xlsx&amp;sheet=A0&amp;row=2265&amp;col=6&amp;number=3810000000&amp;sourceID=14","3810000000")</f>
        <v>3810000000</v>
      </c>
      <c r="G2265" s="4" t="str">
        <f>HYPERLINK("http://141.218.60.56/~jnz1568/getInfo.php?workbook=10_05.xlsx&amp;sheet=A0&amp;row=2265&amp;col=7&amp;number=0&amp;sourceID=14","0")</f>
        <v>0</v>
      </c>
    </row>
    <row r="2266" spans="1:7">
      <c r="A2266" s="3">
        <v>10</v>
      </c>
      <c r="B2266" s="3">
        <v>5</v>
      </c>
      <c r="C2266" s="3">
        <v>106</v>
      </c>
      <c r="D2266" s="3">
        <v>38</v>
      </c>
      <c r="E2266" s="3">
        <v>-523.033</v>
      </c>
      <c r="F2266" s="4" t="str">
        <f>HYPERLINK("http://141.218.60.56/~jnz1568/getInfo.php?workbook=10_05.xlsx&amp;sheet=A0&amp;row=2266&amp;col=6&amp;number=805000000&amp;sourceID=14","805000000")</f>
        <v>805000000</v>
      </c>
      <c r="G2266" s="4" t="str">
        <f>HYPERLINK("http://141.218.60.56/~jnz1568/getInfo.php?workbook=10_05.xlsx&amp;sheet=A0&amp;row=2266&amp;col=7&amp;number=0&amp;sourceID=14","0")</f>
        <v>0</v>
      </c>
    </row>
    <row r="2267" spans="1:7">
      <c r="A2267" s="3">
        <v>10</v>
      </c>
      <c r="B2267" s="3">
        <v>5</v>
      </c>
      <c r="C2267" s="3">
        <v>107</v>
      </c>
      <c r="D2267" s="3">
        <v>38</v>
      </c>
      <c r="E2267" s="3">
        <v>-522.273</v>
      </c>
      <c r="F2267" s="4" t="str">
        <f>HYPERLINK("http://141.218.60.56/~jnz1568/getInfo.php?workbook=10_05.xlsx&amp;sheet=A0&amp;row=2267&amp;col=6&amp;number=47700000&amp;sourceID=14","47700000")</f>
        <v>47700000</v>
      </c>
      <c r="G2267" s="4" t="str">
        <f>HYPERLINK("http://141.218.60.56/~jnz1568/getInfo.php?workbook=10_05.xlsx&amp;sheet=A0&amp;row=2267&amp;col=7&amp;number=0&amp;sourceID=14","0")</f>
        <v>0</v>
      </c>
    </row>
    <row r="2268" spans="1:7">
      <c r="A2268" s="3">
        <v>10</v>
      </c>
      <c r="B2268" s="3">
        <v>5</v>
      </c>
      <c r="C2268" s="3">
        <v>109</v>
      </c>
      <c r="D2268" s="3">
        <v>38</v>
      </c>
      <c r="E2268" s="3">
        <v>-520.36</v>
      </c>
      <c r="F2268" s="4" t="str">
        <f>HYPERLINK("http://141.218.60.56/~jnz1568/getInfo.php?workbook=10_05.xlsx&amp;sheet=A0&amp;row=2268&amp;col=6&amp;number=60900000&amp;sourceID=14","60900000")</f>
        <v>60900000</v>
      </c>
      <c r="G2268" s="4" t="str">
        <f>HYPERLINK("http://141.218.60.56/~jnz1568/getInfo.php?workbook=10_05.xlsx&amp;sheet=A0&amp;row=2268&amp;col=7&amp;number=0&amp;sourceID=14","0")</f>
        <v>0</v>
      </c>
    </row>
    <row r="2269" spans="1:7">
      <c r="A2269" s="3">
        <v>10</v>
      </c>
      <c r="B2269" s="3">
        <v>5</v>
      </c>
      <c r="C2269" s="3">
        <v>111</v>
      </c>
      <c r="D2269" s="3">
        <v>38</v>
      </c>
      <c r="E2269" s="3">
        <v>-518.746</v>
      </c>
      <c r="F2269" s="4" t="str">
        <f>HYPERLINK("http://141.218.60.56/~jnz1568/getInfo.php?workbook=10_05.xlsx&amp;sheet=A0&amp;row=2269&amp;col=6&amp;number=165000000&amp;sourceID=14","165000000")</f>
        <v>165000000</v>
      </c>
      <c r="G2269" s="4" t="str">
        <f>HYPERLINK("http://141.218.60.56/~jnz1568/getInfo.php?workbook=10_05.xlsx&amp;sheet=A0&amp;row=2269&amp;col=7&amp;number=0&amp;sourceID=14","0")</f>
        <v>0</v>
      </c>
    </row>
    <row r="2270" spans="1:7">
      <c r="A2270" s="3">
        <v>10</v>
      </c>
      <c r="B2270" s="3">
        <v>5</v>
      </c>
      <c r="C2270" s="3">
        <v>115</v>
      </c>
      <c r="D2270" s="3">
        <v>38</v>
      </c>
      <c r="E2270" s="3">
        <v>-500.865</v>
      </c>
      <c r="F2270" s="4" t="str">
        <f>HYPERLINK("http://141.218.60.56/~jnz1568/getInfo.php?workbook=10_05.xlsx&amp;sheet=A0&amp;row=2270&amp;col=6&amp;number=355000&amp;sourceID=14","355000")</f>
        <v>355000</v>
      </c>
      <c r="G2270" s="4" t="str">
        <f>HYPERLINK("http://141.218.60.56/~jnz1568/getInfo.php?workbook=10_05.xlsx&amp;sheet=A0&amp;row=2270&amp;col=7&amp;number=0&amp;sourceID=14","0")</f>
        <v>0</v>
      </c>
    </row>
    <row r="2271" spans="1:7">
      <c r="A2271" s="3">
        <v>10</v>
      </c>
      <c r="B2271" s="3">
        <v>5</v>
      </c>
      <c r="C2271" s="3">
        <v>117</v>
      </c>
      <c r="D2271" s="3">
        <v>38</v>
      </c>
      <c r="E2271" s="3">
        <v>-498.086</v>
      </c>
      <c r="F2271" s="4" t="str">
        <f>HYPERLINK("http://141.218.60.56/~jnz1568/getInfo.php?workbook=10_05.xlsx&amp;sheet=A0&amp;row=2271&amp;col=6&amp;number=1230&amp;sourceID=14","1230")</f>
        <v>1230</v>
      </c>
      <c r="G2271" s="4" t="str">
        <f>HYPERLINK("http://141.218.60.56/~jnz1568/getInfo.php?workbook=10_05.xlsx&amp;sheet=A0&amp;row=2271&amp;col=7&amp;number=0&amp;sourceID=14","0")</f>
        <v>0</v>
      </c>
    </row>
    <row r="2272" spans="1:7">
      <c r="A2272" s="3">
        <v>10</v>
      </c>
      <c r="B2272" s="3">
        <v>5</v>
      </c>
      <c r="C2272" s="3">
        <v>118</v>
      </c>
      <c r="D2272" s="3">
        <v>38</v>
      </c>
      <c r="E2272" s="3">
        <v>-497.885</v>
      </c>
      <c r="F2272" s="4" t="str">
        <f>HYPERLINK("http://141.218.60.56/~jnz1568/getInfo.php?workbook=10_05.xlsx&amp;sheet=A0&amp;row=2272&amp;col=6&amp;number=13700&amp;sourceID=14","13700")</f>
        <v>13700</v>
      </c>
      <c r="G2272" s="4" t="str">
        <f>HYPERLINK("http://141.218.60.56/~jnz1568/getInfo.php?workbook=10_05.xlsx&amp;sheet=A0&amp;row=2272&amp;col=7&amp;number=0&amp;sourceID=14","0")</f>
        <v>0</v>
      </c>
    </row>
    <row r="2273" spans="1:7">
      <c r="A2273" s="3">
        <v>10</v>
      </c>
      <c r="B2273" s="3">
        <v>5</v>
      </c>
      <c r="C2273" s="3">
        <v>119</v>
      </c>
      <c r="D2273" s="3">
        <v>38</v>
      </c>
      <c r="E2273" s="3">
        <v>-497.761</v>
      </c>
      <c r="F2273" s="4" t="str">
        <f>HYPERLINK("http://141.218.60.56/~jnz1568/getInfo.php?workbook=10_05.xlsx&amp;sheet=A0&amp;row=2273&amp;col=6&amp;number=15300&amp;sourceID=14","15300")</f>
        <v>15300</v>
      </c>
      <c r="G2273" s="4" t="str">
        <f>HYPERLINK("http://141.218.60.56/~jnz1568/getInfo.php?workbook=10_05.xlsx&amp;sheet=A0&amp;row=2273&amp;col=7&amp;number=0&amp;sourceID=14","0")</f>
        <v>0</v>
      </c>
    </row>
    <row r="2274" spans="1:7">
      <c r="A2274" s="3">
        <v>10</v>
      </c>
      <c r="B2274" s="3">
        <v>5</v>
      </c>
      <c r="C2274" s="3">
        <v>120</v>
      </c>
      <c r="D2274" s="3">
        <v>38</v>
      </c>
      <c r="E2274" s="3">
        <v>-490.05</v>
      </c>
      <c r="F2274" s="4" t="str">
        <f>HYPERLINK("http://141.218.60.56/~jnz1568/getInfo.php?workbook=10_05.xlsx&amp;sheet=A0&amp;row=2274&amp;col=6&amp;number=287000&amp;sourceID=14","287000")</f>
        <v>287000</v>
      </c>
      <c r="G2274" s="4" t="str">
        <f>HYPERLINK("http://141.218.60.56/~jnz1568/getInfo.php?workbook=10_05.xlsx&amp;sheet=A0&amp;row=2274&amp;col=7&amp;number=0&amp;sourceID=14","0")</f>
        <v>0</v>
      </c>
    </row>
    <row r="2275" spans="1:7">
      <c r="A2275" s="3">
        <v>10</v>
      </c>
      <c r="B2275" s="3">
        <v>5</v>
      </c>
      <c r="C2275" s="3">
        <v>121</v>
      </c>
      <c r="D2275" s="3">
        <v>38</v>
      </c>
      <c r="E2275" s="3">
        <v>-489.513</v>
      </c>
      <c r="F2275" s="4" t="str">
        <f>HYPERLINK("http://141.218.60.56/~jnz1568/getInfo.php?workbook=10_05.xlsx&amp;sheet=A0&amp;row=2275&amp;col=6&amp;number=354000&amp;sourceID=14","354000")</f>
        <v>354000</v>
      </c>
      <c r="G2275" s="4" t="str">
        <f>HYPERLINK("http://141.218.60.56/~jnz1568/getInfo.php?workbook=10_05.xlsx&amp;sheet=A0&amp;row=2275&amp;col=7&amp;number=0&amp;sourceID=14","0")</f>
        <v>0</v>
      </c>
    </row>
    <row r="2276" spans="1:7">
      <c r="A2276" s="3">
        <v>10</v>
      </c>
      <c r="B2276" s="3">
        <v>5</v>
      </c>
      <c r="C2276" s="3">
        <v>122</v>
      </c>
      <c r="D2276" s="3">
        <v>38</v>
      </c>
      <c r="E2276" s="3">
        <v>-488.628</v>
      </c>
      <c r="F2276" s="4" t="str">
        <f>HYPERLINK("http://141.218.60.56/~jnz1568/getInfo.php?workbook=10_05.xlsx&amp;sheet=A0&amp;row=2276&amp;col=6&amp;number=55200&amp;sourceID=14","55200")</f>
        <v>55200</v>
      </c>
      <c r="G2276" s="4" t="str">
        <f>HYPERLINK("http://141.218.60.56/~jnz1568/getInfo.php?workbook=10_05.xlsx&amp;sheet=A0&amp;row=2276&amp;col=7&amp;number=0&amp;sourceID=14","0")</f>
        <v>0</v>
      </c>
    </row>
    <row r="2277" spans="1:7">
      <c r="A2277" s="3">
        <v>10</v>
      </c>
      <c r="B2277" s="3">
        <v>5</v>
      </c>
      <c r="C2277" s="3">
        <v>123</v>
      </c>
      <c r="D2277" s="3">
        <v>38</v>
      </c>
      <c r="E2277" s="3">
        <v>-487.927</v>
      </c>
      <c r="F2277" s="4" t="str">
        <f>HYPERLINK("http://141.218.60.56/~jnz1568/getInfo.php?workbook=10_05.xlsx&amp;sheet=A0&amp;row=2277&amp;col=6&amp;number=1140&amp;sourceID=14","1140")</f>
        <v>1140</v>
      </c>
      <c r="G2277" s="4" t="str">
        <f>HYPERLINK("http://141.218.60.56/~jnz1568/getInfo.php?workbook=10_05.xlsx&amp;sheet=A0&amp;row=2277&amp;col=7&amp;number=0&amp;sourceID=14","0")</f>
        <v>0</v>
      </c>
    </row>
    <row r="2278" spans="1:7">
      <c r="A2278" s="3">
        <v>10</v>
      </c>
      <c r="B2278" s="3">
        <v>5</v>
      </c>
      <c r="C2278" s="3">
        <v>125</v>
      </c>
      <c r="D2278" s="3">
        <v>38</v>
      </c>
      <c r="E2278" s="3">
        <v>-485.242</v>
      </c>
      <c r="F2278" s="4" t="str">
        <f>HYPERLINK("http://141.218.60.56/~jnz1568/getInfo.php?workbook=10_05.xlsx&amp;sheet=A0&amp;row=2278&amp;col=6&amp;number=145000&amp;sourceID=14","145000")</f>
        <v>145000</v>
      </c>
      <c r="G2278" s="4" t="str">
        <f>HYPERLINK("http://141.218.60.56/~jnz1568/getInfo.php?workbook=10_05.xlsx&amp;sheet=A0&amp;row=2278&amp;col=7&amp;number=0&amp;sourceID=14","0")</f>
        <v>0</v>
      </c>
    </row>
    <row r="2279" spans="1:7">
      <c r="A2279" s="3">
        <v>10</v>
      </c>
      <c r="B2279" s="3">
        <v>5</v>
      </c>
      <c r="C2279" s="3">
        <v>126</v>
      </c>
      <c r="D2279" s="3">
        <v>38</v>
      </c>
      <c r="E2279" s="3">
        <v>-484.596</v>
      </c>
      <c r="F2279" s="4" t="str">
        <f>HYPERLINK("http://141.218.60.56/~jnz1568/getInfo.php?workbook=10_05.xlsx&amp;sheet=A0&amp;row=2279&amp;col=6&amp;number=17900&amp;sourceID=14","17900")</f>
        <v>17900</v>
      </c>
      <c r="G2279" s="4" t="str">
        <f>HYPERLINK("http://141.218.60.56/~jnz1568/getInfo.php?workbook=10_05.xlsx&amp;sheet=A0&amp;row=2279&amp;col=7&amp;number=0&amp;sourceID=14","0")</f>
        <v>0</v>
      </c>
    </row>
    <row r="2280" spans="1:7">
      <c r="A2280" s="3">
        <v>10</v>
      </c>
      <c r="B2280" s="3">
        <v>5</v>
      </c>
      <c r="C2280" s="3">
        <v>129</v>
      </c>
      <c r="D2280" s="3">
        <v>38</v>
      </c>
      <c r="E2280" s="3">
        <v>-478.91</v>
      </c>
      <c r="F2280" s="4" t="str">
        <f>HYPERLINK("http://141.218.60.56/~jnz1568/getInfo.php?workbook=10_05.xlsx&amp;sheet=A0&amp;row=2280&amp;col=6&amp;number=622&amp;sourceID=14","622")</f>
        <v>622</v>
      </c>
      <c r="G2280" s="4" t="str">
        <f>HYPERLINK("http://141.218.60.56/~jnz1568/getInfo.php?workbook=10_05.xlsx&amp;sheet=A0&amp;row=2280&amp;col=7&amp;number=0&amp;sourceID=14","0")</f>
        <v>0</v>
      </c>
    </row>
    <row r="2281" spans="1:7">
      <c r="A2281" s="3">
        <v>10</v>
      </c>
      <c r="B2281" s="3">
        <v>5</v>
      </c>
      <c r="C2281" s="3">
        <v>130</v>
      </c>
      <c r="D2281" s="3">
        <v>38</v>
      </c>
      <c r="E2281" s="3">
        <v>-477.528</v>
      </c>
      <c r="F2281" s="4" t="str">
        <f>HYPERLINK("http://141.218.60.56/~jnz1568/getInfo.php?workbook=10_05.xlsx&amp;sheet=A0&amp;row=2281&amp;col=6&amp;number=51.8&amp;sourceID=14","51.8")</f>
        <v>51.8</v>
      </c>
      <c r="G2281" s="4" t="str">
        <f>HYPERLINK("http://141.218.60.56/~jnz1568/getInfo.php?workbook=10_05.xlsx&amp;sheet=A0&amp;row=2281&amp;col=7&amp;number=0&amp;sourceID=14","0")</f>
        <v>0</v>
      </c>
    </row>
    <row r="2282" spans="1:7">
      <c r="A2282" s="3">
        <v>10</v>
      </c>
      <c r="B2282" s="3">
        <v>5</v>
      </c>
      <c r="C2282" s="3">
        <v>131</v>
      </c>
      <c r="D2282" s="3">
        <v>38</v>
      </c>
      <c r="E2282" s="3">
        <v>-476.838</v>
      </c>
      <c r="F2282" s="4" t="str">
        <f>HYPERLINK("http://141.218.60.56/~jnz1568/getInfo.php?workbook=10_05.xlsx&amp;sheet=A0&amp;row=2282&amp;col=6&amp;number=5450&amp;sourceID=14","5450")</f>
        <v>5450</v>
      </c>
      <c r="G2282" s="4" t="str">
        <f>HYPERLINK("http://141.218.60.56/~jnz1568/getInfo.php?workbook=10_05.xlsx&amp;sheet=A0&amp;row=2282&amp;col=7&amp;number=0&amp;sourceID=14","0")</f>
        <v>0</v>
      </c>
    </row>
    <row r="2283" spans="1:7">
      <c r="A2283" s="3">
        <v>10</v>
      </c>
      <c r="B2283" s="3">
        <v>5</v>
      </c>
      <c r="C2283" s="3">
        <v>132</v>
      </c>
      <c r="D2283" s="3">
        <v>38</v>
      </c>
      <c r="E2283" s="3">
        <v>-476.504</v>
      </c>
      <c r="F2283" s="4" t="str">
        <f>HYPERLINK("http://141.218.60.56/~jnz1568/getInfo.php?workbook=10_05.xlsx&amp;sheet=A0&amp;row=2283&amp;col=6&amp;number=2420&amp;sourceID=14","2420")</f>
        <v>2420</v>
      </c>
      <c r="G2283" s="4" t="str">
        <f>HYPERLINK("http://141.218.60.56/~jnz1568/getInfo.php?workbook=10_05.xlsx&amp;sheet=A0&amp;row=2283&amp;col=7&amp;number=0&amp;sourceID=14","0")</f>
        <v>0</v>
      </c>
    </row>
    <row r="2284" spans="1:7">
      <c r="A2284" s="3">
        <v>10</v>
      </c>
      <c r="B2284" s="3">
        <v>5</v>
      </c>
      <c r="C2284" s="3">
        <v>133</v>
      </c>
      <c r="D2284" s="3">
        <v>38</v>
      </c>
      <c r="E2284" s="3">
        <v>-476.033</v>
      </c>
      <c r="F2284" s="4" t="str">
        <f>HYPERLINK("http://141.218.60.56/~jnz1568/getInfo.php?workbook=10_05.xlsx&amp;sheet=A0&amp;row=2284&amp;col=6&amp;number=157&amp;sourceID=14","157")</f>
        <v>157</v>
      </c>
      <c r="G2284" s="4" t="str">
        <f>HYPERLINK("http://141.218.60.56/~jnz1568/getInfo.php?workbook=10_05.xlsx&amp;sheet=A0&amp;row=2284&amp;col=7&amp;number=0&amp;sourceID=14","0")</f>
        <v>0</v>
      </c>
    </row>
    <row r="2285" spans="1:7">
      <c r="A2285" s="3">
        <v>10</v>
      </c>
      <c r="B2285" s="3">
        <v>5</v>
      </c>
      <c r="C2285" s="3">
        <v>140</v>
      </c>
      <c r="D2285" s="3">
        <v>38</v>
      </c>
      <c r="E2285" s="3">
        <v>-465.316</v>
      </c>
      <c r="F2285" s="4" t="str">
        <f>HYPERLINK("http://141.218.60.56/~jnz1568/getInfo.php?workbook=10_05.xlsx&amp;sheet=A0&amp;row=2285&amp;col=6&amp;number=79.9&amp;sourceID=14","79.9")</f>
        <v>79.9</v>
      </c>
      <c r="G2285" s="4" t="str">
        <f>HYPERLINK("http://141.218.60.56/~jnz1568/getInfo.php?workbook=10_05.xlsx&amp;sheet=A0&amp;row=2285&amp;col=7&amp;number=0&amp;sourceID=14","0")</f>
        <v>0</v>
      </c>
    </row>
    <row r="2286" spans="1:7">
      <c r="A2286" s="3">
        <v>10</v>
      </c>
      <c r="B2286" s="3">
        <v>5</v>
      </c>
      <c r="C2286" s="3">
        <v>150</v>
      </c>
      <c r="D2286" s="3">
        <v>38</v>
      </c>
      <c r="E2286" s="3">
        <v>-450.766</v>
      </c>
      <c r="F2286" s="4" t="str">
        <f>HYPERLINK("http://141.218.60.56/~jnz1568/getInfo.php?workbook=10_05.xlsx&amp;sheet=A0&amp;row=2286&amp;col=6&amp;number=2510&amp;sourceID=14","2510")</f>
        <v>2510</v>
      </c>
      <c r="G2286" s="4" t="str">
        <f>HYPERLINK("http://141.218.60.56/~jnz1568/getInfo.php?workbook=10_05.xlsx&amp;sheet=A0&amp;row=2286&amp;col=7&amp;number=0&amp;sourceID=14","0")</f>
        <v>0</v>
      </c>
    </row>
    <row r="2287" spans="1:7">
      <c r="A2287" s="3">
        <v>10</v>
      </c>
      <c r="B2287" s="3">
        <v>5</v>
      </c>
      <c r="C2287" s="3">
        <v>151</v>
      </c>
      <c r="D2287" s="3">
        <v>38</v>
      </c>
      <c r="E2287" s="3">
        <v>-450.721</v>
      </c>
      <c r="F2287" s="4" t="str">
        <f>HYPERLINK("http://141.218.60.56/~jnz1568/getInfo.php?workbook=10_05.xlsx&amp;sheet=A0&amp;row=2287&amp;col=6&amp;number=85700&amp;sourceID=14","85700")</f>
        <v>85700</v>
      </c>
      <c r="G2287" s="4" t="str">
        <f>HYPERLINK("http://141.218.60.56/~jnz1568/getInfo.php?workbook=10_05.xlsx&amp;sheet=A0&amp;row=2287&amp;col=7&amp;number=0&amp;sourceID=14","0")</f>
        <v>0</v>
      </c>
    </row>
    <row r="2288" spans="1:7">
      <c r="A2288" s="3">
        <v>10</v>
      </c>
      <c r="B2288" s="3">
        <v>5</v>
      </c>
      <c r="C2288" s="3">
        <v>155</v>
      </c>
      <c r="D2288" s="3">
        <v>38</v>
      </c>
      <c r="E2288" s="3">
        <v>-443.657</v>
      </c>
      <c r="F2288" s="4" t="str">
        <f>HYPERLINK("http://141.218.60.56/~jnz1568/getInfo.php?workbook=10_05.xlsx&amp;sheet=A0&amp;row=2288&amp;col=6&amp;number=83500&amp;sourceID=14","83500")</f>
        <v>83500</v>
      </c>
      <c r="G2288" s="4" t="str">
        <f>HYPERLINK("http://141.218.60.56/~jnz1568/getInfo.php?workbook=10_05.xlsx&amp;sheet=A0&amp;row=2288&amp;col=7&amp;number=0&amp;sourceID=14","0")</f>
        <v>0</v>
      </c>
    </row>
    <row r="2289" spans="1:7">
      <c r="A2289" s="3">
        <v>10</v>
      </c>
      <c r="B2289" s="3">
        <v>5</v>
      </c>
      <c r="C2289" s="3">
        <v>156</v>
      </c>
      <c r="D2289" s="3">
        <v>38</v>
      </c>
      <c r="E2289" s="3">
        <v>-442.547</v>
      </c>
      <c r="F2289" s="4" t="str">
        <f>HYPERLINK("http://141.218.60.56/~jnz1568/getInfo.php?workbook=10_05.xlsx&amp;sheet=A0&amp;row=2289&amp;col=6&amp;number=2340&amp;sourceID=14","2340")</f>
        <v>2340</v>
      </c>
      <c r="G2289" s="4" t="str">
        <f>HYPERLINK("http://141.218.60.56/~jnz1568/getInfo.php?workbook=10_05.xlsx&amp;sheet=A0&amp;row=2289&amp;col=7&amp;number=0&amp;sourceID=14","0")</f>
        <v>0</v>
      </c>
    </row>
    <row r="2290" spans="1:7">
      <c r="A2290" s="3">
        <v>10</v>
      </c>
      <c r="B2290" s="3">
        <v>5</v>
      </c>
      <c r="C2290" s="3">
        <v>157</v>
      </c>
      <c r="D2290" s="3">
        <v>38</v>
      </c>
      <c r="E2290" s="3">
        <v>-442.197</v>
      </c>
      <c r="F2290" s="4" t="str">
        <f>HYPERLINK("http://141.218.60.56/~jnz1568/getInfo.php?workbook=10_05.xlsx&amp;sheet=A0&amp;row=2290&amp;col=6&amp;number=237&amp;sourceID=14","237")</f>
        <v>237</v>
      </c>
      <c r="G2290" s="4" t="str">
        <f>HYPERLINK("http://141.218.60.56/~jnz1568/getInfo.php?workbook=10_05.xlsx&amp;sheet=A0&amp;row=2290&amp;col=7&amp;number=0&amp;sourceID=14","0")</f>
        <v>0</v>
      </c>
    </row>
    <row r="2291" spans="1:7">
      <c r="A2291" s="3">
        <v>10</v>
      </c>
      <c r="B2291" s="3">
        <v>5</v>
      </c>
      <c r="C2291" s="3">
        <v>160</v>
      </c>
      <c r="D2291" s="3">
        <v>38</v>
      </c>
      <c r="E2291" s="3">
        <v>-439.735</v>
      </c>
      <c r="F2291" s="4" t="str">
        <f>HYPERLINK("http://141.218.60.56/~jnz1568/getInfo.php?workbook=10_05.xlsx&amp;sheet=A0&amp;row=2291&amp;col=6&amp;number=33.3&amp;sourceID=14","33.3")</f>
        <v>33.3</v>
      </c>
      <c r="G2291" s="4" t="str">
        <f>HYPERLINK("http://141.218.60.56/~jnz1568/getInfo.php?workbook=10_05.xlsx&amp;sheet=A0&amp;row=2291&amp;col=7&amp;number=0&amp;sourceID=14","0")</f>
        <v>0</v>
      </c>
    </row>
    <row r="2292" spans="1:7">
      <c r="A2292" s="3">
        <v>10</v>
      </c>
      <c r="B2292" s="3">
        <v>5</v>
      </c>
      <c r="C2292" s="3">
        <v>161</v>
      </c>
      <c r="D2292" s="3">
        <v>38</v>
      </c>
      <c r="E2292" s="3">
        <v>-439.123</v>
      </c>
      <c r="F2292" s="4" t="str">
        <f>HYPERLINK("http://141.218.60.56/~jnz1568/getInfo.php?workbook=10_05.xlsx&amp;sheet=A0&amp;row=2292&amp;col=6&amp;number=235000&amp;sourceID=14","235000")</f>
        <v>235000</v>
      </c>
      <c r="G2292" s="4" t="str">
        <f>HYPERLINK("http://141.218.60.56/~jnz1568/getInfo.php?workbook=10_05.xlsx&amp;sheet=A0&amp;row=2292&amp;col=7&amp;number=0&amp;sourceID=14","0")</f>
        <v>0</v>
      </c>
    </row>
    <row r="2293" spans="1:7">
      <c r="A2293" s="3">
        <v>10</v>
      </c>
      <c r="B2293" s="3">
        <v>5</v>
      </c>
      <c r="C2293" s="3">
        <v>162</v>
      </c>
      <c r="D2293" s="3">
        <v>38</v>
      </c>
      <c r="E2293" s="3">
        <v>-438.553</v>
      </c>
      <c r="F2293" s="4" t="str">
        <f>HYPERLINK("http://141.218.60.56/~jnz1568/getInfo.php?workbook=10_05.xlsx&amp;sheet=A0&amp;row=2293&amp;col=6&amp;number=23800&amp;sourceID=14","23800")</f>
        <v>23800</v>
      </c>
      <c r="G2293" s="4" t="str">
        <f>HYPERLINK("http://141.218.60.56/~jnz1568/getInfo.php?workbook=10_05.xlsx&amp;sheet=A0&amp;row=2293&amp;col=7&amp;number=0&amp;sourceID=14","0")</f>
        <v>0</v>
      </c>
    </row>
    <row r="2294" spans="1:7">
      <c r="A2294" s="3">
        <v>10</v>
      </c>
      <c r="B2294" s="3">
        <v>5</v>
      </c>
      <c r="C2294" s="3">
        <v>163</v>
      </c>
      <c r="D2294" s="3">
        <v>38</v>
      </c>
      <c r="E2294" s="3">
        <v>-413.949</v>
      </c>
      <c r="F2294" s="4" t="str">
        <f>HYPERLINK("http://141.218.60.56/~jnz1568/getInfo.php?workbook=10_05.xlsx&amp;sheet=A0&amp;row=2294&amp;col=6&amp;number=14&amp;sourceID=14","14")</f>
        <v>14</v>
      </c>
      <c r="G2294" s="4" t="str">
        <f>HYPERLINK("http://141.218.60.56/~jnz1568/getInfo.php?workbook=10_05.xlsx&amp;sheet=A0&amp;row=2294&amp;col=7&amp;number=0&amp;sourceID=14","0")</f>
        <v>0</v>
      </c>
    </row>
    <row r="2295" spans="1:7">
      <c r="A2295" s="3">
        <v>10</v>
      </c>
      <c r="B2295" s="3">
        <v>5</v>
      </c>
      <c r="C2295" s="3">
        <v>168</v>
      </c>
      <c r="D2295" s="3">
        <v>38</v>
      </c>
      <c r="E2295" s="3">
        <v>-324.418</v>
      </c>
      <c r="F2295" s="4" t="str">
        <f>HYPERLINK("http://141.218.60.56/~jnz1568/getInfo.php?workbook=10_05.xlsx&amp;sheet=A0&amp;row=2295&amp;col=6&amp;number=184&amp;sourceID=14","184")</f>
        <v>184</v>
      </c>
      <c r="G2295" s="4" t="str">
        <f>HYPERLINK("http://141.218.60.56/~jnz1568/getInfo.php?workbook=10_05.xlsx&amp;sheet=A0&amp;row=2295&amp;col=7&amp;number=0&amp;sourceID=14","0")</f>
        <v>0</v>
      </c>
    </row>
    <row r="2296" spans="1:7">
      <c r="A2296" s="3">
        <v>10</v>
      </c>
      <c r="B2296" s="3">
        <v>5</v>
      </c>
      <c r="C2296" s="3">
        <v>169</v>
      </c>
      <c r="D2296" s="3">
        <v>38</v>
      </c>
      <c r="E2296" s="3">
        <v>-324.367</v>
      </c>
      <c r="F2296" s="4" t="str">
        <f>HYPERLINK("http://141.218.60.56/~jnz1568/getInfo.php?workbook=10_05.xlsx&amp;sheet=A0&amp;row=2296&amp;col=6&amp;number=1640&amp;sourceID=14","1640")</f>
        <v>1640</v>
      </c>
      <c r="G2296" s="4" t="str">
        <f>HYPERLINK("http://141.218.60.56/~jnz1568/getInfo.php?workbook=10_05.xlsx&amp;sheet=A0&amp;row=2296&amp;col=7&amp;number=0&amp;sourceID=14","0")</f>
        <v>0</v>
      </c>
    </row>
    <row r="2297" spans="1:7">
      <c r="A2297" s="3">
        <v>10</v>
      </c>
      <c r="B2297" s="3">
        <v>5</v>
      </c>
      <c r="C2297" s="3">
        <v>170</v>
      </c>
      <c r="D2297" s="3">
        <v>38</v>
      </c>
      <c r="E2297" s="3">
        <v>-314.799</v>
      </c>
      <c r="F2297" s="4" t="str">
        <f>HYPERLINK("http://141.218.60.56/~jnz1568/getInfo.php?workbook=10_05.xlsx&amp;sheet=A0&amp;row=2297&amp;col=6&amp;number=1240&amp;sourceID=14","1240")</f>
        <v>1240</v>
      </c>
      <c r="G2297" s="4" t="str">
        <f>HYPERLINK("http://141.218.60.56/~jnz1568/getInfo.php?workbook=10_05.xlsx&amp;sheet=A0&amp;row=2297&amp;col=7&amp;number=0&amp;sourceID=14","0")</f>
        <v>0</v>
      </c>
    </row>
    <row r="2298" spans="1:7">
      <c r="A2298" s="3">
        <v>10</v>
      </c>
      <c r="B2298" s="3">
        <v>5</v>
      </c>
      <c r="C2298" s="3">
        <v>171</v>
      </c>
      <c r="D2298" s="3">
        <v>38</v>
      </c>
      <c r="E2298" s="3">
        <v>-314.704</v>
      </c>
      <c r="F2298" s="4" t="str">
        <f>HYPERLINK("http://141.218.60.56/~jnz1568/getInfo.php?workbook=10_05.xlsx&amp;sheet=A0&amp;row=2298&amp;col=6&amp;number=189&amp;sourceID=14","189")</f>
        <v>189</v>
      </c>
      <c r="G2298" s="4" t="str">
        <f>HYPERLINK("http://141.218.60.56/~jnz1568/getInfo.php?workbook=10_05.xlsx&amp;sheet=A0&amp;row=2298&amp;col=7&amp;number=0&amp;sourceID=14","0")</f>
        <v>0</v>
      </c>
    </row>
    <row r="2299" spans="1:7">
      <c r="A2299" s="3">
        <v>10</v>
      </c>
      <c r="B2299" s="3">
        <v>5</v>
      </c>
      <c r="C2299" s="3">
        <v>172</v>
      </c>
      <c r="D2299" s="3">
        <v>38</v>
      </c>
      <c r="E2299" s="3">
        <v>-312.785</v>
      </c>
      <c r="F2299" s="4" t="str">
        <f>HYPERLINK("http://141.218.60.56/~jnz1568/getInfo.php?workbook=10_05.xlsx&amp;sheet=A0&amp;row=2299&amp;col=6&amp;number=1240&amp;sourceID=14","1240")</f>
        <v>1240</v>
      </c>
      <c r="G2299" s="4" t="str">
        <f>HYPERLINK("http://141.218.60.56/~jnz1568/getInfo.php?workbook=10_05.xlsx&amp;sheet=A0&amp;row=2299&amp;col=7&amp;number=0&amp;sourceID=14","0")</f>
        <v>0</v>
      </c>
    </row>
    <row r="2300" spans="1:7">
      <c r="A2300" s="3">
        <v>10</v>
      </c>
      <c r="B2300" s="3">
        <v>5</v>
      </c>
      <c r="C2300" s="3">
        <v>173</v>
      </c>
      <c r="D2300" s="3">
        <v>38</v>
      </c>
      <c r="E2300" s="3">
        <v>-312.763</v>
      </c>
      <c r="F2300" s="4" t="str">
        <f>HYPERLINK("http://141.218.60.56/~jnz1568/getInfo.php?workbook=10_05.xlsx&amp;sheet=A0&amp;row=2300&amp;col=6&amp;number=116&amp;sourceID=14","116")</f>
        <v>116</v>
      </c>
      <c r="G2300" s="4" t="str">
        <f>HYPERLINK("http://141.218.60.56/~jnz1568/getInfo.php?workbook=10_05.xlsx&amp;sheet=A0&amp;row=2300&amp;col=7&amp;number=0&amp;sourceID=14","0")</f>
        <v>0</v>
      </c>
    </row>
    <row r="2301" spans="1:7">
      <c r="A2301" s="3">
        <v>10</v>
      </c>
      <c r="B2301" s="3">
        <v>5</v>
      </c>
      <c r="C2301" s="3">
        <v>174</v>
      </c>
      <c r="D2301" s="3">
        <v>38</v>
      </c>
      <c r="E2301" s="3">
        <v>-310.712</v>
      </c>
      <c r="F2301" s="4" t="str">
        <f>HYPERLINK("http://141.218.60.56/~jnz1568/getInfo.php?workbook=10_05.xlsx&amp;sheet=A0&amp;row=2301&amp;col=6&amp;number=1.08&amp;sourceID=14","1.08")</f>
        <v>1.08</v>
      </c>
      <c r="G2301" s="4" t="str">
        <f>HYPERLINK("http://141.218.60.56/~jnz1568/getInfo.php?workbook=10_05.xlsx&amp;sheet=A0&amp;row=2301&amp;col=7&amp;number=0&amp;sourceID=14","0")</f>
        <v>0</v>
      </c>
    </row>
    <row r="2302" spans="1:7">
      <c r="A2302" s="3">
        <v>10</v>
      </c>
      <c r="B2302" s="3">
        <v>5</v>
      </c>
      <c r="C2302" s="3">
        <v>59</v>
      </c>
      <c r="D2302" s="3">
        <v>39</v>
      </c>
      <c r="E2302" s="3">
        <v>-1403.452</v>
      </c>
      <c r="F2302" s="4" t="str">
        <f>HYPERLINK("http://141.218.60.56/~jnz1568/getInfo.php?workbook=10_05.xlsx&amp;sheet=A0&amp;row=2302&amp;col=6&amp;number=33.6&amp;sourceID=14","33.6")</f>
        <v>33.6</v>
      </c>
      <c r="G2302" s="4" t="str">
        <f>HYPERLINK("http://141.218.60.56/~jnz1568/getInfo.php?workbook=10_05.xlsx&amp;sheet=A0&amp;row=2302&amp;col=7&amp;number=0&amp;sourceID=14","0")</f>
        <v>0</v>
      </c>
    </row>
    <row r="2303" spans="1:7">
      <c r="A2303" s="3">
        <v>10</v>
      </c>
      <c r="B2303" s="3">
        <v>5</v>
      </c>
      <c r="C2303" s="3">
        <v>60</v>
      </c>
      <c r="D2303" s="3">
        <v>39</v>
      </c>
      <c r="E2303" s="3">
        <v>-1400.661</v>
      </c>
      <c r="F2303" s="4" t="str">
        <f>HYPERLINK("http://141.218.60.56/~jnz1568/getInfo.php?workbook=10_05.xlsx&amp;sheet=A0&amp;row=2303&amp;col=6&amp;number=2290&amp;sourceID=14","2290")</f>
        <v>2290</v>
      </c>
      <c r="G2303" s="4" t="str">
        <f>HYPERLINK("http://141.218.60.56/~jnz1568/getInfo.php?workbook=10_05.xlsx&amp;sheet=A0&amp;row=2303&amp;col=7&amp;number=0&amp;sourceID=14","0")</f>
        <v>0</v>
      </c>
    </row>
    <row r="2304" spans="1:7">
      <c r="A2304" s="3">
        <v>10</v>
      </c>
      <c r="B2304" s="3">
        <v>5</v>
      </c>
      <c r="C2304" s="3">
        <v>62</v>
      </c>
      <c r="D2304" s="3">
        <v>39</v>
      </c>
      <c r="E2304" s="3">
        <v>-1366.011</v>
      </c>
      <c r="F2304" s="4" t="str">
        <f>HYPERLINK("http://141.218.60.56/~jnz1568/getInfo.php?workbook=10_05.xlsx&amp;sheet=A0&amp;row=2304&amp;col=6&amp;number=93.5&amp;sourceID=14","93.5")</f>
        <v>93.5</v>
      </c>
      <c r="G2304" s="4" t="str">
        <f>HYPERLINK("http://141.218.60.56/~jnz1568/getInfo.php?workbook=10_05.xlsx&amp;sheet=A0&amp;row=2304&amp;col=7&amp;number=0&amp;sourceID=14","0")</f>
        <v>0</v>
      </c>
    </row>
    <row r="2305" spans="1:7">
      <c r="A2305" s="3">
        <v>10</v>
      </c>
      <c r="B2305" s="3">
        <v>5</v>
      </c>
      <c r="C2305" s="3">
        <v>66</v>
      </c>
      <c r="D2305" s="3">
        <v>39</v>
      </c>
      <c r="E2305" s="3">
        <v>-958.922</v>
      </c>
      <c r="F2305" s="4" t="str">
        <f>HYPERLINK("http://141.218.60.56/~jnz1568/getInfo.php?workbook=10_05.xlsx&amp;sheet=A0&amp;row=2305&amp;col=6&amp;number=1800&amp;sourceID=14","1800")</f>
        <v>1800</v>
      </c>
      <c r="G2305" s="4" t="str">
        <f>HYPERLINK("http://141.218.60.56/~jnz1568/getInfo.php?workbook=10_05.xlsx&amp;sheet=A0&amp;row=2305&amp;col=7&amp;number=0&amp;sourceID=14","0")</f>
        <v>0</v>
      </c>
    </row>
    <row r="2306" spans="1:7">
      <c r="A2306" s="3">
        <v>10</v>
      </c>
      <c r="B2306" s="3">
        <v>5</v>
      </c>
      <c r="C2306" s="3">
        <v>67</v>
      </c>
      <c r="D2306" s="3">
        <v>39</v>
      </c>
      <c r="E2306" s="3">
        <v>-958.627</v>
      </c>
      <c r="F2306" s="4" t="str">
        <f>HYPERLINK("http://141.218.60.56/~jnz1568/getInfo.php?workbook=10_05.xlsx&amp;sheet=A0&amp;row=2306&amp;col=6&amp;number=32.6&amp;sourceID=14","32.6")</f>
        <v>32.6</v>
      </c>
      <c r="G2306" s="4" t="str">
        <f>HYPERLINK("http://141.218.60.56/~jnz1568/getInfo.php?workbook=10_05.xlsx&amp;sheet=A0&amp;row=2306&amp;col=7&amp;number=0&amp;sourceID=14","0")</f>
        <v>0</v>
      </c>
    </row>
    <row r="2307" spans="1:7">
      <c r="A2307" s="3">
        <v>10</v>
      </c>
      <c r="B2307" s="3">
        <v>5</v>
      </c>
      <c r="C2307" s="3">
        <v>71</v>
      </c>
      <c r="D2307" s="3">
        <v>39</v>
      </c>
      <c r="E2307" s="3">
        <v>-924.208</v>
      </c>
      <c r="F2307" s="4" t="str">
        <f>HYPERLINK("http://141.218.60.56/~jnz1568/getInfo.php?workbook=10_05.xlsx&amp;sheet=A0&amp;row=2307&amp;col=6&amp;number=31500&amp;sourceID=14","31500")</f>
        <v>31500</v>
      </c>
      <c r="G2307" s="4" t="str">
        <f>HYPERLINK("http://141.218.60.56/~jnz1568/getInfo.php?workbook=10_05.xlsx&amp;sheet=A0&amp;row=2307&amp;col=7&amp;number=0&amp;sourceID=14","0")</f>
        <v>0</v>
      </c>
    </row>
    <row r="2308" spans="1:7">
      <c r="A2308" s="3">
        <v>10</v>
      </c>
      <c r="B2308" s="3">
        <v>5</v>
      </c>
      <c r="C2308" s="3">
        <v>72</v>
      </c>
      <c r="D2308" s="3">
        <v>39</v>
      </c>
      <c r="E2308" s="3">
        <v>-917.972</v>
      </c>
      <c r="F2308" s="4" t="str">
        <f>HYPERLINK("http://141.218.60.56/~jnz1568/getInfo.php?workbook=10_05.xlsx&amp;sheet=A0&amp;row=2308&amp;col=6&amp;number=8760&amp;sourceID=14","8760")</f>
        <v>8760</v>
      </c>
      <c r="G2308" s="4" t="str">
        <f>HYPERLINK("http://141.218.60.56/~jnz1568/getInfo.php?workbook=10_05.xlsx&amp;sheet=A0&amp;row=2308&amp;col=7&amp;number=0&amp;sourceID=14","0")</f>
        <v>0</v>
      </c>
    </row>
    <row r="2309" spans="1:7">
      <c r="A2309" s="3">
        <v>10</v>
      </c>
      <c r="B2309" s="3">
        <v>5</v>
      </c>
      <c r="C2309" s="3">
        <v>78</v>
      </c>
      <c r="D2309" s="3">
        <v>39</v>
      </c>
      <c r="E2309" s="3">
        <v>-748.264</v>
      </c>
      <c r="F2309" s="4" t="str">
        <f>HYPERLINK("http://141.218.60.56/~jnz1568/getInfo.php?workbook=10_05.xlsx&amp;sheet=A0&amp;row=2309&amp;col=6&amp;number=11000&amp;sourceID=14","11000")</f>
        <v>11000</v>
      </c>
      <c r="G2309" s="4" t="str">
        <f>HYPERLINK("http://141.218.60.56/~jnz1568/getInfo.php?workbook=10_05.xlsx&amp;sheet=A0&amp;row=2309&amp;col=7&amp;number=0&amp;sourceID=14","0")</f>
        <v>0</v>
      </c>
    </row>
    <row r="2310" spans="1:7">
      <c r="A2310" s="3">
        <v>10</v>
      </c>
      <c r="B2310" s="3">
        <v>5</v>
      </c>
      <c r="C2310" s="3">
        <v>80</v>
      </c>
      <c r="D2310" s="3">
        <v>39</v>
      </c>
      <c r="E2310" s="3">
        <v>-706.955</v>
      </c>
      <c r="F2310" s="4" t="str">
        <f>HYPERLINK("http://141.218.60.56/~jnz1568/getInfo.php?workbook=10_05.xlsx&amp;sheet=A0&amp;row=2310&amp;col=6&amp;number=7690&amp;sourceID=14","7690")</f>
        <v>7690</v>
      </c>
      <c r="G2310" s="4" t="str">
        <f>HYPERLINK("http://141.218.60.56/~jnz1568/getInfo.php?workbook=10_05.xlsx&amp;sheet=A0&amp;row=2310&amp;col=7&amp;number=0&amp;sourceID=14","0")</f>
        <v>0</v>
      </c>
    </row>
    <row r="2311" spans="1:7">
      <c r="A2311" s="3">
        <v>10</v>
      </c>
      <c r="B2311" s="3">
        <v>5</v>
      </c>
      <c r="C2311" s="3">
        <v>81</v>
      </c>
      <c r="D2311" s="3">
        <v>39</v>
      </c>
      <c r="E2311" s="3">
        <v>-706.74</v>
      </c>
      <c r="F2311" s="4" t="str">
        <f>HYPERLINK("http://141.218.60.56/~jnz1568/getInfo.php?workbook=10_05.xlsx&amp;sheet=A0&amp;row=2311&amp;col=6&amp;number=15800&amp;sourceID=14","15800")</f>
        <v>15800</v>
      </c>
      <c r="G2311" s="4" t="str">
        <f>HYPERLINK("http://141.218.60.56/~jnz1568/getInfo.php?workbook=10_05.xlsx&amp;sheet=A0&amp;row=2311&amp;col=7&amp;number=0&amp;sourceID=14","0")</f>
        <v>0</v>
      </c>
    </row>
    <row r="2312" spans="1:7">
      <c r="A2312" s="3">
        <v>10</v>
      </c>
      <c r="B2312" s="3">
        <v>5</v>
      </c>
      <c r="C2312" s="3">
        <v>99</v>
      </c>
      <c r="D2312" s="3">
        <v>39</v>
      </c>
      <c r="E2312" s="3">
        <v>-541.083</v>
      </c>
      <c r="F2312" s="4" t="str">
        <f>HYPERLINK("http://141.218.60.56/~jnz1568/getInfo.php?workbook=10_05.xlsx&amp;sheet=A0&amp;row=2312&amp;col=6&amp;number=614000000&amp;sourceID=14","614000000")</f>
        <v>614000000</v>
      </c>
      <c r="G2312" s="4" t="str">
        <f>HYPERLINK("http://141.218.60.56/~jnz1568/getInfo.php?workbook=10_05.xlsx&amp;sheet=A0&amp;row=2312&amp;col=7&amp;number=0&amp;sourceID=14","0")</f>
        <v>0</v>
      </c>
    </row>
    <row r="2313" spans="1:7">
      <c r="A2313" s="3">
        <v>10</v>
      </c>
      <c r="B2313" s="3">
        <v>5</v>
      </c>
      <c r="C2313" s="3">
        <v>100</v>
      </c>
      <c r="D2313" s="3">
        <v>39</v>
      </c>
      <c r="E2313" s="3">
        <v>-540.314</v>
      </c>
      <c r="F2313" s="4" t="str">
        <f>HYPERLINK("http://141.218.60.56/~jnz1568/getInfo.php?workbook=10_05.xlsx&amp;sheet=A0&amp;row=2313&amp;col=6&amp;number=1690000000&amp;sourceID=14","1690000000")</f>
        <v>1690000000</v>
      </c>
      <c r="G2313" s="4" t="str">
        <f>HYPERLINK("http://141.218.60.56/~jnz1568/getInfo.php?workbook=10_05.xlsx&amp;sheet=A0&amp;row=2313&amp;col=7&amp;number=0&amp;sourceID=14","0")</f>
        <v>0</v>
      </c>
    </row>
    <row r="2314" spans="1:7">
      <c r="A2314" s="3">
        <v>10</v>
      </c>
      <c r="B2314" s="3">
        <v>5</v>
      </c>
      <c r="C2314" s="3">
        <v>102</v>
      </c>
      <c r="D2314" s="3">
        <v>39</v>
      </c>
      <c r="E2314" s="3">
        <v>-539.218</v>
      </c>
      <c r="F2314" s="4" t="str">
        <f>HYPERLINK("http://141.218.60.56/~jnz1568/getInfo.php?workbook=10_05.xlsx&amp;sheet=A0&amp;row=2314&amp;col=6&amp;number=378000000&amp;sourceID=14","378000000")</f>
        <v>378000000</v>
      </c>
      <c r="G2314" s="4" t="str">
        <f>HYPERLINK("http://141.218.60.56/~jnz1568/getInfo.php?workbook=10_05.xlsx&amp;sheet=A0&amp;row=2314&amp;col=7&amp;number=0&amp;sourceID=14","0")</f>
        <v>0</v>
      </c>
    </row>
    <row r="2315" spans="1:7">
      <c r="A2315" s="3">
        <v>10</v>
      </c>
      <c r="B2315" s="3">
        <v>5</v>
      </c>
      <c r="C2315" s="3">
        <v>106</v>
      </c>
      <c r="D2315" s="3">
        <v>39</v>
      </c>
      <c r="E2315" s="3">
        <v>-523.783</v>
      </c>
      <c r="F2315" s="4" t="str">
        <f>HYPERLINK("http://141.218.60.56/~jnz1568/getInfo.php?workbook=10_05.xlsx&amp;sheet=A0&amp;row=2315&amp;col=6&amp;number=2870000000&amp;sourceID=14","2870000000")</f>
        <v>2870000000</v>
      </c>
      <c r="G2315" s="4" t="str">
        <f>HYPERLINK("http://141.218.60.56/~jnz1568/getInfo.php?workbook=10_05.xlsx&amp;sheet=A0&amp;row=2315&amp;col=7&amp;number=0&amp;sourceID=14","0")</f>
        <v>0</v>
      </c>
    </row>
    <row r="2316" spans="1:7">
      <c r="A2316" s="3">
        <v>10</v>
      </c>
      <c r="B2316" s="3">
        <v>5</v>
      </c>
      <c r="C2316" s="3">
        <v>107</v>
      </c>
      <c r="D2316" s="3">
        <v>39</v>
      </c>
      <c r="E2316" s="3">
        <v>-523.022</v>
      </c>
      <c r="F2316" s="4" t="str">
        <f>HYPERLINK("http://141.218.60.56/~jnz1568/getInfo.php?workbook=10_05.xlsx&amp;sheet=A0&amp;row=2316&amp;col=6&amp;number=774000000&amp;sourceID=14","774000000")</f>
        <v>774000000</v>
      </c>
      <c r="G2316" s="4" t="str">
        <f>HYPERLINK("http://141.218.60.56/~jnz1568/getInfo.php?workbook=10_05.xlsx&amp;sheet=A0&amp;row=2316&amp;col=7&amp;number=0&amp;sourceID=14","0")</f>
        <v>0</v>
      </c>
    </row>
    <row r="2317" spans="1:7">
      <c r="A2317" s="3">
        <v>10</v>
      </c>
      <c r="B2317" s="3">
        <v>5</v>
      </c>
      <c r="C2317" s="3">
        <v>108</v>
      </c>
      <c r="D2317" s="3">
        <v>39</v>
      </c>
      <c r="E2317" s="3">
        <v>-522.232</v>
      </c>
      <c r="F2317" s="4" t="str">
        <f>HYPERLINK("http://141.218.60.56/~jnz1568/getInfo.php?workbook=10_05.xlsx&amp;sheet=A0&amp;row=2317&amp;col=6&amp;number=27800000&amp;sourceID=14","27800000")</f>
        <v>27800000</v>
      </c>
      <c r="G2317" s="4" t="str">
        <f>HYPERLINK("http://141.218.60.56/~jnz1568/getInfo.php?workbook=10_05.xlsx&amp;sheet=A0&amp;row=2317&amp;col=7&amp;number=0&amp;sourceID=14","0")</f>
        <v>0</v>
      </c>
    </row>
    <row r="2318" spans="1:7">
      <c r="A2318" s="3">
        <v>10</v>
      </c>
      <c r="B2318" s="3">
        <v>5</v>
      </c>
      <c r="C2318" s="3">
        <v>109</v>
      </c>
      <c r="D2318" s="3">
        <v>39</v>
      </c>
      <c r="E2318" s="3">
        <v>-521.103</v>
      </c>
      <c r="F2318" s="4" t="str">
        <f>HYPERLINK("http://141.218.60.56/~jnz1568/getInfo.php?workbook=10_05.xlsx&amp;sheet=A0&amp;row=2318&amp;col=6&amp;number=225000000&amp;sourceID=14","225000000")</f>
        <v>225000000</v>
      </c>
      <c r="G2318" s="4" t="str">
        <f>HYPERLINK("http://141.218.60.56/~jnz1568/getInfo.php?workbook=10_05.xlsx&amp;sheet=A0&amp;row=2318&amp;col=7&amp;number=0&amp;sourceID=14","0")</f>
        <v>0</v>
      </c>
    </row>
    <row r="2319" spans="1:7">
      <c r="A2319" s="3">
        <v>10</v>
      </c>
      <c r="B2319" s="3">
        <v>5</v>
      </c>
      <c r="C2319" s="3">
        <v>115</v>
      </c>
      <c r="D2319" s="3">
        <v>39</v>
      </c>
      <c r="E2319" s="3">
        <v>-501.553</v>
      </c>
      <c r="F2319" s="4" t="str">
        <f>HYPERLINK("http://141.218.60.56/~jnz1568/getInfo.php?workbook=10_05.xlsx&amp;sheet=A0&amp;row=2319&amp;col=6&amp;number=763000&amp;sourceID=14","763000")</f>
        <v>763000</v>
      </c>
      <c r="G2319" s="4" t="str">
        <f>HYPERLINK("http://141.218.60.56/~jnz1568/getInfo.php?workbook=10_05.xlsx&amp;sheet=A0&amp;row=2319&amp;col=7&amp;number=0&amp;sourceID=14","0")</f>
        <v>0</v>
      </c>
    </row>
    <row r="2320" spans="1:7">
      <c r="A2320" s="3">
        <v>10</v>
      </c>
      <c r="B2320" s="3">
        <v>5</v>
      </c>
      <c r="C2320" s="3">
        <v>116</v>
      </c>
      <c r="D2320" s="3">
        <v>39</v>
      </c>
      <c r="E2320" s="3">
        <v>-499.324</v>
      </c>
      <c r="F2320" s="4" t="str">
        <f>HYPERLINK("http://141.218.60.56/~jnz1568/getInfo.php?workbook=10_05.xlsx&amp;sheet=A0&amp;row=2320&amp;col=6&amp;number=72700&amp;sourceID=14","72700")</f>
        <v>72700</v>
      </c>
      <c r="G2320" s="4" t="str">
        <f>HYPERLINK("http://141.218.60.56/~jnz1568/getInfo.php?workbook=10_05.xlsx&amp;sheet=A0&amp;row=2320&amp;col=7&amp;number=0&amp;sourceID=14","0")</f>
        <v>0</v>
      </c>
    </row>
    <row r="2321" spans="1:7">
      <c r="A2321" s="3">
        <v>10</v>
      </c>
      <c r="B2321" s="3">
        <v>5</v>
      </c>
      <c r="C2321" s="3">
        <v>117</v>
      </c>
      <c r="D2321" s="3">
        <v>39</v>
      </c>
      <c r="E2321" s="3">
        <v>-498.766</v>
      </c>
      <c r="F2321" s="4" t="str">
        <f>HYPERLINK("http://141.218.60.56/~jnz1568/getInfo.php?workbook=10_05.xlsx&amp;sheet=A0&amp;row=2321&amp;col=6&amp;number=20900&amp;sourceID=14","20900")</f>
        <v>20900</v>
      </c>
      <c r="G2321" s="4" t="str">
        <f>HYPERLINK("http://141.218.60.56/~jnz1568/getInfo.php?workbook=10_05.xlsx&amp;sheet=A0&amp;row=2321&amp;col=7&amp;number=0&amp;sourceID=14","0")</f>
        <v>0</v>
      </c>
    </row>
    <row r="2322" spans="1:7">
      <c r="A2322" s="3">
        <v>10</v>
      </c>
      <c r="B2322" s="3">
        <v>5</v>
      </c>
      <c r="C2322" s="3">
        <v>118</v>
      </c>
      <c r="D2322" s="3">
        <v>39</v>
      </c>
      <c r="E2322" s="3">
        <v>-498.565</v>
      </c>
      <c r="F2322" s="4" t="str">
        <f>HYPERLINK("http://141.218.60.56/~jnz1568/getInfo.php?workbook=10_05.xlsx&amp;sheet=A0&amp;row=2322&amp;col=6&amp;number=41300&amp;sourceID=14","41300")</f>
        <v>41300</v>
      </c>
      <c r="G2322" s="4" t="str">
        <f>HYPERLINK("http://141.218.60.56/~jnz1568/getInfo.php?workbook=10_05.xlsx&amp;sheet=A0&amp;row=2322&amp;col=7&amp;number=0&amp;sourceID=14","0")</f>
        <v>0</v>
      </c>
    </row>
    <row r="2323" spans="1:7">
      <c r="A2323" s="3">
        <v>10</v>
      </c>
      <c r="B2323" s="3">
        <v>5</v>
      </c>
      <c r="C2323" s="3">
        <v>121</v>
      </c>
      <c r="D2323" s="3">
        <v>39</v>
      </c>
      <c r="E2323" s="3">
        <v>-490.171</v>
      </c>
      <c r="F2323" s="4" t="str">
        <f>HYPERLINK("http://141.218.60.56/~jnz1568/getInfo.php?workbook=10_05.xlsx&amp;sheet=A0&amp;row=2323&amp;col=6&amp;number=728&amp;sourceID=14","728")</f>
        <v>728</v>
      </c>
      <c r="G2323" s="4" t="str">
        <f>HYPERLINK("http://141.218.60.56/~jnz1568/getInfo.php?workbook=10_05.xlsx&amp;sheet=A0&amp;row=2323&amp;col=7&amp;number=0&amp;sourceID=14","0")</f>
        <v>0</v>
      </c>
    </row>
    <row r="2324" spans="1:7">
      <c r="A2324" s="3">
        <v>10</v>
      </c>
      <c r="B2324" s="3">
        <v>5</v>
      </c>
      <c r="C2324" s="3">
        <v>122</v>
      </c>
      <c r="D2324" s="3">
        <v>39</v>
      </c>
      <c r="E2324" s="3">
        <v>-489.283</v>
      </c>
      <c r="F2324" s="4" t="str">
        <f>HYPERLINK("http://141.218.60.56/~jnz1568/getInfo.php?workbook=10_05.xlsx&amp;sheet=A0&amp;row=2324&amp;col=6&amp;number=322000&amp;sourceID=14","322000")</f>
        <v>322000</v>
      </c>
      <c r="G2324" s="4" t="str">
        <f>HYPERLINK("http://141.218.60.56/~jnz1568/getInfo.php?workbook=10_05.xlsx&amp;sheet=A0&amp;row=2324&amp;col=7&amp;number=0&amp;sourceID=14","0")</f>
        <v>0</v>
      </c>
    </row>
    <row r="2325" spans="1:7">
      <c r="A2325" s="3">
        <v>10</v>
      </c>
      <c r="B2325" s="3">
        <v>5</v>
      </c>
      <c r="C2325" s="3">
        <v>123</v>
      </c>
      <c r="D2325" s="3">
        <v>39</v>
      </c>
      <c r="E2325" s="3">
        <v>-488.58</v>
      </c>
      <c r="F2325" s="4" t="str">
        <f>HYPERLINK("http://141.218.60.56/~jnz1568/getInfo.php?workbook=10_05.xlsx&amp;sheet=A0&amp;row=2325&amp;col=6&amp;number=1980&amp;sourceID=14","1980")</f>
        <v>1980</v>
      </c>
      <c r="G2325" s="4" t="str">
        <f>HYPERLINK("http://141.218.60.56/~jnz1568/getInfo.php?workbook=10_05.xlsx&amp;sheet=A0&amp;row=2325&amp;col=7&amp;number=0&amp;sourceID=14","0")</f>
        <v>0</v>
      </c>
    </row>
    <row r="2326" spans="1:7">
      <c r="A2326" s="3">
        <v>10</v>
      </c>
      <c r="B2326" s="3">
        <v>5</v>
      </c>
      <c r="C2326" s="3">
        <v>124</v>
      </c>
      <c r="D2326" s="3">
        <v>39</v>
      </c>
      <c r="E2326" s="3">
        <v>-487.996</v>
      </c>
      <c r="F2326" s="4" t="str">
        <f>HYPERLINK("http://141.218.60.56/~jnz1568/getInfo.php?workbook=10_05.xlsx&amp;sheet=A0&amp;row=2326&amp;col=6&amp;number=36200&amp;sourceID=14","36200")</f>
        <v>36200</v>
      </c>
      <c r="G2326" s="4" t="str">
        <f>HYPERLINK("http://141.218.60.56/~jnz1568/getInfo.php?workbook=10_05.xlsx&amp;sheet=A0&amp;row=2326&amp;col=7&amp;number=0&amp;sourceID=14","0")</f>
        <v>0</v>
      </c>
    </row>
    <row r="2327" spans="1:7">
      <c r="A2327" s="3">
        <v>10</v>
      </c>
      <c r="B2327" s="3">
        <v>5</v>
      </c>
      <c r="C2327" s="3">
        <v>126</v>
      </c>
      <c r="D2327" s="3">
        <v>39</v>
      </c>
      <c r="E2327" s="3">
        <v>-485.24</v>
      </c>
      <c r="F2327" s="4" t="str">
        <f>HYPERLINK("http://141.218.60.56/~jnz1568/getInfo.php?workbook=10_05.xlsx&amp;sheet=A0&amp;row=2327&amp;col=6&amp;number=39700&amp;sourceID=14","39700")</f>
        <v>39700</v>
      </c>
      <c r="G2327" s="4" t="str">
        <f>HYPERLINK("http://141.218.60.56/~jnz1568/getInfo.php?workbook=10_05.xlsx&amp;sheet=A0&amp;row=2327&amp;col=7&amp;number=0&amp;sourceID=14","0")</f>
        <v>0</v>
      </c>
    </row>
    <row r="2328" spans="1:7">
      <c r="A2328" s="3">
        <v>10</v>
      </c>
      <c r="B2328" s="3">
        <v>5</v>
      </c>
      <c r="C2328" s="3">
        <v>129</v>
      </c>
      <c r="D2328" s="3">
        <v>39</v>
      </c>
      <c r="E2328" s="3">
        <v>-479.539</v>
      </c>
      <c r="F2328" s="4" t="str">
        <f>HYPERLINK("http://141.218.60.56/~jnz1568/getInfo.php?workbook=10_05.xlsx&amp;sheet=A0&amp;row=2328&amp;col=6&amp;number=3490&amp;sourceID=14","3490")</f>
        <v>3490</v>
      </c>
      <c r="G2328" s="4" t="str">
        <f>HYPERLINK("http://141.218.60.56/~jnz1568/getInfo.php?workbook=10_05.xlsx&amp;sheet=A0&amp;row=2328&amp;col=7&amp;number=0&amp;sourceID=14","0")</f>
        <v>0</v>
      </c>
    </row>
    <row r="2329" spans="1:7">
      <c r="A2329" s="3">
        <v>10</v>
      </c>
      <c r="B2329" s="3">
        <v>5</v>
      </c>
      <c r="C2329" s="3">
        <v>130</v>
      </c>
      <c r="D2329" s="3">
        <v>39</v>
      </c>
      <c r="E2329" s="3">
        <v>-478.154</v>
      </c>
      <c r="F2329" s="4" t="str">
        <f>HYPERLINK("http://141.218.60.56/~jnz1568/getInfo.php?workbook=10_05.xlsx&amp;sheet=A0&amp;row=2329&amp;col=6&amp;number=48.6&amp;sourceID=14","48.6")</f>
        <v>48.6</v>
      </c>
      <c r="G2329" s="4" t="str">
        <f>HYPERLINK("http://141.218.60.56/~jnz1568/getInfo.php?workbook=10_05.xlsx&amp;sheet=A0&amp;row=2329&amp;col=7&amp;number=0&amp;sourceID=14","0")</f>
        <v>0</v>
      </c>
    </row>
    <row r="2330" spans="1:7">
      <c r="A2330" s="3">
        <v>10</v>
      </c>
      <c r="B2330" s="3">
        <v>5</v>
      </c>
      <c r="C2330" s="3">
        <v>132</v>
      </c>
      <c r="D2330" s="3">
        <v>39</v>
      </c>
      <c r="E2330" s="3">
        <v>-477.127</v>
      </c>
      <c r="F2330" s="4" t="str">
        <f>HYPERLINK("http://141.218.60.56/~jnz1568/getInfo.php?workbook=10_05.xlsx&amp;sheet=A0&amp;row=2330&amp;col=6&amp;number=18800&amp;sourceID=14","18800")</f>
        <v>18800</v>
      </c>
      <c r="G2330" s="4" t="str">
        <f>HYPERLINK("http://141.218.60.56/~jnz1568/getInfo.php?workbook=10_05.xlsx&amp;sheet=A0&amp;row=2330&amp;col=7&amp;number=0&amp;sourceID=14","0")</f>
        <v>0</v>
      </c>
    </row>
    <row r="2331" spans="1:7">
      <c r="A2331" s="3">
        <v>10</v>
      </c>
      <c r="B2331" s="3">
        <v>5</v>
      </c>
      <c r="C2331" s="3">
        <v>133</v>
      </c>
      <c r="D2331" s="3">
        <v>39</v>
      </c>
      <c r="E2331" s="3">
        <v>-476.654</v>
      </c>
      <c r="F2331" s="4" t="str">
        <f>HYPERLINK("http://141.218.60.56/~jnz1568/getInfo.php?workbook=10_05.xlsx&amp;sheet=A0&amp;row=2331&amp;col=6&amp;number=3380&amp;sourceID=14","3380")</f>
        <v>3380</v>
      </c>
      <c r="G2331" s="4" t="str">
        <f>HYPERLINK("http://141.218.60.56/~jnz1568/getInfo.php?workbook=10_05.xlsx&amp;sheet=A0&amp;row=2331&amp;col=7&amp;number=0&amp;sourceID=14","0")</f>
        <v>0</v>
      </c>
    </row>
    <row r="2332" spans="1:7">
      <c r="A2332" s="3">
        <v>10</v>
      </c>
      <c r="B2332" s="3">
        <v>5</v>
      </c>
      <c r="C2332" s="3">
        <v>138</v>
      </c>
      <c r="D2332" s="3">
        <v>39</v>
      </c>
      <c r="E2332" s="3">
        <v>-469.581</v>
      </c>
      <c r="F2332" s="4" t="str">
        <f>HYPERLINK("http://141.218.60.56/~jnz1568/getInfo.php?workbook=10_05.xlsx&amp;sheet=A0&amp;row=2332&amp;col=6&amp;number=212&amp;sourceID=14","212")</f>
        <v>212</v>
      </c>
      <c r="G2332" s="4" t="str">
        <f>HYPERLINK("http://141.218.60.56/~jnz1568/getInfo.php?workbook=10_05.xlsx&amp;sheet=A0&amp;row=2332&amp;col=7&amp;number=0&amp;sourceID=14","0")</f>
        <v>0</v>
      </c>
    </row>
    <row r="2333" spans="1:7">
      <c r="A2333" s="3">
        <v>10</v>
      </c>
      <c r="B2333" s="3">
        <v>5</v>
      </c>
      <c r="C2333" s="3">
        <v>150</v>
      </c>
      <c r="D2333" s="3">
        <v>39</v>
      </c>
      <c r="E2333" s="3">
        <v>-451.323</v>
      </c>
      <c r="F2333" s="4" t="str">
        <f>HYPERLINK("http://141.218.60.56/~jnz1568/getInfo.php?workbook=10_05.xlsx&amp;sheet=A0&amp;row=2333&amp;col=6&amp;number=155000&amp;sourceID=14","155000")</f>
        <v>155000</v>
      </c>
      <c r="G2333" s="4" t="str">
        <f>HYPERLINK("http://141.218.60.56/~jnz1568/getInfo.php?workbook=10_05.xlsx&amp;sheet=A0&amp;row=2333&amp;col=7&amp;number=0&amp;sourceID=14","0")</f>
        <v>0</v>
      </c>
    </row>
    <row r="2334" spans="1:7">
      <c r="A2334" s="3">
        <v>10</v>
      </c>
      <c r="B2334" s="3">
        <v>5</v>
      </c>
      <c r="C2334" s="3">
        <v>151</v>
      </c>
      <c r="D2334" s="3">
        <v>39</v>
      </c>
      <c r="E2334" s="3">
        <v>-451.279</v>
      </c>
      <c r="F2334" s="4" t="str">
        <f>HYPERLINK("http://141.218.60.56/~jnz1568/getInfo.php?workbook=10_05.xlsx&amp;sheet=A0&amp;row=2334&amp;col=6&amp;number=10300&amp;sourceID=14","10300")</f>
        <v>10300</v>
      </c>
      <c r="G2334" s="4" t="str">
        <f>HYPERLINK("http://141.218.60.56/~jnz1568/getInfo.php?workbook=10_05.xlsx&amp;sheet=A0&amp;row=2334&amp;col=7&amp;number=0&amp;sourceID=14","0")</f>
        <v>0</v>
      </c>
    </row>
    <row r="2335" spans="1:7">
      <c r="A2335" s="3">
        <v>10</v>
      </c>
      <c r="B2335" s="3">
        <v>5</v>
      </c>
      <c r="C2335" s="3">
        <v>154</v>
      </c>
      <c r="D2335" s="3">
        <v>39</v>
      </c>
      <c r="E2335" s="3">
        <v>-445.064</v>
      </c>
      <c r="F2335" s="4" t="str">
        <f>HYPERLINK("http://141.218.60.56/~jnz1568/getInfo.php?workbook=10_05.xlsx&amp;sheet=A0&amp;row=2335&amp;col=6&amp;number=105000&amp;sourceID=14","105000")</f>
        <v>105000</v>
      </c>
      <c r="G2335" s="4" t="str">
        <f>HYPERLINK("http://141.218.60.56/~jnz1568/getInfo.php?workbook=10_05.xlsx&amp;sheet=A0&amp;row=2335&amp;col=7&amp;number=0&amp;sourceID=14","0")</f>
        <v>0</v>
      </c>
    </row>
    <row r="2336" spans="1:7">
      <c r="A2336" s="3">
        <v>10</v>
      </c>
      <c r="B2336" s="3">
        <v>5</v>
      </c>
      <c r="C2336" s="3">
        <v>155</v>
      </c>
      <c r="D2336" s="3">
        <v>39</v>
      </c>
      <c r="E2336" s="3">
        <v>-444.197</v>
      </c>
      <c r="F2336" s="4" t="str">
        <f>HYPERLINK("http://141.218.60.56/~jnz1568/getInfo.php?workbook=10_05.xlsx&amp;sheet=A0&amp;row=2336&amp;col=6&amp;number=459&amp;sourceID=14","459")</f>
        <v>459</v>
      </c>
      <c r="G2336" s="4" t="str">
        <f>HYPERLINK("http://141.218.60.56/~jnz1568/getInfo.php?workbook=10_05.xlsx&amp;sheet=A0&amp;row=2336&amp;col=7&amp;number=0&amp;sourceID=14","0")</f>
        <v>0</v>
      </c>
    </row>
    <row r="2337" spans="1:7">
      <c r="A2337" s="3">
        <v>10</v>
      </c>
      <c r="B2337" s="3">
        <v>5</v>
      </c>
      <c r="C2337" s="3">
        <v>156</v>
      </c>
      <c r="D2337" s="3">
        <v>39</v>
      </c>
      <c r="E2337" s="3">
        <v>-443.085</v>
      </c>
      <c r="F2337" s="4" t="str">
        <f>HYPERLINK("http://141.218.60.56/~jnz1568/getInfo.php?workbook=10_05.xlsx&amp;sheet=A0&amp;row=2337&amp;col=6&amp;number=108000&amp;sourceID=14","108000")</f>
        <v>108000</v>
      </c>
      <c r="G2337" s="4" t="str">
        <f>HYPERLINK("http://141.218.60.56/~jnz1568/getInfo.php?workbook=10_05.xlsx&amp;sheet=A0&amp;row=2337&amp;col=7&amp;number=0&amp;sourceID=14","0")</f>
        <v>0</v>
      </c>
    </row>
    <row r="2338" spans="1:7">
      <c r="A2338" s="3">
        <v>10</v>
      </c>
      <c r="B2338" s="3">
        <v>5</v>
      </c>
      <c r="C2338" s="3">
        <v>157</v>
      </c>
      <c r="D2338" s="3">
        <v>39</v>
      </c>
      <c r="E2338" s="3">
        <v>-442.733</v>
      </c>
      <c r="F2338" s="4" t="str">
        <f>HYPERLINK("http://141.218.60.56/~jnz1568/getInfo.php?workbook=10_05.xlsx&amp;sheet=A0&amp;row=2338&amp;col=6&amp;number=1520&amp;sourceID=14","1520")</f>
        <v>1520</v>
      </c>
      <c r="G2338" s="4" t="str">
        <f>HYPERLINK("http://141.218.60.56/~jnz1568/getInfo.php?workbook=10_05.xlsx&amp;sheet=A0&amp;row=2338&amp;col=7&amp;number=0&amp;sourceID=14","0")</f>
        <v>0</v>
      </c>
    </row>
    <row r="2339" spans="1:7">
      <c r="A2339" s="3">
        <v>10</v>
      </c>
      <c r="B2339" s="3">
        <v>5</v>
      </c>
      <c r="C2339" s="3">
        <v>162</v>
      </c>
      <c r="D2339" s="3">
        <v>39</v>
      </c>
      <c r="E2339" s="3">
        <v>-439.081</v>
      </c>
      <c r="F2339" s="4" t="str">
        <f>HYPERLINK("http://141.218.60.56/~jnz1568/getInfo.php?workbook=10_05.xlsx&amp;sheet=A0&amp;row=2339&amp;col=6&amp;number=90000&amp;sourceID=14","90000")</f>
        <v>90000</v>
      </c>
      <c r="G2339" s="4" t="str">
        <f>HYPERLINK("http://141.218.60.56/~jnz1568/getInfo.php?workbook=10_05.xlsx&amp;sheet=A0&amp;row=2339&amp;col=7&amp;number=0&amp;sourceID=14","0")</f>
        <v>0</v>
      </c>
    </row>
    <row r="2340" spans="1:7">
      <c r="A2340" s="3">
        <v>10</v>
      </c>
      <c r="B2340" s="3">
        <v>5</v>
      </c>
      <c r="C2340" s="3">
        <v>168</v>
      </c>
      <c r="D2340" s="3">
        <v>39</v>
      </c>
      <c r="E2340" s="3">
        <v>-324.706</v>
      </c>
      <c r="F2340" s="4" t="str">
        <f>HYPERLINK("http://141.218.60.56/~jnz1568/getInfo.php?workbook=10_05.xlsx&amp;sheet=A0&amp;row=2340&amp;col=6&amp;number=4250&amp;sourceID=14","4250")</f>
        <v>4250</v>
      </c>
      <c r="G2340" s="4" t="str">
        <f>HYPERLINK("http://141.218.60.56/~jnz1568/getInfo.php?workbook=10_05.xlsx&amp;sheet=A0&amp;row=2340&amp;col=7&amp;number=0&amp;sourceID=14","0")</f>
        <v>0</v>
      </c>
    </row>
    <row r="2341" spans="1:7">
      <c r="A2341" s="3">
        <v>10</v>
      </c>
      <c r="B2341" s="3">
        <v>5</v>
      </c>
      <c r="C2341" s="3">
        <v>169</v>
      </c>
      <c r="D2341" s="3">
        <v>39</v>
      </c>
      <c r="E2341" s="3">
        <v>-324.656</v>
      </c>
      <c r="F2341" s="4" t="str">
        <f>HYPERLINK("http://141.218.60.56/~jnz1568/getInfo.php?workbook=10_05.xlsx&amp;sheet=A0&amp;row=2341&amp;col=6&amp;number=26000&amp;sourceID=14","26000")</f>
        <v>26000</v>
      </c>
      <c r="G2341" s="4" t="str">
        <f>HYPERLINK("http://141.218.60.56/~jnz1568/getInfo.php?workbook=10_05.xlsx&amp;sheet=A0&amp;row=2341&amp;col=7&amp;number=0&amp;sourceID=14","0")</f>
        <v>0</v>
      </c>
    </row>
    <row r="2342" spans="1:7">
      <c r="A2342" s="3">
        <v>10</v>
      </c>
      <c r="B2342" s="3">
        <v>5</v>
      </c>
      <c r="C2342" s="3">
        <v>171</v>
      </c>
      <c r="D2342" s="3">
        <v>39</v>
      </c>
      <c r="E2342" s="3">
        <v>-314.976</v>
      </c>
      <c r="F2342" s="4" t="str">
        <f>HYPERLINK("http://141.218.60.56/~jnz1568/getInfo.php?workbook=10_05.xlsx&amp;sheet=A0&amp;row=2342&amp;col=6&amp;number=626&amp;sourceID=14","626")</f>
        <v>626</v>
      </c>
      <c r="G2342" s="4" t="str">
        <f>HYPERLINK("http://141.218.60.56/~jnz1568/getInfo.php?workbook=10_05.xlsx&amp;sheet=A0&amp;row=2342&amp;col=7&amp;number=0&amp;sourceID=14","0")</f>
        <v>0</v>
      </c>
    </row>
    <row r="2343" spans="1:7">
      <c r="A2343" s="3">
        <v>10</v>
      </c>
      <c r="B2343" s="3">
        <v>5</v>
      </c>
      <c r="C2343" s="3">
        <v>172</v>
      </c>
      <c r="D2343" s="3">
        <v>39</v>
      </c>
      <c r="E2343" s="3">
        <v>-313.053</v>
      </c>
      <c r="F2343" s="4" t="str">
        <f>HYPERLINK("http://141.218.60.56/~jnz1568/getInfo.php?workbook=10_05.xlsx&amp;sheet=A0&amp;row=2343&amp;col=6&amp;number=13600&amp;sourceID=14","13600")</f>
        <v>13600</v>
      </c>
      <c r="G2343" s="4" t="str">
        <f>HYPERLINK("http://141.218.60.56/~jnz1568/getInfo.php?workbook=10_05.xlsx&amp;sheet=A0&amp;row=2343&amp;col=7&amp;number=0&amp;sourceID=14","0")</f>
        <v>0</v>
      </c>
    </row>
    <row r="2344" spans="1:7">
      <c r="A2344" s="3">
        <v>10</v>
      </c>
      <c r="B2344" s="3">
        <v>5</v>
      </c>
      <c r="C2344" s="3">
        <v>173</v>
      </c>
      <c r="D2344" s="3">
        <v>39</v>
      </c>
      <c r="E2344" s="3">
        <v>-313.031</v>
      </c>
      <c r="F2344" s="4" t="str">
        <f>HYPERLINK("http://141.218.60.56/~jnz1568/getInfo.php?workbook=10_05.xlsx&amp;sheet=A0&amp;row=2344&amp;col=6&amp;number=0.0922&amp;sourceID=14","0.0922")</f>
        <v>0.0922</v>
      </c>
      <c r="G2344" s="4" t="str">
        <f>HYPERLINK("http://141.218.60.56/~jnz1568/getInfo.php?workbook=10_05.xlsx&amp;sheet=A0&amp;row=2344&amp;col=7&amp;number=0&amp;sourceID=14","0")</f>
        <v>0</v>
      </c>
    </row>
    <row r="2345" spans="1:7">
      <c r="A2345" s="3">
        <v>10</v>
      </c>
      <c r="B2345" s="3">
        <v>5</v>
      </c>
      <c r="C2345" s="3">
        <v>43</v>
      </c>
      <c r="D2345" s="3">
        <v>40</v>
      </c>
      <c r="E2345" s="3">
        <v>8764.258</v>
      </c>
      <c r="F2345" s="4" t="str">
        <f>HYPERLINK("http://141.218.60.56/~jnz1568/getInfo.php?workbook=10_05.xlsx&amp;sheet=A0&amp;row=2345&amp;col=6&amp;number=16.8&amp;sourceID=14","16.8")</f>
        <v>16.8</v>
      </c>
      <c r="G2345" s="4" t="str">
        <f>HYPERLINK("http://141.218.60.56/~jnz1568/getInfo.php?workbook=10_05.xlsx&amp;sheet=A0&amp;row=2345&amp;col=7&amp;number=0&amp;sourceID=14","0")</f>
        <v>0</v>
      </c>
    </row>
    <row r="2346" spans="1:7">
      <c r="A2346" s="3">
        <v>10</v>
      </c>
      <c r="B2346" s="3">
        <v>5</v>
      </c>
      <c r="C2346" s="3">
        <v>44</v>
      </c>
      <c r="D2346" s="3">
        <v>40</v>
      </c>
      <c r="E2346" s="3">
        <v>8688.113</v>
      </c>
      <c r="F2346" s="4" t="str">
        <f>HYPERLINK("http://141.218.60.56/~jnz1568/getInfo.php?workbook=10_05.xlsx&amp;sheet=A0&amp;row=2346&amp;col=6&amp;number=8.03&amp;sourceID=14","8.03")</f>
        <v>8.03</v>
      </c>
      <c r="G2346" s="4" t="str">
        <f>HYPERLINK("http://141.218.60.56/~jnz1568/getInfo.php?workbook=10_05.xlsx&amp;sheet=A0&amp;row=2346&amp;col=7&amp;number=0&amp;sourceID=14","0")</f>
        <v>0</v>
      </c>
    </row>
    <row r="2347" spans="1:7">
      <c r="A2347" s="3">
        <v>10</v>
      </c>
      <c r="B2347" s="3">
        <v>5</v>
      </c>
      <c r="C2347" s="3">
        <v>47</v>
      </c>
      <c r="D2347" s="3">
        <v>40</v>
      </c>
      <c r="E2347" s="3">
        <v>7598.798</v>
      </c>
      <c r="F2347" s="4" t="str">
        <f>HYPERLINK("http://141.218.60.56/~jnz1568/getInfo.php?workbook=10_05.xlsx&amp;sheet=A0&amp;row=2347&amp;col=6&amp;number=110&amp;sourceID=14","110")</f>
        <v>110</v>
      </c>
      <c r="G2347" s="4" t="str">
        <f>HYPERLINK("http://141.218.60.56/~jnz1568/getInfo.php?workbook=10_05.xlsx&amp;sheet=A0&amp;row=2347&amp;col=7&amp;number=0&amp;sourceID=14","0")</f>
        <v>0</v>
      </c>
    </row>
    <row r="2348" spans="1:7">
      <c r="A2348" s="3">
        <v>10</v>
      </c>
      <c r="B2348" s="3">
        <v>5</v>
      </c>
      <c r="C2348" s="3">
        <v>50</v>
      </c>
      <c r="D2348" s="3">
        <v>40</v>
      </c>
      <c r="E2348" s="3">
        <v>5868.555</v>
      </c>
      <c r="F2348" s="4" t="str">
        <f>HYPERLINK("http://141.218.60.56/~jnz1568/getInfo.php?workbook=10_05.xlsx&amp;sheet=A0&amp;row=2348&amp;col=6&amp;number=29.5&amp;sourceID=14","29.5")</f>
        <v>29.5</v>
      </c>
      <c r="G2348" s="4" t="str">
        <f>HYPERLINK("http://141.218.60.56/~jnz1568/getInfo.php?workbook=10_05.xlsx&amp;sheet=A0&amp;row=2348&amp;col=7&amp;number=0&amp;sourceID=14","0")</f>
        <v>0</v>
      </c>
    </row>
    <row r="2349" spans="1:7">
      <c r="A2349" s="3">
        <v>10</v>
      </c>
      <c r="B2349" s="3">
        <v>5</v>
      </c>
      <c r="C2349" s="3">
        <v>51</v>
      </c>
      <c r="D2349" s="3">
        <v>40</v>
      </c>
      <c r="E2349" s="3">
        <v>5783.701</v>
      </c>
      <c r="F2349" s="4" t="str">
        <f>HYPERLINK("http://141.218.60.56/~jnz1568/getInfo.php?workbook=10_05.xlsx&amp;sheet=A0&amp;row=2349&amp;col=6&amp;number=6.59&amp;sourceID=14","6.59")</f>
        <v>6.59</v>
      </c>
      <c r="G2349" s="4" t="str">
        <f>HYPERLINK("http://141.218.60.56/~jnz1568/getInfo.php?workbook=10_05.xlsx&amp;sheet=A0&amp;row=2349&amp;col=7&amp;number=0&amp;sourceID=14","0")</f>
        <v>0</v>
      </c>
    </row>
    <row r="2350" spans="1:7">
      <c r="A2350" s="3">
        <v>10</v>
      </c>
      <c r="B2350" s="3">
        <v>5</v>
      </c>
      <c r="C2350" s="3">
        <v>52</v>
      </c>
      <c r="D2350" s="3">
        <v>40</v>
      </c>
      <c r="E2350" s="3">
        <v>3937.015</v>
      </c>
      <c r="F2350" s="4" t="str">
        <f>HYPERLINK("http://141.218.60.56/~jnz1568/getInfo.php?workbook=10_05.xlsx&amp;sheet=A0&amp;row=2350&amp;col=6&amp;number=2450000&amp;sourceID=14","2450000")</f>
        <v>2450000</v>
      </c>
      <c r="G2350" s="4" t="str">
        <f>HYPERLINK("http://141.218.60.56/~jnz1568/getInfo.php?workbook=10_05.xlsx&amp;sheet=A0&amp;row=2350&amp;col=7&amp;number=0&amp;sourceID=14","0")</f>
        <v>0</v>
      </c>
    </row>
    <row r="2351" spans="1:7">
      <c r="A2351" s="3">
        <v>10</v>
      </c>
      <c r="B2351" s="3">
        <v>5</v>
      </c>
      <c r="C2351" s="3">
        <v>53</v>
      </c>
      <c r="D2351" s="3">
        <v>40</v>
      </c>
      <c r="E2351" s="3">
        <v>3937.015</v>
      </c>
      <c r="F2351" s="4" t="str">
        <f>HYPERLINK("http://141.218.60.56/~jnz1568/getInfo.php?workbook=10_05.xlsx&amp;sheet=A0&amp;row=2351&amp;col=6&amp;number=2190000&amp;sourceID=14","2190000")</f>
        <v>2190000</v>
      </c>
      <c r="G2351" s="4" t="str">
        <f>HYPERLINK("http://141.218.60.56/~jnz1568/getInfo.php?workbook=10_05.xlsx&amp;sheet=A0&amp;row=2351&amp;col=7&amp;number=0&amp;sourceID=14","0")</f>
        <v>0</v>
      </c>
    </row>
    <row r="2352" spans="1:7">
      <c r="A2352" s="3">
        <v>10</v>
      </c>
      <c r="B2352" s="3">
        <v>5</v>
      </c>
      <c r="C2352" s="3">
        <v>56</v>
      </c>
      <c r="D2352" s="3">
        <v>40</v>
      </c>
      <c r="E2352" s="3">
        <v>2678.098</v>
      </c>
      <c r="F2352" s="4" t="str">
        <f>HYPERLINK("http://141.218.60.56/~jnz1568/getInfo.php?workbook=10_05.xlsx&amp;sheet=A0&amp;row=2352&amp;col=6&amp;number=60900000&amp;sourceID=14","60900000")</f>
        <v>60900000</v>
      </c>
      <c r="G2352" s="4" t="str">
        <f>HYPERLINK("http://141.218.60.56/~jnz1568/getInfo.php?workbook=10_05.xlsx&amp;sheet=A0&amp;row=2352&amp;col=7&amp;number=0&amp;sourceID=14","0")</f>
        <v>0</v>
      </c>
    </row>
    <row r="2353" spans="1:7">
      <c r="A2353" s="3">
        <v>10</v>
      </c>
      <c r="B2353" s="3">
        <v>5</v>
      </c>
      <c r="C2353" s="3">
        <v>57</v>
      </c>
      <c r="D2353" s="3">
        <v>40</v>
      </c>
      <c r="E2353" s="3">
        <v>2649.011</v>
      </c>
      <c r="F2353" s="4" t="str">
        <f>HYPERLINK("http://141.218.60.56/~jnz1568/getInfo.php?workbook=10_05.xlsx&amp;sheet=A0&amp;row=2353&amp;col=6&amp;number=65300000&amp;sourceID=14","65300000")</f>
        <v>65300000</v>
      </c>
      <c r="G2353" s="4" t="str">
        <f>HYPERLINK("http://141.218.60.56/~jnz1568/getInfo.php?workbook=10_05.xlsx&amp;sheet=A0&amp;row=2353&amp;col=7&amp;number=0&amp;sourceID=14","0")</f>
        <v>0</v>
      </c>
    </row>
    <row r="2354" spans="1:7">
      <c r="A2354" s="3">
        <v>10</v>
      </c>
      <c r="B2354" s="3">
        <v>5</v>
      </c>
      <c r="C2354" s="3">
        <v>64</v>
      </c>
      <c r="D2354" s="3">
        <v>40</v>
      </c>
      <c r="E2354" s="3">
        <v>-1103.243</v>
      </c>
      <c r="F2354" s="4" t="str">
        <f>HYPERLINK("http://141.218.60.56/~jnz1568/getInfo.php?workbook=10_05.xlsx&amp;sheet=A0&amp;row=2354&amp;col=6&amp;number=3310000&amp;sourceID=14","3310000")</f>
        <v>3310000</v>
      </c>
      <c r="G2354" s="4" t="str">
        <f>HYPERLINK("http://141.218.60.56/~jnz1568/getInfo.php?workbook=10_05.xlsx&amp;sheet=A0&amp;row=2354&amp;col=7&amp;number=0&amp;sourceID=14","0")</f>
        <v>0</v>
      </c>
    </row>
    <row r="2355" spans="1:7">
      <c r="A2355" s="3">
        <v>10</v>
      </c>
      <c r="B2355" s="3">
        <v>5</v>
      </c>
      <c r="C2355" s="3">
        <v>65</v>
      </c>
      <c r="D2355" s="3">
        <v>40</v>
      </c>
      <c r="E2355" s="3">
        <v>-1101.773</v>
      </c>
      <c r="F2355" s="4" t="str">
        <f>HYPERLINK("http://141.218.60.56/~jnz1568/getInfo.php?workbook=10_05.xlsx&amp;sheet=A0&amp;row=2355&amp;col=6&amp;number=3240000&amp;sourceID=14","3240000")</f>
        <v>3240000</v>
      </c>
      <c r="G2355" s="4" t="str">
        <f>HYPERLINK("http://141.218.60.56/~jnz1568/getInfo.php?workbook=10_05.xlsx&amp;sheet=A0&amp;row=2355&amp;col=7&amp;number=0&amp;sourceID=14","0")</f>
        <v>0</v>
      </c>
    </row>
    <row r="2356" spans="1:7">
      <c r="A2356" s="3">
        <v>10</v>
      </c>
      <c r="B2356" s="3">
        <v>5</v>
      </c>
      <c r="C2356" s="3">
        <v>73</v>
      </c>
      <c r="D2356" s="3">
        <v>40</v>
      </c>
      <c r="E2356" s="3">
        <v>867.681</v>
      </c>
      <c r="F2356" s="4" t="str">
        <f>HYPERLINK("http://141.218.60.56/~jnz1568/getInfo.php?workbook=10_05.xlsx&amp;sheet=A0&amp;row=2356&amp;col=6&amp;number=7630&amp;sourceID=14","7630")</f>
        <v>7630</v>
      </c>
      <c r="G2356" s="4" t="str">
        <f>HYPERLINK("http://141.218.60.56/~jnz1568/getInfo.php?workbook=10_05.xlsx&amp;sheet=A0&amp;row=2356&amp;col=7&amp;number=0&amp;sourceID=14","0")</f>
        <v>0</v>
      </c>
    </row>
    <row r="2357" spans="1:7">
      <c r="A2357" s="3">
        <v>10</v>
      </c>
      <c r="B2357" s="3">
        <v>5</v>
      </c>
      <c r="C2357" s="3">
        <v>75</v>
      </c>
      <c r="D2357" s="3">
        <v>40</v>
      </c>
      <c r="E2357" s="3">
        <v>851.283</v>
      </c>
      <c r="F2357" s="4" t="str">
        <f>HYPERLINK("http://141.218.60.56/~jnz1568/getInfo.php?workbook=10_05.xlsx&amp;sheet=A0&amp;row=2357&amp;col=6&amp;number=74300000&amp;sourceID=14","74300000")</f>
        <v>74300000</v>
      </c>
      <c r="G2357" s="4" t="str">
        <f>HYPERLINK("http://141.218.60.56/~jnz1568/getInfo.php?workbook=10_05.xlsx&amp;sheet=A0&amp;row=2357&amp;col=7&amp;number=0&amp;sourceID=14","0")</f>
        <v>0</v>
      </c>
    </row>
    <row r="2358" spans="1:7">
      <c r="A2358" s="3">
        <v>10</v>
      </c>
      <c r="B2358" s="3">
        <v>5</v>
      </c>
      <c r="C2358" s="3">
        <v>76</v>
      </c>
      <c r="D2358" s="3">
        <v>40</v>
      </c>
      <c r="E2358" s="3">
        <v>851.283</v>
      </c>
      <c r="F2358" s="4" t="str">
        <f>HYPERLINK("http://141.218.60.56/~jnz1568/getInfo.php?workbook=10_05.xlsx&amp;sheet=A0&amp;row=2358&amp;col=6&amp;number=74500000&amp;sourceID=14","74500000")</f>
        <v>74500000</v>
      </c>
      <c r="G2358" s="4" t="str">
        <f>HYPERLINK("http://141.218.60.56/~jnz1568/getInfo.php?workbook=10_05.xlsx&amp;sheet=A0&amp;row=2358&amp;col=7&amp;number=0&amp;sourceID=14","0")</f>
        <v>0</v>
      </c>
    </row>
    <row r="2359" spans="1:7">
      <c r="A2359" s="3">
        <v>10</v>
      </c>
      <c r="B2359" s="3">
        <v>5</v>
      </c>
      <c r="C2359" s="3">
        <v>79</v>
      </c>
      <c r="D2359" s="3">
        <v>40</v>
      </c>
      <c r="E2359" s="3">
        <v>-713.655</v>
      </c>
      <c r="F2359" s="4" t="str">
        <f>HYPERLINK("http://141.218.60.56/~jnz1568/getInfo.php?workbook=10_05.xlsx&amp;sheet=A0&amp;row=2359&amp;col=6&amp;number=1160000&amp;sourceID=14","1160000")</f>
        <v>1160000</v>
      </c>
      <c r="G2359" s="4" t="str">
        <f>HYPERLINK("http://141.218.60.56/~jnz1568/getInfo.php?workbook=10_05.xlsx&amp;sheet=A0&amp;row=2359&amp;col=7&amp;number=0&amp;sourceID=14","0")</f>
        <v>0</v>
      </c>
    </row>
    <row r="2360" spans="1:7">
      <c r="A2360" s="3">
        <v>10</v>
      </c>
      <c r="B2360" s="3">
        <v>5</v>
      </c>
      <c r="C2360" s="3">
        <v>82</v>
      </c>
      <c r="D2360" s="3">
        <v>40</v>
      </c>
      <c r="E2360" s="3">
        <v>679.395</v>
      </c>
      <c r="F2360" s="4" t="str">
        <f>HYPERLINK("http://141.218.60.56/~jnz1568/getInfo.php?workbook=10_05.xlsx&amp;sheet=A0&amp;row=2360&amp;col=6&amp;number=4390&amp;sourceID=14","4390")</f>
        <v>4390</v>
      </c>
      <c r="G2360" s="4" t="str">
        <f>HYPERLINK("http://141.218.60.56/~jnz1568/getInfo.php?workbook=10_05.xlsx&amp;sheet=A0&amp;row=2360&amp;col=7&amp;number=0&amp;sourceID=14","0")</f>
        <v>0</v>
      </c>
    </row>
    <row r="2361" spans="1:7">
      <c r="A2361" s="3">
        <v>10</v>
      </c>
      <c r="B2361" s="3">
        <v>5</v>
      </c>
      <c r="C2361" s="3">
        <v>83</v>
      </c>
      <c r="D2361" s="3">
        <v>40</v>
      </c>
      <c r="E2361" s="3">
        <v>679.395</v>
      </c>
      <c r="F2361" s="4" t="str">
        <f>HYPERLINK("http://141.218.60.56/~jnz1568/getInfo.php?workbook=10_05.xlsx&amp;sheet=A0&amp;row=2361&amp;col=6&amp;number=3410&amp;sourceID=14","3410")</f>
        <v>3410</v>
      </c>
      <c r="G2361" s="4" t="str">
        <f>HYPERLINK("http://141.218.60.56/~jnz1568/getInfo.php?workbook=10_05.xlsx&amp;sheet=A0&amp;row=2361&amp;col=7&amp;number=0&amp;sourceID=14","0")</f>
        <v>0</v>
      </c>
    </row>
    <row r="2362" spans="1:7">
      <c r="A2362" s="3">
        <v>10</v>
      </c>
      <c r="B2362" s="3">
        <v>5</v>
      </c>
      <c r="C2362" s="3">
        <v>88</v>
      </c>
      <c r="D2362" s="3">
        <v>40</v>
      </c>
      <c r="E2362" s="3">
        <v>665.16</v>
      </c>
      <c r="F2362" s="4" t="str">
        <f>HYPERLINK("http://141.218.60.56/~jnz1568/getInfo.php?workbook=10_05.xlsx&amp;sheet=A0&amp;row=2362&amp;col=6&amp;number=136000&amp;sourceID=14","136000")</f>
        <v>136000</v>
      </c>
      <c r="G2362" s="4" t="str">
        <f>HYPERLINK("http://141.218.60.56/~jnz1568/getInfo.php?workbook=10_05.xlsx&amp;sheet=A0&amp;row=2362&amp;col=7&amp;number=0&amp;sourceID=14","0")</f>
        <v>0</v>
      </c>
    </row>
    <row r="2363" spans="1:7">
      <c r="A2363" s="3">
        <v>10</v>
      </c>
      <c r="B2363" s="3">
        <v>5</v>
      </c>
      <c r="C2363" s="3">
        <v>89</v>
      </c>
      <c r="D2363" s="3">
        <v>40</v>
      </c>
      <c r="E2363" s="3">
        <v>663.527</v>
      </c>
      <c r="F2363" s="4" t="str">
        <f>HYPERLINK("http://141.218.60.56/~jnz1568/getInfo.php?workbook=10_05.xlsx&amp;sheet=A0&amp;row=2363&amp;col=6&amp;number=326000&amp;sourceID=14","326000")</f>
        <v>326000</v>
      </c>
      <c r="G2363" s="4" t="str">
        <f>HYPERLINK("http://141.218.60.56/~jnz1568/getInfo.php?workbook=10_05.xlsx&amp;sheet=A0&amp;row=2363&amp;col=7&amp;number=0&amp;sourceID=14","0")</f>
        <v>0</v>
      </c>
    </row>
    <row r="2364" spans="1:7">
      <c r="A2364" s="3">
        <v>10</v>
      </c>
      <c r="B2364" s="3">
        <v>5</v>
      </c>
      <c r="C2364" s="3">
        <v>91</v>
      </c>
      <c r="D2364" s="3">
        <v>40</v>
      </c>
      <c r="E2364" s="3">
        <v>-628.288</v>
      </c>
      <c r="F2364" s="4" t="str">
        <f>HYPERLINK("http://141.218.60.56/~jnz1568/getInfo.php?workbook=10_05.xlsx&amp;sheet=A0&amp;row=2364&amp;col=6&amp;number=22000&amp;sourceID=14","22000")</f>
        <v>22000</v>
      </c>
      <c r="G2364" s="4" t="str">
        <f>HYPERLINK("http://141.218.60.56/~jnz1568/getInfo.php?workbook=10_05.xlsx&amp;sheet=A0&amp;row=2364&amp;col=7&amp;number=0&amp;sourceID=14","0")</f>
        <v>0</v>
      </c>
    </row>
    <row r="2365" spans="1:7">
      <c r="A2365" s="3">
        <v>10</v>
      </c>
      <c r="B2365" s="3">
        <v>5</v>
      </c>
      <c r="C2365" s="3">
        <v>93</v>
      </c>
      <c r="D2365" s="3">
        <v>40</v>
      </c>
      <c r="E2365" s="3">
        <v>-596.109</v>
      </c>
      <c r="F2365" s="4" t="str">
        <f>HYPERLINK("http://141.218.60.56/~jnz1568/getInfo.php?workbook=10_05.xlsx&amp;sheet=A0&amp;row=2365&amp;col=6&amp;number=386000000&amp;sourceID=14","386000000")</f>
        <v>386000000</v>
      </c>
      <c r="G2365" s="4" t="str">
        <f>HYPERLINK("http://141.218.60.56/~jnz1568/getInfo.php?workbook=10_05.xlsx&amp;sheet=A0&amp;row=2365&amp;col=7&amp;number=0&amp;sourceID=14","0")</f>
        <v>0</v>
      </c>
    </row>
    <row r="2366" spans="1:7">
      <c r="A2366" s="3">
        <v>10</v>
      </c>
      <c r="B2366" s="3">
        <v>5</v>
      </c>
      <c r="C2366" s="3">
        <v>94</v>
      </c>
      <c r="D2366" s="3">
        <v>40</v>
      </c>
      <c r="E2366" s="3">
        <v>-595.562</v>
      </c>
      <c r="F2366" s="4" t="str">
        <f>HYPERLINK("http://141.218.60.56/~jnz1568/getInfo.php?workbook=10_05.xlsx&amp;sheet=A0&amp;row=2366&amp;col=6&amp;number=387000000&amp;sourceID=14","387000000")</f>
        <v>387000000</v>
      </c>
      <c r="G2366" s="4" t="str">
        <f>HYPERLINK("http://141.218.60.56/~jnz1568/getInfo.php?workbook=10_05.xlsx&amp;sheet=A0&amp;row=2366&amp;col=7&amp;number=0&amp;sourceID=14","0")</f>
        <v>0</v>
      </c>
    </row>
    <row r="2367" spans="1:7">
      <c r="A2367" s="3">
        <v>10</v>
      </c>
      <c r="B2367" s="3">
        <v>5</v>
      </c>
      <c r="C2367" s="3">
        <v>95</v>
      </c>
      <c r="D2367" s="3">
        <v>40</v>
      </c>
      <c r="E2367" s="3">
        <v>594.602</v>
      </c>
      <c r="F2367" s="4" t="str">
        <f>HYPERLINK("http://141.218.60.56/~jnz1568/getInfo.php?workbook=10_05.xlsx&amp;sheet=A0&amp;row=2367&amp;col=6&amp;number=631000&amp;sourceID=14","631000")</f>
        <v>631000</v>
      </c>
      <c r="G2367" s="4" t="str">
        <f>HYPERLINK("http://141.218.60.56/~jnz1568/getInfo.php?workbook=10_05.xlsx&amp;sheet=A0&amp;row=2367&amp;col=7&amp;number=0&amp;sourceID=14","0")</f>
        <v>0</v>
      </c>
    </row>
    <row r="2368" spans="1:7">
      <c r="A2368" s="3">
        <v>10</v>
      </c>
      <c r="B2368" s="3">
        <v>5</v>
      </c>
      <c r="C2368" s="3">
        <v>98</v>
      </c>
      <c r="D2368" s="3">
        <v>40</v>
      </c>
      <c r="E2368" s="3">
        <v>-541.73</v>
      </c>
      <c r="F2368" s="4" t="str">
        <f>HYPERLINK("http://141.218.60.56/~jnz1568/getInfo.php?workbook=10_05.xlsx&amp;sheet=A0&amp;row=2368&amp;col=6&amp;number=533000&amp;sourceID=14","533000")</f>
        <v>533000</v>
      </c>
      <c r="G2368" s="4" t="str">
        <f>HYPERLINK("http://141.218.60.56/~jnz1568/getInfo.php?workbook=10_05.xlsx&amp;sheet=A0&amp;row=2368&amp;col=7&amp;number=0&amp;sourceID=14","0")</f>
        <v>0</v>
      </c>
    </row>
    <row r="2369" spans="1:7">
      <c r="A2369" s="3">
        <v>10</v>
      </c>
      <c r="B2369" s="3">
        <v>5</v>
      </c>
      <c r="C2369" s="3">
        <v>101</v>
      </c>
      <c r="D2369" s="3">
        <v>40</v>
      </c>
      <c r="E2369" s="3">
        <v>-540.474</v>
      </c>
      <c r="F2369" s="4" t="str">
        <f>HYPERLINK("http://141.218.60.56/~jnz1568/getInfo.php?workbook=10_05.xlsx&amp;sheet=A0&amp;row=2369&amp;col=6&amp;number=1240000&amp;sourceID=14","1240000")</f>
        <v>1240000</v>
      </c>
      <c r="G2369" s="4" t="str">
        <f>HYPERLINK("http://141.218.60.56/~jnz1568/getInfo.php?workbook=10_05.xlsx&amp;sheet=A0&amp;row=2369&amp;col=7&amp;number=0&amp;sourceID=14","0")</f>
        <v>0</v>
      </c>
    </row>
    <row r="2370" spans="1:7">
      <c r="A2370" s="3">
        <v>10</v>
      </c>
      <c r="B2370" s="3">
        <v>5</v>
      </c>
      <c r="C2370" s="3">
        <v>110</v>
      </c>
      <c r="D2370" s="3">
        <v>40</v>
      </c>
      <c r="E2370" s="3">
        <v>-520.639</v>
      </c>
      <c r="F2370" s="4" t="str">
        <f>HYPERLINK("http://141.218.60.56/~jnz1568/getInfo.php?workbook=10_05.xlsx&amp;sheet=A0&amp;row=2370&amp;col=6&amp;number=1280000000&amp;sourceID=14","1280000000")</f>
        <v>1280000000</v>
      </c>
      <c r="G2370" s="4" t="str">
        <f>HYPERLINK("http://141.218.60.56/~jnz1568/getInfo.php?workbook=10_05.xlsx&amp;sheet=A0&amp;row=2370&amp;col=7&amp;number=0&amp;sourceID=14","0")</f>
        <v>0</v>
      </c>
    </row>
    <row r="2371" spans="1:7">
      <c r="A2371" s="3">
        <v>10</v>
      </c>
      <c r="B2371" s="3">
        <v>5</v>
      </c>
      <c r="C2371" s="3">
        <v>112</v>
      </c>
      <c r="D2371" s="3">
        <v>40</v>
      </c>
      <c r="E2371" s="3">
        <v>-518.867</v>
      </c>
      <c r="F2371" s="4" t="str">
        <f>HYPERLINK("http://141.218.60.56/~jnz1568/getInfo.php?workbook=10_05.xlsx&amp;sheet=A0&amp;row=2371&amp;col=6&amp;number=1270000000&amp;sourceID=14","1270000000")</f>
        <v>1270000000</v>
      </c>
      <c r="G2371" s="4" t="str">
        <f>HYPERLINK("http://141.218.60.56/~jnz1568/getInfo.php?workbook=10_05.xlsx&amp;sheet=A0&amp;row=2371&amp;col=7&amp;number=0&amp;sourceID=14","0")</f>
        <v>0</v>
      </c>
    </row>
    <row r="2372" spans="1:7">
      <c r="A2372" s="3">
        <v>10</v>
      </c>
      <c r="B2372" s="3">
        <v>5</v>
      </c>
      <c r="C2372" s="3">
        <v>114</v>
      </c>
      <c r="D2372" s="3">
        <v>40</v>
      </c>
      <c r="E2372" s="3">
        <v>516.797</v>
      </c>
      <c r="F2372" s="4" t="str">
        <f>HYPERLINK("http://141.218.60.56/~jnz1568/getInfo.php?workbook=10_05.xlsx&amp;sheet=A0&amp;row=2372&amp;col=6&amp;number=47500&amp;sourceID=14","47500")</f>
        <v>47500</v>
      </c>
      <c r="G2372" s="4" t="str">
        <f>HYPERLINK("http://141.218.60.56/~jnz1568/getInfo.php?workbook=10_05.xlsx&amp;sheet=A0&amp;row=2372&amp;col=7&amp;number=0&amp;sourceID=14","0")</f>
        <v>0</v>
      </c>
    </row>
    <row r="2373" spans="1:7">
      <c r="A2373" s="3">
        <v>10</v>
      </c>
      <c r="B2373" s="3">
        <v>5</v>
      </c>
      <c r="C2373" s="3">
        <v>127</v>
      </c>
      <c r="D2373" s="3">
        <v>40</v>
      </c>
      <c r="E2373" s="3">
        <v>-485.181</v>
      </c>
      <c r="F2373" s="4" t="str">
        <f>HYPERLINK("http://141.218.60.56/~jnz1568/getInfo.php?workbook=10_05.xlsx&amp;sheet=A0&amp;row=2373&amp;col=6&amp;number=142000000&amp;sourceID=14","142000000")</f>
        <v>142000000</v>
      </c>
      <c r="G2373" s="4" t="str">
        <f>HYPERLINK("http://141.218.60.56/~jnz1568/getInfo.php?workbook=10_05.xlsx&amp;sheet=A0&amp;row=2373&amp;col=7&amp;number=0&amp;sourceID=14","0")</f>
        <v>0</v>
      </c>
    </row>
    <row r="2374" spans="1:7">
      <c r="A2374" s="3">
        <v>10</v>
      </c>
      <c r="B2374" s="3">
        <v>5</v>
      </c>
      <c r="C2374" s="3">
        <v>128</v>
      </c>
      <c r="D2374" s="3">
        <v>40</v>
      </c>
      <c r="E2374" s="3">
        <v>-484.126</v>
      </c>
      <c r="F2374" s="4" t="str">
        <f>HYPERLINK("http://141.218.60.56/~jnz1568/getInfo.php?workbook=10_05.xlsx&amp;sheet=A0&amp;row=2374&amp;col=6&amp;number=157000000&amp;sourceID=14","157000000")</f>
        <v>157000000</v>
      </c>
      <c r="G2374" s="4" t="str">
        <f>HYPERLINK("http://141.218.60.56/~jnz1568/getInfo.php?workbook=10_05.xlsx&amp;sheet=A0&amp;row=2374&amp;col=7&amp;number=0&amp;sourceID=14","0")</f>
        <v>0</v>
      </c>
    </row>
    <row r="2375" spans="1:7">
      <c r="A2375" s="3">
        <v>10</v>
      </c>
      <c r="B2375" s="3">
        <v>5</v>
      </c>
      <c r="C2375" s="3">
        <v>134</v>
      </c>
      <c r="D2375" s="3">
        <v>40</v>
      </c>
      <c r="E2375" s="3">
        <v>-473.854</v>
      </c>
      <c r="F2375" s="4" t="str">
        <f>HYPERLINK("http://141.218.60.56/~jnz1568/getInfo.php?workbook=10_05.xlsx&amp;sheet=A0&amp;row=2375&amp;col=6&amp;number=5200&amp;sourceID=14","5200")</f>
        <v>5200</v>
      </c>
      <c r="G2375" s="4" t="str">
        <f>HYPERLINK("http://141.218.60.56/~jnz1568/getInfo.php?workbook=10_05.xlsx&amp;sheet=A0&amp;row=2375&amp;col=7&amp;number=0&amp;sourceID=14","0")</f>
        <v>0</v>
      </c>
    </row>
    <row r="2376" spans="1:7">
      <c r="A2376" s="3">
        <v>10</v>
      </c>
      <c r="B2376" s="3">
        <v>5</v>
      </c>
      <c r="C2376" s="3">
        <v>141</v>
      </c>
      <c r="D2376" s="3">
        <v>40</v>
      </c>
      <c r="E2376" s="3">
        <v>-463.515</v>
      </c>
      <c r="F2376" s="4" t="str">
        <f>HYPERLINK("http://141.218.60.56/~jnz1568/getInfo.php?workbook=10_05.xlsx&amp;sheet=A0&amp;row=2376&amp;col=6&amp;number=890000&amp;sourceID=14","890000")</f>
        <v>890000</v>
      </c>
      <c r="G2376" s="4" t="str">
        <f>HYPERLINK("http://141.218.60.56/~jnz1568/getInfo.php?workbook=10_05.xlsx&amp;sheet=A0&amp;row=2376&amp;col=7&amp;number=0&amp;sourceID=14","0")</f>
        <v>0</v>
      </c>
    </row>
    <row r="2377" spans="1:7">
      <c r="A2377" s="3">
        <v>10</v>
      </c>
      <c r="B2377" s="3">
        <v>5</v>
      </c>
      <c r="C2377" s="3">
        <v>142</v>
      </c>
      <c r="D2377" s="3">
        <v>40</v>
      </c>
      <c r="E2377" s="3">
        <v>463.414</v>
      </c>
      <c r="F2377" s="4" t="str">
        <f>HYPERLINK("http://141.218.60.56/~jnz1568/getInfo.php?workbook=10_05.xlsx&amp;sheet=A0&amp;row=2377&amp;col=6&amp;number=633000&amp;sourceID=14","633000")</f>
        <v>633000</v>
      </c>
      <c r="G2377" s="4" t="str">
        <f>HYPERLINK("http://141.218.60.56/~jnz1568/getInfo.php?workbook=10_05.xlsx&amp;sheet=A0&amp;row=2377&amp;col=7&amp;number=0&amp;sourceID=14","0")</f>
        <v>0</v>
      </c>
    </row>
    <row r="2378" spans="1:7">
      <c r="A2378" s="3">
        <v>10</v>
      </c>
      <c r="B2378" s="3">
        <v>5</v>
      </c>
      <c r="C2378" s="3">
        <v>145</v>
      </c>
      <c r="D2378" s="3">
        <v>40</v>
      </c>
      <c r="E2378" s="3">
        <v>460.512</v>
      </c>
      <c r="F2378" s="4" t="str">
        <f>HYPERLINK("http://141.218.60.56/~jnz1568/getInfo.php?workbook=10_05.xlsx&amp;sheet=A0&amp;row=2378&amp;col=6&amp;number=6130000&amp;sourceID=14","6130000")</f>
        <v>6130000</v>
      </c>
      <c r="G2378" s="4" t="str">
        <f>HYPERLINK("http://141.218.60.56/~jnz1568/getInfo.php?workbook=10_05.xlsx&amp;sheet=A0&amp;row=2378&amp;col=7&amp;number=0&amp;sourceID=14","0")</f>
        <v>0</v>
      </c>
    </row>
    <row r="2379" spans="1:7">
      <c r="A2379" s="3">
        <v>10</v>
      </c>
      <c r="B2379" s="3">
        <v>5</v>
      </c>
      <c r="C2379" s="3">
        <v>148</v>
      </c>
      <c r="D2379" s="3">
        <v>40</v>
      </c>
      <c r="E2379" s="3">
        <v>459.053</v>
      </c>
      <c r="F2379" s="4" t="str">
        <f>HYPERLINK("http://141.218.60.56/~jnz1568/getInfo.php?workbook=10_05.xlsx&amp;sheet=A0&amp;row=2379&amp;col=6&amp;number=894000&amp;sourceID=14","894000")</f>
        <v>894000</v>
      </c>
      <c r="G2379" s="4" t="str">
        <f>HYPERLINK("http://141.218.60.56/~jnz1568/getInfo.php?workbook=10_05.xlsx&amp;sheet=A0&amp;row=2379&amp;col=7&amp;number=0&amp;sourceID=14","0")</f>
        <v>0</v>
      </c>
    </row>
    <row r="2380" spans="1:7">
      <c r="A2380" s="3">
        <v>10</v>
      </c>
      <c r="B2380" s="3">
        <v>5</v>
      </c>
      <c r="C2380" s="3">
        <v>149</v>
      </c>
      <c r="D2380" s="3">
        <v>40</v>
      </c>
      <c r="E2380" s="3">
        <v>458.843</v>
      </c>
      <c r="F2380" s="4" t="str">
        <f>HYPERLINK("http://141.218.60.56/~jnz1568/getInfo.php?workbook=10_05.xlsx&amp;sheet=A0&amp;row=2380&amp;col=6&amp;number=119000&amp;sourceID=14","119000")</f>
        <v>119000</v>
      </c>
      <c r="G2380" s="4" t="str">
        <f>HYPERLINK("http://141.218.60.56/~jnz1568/getInfo.php?workbook=10_05.xlsx&amp;sheet=A0&amp;row=2380&amp;col=7&amp;number=0&amp;sourceID=14","0")</f>
        <v>0</v>
      </c>
    </row>
    <row r="2381" spans="1:7">
      <c r="A2381" s="3">
        <v>10</v>
      </c>
      <c r="B2381" s="3">
        <v>5</v>
      </c>
      <c r="C2381" s="3">
        <v>158</v>
      </c>
      <c r="D2381" s="3">
        <v>40</v>
      </c>
      <c r="E2381" s="3">
        <v>-442.686</v>
      </c>
      <c r="F2381" s="4" t="str">
        <f>HYPERLINK("http://141.218.60.56/~jnz1568/getInfo.php?workbook=10_05.xlsx&amp;sheet=A0&amp;row=2381&amp;col=6&amp;number=4530000000&amp;sourceID=14","4530000000")</f>
        <v>4530000000</v>
      </c>
      <c r="G2381" s="4" t="str">
        <f>HYPERLINK("http://141.218.60.56/~jnz1568/getInfo.php?workbook=10_05.xlsx&amp;sheet=A0&amp;row=2381&amp;col=7&amp;number=0&amp;sourceID=14","0")</f>
        <v>0</v>
      </c>
    </row>
    <row r="2382" spans="1:7">
      <c r="A2382" s="3">
        <v>10</v>
      </c>
      <c r="B2382" s="3">
        <v>5</v>
      </c>
      <c r="C2382" s="3">
        <v>159</v>
      </c>
      <c r="D2382" s="3">
        <v>40</v>
      </c>
      <c r="E2382" s="3">
        <v>-441.849</v>
      </c>
      <c r="F2382" s="4" t="str">
        <f>HYPERLINK("http://141.218.60.56/~jnz1568/getInfo.php?workbook=10_05.xlsx&amp;sheet=A0&amp;row=2382&amp;col=6&amp;number=4600000000&amp;sourceID=14","4600000000")</f>
        <v>4600000000</v>
      </c>
      <c r="G2382" s="4" t="str">
        <f>HYPERLINK("http://141.218.60.56/~jnz1568/getInfo.php?workbook=10_05.xlsx&amp;sheet=A0&amp;row=2382&amp;col=7&amp;number=0&amp;sourceID=14","0")</f>
        <v>0</v>
      </c>
    </row>
    <row r="2383" spans="1:7">
      <c r="A2383" s="3">
        <v>10</v>
      </c>
      <c r="B2383" s="3">
        <v>5</v>
      </c>
      <c r="C2383" s="3">
        <v>164</v>
      </c>
      <c r="D2383" s="3">
        <v>40</v>
      </c>
      <c r="E2383" s="3">
        <v>-367.043</v>
      </c>
      <c r="F2383" s="4" t="str">
        <f>HYPERLINK("http://141.218.60.56/~jnz1568/getInfo.php?workbook=10_05.xlsx&amp;sheet=A0&amp;row=2383&amp;col=6&amp;number=36300000&amp;sourceID=14","36300000")</f>
        <v>36300000</v>
      </c>
      <c r="G2383" s="4" t="str">
        <f>HYPERLINK("http://141.218.60.56/~jnz1568/getInfo.php?workbook=10_05.xlsx&amp;sheet=A0&amp;row=2383&amp;col=7&amp;number=0&amp;sourceID=14","0")</f>
        <v>0</v>
      </c>
    </row>
    <row r="2384" spans="1:7">
      <c r="A2384" s="3">
        <v>10</v>
      </c>
      <c r="B2384" s="3">
        <v>5</v>
      </c>
      <c r="C2384" s="3">
        <v>165</v>
      </c>
      <c r="D2384" s="3">
        <v>40</v>
      </c>
      <c r="E2384" s="3">
        <v>-366.859</v>
      </c>
      <c r="F2384" s="4" t="str">
        <f>HYPERLINK("http://141.218.60.56/~jnz1568/getInfo.php?workbook=10_05.xlsx&amp;sheet=A0&amp;row=2384&amp;col=6&amp;number=35500000&amp;sourceID=14","35500000")</f>
        <v>35500000</v>
      </c>
      <c r="G2384" s="4" t="str">
        <f>HYPERLINK("http://141.218.60.56/~jnz1568/getInfo.php?workbook=10_05.xlsx&amp;sheet=A0&amp;row=2384&amp;col=7&amp;number=0&amp;sourceID=14","0")</f>
        <v>0</v>
      </c>
    </row>
    <row r="2385" spans="1:7">
      <c r="A2385" s="3">
        <v>10</v>
      </c>
      <c r="B2385" s="3">
        <v>5</v>
      </c>
      <c r="C2385" s="3">
        <v>166</v>
      </c>
      <c r="D2385" s="3">
        <v>40</v>
      </c>
      <c r="E2385" s="3">
        <v>-333.707</v>
      </c>
      <c r="F2385" s="4" t="str">
        <f>HYPERLINK("http://141.218.60.56/~jnz1568/getInfo.php?workbook=10_05.xlsx&amp;sheet=A0&amp;row=2385&amp;col=6&amp;number=8700000&amp;sourceID=14","8700000")</f>
        <v>8700000</v>
      </c>
      <c r="G2385" s="4" t="str">
        <f>HYPERLINK("http://141.218.60.56/~jnz1568/getInfo.php?workbook=10_05.xlsx&amp;sheet=A0&amp;row=2385&amp;col=7&amp;number=0&amp;sourceID=14","0")</f>
        <v>0</v>
      </c>
    </row>
    <row r="2386" spans="1:7">
      <c r="A2386" s="3">
        <v>10</v>
      </c>
      <c r="B2386" s="3">
        <v>5</v>
      </c>
      <c r="C2386" s="3">
        <v>167</v>
      </c>
      <c r="D2386" s="3">
        <v>40</v>
      </c>
      <c r="E2386" s="3">
        <v>-333.66</v>
      </c>
      <c r="F2386" s="4" t="str">
        <f>HYPERLINK("http://141.218.60.56/~jnz1568/getInfo.php?workbook=10_05.xlsx&amp;sheet=A0&amp;row=2386&amp;col=6&amp;number=8690000&amp;sourceID=14","8690000")</f>
        <v>8690000</v>
      </c>
      <c r="G2386" s="4" t="str">
        <f>HYPERLINK("http://141.218.60.56/~jnz1568/getInfo.php?workbook=10_05.xlsx&amp;sheet=A0&amp;row=2386&amp;col=7&amp;number=0&amp;sourceID=14","0")</f>
        <v>0</v>
      </c>
    </row>
    <row r="2387" spans="1:7">
      <c r="A2387" s="3">
        <v>10</v>
      </c>
      <c r="B2387" s="3">
        <v>5</v>
      </c>
      <c r="C2387" s="3">
        <v>177</v>
      </c>
      <c r="D2387" s="3">
        <v>40</v>
      </c>
      <c r="E2387" s="3">
        <v>-301.138</v>
      </c>
      <c r="F2387" s="4" t="str">
        <f>HYPERLINK("http://141.218.60.56/~jnz1568/getInfo.php?workbook=10_05.xlsx&amp;sheet=A0&amp;row=2387&amp;col=6&amp;number=19900&amp;sourceID=14","19900")</f>
        <v>19900</v>
      </c>
      <c r="G2387" s="4" t="str">
        <f>HYPERLINK("http://141.218.60.56/~jnz1568/getInfo.php?workbook=10_05.xlsx&amp;sheet=A0&amp;row=2387&amp;col=7&amp;number=0&amp;sourceID=14","0")</f>
        <v>0</v>
      </c>
    </row>
    <row r="2388" spans="1:7">
      <c r="A2388" s="3">
        <v>10</v>
      </c>
      <c r="B2388" s="3">
        <v>5</v>
      </c>
      <c r="C2388" s="3">
        <v>179</v>
      </c>
      <c r="D2388" s="3">
        <v>40</v>
      </c>
      <c r="E2388" s="3">
        <v>-297.47</v>
      </c>
      <c r="F2388" s="4" t="str">
        <f>HYPERLINK("http://141.218.60.56/~jnz1568/getInfo.php?workbook=10_05.xlsx&amp;sheet=A0&amp;row=2388&amp;col=6&amp;number=76500000&amp;sourceID=14","76500000")</f>
        <v>76500000</v>
      </c>
      <c r="G2388" s="4" t="str">
        <f>HYPERLINK("http://141.218.60.56/~jnz1568/getInfo.php?workbook=10_05.xlsx&amp;sheet=A0&amp;row=2388&amp;col=7&amp;number=0&amp;sourceID=14","0")</f>
        <v>0</v>
      </c>
    </row>
    <row r="2389" spans="1:7">
      <c r="A2389" s="3">
        <v>10</v>
      </c>
      <c r="B2389" s="3">
        <v>5</v>
      </c>
      <c r="C2389" s="3">
        <v>180</v>
      </c>
      <c r="D2389" s="3">
        <v>40</v>
      </c>
      <c r="E2389" s="3">
        <v>-297.437</v>
      </c>
      <c r="F2389" s="4" t="str">
        <f>HYPERLINK("http://141.218.60.56/~jnz1568/getInfo.php?workbook=10_05.xlsx&amp;sheet=A0&amp;row=2389&amp;col=6&amp;number=78000000&amp;sourceID=14","78000000")</f>
        <v>78000000</v>
      </c>
      <c r="G2389" s="4" t="str">
        <f>HYPERLINK("http://141.218.60.56/~jnz1568/getInfo.php?workbook=10_05.xlsx&amp;sheet=A0&amp;row=2389&amp;col=7&amp;number=0&amp;sourceID=14","0")</f>
        <v>0</v>
      </c>
    </row>
    <row r="2390" spans="1:7">
      <c r="A2390" s="3">
        <v>10</v>
      </c>
      <c r="B2390" s="3">
        <v>5</v>
      </c>
      <c r="C2390" s="3">
        <v>60</v>
      </c>
      <c r="D2390" s="3">
        <v>41</v>
      </c>
      <c r="E2390" s="3">
        <v>-1408.017</v>
      </c>
      <c r="F2390" s="4" t="str">
        <f>HYPERLINK("http://141.218.60.56/~jnz1568/getInfo.php?workbook=10_05.xlsx&amp;sheet=A0&amp;row=2390&amp;col=6&amp;number=83&amp;sourceID=14","83")</f>
        <v>83</v>
      </c>
      <c r="G2390" s="4" t="str">
        <f>HYPERLINK("http://141.218.60.56/~jnz1568/getInfo.php?workbook=10_05.xlsx&amp;sheet=A0&amp;row=2390&amp;col=7&amp;number=0&amp;sourceID=14","0")</f>
        <v>0</v>
      </c>
    </row>
    <row r="2391" spans="1:7">
      <c r="A2391" s="3">
        <v>10</v>
      </c>
      <c r="B2391" s="3">
        <v>5</v>
      </c>
      <c r="C2391" s="3">
        <v>67</v>
      </c>
      <c r="D2391" s="3">
        <v>41</v>
      </c>
      <c r="E2391" s="3">
        <v>-962.068</v>
      </c>
      <c r="F2391" s="4" t="str">
        <f>HYPERLINK("http://141.218.60.56/~jnz1568/getInfo.php?workbook=10_05.xlsx&amp;sheet=A0&amp;row=2391&amp;col=6&amp;number=2240&amp;sourceID=14","2240")</f>
        <v>2240</v>
      </c>
      <c r="G2391" s="4" t="str">
        <f>HYPERLINK("http://141.218.60.56/~jnz1568/getInfo.php?workbook=10_05.xlsx&amp;sheet=A0&amp;row=2391&amp;col=7&amp;number=0&amp;sourceID=14","0")</f>
        <v>0</v>
      </c>
    </row>
    <row r="2392" spans="1:7">
      <c r="A2392" s="3">
        <v>10</v>
      </c>
      <c r="B2392" s="3">
        <v>5</v>
      </c>
      <c r="C2392" s="3">
        <v>72</v>
      </c>
      <c r="D2392" s="3">
        <v>41</v>
      </c>
      <c r="E2392" s="3">
        <v>-921.126</v>
      </c>
      <c r="F2392" s="4" t="str">
        <f>HYPERLINK("http://141.218.60.56/~jnz1568/getInfo.php?workbook=10_05.xlsx&amp;sheet=A0&amp;row=2392&amp;col=6&amp;number=43900&amp;sourceID=14","43900")</f>
        <v>43900</v>
      </c>
      <c r="G2392" s="4" t="str">
        <f>HYPERLINK("http://141.218.60.56/~jnz1568/getInfo.php?workbook=10_05.xlsx&amp;sheet=A0&amp;row=2392&amp;col=7&amp;number=0&amp;sourceID=14","0")</f>
        <v>0</v>
      </c>
    </row>
    <row r="2393" spans="1:7">
      <c r="A2393" s="3">
        <v>10</v>
      </c>
      <c r="B2393" s="3">
        <v>5</v>
      </c>
      <c r="C2393" s="3">
        <v>81</v>
      </c>
      <c r="D2393" s="3">
        <v>41</v>
      </c>
      <c r="E2393" s="3">
        <v>-708.608</v>
      </c>
      <c r="F2393" s="4" t="str">
        <f>HYPERLINK("http://141.218.60.56/~jnz1568/getInfo.php?workbook=10_05.xlsx&amp;sheet=A0&amp;row=2393&amp;col=6&amp;number=18100&amp;sourceID=14","18100")</f>
        <v>18100</v>
      </c>
      <c r="G2393" s="4" t="str">
        <f>HYPERLINK("http://141.218.60.56/~jnz1568/getInfo.php?workbook=10_05.xlsx&amp;sheet=A0&amp;row=2393&amp;col=7&amp;number=0&amp;sourceID=14","0")</f>
        <v>0</v>
      </c>
    </row>
    <row r="2394" spans="1:7">
      <c r="A2394" s="3">
        <v>10</v>
      </c>
      <c r="B2394" s="3">
        <v>5</v>
      </c>
      <c r="C2394" s="3">
        <v>100</v>
      </c>
      <c r="D2394" s="3">
        <v>41</v>
      </c>
      <c r="E2394" s="3">
        <v>-541.405</v>
      </c>
      <c r="F2394" s="4" t="str">
        <f>HYPERLINK("http://141.218.60.56/~jnz1568/getInfo.php?workbook=10_05.xlsx&amp;sheet=A0&amp;row=2394&amp;col=6&amp;number=593000000&amp;sourceID=14","593000000")</f>
        <v>593000000</v>
      </c>
      <c r="G2394" s="4" t="str">
        <f>HYPERLINK("http://141.218.60.56/~jnz1568/getInfo.php?workbook=10_05.xlsx&amp;sheet=A0&amp;row=2394&amp;col=7&amp;number=0&amp;sourceID=14","0")</f>
        <v>0</v>
      </c>
    </row>
    <row r="2395" spans="1:7">
      <c r="A2395" s="3">
        <v>10</v>
      </c>
      <c r="B2395" s="3">
        <v>5</v>
      </c>
      <c r="C2395" s="3">
        <v>102</v>
      </c>
      <c r="D2395" s="3">
        <v>41</v>
      </c>
      <c r="E2395" s="3">
        <v>-540.305</v>
      </c>
      <c r="F2395" s="4" t="str">
        <f>HYPERLINK("http://141.218.60.56/~jnz1568/getInfo.php?workbook=10_05.xlsx&amp;sheet=A0&amp;row=2395&amp;col=6&amp;number=1910000000&amp;sourceID=14","1910000000")</f>
        <v>1910000000</v>
      </c>
      <c r="G2395" s="4" t="str">
        <f>HYPERLINK("http://141.218.60.56/~jnz1568/getInfo.php?workbook=10_05.xlsx&amp;sheet=A0&amp;row=2395&amp;col=7&amp;number=0&amp;sourceID=14","0")</f>
        <v>0</v>
      </c>
    </row>
    <row r="2396" spans="1:7">
      <c r="A2396" s="3">
        <v>10</v>
      </c>
      <c r="B2396" s="3">
        <v>5</v>
      </c>
      <c r="C2396" s="3">
        <v>104</v>
      </c>
      <c r="D2396" s="3">
        <v>41</v>
      </c>
      <c r="E2396" s="3">
        <v>-538.858</v>
      </c>
      <c r="F2396" s="4" t="str">
        <f>HYPERLINK("http://141.218.60.56/~jnz1568/getInfo.php?workbook=10_05.xlsx&amp;sheet=A0&amp;row=2396&amp;col=6&amp;number=249000000&amp;sourceID=14","249000000")</f>
        <v>249000000</v>
      </c>
      <c r="G2396" s="4" t="str">
        <f>HYPERLINK("http://141.218.60.56/~jnz1568/getInfo.php?workbook=10_05.xlsx&amp;sheet=A0&amp;row=2396&amp;col=7&amp;number=0&amp;sourceID=14","0")</f>
        <v>0</v>
      </c>
    </row>
    <row r="2397" spans="1:7">
      <c r="A2397" s="3">
        <v>10</v>
      </c>
      <c r="B2397" s="3">
        <v>5</v>
      </c>
      <c r="C2397" s="3">
        <v>107</v>
      </c>
      <c r="D2397" s="3">
        <v>41</v>
      </c>
      <c r="E2397" s="3">
        <v>-524.044</v>
      </c>
      <c r="F2397" s="4" t="str">
        <f>HYPERLINK("http://141.218.60.56/~jnz1568/getInfo.php?workbook=10_05.xlsx&amp;sheet=A0&amp;row=2397&amp;col=6&amp;number=3100000000&amp;sourceID=14","3100000000")</f>
        <v>3100000000</v>
      </c>
      <c r="G2397" s="4" t="str">
        <f>HYPERLINK("http://141.218.60.56/~jnz1568/getInfo.php?workbook=10_05.xlsx&amp;sheet=A0&amp;row=2397&amp;col=7&amp;number=0&amp;sourceID=14","0")</f>
        <v>0</v>
      </c>
    </row>
    <row r="2398" spans="1:7">
      <c r="A2398" s="3">
        <v>10</v>
      </c>
      <c r="B2398" s="3">
        <v>5</v>
      </c>
      <c r="C2398" s="3">
        <v>108</v>
      </c>
      <c r="D2398" s="3">
        <v>41</v>
      </c>
      <c r="E2398" s="3">
        <v>-523.252</v>
      </c>
      <c r="F2398" s="4" t="str">
        <f>HYPERLINK("http://141.218.60.56/~jnz1568/getInfo.php?workbook=10_05.xlsx&amp;sheet=A0&amp;row=2398&amp;col=6&amp;number=470000000&amp;sourceID=14","470000000")</f>
        <v>470000000</v>
      </c>
      <c r="G2398" s="4" t="str">
        <f>HYPERLINK("http://141.218.60.56/~jnz1568/getInfo.php?workbook=10_05.xlsx&amp;sheet=A0&amp;row=2398&amp;col=7&amp;number=0&amp;sourceID=14","0")</f>
        <v>0</v>
      </c>
    </row>
    <row r="2399" spans="1:7">
      <c r="A2399" s="3">
        <v>10</v>
      </c>
      <c r="B2399" s="3">
        <v>5</v>
      </c>
      <c r="C2399" s="3">
        <v>115</v>
      </c>
      <c r="D2399" s="3">
        <v>41</v>
      </c>
      <c r="E2399" s="3">
        <v>-502.493</v>
      </c>
      <c r="F2399" s="4" t="str">
        <f>HYPERLINK("http://141.218.60.56/~jnz1568/getInfo.php?workbook=10_05.xlsx&amp;sheet=A0&amp;row=2399&amp;col=6&amp;number=2030000&amp;sourceID=14","2030000")</f>
        <v>2030000</v>
      </c>
      <c r="G2399" s="4" t="str">
        <f>HYPERLINK("http://141.218.60.56/~jnz1568/getInfo.php?workbook=10_05.xlsx&amp;sheet=A0&amp;row=2399&amp;col=7&amp;number=0&amp;sourceID=14","0")</f>
        <v>0</v>
      </c>
    </row>
    <row r="2400" spans="1:7">
      <c r="A2400" s="3">
        <v>10</v>
      </c>
      <c r="B2400" s="3">
        <v>5</v>
      </c>
      <c r="C2400" s="3">
        <v>116</v>
      </c>
      <c r="D2400" s="3">
        <v>41</v>
      </c>
      <c r="E2400" s="3">
        <v>-500.256</v>
      </c>
      <c r="F2400" s="4" t="str">
        <f>HYPERLINK("http://141.218.60.56/~jnz1568/getInfo.php?workbook=10_05.xlsx&amp;sheet=A0&amp;row=2400&amp;col=6&amp;number=1300000&amp;sourceID=14","1300000")</f>
        <v>1300000</v>
      </c>
      <c r="G2400" s="4" t="str">
        <f>HYPERLINK("http://141.218.60.56/~jnz1568/getInfo.php?workbook=10_05.xlsx&amp;sheet=A0&amp;row=2400&amp;col=7&amp;number=0&amp;sourceID=14","0")</f>
        <v>0</v>
      </c>
    </row>
    <row r="2401" spans="1:7">
      <c r="A2401" s="3">
        <v>10</v>
      </c>
      <c r="B2401" s="3">
        <v>5</v>
      </c>
      <c r="C2401" s="3">
        <v>117</v>
      </c>
      <c r="D2401" s="3">
        <v>41</v>
      </c>
      <c r="E2401" s="3">
        <v>-499.696</v>
      </c>
      <c r="F2401" s="4" t="str">
        <f>HYPERLINK("http://141.218.60.56/~jnz1568/getInfo.php?workbook=10_05.xlsx&amp;sheet=A0&amp;row=2401&amp;col=6&amp;number=67600&amp;sourceID=14","67600")</f>
        <v>67600</v>
      </c>
      <c r="G2401" s="4" t="str">
        <f>HYPERLINK("http://141.218.60.56/~jnz1568/getInfo.php?workbook=10_05.xlsx&amp;sheet=A0&amp;row=2401&amp;col=7&amp;number=0&amp;sourceID=14","0")</f>
        <v>0</v>
      </c>
    </row>
    <row r="2402" spans="1:7">
      <c r="A2402" s="3">
        <v>10</v>
      </c>
      <c r="B2402" s="3">
        <v>5</v>
      </c>
      <c r="C2402" s="3">
        <v>122</v>
      </c>
      <c r="D2402" s="3">
        <v>41</v>
      </c>
      <c r="E2402" s="3">
        <v>-490.178</v>
      </c>
      <c r="F2402" s="4" t="str">
        <f>HYPERLINK("http://141.218.60.56/~jnz1568/getInfo.php?workbook=10_05.xlsx&amp;sheet=A0&amp;row=2402&amp;col=6&amp;number=169000&amp;sourceID=14","169000")</f>
        <v>169000</v>
      </c>
      <c r="G2402" s="4" t="str">
        <f>HYPERLINK("http://141.218.60.56/~jnz1568/getInfo.php?workbook=10_05.xlsx&amp;sheet=A0&amp;row=2402&amp;col=7&amp;number=0&amp;sourceID=14","0")</f>
        <v>0</v>
      </c>
    </row>
    <row r="2403" spans="1:7">
      <c r="A2403" s="3">
        <v>10</v>
      </c>
      <c r="B2403" s="3">
        <v>5</v>
      </c>
      <c r="C2403" s="3">
        <v>124</v>
      </c>
      <c r="D2403" s="3">
        <v>41</v>
      </c>
      <c r="E2403" s="3">
        <v>-488.886</v>
      </c>
      <c r="F2403" s="4" t="str">
        <f>HYPERLINK("http://141.218.60.56/~jnz1568/getInfo.php?workbook=10_05.xlsx&amp;sheet=A0&amp;row=2403&amp;col=6&amp;number=201000&amp;sourceID=14","201000")</f>
        <v>201000</v>
      </c>
      <c r="G2403" s="4" t="str">
        <f>HYPERLINK("http://141.218.60.56/~jnz1568/getInfo.php?workbook=10_05.xlsx&amp;sheet=A0&amp;row=2403&amp;col=7&amp;number=0&amp;sourceID=14","0")</f>
        <v>0</v>
      </c>
    </row>
    <row r="2404" spans="1:7">
      <c r="A2404" s="3">
        <v>10</v>
      </c>
      <c r="B2404" s="3">
        <v>5</v>
      </c>
      <c r="C2404" s="3">
        <v>130</v>
      </c>
      <c r="D2404" s="3">
        <v>41</v>
      </c>
      <c r="E2404" s="3">
        <v>-479.008</v>
      </c>
      <c r="F2404" s="4" t="str">
        <f>HYPERLINK("http://141.218.60.56/~jnz1568/getInfo.php?workbook=10_05.xlsx&amp;sheet=A0&amp;row=2404&amp;col=6&amp;number=1150&amp;sourceID=14","1150")</f>
        <v>1150</v>
      </c>
      <c r="G2404" s="4" t="str">
        <f>HYPERLINK("http://141.218.60.56/~jnz1568/getInfo.php?workbook=10_05.xlsx&amp;sheet=A0&amp;row=2404&amp;col=7&amp;number=0&amp;sourceID=14","0")</f>
        <v>0</v>
      </c>
    </row>
    <row r="2405" spans="1:7">
      <c r="A2405" s="3">
        <v>10</v>
      </c>
      <c r="B2405" s="3">
        <v>5</v>
      </c>
      <c r="C2405" s="3">
        <v>133</v>
      </c>
      <c r="D2405" s="3">
        <v>41</v>
      </c>
      <c r="E2405" s="3">
        <v>-477.503</v>
      </c>
      <c r="F2405" s="4" t="str">
        <f>HYPERLINK("http://141.218.60.56/~jnz1568/getInfo.php?workbook=10_05.xlsx&amp;sheet=A0&amp;row=2405&amp;col=6&amp;number=30900&amp;sourceID=14","30900")</f>
        <v>30900</v>
      </c>
      <c r="G2405" s="4" t="str">
        <f>HYPERLINK("http://141.218.60.56/~jnz1568/getInfo.php?workbook=10_05.xlsx&amp;sheet=A0&amp;row=2405&amp;col=7&amp;number=0&amp;sourceID=14","0")</f>
        <v>0</v>
      </c>
    </row>
    <row r="2406" spans="1:7">
      <c r="A2406" s="3">
        <v>10</v>
      </c>
      <c r="B2406" s="3">
        <v>5</v>
      </c>
      <c r="C2406" s="3">
        <v>138</v>
      </c>
      <c r="D2406" s="3">
        <v>41</v>
      </c>
      <c r="E2406" s="3">
        <v>-470.405</v>
      </c>
      <c r="F2406" s="4" t="str">
        <f>HYPERLINK("http://141.218.60.56/~jnz1568/getInfo.php?workbook=10_05.xlsx&amp;sheet=A0&amp;row=2406&amp;col=6&amp;number=180000&amp;sourceID=14","180000")</f>
        <v>180000</v>
      </c>
      <c r="G2406" s="4" t="str">
        <f>HYPERLINK("http://141.218.60.56/~jnz1568/getInfo.php?workbook=10_05.xlsx&amp;sheet=A0&amp;row=2406&amp;col=7&amp;number=0&amp;sourceID=14","0")</f>
        <v>0</v>
      </c>
    </row>
    <row r="2407" spans="1:7">
      <c r="A2407" s="3">
        <v>10</v>
      </c>
      <c r="B2407" s="3">
        <v>5</v>
      </c>
      <c r="C2407" s="3">
        <v>139</v>
      </c>
      <c r="D2407" s="3">
        <v>41</v>
      </c>
      <c r="E2407" s="3">
        <v>-470.138</v>
      </c>
      <c r="F2407" s="4" t="str">
        <f>HYPERLINK("http://141.218.60.56/~jnz1568/getInfo.php?workbook=10_05.xlsx&amp;sheet=A0&amp;row=2407&amp;col=6&amp;number=3700&amp;sourceID=14","3700")</f>
        <v>3700</v>
      </c>
      <c r="G2407" s="4" t="str">
        <f>HYPERLINK("http://141.218.60.56/~jnz1568/getInfo.php?workbook=10_05.xlsx&amp;sheet=A0&amp;row=2407&amp;col=7&amp;number=0&amp;sourceID=14","0")</f>
        <v>0</v>
      </c>
    </row>
    <row r="2408" spans="1:7">
      <c r="A2408" s="3">
        <v>10</v>
      </c>
      <c r="B2408" s="3">
        <v>5</v>
      </c>
      <c r="C2408" s="3">
        <v>151</v>
      </c>
      <c r="D2408" s="3">
        <v>41</v>
      </c>
      <c r="E2408" s="3">
        <v>-452.04</v>
      </c>
      <c r="F2408" s="4" t="str">
        <f>HYPERLINK("http://141.218.60.56/~jnz1568/getInfo.php?workbook=10_05.xlsx&amp;sheet=A0&amp;row=2408&amp;col=6&amp;number=132000&amp;sourceID=14","132000")</f>
        <v>132000</v>
      </c>
      <c r="G2408" s="4" t="str">
        <f>HYPERLINK("http://141.218.60.56/~jnz1568/getInfo.php?workbook=10_05.xlsx&amp;sheet=A0&amp;row=2408&amp;col=7&amp;number=0&amp;sourceID=14","0")</f>
        <v>0</v>
      </c>
    </row>
    <row r="2409" spans="1:7">
      <c r="A2409" s="3">
        <v>10</v>
      </c>
      <c r="B2409" s="3">
        <v>5</v>
      </c>
      <c r="C2409" s="3">
        <v>154</v>
      </c>
      <c r="D2409" s="3">
        <v>41</v>
      </c>
      <c r="E2409" s="3">
        <v>-445.804</v>
      </c>
      <c r="F2409" s="4" t="str">
        <f>HYPERLINK("http://141.218.60.56/~jnz1568/getInfo.php?workbook=10_05.xlsx&amp;sheet=A0&amp;row=2409&amp;col=6&amp;number=50900&amp;sourceID=14","50900")</f>
        <v>50900</v>
      </c>
      <c r="G2409" s="4" t="str">
        <f>HYPERLINK("http://141.218.60.56/~jnz1568/getInfo.php?workbook=10_05.xlsx&amp;sheet=A0&amp;row=2409&amp;col=7&amp;number=0&amp;sourceID=14","0")</f>
        <v>0</v>
      </c>
    </row>
    <row r="2410" spans="1:7">
      <c r="A2410" s="3">
        <v>10</v>
      </c>
      <c r="B2410" s="3">
        <v>5</v>
      </c>
      <c r="C2410" s="3">
        <v>155</v>
      </c>
      <c r="D2410" s="3">
        <v>41</v>
      </c>
      <c r="E2410" s="3">
        <v>-444.934</v>
      </c>
      <c r="F2410" s="4" t="str">
        <f>HYPERLINK("http://141.218.60.56/~jnz1568/getInfo.php?workbook=10_05.xlsx&amp;sheet=A0&amp;row=2410&amp;col=6&amp;number=70800&amp;sourceID=14","70800")</f>
        <v>70800</v>
      </c>
      <c r="G2410" s="4" t="str">
        <f>HYPERLINK("http://141.218.60.56/~jnz1568/getInfo.php?workbook=10_05.xlsx&amp;sheet=A0&amp;row=2410&amp;col=7&amp;number=0&amp;sourceID=14","0")</f>
        <v>0</v>
      </c>
    </row>
    <row r="2411" spans="1:7">
      <c r="A2411" s="3">
        <v>10</v>
      </c>
      <c r="B2411" s="3">
        <v>5</v>
      </c>
      <c r="C2411" s="3">
        <v>157</v>
      </c>
      <c r="D2411" s="3">
        <v>41</v>
      </c>
      <c r="E2411" s="3">
        <v>-443.466</v>
      </c>
      <c r="F2411" s="4" t="str">
        <f>HYPERLINK("http://141.218.60.56/~jnz1568/getInfo.php?workbook=10_05.xlsx&amp;sheet=A0&amp;row=2411&amp;col=6&amp;number=115000&amp;sourceID=14","115000")</f>
        <v>115000</v>
      </c>
      <c r="G2411" s="4" t="str">
        <f>HYPERLINK("http://141.218.60.56/~jnz1568/getInfo.php?workbook=10_05.xlsx&amp;sheet=A0&amp;row=2411&amp;col=7&amp;number=0&amp;sourceID=14","0")</f>
        <v>0</v>
      </c>
    </row>
    <row r="2412" spans="1:7">
      <c r="A2412" s="3">
        <v>10</v>
      </c>
      <c r="B2412" s="3">
        <v>5</v>
      </c>
      <c r="C2412" s="3">
        <v>168</v>
      </c>
      <c r="D2412" s="3">
        <v>41</v>
      </c>
      <c r="E2412" s="3">
        <v>-325.1</v>
      </c>
      <c r="F2412" s="4" t="str">
        <f>HYPERLINK("http://141.218.60.56/~jnz1568/getInfo.php?workbook=10_05.xlsx&amp;sheet=A0&amp;row=2412&amp;col=6&amp;number=37700&amp;sourceID=14","37700")</f>
        <v>37700</v>
      </c>
      <c r="G2412" s="4" t="str">
        <f>HYPERLINK("http://141.218.60.56/~jnz1568/getInfo.php?workbook=10_05.xlsx&amp;sheet=A0&amp;row=2412&amp;col=7&amp;number=0&amp;sourceID=14","0")</f>
        <v>0</v>
      </c>
    </row>
    <row r="2413" spans="1:7">
      <c r="A2413" s="3">
        <v>10</v>
      </c>
      <c r="B2413" s="3">
        <v>5</v>
      </c>
      <c r="C2413" s="3">
        <v>173</v>
      </c>
      <c r="D2413" s="3">
        <v>41</v>
      </c>
      <c r="E2413" s="3">
        <v>-313.397</v>
      </c>
      <c r="F2413" s="4" t="str">
        <f>HYPERLINK("http://141.218.60.56/~jnz1568/getInfo.php?workbook=10_05.xlsx&amp;sheet=A0&amp;row=2413&amp;col=6&amp;number=17000&amp;sourceID=14","17000")</f>
        <v>17000</v>
      </c>
      <c r="G2413" s="4" t="str">
        <f>HYPERLINK("http://141.218.60.56/~jnz1568/getInfo.php?workbook=10_05.xlsx&amp;sheet=A0&amp;row=2413&amp;col=7&amp;number=0&amp;sourceID=14","0")</f>
        <v>0</v>
      </c>
    </row>
    <row r="2414" spans="1:7">
      <c r="A2414" s="3">
        <v>10</v>
      </c>
      <c r="B2414" s="3">
        <v>5</v>
      </c>
      <c r="C2414" s="3">
        <v>102</v>
      </c>
      <c r="D2414" s="3">
        <v>42</v>
      </c>
      <c r="E2414" s="3">
        <v>-541.783</v>
      </c>
      <c r="F2414" s="4" t="str">
        <f>HYPERLINK("http://141.218.60.56/~jnz1568/getInfo.php?workbook=10_05.xlsx&amp;sheet=A0&amp;row=2414&amp;col=6&amp;number=380000000&amp;sourceID=14","380000000")</f>
        <v>380000000</v>
      </c>
      <c r="G2414" s="4" t="str">
        <f>HYPERLINK("http://141.218.60.56/~jnz1568/getInfo.php?workbook=10_05.xlsx&amp;sheet=A0&amp;row=2414&amp;col=7&amp;number=0&amp;sourceID=14","0")</f>
        <v>0</v>
      </c>
    </row>
    <row r="2415" spans="1:7">
      <c r="A2415" s="3">
        <v>10</v>
      </c>
      <c r="B2415" s="3">
        <v>5</v>
      </c>
      <c r="C2415" s="3">
        <v>104</v>
      </c>
      <c r="D2415" s="3">
        <v>42</v>
      </c>
      <c r="E2415" s="3">
        <v>-540.328</v>
      </c>
      <c r="F2415" s="4" t="str">
        <f>HYPERLINK("http://141.218.60.56/~jnz1568/getInfo.php?workbook=10_05.xlsx&amp;sheet=A0&amp;row=2415&amp;col=6&amp;number=2440000000&amp;sourceID=14","2440000000")</f>
        <v>2440000000</v>
      </c>
      <c r="G2415" s="4" t="str">
        <f>HYPERLINK("http://141.218.60.56/~jnz1568/getInfo.php?workbook=10_05.xlsx&amp;sheet=A0&amp;row=2415&amp;col=7&amp;number=0&amp;sourceID=14","0")</f>
        <v>0</v>
      </c>
    </row>
    <row r="2416" spans="1:7">
      <c r="A2416" s="3">
        <v>10</v>
      </c>
      <c r="B2416" s="3">
        <v>5</v>
      </c>
      <c r="C2416" s="3">
        <v>108</v>
      </c>
      <c r="D2416" s="3">
        <v>42</v>
      </c>
      <c r="E2416" s="3">
        <v>-524.638</v>
      </c>
      <c r="F2416" s="4" t="str">
        <f>HYPERLINK("http://141.218.60.56/~jnz1568/getInfo.php?workbook=10_05.xlsx&amp;sheet=A0&amp;row=2416&amp;col=6&amp;number=3360000000&amp;sourceID=14","3360000000")</f>
        <v>3360000000</v>
      </c>
      <c r="G2416" s="4" t="str">
        <f>HYPERLINK("http://141.218.60.56/~jnz1568/getInfo.php?workbook=10_05.xlsx&amp;sheet=A0&amp;row=2416&amp;col=7&amp;number=0&amp;sourceID=14","0")</f>
        <v>0</v>
      </c>
    </row>
    <row r="2417" spans="1:7">
      <c r="A2417" s="3">
        <v>10</v>
      </c>
      <c r="B2417" s="3">
        <v>5</v>
      </c>
      <c r="C2417" s="3">
        <v>116</v>
      </c>
      <c r="D2417" s="3">
        <v>42</v>
      </c>
      <c r="E2417" s="3">
        <v>-501.523</v>
      </c>
      <c r="F2417" s="4" t="str">
        <f>HYPERLINK("http://141.218.60.56/~jnz1568/getInfo.php?workbook=10_05.xlsx&amp;sheet=A0&amp;row=2417&amp;col=6&amp;number=9010000&amp;sourceID=14","9010000")</f>
        <v>9010000</v>
      </c>
      <c r="G2417" s="4" t="str">
        <f>HYPERLINK("http://141.218.60.56/~jnz1568/getInfo.php?workbook=10_05.xlsx&amp;sheet=A0&amp;row=2417&amp;col=7&amp;number=0&amp;sourceID=14","0")</f>
        <v>0</v>
      </c>
    </row>
    <row r="2418" spans="1:7">
      <c r="A2418" s="3">
        <v>10</v>
      </c>
      <c r="B2418" s="3">
        <v>5</v>
      </c>
      <c r="C2418" s="3">
        <v>124</v>
      </c>
      <c r="D2418" s="3">
        <v>42</v>
      </c>
      <c r="E2418" s="3">
        <v>-490.096</v>
      </c>
      <c r="F2418" s="4" t="str">
        <f>HYPERLINK("http://141.218.60.56/~jnz1568/getInfo.php?workbook=10_05.xlsx&amp;sheet=A0&amp;row=2418&amp;col=6&amp;number=709000&amp;sourceID=14","709000")</f>
        <v>709000</v>
      </c>
      <c r="G2418" s="4" t="str">
        <f>HYPERLINK("http://141.218.60.56/~jnz1568/getInfo.php?workbook=10_05.xlsx&amp;sheet=A0&amp;row=2418&amp;col=7&amp;number=0&amp;sourceID=14","0")</f>
        <v>0</v>
      </c>
    </row>
    <row r="2419" spans="1:7">
      <c r="A2419" s="3">
        <v>10</v>
      </c>
      <c r="B2419" s="3">
        <v>5</v>
      </c>
      <c r="C2419" s="3">
        <v>138</v>
      </c>
      <c r="D2419" s="3">
        <v>42</v>
      </c>
      <c r="E2419" s="3">
        <v>-471.525</v>
      </c>
      <c r="F2419" s="4" t="str">
        <f>HYPERLINK("http://141.218.60.56/~jnz1568/getInfo.php?workbook=10_05.xlsx&amp;sheet=A0&amp;row=2419&amp;col=6&amp;number=27700&amp;sourceID=14","27700")</f>
        <v>27700</v>
      </c>
      <c r="G2419" s="4" t="str">
        <f>HYPERLINK("http://141.218.60.56/~jnz1568/getInfo.php?workbook=10_05.xlsx&amp;sheet=A0&amp;row=2419&amp;col=7&amp;number=0&amp;sourceID=14","0")</f>
        <v>0</v>
      </c>
    </row>
    <row r="2420" spans="1:7">
      <c r="A2420" s="3">
        <v>10</v>
      </c>
      <c r="B2420" s="3">
        <v>5</v>
      </c>
      <c r="C2420" s="3">
        <v>139</v>
      </c>
      <c r="D2420" s="3">
        <v>42</v>
      </c>
      <c r="E2420" s="3">
        <v>-471.257</v>
      </c>
      <c r="F2420" s="4" t="str">
        <f>HYPERLINK("http://141.218.60.56/~jnz1568/getInfo.php?workbook=10_05.xlsx&amp;sheet=A0&amp;row=2420&amp;col=6&amp;number=786000&amp;sourceID=14","786000")</f>
        <v>786000</v>
      </c>
      <c r="G2420" s="4" t="str">
        <f>HYPERLINK("http://141.218.60.56/~jnz1568/getInfo.php?workbook=10_05.xlsx&amp;sheet=A0&amp;row=2420&amp;col=7&amp;number=0&amp;sourceID=14","0")</f>
        <v>0</v>
      </c>
    </row>
    <row r="2421" spans="1:7">
      <c r="A2421" s="3">
        <v>10</v>
      </c>
      <c r="B2421" s="3">
        <v>5</v>
      </c>
      <c r="C2421" s="3">
        <v>154</v>
      </c>
      <c r="D2421" s="3">
        <v>42</v>
      </c>
      <c r="E2421" s="3">
        <v>-446.81</v>
      </c>
      <c r="F2421" s="4" t="str">
        <f>HYPERLINK("http://141.218.60.56/~jnz1568/getInfo.php?workbook=10_05.xlsx&amp;sheet=A0&amp;row=2421&amp;col=6&amp;number=80100&amp;sourceID=14","80100")</f>
        <v>80100</v>
      </c>
      <c r="G2421" s="4" t="str">
        <f>HYPERLINK("http://141.218.60.56/~jnz1568/getInfo.php?workbook=10_05.xlsx&amp;sheet=A0&amp;row=2421&amp;col=7&amp;number=0&amp;sourceID=14","0")</f>
        <v>0</v>
      </c>
    </row>
    <row r="2422" spans="1:7">
      <c r="A2422" s="3">
        <v>10</v>
      </c>
      <c r="B2422" s="3">
        <v>5</v>
      </c>
      <c r="C2422" s="3">
        <v>58</v>
      </c>
      <c r="D2422" s="3">
        <v>43</v>
      </c>
      <c r="E2422" s="3">
        <v>1762.739</v>
      </c>
      <c r="F2422" s="4" t="str">
        <f>HYPERLINK("http://141.218.60.56/~jnz1568/getInfo.php?workbook=10_05.xlsx&amp;sheet=A0&amp;row=2422&amp;col=6&amp;number=465&amp;sourceID=14","465")</f>
        <v>465</v>
      </c>
      <c r="G2422" s="4" t="str">
        <f>HYPERLINK("http://141.218.60.56/~jnz1568/getInfo.php?workbook=10_05.xlsx&amp;sheet=A0&amp;row=2422&amp;col=7&amp;number=0&amp;sourceID=14","0")</f>
        <v>0</v>
      </c>
    </row>
    <row r="2423" spans="1:7">
      <c r="A2423" s="3">
        <v>10</v>
      </c>
      <c r="B2423" s="3">
        <v>5</v>
      </c>
      <c r="C2423" s="3">
        <v>59</v>
      </c>
      <c r="D2423" s="3">
        <v>43</v>
      </c>
      <c r="E2423" s="3">
        <v>1674.204</v>
      </c>
      <c r="F2423" s="4" t="str">
        <f>HYPERLINK("http://141.218.60.56/~jnz1568/getInfo.php?workbook=10_05.xlsx&amp;sheet=A0&amp;row=2423&amp;col=6&amp;number=494&amp;sourceID=14","494")</f>
        <v>494</v>
      </c>
      <c r="G2423" s="4" t="str">
        <f>HYPERLINK("http://141.218.60.56/~jnz1568/getInfo.php?workbook=10_05.xlsx&amp;sheet=A0&amp;row=2423&amp;col=7&amp;number=0&amp;sourceID=14","0")</f>
        <v>0</v>
      </c>
    </row>
    <row r="2424" spans="1:7">
      <c r="A2424" s="3">
        <v>10</v>
      </c>
      <c r="B2424" s="3">
        <v>5</v>
      </c>
      <c r="C2424" s="3">
        <v>61</v>
      </c>
      <c r="D2424" s="3">
        <v>43</v>
      </c>
      <c r="E2424" s="3">
        <v>1629.198</v>
      </c>
      <c r="F2424" s="4" t="str">
        <f>HYPERLINK("http://141.218.60.56/~jnz1568/getInfo.php?workbook=10_05.xlsx&amp;sheet=A0&amp;row=2424&amp;col=6&amp;number=2490&amp;sourceID=14","2490")</f>
        <v>2490</v>
      </c>
      <c r="G2424" s="4" t="str">
        <f>HYPERLINK("http://141.218.60.56/~jnz1568/getInfo.php?workbook=10_05.xlsx&amp;sheet=A0&amp;row=2424&amp;col=7&amp;number=0&amp;sourceID=14","0")</f>
        <v>0</v>
      </c>
    </row>
    <row r="2425" spans="1:7">
      <c r="A2425" s="3">
        <v>10</v>
      </c>
      <c r="B2425" s="3">
        <v>5</v>
      </c>
      <c r="C2425" s="3">
        <v>62</v>
      </c>
      <c r="D2425" s="3">
        <v>43</v>
      </c>
      <c r="E2425" s="3">
        <v>1621.274</v>
      </c>
      <c r="F2425" s="4" t="str">
        <f>HYPERLINK("http://141.218.60.56/~jnz1568/getInfo.php?workbook=10_05.xlsx&amp;sheet=A0&amp;row=2425&amp;col=6&amp;number=981&amp;sourceID=14","981")</f>
        <v>981</v>
      </c>
      <c r="G2425" s="4" t="str">
        <f>HYPERLINK("http://141.218.60.56/~jnz1568/getInfo.php?workbook=10_05.xlsx&amp;sheet=A0&amp;row=2425&amp;col=7&amp;number=0&amp;sourceID=14","0")</f>
        <v>0</v>
      </c>
    </row>
    <row r="2426" spans="1:7">
      <c r="A2426" s="3">
        <v>10</v>
      </c>
      <c r="B2426" s="3">
        <v>5</v>
      </c>
      <c r="C2426" s="3">
        <v>63</v>
      </c>
      <c r="D2426" s="3">
        <v>43</v>
      </c>
      <c r="E2426" s="3">
        <v>1476.453</v>
      </c>
      <c r="F2426" s="4" t="str">
        <f>HYPERLINK("http://141.218.60.56/~jnz1568/getInfo.php?workbook=10_05.xlsx&amp;sheet=A0&amp;row=2426&amp;col=6&amp;number=5370&amp;sourceID=14","5370")</f>
        <v>5370</v>
      </c>
      <c r="G2426" s="4" t="str">
        <f>HYPERLINK("http://141.218.60.56/~jnz1568/getInfo.php?workbook=10_05.xlsx&amp;sheet=A0&amp;row=2426&amp;col=7&amp;number=0&amp;sourceID=14","0")</f>
        <v>0</v>
      </c>
    </row>
    <row r="2427" spans="1:7">
      <c r="A2427" s="3">
        <v>10</v>
      </c>
      <c r="B2427" s="3">
        <v>5</v>
      </c>
      <c r="C2427" s="3">
        <v>66</v>
      </c>
      <c r="D2427" s="3">
        <v>43</v>
      </c>
      <c r="E2427" s="3">
        <v>1077.82</v>
      </c>
      <c r="F2427" s="4" t="str">
        <f>HYPERLINK("http://141.218.60.56/~jnz1568/getInfo.php?workbook=10_05.xlsx&amp;sheet=A0&amp;row=2427&amp;col=6&amp;number=3380&amp;sourceID=14","3380")</f>
        <v>3380</v>
      </c>
      <c r="G2427" s="4" t="str">
        <f>HYPERLINK("http://141.218.60.56/~jnz1568/getInfo.php?workbook=10_05.xlsx&amp;sheet=A0&amp;row=2427&amp;col=7&amp;number=0&amp;sourceID=14","0")</f>
        <v>0</v>
      </c>
    </row>
    <row r="2428" spans="1:7">
      <c r="A2428" s="3">
        <v>10</v>
      </c>
      <c r="B2428" s="3">
        <v>5</v>
      </c>
      <c r="C2428" s="3">
        <v>70</v>
      </c>
      <c r="D2428" s="3">
        <v>43</v>
      </c>
      <c r="E2428" s="3">
        <v>1031.355</v>
      </c>
      <c r="F2428" s="4" t="str">
        <f>HYPERLINK("http://141.218.60.56/~jnz1568/getInfo.php?workbook=10_05.xlsx&amp;sheet=A0&amp;row=2428&amp;col=6&amp;number=16400000&amp;sourceID=14","16400000")</f>
        <v>16400000</v>
      </c>
      <c r="G2428" s="4" t="str">
        <f>HYPERLINK("http://141.218.60.56/~jnz1568/getInfo.php?workbook=10_05.xlsx&amp;sheet=A0&amp;row=2428&amp;col=7&amp;number=0&amp;sourceID=14","0")</f>
        <v>0</v>
      </c>
    </row>
    <row r="2429" spans="1:7">
      <c r="A2429" s="3">
        <v>10</v>
      </c>
      <c r="B2429" s="3">
        <v>5</v>
      </c>
      <c r="C2429" s="3">
        <v>71</v>
      </c>
      <c r="D2429" s="3">
        <v>43</v>
      </c>
      <c r="E2429" s="3">
        <v>1031.355</v>
      </c>
      <c r="F2429" s="4" t="str">
        <f>HYPERLINK("http://141.218.60.56/~jnz1568/getInfo.php?workbook=10_05.xlsx&amp;sheet=A0&amp;row=2429&amp;col=6&amp;number=1430000&amp;sourceID=14","1430000")</f>
        <v>1430000</v>
      </c>
      <c r="G2429" s="4" t="str">
        <f>HYPERLINK("http://141.218.60.56/~jnz1568/getInfo.php?workbook=10_05.xlsx&amp;sheet=A0&amp;row=2429&amp;col=7&amp;number=0&amp;sourceID=14","0")</f>
        <v>0</v>
      </c>
    </row>
    <row r="2430" spans="1:7">
      <c r="A2430" s="3">
        <v>10</v>
      </c>
      <c r="B2430" s="3">
        <v>5</v>
      </c>
      <c r="C2430" s="3">
        <v>77</v>
      </c>
      <c r="D2430" s="3">
        <v>43</v>
      </c>
      <c r="E2430" s="3">
        <v>-824.479</v>
      </c>
      <c r="F2430" s="4" t="str">
        <f>HYPERLINK("http://141.218.60.56/~jnz1568/getInfo.php?workbook=10_05.xlsx&amp;sheet=A0&amp;row=2430&amp;col=6&amp;number=10400&amp;sourceID=14","10400")</f>
        <v>10400</v>
      </c>
      <c r="G2430" s="4" t="str">
        <f>HYPERLINK("http://141.218.60.56/~jnz1568/getInfo.php?workbook=10_05.xlsx&amp;sheet=A0&amp;row=2430&amp;col=7&amp;number=0&amp;sourceID=14","0")</f>
        <v>0</v>
      </c>
    </row>
    <row r="2431" spans="1:7">
      <c r="A2431" s="3">
        <v>10</v>
      </c>
      <c r="B2431" s="3">
        <v>5</v>
      </c>
      <c r="C2431" s="3">
        <v>78</v>
      </c>
      <c r="D2431" s="3">
        <v>43</v>
      </c>
      <c r="E2431" s="3">
        <v>-818.868</v>
      </c>
      <c r="F2431" s="4" t="str">
        <f>HYPERLINK("http://141.218.60.56/~jnz1568/getInfo.php?workbook=10_05.xlsx&amp;sheet=A0&amp;row=2431&amp;col=6&amp;number=2460&amp;sourceID=14","2460")</f>
        <v>2460</v>
      </c>
      <c r="G2431" s="4" t="str">
        <f>HYPERLINK("http://141.218.60.56/~jnz1568/getInfo.php?workbook=10_05.xlsx&amp;sheet=A0&amp;row=2431&amp;col=7&amp;number=0&amp;sourceID=14","0")</f>
        <v>0</v>
      </c>
    </row>
    <row r="2432" spans="1:7">
      <c r="A2432" s="3">
        <v>10</v>
      </c>
      <c r="B2432" s="3">
        <v>5</v>
      </c>
      <c r="C2432" s="3">
        <v>80</v>
      </c>
      <c r="D2432" s="3">
        <v>43</v>
      </c>
      <c r="E2432" s="3">
        <v>769.469</v>
      </c>
      <c r="F2432" s="4" t="str">
        <f>HYPERLINK("http://141.218.60.56/~jnz1568/getInfo.php?workbook=10_05.xlsx&amp;sheet=A0&amp;row=2432&amp;col=6&amp;number=559&amp;sourceID=14","559")</f>
        <v>559</v>
      </c>
      <c r="G2432" s="4" t="str">
        <f>HYPERLINK("http://141.218.60.56/~jnz1568/getInfo.php?workbook=10_05.xlsx&amp;sheet=A0&amp;row=2432&amp;col=7&amp;number=0&amp;sourceID=14","0")</f>
        <v>0</v>
      </c>
    </row>
    <row r="2433" spans="1:7">
      <c r="A2433" s="3">
        <v>10</v>
      </c>
      <c r="B2433" s="3">
        <v>5</v>
      </c>
      <c r="C2433" s="3">
        <v>99</v>
      </c>
      <c r="D2433" s="3">
        <v>43</v>
      </c>
      <c r="E2433" s="3">
        <v>-577.062</v>
      </c>
      <c r="F2433" s="4" t="str">
        <f>HYPERLINK("http://141.218.60.56/~jnz1568/getInfo.php?workbook=10_05.xlsx&amp;sheet=A0&amp;row=2433&amp;col=6&amp;number=298000000&amp;sourceID=14","298000000")</f>
        <v>298000000</v>
      </c>
      <c r="G2433" s="4" t="str">
        <f>HYPERLINK("http://141.218.60.56/~jnz1568/getInfo.php?workbook=10_05.xlsx&amp;sheet=A0&amp;row=2433&amp;col=7&amp;number=0&amp;sourceID=14","0")</f>
        <v>0</v>
      </c>
    </row>
    <row r="2434" spans="1:7">
      <c r="A2434" s="3">
        <v>10</v>
      </c>
      <c r="B2434" s="3">
        <v>5</v>
      </c>
      <c r="C2434" s="3">
        <v>105</v>
      </c>
      <c r="D2434" s="3">
        <v>43</v>
      </c>
      <c r="E2434" s="3">
        <v>-557.816</v>
      </c>
      <c r="F2434" s="4" t="str">
        <f>HYPERLINK("http://141.218.60.56/~jnz1568/getInfo.php?workbook=10_05.xlsx&amp;sheet=A0&amp;row=2434&amp;col=6&amp;number=136000000&amp;sourceID=14","136000000")</f>
        <v>136000000</v>
      </c>
      <c r="G2434" s="4" t="str">
        <f>HYPERLINK("http://141.218.60.56/~jnz1568/getInfo.php?workbook=10_05.xlsx&amp;sheet=A0&amp;row=2434&amp;col=7&amp;number=0&amp;sourceID=14","0")</f>
        <v>0</v>
      </c>
    </row>
    <row r="2435" spans="1:7">
      <c r="A2435" s="3">
        <v>10</v>
      </c>
      <c r="B2435" s="3">
        <v>5</v>
      </c>
      <c r="C2435" s="3">
        <v>106</v>
      </c>
      <c r="D2435" s="3">
        <v>43</v>
      </c>
      <c r="E2435" s="3">
        <v>-557.427</v>
      </c>
      <c r="F2435" s="4" t="str">
        <f>HYPERLINK("http://141.218.60.56/~jnz1568/getInfo.php?workbook=10_05.xlsx&amp;sheet=A0&amp;row=2435&amp;col=6&amp;number=75700000&amp;sourceID=14","75700000")</f>
        <v>75700000</v>
      </c>
      <c r="G2435" s="4" t="str">
        <f>HYPERLINK("http://141.218.60.56/~jnz1568/getInfo.php?workbook=10_05.xlsx&amp;sheet=A0&amp;row=2435&amp;col=7&amp;number=0&amp;sourceID=14","0")</f>
        <v>0</v>
      </c>
    </row>
    <row r="2436" spans="1:7">
      <c r="A2436" s="3">
        <v>10</v>
      </c>
      <c r="B2436" s="3">
        <v>5</v>
      </c>
      <c r="C2436" s="3">
        <v>109</v>
      </c>
      <c r="D2436" s="3">
        <v>43</v>
      </c>
      <c r="E2436" s="3">
        <v>-554.392</v>
      </c>
      <c r="F2436" s="4" t="str">
        <f>HYPERLINK("http://141.218.60.56/~jnz1568/getInfo.php?workbook=10_05.xlsx&amp;sheet=A0&amp;row=2436&amp;col=6&amp;number=8100000&amp;sourceID=14","8100000")</f>
        <v>8100000</v>
      </c>
      <c r="G2436" s="4" t="str">
        <f>HYPERLINK("http://141.218.60.56/~jnz1568/getInfo.php?workbook=10_05.xlsx&amp;sheet=A0&amp;row=2436&amp;col=7&amp;number=0&amp;sourceID=14","0")</f>
        <v>0</v>
      </c>
    </row>
    <row r="2437" spans="1:7">
      <c r="A2437" s="3">
        <v>10</v>
      </c>
      <c r="B2437" s="3">
        <v>5</v>
      </c>
      <c r="C2437" s="3">
        <v>111</v>
      </c>
      <c r="D2437" s="3">
        <v>43</v>
      </c>
      <c r="E2437" s="3">
        <v>-552.56</v>
      </c>
      <c r="F2437" s="4" t="str">
        <f>HYPERLINK("http://141.218.60.56/~jnz1568/getInfo.php?workbook=10_05.xlsx&amp;sheet=A0&amp;row=2437&amp;col=6&amp;number=9710000&amp;sourceID=14","9710000")</f>
        <v>9710000</v>
      </c>
      <c r="G2437" s="4" t="str">
        <f>HYPERLINK("http://141.218.60.56/~jnz1568/getInfo.php?workbook=10_05.xlsx&amp;sheet=A0&amp;row=2437&amp;col=7&amp;number=0&amp;sourceID=14","0")</f>
        <v>0</v>
      </c>
    </row>
    <row r="2438" spans="1:7">
      <c r="A2438" s="3">
        <v>10</v>
      </c>
      <c r="B2438" s="3">
        <v>5</v>
      </c>
      <c r="C2438" s="3">
        <v>118</v>
      </c>
      <c r="D2438" s="3">
        <v>43</v>
      </c>
      <c r="E2438" s="3">
        <v>-528.953</v>
      </c>
      <c r="F2438" s="4" t="str">
        <f>HYPERLINK("http://141.218.60.56/~jnz1568/getInfo.php?workbook=10_05.xlsx&amp;sheet=A0&amp;row=2438&amp;col=6&amp;number=279000000&amp;sourceID=14","279000000")</f>
        <v>279000000</v>
      </c>
      <c r="G2438" s="4" t="str">
        <f>HYPERLINK("http://141.218.60.56/~jnz1568/getInfo.php?workbook=10_05.xlsx&amp;sheet=A0&amp;row=2438&amp;col=7&amp;number=0&amp;sourceID=14","0")</f>
        <v>0</v>
      </c>
    </row>
    <row r="2439" spans="1:7">
      <c r="A2439" s="3">
        <v>10</v>
      </c>
      <c r="B2439" s="3">
        <v>5</v>
      </c>
      <c r="C2439" s="3">
        <v>119</v>
      </c>
      <c r="D2439" s="3">
        <v>43</v>
      </c>
      <c r="E2439" s="3">
        <v>-528.813</v>
      </c>
      <c r="F2439" s="4" t="str">
        <f>HYPERLINK("http://141.218.60.56/~jnz1568/getInfo.php?workbook=10_05.xlsx&amp;sheet=A0&amp;row=2439&amp;col=6&amp;number=2430000000&amp;sourceID=14","2430000000")</f>
        <v>2430000000</v>
      </c>
      <c r="G2439" s="4" t="str">
        <f>HYPERLINK("http://141.218.60.56/~jnz1568/getInfo.php?workbook=10_05.xlsx&amp;sheet=A0&amp;row=2439&amp;col=7&amp;number=0&amp;sourceID=14","0")</f>
        <v>0</v>
      </c>
    </row>
    <row r="2440" spans="1:7">
      <c r="A2440" s="3">
        <v>10</v>
      </c>
      <c r="B2440" s="3">
        <v>5</v>
      </c>
      <c r="C2440" s="3">
        <v>120</v>
      </c>
      <c r="D2440" s="3">
        <v>43</v>
      </c>
      <c r="E2440" s="3">
        <v>-520.119</v>
      </c>
      <c r="F2440" s="4" t="str">
        <f>HYPERLINK("http://141.218.60.56/~jnz1568/getInfo.php?workbook=10_05.xlsx&amp;sheet=A0&amp;row=2440&amp;col=6&amp;number=37500000&amp;sourceID=14","37500000")</f>
        <v>37500000</v>
      </c>
      <c r="G2440" s="4" t="str">
        <f>HYPERLINK("http://141.218.60.56/~jnz1568/getInfo.php?workbook=10_05.xlsx&amp;sheet=A0&amp;row=2440&amp;col=7&amp;number=0&amp;sourceID=14","0")</f>
        <v>0</v>
      </c>
    </row>
    <row r="2441" spans="1:7">
      <c r="A2441" s="3">
        <v>10</v>
      </c>
      <c r="B2441" s="3">
        <v>5</v>
      </c>
      <c r="C2441" s="3">
        <v>121</v>
      </c>
      <c r="D2441" s="3">
        <v>43</v>
      </c>
      <c r="E2441" s="3">
        <v>-519.514</v>
      </c>
      <c r="F2441" s="4" t="str">
        <f>HYPERLINK("http://141.218.60.56/~jnz1568/getInfo.php?workbook=10_05.xlsx&amp;sheet=A0&amp;row=2441&amp;col=6&amp;number=10000000&amp;sourceID=14","10000000")</f>
        <v>10000000</v>
      </c>
      <c r="G2441" s="4" t="str">
        <f>HYPERLINK("http://141.218.60.56/~jnz1568/getInfo.php?workbook=10_05.xlsx&amp;sheet=A0&amp;row=2441&amp;col=7&amp;number=0&amp;sourceID=14","0")</f>
        <v>0</v>
      </c>
    </row>
    <row r="2442" spans="1:7">
      <c r="A2442" s="3">
        <v>10</v>
      </c>
      <c r="B2442" s="3">
        <v>5</v>
      </c>
      <c r="C2442" s="3">
        <v>123</v>
      </c>
      <c r="D2442" s="3">
        <v>43</v>
      </c>
      <c r="E2442" s="3">
        <v>-517.728</v>
      </c>
      <c r="F2442" s="4" t="str">
        <f>HYPERLINK("http://141.218.60.56/~jnz1568/getInfo.php?workbook=10_05.xlsx&amp;sheet=A0&amp;row=2442&amp;col=6&amp;number=458000&amp;sourceID=14","458000")</f>
        <v>458000</v>
      </c>
      <c r="G2442" s="4" t="str">
        <f>HYPERLINK("http://141.218.60.56/~jnz1568/getInfo.php?workbook=10_05.xlsx&amp;sheet=A0&amp;row=2442&amp;col=7&amp;number=0&amp;sourceID=14","0")</f>
        <v>0</v>
      </c>
    </row>
    <row r="2443" spans="1:7">
      <c r="A2443" s="3">
        <v>10</v>
      </c>
      <c r="B2443" s="3">
        <v>5</v>
      </c>
      <c r="C2443" s="3">
        <v>125</v>
      </c>
      <c r="D2443" s="3">
        <v>43</v>
      </c>
      <c r="E2443" s="3">
        <v>-514.706</v>
      </c>
      <c r="F2443" s="4" t="str">
        <f>HYPERLINK("http://141.218.60.56/~jnz1568/getInfo.php?workbook=10_05.xlsx&amp;sheet=A0&amp;row=2443&amp;col=6&amp;number=1740000&amp;sourceID=14","1740000")</f>
        <v>1740000</v>
      </c>
      <c r="G2443" s="4" t="str">
        <f>HYPERLINK("http://141.218.60.56/~jnz1568/getInfo.php?workbook=10_05.xlsx&amp;sheet=A0&amp;row=2443&amp;col=7&amp;number=0&amp;sourceID=14","0")</f>
        <v>0</v>
      </c>
    </row>
    <row r="2444" spans="1:7">
      <c r="A2444" s="3">
        <v>10</v>
      </c>
      <c r="B2444" s="3">
        <v>5</v>
      </c>
      <c r="C2444" s="3">
        <v>126</v>
      </c>
      <c r="D2444" s="3">
        <v>43</v>
      </c>
      <c r="E2444" s="3">
        <v>-513.979</v>
      </c>
      <c r="F2444" s="4" t="str">
        <f>HYPERLINK("http://141.218.60.56/~jnz1568/getInfo.php?workbook=10_05.xlsx&amp;sheet=A0&amp;row=2444&amp;col=6&amp;number=245000&amp;sourceID=14","245000")</f>
        <v>245000</v>
      </c>
      <c r="G2444" s="4" t="str">
        <f>HYPERLINK("http://141.218.60.56/~jnz1568/getInfo.php?workbook=10_05.xlsx&amp;sheet=A0&amp;row=2444&amp;col=7&amp;number=0&amp;sourceID=14","0")</f>
        <v>0</v>
      </c>
    </row>
    <row r="2445" spans="1:7">
      <c r="A2445" s="3">
        <v>10</v>
      </c>
      <c r="B2445" s="3">
        <v>5</v>
      </c>
      <c r="C2445" s="3">
        <v>129</v>
      </c>
      <c r="D2445" s="3">
        <v>43</v>
      </c>
      <c r="E2445" s="3">
        <v>506.664</v>
      </c>
      <c r="F2445" s="4" t="str">
        <f>HYPERLINK("http://141.218.60.56/~jnz1568/getInfo.php?workbook=10_05.xlsx&amp;sheet=A0&amp;row=2445&amp;col=6&amp;number=40900&amp;sourceID=14","40900")</f>
        <v>40900</v>
      </c>
      <c r="G2445" s="4" t="str">
        <f>HYPERLINK("http://141.218.60.56/~jnz1568/getInfo.php?workbook=10_05.xlsx&amp;sheet=A0&amp;row=2445&amp;col=7&amp;number=0&amp;sourceID=14","0")</f>
        <v>0</v>
      </c>
    </row>
    <row r="2446" spans="1:7">
      <c r="A2446" s="3">
        <v>10</v>
      </c>
      <c r="B2446" s="3">
        <v>5</v>
      </c>
      <c r="C2446" s="3">
        <v>131</v>
      </c>
      <c r="D2446" s="3">
        <v>43</v>
      </c>
      <c r="E2446" s="3">
        <v>-505.261</v>
      </c>
      <c r="F2446" s="4" t="str">
        <f>HYPERLINK("http://141.218.60.56/~jnz1568/getInfo.php?workbook=10_05.xlsx&amp;sheet=A0&amp;row=2446&amp;col=6&amp;number=134000000&amp;sourceID=14","134000000")</f>
        <v>134000000</v>
      </c>
      <c r="G2446" s="4" t="str">
        <f>HYPERLINK("http://141.218.60.56/~jnz1568/getInfo.php?workbook=10_05.xlsx&amp;sheet=A0&amp;row=2446&amp;col=7&amp;number=0&amp;sourceID=14","0")</f>
        <v>0</v>
      </c>
    </row>
    <row r="2447" spans="1:7">
      <c r="A2447" s="3">
        <v>10</v>
      </c>
      <c r="B2447" s="3">
        <v>5</v>
      </c>
      <c r="C2447" s="3">
        <v>132</v>
      </c>
      <c r="D2447" s="3">
        <v>43</v>
      </c>
      <c r="E2447" s="3">
        <v>-504.886</v>
      </c>
      <c r="F2447" s="4" t="str">
        <f>HYPERLINK("http://141.218.60.56/~jnz1568/getInfo.php?workbook=10_05.xlsx&amp;sheet=A0&amp;row=2447&amp;col=6&amp;number=17200000&amp;sourceID=14","17200000")</f>
        <v>17200000</v>
      </c>
      <c r="G2447" s="4" t="str">
        <f>HYPERLINK("http://141.218.60.56/~jnz1568/getInfo.php?workbook=10_05.xlsx&amp;sheet=A0&amp;row=2447&amp;col=7&amp;number=0&amp;sourceID=14","0")</f>
        <v>0</v>
      </c>
    </row>
    <row r="2448" spans="1:7">
      <c r="A2448" s="3">
        <v>10</v>
      </c>
      <c r="B2448" s="3">
        <v>5</v>
      </c>
      <c r="C2448" s="3">
        <v>140</v>
      </c>
      <c r="D2448" s="3">
        <v>43</v>
      </c>
      <c r="E2448" s="3">
        <v>-492.343</v>
      </c>
      <c r="F2448" s="4" t="str">
        <f>HYPERLINK("http://141.218.60.56/~jnz1568/getInfo.php?workbook=10_05.xlsx&amp;sheet=A0&amp;row=2448&amp;col=6&amp;number=5680&amp;sourceID=14","5680")</f>
        <v>5680</v>
      </c>
      <c r="G2448" s="4" t="str">
        <f>HYPERLINK("http://141.218.60.56/~jnz1568/getInfo.php?workbook=10_05.xlsx&amp;sheet=A0&amp;row=2448&amp;col=7&amp;number=0&amp;sourceID=14","0")</f>
        <v>0</v>
      </c>
    </row>
    <row r="2449" spans="1:7">
      <c r="A2449" s="3">
        <v>10</v>
      </c>
      <c r="B2449" s="3">
        <v>5</v>
      </c>
      <c r="C2449" s="3">
        <v>150</v>
      </c>
      <c r="D2449" s="3">
        <v>43</v>
      </c>
      <c r="E2449" s="3">
        <v>-476.083</v>
      </c>
      <c r="F2449" s="4" t="str">
        <f>HYPERLINK("http://141.218.60.56/~jnz1568/getInfo.php?workbook=10_05.xlsx&amp;sheet=A0&amp;row=2449&amp;col=6&amp;number=47600&amp;sourceID=14","47600")</f>
        <v>47600</v>
      </c>
      <c r="G2449" s="4" t="str">
        <f>HYPERLINK("http://141.218.60.56/~jnz1568/getInfo.php?workbook=10_05.xlsx&amp;sheet=A0&amp;row=2449&amp;col=7&amp;number=0&amp;sourceID=14","0")</f>
        <v>0</v>
      </c>
    </row>
    <row r="2450" spans="1:7">
      <c r="A2450" s="3">
        <v>10</v>
      </c>
      <c r="B2450" s="3">
        <v>5</v>
      </c>
      <c r="C2450" s="3">
        <v>156</v>
      </c>
      <c r="D2450" s="3">
        <v>43</v>
      </c>
      <c r="E2450" s="3">
        <v>-466.924</v>
      </c>
      <c r="F2450" s="4" t="str">
        <f>HYPERLINK("http://141.218.60.56/~jnz1568/getInfo.php?workbook=10_05.xlsx&amp;sheet=A0&amp;row=2450&amp;col=6&amp;number=23400&amp;sourceID=14","23400")</f>
        <v>23400</v>
      </c>
      <c r="G2450" s="4" t="str">
        <f>HYPERLINK("http://141.218.60.56/~jnz1568/getInfo.php?workbook=10_05.xlsx&amp;sheet=A0&amp;row=2450&amp;col=7&amp;number=0&amp;sourceID=14","0")</f>
        <v>0</v>
      </c>
    </row>
    <row r="2451" spans="1:7">
      <c r="A2451" s="3">
        <v>10</v>
      </c>
      <c r="B2451" s="3">
        <v>5</v>
      </c>
      <c r="C2451" s="3">
        <v>160</v>
      </c>
      <c r="D2451" s="3">
        <v>43</v>
      </c>
      <c r="E2451" s="3">
        <v>-463.795</v>
      </c>
      <c r="F2451" s="4" t="str">
        <f>HYPERLINK("http://141.218.60.56/~jnz1568/getInfo.php?workbook=10_05.xlsx&amp;sheet=A0&amp;row=2451&amp;col=6&amp;number=138000&amp;sourceID=14","138000")</f>
        <v>138000</v>
      </c>
      <c r="G2451" s="4" t="str">
        <f>HYPERLINK("http://141.218.60.56/~jnz1568/getInfo.php?workbook=10_05.xlsx&amp;sheet=A0&amp;row=2451&amp;col=7&amp;number=0&amp;sourceID=14","0")</f>
        <v>0</v>
      </c>
    </row>
    <row r="2452" spans="1:7">
      <c r="A2452" s="3">
        <v>10</v>
      </c>
      <c r="B2452" s="3">
        <v>5</v>
      </c>
      <c r="C2452" s="3">
        <v>161</v>
      </c>
      <c r="D2452" s="3">
        <v>43</v>
      </c>
      <c r="E2452" s="3">
        <v>463.114</v>
      </c>
      <c r="F2452" s="4" t="str">
        <f>HYPERLINK("http://141.218.60.56/~jnz1568/getInfo.php?workbook=10_05.xlsx&amp;sheet=A0&amp;row=2452&amp;col=6&amp;number=11800&amp;sourceID=14","11800")</f>
        <v>11800</v>
      </c>
      <c r="G2452" s="4" t="str">
        <f>HYPERLINK("http://141.218.60.56/~jnz1568/getInfo.php?workbook=10_05.xlsx&amp;sheet=A0&amp;row=2452&amp;col=7&amp;number=0&amp;sourceID=14","0")</f>
        <v>0</v>
      </c>
    </row>
    <row r="2453" spans="1:7">
      <c r="A2453" s="3">
        <v>10</v>
      </c>
      <c r="B2453" s="3">
        <v>5</v>
      </c>
      <c r="C2453" s="3">
        <v>162</v>
      </c>
      <c r="D2453" s="3">
        <v>43</v>
      </c>
      <c r="E2453" s="3">
        <v>462.471</v>
      </c>
      <c r="F2453" s="4" t="str">
        <f>HYPERLINK("http://141.218.60.56/~jnz1568/getInfo.php?workbook=10_05.xlsx&amp;sheet=A0&amp;row=2453&amp;col=6&amp;number=4820&amp;sourceID=14","4820")</f>
        <v>4820</v>
      </c>
      <c r="G2453" s="4" t="str">
        <f>HYPERLINK("http://141.218.60.56/~jnz1568/getInfo.php?workbook=10_05.xlsx&amp;sheet=A0&amp;row=2453&amp;col=7&amp;number=0&amp;sourceID=14","0")</f>
        <v>0</v>
      </c>
    </row>
    <row r="2454" spans="1:7">
      <c r="A2454" s="3">
        <v>10</v>
      </c>
      <c r="B2454" s="3">
        <v>5</v>
      </c>
      <c r="C2454" s="3">
        <v>163</v>
      </c>
      <c r="D2454" s="3">
        <v>43</v>
      </c>
      <c r="E2454" s="3">
        <v>-435.202</v>
      </c>
      <c r="F2454" s="4" t="str">
        <f>HYPERLINK("http://141.218.60.56/~jnz1568/getInfo.php?workbook=10_05.xlsx&amp;sheet=A0&amp;row=2454&amp;col=6&amp;number=49900&amp;sourceID=14","49900")</f>
        <v>49900</v>
      </c>
      <c r="G2454" s="4" t="str">
        <f>HYPERLINK("http://141.218.60.56/~jnz1568/getInfo.php?workbook=10_05.xlsx&amp;sheet=A0&amp;row=2454&amp;col=7&amp;number=0&amp;sourceID=14","0")</f>
        <v>0</v>
      </c>
    </row>
    <row r="2455" spans="1:7">
      <c r="A2455" s="3">
        <v>10</v>
      </c>
      <c r="B2455" s="3">
        <v>5</v>
      </c>
      <c r="C2455" s="3">
        <v>169</v>
      </c>
      <c r="D2455" s="3">
        <v>43</v>
      </c>
      <c r="E2455" s="3">
        <v>-337.273</v>
      </c>
      <c r="F2455" s="4" t="str">
        <f>HYPERLINK("http://141.218.60.56/~jnz1568/getInfo.php?workbook=10_05.xlsx&amp;sheet=A0&amp;row=2455&amp;col=6&amp;number=7590&amp;sourceID=14","7590")</f>
        <v>7590</v>
      </c>
      <c r="G2455" s="4" t="str">
        <f>HYPERLINK("http://141.218.60.56/~jnz1568/getInfo.php?workbook=10_05.xlsx&amp;sheet=A0&amp;row=2455&amp;col=7&amp;number=0&amp;sourceID=14","0")</f>
        <v>0</v>
      </c>
    </row>
    <row r="2456" spans="1:7">
      <c r="A2456" s="3">
        <v>10</v>
      </c>
      <c r="B2456" s="3">
        <v>5</v>
      </c>
      <c r="C2456" s="3">
        <v>170</v>
      </c>
      <c r="D2456" s="3">
        <v>43</v>
      </c>
      <c r="E2456" s="3">
        <v>-326.94</v>
      </c>
      <c r="F2456" s="4" t="str">
        <f>HYPERLINK("http://141.218.60.56/~jnz1568/getInfo.php?workbook=10_05.xlsx&amp;sheet=A0&amp;row=2456&amp;col=6&amp;number=90&amp;sourceID=14","90")</f>
        <v>90</v>
      </c>
      <c r="G2456" s="4" t="str">
        <f>HYPERLINK("http://141.218.60.56/~jnz1568/getInfo.php?workbook=10_05.xlsx&amp;sheet=A0&amp;row=2456&amp;col=7&amp;number=0&amp;sourceID=14","0")</f>
        <v>0</v>
      </c>
    </row>
    <row r="2457" spans="1:7">
      <c r="A2457" s="3">
        <v>10</v>
      </c>
      <c r="B2457" s="3">
        <v>5</v>
      </c>
      <c r="C2457" s="3">
        <v>172</v>
      </c>
      <c r="D2457" s="3">
        <v>43</v>
      </c>
      <c r="E2457" s="3">
        <v>-324.769</v>
      </c>
      <c r="F2457" s="4" t="str">
        <f>HYPERLINK("http://141.218.60.56/~jnz1568/getInfo.php?workbook=10_05.xlsx&amp;sheet=A0&amp;row=2457&amp;col=6&amp;number=29500&amp;sourceID=14","29500")</f>
        <v>29500</v>
      </c>
      <c r="G2457" s="4" t="str">
        <f>HYPERLINK("http://141.218.60.56/~jnz1568/getInfo.php?workbook=10_05.xlsx&amp;sheet=A0&amp;row=2457&amp;col=7&amp;number=0&amp;sourceID=14","0")</f>
        <v>0</v>
      </c>
    </row>
    <row r="2458" spans="1:7">
      <c r="A2458" s="3">
        <v>10</v>
      </c>
      <c r="B2458" s="3">
        <v>5</v>
      </c>
      <c r="C2458" s="3">
        <v>174</v>
      </c>
      <c r="D2458" s="3">
        <v>43</v>
      </c>
      <c r="E2458" s="3">
        <v>-322.534</v>
      </c>
      <c r="F2458" s="4" t="str">
        <f>HYPERLINK("http://141.218.60.56/~jnz1568/getInfo.php?workbook=10_05.xlsx&amp;sheet=A0&amp;row=2458&amp;col=6&amp;number=5420&amp;sourceID=14","5420")</f>
        <v>5420</v>
      </c>
      <c r="G2458" s="4" t="str">
        <f>HYPERLINK("http://141.218.60.56/~jnz1568/getInfo.php?workbook=10_05.xlsx&amp;sheet=A0&amp;row=2458&amp;col=7&amp;number=0&amp;sourceID=14","0")</f>
        <v>0</v>
      </c>
    </row>
    <row r="2459" spans="1:7">
      <c r="A2459" s="3">
        <v>10</v>
      </c>
      <c r="B2459" s="3">
        <v>5</v>
      </c>
      <c r="C2459" s="3">
        <v>58</v>
      </c>
      <c r="D2459" s="3">
        <v>44</v>
      </c>
      <c r="E2459" s="3">
        <v>1765.852</v>
      </c>
      <c r="F2459" s="4" t="str">
        <f>HYPERLINK("http://141.218.60.56/~jnz1568/getInfo.php?workbook=10_05.xlsx&amp;sheet=A0&amp;row=2459&amp;col=6&amp;number=466&amp;sourceID=14","466")</f>
        <v>466</v>
      </c>
      <c r="G2459" s="4" t="str">
        <f>HYPERLINK("http://141.218.60.56/~jnz1568/getInfo.php?workbook=10_05.xlsx&amp;sheet=A0&amp;row=2459&amp;col=7&amp;number=0&amp;sourceID=14","0")</f>
        <v>0</v>
      </c>
    </row>
    <row r="2460" spans="1:7">
      <c r="A2460" s="3">
        <v>10</v>
      </c>
      <c r="B2460" s="3">
        <v>5</v>
      </c>
      <c r="C2460" s="3">
        <v>59</v>
      </c>
      <c r="D2460" s="3">
        <v>44</v>
      </c>
      <c r="E2460" s="3">
        <v>1677.011</v>
      </c>
      <c r="F2460" s="4" t="str">
        <f>HYPERLINK("http://141.218.60.56/~jnz1568/getInfo.php?workbook=10_05.xlsx&amp;sheet=A0&amp;row=2460&amp;col=6&amp;number=1670&amp;sourceID=14","1670")</f>
        <v>1670</v>
      </c>
      <c r="G2460" s="4" t="str">
        <f>HYPERLINK("http://141.218.60.56/~jnz1568/getInfo.php?workbook=10_05.xlsx&amp;sheet=A0&amp;row=2460&amp;col=7&amp;number=0&amp;sourceID=14","0")</f>
        <v>0</v>
      </c>
    </row>
    <row r="2461" spans="1:7">
      <c r="A2461" s="3">
        <v>10</v>
      </c>
      <c r="B2461" s="3">
        <v>5</v>
      </c>
      <c r="C2461" s="3">
        <v>60</v>
      </c>
      <c r="D2461" s="3">
        <v>44</v>
      </c>
      <c r="E2461" s="3">
        <v>1673.083</v>
      </c>
      <c r="F2461" s="4" t="str">
        <f>HYPERLINK("http://141.218.60.56/~jnz1568/getInfo.php?workbook=10_05.xlsx&amp;sheet=A0&amp;row=2461&amp;col=6&amp;number=1390&amp;sourceID=14","1390")</f>
        <v>1390</v>
      </c>
      <c r="G2461" s="4" t="str">
        <f>HYPERLINK("http://141.218.60.56/~jnz1568/getInfo.php?workbook=10_05.xlsx&amp;sheet=A0&amp;row=2461&amp;col=7&amp;number=0&amp;sourceID=14","0")</f>
        <v>0</v>
      </c>
    </row>
    <row r="2462" spans="1:7">
      <c r="A2462" s="3">
        <v>10</v>
      </c>
      <c r="B2462" s="3">
        <v>5</v>
      </c>
      <c r="C2462" s="3">
        <v>61</v>
      </c>
      <c r="D2462" s="3">
        <v>44</v>
      </c>
      <c r="E2462" s="3">
        <v>1631.857</v>
      </c>
      <c r="F2462" s="4" t="str">
        <f>HYPERLINK("http://141.218.60.56/~jnz1568/getInfo.php?workbook=10_05.xlsx&amp;sheet=A0&amp;row=2462&amp;col=6&amp;number=638&amp;sourceID=14","638")</f>
        <v>638</v>
      </c>
      <c r="G2462" s="4" t="str">
        <f>HYPERLINK("http://141.218.60.56/~jnz1568/getInfo.php?workbook=10_05.xlsx&amp;sheet=A0&amp;row=2462&amp;col=7&amp;number=0&amp;sourceID=14","0")</f>
        <v>0</v>
      </c>
    </row>
    <row r="2463" spans="1:7">
      <c r="A2463" s="3">
        <v>10</v>
      </c>
      <c r="B2463" s="3">
        <v>5</v>
      </c>
      <c r="C2463" s="3">
        <v>62</v>
      </c>
      <c r="D2463" s="3">
        <v>44</v>
      </c>
      <c r="E2463" s="3">
        <v>1623.907</v>
      </c>
      <c r="F2463" s="4" t="str">
        <f>HYPERLINK("http://141.218.60.56/~jnz1568/getInfo.php?workbook=10_05.xlsx&amp;sheet=A0&amp;row=2463&amp;col=6&amp;number=2490&amp;sourceID=14","2490")</f>
        <v>2490</v>
      </c>
      <c r="G2463" s="4" t="str">
        <f>HYPERLINK("http://141.218.60.56/~jnz1568/getInfo.php?workbook=10_05.xlsx&amp;sheet=A0&amp;row=2463&amp;col=7&amp;number=0&amp;sourceID=14","0")</f>
        <v>0</v>
      </c>
    </row>
    <row r="2464" spans="1:7">
      <c r="A2464" s="3">
        <v>10</v>
      </c>
      <c r="B2464" s="3">
        <v>5</v>
      </c>
      <c r="C2464" s="3">
        <v>63</v>
      </c>
      <c r="D2464" s="3">
        <v>44</v>
      </c>
      <c r="E2464" s="3">
        <v>1478.636</v>
      </c>
      <c r="F2464" s="4" t="str">
        <f>HYPERLINK("http://141.218.60.56/~jnz1568/getInfo.php?workbook=10_05.xlsx&amp;sheet=A0&amp;row=2464&amp;col=6&amp;number=5250&amp;sourceID=14","5250")</f>
        <v>5250</v>
      </c>
      <c r="G2464" s="4" t="str">
        <f>HYPERLINK("http://141.218.60.56/~jnz1568/getInfo.php?workbook=10_05.xlsx&amp;sheet=A0&amp;row=2464&amp;col=7&amp;number=0&amp;sourceID=14","0")</f>
        <v>0</v>
      </c>
    </row>
    <row r="2465" spans="1:7">
      <c r="A2465" s="3">
        <v>10</v>
      </c>
      <c r="B2465" s="3">
        <v>5</v>
      </c>
      <c r="C2465" s="3">
        <v>66</v>
      </c>
      <c r="D2465" s="3">
        <v>44</v>
      </c>
      <c r="E2465" s="3">
        <v>1078.983</v>
      </c>
      <c r="F2465" s="4" t="str">
        <f>HYPERLINK("http://141.218.60.56/~jnz1568/getInfo.php?workbook=10_05.xlsx&amp;sheet=A0&amp;row=2465&amp;col=6&amp;number=113&amp;sourceID=14","113")</f>
        <v>113</v>
      </c>
      <c r="G2465" s="4" t="str">
        <f>HYPERLINK("http://141.218.60.56/~jnz1568/getInfo.php?workbook=10_05.xlsx&amp;sheet=A0&amp;row=2465&amp;col=7&amp;number=0&amp;sourceID=14","0")</f>
        <v>0</v>
      </c>
    </row>
    <row r="2466" spans="1:7">
      <c r="A2466" s="3">
        <v>10</v>
      </c>
      <c r="B2466" s="3">
        <v>5</v>
      </c>
      <c r="C2466" s="3">
        <v>67</v>
      </c>
      <c r="D2466" s="3">
        <v>44</v>
      </c>
      <c r="E2466" s="3">
        <v>1078.983</v>
      </c>
      <c r="F2466" s="4" t="str">
        <f>HYPERLINK("http://141.218.60.56/~jnz1568/getInfo.php?workbook=10_05.xlsx&amp;sheet=A0&amp;row=2466&amp;col=6&amp;number=2350&amp;sourceID=14","2350")</f>
        <v>2350</v>
      </c>
      <c r="G2466" s="4" t="str">
        <f>HYPERLINK("http://141.218.60.56/~jnz1568/getInfo.php?workbook=10_05.xlsx&amp;sheet=A0&amp;row=2466&amp;col=7&amp;number=0&amp;sourceID=14","0")</f>
        <v>0</v>
      </c>
    </row>
    <row r="2467" spans="1:7">
      <c r="A2467" s="3">
        <v>10</v>
      </c>
      <c r="B2467" s="3">
        <v>5</v>
      </c>
      <c r="C2467" s="3">
        <v>70</v>
      </c>
      <c r="D2467" s="3">
        <v>44</v>
      </c>
      <c r="E2467" s="3">
        <v>1032.42</v>
      </c>
      <c r="F2467" s="4" t="str">
        <f>HYPERLINK("http://141.218.60.56/~jnz1568/getInfo.php?workbook=10_05.xlsx&amp;sheet=A0&amp;row=2467&amp;col=6&amp;number=17500000&amp;sourceID=14","17500000")</f>
        <v>17500000</v>
      </c>
      <c r="G2467" s="4" t="str">
        <f>HYPERLINK("http://141.218.60.56/~jnz1568/getInfo.php?workbook=10_05.xlsx&amp;sheet=A0&amp;row=2467&amp;col=7&amp;number=0&amp;sourceID=14","0")</f>
        <v>0</v>
      </c>
    </row>
    <row r="2468" spans="1:7">
      <c r="A2468" s="3">
        <v>10</v>
      </c>
      <c r="B2468" s="3">
        <v>5</v>
      </c>
      <c r="C2468" s="3">
        <v>71</v>
      </c>
      <c r="D2468" s="3">
        <v>44</v>
      </c>
      <c r="E2468" s="3">
        <v>1032.42</v>
      </c>
      <c r="F2468" s="4" t="str">
        <f>HYPERLINK("http://141.218.60.56/~jnz1568/getInfo.php?workbook=10_05.xlsx&amp;sheet=A0&amp;row=2468&amp;col=6&amp;number=9750000&amp;sourceID=14","9750000")</f>
        <v>9750000</v>
      </c>
      <c r="G2468" s="4" t="str">
        <f>HYPERLINK("http://141.218.60.56/~jnz1568/getInfo.php?workbook=10_05.xlsx&amp;sheet=A0&amp;row=2468&amp;col=7&amp;number=0&amp;sourceID=14","0")</f>
        <v>0</v>
      </c>
    </row>
    <row r="2469" spans="1:7">
      <c r="A2469" s="3">
        <v>10</v>
      </c>
      <c r="B2469" s="3">
        <v>5</v>
      </c>
      <c r="C2469" s="3">
        <v>72</v>
      </c>
      <c r="D2469" s="3">
        <v>44</v>
      </c>
      <c r="E2469" s="3">
        <v>1032.42</v>
      </c>
      <c r="F2469" s="4" t="str">
        <f>HYPERLINK("http://141.218.60.56/~jnz1568/getInfo.php?workbook=10_05.xlsx&amp;sheet=A0&amp;row=2469&amp;col=6&amp;number=470000&amp;sourceID=14","470000")</f>
        <v>470000</v>
      </c>
      <c r="G2469" s="4" t="str">
        <f>HYPERLINK("http://141.218.60.56/~jnz1568/getInfo.php?workbook=10_05.xlsx&amp;sheet=A0&amp;row=2469&amp;col=7&amp;number=0&amp;sourceID=14","0")</f>
        <v>0</v>
      </c>
    </row>
    <row r="2470" spans="1:7">
      <c r="A2470" s="3">
        <v>10</v>
      </c>
      <c r="B2470" s="3">
        <v>5</v>
      </c>
      <c r="C2470" s="3">
        <v>77</v>
      </c>
      <c r="D2470" s="3">
        <v>44</v>
      </c>
      <c r="E2470" s="3">
        <v>-825.145</v>
      </c>
      <c r="F2470" s="4" t="str">
        <f>HYPERLINK("http://141.218.60.56/~jnz1568/getInfo.php?workbook=10_05.xlsx&amp;sheet=A0&amp;row=2470&amp;col=6&amp;number=52200&amp;sourceID=14","52200")</f>
        <v>52200</v>
      </c>
      <c r="G2470" s="4" t="str">
        <f>HYPERLINK("http://141.218.60.56/~jnz1568/getInfo.php?workbook=10_05.xlsx&amp;sheet=A0&amp;row=2470&amp;col=7&amp;number=0&amp;sourceID=14","0")</f>
        <v>0</v>
      </c>
    </row>
    <row r="2471" spans="1:7">
      <c r="A2471" s="3">
        <v>10</v>
      </c>
      <c r="B2471" s="3">
        <v>5</v>
      </c>
      <c r="C2471" s="3">
        <v>78</v>
      </c>
      <c r="D2471" s="3">
        <v>44</v>
      </c>
      <c r="E2471" s="3">
        <v>-819.526</v>
      </c>
      <c r="F2471" s="4" t="str">
        <f>HYPERLINK("http://141.218.60.56/~jnz1568/getInfo.php?workbook=10_05.xlsx&amp;sheet=A0&amp;row=2471&amp;col=6&amp;number=24900&amp;sourceID=14","24900")</f>
        <v>24900</v>
      </c>
      <c r="G2471" s="4" t="str">
        <f>HYPERLINK("http://141.218.60.56/~jnz1568/getInfo.php?workbook=10_05.xlsx&amp;sheet=A0&amp;row=2471&amp;col=7&amp;number=0&amp;sourceID=14","0")</f>
        <v>0</v>
      </c>
    </row>
    <row r="2472" spans="1:7">
      <c r="A2472" s="3">
        <v>10</v>
      </c>
      <c r="B2472" s="3">
        <v>5</v>
      </c>
      <c r="C2472" s="3">
        <v>80</v>
      </c>
      <c r="D2472" s="3">
        <v>44</v>
      </c>
      <c r="E2472" s="3">
        <v>770.061</v>
      </c>
      <c r="F2472" s="4" t="str">
        <f>HYPERLINK("http://141.218.60.56/~jnz1568/getInfo.php?workbook=10_05.xlsx&amp;sheet=A0&amp;row=2472&amp;col=6&amp;number=32400&amp;sourceID=14","32400")</f>
        <v>32400</v>
      </c>
      <c r="G2472" s="4" t="str">
        <f>HYPERLINK("http://141.218.60.56/~jnz1568/getInfo.php?workbook=10_05.xlsx&amp;sheet=A0&amp;row=2472&amp;col=7&amp;number=0&amp;sourceID=14","0")</f>
        <v>0</v>
      </c>
    </row>
    <row r="2473" spans="1:7">
      <c r="A2473" s="3">
        <v>10</v>
      </c>
      <c r="B2473" s="3">
        <v>5</v>
      </c>
      <c r="C2473" s="3">
        <v>81</v>
      </c>
      <c r="D2473" s="3">
        <v>44</v>
      </c>
      <c r="E2473" s="3">
        <v>770.061</v>
      </c>
      <c r="F2473" s="4" t="str">
        <f>HYPERLINK("http://141.218.60.56/~jnz1568/getInfo.php?workbook=10_05.xlsx&amp;sheet=A0&amp;row=2473&amp;col=6&amp;number=1120&amp;sourceID=14","1120")</f>
        <v>1120</v>
      </c>
      <c r="G2473" s="4" t="str">
        <f>HYPERLINK("http://141.218.60.56/~jnz1568/getInfo.php?workbook=10_05.xlsx&amp;sheet=A0&amp;row=2473&amp;col=7&amp;number=0&amp;sourceID=14","0")</f>
        <v>0</v>
      </c>
    </row>
    <row r="2474" spans="1:7">
      <c r="A2474" s="3">
        <v>10</v>
      </c>
      <c r="B2474" s="3">
        <v>5</v>
      </c>
      <c r="C2474" s="3">
        <v>99</v>
      </c>
      <c r="D2474" s="3">
        <v>44</v>
      </c>
      <c r="E2474" s="3">
        <v>-577.388</v>
      </c>
      <c r="F2474" s="4" t="str">
        <f>HYPERLINK("http://141.218.60.56/~jnz1568/getInfo.php?workbook=10_05.xlsx&amp;sheet=A0&amp;row=2474&amp;col=6&amp;number=128000000&amp;sourceID=14","128000000")</f>
        <v>128000000</v>
      </c>
      <c r="G2474" s="4" t="str">
        <f>HYPERLINK("http://141.218.60.56/~jnz1568/getInfo.php?workbook=10_05.xlsx&amp;sheet=A0&amp;row=2474&amp;col=7&amp;number=0&amp;sourceID=14","0")</f>
        <v>0</v>
      </c>
    </row>
    <row r="2475" spans="1:7">
      <c r="A2475" s="3">
        <v>10</v>
      </c>
      <c r="B2475" s="3">
        <v>5</v>
      </c>
      <c r="C2475" s="3">
        <v>100</v>
      </c>
      <c r="D2475" s="3">
        <v>44</v>
      </c>
      <c r="E2475" s="3">
        <v>-576.513</v>
      </c>
      <c r="F2475" s="4" t="str">
        <f>HYPERLINK("http://141.218.60.56/~jnz1568/getInfo.php?workbook=10_05.xlsx&amp;sheet=A0&amp;row=2475&amp;col=6&amp;number=310000000&amp;sourceID=14","310000000")</f>
        <v>310000000</v>
      </c>
      <c r="G2475" s="4" t="str">
        <f>HYPERLINK("http://141.218.60.56/~jnz1568/getInfo.php?workbook=10_05.xlsx&amp;sheet=A0&amp;row=2475&amp;col=7&amp;number=0&amp;sourceID=14","0")</f>
        <v>0</v>
      </c>
    </row>
    <row r="2476" spans="1:7">
      <c r="A2476" s="3">
        <v>10</v>
      </c>
      <c r="B2476" s="3">
        <v>5</v>
      </c>
      <c r="C2476" s="3">
        <v>105</v>
      </c>
      <c r="D2476" s="3">
        <v>44</v>
      </c>
      <c r="E2476" s="3">
        <v>-558.121</v>
      </c>
      <c r="F2476" s="4" t="str">
        <f>HYPERLINK("http://141.218.60.56/~jnz1568/getInfo.php?workbook=10_05.xlsx&amp;sheet=A0&amp;row=2476&amp;col=6&amp;number=144000000&amp;sourceID=14","144000000")</f>
        <v>144000000</v>
      </c>
      <c r="G2476" s="4" t="str">
        <f>HYPERLINK("http://141.218.60.56/~jnz1568/getInfo.php?workbook=10_05.xlsx&amp;sheet=A0&amp;row=2476&amp;col=7&amp;number=0&amp;sourceID=14","0")</f>
        <v>0</v>
      </c>
    </row>
    <row r="2477" spans="1:7">
      <c r="A2477" s="3">
        <v>10</v>
      </c>
      <c r="B2477" s="3">
        <v>5</v>
      </c>
      <c r="C2477" s="3">
        <v>106</v>
      </c>
      <c r="D2477" s="3">
        <v>44</v>
      </c>
      <c r="E2477" s="3">
        <v>-557.732</v>
      </c>
      <c r="F2477" s="4" t="str">
        <f>HYPERLINK("http://141.218.60.56/~jnz1568/getInfo.php?workbook=10_05.xlsx&amp;sheet=A0&amp;row=2477&amp;col=6&amp;number=105000000&amp;sourceID=14","105000000")</f>
        <v>105000000</v>
      </c>
      <c r="G2477" s="4" t="str">
        <f>HYPERLINK("http://141.218.60.56/~jnz1568/getInfo.php?workbook=10_05.xlsx&amp;sheet=A0&amp;row=2477&amp;col=7&amp;number=0&amp;sourceID=14","0")</f>
        <v>0</v>
      </c>
    </row>
    <row r="2478" spans="1:7">
      <c r="A2478" s="3">
        <v>10</v>
      </c>
      <c r="B2478" s="3">
        <v>5</v>
      </c>
      <c r="C2478" s="3">
        <v>107</v>
      </c>
      <c r="D2478" s="3">
        <v>44</v>
      </c>
      <c r="E2478" s="3">
        <v>-556.868</v>
      </c>
      <c r="F2478" s="4" t="str">
        <f>HYPERLINK("http://141.218.60.56/~jnz1568/getInfo.php?workbook=10_05.xlsx&amp;sheet=A0&amp;row=2478&amp;col=6&amp;number=92100000&amp;sourceID=14","92100000")</f>
        <v>92100000</v>
      </c>
      <c r="G2478" s="4" t="str">
        <f>HYPERLINK("http://141.218.60.56/~jnz1568/getInfo.php?workbook=10_05.xlsx&amp;sheet=A0&amp;row=2478&amp;col=7&amp;number=0&amp;sourceID=14","0")</f>
        <v>0</v>
      </c>
    </row>
    <row r="2479" spans="1:7">
      <c r="A2479" s="3">
        <v>10</v>
      </c>
      <c r="B2479" s="3">
        <v>5</v>
      </c>
      <c r="C2479" s="3">
        <v>109</v>
      </c>
      <c r="D2479" s="3">
        <v>44</v>
      </c>
      <c r="E2479" s="3">
        <v>-554.694</v>
      </c>
      <c r="F2479" s="4" t="str">
        <f>HYPERLINK("http://141.218.60.56/~jnz1568/getInfo.php?workbook=10_05.xlsx&amp;sheet=A0&amp;row=2479&amp;col=6&amp;number=8250000&amp;sourceID=14","8250000")</f>
        <v>8250000</v>
      </c>
      <c r="G2479" s="4" t="str">
        <f>HYPERLINK("http://141.218.60.56/~jnz1568/getInfo.php?workbook=10_05.xlsx&amp;sheet=A0&amp;row=2479&amp;col=7&amp;number=0&amp;sourceID=14","0")</f>
        <v>0</v>
      </c>
    </row>
    <row r="2480" spans="1:7">
      <c r="A2480" s="3">
        <v>10</v>
      </c>
      <c r="B2480" s="3">
        <v>5</v>
      </c>
      <c r="C2480" s="3">
        <v>111</v>
      </c>
      <c r="D2480" s="3">
        <v>44</v>
      </c>
      <c r="E2480" s="3">
        <v>-552.86</v>
      </c>
      <c r="F2480" s="4" t="str">
        <f>HYPERLINK("http://141.218.60.56/~jnz1568/getInfo.php?workbook=10_05.xlsx&amp;sheet=A0&amp;row=2480&amp;col=6&amp;number=20400000&amp;sourceID=14","20400000")</f>
        <v>20400000</v>
      </c>
      <c r="G2480" s="4" t="str">
        <f>HYPERLINK("http://141.218.60.56/~jnz1568/getInfo.php?workbook=10_05.xlsx&amp;sheet=A0&amp;row=2480&amp;col=7&amp;number=0&amp;sourceID=14","0")</f>
        <v>0</v>
      </c>
    </row>
    <row r="2481" spans="1:7">
      <c r="A2481" s="3">
        <v>10</v>
      </c>
      <c r="B2481" s="3">
        <v>5</v>
      </c>
      <c r="C2481" s="3">
        <v>115</v>
      </c>
      <c r="D2481" s="3">
        <v>44</v>
      </c>
      <c r="E2481" s="3">
        <v>-532.596</v>
      </c>
      <c r="F2481" s="4" t="str">
        <f>HYPERLINK("http://141.218.60.56/~jnz1568/getInfo.php?workbook=10_05.xlsx&amp;sheet=A0&amp;row=2481&amp;col=6&amp;number=114000&amp;sourceID=14","114000")</f>
        <v>114000</v>
      </c>
      <c r="G2481" s="4" t="str">
        <f>HYPERLINK("http://141.218.60.56/~jnz1568/getInfo.php?workbook=10_05.xlsx&amp;sheet=A0&amp;row=2481&amp;col=7&amp;number=0&amp;sourceID=14","0")</f>
        <v>0</v>
      </c>
    </row>
    <row r="2482" spans="1:7">
      <c r="A2482" s="3">
        <v>10</v>
      </c>
      <c r="B2482" s="3">
        <v>5</v>
      </c>
      <c r="C2482" s="3">
        <v>117</v>
      </c>
      <c r="D2482" s="3">
        <v>44</v>
      </c>
      <c r="E2482" s="3">
        <v>-529.454</v>
      </c>
      <c r="F2482" s="4" t="str">
        <f>HYPERLINK("http://141.218.60.56/~jnz1568/getInfo.php?workbook=10_05.xlsx&amp;sheet=A0&amp;row=2482&amp;col=6&amp;number=131000000&amp;sourceID=14","131000000")</f>
        <v>131000000</v>
      </c>
      <c r="G2482" s="4" t="str">
        <f>HYPERLINK("http://141.218.60.56/~jnz1568/getInfo.php?workbook=10_05.xlsx&amp;sheet=A0&amp;row=2482&amp;col=7&amp;number=0&amp;sourceID=14","0")</f>
        <v>0</v>
      </c>
    </row>
    <row r="2483" spans="1:7">
      <c r="A2483" s="3">
        <v>10</v>
      </c>
      <c r="B2483" s="3">
        <v>5</v>
      </c>
      <c r="C2483" s="3">
        <v>118</v>
      </c>
      <c r="D2483" s="3">
        <v>44</v>
      </c>
      <c r="E2483" s="3">
        <v>-529.228</v>
      </c>
      <c r="F2483" s="4" t="str">
        <f>HYPERLINK("http://141.218.60.56/~jnz1568/getInfo.php?workbook=10_05.xlsx&amp;sheet=A0&amp;row=2483&amp;col=6&amp;number=1650000000&amp;sourceID=14","1650000000")</f>
        <v>1650000000</v>
      </c>
      <c r="G2483" s="4" t="str">
        <f>HYPERLINK("http://141.218.60.56/~jnz1568/getInfo.php?workbook=10_05.xlsx&amp;sheet=A0&amp;row=2483&amp;col=7&amp;number=0&amp;sourceID=14","0")</f>
        <v>0</v>
      </c>
    </row>
    <row r="2484" spans="1:7">
      <c r="A2484" s="3">
        <v>10</v>
      </c>
      <c r="B2484" s="3">
        <v>5</v>
      </c>
      <c r="C2484" s="3">
        <v>119</v>
      </c>
      <c r="D2484" s="3">
        <v>44</v>
      </c>
      <c r="E2484" s="3">
        <v>-529.088</v>
      </c>
      <c r="F2484" s="4" t="str">
        <f>HYPERLINK("http://141.218.60.56/~jnz1568/getInfo.php?workbook=10_05.xlsx&amp;sheet=A0&amp;row=2484&amp;col=6&amp;number=2250000000&amp;sourceID=14","2250000000")</f>
        <v>2250000000</v>
      </c>
      <c r="G2484" s="4" t="str">
        <f>HYPERLINK("http://141.218.60.56/~jnz1568/getInfo.php?workbook=10_05.xlsx&amp;sheet=A0&amp;row=2484&amp;col=7&amp;number=0&amp;sourceID=14","0")</f>
        <v>0</v>
      </c>
    </row>
    <row r="2485" spans="1:7">
      <c r="A2485" s="3">
        <v>10</v>
      </c>
      <c r="B2485" s="3">
        <v>5</v>
      </c>
      <c r="C2485" s="3">
        <v>120</v>
      </c>
      <c r="D2485" s="3">
        <v>44</v>
      </c>
      <c r="E2485" s="3">
        <v>-520.384</v>
      </c>
      <c r="F2485" s="4" t="str">
        <f>HYPERLINK("http://141.218.60.56/~jnz1568/getInfo.php?workbook=10_05.xlsx&amp;sheet=A0&amp;row=2485&amp;col=6&amp;number=31500000&amp;sourceID=14","31500000")</f>
        <v>31500000</v>
      </c>
      <c r="G2485" s="4" t="str">
        <f>HYPERLINK("http://141.218.60.56/~jnz1568/getInfo.php?workbook=10_05.xlsx&amp;sheet=A0&amp;row=2485&amp;col=7&amp;number=0&amp;sourceID=14","0")</f>
        <v>0</v>
      </c>
    </row>
    <row r="2486" spans="1:7">
      <c r="A2486" s="3">
        <v>10</v>
      </c>
      <c r="B2486" s="3">
        <v>5</v>
      </c>
      <c r="C2486" s="3">
        <v>121</v>
      </c>
      <c r="D2486" s="3">
        <v>44</v>
      </c>
      <c r="E2486" s="3">
        <v>-519.778</v>
      </c>
      <c r="F2486" s="4" t="str">
        <f>HYPERLINK("http://141.218.60.56/~jnz1568/getInfo.php?workbook=10_05.xlsx&amp;sheet=A0&amp;row=2486&amp;col=6&amp;number=38400000&amp;sourceID=14","38400000")</f>
        <v>38400000</v>
      </c>
      <c r="G2486" s="4" t="str">
        <f>HYPERLINK("http://141.218.60.56/~jnz1568/getInfo.php?workbook=10_05.xlsx&amp;sheet=A0&amp;row=2486&amp;col=7&amp;number=0&amp;sourceID=14","0")</f>
        <v>0</v>
      </c>
    </row>
    <row r="2487" spans="1:7">
      <c r="A2487" s="3">
        <v>10</v>
      </c>
      <c r="B2487" s="3">
        <v>5</v>
      </c>
      <c r="C2487" s="3">
        <v>122</v>
      </c>
      <c r="D2487" s="3">
        <v>44</v>
      </c>
      <c r="E2487" s="3">
        <v>-518.781</v>
      </c>
      <c r="F2487" s="4" t="str">
        <f>HYPERLINK("http://141.218.60.56/~jnz1568/getInfo.php?workbook=10_05.xlsx&amp;sheet=A0&amp;row=2487&amp;col=6&amp;number=4880000&amp;sourceID=14","4880000")</f>
        <v>4880000</v>
      </c>
      <c r="G2487" s="4" t="str">
        <f>HYPERLINK("http://141.218.60.56/~jnz1568/getInfo.php?workbook=10_05.xlsx&amp;sheet=A0&amp;row=2487&amp;col=7&amp;number=0&amp;sourceID=14","0")</f>
        <v>0</v>
      </c>
    </row>
    <row r="2488" spans="1:7">
      <c r="A2488" s="3">
        <v>10</v>
      </c>
      <c r="B2488" s="3">
        <v>5</v>
      </c>
      <c r="C2488" s="3">
        <v>123</v>
      </c>
      <c r="D2488" s="3">
        <v>44</v>
      </c>
      <c r="E2488" s="3">
        <v>-517.991</v>
      </c>
      <c r="F2488" s="4" t="str">
        <f>HYPERLINK("http://141.218.60.56/~jnz1568/getInfo.php?workbook=10_05.xlsx&amp;sheet=A0&amp;row=2488&amp;col=6&amp;number=1970000&amp;sourceID=14","1970000")</f>
        <v>1970000</v>
      </c>
      <c r="G2488" s="4" t="str">
        <f>HYPERLINK("http://141.218.60.56/~jnz1568/getInfo.php?workbook=10_05.xlsx&amp;sheet=A0&amp;row=2488&amp;col=7&amp;number=0&amp;sourceID=14","0")</f>
        <v>0</v>
      </c>
    </row>
    <row r="2489" spans="1:7">
      <c r="A2489" s="3">
        <v>10</v>
      </c>
      <c r="B2489" s="3">
        <v>5</v>
      </c>
      <c r="C2489" s="3">
        <v>125</v>
      </c>
      <c r="D2489" s="3">
        <v>44</v>
      </c>
      <c r="E2489" s="3">
        <v>-514.966</v>
      </c>
      <c r="F2489" s="4" t="str">
        <f>HYPERLINK("http://141.218.60.56/~jnz1568/getInfo.php?workbook=10_05.xlsx&amp;sheet=A0&amp;row=2489&amp;col=6&amp;number=73800&amp;sourceID=14","73800")</f>
        <v>73800</v>
      </c>
      <c r="G2489" s="4" t="str">
        <f>HYPERLINK("http://141.218.60.56/~jnz1568/getInfo.php?workbook=10_05.xlsx&amp;sheet=A0&amp;row=2489&amp;col=7&amp;number=0&amp;sourceID=14","0")</f>
        <v>0</v>
      </c>
    </row>
    <row r="2490" spans="1:7">
      <c r="A2490" s="3">
        <v>10</v>
      </c>
      <c r="B2490" s="3">
        <v>5</v>
      </c>
      <c r="C2490" s="3">
        <v>126</v>
      </c>
      <c r="D2490" s="3">
        <v>44</v>
      </c>
      <c r="E2490" s="3">
        <v>-514.238</v>
      </c>
      <c r="F2490" s="4" t="str">
        <f>HYPERLINK("http://141.218.60.56/~jnz1568/getInfo.php?workbook=10_05.xlsx&amp;sheet=A0&amp;row=2490&amp;col=6&amp;number=1360000&amp;sourceID=14","1360000")</f>
        <v>1360000</v>
      </c>
      <c r="G2490" s="4" t="str">
        <f>HYPERLINK("http://141.218.60.56/~jnz1568/getInfo.php?workbook=10_05.xlsx&amp;sheet=A0&amp;row=2490&amp;col=7&amp;number=0&amp;sourceID=14","0")</f>
        <v>0</v>
      </c>
    </row>
    <row r="2491" spans="1:7">
      <c r="A2491" s="3">
        <v>10</v>
      </c>
      <c r="B2491" s="3">
        <v>5</v>
      </c>
      <c r="C2491" s="3">
        <v>129</v>
      </c>
      <c r="D2491" s="3">
        <v>44</v>
      </c>
      <c r="E2491" s="3">
        <v>506.92</v>
      </c>
      <c r="F2491" s="4" t="str">
        <f>HYPERLINK("http://141.218.60.56/~jnz1568/getInfo.php?workbook=10_05.xlsx&amp;sheet=A0&amp;row=2491&amp;col=6&amp;number=713000&amp;sourceID=14","713000")</f>
        <v>713000</v>
      </c>
      <c r="G2491" s="4" t="str">
        <f>HYPERLINK("http://141.218.60.56/~jnz1568/getInfo.php?workbook=10_05.xlsx&amp;sheet=A0&amp;row=2491&amp;col=7&amp;number=0&amp;sourceID=14","0")</f>
        <v>0</v>
      </c>
    </row>
    <row r="2492" spans="1:7">
      <c r="A2492" s="3">
        <v>10</v>
      </c>
      <c r="B2492" s="3">
        <v>5</v>
      </c>
      <c r="C2492" s="3">
        <v>130</v>
      </c>
      <c r="D2492" s="3">
        <v>44</v>
      </c>
      <c r="E2492" s="3">
        <v>506.92</v>
      </c>
      <c r="F2492" s="4" t="str">
        <f>HYPERLINK("http://141.218.60.56/~jnz1568/getInfo.php?workbook=10_05.xlsx&amp;sheet=A0&amp;row=2492&amp;col=6&amp;number=2080000&amp;sourceID=14","2080000")</f>
        <v>2080000</v>
      </c>
      <c r="G2492" s="4" t="str">
        <f>HYPERLINK("http://141.218.60.56/~jnz1568/getInfo.php?workbook=10_05.xlsx&amp;sheet=A0&amp;row=2492&amp;col=7&amp;number=0&amp;sourceID=14","0")</f>
        <v>0</v>
      </c>
    </row>
    <row r="2493" spans="1:7">
      <c r="A2493" s="3">
        <v>10</v>
      </c>
      <c r="B2493" s="3">
        <v>5</v>
      </c>
      <c r="C2493" s="3">
        <v>131</v>
      </c>
      <c r="D2493" s="3">
        <v>44</v>
      </c>
      <c r="E2493" s="3">
        <v>-505.511</v>
      </c>
      <c r="F2493" s="4" t="str">
        <f>HYPERLINK("http://141.218.60.56/~jnz1568/getInfo.php?workbook=10_05.xlsx&amp;sheet=A0&amp;row=2493&amp;col=6&amp;number=104000000&amp;sourceID=14","104000000")</f>
        <v>104000000</v>
      </c>
      <c r="G2493" s="4" t="str">
        <f>HYPERLINK("http://141.218.60.56/~jnz1568/getInfo.php?workbook=10_05.xlsx&amp;sheet=A0&amp;row=2493&amp;col=7&amp;number=0&amp;sourceID=14","0")</f>
        <v>0</v>
      </c>
    </row>
    <row r="2494" spans="1:7">
      <c r="A2494" s="3">
        <v>10</v>
      </c>
      <c r="B2494" s="3">
        <v>5</v>
      </c>
      <c r="C2494" s="3">
        <v>132</v>
      </c>
      <c r="D2494" s="3">
        <v>44</v>
      </c>
      <c r="E2494" s="3">
        <v>-505.136</v>
      </c>
      <c r="F2494" s="4" t="str">
        <f>HYPERLINK("http://141.218.60.56/~jnz1568/getInfo.php?workbook=10_05.xlsx&amp;sheet=A0&amp;row=2494&amp;col=6&amp;number=86600000&amp;sourceID=14","86600000")</f>
        <v>86600000</v>
      </c>
      <c r="G2494" s="4" t="str">
        <f>HYPERLINK("http://141.218.60.56/~jnz1568/getInfo.php?workbook=10_05.xlsx&amp;sheet=A0&amp;row=2494&amp;col=7&amp;number=0&amp;sourceID=14","0")</f>
        <v>0</v>
      </c>
    </row>
    <row r="2495" spans="1:7">
      <c r="A2495" s="3">
        <v>10</v>
      </c>
      <c r="B2495" s="3">
        <v>5</v>
      </c>
      <c r="C2495" s="3">
        <v>133</v>
      </c>
      <c r="D2495" s="3">
        <v>44</v>
      </c>
      <c r="E2495" s="3">
        <v>-504.605</v>
      </c>
      <c r="F2495" s="4" t="str">
        <f>HYPERLINK("http://141.218.60.56/~jnz1568/getInfo.php?workbook=10_05.xlsx&amp;sheet=A0&amp;row=2495&amp;col=6&amp;number=6570000&amp;sourceID=14","6570000")</f>
        <v>6570000</v>
      </c>
      <c r="G2495" s="4" t="str">
        <f>HYPERLINK("http://141.218.60.56/~jnz1568/getInfo.php?workbook=10_05.xlsx&amp;sheet=A0&amp;row=2495&amp;col=7&amp;number=0&amp;sourceID=14","0")</f>
        <v>0</v>
      </c>
    </row>
    <row r="2496" spans="1:7">
      <c r="A2496" s="3">
        <v>10</v>
      </c>
      <c r="B2496" s="3">
        <v>5</v>
      </c>
      <c r="C2496" s="3">
        <v>140</v>
      </c>
      <c r="D2496" s="3">
        <v>44</v>
      </c>
      <c r="E2496" s="3">
        <v>-492.58</v>
      </c>
      <c r="F2496" s="4" t="str">
        <f>HYPERLINK("http://141.218.60.56/~jnz1568/getInfo.php?workbook=10_05.xlsx&amp;sheet=A0&amp;row=2496&amp;col=6&amp;number=7430&amp;sourceID=14","7430")</f>
        <v>7430</v>
      </c>
      <c r="G2496" s="4" t="str">
        <f>HYPERLINK("http://141.218.60.56/~jnz1568/getInfo.php?workbook=10_05.xlsx&amp;sheet=A0&amp;row=2496&amp;col=7&amp;number=0&amp;sourceID=14","0")</f>
        <v>0</v>
      </c>
    </row>
    <row r="2497" spans="1:7">
      <c r="A2497" s="3">
        <v>10</v>
      </c>
      <c r="B2497" s="3">
        <v>5</v>
      </c>
      <c r="C2497" s="3">
        <v>150</v>
      </c>
      <c r="D2497" s="3">
        <v>44</v>
      </c>
      <c r="E2497" s="3">
        <v>-476.305</v>
      </c>
      <c r="F2497" s="4" t="str">
        <f>HYPERLINK("http://141.218.60.56/~jnz1568/getInfo.php?workbook=10_05.xlsx&amp;sheet=A0&amp;row=2497&amp;col=6&amp;number=30200&amp;sourceID=14","30200")</f>
        <v>30200</v>
      </c>
      <c r="G2497" s="4" t="str">
        <f>HYPERLINK("http://141.218.60.56/~jnz1568/getInfo.php?workbook=10_05.xlsx&amp;sheet=A0&amp;row=2497&amp;col=7&amp;number=0&amp;sourceID=14","0")</f>
        <v>0</v>
      </c>
    </row>
    <row r="2498" spans="1:7">
      <c r="A2498" s="3">
        <v>10</v>
      </c>
      <c r="B2498" s="3">
        <v>5</v>
      </c>
      <c r="C2498" s="3">
        <v>151</v>
      </c>
      <c r="D2498" s="3">
        <v>44</v>
      </c>
      <c r="E2498" s="3">
        <v>-476.255</v>
      </c>
      <c r="F2498" s="4" t="str">
        <f>HYPERLINK("http://141.218.60.56/~jnz1568/getInfo.php?workbook=10_05.xlsx&amp;sheet=A0&amp;row=2498&amp;col=6&amp;number=2900&amp;sourceID=14","2900")</f>
        <v>2900</v>
      </c>
      <c r="G2498" s="4" t="str">
        <f>HYPERLINK("http://141.218.60.56/~jnz1568/getInfo.php?workbook=10_05.xlsx&amp;sheet=A0&amp;row=2498&amp;col=7&amp;number=0&amp;sourceID=14","0")</f>
        <v>0</v>
      </c>
    </row>
    <row r="2499" spans="1:7">
      <c r="A2499" s="3">
        <v>10</v>
      </c>
      <c r="B2499" s="3">
        <v>5</v>
      </c>
      <c r="C2499" s="3">
        <v>155</v>
      </c>
      <c r="D2499" s="3">
        <v>44</v>
      </c>
      <c r="E2499" s="3">
        <v>468.956</v>
      </c>
      <c r="F2499" s="4" t="str">
        <f>HYPERLINK("http://141.218.60.56/~jnz1568/getInfo.php?workbook=10_05.xlsx&amp;sheet=A0&amp;row=2499&amp;col=6&amp;number=50200&amp;sourceID=14","50200")</f>
        <v>50200</v>
      </c>
      <c r="G2499" s="4" t="str">
        <f>HYPERLINK("http://141.218.60.56/~jnz1568/getInfo.php?workbook=10_05.xlsx&amp;sheet=A0&amp;row=2499&amp;col=7&amp;number=0&amp;sourceID=14","0")</f>
        <v>0</v>
      </c>
    </row>
    <row r="2500" spans="1:7">
      <c r="A2500" s="3">
        <v>10</v>
      </c>
      <c r="B2500" s="3">
        <v>5</v>
      </c>
      <c r="C2500" s="3">
        <v>156</v>
      </c>
      <c r="D2500" s="3">
        <v>44</v>
      </c>
      <c r="E2500" s="3">
        <v>-467.138</v>
      </c>
      <c r="F2500" s="4" t="str">
        <f>HYPERLINK("http://141.218.60.56/~jnz1568/getInfo.php?workbook=10_05.xlsx&amp;sheet=A0&amp;row=2500&amp;col=6&amp;number=255000&amp;sourceID=14","255000")</f>
        <v>255000</v>
      </c>
      <c r="G2500" s="4" t="str">
        <f>HYPERLINK("http://141.218.60.56/~jnz1568/getInfo.php?workbook=10_05.xlsx&amp;sheet=A0&amp;row=2500&amp;col=7&amp;number=0&amp;sourceID=14","0")</f>
        <v>0</v>
      </c>
    </row>
    <row r="2501" spans="1:7">
      <c r="A2501" s="3">
        <v>10</v>
      </c>
      <c r="B2501" s="3">
        <v>5</v>
      </c>
      <c r="C2501" s="3">
        <v>157</v>
      </c>
      <c r="D2501" s="3">
        <v>44</v>
      </c>
      <c r="E2501" s="3">
        <v>-466.747</v>
      </c>
      <c r="F2501" s="4" t="str">
        <f>HYPERLINK("http://141.218.60.56/~jnz1568/getInfo.php?workbook=10_05.xlsx&amp;sheet=A0&amp;row=2501&amp;col=6&amp;number=50.5&amp;sourceID=14","50.5")</f>
        <v>50.5</v>
      </c>
      <c r="G2501" s="4" t="str">
        <f>HYPERLINK("http://141.218.60.56/~jnz1568/getInfo.php?workbook=10_05.xlsx&amp;sheet=A0&amp;row=2501&amp;col=7&amp;number=0&amp;sourceID=14","0")</f>
        <v>0</v>
      </c>
    </row>
    <row r="2502" spans="1:7">
      <c r="A2502" s="3">
        <v>10</v>
      </c>
      <c r="B2502" s="3">
        <v>5</v>
      </c>
      <c r="C2502" s="3">
        <v>160</v>
      </c>
      <c r="D2502" s="3">
        <v>44</v>
      </c>
      <c r="E2502" s="3">
        <v>-464.006</v>
      </c>
      <c r="F2502" s="4" t="str">
        <f>HYPERLINK("http://141.218.60.56/~jnz1568/getInfo.php?workbook=10_05.xlsx&amp;sheet=A0&amp;row=2502&amp;col=6&amp;number=123000&amp;sourceID=14","123000")</f>
        <v>123000</v>
      </c>
      <c r="G2502" s="4" t="str">
        <f>HYPERLINK("http://141.218.60.56/~jnz1568/getInfo.php?workbook=10_05.xlsx&amp;sheet=A0&amp;row=2502&amp;col=7&amp;number=0&amp;sourceID=14","0")</f>
        <v>0</v>
      </c>
    </row>
    <row r="2503" spans="1:7">
      <c r="A2503" s="3">
        <v>10</v>
      </c>
      <c r="B2503" s="3">
        <v>5</v>
      </c>
      <c r="C2503" s="3">
        <v>161</v>
      </c>
      <c r="D2503" s="3">
        <v>44</v>
      </c>
      <c r="E2503" s="3">
        <v>463.328</v>
      </c>
      <c r="F2503" s="4" t="str">
        <f>HYPERLINK("http://141.218.60.56/~jnz1568/getInfo.php?workbook=10_05.xlsx&amp;sheet=A0&amp;row=2503&amp;col=6&amp;number=602000&amp;sourceID=14","602000")</f>
        <v>602000</v>
      </c>
      <c r="G2503" s="4" t="str">
        <f>HYPERLINK("http://141.218.60.56/~jnz1568/getInfo.php?workbook=10_05.xlsx&amp;sheet=A0&amp;row=2503&amp;col=7&amp;number=0&amp;sourceID=14","0")</f>
        <v>0</v>
      </c>
    </row>
    <row r="2504" spans="1:7">
      <c r="A2504" s="3">
        <v>10</v>
      </c>
      <c r="B2504" s="3">
        <v>5</v>
      </c>
      <c r="C2504" s="3">
        <v>162</v>
      </c>
      <c r="D2504" s="3">
        <v>44</v>
      </c>
      <c r="E2504" s="3">
        <v>462.685</v>
      </c>
      <c r="F2504" s="4" t="str">
        <f>HYPERLINK("http://141.218.60.56/~jnz1568/getInfo.php?workbook=10_05.xlsx&amp;sheet=A0&amp;row=2504&amp;col=6&amp;number=131000&amp;sourceID=14","131000")</f>
        <v>131000</v>
      </c>
      <c r="G2504" s="4" t="str">
        <f>HYPERLINK("http://141.218.60.56/~jnz1568/getInfo.php?workbook=10_05.xlsx&amp;sheet=A0&amp;row=2504&amp;col=7&amp;number=0&amp;sourceID=14","0")</f>
        <v>0</v>
      </c>
    </row>
    <row r="2505" spans="1:7">
      <c r="A2505" s="3">
        <v>10</v>
      </c>
      <c r="B2505" s="3">
        <v>5</v>
      </c>
      <c r="C2505" s="3">
        <v>163</v>
      </c>
      <c r="D2505" s="3">
        <v>44</v>
      </c>
      <c r="E2505" s="3">
        <v>-435.387</v>
      </c>
      <c r="F2505" s="4" t="str">
        <f>HYPERLINK("http://141.218.60.56/~jnz1568/getInfo.php?workbook=10_05.xlsx&amp;sheet=A0&amp;row=2505&amp;col=6&amp;number=43200&amp;sourceID=14","43200")</f>
        <v>43200</v>
      </c>
      <c r="G2505" s="4" t="str">
        <f>HYPERLINK("http://141.218.60.56/~jnz1568/getInfo.php?workbook=10_05.xlsx&amp;sheet=A0&amp;row=2505&amp;col=7&amp;number=0&amp;sourceID=14","0")</f>
        <v>0</v>
      </c>
    </row>
    <row r="2506" spans="1:7">
      <c r="A2506" s="3">
        <v>10</v>
      </c>
      <c r="B2506" s="3">
        <v>5</v>
      </c>
      <c r="C2506" s="3">
        <v>168</v>
      </c>
      <c r="D2506" s="3">
        <v>44</v>
      </c>
      <c r="E2506" s="3">
        <v>-337.439</v>
      </c>
      <c r="F2506" s="4" t="str">
        <f>HYPERLINK("http://141.218.60.56/~jnz1568/getInfo.php?workbook=10_05.xlsx&amp;sheet=A0&amp;row=2506&amp;col=6&amp;number=10800&amp;sourceID=14","10800")</f>
        <v>10800</v>
      </c>
      <c r="G2506" s="4" t="str">
        <f>HYPERLINK("http://141.218.60.56/~jnz1568/getInfo.php?workbook=10_05.xlsx&amp;sheet=A0&amp;row=2506&amp;col=7&amp;number=0&amp;sourceID=14","0")</f>
        <v>0</v>
      </c>
    </row>
    <row r="2507" spans="1:7">
      <c r="A2507" s="3">
        <v>10</v>
      </c>
      <c r="B2507" s="3">
        <v>5</v>
      </c>
      <c r="C2507" s="3">
        <v>169</v>
      </c>
      <c r="D2507" s="3">
        <v>44</v>
      </c>
      <c r="E2507" s="3">
        <v>-337.385</v>
      </c>
      <c r="F2507" s="4" t="str">
        <f>HYPERLINK("http://141.218.60.56/~jnz1568/getInfo.php?workbook=10_05.xlsx&amp;sheet=A0&amp;row=2507&amp;col=6&amp;number=4830&amp;sourceID=14","4830")</f>
        <v>4830</v>
      </c>
      <c r="G2507" s="4" t="str">
        <f>HYPERLINK("http://141.218.60.56/~jnz1568/getInfo.php?workbook=10_05.xlsx&amp;sheet=A0&amp;row=2507&amp;col=7&amp;number=0&amp;sourceID=14","0")</f>
        <v>0</v>
      </c>
    </row>
    <row r="2508" spans="1:7">
      <c r="A2508" s="3">
        <v>10</v>
      </c>
      <c r="B2508" s="3">
        <v>5</v>
      </c>
      <c r="C2508" s="3">
        <v>170</v>
      </c>
      <c r="D2508" s="3">
        <v>44</v>
      </c>
      <c r="E2508" s="3">
        <v>-327.045</v>
      </c>
      <c r="F2508" s="4" t="str">
        <f>HYPERLINK("http://141.218.60.56/~jnz1568/getInfo.php?workbook=10_05.xlsx&amp;sheet=A0&amp;row=2508&amp;col=6&amp;number=3600&amp;sourceID=14","3600")</f>
        <v>3600</v>
      </c>
      <c r="G2508" s="4" t="str">
        <f>HYPERLINK("http://141.218.60.56/~jnz1568/getInfo.php?workbook=10_05.xlsx&amp;sheet=A0&amp;row=2508&amp;col=7&amp;number=0&amp;sourceID=14","0")</f>
        <v>0</v>
      </c>
    </row>
    <row r="2509" spans="1:7">
      <c r="A2509" s="3">
        <v>10</v>
      </c>
      <c r="B2509" s="3">
        <v>5</v>
      </c>
      <c r="C2509" s="3">
        <v>171</v>
      </c>
      <c r="D2509" s="3">
        <v>44</v>
      </c>
      <c r="E2509" s="3">
        <v>-326.943</v>
      </c>
      <c r="F2509" s="4" t="str">
        <f>HYPERLINK("http://141.218.60.56/~jnz1568/getInfo.php?workbook=10_05.xlsx&amp;sheet=A0&amp;row=2509&amp;col=6&amp;number=203&amp;sourceID=14","203")</f>
        <v>203</v>
      </c>
      <c r="G2509" s="4" t="str">
        <f>HYPERLINK("http://141.218.60.56/~jnz1568/getInfo.php?workbook=10_05.xlsx&amp;sheet=A0&amp;row=2509&amp;col=7&amp;number=0&amp;sourceID=14","0")</f>
        <v>0</v>
      </c>
    </row>
    <row r="2510" spans="1:7">
      <c r="A2510" s="3">
        <v>10</v>
      </c>
      <c r="B2510" s="3">
        <v>5</v>
      </c>
      <c r="C2510" s="3">
        <v>172</v>
      </c>
      <c r="D2510" s="3">
        <v>44</v>
      </c>
      <c r="E2510" s="3">
        <v>-324.872</v>
      </c>
      <c r="F2510" s="4" t="str">
        <f>HYPERLINK("http://141.218.60.56/~jnz1568/getInfo.php?workbook=10_05.xlsx&amp;sheet=A0&amp;row=2510&amp;col=6&amp;number=4550&amp;sourceID=14","4550")</f>
        <v>4550</v>
      </c>
      <c r="G2510" s="4" t="str">
        <f>HYPERLINK("http://141.218.60.56/~jnz1568/getInfo.php?workbook=10_05.xlsx&amp;sheet=A0&amp;row=2510&amp;col=7&amp;number=0&amp;sourceID=14","0")</f>
        <v>0</v>
      </c>
    </row>
    <row r="2511" spans="1:7">
      <c r="A2511" s="3">
        <v>10</v>
      </c>
      <c r="B2511" s="3">
        <v>5</v>
      </c>
      <c r="C2511" s="3">
        <v>173</v>
      </c>
      <c r="D2511" s="3">
        <v>44</v>
      </c>
      <c r="E2511" s="3">
        <v>-324.848</v>
      </c>
      <c r="F2511" s="4" t="str">
        <f>HYPERLINK("http://141.218.60.56/~jnz1568/getInfo.php?workbook=10_05.xlsx&amp;sheet=A0&amp;row=2511&amp;col=6&amp;number=17400&amp;sourceID=14","17400")</f>
        <v>17400</v>
      </c>
      <c r="G2511" s="4" t="str">
        <f>HYPERLINK("http://141.218.60.56/~jnz1568/getInfo.php?workbook=10_05.xlsx&amp;sheet=A0&amp;row=2511&amp;col=7&amp;number=0&amp;sourceID=14","0")</f>
        <v>0</v>
      </c>
    </row>
    <row r="2512" spans="1:7">
      <c r="A2512" s="3">
        <v>10</v>
      </c>
      <c r="B2512" s="3">
        <v>5</v>
      </c>
      <c r="C2512" s="3">
        <v>174</v>
      </c>
      <c r="D2512" s="3">
        <v>44</v>
      </c>
      <c r="E2512" s="3">
        <v>-322.636</v>
      </c>
      <c r="F2512" s="4" t="str">
        <f>HYPERLINK("http://141.218.60.56/~jnz1568/getInfo.php?workbook=10_05.xlsx&amp;sheet=A0&amp;row=2512&amp;col=6&amp;number=4880&amp;sourceID=14","4880")</f>
        <v>4880</v>
      </c>
      <c r="G2512" s="4" t="str">
        <f>HYPERLINK("http://141.218.60.56/~jnz1568/getInfo.php?workbook=10_05.xlsx&amp;sheet=A0&amp;row=2512&amp;col=7&amp;number=0&amp;sourceID=14","0")</f>
        <v>0</v>
      </c>
    </row>
    <row r="2513" spans="1:7">
      <c r="A2513" s="3">
        <v>10</v>
      </c>
      <c r="B2513" s="3">
        <v>5</v>
      </c>
      <c r="C2513" s="3">
        <v>59</v>
      </c>
      <c r="D2513" s="3">
        <v>45</v>
      </c>
      <c r="E2513" s="3">
        <v>1679.828</v>
      </c>
      <c r="F2513" s="4" t="str">
        <f>HYPERLINK("http://141.218.60.56/~jnz1568/getInfo.php?workbook=10_05.xlsx&amp;sheet=A0&amp;row=2513&amp;col=6&amp;number=1470&amp;sourceID=14","1470")</f>
        <v>1470</v>
      </c>
      <c r="G2513" s="4" t="str">
        <f>HYPERLINK("http://141.218.60.56/~jnz1568/getInfo.php?workbook=10_05.xlsx&amp;sheet=A0&amp;row=2513&amp;col=7&amp;number=0&amp;sourceID=14","0")</f>
        <v>0</v>
      </c>
    </row>
    <row r="2514" spans="1:7">
      <c r="A2514" s="3">
        <v>10</v>
      </c>
      <c r="B2514" s="3">
        <v>5</v>
      </c>
      <c r="C2514" s="3">
        <v>60</v>
      </c>
      <c r="D2514" s="3">
        <v>45</v>
      </c>
      <c r="E2514" s="3">
        <v>1675.887</v>
      </c>
      <c r="F2514" s="4" t="str">
        <f>HYPERLINK("http://141.218.60.56/~jnz1568/getInfo.php?workbook=10_05.xlsx&amp;sheet=A0&amp;row=2514&amp;col=6&amp;number=7840&amp;sourceID=14","7840")</f>
        <v>7840</v>
      </c>
      <c r="G2514" s="4" t="str">
        <f>HYPERLINK("http://141.218.60.56/~jnz1568/getInfo.php?workbook=10_05.xlsx&amp;sheet=A0&amp;row=2514&amp;col=7&amp;number=0&amp;sourceID=14","0")</f>
        <v>0</v>
      </c>
    </row>
    <row r="2515" spans="1:7">
      <c r="A2515" s="3">
        <v>10</v>
      </c>
      <c r="B2515" s="3">
        <v>5</v>
      </c>
      <c r="C2515" s="3">
        <v>62</v>
      </c>
      <c r="D2515" s="3">
        <v>45</v>
      </c>
      <c r="E2515" s="3">
        <v>1626.548</v>
      </c>
      <c r="F2515" s="4" t="str">
        <f>HYPERLINK("http://141.218.60.56/~jnz1568/getInfo.php?workbook=10_05.xlsx&amp;sheet=A0&amp;row=2515&amp;col=6&amp;number=255&amp;sourceID=14","255")</f>
        <v>255</v>
      </c>
      <c r="G2515" s="4" t="str">
        <f>HYPERLINK("http://141.218.60.56/~jnz1568/getInfo.php?workbook=10_05.xlsx&amp;sheet=A0&amp;row=2515&amp;col=7&amp;number=0&amp;sourceID=14","0")</f>
        <v>0</v>
      </c>
    </row>
    <row r="2516" spans="1:7">
      <c r="A2516" s="3">
        <v>10</v>
      </c>
      <c r="B2516" s="3">
        <v>5</v>
      </c>
      <c r="C2516" s="3">
        <v>66</v>
      </c>
      <c r="D2516" s="3">
        <v>45</v>
      </c>
      <c r="E2516" s="3">
        <v>1080.149</v>
      </c>
      <c r="F2516" s="4" t="str">
        <f>HYPERLINK("http://141.218.60.56/~jnz1568/getInfo.php?workbook=10_05.xlsx&amp;sheet=A0&amp;row=2516&amp;col=6&amp;number=278&amp;sourceID=14","278")</f>
        <v>278</v>
      </c>
      <c r="G2516" s="4" t="str">
        <f>HYPERLINK("http://141.218.60.56/~jnz1568/getInfo.php?workbook=10_05.xlsx&amp;sheet=A0&amp;row=2516&amp;col=7&amp;number=0&amp;sourceID=14","0")</f>
        <v>0</v>
      </c>
    </row>
    <row r="2517" spans="1:7">
      <c r="A2517" s="3">
        <v>10</v>
      </c>
      <c r="B2517" s="3">
        <v>5</v>
      </c>
      <c r="C2517" s="3">
        <v>67</v>
      </c>
      <c r="D2517" s="3">
        <v>45</v>
      </c>
      <c r="E2517" s="3">
        <v>1080.149</v>
      </c>
      <c r="F2517" s="4" t="str">
        <f>HYPERLINK("http://141.218.60.56/~jnz1568/getInfo.php?workbook=10_05.xlsx&amp;sheet=A0&amp;row=2517&amp;col=6&amp;number=255&amp;sourceID=14","255")</f>
        <v>255</v>
      </c>
      <c r="G2517" s="4" t="str">
        <f>HYPERLINK("http://141.218.60.56/~jnz1568/getInfo.php?workbook=10_05.xlsx&amp;sheet=A0&amp;row=2517&amp;col=7&amp;number=0&amp;sourceID=14","0")</f>
        <v>0</v>
      </c>
    </row>
    <row r="2518" spans="1:7">
      <c r="A2518" s="3">
        <v>10</v>
      </c>
      <c r="B2518" s="3">
        <v>5</v>
      </c>
      <c r="C2518" s="3">
        <v>71</v>
      </c>
      <c r="D2518" s="3">
        <v>45</v>
      </c>
      <c r="E2518" s="3">
        <v>1033.487</v>
      </c>
      <c r="F2518" s="4" t="str">
        <f>HYPERLINK("http://141.218.60.56/~jnz1568/getInfo.php?workbook=10_05.xlsx&amp;sheet=A0&amp;row=2518&amp;col=6&amp;number=21800000&amp;sourceID=14","21800000")</f>
        <v>21800000</v>
      </c>
      <c r="G2518" s="4" t="str">
        <f>HYPERLINK("http://141.218.60.56/~jnz1568/getInfo.php?workbook=10_05.xlsx&amp;sheet=A0&amp;row=2518&amp;col=7&amp;number=0&amp;sourceID=14","0")</f>
        <v>0</v>
      </c>
    </row>
    <row r="2519" spans="1:7">
      <c r="A2519" s="3">
        <v>10</v>
      </c>
      <c r="B2519" s="3">
        <v>5</v>
      </c>
      <c r="C2519" s="3">
        <v>72</v>
      </c>
      <c r="D2519" s="3">
        <v>45</v>
      </c>
      <c r="E2519" s="3">
        <v>1033.487</v>
      </c>
      <c r="F2519" s="4" t="str">
        <f>HYPERLINK("http://141.218.60.56/~jnz1568/getInfo.php?workbook=10_05.xlsx&amp;sheet=A0&amp;row=2519&amp;col=6&amp;number=4750000&amp;sourceID=14","4750000")</f>
        <v>4750000</v>
      </c>
      <c r="G2519" s="4" t="str">
        <f>HYPERLINK("http://141.218.60.56/~jnz1568/getInfo.php?workbook=10_05.xlsx&amp;sheet=A0&amp;row=2519&amp;col=7&amp;number=0&amp;sourceID=14","0")</f>
        <v>0</v>
      </c>
    </row>
    <row r="2520" spans="1:7">
      <c r="A2520" s="3">
        <v>10</v>
      </c>
      <c r="B2520" s="3">
        <v>5</v>
      </c>
      <c r="C2520" s="3">
        <v>78</v>
      </c>
      <c r="D2520" s="3">
        <v>45</v>
      </c>
      <c r="E2520" s="3">
        <v>-820.191</v>
      </c>
      <c r="F2520" s="4" t="str">
        <f>HYPERLINK("http://141.218.60.56/~jnz1568/getInfo.php?workbook=10_05.xlsx&amp;sheet=A0&amp;row=2520&amp;col=6&amp;number=139000&amp;sourceID=14","139000")</f>
        <v>139000</v>
      </c>
      <c r="G2520" s="4" t="str">
        <f>HYPERLINK("http://141.218.60.56/~jnz1568/getInfo.php?workbook=10_05.xlsx&amp;sheet=A0&amp;row=2520&amp;col=7&amp;number=0&amp;sourceID=14","0")</f>
        <v>0</v>
      </c>
    </row>
    <row r="2521" spans="1:7">
      <c r="A2521" s="3">
        <v>10</v>
      </c>
      <c r="B2521" s="3">
        <v>5</v>
      </c>
      <c r="C2521" s="3">
        <v>80</v>
      </c>
      <c r="D2521" s="3">
        <v>45</v>
      </c>
      <c r="E2521" s="3">
        <v>770.655</v>
      </c>
      <c r="F2521" s="4" t="str">
        <f>HYPERLINK("http://141.218.60.56/~jnz1568/getInfo.php?workbook=10_05.xlsx&amp;sheet=A0&amp;row=2521&amp;col=6&amp;number=3630&amp;sourceID=14","3630")</f>
        <v>3630</v>
      </c>
      <c r="G2521" s="4" t="str">
        <f>HYPERLINK("http://141.218.60.56/~jnz1568/getInfo.php?workbook=10_05.xlsx&amp;sheet=A0&amp;row=2521&amp;col=7&amp;number=0&amp;sourceID=14","0")</f>
        <v>0</v>
      </c>
    </row>
    <row r="2522" spans="1:7">
      <c r="A2522" s="3">
        <v>10</v>
      </c>
      <c r="B2522" s="3">
        <v>5</v>
      </c>
      <c r="C2522" s="3">
        <v>81</v>
      </c>
      <c r="D2522" s="3">
        <v>45</v>
      </c>
      <c r="E2522" s="3">
        <v>770.655</v>
      </c>
      <c r="F2522" s="4" t="str">
        <f>HYPERLINK("http://141.218.60.56/~jnz1568/getInfo.php?workbook=10_05.xlsx&amp;sheet=A0&amp;row=2522&amp;col=6&amp;number=62300&amp;sourceID=14","62300")</f>
        <v>62300</v>
      </c>
      <c r="G2522" s="4" t="str">
        <f>HYPERLINK("http://141.218.60.56/~jnz1568/getInfo.php?workbook=10_05.xlsx&amp;sheet=A0&amp;row=2522&amp;col=7&amp;number=0&amp;sourceID=14","0")</f>
        <v>0</v>
      </c>
    </row>
    <row r="2523" spans="1:7">
      <c r="A2523" s="3">
        <v>10</v>
      </c>
      <c r="B2523" s="3">
        <v>5</v>
      </c>
      <c r="C2523" s="3">
        <v>99</v>
      </c>
      <c r="D2523" s="3">
        <v>45</v>
      </c>
      <c r="E2523" s="3">
        <v>-577.719</v>
      </c>
      <c r="F2523" s="4" t="str">
        <f>HYPERLINK("http://141.218.60.56/~jnz1568/getInfo.php?workbook=10_05.xlsx&amp;sheet=A0&amp;row=2523&amp;col=6&amp;number=10400000&amp;sourceID=14","10400000")</f>
        <v>10400000</v>
      </c>
      <c r="G2523" s="4" t="str">
        <f>HYPERLINK("http://141.218.60.56/~jnz1568/getInfo.php?workbook=10_05.xlsx&amp;sheet=A0&amp;row=2523&amp;col=7&amp;number=0&amp;sourceID=14","0")</f>
        <v>0</v>
      </c>
    </row>
    <row r="2524" spans="1:7">
      <c r="A2524" s="3">
        <v>10</v>
      </c>
      <c r="B2524" s="3">
        <v>5</v>
      </c>
      <c r="C2524" s="3">
        <v>100</v>
      </c>
      <c r="D2524" s="3">
        <v>45</v>
      </c>
      <c r="E2524" s="3">
        <v>-576.842</v>
      </c>
      <c r="F2524" s="4" t="str">
        <f>HYPERLINK("http://141.218.60.56/~jnz1568/getInfo.php?workbook=10_05.xlsx&amp;sheet=A0&amp;row=2524&amp;col=6&amp;number=114000000&amp;sourceID=14","114000000")</f>
        <v>114000000</v>
      </c>
      <c r="G2524" s="4" t="str">
        <f>HYPERLINK("http://141.218.60.56/~jnz1568/getInfo.php?workbook=10_05.xlsx&amp;sheet=A0&amp;row=2524&amp;col=7&amp;number=0&amp;sourceID=14","0")</f>
        <v>0</v>
      </c>
    </row>
    <row r="2525" spans="1:7">
      <c r="A2525" s="3">
        <v>10</v>
      </c>
      <c r="B2525" s="3">
        <v>5</v>
      </c>
      <c r="C2525" s="3">
        <v>102</v>
      </c>
      <c r="D2525" s="3">
        <v>45</v>
      </c>
      <c r="E2525" s="3">
        <v>-575.594</v>
      </c>
      <c r="F2525" s="4" t="str">
        <f>HYPERLINK("http://141.218.60.56/~jnz1568/getInfo.php?workbook=10_05.xlsx&amp;sheet=A0&amp;row=2525&amp;col=6&amp;number=350000000&amp;sourceID=14","350000000")</f>
        <v>350000000</v>
      </c>
      <c r="G2525" s="4" t="str">
        <f>HYPERLINK("http://141.218.60.56/~jnz1568/getInfo.php?workbook=10_05.xlsx&amp;sheet=A0&amp;row=2525&amp;col=7&amp;number=0&amp;sourceID=14","0")</f>
        <v>0</v>
      </c>
    </row>
    <row r="2526" spans="1:7">
      <c r="A2526" s="3">
        <v>10</v>
      </c>
      <c r="B2526" s="3">
        <v>5</v>
      </c>
      <c r="C2526" s="3">
        <v>106</v>
      </c>
      <c r="D2526" s="3">
        <v>45</v>
      </c>
      <c r="E2526" s="3">
        <v>-558.04</v>
      </c>
      <c r="F2526" s="4" t="str">
        <f>HYPERLINK("http://141.218.60.56/~jnz1568/getInfo.php?workbook=10_05.xlsx&amp;sheet=A0&amp;row=2526&amp;col=6&amp;number=105000000&amp;sourceID=14","105000000")</f>
        <v>105000000</v>
      </c>
      <c r="G2526" s="4" t="str">
        <f>HYPERLINK("http://141.218.60.56/~jnz1568/getInfo.php?workbook=10_05.xlsx&amp;sheet=A0&amp;row=2526&amp;col=7&amp;number=0&amp;sourceID=14","0")</f>
        <v>0</v>
      </c>
    </row>
    <row r="2527" spans="1:7">
      <c r="A2527" s="3">
        <v>10</v>
      </c>
      <c r="B2527" s="3">
        <v>5</v>
      </c>
      <c r="C2527" s="3">
        <v>107</v>
      </c>
      <c r="D2527" s="3">
        <v>45</v>
      </c>
      <c r="E2527" s="3">
        <v>-557.175</v>
      </c>
      <c r="F2527" s="4" t="str">
        <f>HYPERLINK("http://141.218.60.56/~jnz1568/getInfo.php?workbook=10_05.xlsx&amp;sheet=A0&amp;row=2527&amp;col=6&amp;number=183000000&amp;sourceID=14","183000000")</f>
        <v>183000000</v>
      </c>
      <c r="G2527" s="4" t="str">
        <f>HYPERLINK("http://141.218.60.56/~jnz1568/getInfo.php?workbook=10_05.xlsx&amp;sheet=A0&amp;row=2527&amp;col=7&amp;number=0&amp;sourceID=14","0")</f>
        <v>0</v>
      </c>
    </row>
    <row r="2528" spans="1:7">
      <c r="A2528" s="3">
        <v>10</v>
      </c>
      <c r="B2528" s="3">
        <v>5</v>
      </c>
      <c r="C2528" s="3">
        <v>108</v>
      </c>
      <c r="D2528" s="3">
        <v>45</v>
      </c>
      <c r="E2528" s="3">
        <v>-556.28</v>
      </c>
      <c r="F2528" s="4" t="str">
        <f>HYPERLINK("http://141.218.60.56/~jnz1568/getInfo.php?workbook=10_05.xlsx&amp;sheet=A0&amp;row=2528&amp;col=6&amp;number=76000000&amp;sourceID=14","76000000")</f>
        <v>76000000</v>
      </c>
      <c r="G2528" s="4" t="str">
        <f>HYPERLINK("http://141.218.60.56/~jnz1568/getInfo.php?workbook=10_05.xlsx&amp;sheet=A0&amp;row=2528&amp;col=7&amp;number=0&amp;sourceID=14","0")</f>
        <v>0</v>
      </c>
    </row>
    <row r="2529" spans="1:7">
      <c r="A2529" s="3">
        <v>10</v>
      </c>
      <c r="B2529" s="3">
        <v>5</v>
      </c>
      <c r="C2529" s="3">
        <v>109</v>
      </c>
      <c r="D2529" s="3">
        <v>45</v>
      </c>
      <c r="E2529" s="3">
        <v>-554.998</v>
      </c>
      <c r="F2529" s="4" t="str">
        <f>HYPERLINK("http://141.218.60.56/~jnz1568/getInfo.php?workbook=10_05.xlsx&amp;sheet=A0&amp;row=2529&amp;col=6&amp;number=27900000&amp;sourceID=14","27900000")</f>
        <v>27900000</v>
      </c>
      <c r="G2529" s="4" t="str">
        <f>HYPERLINK("http://141.218.60.56/~jnz1568/getInfo.php?workbook=10_05.xlsx&amp;sheet=A0&amp;row=2529&amp;col=7&amp;number=0&amp;sourceID=14","0")</f>
        <v>0</v>
      </c>
    </row>
    <row r="2530" spans="1:7">
      <c r="A2530" s="3">
        <v>10</v>
      </c>
      <c r="B2530" s="3">
        <v>5</v>
      </c>
      <c r="C2530" s="3">
        <v>115</v>
      </c>
      <c r="D2530" s="3">
        <v>45</v>
      </c>
      <c r="E2530" s="3">
        <v>-532.877</v>
      </c>
      <c r="F2530" s="4" t="str">
        <f>HYPERLINK("http://141.218.60.56/~jnz1568/getInfo.php?workbook=10_05.xlsx&amp;sheet=A0&amp;row=2530&amp;col=6&amp;number=167000&amp;sourceID=14","167000")</f>
        <v>167000</v>
      </c>
      <c r="G2530" s="4" t="str">
        <f>HYPERLINK("http://141.218.60.56/~jnz1568/getInfo.php?workbook=10_05.xlsx&amp;sheet=A0&amp;row=2530&amp;col=7&amp;number=0&amp;sourceID=14","0")</f>
        <v>0</v>
      </c>
    </row>
    <row r="2531" spans="1:7">
      <c r="A2531" s="3">
        <v>10</v>
      </c>
      <c r="B2531" s="3">
        <v>5</v>
      </c>
      <c r="C2531" s="3">
        <v>116</v>
      </c>
      <c r="D2531" s="3">
        <v>45</v>
      </c>
      <c r="E2531" s="3">
        <v>-530.361</v>
      </c>
      <c r="F2531" s="4" t="str">
        <f>HYPERLINK("http://141.218.60.56/~jnz1568/getInfo.php?workbook=10_05.xlsx&amp;sheet=A0&amp;row=2531&amp;col=6&amp;number=226000&amp;sourceID=14","226000")</f>
        <v>226000</v>
      </c>
      <c r="G2531" s="4" t="str">
        <f>HYPERLINK("http://141.218.60.56/~jnz1568/getInfo.php?workbook=10_05.xlsx&amp;sheet=A0&amp;row=2531&amp;col=7&amp;number=0&amp;sourceID=14","0")</f>
        <v>0</v>
      </c>
    </row>
    <row r="2532" spans="1:7">
      <c r="A2532" s="3">
        <v>10</v>
      </c>
      <c r="B2532" s="3">
        <v>5</v>
      </c>
      <c r="C2532" s="3">
        <v>117</v>
      </c>
      <c r="D2532" s="3">
        <v>45</v>
      </c>
      <c r="E2532" s="3">
        <v>-529.732</v>
      </c>
      <c r="F2532" s="4" t="str">
        <f>HYPERLINK("http://141.218.60.56/~jnz1568/getInfo.php?workbook=10_05.xlsx&amp;sheet=A0&amp;row=2532&amp;col=6&amp;number=1050000000&amp;sourceID=14","1050000000")</f>
        <v>1050000000</v>
      </c>
      <c r="G2532" s="4" t="str">
        <f>HYPERLINK("http://141.218.60.56/~jnz1568/getInfo.php?workbook=10_05.xlsx&amp;sheet=A0&amp;row=2532&amp;col=7&amp;number=0&amp;sourceID=14","0")</f>
        <v>0</v>
      </c>
    </row>
    <row r="2533" spans="1:7">
      <c r="A2533" s="3">
        <v>10</v>
      </c>
      <c r="B2533" s="3">
        <v>5</v>
      </c>
      <c r="C2533" s="3">
        <v>118</v>
      </c>
      <c r="D2533" s="3">
        <v>45</v>
      </c>
      <c r="E2533" s="3">
        <v>-529.505</v>
      </c>
      <c r="F2533" s="4" t="str">
        <f>HYPERLINK("http://141.218.60.56/~jnz1568/getInfo.php?workbook=10_05.xlsx&amp;sheet=A0&amp;row=2533&amp;col=6&amp;number=2860000000&amp;sourceID=14","2860000000")</f>
        <v>2860000000</v>
      </c>
      <c r="G2533" s="4" t="str">
        <f>HYPERLINK("http://141.218.60.56/~jnz1568/getInfo.php?workbook=10_05.xlsx&amp;sheet=A0&amp;row=2533&amp;col=7&amp;number=0&amp;sourceID=14","0")</f>
        <v>0</v>
      </c>
    </row>
    <row r="2534" spans="1:7">
      <c r="A2534" s="3">
        <v>10</v>
      </c>
      <c r="B2534" s="3">
        <v>5</v>
      </c>
      <c r="C2534" s="3">
        <v>121</v>
      </c>
      <c r="D2534" s="3">
        <v>45</v>
      </c>
      <c r="E2534" s="3">
        <v>-520.046</v>
      </c>
      <c r="F2534" s="4" t="str">
        <f>HYPERLINK("http://141.218.60.56/~jnz1568/getInfo.php?workbook=10_05.xlsx&amp;sheet=A0&amp;row=2534&amp;col=6&amp;number=19800000&amp;sourceID=14","19800000")</f>
        <v>19800000</v>
      </c>
      <c r="G2534" s="4" t="str">
        <f>HYPERLINK("http://141.218.60.56/~jnz1568/getInfo.php?workbook=10_05.xlsx&amp;sheet=A0&amp;row=2534&amp;col=7&amp;number=0&amp;sourceID=14","0")</f>
        <v>0</v>
      </c>
    </row>
    <row r="2535" spans="1:7">
      <c r="A2535" s="3">
        <v>10</v>
      </c>
      <c r="B2535" s="3">
        <v>5</v>
      </c>
      <c r="C2535" s="3">
        <v>122</v>
      </c>
      <c r="D2535" s="3">
        <v>45</v>
      </c>
      <c r="E2535" s="3">
        <v>-519.047</v>
      </c>
      <c r="F2535" s="4" t="str">
        <f>HYPERLINK("http://141.218.60.56/~jnz1568/getInfo.php?workbook=10_05.xlsx&amp;sheet=A0&amp;row=2535&amp;col=6&amp;number=51700000&amp;sourceID=14","51700000")</f>
        <v>51700000</v>
      </c>
      <c r="G2535" s="4" t="str">
        <f>HYPERLINK("http://141.218.60.56/~jnz1568/getInfo.php?workbook=10_05.xlsx&amp;sheet=A0&amp;row=2535&amp;col=7&amp;number=0&amp;sourceID=14","0")</f>
        <v>0</v>
      </c>
    </row>
    <row r="2536" spans="1:7">
      <c r="A2536" s="3">
        <v>10</v>
      </c>
      <c r="B2536" s="3">
        <v>5</v>
      </c>
      <c r="C2536" s="3">
        <v>123</v>
      </c>
      <c r="D2536" s="3">
        <v>45</v>
      </c>
      <c r="E2536" s="3">
        <v>-518.257</v>
      </c>
      <c r="F2536" s="4" t="str">
        <f>HYPERLINK("http://141.218.60.56/~jnz1568/getInfo.php?workbook=10_05.xlsx&amp;sheet=A0&amp;row=2536&amp;col=6&amp;number=825000&amp;sourceID=14","825000")</f>
        <v>825000</v>
      </c>
      <c r="G2536" s="4" t="str">
        <f>HYPERLINK("http://141.218.60.56/~jnz1568/getInfo.php?workbook=10_05.xlsx&amp;sheet=A0&amp;row=2536&amp;col=7&amp;number=0&amp;sourceID=14","0")</f>
        <v>0</v>
      </c>
    </row>
    <row r="2537" spans="1:7">
      <c r="A2537" s="3">
        <v>10</v>
      </c>
      <c r="B2537" s="3">
        <v>5</v>
      </c>
      <c r="C2537" s="3">
        <v>124</v>
      </c>
      <c r="D2537" s="3">
        <v>45</v>
      </c>
      <c r="E2537" s="3">
        <v>-517.599</v>
      </c>
      <c r="F2537" s="4" t="str">
        <f>HYPERLINK("http://141.218.60.56/~jnz1568/getInfo.php?workbook=10_05.xlsx&amp;sheet=A0&amp;row=2537&amp;col=6&amp;number=305000&amp;sourceID=14","305000")</f>
        <v>305000</v>
      </c>
      <c r="G2537" s="4" t="str">
        <f>HYPERLINK("http://141.218.60.56/~jnz1568/getInfo.php?workbook=10_05.xlsx&amp;sheet=A0&amp;row=2537&amp;col=7&amp;number=0&amp;sourceID=14","0")</f>
        <v>0</v>
      </c>
    </row>
    <row r="2538" spans="1:7">
      <c r="A2538" s="3">
        <v>10</v>
      </c>
      <c r="B2538" s="3">
        <v>5</v>
      </c>
      <c r="C2538" s="3">
        <v>126</v>
      </c>
      <c r="D2538" s="3">
        <v>45</v>
      </c>
      <c r="E2538" s="3">
        <v>-514.5</v>
      </c>
      <c r="F2538" s="4" t="str">
        <f>HYPERLINK("http://141.218.60.56/~jnz1568/getInfo.php?workbook=10_05.xlsx&amp;sheet=A0&amp;row=2538&amp;col=6&amp;number=139000&amp;sourceID=14","139000")</f>
        <v>139000</v>
      </c>
      <c r="G2538" s="4" t="str">
        <f>HYPERLINK("http://141.218.60.56/~jnz1568/getInfo.php?workbook=10_05.xlsx&amp;sheet=A0&amp;row=2538&amp;col=7&amp;number=0&amp;sourceID=14","0")</f>
        <v>0</v>
      </c>
    </row>
    <row r="2539" spans="1:7">
      <c r="A2539" s="3">
        <v>10</v>
      </c>
      <c r="B2539" s="3">
        <v>5</v>
      </c>
      <c r="C2539" s="3">
        <v>129</v>
      </c>
      <c r="D2539" s="3">
        <v>45</v>
      </c>
      <c r="E2539" s="3">
        <v>507.177</v>
      </c>
      <c r="F2539" s="4" t="str">
        <f>HYPERLINK("http://141.218.60.56/~jnz1568/getInfo.php?workbook=10_05.xlsx&amp;sheet=A0&amp;row=2539&amp;col=6&amp;number=461000&amp;sourceID=14","461000")</f>
        <v>461000</v>
      </c>
      <c r="G2539" s="4" t="str">
        <f>HYPERLINK("http://141.218.60.56/~jnz1568/getInfo.php?workbook=10_05.xlsx&amp;sheet=A0&amp;row=2539&amp;col=7&amp;number=0&amp;sourceID=14","0")</f>
        <v>0</v>
      </c>
    </row>
    <row r="2540" spans="1:7">
      <c r="A2540" s="3">
        <v>10</v>
      </c>
      <c r="B2540" s="3">
        <v>5</v>
      </c>
      <c r="C2540" s="3">
        <v>130</v>
      </c>
      <c r="D2540" s="3">
        <v>45</v>
      </c>
      <c r="E2540" s="3">
        <v>507.177</v>
      </c>
      <c r="F2540" s="4" t="str">
        <f>HYPERLINK("http://141.218.60.56/~jnz1568/getInfo.php?workbook=10_05.xlsx&amp;sheet=A0&amp;row=2540&amp;col=6&amp;number=15100000&amp;sourceID=14","15100000")</f>
        <v>15100000</v>
      </c>
      <c r="G2540" s="4" t="str">
        <f>HYPERLINK("http://141.218.60.56/~jnz1568/getInfo.php?workbook=10_05.xlsx&amp;sheet=A0&amp;row=2540&amp;col=7&amp;number=0&amp;sourceID=14","0")</f>
        <v>0</v>
      </c>
    </row>
    <row r="2541" spans="1:7">
      <c r="A2541" s="3">
        <v>10</v>
      </c>
      <c r="B2541" s="3">
        <v>5</v>
      </c>
      <c r="C2541" s="3">
        <v>132</v>
      </c>
      <c r="D2541" s="3">
        <v>45</v>
      </c>
      <c r="E2541" s="3">
        <v>-505.388</v>
      </c>
      <c r="F2541" s="4" t="str">
        <f>HYPERLINK("http://141.218.60.56/~jnz1568/getInfo.php?workbook=10_05.xlsx&amp;sheet=A0&amp;row=2541&amp;col=6&amp;number=112000000&amp;sourceID=14","112000000")</f>
        <v>112000000</v>
      </c>
      <c r="G2541" s="4" t="str">
        <f>HYPERLINK("http://141.218.60.56/~jnz1568/getInfo.php?workbook=10_05.xlsx&amp;sheet=A0&amp;row=2541&amp;col=7&amp;number=0&amp;sourceID=14","0")</f>
        <v>0</v>
      </c>
    </row>
    <row r="2542" spans="1:7">
      <c r="A2542" s="3">
        <v>10</v>
      </c>
      <c r="B2542" s="3">
        <v>5</v>
      </c>
      <c r="C2542" s="3">
        <v>133</v>
      </c>
      <c r="D2542" s="3">
        <v>45</v>
      </c>
      <c r="E2542" s="3">
        <v>-504.858</v>
      </c>
      <c r="F2542" s="4" t="str">
        <f>HYPERLINK("http://141.218.60.56/~jnz1568/getInfo.php?workbook=10_05.xlsx&amp;sheet=A0&amp;row=2542&amp;col=6&amp;number=39300000&amp;sourceID=14","39300000")</f>
        <v>39300000</v>
      </c>
      <c r="G2542" s="4" t="str">
        <f>HYPERLINK("http://141.218.60.56/~jnz1568/getInfo.php?workbook=10_05.xlsx&amp;sheet=A0&amp;row=2542&amp;col=7&amp;number=0&amp;sourceID=14","0")</f>
        <v>0</v>
      </c>
    </row>
    <row r="2543" spans="1:7">
      <c r="A2543" s="3">
        <v>10</v>
      </c>
      <c r="B2543" s="3">
        <v>5</v>
      </c>
      <c r="C2543" s="3">
        <v>138</v>
      </c>
      <c r="D2543" s="3">
        <v>45</v>
      </c>
      <c r="E2543" s="3">
        <v>-496.93</v>
      </c>
      <c r="F2543" s="4" t="str">
        <f>HYPERLINK("http://141.218.60.56/~jnz1568/getInfo.php?workbook=10_05.xlsx&amp;sheet=A0&amp;row=2543&amp;col=6&amp;number=15500&amp;sourceID=14","15500")</f>
        <v>15500</v>
      </c>
      <c r="G2543" s="4" t="str">
        <f>HYPERLINK("http://141.218.60.56/~jnz1568/getInfo.php?workbook=10_05.xlsx&amp;sheet=A0&amp;row=2543&amp;col=7&amp;number=0&amp;sourceID=14","0")</f>
        <v>0</v>
      </c>
    </row>
    <row r="2544" spans="1:7">
      <c r="A2544" s="3">
        <v>10</v>
      </c>
      <c r="B2544" s="3">
        <v>5</v>
      </c>
      <c r="C2544" s="3">
        <v>150</v>
      </c>
      <c r="D2544" s="3">
        <v>45</v>
      </c>
      <c r="E2544" s="3">
        <v>-476.529</v>
      </c>
      <c r="F2544" s="4" t="str">
        <f>HYPERLINK("http://141.218.60.56/~jnz1568/getInfo.php?workbook=10_05.xlsx&amp;sheet=A0&amp;row=2544&amp;col=6&amp;number=89900&amp;sourceID=14","89900")</f>
        <v>89900</v>
      </c>
      <c r="G2544" s="4" t="str">
        <f>HYPERLINK("http://141.218.60.56/~jnz1568/getInfo.php?workbook=10_05.xlsx&amp;sheet=A0&amp;row=2544&amp;col=7&amp;number=0&amp;sourceID=14","0")</f>
        <v>0</v>
      </c>
    </row>
    <row r="2545" spans="1:7">
      <c r="A2545" s="3">
        <v>10</v>
      </c>
      <c r="B2545" s="3">
        <v>5</v>
      </c>
      <c r="C2545" s="3">
        <v>151</v>
      </c>
      <c r="D2545" s="3">
        <v>45</v>
      </c>
      <c r="E2545" s="3">
        <v>-476.48</v>
      </c>
      <c r="F2545" s="4" t="str">
        <f>HYPERLINK("http://141.218.60.56/~jnz1568/getInfo.php?workbook=10_05.xlsx&amp;sheet=A0&amp;row=2545&amp;col=6&amp;number=70600&amp;sourceID=14","70600")</f>
        <v>70600</v>
      </c>
      <c r="G2545" s="4" t="str">
        <f>HYPERLINK("http://141.218.60.56/~jnz1568/getInfo.php?workbook=10_05.xlsx&amp;sheet=A0&amp;row=2545&amp;col=7&amp;number=0&amp;sourceID=14","0")</f>
        <v>0</v>
      </c>
    </row>
    <row r="2546" spans="1:7">
      <c r="A2546" s="3">
        <v>10</v>
      </c>
      <c r="B2546" s="3">
        <v>5</v>
      </c>
      <c r="C2546" s="3">
        <v>154</v>
      </c>
      <c r="D2546" s="3">
        <v>45</v>
      </c>
      <c r="E2546" s="3">
        <v>469.176</v>
      </c>
      <c r="F2546" s="4" t="str">
        <f>HYPERLINK("http://141.218.60.56/~jnz1568/getInfo.php?workbook=10_05.xlsx&amp;sheet=A0&amp;row=2546&amp;col=6&amp;number=168000&amp;sourceID=14","168000")</f>
        <v>168000</v>
      </c>
      <c r="G2546" s="4" t="str">
        <f>HYPERLINK("http://141.218.60.56/~jnz1568/getInfo.php?workbook=10_05.xlsx&amp;sheet=A0&amp;row=2546&amp;col=7&amp;number=0&amp;sourceID=14","0")</f>
        <v>0</v>
      </c>
    </row>
    <row r="2547" spans="1:7">
      <c r="A2547" s="3">
        <v>10</v>
      </c>
      <c r="B2547" s="3">
        <v>5</v>
      </c>
      <c r="C2547" s="3">
        <v>155</v>
      </c>
      <c r="D2547" s="3">
        <v>45</v>
      </c>
      <c r="E2547" s="3">
        <v>469.176</v>
      </c>
      <c r="F2547" s="4" t="str">
        <f>HYPERLINK("http://141.218.60.56/~jnz1568/getInfo.php?workbook=10_05.xlsx&amp;sheet=A0&amp;row=2547&amp;col=6&amp;number=459&amp;sourceID=14","459")</f>
        <v>459</v>
      </c>
      <c r="G2547" s="4" t="str">
        <f>HYPERLINK("http://141.218.60.56/~jnz1568/getInfo.php?workbook=10_05.xlsx&amp;sheet=A0&amp;row=2547&amp;col=7&amp;number=0&amp;sourceID=14","0")</f>
        <v>0</v>
      </c>
    </row>
    <row r="2548" spans="1:7">
      <c r="A2548" s="3">
        <v>10</v>
      </c>
      <c r="B2548" s="3">
        <v>5</v>
      </c>
      <c r="C2548" s="3">
        <v>156</v>
      </c>
      <c r="D2548" s="3">
        <v>45</v>
      </c>
      <c r="E2548" s="3">
        <v>-467.354</v>
      </c>
      <c r="F2548" s="4" t="str">
        <f>HYPERLINK("http://141.218.60.56/~jnz1568/getInfo.php?workbook=10_05.xlsx&amp;sheet=A0&amp;row=2548&amp;col=6&amp;number=100000&amp;sourceID=14","100000")</f>
        <v>100000</v>
      </c>
      <c r="G2548" s="4" t="str">
        <f>HYPERLINK("http://141.218.60.56/~jnz1568/getInfo.php?workbook=10_05.xlsx&amp;sheet=A0&amp;row=2548&amp;col=7&amp;number=0&amp;sourceID=14","0")</f>
        <v>0</v>
      </c>
    </row>
    <row r="2549" spans="1:7">
      <c r="A2549" s="3">
        <v>10</v>
      </c>
      <c r="B2549" s="3">
        <v>5</v>
      </c>
      <c r="C2549" s="3">
        <v>157</v>
      </c>
      <c r="D2549" s="3">
        <v>45</v>
      </c>
      <c r="E2549" s="3">
        <v>-466.963</v>
      </c>
      <c r="F2549" s="4" t="str">
        <f>HYPERLINK("http://141.218.60.56/~jnz1568/getInfo.php?workbook=10_05.xlsx&amp;sheet=A0&amp;row=2549&amp;col=6&amp;number=484000&amp;sourceID=14","484000")</f>
        <v>484000</v>
      </c>
      <c r="G2549" s="4" t="str">
        <f>HYPERLINK("http://141.218.60.56/~jnz1568/getInfo.php?workbook=10_05.xlsx&amp;sheet=A0&amp;row=2549&amp;col=7&amp;number=0&amp;sourceID=14","0")</f>
        <v>0</v>
      </c>
    </row>
    <row r="2550" spans="1:7">
      <c r="A2550" s="3">
        <v>10</v>
      </c>
      <c r="B2550" s="3">
        <v>5</v>
      </c>
      <c r="C2550" s="3">
        <v>162</v>
      </c>
      <c r="D2550" s="3">
        <v>45</v>
      </c>
      <c r="E2550" s="3">
        <v>462.9</v>
      </c>
      <c r="F2550" s="4" t="str">
        <f>HYPERLINK("http://141.218.60.56/~jnz1568/getInfo.php?workbook=10_05.xlsx&amp;sheet=A0&amp;row=2550&amp;col=6&amp;number=1120000&amp;sourceID=14","1120000")</f>
        <v>1120000</v>
      </c>
      <c r="G2550" s="4" t="str">
        <f>HYPERLINK("http://141.218.60.56/~jnz1568/getInfo.php?workbook=10_05.xlsx&amp;sheet=A0&amp;row=2550&amp;col=7&amp;number=0&amp;sourceID=14","0")</f>
        <v>0</v>
      </c>
    </row>
    <row r="2551" spans="1:7">
      <c r="A2551" s="3">
        <v>10</v>
      </c>
      <c r="B2551" s="3">
        <v>5</v>
      </c>
      <c r="C2551" s="3">
        <v>168</v>
      </c>
      <c r="D2551" s="3">
        <v>45</v>
      </c>
      <c r="E2551" s="3">
        <v>-337.552</v>
      </c>
      <c r="F2551" s="4" t="str">
        <f>HYPERLINK("http://141.218.60.56/~jnz1568/getInfo.php?workbook=10_05.xlsx&amp;sheet=A0&amp;row=2551&amp;col=6&amp;number=20500&amp;sourceID=14","20500")</f>
        <v>20500</v>
      </c>
      <c r="G2551" s="4" t="str">
        <f>HYPERLINK("http://141.218.60.56/~jnz1568/getInfo.php?workbook=10_05.xlsx&amp;sheet=A0&amp;row=2551&amp;col=7&amp;number=0&amp;sourceID=14","0")</f>
        <v>0</v>
      </c>
    </row>
    <row r="2552" spans="1:7">
      <c r="A2552" s="3">
        <v>10</v>
      </c>
      <c r="B2552" s="3">
        <v>5</v>
      </c>
      <c r="C2552" s="3">
        <v>169</v>
      </c>
      <c r="D2552" s="3">
        <v>45</v>
      </c>
      <c r="E2552" s="3">
        <v>-337.498</v>
      </c>
      <c r="F2552" s="4" t="str">
        <f>HYPERLINK("http://141.218.60.56/~jnz1568/getInfo.php?workbook=10_05.xlsx&amp;sheet=A0&amp;row=2552&amp;col=6&amp;number=14400&amp;sourceID=14","14400")</f>
        <v>14400</v>
      </c>
      <c r="G2552" s="4" t="str">
        <f>HYPERLINK("http://141.218.60.56/~jnz1568/getInfo.php?workbook=10_05.xlsx&amp;sheet=A0&amp;row=2552&amp;col=7&amp;number=0&amp;sourceID=14","0")</f>
        <v>0</v>
      </c>
    </row>
    <row r="2553" spans="1:7">
      <c r="A2553" s="3">
        <v>10</v>
      </c>
      <c r="B2553" s="3">
        <v>5</v>
      </c>
      <c r="C2553" s="3">
        <v>171</v>
      </c>
      <c r="D2553" s="3">
        <v>45</v>
      </c>
      <c r="E2553" s="3">
        <v>-327.049</v>
      </c>
      <c r="F2553" s="4" t="str">
        <f>HYPERLINK("http://141.218.60.56/~jnz1568/getInfo.php?workbook=10_05.xlsx&amp;sheet=A0&amp;row=2553&amp;col=6&amp;number=5140&amp;sourceID=14","5140")</f>
        <v>5140</v>
      </c>
      <c r="G2553" s="4" t="str">
        <f>HYPERLINK("http://141.218.60.56/~jnz1568/getInfo.php?workbook=10_05.xlsx&amp;sheet=A0&amp;row=2553&amp;col=7&amp;number=0&amp;sourceID=14","0")</f>
        <v>0</v>
      </c>
    </row>
    <row r="2554" spans="1:7">
      <c r="A2554" s="3">
        <v>10</v>
      </c>
      <c r="B2554" s="3">
        <v>5</v>
      </c>
      <c r="C2554" s="3">
        <v>172</v>
      </c>
      <c r="D2554" s="3">
        <v>45</v>
      </c>
      <c r="E2554" s="3">
        <v>-324.977</v>
      </c>
      <c r="F2554" s="4" t="str">
        <f>HYPERLINK("http://141.218.60.56/~jnz1568/getInfo.php?workbook=10_05.xlsx&amp;sheet=A0&amp;row=2554&amp;col=6&amp;number=790&amp;sourceID=14","790")</f>
        <v>790</v>
      </c>
      <c r="G2554" s="4" t="str">
        <f>HYPERLINK("http://141.218.60.56/~jnz1568/getInfo.php?workbook=10_05.xlsx&amp;sheet=A0&amp;row=2554&amp;col=7&amp;number=0&amp;sourceID=14","0")</f>
        <v>0</v>
      </c>
    </row>
    <row r="2555" spans="1:7">
      <c r="A2555" s="3">
        <v>10</v>
      </c>
      <c r="B2555" s="3">
        <v>5</v>
      </c>
      <c r="C2555" s="3">
        <v>173</v>
      </c>
      <c r="D2555" s="3">
        <v>45</v>
      </c>
      <c r="E2555" s="3">
        <v>-324.952</v>
      </c>
      <c r="F2555" s="4" t="str">
        <f>HYPERLINK("http://141.218.60.56/~jnz1568/getInfo.php?workbook=10_05.xlsx&amp;sheet=A0&amp;row=2555&amp;col=6&amp;number=484&amp;sourceID=14","484")</f>
        <v>484</v>
      </c>
      <c r="G2555" s="4" t="str">
        <f>HYPERLINK("http://141.218.60.56/~jnz1568/getInfo.php?workbook=10_05.xlsx&amp;sheet=A0&amp;row=2555&amp;col=7&amp;number=0&amp;sourceID=14","0")</f>
        <v>0</v>
      </c>
    </row>
    <row r="2556" spans="1:7">
      <c r="A2556" s="3">
        <v>10</v>
      </c>
      <c r="B2556" s="3">
        <v>5</v>
      </c>
      <c r="C2556" s="3">
        <v>60</v>
      </c>
      <c r="D2556" s="3">
        <v>46</v>
      </c>
      <c r="E2556" s="3">
        <v>1684.355</v>
      </c>
      <c r="F2556" s="4" t="str">
        <f>HYPERLINK("http://141.218.60.56/~jnz1568/getInfo.php?workbook=10_05.xlsx&amp;sheet=A0&amp;row=2556&amp;col=6&amp;number=407&amp;sourceID=14","407")</f>
        <v>407</v>
      </c>
      <c r="G2556" s="4" t="str">
        <f>HYPERLINK("http://141.218.60.56/~jnz1568/getInfo.php?workbook=10_05.xlsx&amp;sheet=A0&amp;row=2556&amp;col=7&amp;number=0&amp;sourceID=14","0")</f>
        <v>0</v>
      </c>
    </row>
    <row r="2557" spans="1:7">
      <c r="A2557" s="3">
        <v>10</v>
      </c>
      <c r="B2557" s="3">
        <v>5</v>
      </c>
      <c r="C2557" s="3">
        <v>67</v>
      </c>
      <c r="D2557" s="3">
        <v>46</v>
      </c>
      <c r="E2557" s="3">
        <v>1083.66</v>
      </c>
      <c r="F2557" s="4" t="str">
        <f>HYPERLINK("http://141.218.60.56/~jnz1568/getInfo.php?workbook=10_05.xlsx&amp;sheet=A0&amp;row=2557&amp;col=6&amp;number=2050&amp;sourceID=14","2050")</f>
        <v>2050</v>
      </c>
      <c r="G2557" s="4" t="str">
        <f>HYPERLINK("http://141.218.60.56/~jnz1568/getInfo.php?workbook=10_05.xlsx&amp;sheet=A0&amp;row=2557&amp;col=7&amp;number=0&amp;sourceID=14","0")</f>
        <v>0</v>
      </c>
    </row>
    <row r="2558" spans="1:7">
      <c r="A2558" s="3">
        <v>10</v>
      </c>
      <c r="B2558" s="3">
        <v>5</v>
      </c>
      <c r="C2558" s="3">
        <v>72</v>
      </c>
      <c r="D2558" s="3">
        <v>46</v>
      </c>
      <c r="E2558" s="3">
        <v>1036.701</v>
      </c>
      <c r="F2558" s="4" t="str">
        <f>HYPERLINK("http://141.218.60.56/~jnz1568/getInfo.php?workbook=10_05.xlsx&amp;sheet=A0&amp;row=2558&amp;col=6&amp;number=26100000&amp;sourceID=14","26100000")</f>
        <v>26100000</v>
      </c>
      <c r="G2558" s="4" t="str">
        <f>HYPERLINK("http://141.218.60.56/~jnz1568/getInfo.php?workbook=10_05.xlsx&amp;sheet=A0&amp;row=2558&amp;col=7&amp;number=0&amp;sourceID=14","0")</f>
        <v>0</v>
      </c>
    </row>
    <row r="2559" spans="1:7">
      <c r="A2559" s="3">
        <v>10</v>
      </c>
      <c r="B2559" s="3">
        <v>5</v>
      </c>
      <c r="C2559" s="3">
        <v>81</v>
      </c>
      <c r="D2559" s="3">
        <v>46</v>
      </c>
      <c r="E2559" s="3">
        <v>772.441</v>
      </c>
      <c r="F2559" s="4" t="str">
        <f>HYPERLINK("http://141.218.60.56/~jnz1568/getInfo.php?workbook=10_05.xlsx&amp;sheet=A0&amp;row=2559&amp;col=6&amp;number=1220&amp;sourceID=14","1220")</f>
        <v>1220</v>
      </c>
      <c r="G2559" s="4" t="str">
        <f>HYPERLINK("http://141.218.60.56/~jnz1568/getInfo.php?workbook=10_05.xlsx&amp;sheet=A0&amp;row=2559&amp;col=7&amp;number=0&amp;sourceID=14","0")</f>
        <v>0</v>
      </c>
    </row>
    <row r="2560" spans="1:7">
      <c r="A2560" s="3">
        <v>10</v>
      </c>
      <c r="B2560" s="3">
        <v>5</v>
      </c>
      <c r="C2560" s="3">
        <v>100</v>
      </c>
      <c r="D2560" s="3">
        <v>46</v>
      </c>
      <c r="E2560" s="3">
        <v>-577.865</v>
      </c>
      <c r="F2560" s="4" t="str">
        <f>HYPERLINK("http://141.218.60.56/~jnz1568/getInfo.php?workbook=10_05.xlsx&amp;sheet=A0&amp;row=2560&amp;col=6&amp;number=5270000&amp;sourceID=14","5270000")</f>
        <v>5270000</v>
      </c>
      <c r="G2560" s="4" t="str">
        <f>HYPERLINK("http://141.218.60.56/~jnz1568/getInfo.php?workbook=10_05.xlsx&amp;sheet=A0&amp;row=2560&amp;col=7&amp;number=0&amp;sourceID=14","0")</f>
        <v>0</v>
      </c>
    </row>
    <row r="2561" spans="1:7">
      <c r="A2561" s="3">
        <v>10</v>
      </c>
      <c r="B2561" s="3">
        <v>5</v>
      </c>
      <c r="C2561" s="3">
        <v>102</v>
      </c>
      <c r="D2561" s="3">
        <v>46</v>
      </c>
      <c r="E2561" s="3">
        <v>-576.613</v>
      </c>
      <c r="F2561" s="4" t="str">
        <f>HYPERLINK("http://141.218.60.56/~jnz1568/getInfo.php?workbook=10_05.xlsx&amp;sheet=A0&amp;row=2561&amp;col=6&amp;number=68200000&amp;sourceID=14","68200000")</f>
        <v>68200000</v>
      </c>
      <c r="G2561" s="4" t="str">
        <f>HYPERLINK("http://141.218.60.56/~jnz1568/getInfo.php?workbook=10_05.xlsx&amp;sheet=A0&amp;row=2561&amp;col=7&amp;number=0&amp;sourceID=14","0")</f>
        <v>0</v>
      </c>
    </row>
    <row r="2562" spans="1:7">
      <c r="A2562" s="3">
        <v>10</v>
      </c>
      <c r="B2562" s="3">
        <v>5</v>
      </c>
      <c r="C2562" s="3">
        <v>104</v>
      </c>
      <c r="D2562" s="3">
        <v>46</v>
      </c>
      <c r="E2562" s="3">
        <v>-574.965</v>
      </c>
      <c r="F2562" s="4" t="str">
        <f>HYPERLINK("http://141.218.60.56/~jnz1568/getInfo.php?workbook=10_05.xlsx&amp;sheet=A0&amp;row=2562&amp;col=6&amp;number=400000000&amp;sourceID=14","400000000")</f>
        <v>400000000</v>
      </c>
      <c r="G2562" s="4" t="str">
        <f>HYPERLINK("http://141.218.60.56/~jnz1568/getInfo.php?workbook=10_05.xlsx&amp;sheet=A0&amp;row=2562&amp;col=7&amp;number=0&amp;sourceID=14","0")</f>
        <v>0</v>
      </c>
    </row>
    <row r="2563" spans="1:7">
      <c r="A2563" s="3">
        <v>10</v>
      </c>
      <c r="B2563" s="3">
        <v>5</v>
      </c>
      <c r="C2563" s="3">
        <v>107</v>
      </c>
      <c r="D2563" s="3">
        <v>46</v>
      </c>
      <c r="E2563" s="3">
        <v>-558.13</v>
      </c>
      <c r="F2563" s="4" t="str">
        <f>HYPERLINK("http://141.218.60.56/~jnz1568/getInfo.php?workbook=10_05.xlsx&amp;sheet=A0&amp;row=2563&amp;col=6&amp;number=88800000&amp;sourceID=14","88800000")</f>
        <v>88800000</v>
      </c>
      <c r="G2563" s="4" t="str">
        <f>HYPERLINK("http://141.218.60.56/~jnz1568/getInfo.php?workbook=10_05.xlsx&amp;sheet=A0&amp;row=2563&amp;col=7&amp;number=0&amp;sourceID=14","0")</f>
        <v>0</v>
      </c>
    </row>
    <row r="2564" spans="1:7">
      <c r="A2564" s="3">
        <v>10</v>
      </c>
      <c r="B2564" s="3">
        <v>5</v>
      </c>
      <c r="C2564" s="3">
        <v>108</v>
      </c>
      <c r="D2564" s="3">
        <v>46</v>
      </c>
      <c r="E2564" s="3">
        <v>-557.231</v>
      </c>
      <c r="F2564" s="4" t="str">
        <f>HYPERLINK("http://141.218.60.56/~jnz1568/getInfo.php?workbook=10_05.xlsx&amp;sheet=A0&amp;row=2564&amp;col=6&amp;number=365000000&amp;sourceID=14","365000000")</f>
        <v>365000000</v>
      </c>
      <c r="G2564" s="4" t="str">
        <f>HYPERLINK("http://141.218.60.56/~jnz1568/getInfo.php?workbook=10_05.xlsx&amp;sheet=A0&amp;row=2564&amp;col=7&amp;number=0&amp;sourceID=14","0")</f>
        <v>0</v>
      </c>
    </row>
    <row r="2565" spans="1:7">
      <c r="A2565" s="3">
        <v>10</v>
      </c>
      <c r="B2565" s="3">
        <v>5</v>
      </c>
      <c r="C2565" s="3">
        <v>115</v>
      </c>
      <c r="D2565" s="3">
        <v>46</v>
      </c>
      <c r="E2565" s="3">
        <v>-533.75</v>
      </c>
      <c r="F2565" s="4" t="str">
        <f>HYPERLINK("http://141.218.60.56/~jnz1568/getInfo.php?workbook=10_05.xlsx&amp;sheet=A0&amp;row=2565&amp;col=6&amp;number=235000&amp;sourceID=14","235000")</f>
        <v>235000</v>
      </c>
      <c r="G2565" s="4" t="str">
        <f>HYPERLINK("http://141.218.60.56/~jnz1568/getInfo.php?workbook=10_05.xlsx&amp;sheet=A0&amp;row=2565&amp;col=7&amp;number=0&amp;sourceID=14","0")</f>
        <v>0</v>
      </c>
    </row>
    <row r="2566" spans="1:7">
      <c r="A2566" s="3">
        <v>10</v>
      </c>
      <c r="B2566" s="3">
        <v>5</v>
      </c>
      <c r="C2566" s="3">
        <v>116</v>
      </c>
      <c r="D2566" s="3">
        <v>46</v>
      </c>
      <c r="E2566" s="3">
        <v>-531.226</v>
      </c>
      <c r="F2566" s="4" t="str">
        <f>HYPERLINK("http://141.218.60.56/~jnz1568/getInfo.php?workbook=10_05.xlsx&amp;sheet=A0&amp;row=2566&amp;col=6&amp;number=912000&amp;sourceID=14","912000")</f>
        <v>912000</v>
      </c>
      <c r="G2566" s="4" t="str">
        <f>HYPERLINK("http://141.218.60.56/~jnz1568/getInfo.php?workbook=10_05.xlsx&amp;sheet=A0&amp;row=2566&amp;col=7&amp;number=0&amp;sourceID=14","0")</f>
        <v>0</v>
      </c>
    </row>
    <row r="2567" spans="1:7">
      <c r="A2567" s="3">
        <v>10</v>
      </c>
      <c r="B2567" s="3">
        <v>5</v>
      </c>
      <c r="C2567" s="3">
        <v>117</v>
      </c>
      <c r="D2567" s="3">
        <v>46</v>
      </c>
      <c r="E2567" s="3">
        <v>-530.595</v>
      </c>
      <c r="F2567" s="4" t="str">
        <f>HYPERLINK("http://141.218.60.56/~jnz1568/getInfo.php?workbook=10_05.xlsx&amp;sheet=A0&amp;row=2567&amp;col=6&amp;number=3910000000&amp;sourceID=14","3910000000")</f>
        <v>3910000000</v>
      </c>
      <c r="G2567" s="4" t="str">
        <f>HYPERLINK("http://141.218.60.56/~jnz1568/getInfo.php?workbook=10_05.xlsx&amp;sheet=A0&amp;row=2567&amp;col=7&amp;number=0&amp;sourceID=14","0")</f>
        <v>0</v>
      </c>
    </row>
    <row r="2568" spans="1:7">
      <c r="A2568" s="3">
        <v>10</v>
      </c>
      <c r="B2568" s="3">
        <v>5</v>
      </c>
      <c r="C2568" s="3">
        <v>122</v>
      </c>
      <c r="D2568" s="3">
        <v>46</v>
      </c>
      <c r="E2568" s="3">
        <v>-519.876</v>
      </c>
      <c r="F2568" s="4" t="str">
        <f>HYPERLINK("http://141.218.60.56/~jnz1568/getInfo.php?workbook=10_05.xlsx&amp;sheet=A0&amp;row=2568&amp;col=6&amp;number=7200000&amp;sourceID=14","7200000")</f>
        <v>7200000</v>
      </c>
      <c r="G2568" s="4" t="str">
        <f>HYPERLINK("http://141.218.60.56/~jnz1568/getInfo.php?workbook=10_05.xlsx&amp;sheet=A0&amp;row=2568&amp;col=7&amp;number=0&amp;sourceID=14","0")</f>
        <v>0</v>
      </c>
    </row>
    <row r="2569" spans="1:7">
      <c r="A2569" s="3">
        <v>10</v>
      </c>
      <c r="B2569" s="3">
        <v>5</v>
      </c>
      <c r="C2569" s="3">
        <v>124</v>
      </c>
      <c r="D2569" s="3">
        <v>46</v>
      </c>
      <c r="E2569" s="3">
        <v>-518.423</v>
      </c>
      <c r="F2569" s="4" t="str">
        <f>HYPERLINK("http://141.218.60.56/~jnz1568/getInfo.php?workbook=10_05.xlsx&amp;sheet=A0&amp;row=2569&amp;col=6&amp;number=47700000&amp;sourceID=14","47700000")</f>
        <v>47700000</v>
      </c>
      <c r="G2569" s="4" t="str">
        <f>HYPERLINK("http://141.218.60.56/~jnz1568/getInfo.php?workbook=10_05.xlsx&amp;sheet=A0&amp;row=2569&amp;col=7&amp;number=0&amp;sourceID=14","0")</f>
        <v>0</v>
      </c>
    </row>
    <row r="2570" spans="1:7">
      <c r="A2570" s="3">
        <v>10</v>
      </c>
      <c r="B2570" s="3">
        <v>5</v>
      </c>
      <c r="C2570" s="3">
        <v>130</v>
      </c>
      <c r="D2570" s="3">
        <v>46</v>
      </c>
      <c r="E2570" s="3">
        <v>507.95</v>
      </c>
      <c r="F2570" s="4" t="str">
        <f>HYPERLINK("http://141.218.60.56/~jnz1568/getInfo.php?workbook=10_05.xlsx&amp;sheet=A0&amp;row=2570&amp;col=6&amp;number=32500000&amp;sourceID=14","32500000")</f>
        <v>32500000</v>
      </c>
      <c r="G2570" s="4" t="str">
        <f>HYPERLINK("http://141.218.60.56/~jnz1568/getInfo.php?workbook=10_05.xlsx&amp;sheet=A0&amp;row=2570&amp;col=7&amp;number=0&amp;sourceID=14","0")</f>
        <v>0</v>
      </c>
    </row>
    <row r="2571" spans="1:7">
      <c r="A2571" s="3">
        <v>10</v>
      </c>
      <c r="B2571" s="3">
        <v>5</v>
      </c>
      <c r="C2571" s="3">
        <v>133</v>
      </c>
      <c r="D2571" s="3">
        <v>46</v>
      </c>
      <c r="E2571" s="3">
        <v>-505.641</v>
      </c>
      <c r="F2571" s="4" t="str">
        <f>HYPERLINK("http://141.218.60.56/~jnz1568/getInfo.php?workbook=10_05.xlsx&amp;sheet=A0&amp;row=2571&amp;col=6&amp;number=100000000&amp;sourceID=14","100000000")</f>
        <v>100000000</v>
      </c>
      <c r="G2571" s="4" t="str">
        <f>HYPERLINK("http://141.218.60.56/~jnz1568/getInfo.php?workbook=10_05.xlsx&amp;sheet=A0&amp;row=2571&amp;col=7&amp;number=0&amp;sourceID=14","0")</f>
        <v>0</v>
      </c>
    </row>
    <row r="2572" spans="1:7">
      <c r="A2572" s="3">
        <v>10</v>
      </c>
      <c r="B2572" s="3">
        <v>5</v>
      </c>
      <c r="C2572" s="3">
        <v>138</v>
      </c>
      <c r="D2572" s="3">
        <v>46</v>
      </c>
      <c r="E2572" s="3">
        <v>-497.689</v>
      </c>
      <c r="F2572" s="4" t="str">
        <f>HYPERLINK("http://141.218.60.56/~jnz1568/getInfo.php?workbook=10_05.xlsx&amp;sheet=A0&amp;row=2572&amp;col=6&amp;number=2350&amp;sourceID=14","2350")</f>
        <v>2350</v>
      </c>
      <c r="G2572" s="4" t="str">
        <f>HYPERLINK("http://141.218.60.56/~jnz1568/getInfo.php?workbook=10_05.xlsx&amp;sheet=A0&amp;row=2572&amp;col=7&amp;number=0&amp;sourceID=14","0")</f>
        <v>0</v>
      </c>
    </row>
    <row r="2573" spans="1:7">
      <c r="A2573" s="3">
        <v>10</v>
      </c>
      <c r="B2573" s="3">
        <v>5</v>
      </c>
      <c r="C2573" s="3">
        <v>139</v>
      </c>
      <c r="D2573" s="3">
        <v>46</v>
      </c>
      <c r="E2573" s="3">
        <v>-497.39</v>
      </c>
      <c r="F2573" s="4" t="str">
        <f>HYPERLINK("http://141.218.60.56/~jnz1568/getInfo.php?workbook=10_05.xlsx&amp;sheet=A0&amp;row=2573&amp;col=6&amp;number=70000&amp;sourceID=14","70000")</f>
        <v>70000</v>
      </c>
      <c r="G2573" s="4" t="str">
        <f>HYPERLINK("http://141.218.60.56/~jnz1568/getInfo.php?workbook=10_05.xlsx&amp;sheet=A0&amp;row=2573&amp;col=7&amp;number=0&amp;sourceID=14","0")</f>
        <v>0</v>
      </c>
    </row>
    <row r="2574" spans="1:7">
      <c r="A2574" s="3">
        <v>10</v>
      </c>
      <c r="B2574" s="3">
        <v>5</v>
      </c>
      <c r="C2574" s="3">
        <v>151</v>
      </c>
      <c r="D2574" s="3">
        <v>46</v>
      </c>
      <c r="E2574" s="3">
        <v>-477.178</v>
      </c>
      <c r="F2574" s="4" t="str">
        <f>HYPERLINK("http://141.218.60.56/~jnz1568/getInfo.php?workbook=10_05.xlsx&amp;sheet=A0&amp;row=2574&amp;col=6&amp;number=156000&amp;sourceID=14","156000")</f>
        <v>156000</v>
      </c>
      <c r="G2574" s="4" t="str">
        <f>HYPERLINK("http://141.218.60.56/~jnz1568/getInfo.php?workbook=10_05.xlsx&amp;sheet=A0&amp;row=2574&amp;col=7&amp;number=0&amp;sourceID=14","0")</f>
        <v>0</v>
      </c>
    </row>
    <row r="2575" spans="1:7">
      <c r="A2575" s="3">
        <v>10</v>
      </c>
      <c r="B2575" s="3">
        <v>5</v>
      </c>
      <c r="C2575" s="3">
        <v>154</v>
      </c>
      <c r="D2575" s="3">
        <v>46</v>
      </c>
      <c r="E2575" s="3">
        <v>469.837</v>
      </c>
      <c r="F2575" s="4" t="str">
        <f>HYPERLINK("http://141.218.60.56/~jnz1568/getInfo.php?workbook=10_05.xlsx&amp;sheet=A0&amp;row=2575&amp;col=6&amp;number=384000&amp;sourceID=14","384000")</f>
        <v>384000</v>
      </c>
      <c r="G2575" s="4" t="str">
        <f>HYPERLINK("http://141.218.60.56/~jnz1568/getInfo.php?workbook=10_05.xlsx&amp;sheet=A0&amp;row=2575&amp;col=7&amp;number=0&amp;sourceID=14","0")</f>
        <v>0</v>
      </c>
    </row>
    <row r="2576" spans="1:7">
      <c r="A2576" s="3">
        <v>10</v>
      </c>
      <c r="B2576" s="3">
        <v>5</v>
      </c>
      <c r="C2576" s="3">
        <v>155</v>
      </c>
      <c r="D2576" s="3">
        <v>46</v>
      </c>
      <c r="E2576" s="3">
        <v>469.837</v>
      </c>
      <c r="F2576" s="4" t="str">
        <f>HYPERLINK("http://141.218.60.56/~jnz1568/getInfo.php?workbook=10_05.xlsx&amp;sheet=A0&amp;row=2576&amp;col=6&amp;number=356000&amp;sourceID=14","356000")</f>
        <v>356000</v>
      </c>
      <c r="G2576" s="4" t="str">
        <f>HYPERLINK("http://141.218.60.56/~jnz1568/getInfo.php?workbook=10_05.xlsx&amp;sheet=A0&amp;row=2576&amp;col=7&amp;number=0&amp;sourceID=14","0")</f>
        <v>0</v>
      </c>
    </row>
    <row r="2577" spans="1:7">
      <c r="A2577" s="3">
        <v>10</v>
      </c>
      <c r="B2577" s="3">
        <v>5</v>
      </c>
      <c r="C2577" s="3">
        <v>157</v>
      </c>
      <c r="D2577" s="3">
        <v>46</v>
      </c>
      <c r="E2577" s="3">
        <v>-467.634</v>
      </c>
      <c r="F2577" s="4" t="str">
        <f>HYPERLINK("http://141.218.60.56/~jnz1568/getInfo.php?workbook=10_05.xlsx&amp;sheet=A0&amp;row=2577&amp;col=6&amp;number=37100&amp;sourceID=14","37100")</f>
        <v>37100</v>
      </c>
      <c r="G2577" s="4" t="str">
        <f>HYPERLINK("http://141.218.60.56/~jnz1568/getInfo.php?workbook=10_05.xlsx&amp;sheet=A0&amp;row=2577&amp;col=7&amp;number=0&amp;sourceID=14","0")</f>
        <v>0</v>
      </c>
    </row>
    <row r="2578" spans="1:7">
      <c r="A2578" s="3">
        <v>10</v>
      </c>
      <c r="B2578" s="3">
        <v>5</v>
      </c>
      <c r="C2578" s="3">
        <v>168</v>
      </c>
      <c r="D2578" s="3">
        <v>46</v>
      </c>
      <c r="E2578" s="3">
        <v>-337.902</v>
      </c>
      <c r="F2578" s="4" t="str">
        <f>HYPERLINK("http://141.218.60.56/~jnz1568/getInfo.php?workbook=10_05.xlsx&amp;sheet=A0&amp;row=2578&amp;col=6&amp;number=24600&amp;sourceID=14","24600")</f>
        <v>24600</v>
      </c>
      <c r="G2578" s="4" t="str">
        <f>HYPERLINK("http://141.218.60.56/~jnz1568/getInfo.php?workbook=10_05.xlsx&amp;sheet=A0&amp;row=2578&amp;col=7&amp;number=0&amp;sourceID=14","0")</f>
        <v>0</v>
      </c>
    </row>
    <row r="2579" spans="1:7">
      <c r="A2579" s="3">
        <v>10</v>
      </c>
      <c r="B2579" s="3">
        <v>5</v>
      </c>
      <c r="C2579" s="3">
        <v>173</v>
      </c>
      <c r="D2579" s="3">
        <v>46</v>
      </c>
      <c r="E2579" s="3">
        <v>-325.277</v>
      </c>
      <c r="F2579" s="4" t="str">
        <f>HYPERLINK("http://141.218.60.56/~jnz1568/getInfo.php?workbook=10_05.xlsx&amp;sheet=A0&amp;row=2579&amp;col=6&amp;number=5880&amp;sourceID=14","5880")</f>
        <v>5880</v>
      </c>
      <c r="G2579" s="4" t="str">
        <f>HYPERLINK("http://141.218.60.56/~jnz1568/getInfo.php?workbook=10_05.xlsx&amp;sheet=A0&amp;row=2579&amp;col=7&amp;number=0&amp;sourceID=14","0")</f>
        <v>0</v>
      </c>
    </row>
    <row r="2580" spans="1:7">
      <c r="A2580" s="3">
        <v>10</v>
      </c>
      <c r="B2580" s="3">
        <v>5</v>
      </c>
      <c r="C2580" s="3">
        <v>58</v>
      </c>
      <c r="D2580" s="3">
        <v>47</v>
      </c>
      <c r="E2580" s="3">
        <v>1818.847</v>
      </c>
      <c r="F2580" s="4" t="str">
        <f>HYPERLINK("http://141.218.60.56/~jnz1568/getInfo.php?workbook=10_05.xlsx&amp;sheet=A0&amp;row=2580&amp;col=6&amp;number=1690&amp;sourceID=14","1690")</f>
        <v>1690</v>
      </c>
      <c r="G2580" s="4" t="str">
        <f>HYPERLINK("http://141.218.60.56/~jnz1568/getInfo.php?workbook=10_05.xlsx&amp;sheet=A0&amp;row=2580&amp;col=7&amp;number=0&amp;sourceID=14","0")</f>
        <v>0</v>
      </c>
    </row>
    <row r="2581" spans="1:7">
      <c r="A2581" s="3">
        <v>10</v>
      </c>
      <c r="B2581" s="3">
        <v>5</v>
      </c>
      <c r="C2581" s="3">
        <v>59</v>
      </c>
      <c r="D2581" s="3">
        <v>47</v>
      </c>
      <c r="E2581" s="3">
        <v>1724.736</v>
      </c>
      <c r="F2581" s="4" t="str">
        <f>HYPERLINK("http://141.218.60.56/~jnz1568/getInfo.php?workbook=10_05.xlsx&amp;sheet=A0&amp;row=2581&amp;col=6&amp;number=5550000&amp;sourceID=14","5550000")</f>
        <v>5550000</v>
      </c>
      <c r="G2581" s="4" t="str">
        <f>HYPERLINK("http://141.218.60.56/~jnz1568/getInfo.php?workbook=10_05.xlsx&amp;sheet=A0&amp;row=2581&amp;col=7&amp;number=0&amp;sourceID=14","0")</f>
        <v>0</v>
      </c>
    </row>
    <row r="2582" spans="1:7">
      <c r="A2582" s="3">
        <v>10</v>
      </c>
      <c r="B2582" s="3">
        <v>5</v>
      </c>
      <c r="C2582" s="3">
        <v>60</v>
      </c>
      <c r="D2582" s="3">
        <v>47</v>
      </c>
      <c r="E2582" s="3">
        <v>1720.581</v>
      </c>
      <c r="F2582" s="4" t="str">
        <f>HYPERLINK("http://141.218.60.56/~jnz1568/getInfo.php?workbook=10_05.xlsx&amp;sheet=A0&amp;row=2582&amp;col=6&amp;number=302000&amp;sourceID=14","302000")</f>
        <v>302000</v>
      </c>
      <c r="G2582" s="4" t="str">
        <f>HYPERLINK("http://141.218.60.56/~jnz1568/getInfo.php?workbook=10_05.xlsx&amp;sheet=A0&amp;row=2582&amp;col=7&amp;number=0&amp;sourceID=14","0")</f>
        <v>0</v>
      </c>
    </row>
    <row r="2583" spans="1:7">
      <c r="A2583" s="3">
        <v>10</v>
      </c>
      <c r="B2583" s="3">
        <v>5</v>
      </c>
      <c r="C2583" s="3">
        <v>61</v>
      </c>
      <c r="D2583" s="3">
        <v>47</v>
      </c>
      <c r="E2583" s="3">
        <v>1677.011</v>
      </c>
      <c r="F2583" s="4" t="str">
        <f>HYPERLINK("http://141.218.60.56/~jnz1568/getInfo.php?workbook=10_05.xlsx&amp;sheet=A0&amp;row=2583&amp;col=6&amp;number=588000&amp;sourceID=14","588000")</f>
        <v>588000</v>
      </c>
      <c r="G2583" s="4" t="str">
        <f>HYPERLINK("http://141.218.60.56/~jnz1568/getInfo.php?workbook=10_05.xlsx&amp;sheet=A0&amp;row=2583&amp;col=7&amp;number=0&amp;sourceID=14","0")</f>
        <v>0</v>
      </c>
    </row>
    <row r="2584" spans="1:7">
      <c r="A2584" s="3">
        <v>10</v>
      </c>
      <c r="B2584" s="3">
        <v>5</v>
      </c>
      <c r="C2584" s="3">
        <v>62</v>
      </c>
      <c r="D2584" s="3">
        <v>47</v>
      </c>
      <c r="E2584" s="3">
        <v>1668.616</v>
      </c>
      <c r="F2584" s="4" t="str">
        <f>HYPERLINK("http://141.218.60.56/~jnz1568/getInfo.php?workbook=10_05.xlsx&amp;sheet=A0&amp;row=2584&amp;col=6&amp;number=89100&amp;sourceID=14","89100")</f>
        <v>89100</v>
      </c>
      <c r="G2584" s="4" t="str">
        <f>HYPERLINK("http://141.218.60.56/~jnz1568/getInfo.php?workbook=10_05.xlsx&amp;sheet=A0&amp;row=2584&amp;col=7&amp;number=0&amp;sourceID=14","0")</f>
        <v>0</v>
      </c>
    </row>
    <row r="2585" spans="1:7">
      <c r="A2585" s="3">
        <v>10</v>
      </c>
      <c r="B2585" s="3">
        <v>5</v>
      </c>
      <c r="C2585" s="3">
        <v>63</v>
      </c>
      <c r="D2585" s="3">
        <v>47</v>
      </c>
      <c r="E2585" s="3">
        <v>1515.614</v>
      </c>
      <c r="F2585" s="4" t="str">
        <f>HYPERLINK("http://141.218.60.56/~jnz1568/getInfo.php?workbook=10_05.xlsx&amp;sheet=A0&amp;row=2585&amp;col=6&amp;number=26800&amp;sourceID=14","26800")</f>
        <v>26800</v>
      </c>
      <c r="G2585" s="4" t="str">
        <f>HYPERLINK("http://141.218.60.56/~jnz1568/getInfo.php?workbook=10_05.xlsx&amp;sheet=A0&amp;row=2585&amp;col=7&amp;number=0&amp;sourceID=14","0")</f>
        <v>0</v>
      </c>
    </row>
    <row r="2586" spans="1:7">
      <c r="A2586" s="3">
        <v>10</v>
      </c>
      <c r="B2586" s="3">
        <v>5</v>
      </c>
      <c r="C2586" s="3">
        <v>66</v>
      </c>
      <c r="D2586" s="3">
        <v>47</v>
      </c>
      <c r="E2586" s="3">
        <v>1098.541</v>
      </c>
      <c r="F2586" s="4" t="str">
        <f>HYPERLINK("http://141.218.60.56/~jnz1568/getInfo.php?workbook=10_05.xlsx&amp;sheet=A0&amp;row=2586&amp;col=6&amp;number=68900&amp;sourceID=14","68900")</f>
        <v>68900</v>
      </c>
      <c r="G2586" s="4" t="str">
        <f>HYPERLINK("http://141.218.60.56/~jnz1568/getInfo.php?workbook=10_05.xlsx&amp;sheet=A0&amp;row=2586&amp;col=7&amp;number=0&amp;sourceID=14","0")</f>
        <v>0</v>
      </c>
    </row>
    <row r="2587" spans="1:7">
      <c r="A2587" s="3">
        <v>10</v>
      </c>
      <c r="B2587" s="3">
        <v>5</v>
      </c>
      <c r="C2587" s="3">
        <v>67</v>
      </c>
      <c r="D2587" s="3">
        <v>47</v>
      </c>
      <c r="E2587" s="3">
        <v>1098.541</v>
      </c>
      <c r="F2587" s="4" t="str">
        <f>HYPERLINK("http://141.218.60.56/~jnz1568/getInfo.php?workbook=10_05.xlsx&amp;sheet=A0&amp;row=2587&amp;col=6&amp;number=4040&amp;sourceID=14","4040")</f>
        <v>4040</v>
      </c>
      <c r="G2587" s="4" t="str">
        <f>HYPERLINK("http://141.218.60.56/~jnz1568/getInfo.php?workbook=10_05.xlsx&amp;sheet=A0&amp;row=2587&amp;col=7&amp;number=0&amp;sourceID=14","0")</f>
        <v>0</v>
      </c>
    </row>
    <row r="2588" spans="1:7">
      <c r="A2588" s="3">
        <v>10</v>
      </c>
      <c r="B2588" s="3">
        <v>5</v>
      </c>
      <c r="C2588" s="3">
        <v>70</v>
      </c>
      <c r="D2588" s="3">
        <v>47</v>
      </c>
      <c r="E2588" s="3">
        <v>1050.312</v>
      </c>
      <c r="F2588" s="4" t="str">
        <f>HYPERLINK("http://141.218.60.56/~jnz1568/getInfo.php?workbook=10_05.xlsx&amp;sheet=A0&amp;row=2588&amp;col=6&amp;number=209&amp;sourceID=14","209")</f>
        <v>209</v>
      </c>
      <c r="G2588" s="4" t="str">
        <f>HYPERLINK("http://141.218.60.56/~jnz1568/getInfo.php?workbook=10_05.xlsx&amp;sheet=A0&amp;row=2588&amp;col=7&amp;number=0&amp;sourceID=14","0")</f>
        <v>0</v>
      </c>
    </row>
    <row r="2589" spans="1:7">
      <c r="A2589" s="3">
        <v>10</v>
      </c>
      <c r="B2589" s="3">
        <v>5</v>
      </c>
      <c r="C2589" s="3">
        <v>71</v>
      </c>
      <c r="D2589" s="3">
        <v>47</v>
      </c>
      <c r="E2589" s="3">
        <v>1050.312</v>
      </c>
      <c r="F2589" s="4" t="str">
        <f>HYPERLINK("http://141.218.60.56/~jnz1568/getInfo.php?workbook=10_05.xlsx&amp;sheet=A0&amp;row=2589&amp;col=6&amp;number=36300&amp;sourceID=14","36300")</f>
        <v>36300</v>
      </c>
      <c r="G2589" s="4" t="str">
        <f>HYPERLINK("http://141.218.60.56/~jnz1568/getInfo.php?workbook=10_05.xlsx&amp;sheet=A0&amp;row=2589&amp;col=7&amp;number=0&amp;sourceID=14","0")</f>
        <v>0</v>
      </c>
    </row>
    <row r="2590" spans="1:7">
      <c r="A2590" s="3">
        <v>10</v>
      </c>
      <c r="B2590" s="3">
        <v>5</v>
      </c>
      <c r="C2590" s="3">
        <v>72</v>
      </c>
      <c r="D2590" s="3">
        <v>47</v>
      </c>
      <c r="E2590" s="3">
        <v>1050.312</v>
      </c>
      <c r="F2590" s="4" t="str">
        <f>HYPERLINK("http://141.218.60.56/~jnz1568/getInfo.php?workbook=10_05.xlsx&amp;sheet=A0&amp;row=2590&amp;col=6&amp;number=16100&amp;sourceID=14","16100")</f>
        <v>16100</v>
      </c>
      <c r="G2590" s="4" t="str">
        <f>HYPERLINK("http://141.218.60.56/~jnz1568/getInfo.php?workbook=10_05.xlsx&amp;sheet=A0&amp;row=2590&amp;col=7&amp;number=0&amp;sourceID=14","0")</f>
        <v>0</v>
      </c>
    </row>
    <row r="2591" spans="1:7">
      <c r="A2591" s="3">
        <v>10</v>
      </c>
      <c r="B2591" s="3">
        <v>5</v>
      </c>
      <c r="C2591" s="3">
        <v>77</v>
      </c>
      <c r="D2591" s="3">
        <v>47</v>
      </c>
      <c r="E2591" s="3">
        <v>-836.507</v>
      </c>
      <c r="F2591" s="4" t="str">
        <f>HYPERLINK("http://141.218.60.56/~jnz1568/getInfo.php?workbook=10_05.xlsx&amp;sheet=A0&amp;row=2591&amp;col=6&amp;number=66300000&amp;sourceID=14","66300000")</f>
        <v>66300000</v>
      </c>
      <c r="G2591" s="4" t="str">
        <f>HYPERLINK("http://141.218.60.56/~jnz1568/getInfo.php?workbook=10_05.xlsx&amp;sheet=A0&amp;row=2591&amp;col=7&amp;number=0&amp;sourceID=14","0")</f>
        <v>0</v>
      </c>
    </row>
    <row r="2592" spans="1:7">
      <c r="A2592" s="3">
        <v>10</v>
      </c>
      <c r="B2592" s="3">
        <v>5</v>
      </c>
      <c r="C2592" s="3">
        <v>78</v>
      </c>
      <c r="D2592" s="3">
        <v>47</v>
      </c>
      <c r="E2592" s="3">
        <v>-830.732</v>
      </c>
      <c r="F2592" s="4" t="str">
        <f>HYPERLINK("http://141.218.60.56/~jnz1568/getInfo.php?workbook=10_05.xlsx&amp;sheet=A0&amp;row=2592&amp;col=6&amp;number=5300000&amp;sourceID=14","5300000")</f>
        <v>5300000</v>
      </c>
      <c r="G2592" s="4" t="str">
        <f>HYPERLINK("http://141.218.60.56/~jnz1568/getInfo.php?workbook=10_05.xlsx&amp;sheet=A0&amp;row=2592&amp;col=7&amp;number=0&amp;sourceID=14","0")</f>
        <v>0</v>
      </c>
    </row>
    <row r="2593" spans="1:7">
      <c r="A2593" s="3">
        <v>10</v>
      </c>
      <c r="B2593" s="3">
        <v>5</v>
      </c>
      <c r="C2593" s="3">
        <v>80</v>
      </c>
      <c r="D2593" s="3">
        <v>47</v>
      </c>
      <c r="E2593" s="3">
        <v>779.972</v>
      </c>
      <c r="F2593" s="4" t="str">
        <f>HYPERLINK("http://141.218.60.56/~jnz1568/getInfo.php?workbook=10_05.xlsx&amp;sheet=A0&amp;row=2593&amp;col=6&amp;number=24600000&amp;sourceID=14","24600000")</f>
        <v>24600000</v>
      </c>
      <c r="G2593" s="4" t="str">
        <f>HYPERLINK("http://141.218.60.56/~jnz1568/getInfo.php?workbook=10_05.xlsx&amp;sheet=A0&amp;row=2593&amp;col=7&amp;number=0&amp;sourceID=14","0")</f>
        <v>0</v>
      </c>
    </row>
    <row r="2594" spans="1:7">
      <c r="A2594" s="3">
        <v>10</v>
      </c>
      <c r="B2594" s="3">
        <v>5</v>
      </c>
      <c r="C2594" s="3">
        <v>81</v>
      </c>
      <c r="D2594" s="3">
        <v>47</v>
      </c>
      <c r="E2594" s="3">
        <v>779.972</v>
      </c>
      <c r="F2594" s="4" t="str">
        <f>HYPERLINK("http://141.218.60.56/~jnz1568/getInfo.php?workbook=10_05.xlsx&amp;sheet=A0&amp;row=2594&amp;col=6&amp;number=2380000&amp;sourceID=14","2380000")</f>
        <v>2380000</v>
      </c>
      <c r="G2594" s="4" t="str">
        <f>HYPERLINK("http://141.218.60.56/~jnz1568/getInfo.php?workbook=10_05.xlsx&amp;sheet=A0&amp;row=2594&amp;col=7&amp;number=0&amp;sourceID=14","0")</f>
        <v>0</v>
      </c>
    </row>
    <row r="2595" spans="1:7">
      <c r="A2595" s="3">
        <v>10</v>
      </c>
      <c r="B2595" s="3">
        <v>5</v>
      </c>
      <c r="C2595" s="3">
        <v>99</v>
      </c>
      <c r="D2595" s="3">
        <v>47</v>
      </c>
      <c r="E2595" s="3">
        <v>-582.928</v>
      </c>
      <c r="F2595" s="4" t="str">
        <f>HYPERLINK("http://141.218.60.56/~jnz1568/getInfo.php?workbook=10_05.xlsx&amp;sheet=A0&amp;row=2595&amp;col=6&amp;number=1060000&amp;sourceID=14","1060000")</f>
        <v>1060000</v>
      </c>
      <c r="G2595" s="4" t="str">
        <f>HYPERLINK("http://141.218.60.56/~jnz1568/getInfo.php?workbook=10_05.xlsx&amp;sheet=A0&amp;row=2595&amp;col=7&amp;number=0&amp;sourceID=14","0")</f>
        <v>0</v>
      </c>
    </row>
    <row r="2596" spans="1:7">
      <c r="A2596" s="3">
        <v>10</v>
      </c>
      <c r="B2596" s="3">
        <v>5</v>
      </c>
      <c r="C2596" s="3">
        <v>100</v>
      </c>
      <c r="D2596" s="3">
        <v>47</v>
      </c>
      <c r="E2596" s="3">
        <v>-582.036</v>
      </c>
      <c r="F2596" s="4" t="str">
        <f>HYPERLINK("http://141.218.60.56/~jnz1568/getInfo.php?workbook=10_05.xlsx&amp;sheet=A0&amp;row=2596&amp;col=6&amp;number=2090&amp;sourceID=14","2090")</f>
        <v>2090</v>
      </c>
      <c r="G2596" s="4" t="str">
        <f>HYPERLINK("http://141.218.60.56/~jnz1568/getInfo.php?workbook=10_05.xlsx&amp;sheet=A0&amp;row=2596&amp;col=7&amp;number=0&amp;sourceID=14","0")</f>
        <v>0</v>
      </c>
    </row>
    <row r="2597" spans="1:7">
      <c r="A2597" s="3">
        <v>10</v>
      </c>
      <c r="B2597" s="3">
        <v>5</v>
      </c>
      <c r="C2597" s="3">
        <v>105</v>
      </c>
      <c r="D2597" s="3">
        <v>47</v>
      </c>
      <c r="E2597" s="3">
        <v>-563.296</v>
      </c>
      <c r="F2597" s="4" t="str">
        <f>HYPERLINK("http://141.218.60.56/~jnz1568/getInfo.php?workbook=10_05.xlsx&amp;sheet=A0&amp;row=2597&amp;col=6&amp;number=207000000&amp;sourceID=14","207000000")</f>
        <v>207000000</v>
      </c>
      <c r="G2597" s="4" t="str">
        <f>HYPERLINK("http://141.218.60.56/~jnz1568/getInfo.php?workbook=10_05.xlsx&amp;sheet=A0&amp;row=2597&amp;col=7&amp;number=0&amp;sourceID=14","0")</f>
        <v>0</v>
      </c>
    </row>
    <row r="2598" spans="1:7">
      <c r="A2598" s="3">
        <v>10</v>
      </c>
      <c r="B2598" s="3">
        <v>5</v>
      </c>
      <c r="C2598" s="3">
        <v>106</v>
      </c>
      <c r="D2598" s="3">
        <v>47</v>
      </c>
      <c r="E2598" s="3">
        <v>-562.899</v>
      </c>
      <c r="F2598" s="4" t="str">
        <f>HYPERLINK("http://141.218.60.56/~jnz1568/getInfo.php?workbook=10_05.xlsx&amp;sheet=A0&amp;row=2598&amp;col=6&amp;number=17200000&amp;sourceID=14","17200000")</f>
        <v>17200000</v>
      </c>
      <c r="G2598" s="4" t="str">
        <f>HYPERLINK("http://141.218.60.56/~jnz1568/getInfo.php?workbook=10_05.xlsx&amp;sheet=A0&amp;row=2598&amp;col=7&amp;number=0&amp;sourceID=14","0")</f>
        <v>0</v>
      </c>
    </row>
    <row r="2599" spans="1:7">
      <c r="A2599" s="3">
        <v>10</v>
      </c>
      <c r="B2599" s="3">
        <v>5</v>
      </c>
      <c r="C2599" s="3">
        <v>107</v>
      </c>
      <c r="D2599" s="3">
        <v>47</v>
      </c>
      <c r="E2599" s="3">
        <v>-562.02</v>
      </c>
      <c r="F2599" s="4" t="str">
        <f>HYPERLINK("http://141.218.60.56/~jnz1568/getInfo.php?workbook=10_05.xlsx&amp;sheet=A0&amp;row=2599&amp;col=6&amp;number=1350000&amp;sourceID=14","1350000")</f>
        <v>1350000</v>
      </c>
      <c r="G2599" s="4" t="str">
        <f>HYPERLINK("http://141.218.60.56/~jnz1568/getInfo.php?workbook=10_05.xlsx&amp;sheet=A0&amp;row=2599&amp;col=7&amp;number=0&amp;sourceID=14","0")</f>
        <v>0</v>
      </c>
    </row>
    <row r="2600" spans="1:7">
      <c r="A2600" s="3">
        <v>10</v>
      </c>
      <c r="B2600" s="3">
        <v>5</v>
      </c>
      <c r="C2600" s="3">
        <v>109</v>
      </c>
      <c r="D2600" s="3">
        <v>47</v>
      </c>
      <c r="E2600" s="3">
        <v>-559.805</v>
      </c>
      <c r="F2600" s="4" t="str">
        <f>HYPERLINK("http://141.218.60.56/~jnz1568/getInfo.php?workbook=10_05.xlsx&amp;sheet=A0&amp;row=2600&amp;col=6&amp;number=413000000&amp;sourceID=14","413000000")</f>
        <v>413000000</v>
      </c>
      <c r="G2600" s="4" t="str">
        <f>HYPERLINK("http://141.218.60.56/~jnz1568/getInfo.php?workbook=10_05.xlsx&amp;sheet=A0&amp;row=2600&amp;col=7&amp;number=0&amp;sourceID=14","0")</f>
        <v>0</v>
      </c>
    </row>
    <row r="2601" spans="1:7">
      <c r="A2601" s="3">
        <v>10</v>
      </c>
      <c r="B2601" s="3">
        <v>5</v>
      </c>
      <c r="C2601" s="3">
        <v>111</v>
      </c>
      <c r="D2601" s="3">
        <v>47</v>
      </c>
      <c r="E2601" s="3">
        <v>-557.937</v>
      </c>
      <c r="F2601" s="4" t="str">
        <f>HYPERLINK("http://141.218.60.56/~jnz1568/getInfo.php?workbook=10_05.xlsx&amp;sheet=A0&amp;row=2601&amp;col=6&amp;number=4160000000&amp;sourceID=14","4160000000")</f>
        <v>4160000000</v>
      </c>
      <c r="G2601" s="4" t="str">
        <f>HYPERLINK("http://141.218.60.56/~jnz1568/getInfo.php?workbook=10_05.xlsx&amp;sheet=A0&amp;row=2601&amp;col=7&amp;number=0&amp;sourceID=14","0")</f>
        <v>0</v>
      </c>
    </row>
    <row r="2602" spans="1:7">
      <c r="A2602" s="3">
        <v>10</v>
      </c>
      <c r="B2602" s="3">
        <v>5</v>
      </c>
      <c r="C2602" s="3">
        <v>115</v>
      </c>
      <c r="D2602" s="3">
        <v>47</v>
      </c>
      <c r="E2602" s="3">
        <v>-537.306</v>
      </c>
      <c r="F2602" s="4" t="str">
        <f>HYPERLINK("http://141.218.60.56/~jnz1568/getInfo.php?workbook=10_05.xlsx&amp;sheet=A0&amp;row=2602&amp;col=6&amp;number=564000000&amp;sourceID=14","564000000")</f>
        <v>564000000</v>
      </c>
      <c r="G2602" s="4" t="str">
        <f>HYPERLINK("http://141.218.60.56/~jnz1568/getInfo.php?workbook=10_05.xlsx&amp;sheet=A0&amp;row=2602&amp;col=7&amp;number=0&amp;sourceID=14","0")</f>
        <v>0</v>
      </c>
    </row>
    <row r="2603" spans="1:7">
      <c r="A2603" s="3">
        <v>10</v>
      </c>
      <c r="B2603" s="3">
        <v>5</v>
      </c>
      <c r="C2603" s="3">
        <v>117</v>
      </c>
      <c r="D2603" s="3">
        <v>47</v>
      </c>
      <c r="E2603" s="3">
        <v>-534.109</v>
      </c>
      <c r="F2603" s="4" t="str">
        <f>HYPERLINK("http://141.218.60.56/~jnz1568/getInfo.php?workbook=10_05.xlsx&amp;sheet=A0&amp;row=2603&amp;col=6&amp;number=94400&amp;sourceID=14","94400")</f>
        <v>94400</v>
      </c>
      <c r="G2603" s="4" t="str">
        <f>HYPERLINK("http://141.218.60.56/~jnz1568/getInfo.php?workbook=10_05.xlsx&amp;sheet=A0&amp;row=2603&amp;col=7&amp;number=0&amp;sourceID=14","0")</f>
        <v>0</v>
      </c>
    </row>
    <row r="2604" spans="1:7">
      <c r="A2604" s="3">
        <v>10</v>
      </c>
      <c r="B2604" s="3">
        <v>5</v>
      </c>
      <c r="C2604" s="3">
        <v>118</v>
      </c>
      <c r="D2604" s="3">
        <v>47</v>
      </c>
      <c r="E2604" s="3">
        <v>-533.878</v>
      </c>
      <c r="F2604" s="4" t="str">
        <f>HYPERLINK("http://141.218.60.56/~jnz1568/getInfo.php?workbook=10_05.xlsx&amp;sheet=A0&amp;row=2604&amp;col=6&amp;number=417000&amp;sourceID=14","417000")</f>
        <v>417000</v>
      </c>
      <c r="G2604" s="4" t="str">
        <f>HYPERLINK("http://141.218.60.56/~jnz1568/getInfo.php?workbook=10_05.xlsx&amp;sheet=A0&amp;row=2604&amp;col=7&amp;number=0&amp;sourceID=14","0")</f>
        <v>0</v>
      </c>
    </row>
    <row r="2605" spans="1:7">
      <c r="A2605" s="3">
        <v>10</v>
      </c>
      <c r="B2605" s="3">
        <v>5</v>
      </c>
      <c r="C2605" s="3">
        <v>119</v>
      </c>
      <c r="D2605" s="3">
        <v>47</v>
      </c>
      <c r="E2605" s="3">
        <v>-533.736</v>
      </c>
      <c r="F2605" s="4" t="str">
        <f>HYPERLINK("http://141.218.60.56/~jnz1568/getInfo.php?workbook=10_05.xlsx&amp;sheet=A0&amp;row=2605&amp;col=6&amp;number=5520000&amp;sourceID=14","5520000")</f>
        <v>5520000</v>
      </c>
      <c r="G2605" s="4" t="str">
        <f>HYPERLINK("http://141.218.60.56/~jnz1568/getInfo.php?workbook=10_05.xlsx&amp;sheet=A0&amp;row=2605&amp;col=7&amp;number=0&amp;sourceID=14","0")</f>
        <v>0</v>
      </c>
    </row>
    <row r="2606" spans="1:7">
      <c r="A2606" s="3">
        <v>10</v>
      </c>
      <c r="B2606" s="3">
        <v>5</v>
      </c>
      <c r="C2606" s="3">
        <v>120</v>
      </c>
      <c r="D2606" s="3">
        <v>47</v>
      </c>
      <c r="E2606" s="3">
        <v>-524.88</v>
      </c>
      <c r="F2606" s="4" t="str">
        <f>HYPERLINK("http://141.218.60.56/~jnz1568/getInfo.php?workbook=10_05.xlsx&amp;sheet=A0&amp;row=2606&amp;col=6&amp;number=2320000&amp;sourceID=14","2320000")</f>
        <v>2320000</v>
      </c>
      <c r="G2606" s="4" t="str">
        <f>HYPERLINK("http://141.218.60.56/~jnz1568/getInfo.php?workbook=10_05.xlsx&amp;sheet=A0&amp;row=2606&amp;col=7&amp;number=0&amp;sourceID=14","0")</f>
        <v>0</v>
      </c>
    </row>
    <row r="2607" spans="1:7">
      <c r="A2607" s="3">
        <v>10</v>
      </c>
      <c r="B2607" s="3">
        <v>5</v>
      </c>
      <c r="C2607" s="3">
        <v>121</v>
      </c>
      <c r="D2607" s="3">
        <v>47</v>
      </c>
      <c r="E2607" s="3">
        <v>-524.264</v>
      </c>
      <c r="F2607" s="4" t="str">
        <f>HYPERLINK("http://141.218.60.56/~jnz1568/getInfo.php?workbook=10_05.xlsx&amp;sheet=A0&amp;row=2607&amp;col=6&amp;number=2970000&amp;sourceID=14","2970000")</f>
        <v>2970000</v>
      </c>
      <c r="G2607" s="4" t="str">
        <f>HYPERLINK("http://141.218.60.56/~jnz1568/getInfo.php?workbook=10_05.xlsx&amp;sheet=A0&amp;row=2607&amp;col=7&amp;number=0&amp;sourceID=14","0")</f>
        <v>0</v>
      </c>
    </row>
    <row r="2608" spans="1:7">
      <c r="A2608" s="3">
        <v>10</v>
      </c>
      <c r="B2608" s="3">
        <v>5</v>
      </c>
      <c r="C2608" s="3">
        <v>122</v>
      </c>
      <c r="D2608" s="3">
        <v>47</v>
      </c>
      <c r="E2608" s="3">
        <v>-523.249</v>
      </c>
      <c r="F2608" s="4" t="str">
        <f>HYPERLINK("http://141.218.60.56/~jnz1568/getInfo.php?workbook=10_05.xlsx&amp;sheet=A0&amp;row=2608&amp;col=6&amp;number=359000&amp;sourceID=14","359000")</f>
        <v>359000</v>
      </c>
      <c r="G2608" s="4" t="str">
        <f>HYPERLINK("http://141.218.60.56/~jnz1568/getInfo.php?workbook=10_05.xlsx&amp;sheet=A0&amp;row=2608&amp;col=7&amp;number=0&amp;sourceID=14","0")</f>
        <v>0</v>
      </c>
    </row>
    <row r="2609" spans="1:7">
      <c r="A2609" s="3">
        <v>10</v>
      </c>
      <c r="B2609" s="3">
        <v>5</v>
      </c>
      <c r="C2609" s="3">
        <v>123</v>
      </c>
      <c r="D2609" s="3">
        <v>47</v>
      </c>
      <c r="E2609" s="3">
        <v>-522.445</v>
      </c>
      <c r="F2609" s="4" t="str">
        <f>HYPERLINK("http://141.218.60.56/~jnz1568/getInfo.php?workbook=10_05.xlsx&amp;sheet=A0&amp;row=2609&amp;col=6&amp;number=2860000&amp;sourceID=14","2860000")</f>
        <v>2860000</v>
      </c>
      <c r="G2609" s="4" t="str">
        <f>HYPERLINK("http://141.218.60.56/~jnz1568/getInfo.php?workbook=10_05.xlsx&amp;sheet=A0&amp;row=2609&amp;col=7&amp;number=0&amp;sourceID=14","0")</f>
        <v>0</v>
      </c>
    </row>
    <row r="2610" spans="1:7">
      <c r="A2610" s="3">
        <v>10</v>
      </c>
      <c r="B2610" s="3">
        <v>5</v>
      </c>
      <c r="C2610" s="3">
        <v>125</v>
      </c>
      <c r="D2610" s="3">
        <v>47</v>
      </c>
      <c r="E2610" s="3">
        <v>-519.368</v>
      </c>
      <c r="F2610" s="4" t="str">
        <f>HYPERLINK("http://141.218.60.56/~jnz1568/getInfo.php?workbook=10_05.xlsx&amp;sheet=A0&amp;row=2610&amp;col=6&amp;number=92600000&amp;sourceID=14","92600000")</f>
        <v>92600000</v>
      </c>
      <c r="G2610" s="4" t="str">
        <f>HYPERLINK("http://141.218.60.56/~jnz1568/getInfo.php?workbook=10_05.xlsx&amp;sheet=A0&amp;row=2610&amp;col=7&amp;number=0&amp;sourceID=14","0")</f>
        <v>0</v>
      </c>
    </row>
    <row r="2611" spans="1:7">
      <c r="A2611" s="3">
        <v>10</v>
      </c>
      <c r="B2611" s="3">
        <v>5</v>
      </c>
      <c r="C2611" s="3">
        <v>126</v>
      </c>
      <c r="D2611" s="3">
        <v>47</v>
      </c>
      <c r="E2611" s="3">
        <v>-518.627</v>
      </c>
      <c r="F2611" s="4" t="str">
        <f>HYPERLINK("http://141.218.60.56/~jnz1568/getInfo.php?workbook=10_05.xlsx&amp;sheet=A0&amp;row=2611&amp;col=6&amp;number=1400000&amp;sourceID=14","1400000")</f>
        <v>1400000</v>
      </c>
      <c r="G2611" s="4" t="str">
        <f>HYPERLINK("http://141.218.60.56/~jnz1568/getInfo.php?workbook=10_05.xlsx&amp;sheet=A0&amp;row=2611&amp;col=7&amp;number=0&amp;sourceID=14","0")</f>
        <v>0</v>
      </c>
    </row>
    <row r="2612" spans="1:7">
      <c r="A2612" s="3">
        <v>10</v>
      </c>
      <c r="B2612" s="3">
        <v>5</v>
      </c>
      <c r="C2612" s="3">
        <v>129</v>
      </c>
      <c r="D2612" s="3">
        <v>47</v>
      </c>
      <c r="E2612" s="3">
        <v>511.196</v>
      </c>
      <c r="F2612" s="4" t="str">
        <f>HYPERLINK("http://141.218.60.56/~jnz1568/getInfo.php?workbook=10_05.xlsx&amp;sheet=A0&amp;row=2612&amp;col=6&amp;number=337000000&amp;sourceID=14","337000000")</f>
        <v>337000000</v>
      </c>
      <c r="G2612" s="4" t="str">
        <f>HYPERLINK("http://141.218.60.56/~jnz1568/getInfo.php?workbook=10_05.xlsx&amp;sheet=A0&amp;row=2612&amp;col=7&amp;number=0&amp;sourceID=14","0")</f>
        <v>0</v>
      </c>
    </row>
    <row r="2613" spans="1:7">
      <c r="A2613" s="3">
        <v>10</v>
      </c>
      <c r="B2613" s="3">
        <v>5</v>
      </c>
      <c r="C2613" s="3">
        <v>130</v>
      </c>
      <c r="D2613" s="3">
        <v>47</v>
      </c>
      <c r="E2613" s="3">
        <v>511.196</v>
      </c>
      <c r="F2613" s="4" t="str">
        <f>HYPERLINK("http://141.218.60.56/~jnz1568/getInfo.php?workbook=10_05.xlsx&amp;sheet=A0&amp;row=2613&amp;col=6&amp;number=25000000&amp;sourceID=14","25000000")</f>
        <v>25000000</v>
      </c>
      <c r="G2613" s="4" t="str">
        <f>HYPERLINK("http://141.218.60.56/~jnz1568/getInfo.php?workbook=10_05.xlsx&amp;sheet=A0&amp;row=2613&amp;col=7&amp;number=0&amp;sourceID=14","0")</f>
        <v>0</v>
      </c>
    </row>
    <row r="2614" spans="1:7">
      <c r="A2614" s="3">
        <v>10</v>
      </c>
      <c r="B2614" s="3">
        <v>5</v>
      </c>
      <c r="C2614" s="3">
        <v>131</v>
      </c>
      <c r="D2614" s="3">
        <v>47</v>
      </c>
      <c r="E2614" s="3">
        <v>-509.752</v>
      </c>
      <c r="F2614" s="4" t="str">
        <f>HYPERLINK("http://141.218.60.56/~jnz1568/getInfo.php?workbook=10_05.xlsx&amp;sheet=A0&amp;row=2614&amp;col=6&amp;number=2310000&amp;sourceID=14","2310000")</f>
        <v>2310000</v>
      </c>
      <c r="G2614" s="4" t="str">
        <f>HYPERLINK("http://141.218.60.56/~jnz1568/getInfo.php?workbook=10_05.xlsx&amp;sheet=A0&amp;row=2614&amp;col=7&amp;number=0&amp;sourceID=14","0")</f>
        <v>0</v>
      </c>
    </row>
    <row r="2615" spans="1:7">
      <c r="A2615" s="3">
        <v>10</v>
      </c>
      <c r="B2615" s="3">
        <v>5</v>
      </c>
      <c r="C2615" s="3">
        <v>132</v>
      </c>
      <c r="D2615" s="3">
        <v>47</v>
      </c>
      <c r="E2615" s="3">
        <v>-509.371</v>
      </c>
      <c r="F2615" s="4" t="str">
        <f>HYPERLINK("http://141.218.60.56/~jnz1568/getInfo.php?workbook=10_05.xlsx&amp;sheet=A0&amp;row=2615&amp;col=6&amp;number=75300&amp;sourceID=14","75300")</f>
        <v>75300</v>
      </c>
      <c r="G2615" s="4" t="str">
        <f>HYPERLINK("http://141.218.60.56/~jnz1568/getInfo.php?workbook=10_05.xlsx&amp;sheet=A0&amp;row=2615&amp;col=7&amp;number=0&amp;sourceID=14","0")</f>
        <v>0</v>
      </c>
    </row>
    <row r="2616" spans="1:7">
      <c r="A2616" s="3">
        <v>10</v>
      </c>
      <c r="B2616" s="3">
        <v>5</v>
      </c>
      <c r="C2616" s="3">
        <v>133</v>
      </c>
      <c r="D2616" s="3">
        <v>47</v>
      </c>
      <c r="E2616" s="3">
        <v>-508.832</v>
      </c>
      <c r="F2616" s="4" t="str">
        <f>HYPERLINK("http://141.218.60.56/~jnz1568/getInfo.php?workbook=10_05.xlsx&amp;sheet=A0&amp;row=2616&amp;col=6&amp;number=1940000&amp;sourceID=14","1940000")</f>
        <v>1940000</v>
      </c>
      <c r="G2616" s="4" t="str">
        <f>HYPERLINK("http://141.218.60.56/~jnz1568/getInfo.php?workbook=10_05.xlsx&amp;sheet=A0&amp;row=2616&amp;col=7&amp;number=0&amp;sourceID=14","0")</f>
        <v>0</v>
      </c>
    </row>
    <row r="2617" spans="1:7">
      <c r="A2617" s="3">
        <v>10</v>
      </c>
      <c r="B2617" s="3">
        <v>5</v>
      </c>
      <c r="C2617" s="3">
        <v>140</v>
      </c>
      <c r="D2617" s="3">
        <v>47</v>
      </c>
      <c r="E2617" s="3">
        <v>-496.607</v>
      </c>
      <c r="F2617" s="4" t="str">
        <f>HYPERLINK("http://141.218.60.56/~jnz1568/getInfo.php?workbook=10_05.xlsx&amp;sheet=A0&amp;row=2617&amp;col=6&amp;number=44600&amp;sourceID=14","44600")</f>
        <v>44600</v>
      </c>
      <c r="G2617" s="4" t="str">
        <f>HYPERLINK("http://141.218.60.56/~jnz1568/getInfo.php?workbook=10_05.xlsx&amp;sheet=A0&amp;row=2617&amp;col=7&amp;number=0&amp;sourceID=14","0")</f>
        <v>0</v>
      </c>
    </row>
    <row r="2618" spans="1:7">
      <c r="A2618" s="3">
        <v>10</v>
      </c>
      <c r="B2618" s="3">
        <v>5</v>
      </c>
      <c r="C2618" s="3">
        <v>150</v>
      </c>
      <c r="D2618" s="3">
        <v>47</v>
      </c>
      <c r="E2618" s="3">
        <v>-480.068</v>
      </c>
      <c r="F2618" s="4" t="str">
        <f>HYPERLINK("http://141.218.60.56/~jnz1568/getInfo.php?workbook=10_05.xlsx&amp;sheet=A0&amp;row=2618&amp;col=6&amp;number=60500000&amp;sourceID=14","60500000")</f>
        <v>60500000</v>
      </c>
      <c r="G2618" s="4" t="str">
        <f>HYPERLINK("http://141.218.60.56/~jnz1568/getInfo.php?workbook=10_05.xlsx&amp;sheet=A0&amp;row=2618&amp;col=7&amp;number=0&amp;sourceID=14","0")</f>
        <v>0</v>
      </c>
    </row>
    <row r="2619" spans="1:7">
      <c r="A2619" s="3">
        <v>10</v>
      </c>
      <c r="B2619" s="3">
        <v>5</v>
      </c>
      <c r="C2619" s="3">
        <v>151</v>
      </c>
      <c r="D2619" s="3">
        <v>47</v>
      </c>
      <c r="E2619" s="3">
        <v>-480.018</v>
      </c>
      <c r="F2619" s="4" t="str">
        <f>HYPERLINK("http://141.218.60.56/~jnz1568/getInfo.php?workbook=10_05.xlsx&amp;sheet=A0&amp;row=2619&amp;col=6&amp;number=94100000&amp;sourceID=14","94100000")</f>
        <v>94100000</v>
      </c>
      <c r="G2619" s="4" t="str">
        <f>HYPERLINK("http://141.218.60.56/~jnz1568/getInfo.php?workbook=10_05.xlsx&amp;sheet=A0&amp;row=2619&amp;col=7&amp;number=0&amp;sourceID=14","0")</f>
        <v>0</v>
      </c>
    </row>
    <row r="2620" spans="1:7">
      <c r="A2620" s="3">
        <v>10</v>
      </c>
      <c r="B2620" s="3">
        <v>5</v>
      </c>
      <c r="C2620" s="3">
        <v>155</v>
      </c>
      <c r="D2620" s="3">
        <v>47</v>
      </c>
      <c r="E2620" s="3">
        <v>472.613</v>
      </c>
      <c r="F2620" s="4" t="str">
        <f>HYPERLINK("http://141.218.60.56/~jnz1568/getInfo.php?workbook=10_05.xlsx&amp;sheet=A0&amp;row=2620&amp;col=6&amp;number=138000000&amp;sourceID=14","138000000")</f>
        <v>138000000</v>
      </c>
      <c r="G2620" s="4" t="str">
        <f>HYPERLINK("http://141.218.60.56/~jnz1568/getInfo.php?workbook=10_05.xlsx&amp;sheet=A0&amp;row=2620&amp;col=7&amp;number=0&amp;sourceID=14","0")</f>
        <v>0</v>
      </c>
    </row>
    <row r="2621" spans="1:7">
      <c r="A2621" s="3">
        <v>10</v>
      </c>
      <c r="B2621" s="3">
        <v>5</v>
      </c>
      <c r="C2621" s="3">
        <v>156</v>
      </c>
      <c r="D2621" s="3">
        <v>47</v>
      </c>
      <c r="E2621" s="3">
        <v>-470.757</v>
      </c>
      <c r="F2621" s="4" t="str">
        <f>HYPERLINK("http://141.218.60.56/~jnz1568/getInfo.php?workbook=10_05.xlsx&amp;sheet=A0&amp;row=2621&amp;col=6&amp;number=335000000&amp;sourceID=14","335000000")</f>
        <v>335000000</v>
      </c>
      <c r="G2621" s="4" t="str">
        <f>HYPERLINK("http://141.218.60.56/~jnz1568/getInfo.php?workbook=10_05.xlsx&amp;sheet=A0&amp;row=2621&amp;col=7&amp;number=0&amp;sourceID=14","0")</f>
        <v>0</v>
      </c>
    </row>
    <row r="2622" spans="1:7">
      <c r="A2622" s="3">
        <v>10</v>
      </c>
      <c r="B2622" s="3">
        <v>5</v>
      </c>
      <c r="C2622" s="3">
        <v>157</v>
      </c>
      <c r="D2622" s="3">
        <v>47</v>
      </c>
      <c r="E2622" s="3">
        <v>-470.361</v>
      </c>
      <c r="F2622" s="4" t="str">
        <f>HYPERLINK("http://141.218.60.56/~jnz1568/getInfo.php?workbook=10_05.xlsx&amp;sheet=A0&amp;row=2622&amp;col=6&amp;number=39700000&amp;sourceID=14","39700000")</f>
        <v>39700000</v>
      </c>
      <c r="G2622" s="4" t="str">
        <f>HYPERLINK("http://141.218.60.56/~jnz1568/getInfo.php?workbook=10_05.xlsx&amp;sheet=A0&amp;row=2622&amp;col=7&amp;number=0&amp;sourceID=14","0")</f>
        <v>0</v>
      </c>
    </row>
    <row r="2623" spans="1:7">
      <c r="A2623" s="3">
        <v>10</v>
      </c>
      <c r="B2623" s="3">
        <v>5</v>
      </c>
      <c r="C2623" s="3">
        <v>160</v>
      </c>
      <c r="D2623" s="3">
        <v>47</v>
      </c>
      <c r="E2623" s="3">
        <v>-467.577</v>
      </c>
      <c r="F2623" s="4" t="str">
        <f>HYPERLINK("http://141.218.60.56/~jnz1568/getInfo.php?workbook=10_05.xlsx&amp;sheet=A0&amp;row=2623&amp;col=6&amp;number=7230&amp;sourceID=14","7230")</f>
        <v>7230</v>
      </c>
      <c r="G2623" s="4" t="str">
        <f>HYPERLINK("http://141.218.60.56/~jnz1568/getInfo.php?workbook=10_05.xlsx&amp;sheet=A0&amp;row=2623&amp;col=7&amp;number=0&amp;sourceID=14","0")</f>
        <v>0</v>
      </c>
    </row>
    <row r="2624" spans="1:7">
      <c r="A2624" s="3">
        <v>10</v>
      </c>
      <c r="B2624" s="3">
        <v>5</v>
      </c>
      <c r="C2624" s="3">
        <v>161</v>
      </c>
      <c r="D2624" s="3">
        <v>47</v>
      </c>
      <c r="E2624" s="3">
        <v>466.898</v>
      </c>
      <c r="F2624" s="4" t="str">
        <f>HYPERLINK("http://141.218.60.56/~jnz1568/getInfo.php?workbook=10_05.xlsx&amp;sheet=A0&amp;row=2624&amp;col=6&amp;number=223000000&amp;sourceID=14","223000000")</f>
        <v>223000000</v>
      </c>
      <c r="G2624" s="4" t="str">
        <f>HYPERLINK("http://141.218.60.56/~jnz1568/getInfo.php?workbook=10_05.xlsx&amp;sheet=A0&amp;row=2624&amp;col=7&amp;number=0&amp;sourceID=14","0")</f>
        <v>0</v>
      </c>
    </row>
    <row r="2625" spans="1:7">
      <c r="A2625" s="3">
        <v>10</v>
      </c>
      <c r="B2625" s="3">
        <v>5</v>
      </c>
      <c r="C2625" s="3">
        <v>162</v>
      </c>
      <c r="D2625" s="3">
        <v>47</v>
      </c>
      <c r="E2625" s="3">
        <v>466.245</v>
      </c>
      <c r="F2625" s="4" t="str">
        <f>HYPERLINK("http://141.218.60.56/~jnz1568/getInfo.php?workbook=10_05.xlsx&amp;sheet=A0&amp;row=2625&amp;col=6&amp;number=25300000&amp;sourceID=14","25300000")</f>
        <v>25300000</v>
      </c>
      <c r="G2625" s="4" t="str">
        <f>HYPERLINK("http://141.218.60.56/~jnz1568/getInfo.php?workbook=10_05.xlsx&amp;sheet=A0&amp;row=2625&amp;col=7&amp;number=0&amp;sourceID=14","0")</f>
        <v>0</v>
      </c>
    </row>
    <row r="2626" spans="1:7">
      <c r="A2626" s="3">
        <v>10</v>
      </c>
      <c r="B2626" s="3">
        <v>5</v>
      </c>
      <c r="C2626" s="3">
        <v>163</v>
      </c>
      <c r="D2626" s="3">
        <v>47</v>
      </c>
      <c r="E2626" s="3">
        <v>-438.53</v>
      </c>
      <c r="F2626" s="4" t="str">
        <f>HYPERLINK("http://141.218.60.56/~jnz1568/getInfo.php?workbook=10_05.xlsx&amp;sheet=A0&amp;row=2626&amp;col=6&amp;number=178000&amp;sourceID=14","178000")</f>
        <v>178000</v>
      </c>
      <c r="G2626" s="4" t="str">
        <f>HYPERLINK("http://141.218.60.56/~jnz1568/getInfo.php?workbook=10_05.xlsx&amp;sheet=A0&amp;row=2626&amp;col=7&amp;number=0&amp;sourceID=14","0")</f>
        <v>0</v>
      </c>
    </row>
    <row r="2627" spans="1:7">
      <c r="A2627" s="3">
        <v>10</v>
      </c>
      <c r="B2627" s="3">
        <v>5</v>
      </c>
      <c r="C2627" s="3">
        <v>168</v>
      </c>
      <c r="D2627" s="3">
        <v>47</v>
      </c>
      <c r="E2627" s="3">
        <v>-339.324</v>
      </c>
      <c r="F2627" s="4" t="str">
        <f>HYPERLINK("http://141.218.60.56/~jnz1568/getInfo.php?workbook=10_05.xlsx&amp;sheet=A0&amp;row=2627&amp;col=6&amp;number=3220000&amp;sourceID=14","3220000")</f>
        <v>3220000</v>
      </c>
      <c r="G2627" s="4" t="str">
        <f>HYPERLINK("http://141.218.60.56/~jnz1568/getInfo.php?workbook=10_05.xlsx&amp;sheet=A0&amp;row=2627&amp;col=7&amp;number=0&amp;sourceID=14","0")</f>
        <v>0</v>
      </c>
    </row>
    <row r="2628" spans="1:7">
      <c r="A2628" s="3">
        <v>10</v>
      </c>
      <c r="B2628" s="3">
        <v>5</v>
      </c>
      <c r="C2628" s="3">
        <v>169</v>
      </c>
      <c r="D2628" s="3">
        <v>47</v>
      </c>
      <c r="E2628" s="3">
        <v>-339.269</v>
      </c>
      <c r="F2628" s="4" t="str">
        <f>HYPERLINK("http://141.218.60.56/~jnz1568/getInfo.php?workbook=10_05.xlsx&amp;sheet=A0&amp;row=2628&amp;col=6&amp;number=36300000&amp;sourceID=14","36300000")</f>
        <v>36300000</v>
      </c>
      <c r="G2628" s="4" t="str">
        <f>HYPERLINK("http://141.218.60.56/~jnz1568/getInfo.php?workbook=10_05.xlsx&amp;sheet=A0&amp;row=2628&amp;col=7&amp;number=0&amp;sourceID=14","0")</f>
        <v>0</v>
      </c>
    </row>
    <row r="2629" spans="1:7">
      <c r="A2629" s="3">
        <v>10</v>
      </c>
      <c r="B2629" s="3">
        <v>5</v>
      </c>
      <c r="C2629" s="3">
        <v>170</v>
      </c>
      <c r="D2629" s="3">
        <v>47</v>
      </c>
      <c r="E2629" s="3">
        <v>-328.815</v>
      </c>
      <c r="F2629" s="4" t="str">
        <f>HYPERLINK("http://141.218.60.56/~jnz1568/getInfo.php?workbook=10_05.xlsx&amp;sheet=A0&amp;row=2629&amp;col=6&amp;number=1020000&amp;sourceID=14","1020000")</f>
        <v>1020000</v>
      </c>
      <c r="G2629" s="4" t="str">
        <f>HYPERLINK("http://141.218.60.56/~jnz1568/getInfo.php?workbook=10_05.xlsx&amp;sheet=A0&amp;row=2629&amp;col=7&amp;number=0&amp;sourceID=14","0")</f>
        <v>0</v>
      </c>
    </row>
    <row r="2630" spans="1:7">
      <c r="A2630" s="3">
        <v>10</v>
      </c>
      <c r="B2630" s="3">
        <v>5</v>
      </c>
      <c r="C2630" s="3">
        <v>171</v>
      </c>
      <c r="D2630" s="3">
        <v>47</v>
      </c>
      <c r="E2630" s="3">
        <v>-328.712</v>
      </c>
      <c r="F2630" s="4" t="str">
        <f>HYPERLINK("http://141.218.60.56/~jnz1568/getInfo.php?workbook=10_05.xlsx&amp;sheet=A0&amp;row=2630&amp;col=6&amp;number=278000&amp;sourceID=14","278000")</f>
        <v>278000</v>
      </c>
      <c r="G2630" s="4" t="str">
        <f>HYPERLINK("http://141.218.60.56/~jnz1568/getInfo.php?workbook=10_05.xlsx&amp;sheet=A0&amp;row=2630&amp;col=7&amp;number=0&amp;sourceID=14","0")</f>
        <v>0</v>
      </c>
    </row>
    <row r="2631" spans="1:7">
      <c r="A2631" s="3">
        <v>10</v>
      </c>
      <c r="B2631" s="3">
        <v>5</v>
      </c>
      <c r="C2631" s="3">
        <v>172</v>
      </c>
      <c r="D2631" s="3">
        <v>47</v>
      </c>
      <c r="E2631" s="3">
        <v>-326.619</v>
      </c>
      <c r="F2631" s="4" t="str">
        <f>HYPERLINK("http://141.218.60.56/~jnz1568/getInfo.php?workbook=10_05.xlsx&amp;sheet=A0&amp;row=2631&amp;col=6&amp;number=835000&amp;sourceID=14","835000")</f>
        <v>835000</v>
      </c>
      <c r="G2631" s="4" t="str">
        <f>HYPERLINK("http://141.218.60.56/~jnz1568/getInfo.php?workbook=10_05.xlsx&amp;sheet=A0&amp;row=2631&amp;col=7&amp;number=0&amp;sourceID=14","0")</f>
        <v>0</v>
      </c>
    </row>
    <row r="2632" spans="1:7">
      <c r="A2632" s="3">
        <v>10</v>
      </c>
      <c r="B2632" s="3">
        <v>5</v>
      </c>
      <c r="C2632" s="3">
        <v>173</v>
      </c>
      <c r="D2632" s="3">
        <v>47</v>
      </c>
      <c r="E2632" s="3">
        <v>-326.594</v>
      </c>
      <c r="F2632" s="4" t="str">
        <f>HYPERLINK("http://141.218.60.56/~jnz1568/getInfo.php?workbook=10_05.xlsx&amp;sheet=A0&amp;row=2632&amp;col=6&amp;number=3780&amp;sourceID=14","3780")</f>
        <v>3780</v>
      </c>
      <c r="G2632" s="4" t="str">
        <f>HYPERLINK("http://141.218.60.56/~jnz1568/getInfo.php?workbook=10_05.xlsx&amp;sheet=A0&amp;row=2632&amp;col=7&amp;number=0&amp;sourceID=14","0")</f>
        <v>0</v>
      </c>
    </row>
    <row r="2633" spans="1:7">
      <c r="A2633" s="3">
        <v>10</v>
      </c>
      <c r="B2633" s="3">
        <v>5</v>
      </c>
      <c r="C2633" s="3">
        <v>174</v>
      </c>
      <c r="D2633" s="3">
        <v>47</v>
      </c>
      <c r="E2633" s="3">
        <v>-324.359</v>
      </c>
      <c r="F2633" s="4" t="str">
        <f>HYPERLINK("http://141.218.60.56/~jnz1568/getInfo.php?workbook=10_05.xlsx&amp;sheet=A0&amp;row=2633&amp;col=6&amp;number=83.1&amp;sourceID=14","83.1")</f>
        <v>83.1</v>
      </c>
      <c r="G2633" s="4" t="str">
        <f>HYPERLINK("http://141.218.60.56/~jnz1568/getInfo.php?workbook=10_05.xlsx&amp;sheet=A0&amp;row=2633&amp;col=7&amp;number=0&amp;sourceID=14","0")</f>
        <v>0</v>
      </c>
    </row>
    <row r="2634" spans="1:7">
      <c r="A2634" s="3">
        <v>10</v>
      </c>
      <c r="B2634" s="3">
        <v>5</v>
      </c>
      <c r="C2634" s="3">
        <v>59</v>
      </c>
      <c r="D2634" s="3">
        <v>48</v>
      </c>
      <c r="E2634" s="3">
        <v>1730.706</v>
      </c>
      <c r="F2634" s="4" t="str">
        <f>HYPERLINK("http://141.218.60.56/~jnz1568/getInfo.php?workbook=10_05.xlsx&amp;sheet=A0&amp;row=2634&amp;col=6&amp;number=360000&amp;sourceID=14","360000")</f>
        <v>360000</v>
      </c>
      <c r="G2634" s="4" t="str">
        <f>HYPERLINK("http://141.218.60.56/~jnz1568/getInfo.php?workbook=10_05.xlsx&amp;sheet=A0&amp;row=2634&amp;col=7&amp;number=0&amp;sourceID=14","0")</f>
        <v>0</v>
      </c>
    </row>
    <row r="2635" spans="1:7">
      <c r="A2635" s="3">
        <v>10</v>
      </c>
      <c r="B2635" s="3">
        <v>5</v>
      </c>
      <c r="C2635" s="3">
        <v>60</v>
      </c>
      <c r="D2635" s="3">
        <v>48</v>
      </c>
      <c r="E2635" s="3">
        <v>1726.523</v>
      </c>
      <c r="F2635" s="4" t="str">
        <f>HYPERLINK("http://141.218.60.56/~jnz1568/getInfo.php?workbook=10_05.xlsx&amp;sheet=A0&amp;row=2635&amp;col=6&amp;number=5340000&amp;sourceID=14","5340000")</f>
        <v>5340000</v>
      </c>
      <c r="G2635" s="4" t="str">
        <f>HYPERLINK("http://141.218.60.56/~jnz1568/getInfo.php?workbook=10_05.xlsx&amp;sheet=A0&amp;row=2635&amp;col=7&amp;number=0&amp;sourceID=14","0")</f>
        <v>0</v>
      </c>
    </row>
    <row r="2636" spans="1:7">
      <c r="A2636" s="3">
        <v>10</v>
      </c>
      <c r="B2636" s="3">
        <v>5</v>
      </c>
      <c r="C2636" s="3">
        <v>62</v>
      </c>
      <c r="D2636" s="3">
        <v>48</v>
      </c>
      <c r="E2636" s="3">
        <v>1674.204</v>
      </c>
      <c r="F2636" s="4" t="str">
        <f>HYPERLINK("http://141.218.60.56/~jnz1568/getInfo.php?workbook=10_05.xlsx&amp;sheet=A0&amp;row=2636&amp;col=6&amp;number=872000&amp;sourceID=14","872000")</f>
        <v>872000</v>
      </c>
      <c r="G2636" s="4" t="str">
        <f>HYPERLINK("http://141.218.60.56/~jnz1568/getInfo.php?workbook=10_05.xlsx&amp;sheet=A0&amp;row=2636&amp;col=7&amp;number=0&amp;sourceID=14","0")</f>
        <v>0</v>
      </c>
    </row>
    <row r="2637" spans="1:7">
      <c r="A2637" s="3">
        <v>10</v>
      </c>
      <c r="B2637" s="3">
        <v>5</v>
      </c>
      <c r="C2637" s="3">
        <v>66</v>
      </c>
      <c r="D2637" s="3">
        <v>48</v>
      </c>
      <c r="E2637" s="3">
        <v>1100.96</v>
      </c>
      <c r="F2637" s="4" t="str">
        <f>HYPERLINK("http://141.218.60.56/~jnz1568/getInfo.php?workbook=10_05.xlsx&amp;sheet=A0&amp;row=2637&amp;col=6&amp;number=12400&amp;sourceID=14","12400")</f>
        <v>12400</v>
      </c>
      <c r="G2637" s="4" t="str">
        <f>HYPERLINK("http://141.218.60.56/~jnz1568/getInfo.php?workbook=10_05.xlsx&amp;sheet=A0&amp;row=2637&amp;col=7&amp;number=0&amp;sourceID=14","0")</f>
        <v>0</v>
      </c>
    </row>
    <row r="2638" spans="1:7">
      <c r="A2638" s="3">
        <v>10</v>
      </c>
      <c r="B2638" s="3">
        <v>5</v>
      </c>
      <c r="C2638" s="3">
        <v>67</v>
      </c>
      <c r="D2638" s="3">
        <v>48</v>
      </c>
      <c r="E2638" s="3">
        <v>1100.96</v>
      </c>
      <c r="F2638" s="4" t="str">
        <f>HYPERLINK("http://141.218.60.56/~jnz1568/getInfo.php?workbook=10_05.xlsx&amp;sheet=A0&amp;row=2638&amp;col=6&amp;number=63400&amp;sourceID=14","63400")</f>
        <v>63400</v>
      </c>
      <c r="G2638" s="4" t="str">
        <f>HYPERLINK("http://141.218.60.56/~jnz1568/getInfo.php?workbook=10_05.xlsx&amp;sheet=A0&amp;row=2638&amp;col=7&amp;number=0&amp;sourceID=14","0")</f>
        <v>0</v>
      </c>
    </row>
    <row r="2639" spans="1:7">
      <c r="A2639" s="3">
        <v>10</v>
      </c>
      <c r="B2639" s="3">
        <v>5</v>
      </c>
      <c r="C2639" s="3">
        <v>71</v>
      </c>
      <c r="D2639" s="3">
        <v>48</v>
      </c>
      <c r="E2639" s="3">
        <v>1052.523</v>
      </c>
      <c r="F2639" s="4" t="str">
        <f>HYPERLINK("http://141.218.60.56/~jnz1568/getInfo.php?workbook=10_05.xlsx&amp;sheet=A0&amp;row=2639&amp;col=6&amp;number=1590&amp;sourceID=14","1590")</f>
        <v>1590</v>
      </c>
      <c r="G2639" s="4" t="str">
        <f>HYPERLINK("http://141.218.60.56/~jnz1568/getInfo.php?workbook=10_05.xlsx&amp;sheet=A0&amp;row=2639&amp;col=7&amp;number=0&amp;sourceID=14","0")</f>
        <v>0</v>
      </c>
    </row>
    <row r="2640" spans="1:7">
      <c r="A2640" s="3">
        <v>10</v>
      </c>
      <c r="B2640" s="3">
        <v>5</v>
      </c>
      <c r="C2640" s="3">
        <v>72</v>
      </c>
      <c r="D2640" s="3">
        <v>48</v>
      </c>
      <c r="E2640" s="3">
        <v>1052.523</v>
      </c>
      <c r="F2640" s="4" t="str">
        <f>HYPERLINK("http://141.218.60.56/~jnz1568/getInfo.php?workbook=10_05.xlsx&amp;sheet=A0&amp;row=2640&amp;col=6&amp;number=373000&amp;sourceID=14","373000")</f>
        <v>373000</v>
      </c>
      <c r="G2640" s="4" t="str">
        <f>HYPERLINK("http://141.218.60.56/~jnz1568/getInfo.php?workbook=10_05.xlsx&amp;sheet=A0&amp;row=2640&amp;col=7&amp;number=0&amp;sourceID=14","0")</f>
        <v>0</v>
      </c>
    </row>
    <row r="2641" spans="1:7">
      <c r="A2641" s="3">
        <v>10</v>
      </c>
      <c r="B2641" s="3">
        <v>5</v>
      </c>
      <c r="C2641" s="3">
        <v>78</v>
      </c>
      <c r="D2641" s="3">
        <v>48</v>
      </c>
      <c r="E2641" s="3">
        <v>-832.177</v>
      </c>
      <c r="F2641" s="4" t="str">
        <f>HYPERLINK("http://141.218.60.56/~jnz1568/getInfo.php?workbook=10_05.xlsx&amp;sheet=A0&amp;row=2641&amp;col=6&amp;number=57000000&amp;sourceID=14","57000000")</f>
        <v>57000000</v>
      </c>
      <c r="G2641" s="4" t="str">
        <f>HYPERLINK("http://141.218.60.56/~jnz1568/getInfo.php?workbook=10_05.xlsx&amp;sheet=A0&amp;row=2641&amp;col=7&amp;number=0&amp;sourceID=14","0")</f>
        <v>0</v>
      </c>
    </row>
    <row r="2642" spans="1:7">
      <c r="A2642" s="3">
        <v>10</v>
      </c>
      <c r="B2642" s="3">
        <v>5</v>
      </c>
      <c r="C2642" s="3">
        <v>80</v>
      </c>
      <c r="D2642" s="3">
        <v>48</v>
      </c>
      <c r="E2642" s="3">
        <v>781.19</v>
      </c>
      <c r="F2642" s="4" t="str">
        <f>HYPERLINK("http://141.218.60.56/~jnz1568/getInfo.php?workbook=10_05.xlsx&amp;sheet=A0&amp;row=2642&amp;col=6&amp;number=2610000&amp;sourceID=14","2610000")</f>
        <v>2610000</v>
      </c>
      <c r="G2642" s="4" t="str">
        <f>HYPERLINK("http://141.218.60.56/~jnz1568/getInfo.php?workbook=10_05.xlsx&amp;sheet=A0&amp;row=2642&amp;col=7&amp;number=0&amp;sourceID=14","0")</f>
        <v>0</v>
      </c>
    </row>
    <row r="2643" spans="1:7">
      <c r="A2643" s="3">
        <v>10</v>
      </c>
      <c r="B2643" s="3">
        <v>5</v>
      </c>
      <c r="C2643" s="3">
        <v>81</v>
      </c>
      <c r="D2643" s="3">
        <v>48</v>
      </c>
      <c r="E2643" s="3">
        <v>781.19</v>
      </c>
      <c r="F2643" s="4" t="str">
        <f>HYPERLINK("http://141.218.60.56/~jnz1568/getInfo.php?workbook=10_05.xlsx&amp;sheet=A0&amp;row=2643&amp;col=6&amp;number=24400000&amp;sourceID=14","24400000")</f>
        <v>24400000</v>
      </c>
      <c r="G2643" s="4" t="str">
        <f>HYPERLINK("http://141.218.60.56/~jnz1568/getInfo.php?workbook=10_05.xlsx&amp;sheet=A0&amp;row=2643&amp;col=7&amp;number=0&amp;sourceID=14","0")</f>
        <v>0</v>
      </c>
    </row>
    <row r="2644" spans="1:7">
      <c r="A2644" s="3">
        <v>10</v>
      </c>
      <c r="B2644" s="3">
        <v>5</v>
      </c>
      <c r="C2644" s="3">
        <v>99</v>
      </c>
      <c r="D2644" s="3">
        <v>48</v>
      </c>
      <c r="E2644" s="3">
        <v>-583.639</v>
      </c>
      <c r="F2644" s="4" t="str">
        <f>HYPERLINK("http://141.218.60.56/~jnz1568/getInfo.php?workbook=10_05.xlsx&amp;sheet=A0&amp;row=2644&amp;col=6&amp;number=53200&amp;sourceID=14","53200")</f>
        <v>53200</v>
      </c>
      <c r="G2644" s="4" t="str">
        <f>HYPERLINK("http://141.218.60.56/~jnz1568/getInfo.php?workbook=10_05.xlsx&amp;sheet=A0&amp;row=2644&amp;col=7&amp;number=0&amp;sourceID=14","0")</f>
        <v>0</v>
      </c>
    </row>
    <row r="2645" spans="1:7">
      <c r="A2645" s="3">
        <v>10</v>
      </c>
      <c r="B2645" s="3">
        <v>5</v>
      </c>
      <c r="C2645" s="3">
        <v>100</v>
      </c>
      <c r="D2645" s="3">
        <v>48</v>
      </c>
      <c r="E2645" s="3">
        <v>-582.745</v>
      </c>
      <c r="F2645" s="4" t="str">
        <f>HYPERLINK("http://141.218.60.56/~jnz1568/getInfo.php?workbook=10_05.xlsx&amp;sheet=A0&amp;row=2645&amp;col=6&amp;number=647000&amp;sourceID=14","647000")</f>
        <v>647000</v>
      </c>
      <c r="G2645" s="4" t="str">
        <f>HYPERLINK("http://141.218.60.56/~jnz1568/getInfo.php?workbook=10_05.xlsx&amp;sheet=A0&amp;row=2645&amp;col=7&amp;number=0&amp;sourceID=14","0")</f>
        <v>0</v>
      </c>
    </row>
    <row r="2646" spans="1:7">
      <c r="A2646" s="3">
        <v>10</v>
      </c>
      <c r="B2646" s="3">
        <v>5</v>
      </c>
      <c r="C2646" s="3">
        <v>102</v>
      </c>
      <c r="D2646" s="3">
        <v>48</v>
      </c>
      <c r="E2646" s="3">
        <v>-581.471</v>
      </c>
      <c r="F2646" s="4" t="str">
        <f>HYPERLINK("http://141.218.60.56/~jnz1568/getInfo.php?workbook=10_05.xlsx&amp;sheet=A0&amp;row=2646&amp;col=6&amp;number=110000&amp;sourceID=14","110000")</f>
        <v>110000</v>
      </c>
      <c r="G2646" s="4" t="str">
        <f>HYPERLINK("http://141.218.60.56/~jnz1568/getInfo.php?workbook=10_05.xlsx&amp;sheet=A0&amp;row=2646&amp;col=7&amp;number=0&amp;sourceID=14","0")</f>
        <v>0</v>
      </c>
    </row>
    <row r="2647" spans="1:7">
      <c r="A2647" s="3">
        <v>10</v>
      </c>
      <c r="B2647" s="3">
        <v>5</v>
      </c>
      <c r="C2647" s="3">
        <v>106</v>
      </c>
      <c r="D2647" s="3">
        <v>48</v>
      </c>
      <c r="E2647" s="3">
        <v>-563.562</v>
      </c>
      <c r="F2647" s="4" t="str">
        <f>HYPERLINK("http://141.218.60.56/~jnz1568/getInfo.php?workbook=10_05.xlsx&amp;sheet=A0&amp;row=2647&amp;col=6&amp;number=330000000&amp;sourceID=14","330000000")</f>
        <v>330000000</v>
      </c>
      <c r="G2647" s="4" t="str">
        <f>HYPERLINK("http://141.218.60.56/~jnz1568/getInfo.php?workbook=10_05.xlsx&amp;sheet=A0&amp;row=2647&amp;col=7&amp;number=0&amp;sourceID=14","0")</f>
        <v>0</v>
      </c>
    </row>
    <row r="2648" spans="1:7">
      <c r="A2648" s="3">
        <v>10</v>
      </c>
      <c r="B2648" s="3">
        <v>5</v>
      </c>
      <c r="C2648" s="3">
        <v>107</v>
      </c>
      <c r="D2648" s="3">
        <v>48</v>
      </c>
      <c r="E2648" s="3">
        <v>-562.681</v>
      </c>
      <c r="F2648" s="4" t="str">
        <f>HYPERLINK("http://141.218.60.56/~jnz1568/getInfo.php?workbook=10_05.xlsx&amp;sheet=A0&amp;row=2648&amp;col=6&amp;number=12300000&amp;sourceID=14","12300000")</f>
        <v>12300000</v>
      </c>
      <c r="G2648" s="4" t="str">
        <f>HYPERLINK("http://141.218.60.56/~jnz1568/getInfo.php?workbook=10_05.xlsx&amp;sheet=A0&amp;row=2648&amp;col=7&amp;number=0&amp;sourceID=14","0")</f>
        <v>0</v>
      </c>
    </row>
    <row r="2649" spans="1:7">
      <c r="A2649" s="3">
        <v>10</v>
      </c>
      <c r="B2649" s="3">
        <v>5</v>
      </c>
      <c r="C2649" s="3">
        <v>108</v>
      </c>
      <c r="D2649" s="3">
        <v>48</v>
      </c>
      <c r="E2649" s="3">
        <v>-561.767</v>
      </c>
      <c r="F2649" s="4" t="str">
        <f>HYPERLINK("http://141.218.60.56/~jnz1568/getInfo.php?workbook=10_05.xlsx&amp;sheet=A0&amp;row=2649&amp;col=6&amp;number=21500000&amp;sourceID=14","21500000")</f>
        <v>21500000</v>
      </c>
      <c r="G2649" s="4" t="str">
        <f>HYPERLINK("http://141.218.60.56/~jnz1568/getInfo.php?workbook=10_05.xlsx&amp;sheet=A0&amp;row=2649&amp;col=7&amp;number=0&amp;sourceID=14","0")</f>
        <v>0</v>
      </c>
    </row>
    <row r="2650" spans="1:7">
      <c r="A2650" s="3">
        <v>10</v>
      </c>
      <c r="B2650" s="3">
        <v>5</v>
      </c>
      <c r="C2650" s="3">
        <v>109</v>
      </c>
      <c r="D2650" s="3">
        <v>48</v>
      </c>
      <c r="E2650" s="3">
        <v>-560.461</v>
      </c>
      <c r="F2650" s="4" t="str">
        <f>HYPERLINK("http://141.218.60.56/~jnz1568/getInfo.php?workbook=10_05.xlsx&amp;sheet=A0&amp;row=2650&amp;col=6&amp;number=3440000000&amp;sourceID=14","3440000000")</f>
        <v>3440000000</v>
      </c>
      <c r="G2650" s="4" t="str">
        <f>HYPERLINK("http://141.218.60.56/~jnz1568/getInfo.php?workbook=10_05.xlsx&amp;sheet=A0&amp;row=2650&amp;col=7&amp;number=0&amp;sourceID=14","0")</f>
        <v>0</v>
      </c>
    </row>
    <row r="2651" spans="1:7">
      <c r="A2651" s="3">
        <v>10</v>
      </c>
      <c r="B2651" s="3">
        <v>5</v>
      </c>
      <c r="C2651" s="3">
        <v>115</v>
      </c>
      <c r="D2651" s="3">
        <v>48</v>
      </c>
      <c r="E2651" s="3">
        <v>-537.91</v>
      </c>
      <c r="F2651" s="4" t="str">
        <f>HYPERLINK("http://141.218.60.56/~jnz1568/getInfo.php?workbook=10_05.xlsx&amp;sheet=A0&amp;row=2651&amp;col=6&amp;number=29300000&amp;sourceID=14","29300000")</f>
        <v>29300000</v>
      </c>
      <c r="G2651" s="4" t="str">
        <f>HYPERLINK("http://141.218.60.56/~jnz1568/getInfo.php?workbook=10_05.xlsx&amp;sheet=A0&amp;row=2651&amp;col=7&amp;number=0&amp;sourceID=14","0")</f>
        <v>0</v>
      </c>
    </row>
    <row r="2652" spans="1:7">
      <c r="A2652" s="3">
        <v>10</v>
      </c>
      <c r="B2652" s="3">
        <v>5</v>
      </c>
      <c r="C2652" s="3">
        <v>116</v>
      </c>
      <c r="D2652" s="3">
        <v>48</v>
      </c>
      <c r="E2652" s="3">
        <v>-535.347</v>
      </c>
      <c r="F2652" s="4" t="str">
        <f>HYPERLINK("http://141.218.60.56/~jnz1568/getInfo.php?workbook=10_05.xlsx&amp;sheet=A0&amp;row=2652&amp;col=6&amp;number=602000000&amp;sourceID=14","602000000")</f>
        <v>602000000</v>
      </c>
      <c r="G2652" s="4" t="str">
        <f>HYPERLINK("http://141.218.60.56/~jnz1568/getInfo.php?workbook=10_05.xlsx&amp;sheet=A0&amp;row=2652&amp;col=7&amp;number=0&amp;sourceID=14","0")</f>
        <v>0</v>
      </c>
    </row>
    <row r="2653" spans="1:7">
      <c r="A2653" s="3">
        <v>10</v>
      </c>
      <c r="B2653" s="3">
        <v>5</v>
      </c>
      <c r="C2653" s="3">
        <v>117</v>
      </c>
      <c r="D2653" s="3">
        <v>48</v>
      </c>
      <c r="E2653" s="3">
        <v>-534.706</v>
      </c>
      <c r="F2653" s="4" t="str">
        <f>HYPERLINK("http://141.218.60.56/~jnz1568/getInfo.php?workbook=10_05.xlsx&amp;sheet=A0&amp;row=2653&amp;col=6&amp;number=2570000&amp;sourceID=14","2570000")</f>
        <v>2570000</v>
      </c>
      <c r="G2653" s="4" t="str">
        <f>HYPERLINK("http://141.218.60.56/~jnz1568/getInfo.php?workbook=10_05.xlsx&amp;sheet=A0&amp;row=2653&amp;col=7&amp;number=0&amp;sourceID=14","0")</f>
        <v>0</v>
      </c>
    </row>
    <row r="2654" spans="1:7">
      <c r="A2654" s="3">
        <v>10</v>
      </c>
      <c r="B2654" s="3">
        <v>5</v>
      </c>
      <c r="C2654" s="3">
        <v>118</v>
      </c>
      <c r="D2654" s="3">
        <v>48</v>
      </c>
      <c r="E2654" s="3">
        <v>-534.475</v>
      </c>
      <c r="F2654" s="4" t="str">
        <f>HYPERLINK("http://141.218.60.56/~jnz1568/getInfo.php?workbook=10_05.xlsx&amp;sheet=A0&amp;row=2654&amp;col=6&amp;number=24300000&amp;sourceID=14","24300000")</f>
        <v>24300000</v>
      </c>
      <c r="G2654" s="4" t="str">
        <f>HYPERLINK("http://141.218.60.56/~jnz1568/getInfo.php?workbook=10_05.xlsx&amp;sheet=A0&amp;row=2654&amp;col=7&amp;number=0&amp;sourceID=14","0")</f>
        <v>0</v>
      </c>
    </row>
    <row r="2655" spans="1:7">
      <c r="A2655" s="3">
        <v>10</v>
      </c>
      <c r="B2655" s="3">
        <v>5</v>
      </c>
      <c r="C2655" s="3">
        <v>121</v>
      </c>
      <c r="D2655" s="3">
        <v>48</v>
      </c>
      <c r="E2655" s="3">
        <v>-524.839</v>
      </c>
      <c r="F2655" s="4" t="str">
        <f>HYPERLINK("http://141.218.60.56/~jnz1568/getInfo.php?workbook=10_05.xlsx&amp;sheet=A0&amp;row=2655&amp;col=6&amp;number=178000&amp;sourceID=14","178000")</f>
        <v>178000</v>
      </c>
      <c r="G2655" s="4" t="str">
        <f>HYPERLINK("http://141.218.60.56/~jnz1568/getInfo.php?workbook=10_05.xlsx&amp;sheet=A0&amp;row=2655&amp;col=7&amp;number=0&amp;sourceID=14","0")</f>
        <v>0</v>
      </c>
    </row>
    <row r="2656" spans="1:7">
      <c r="A2656" s="3">
        <v>10</v>
      </c>
      <c r="B2656" s="3">
        <v>5</v>
      </c>
      <c r="C2656" s="3">
        <v>122</v>
      </c>
      <c r="D2656" s="3">
        <v>48</v>
      </c>
      <c r="E2656" s="3">
        <v>-523.822</v>
      </c>
      <c r="F2656" s="4" t="str">
        <f>HYPERLINK("http://141.218.60.56/~jnz1568/getInfo.php?workbook=10_05.xlsx&amp;sheet=A0&amp;row=2656&amp;col=6&amp;number=7900000&amp;sourceID=14","7900000")</f>
        <v>7900000</v>
      </c>
      <c r="G2656" s="4" t="str">
        <f>HYPERLINK("http://141.218.60.56/~jnz1568/getInfo.php?workbook=10_05.xlsx&amp;sheet=A0&amp;row=2656&amp;col=7&amp;number=0&amp;sourceID=14","0")</f>
        <v>0</v>
      </c>
    </row>
    <row r="2657" spans="1:7">
      <c r="A2657" s="3">
        <v>10</v>
      </c>
      <c r="B2657" s="3">
        <v>5</v>
      </c>
      <c r="C2657" s="3">
        <v>123</v>
      </c>
      <c r="D2657" s="3">
        <v>48</v>
      </c>
      <c r="E2657" s="3">
        <v>-523.016</v>
      </c>
      <c r="F2657" s="4" t="str">
        <f>HYPERLINK("http://141.218.60.56/~jnz1568/getInfo.php?workbook=10_05.xlsx&amp;sheet=A0&amp;row=2657&amp;col=6&amp;number=61900000&amp;sourceID=14","61900000")</f>
        <v>61900000</v>
      </c>
      <c r="G2657" s="4" t="str">
        <f>HYPERLINK("http://141.218.60.56/~jnz1568/getInfo.php?workbook=10_05.xlsx&amp;sheet=A0&amp;row=2657&amp;col=7&amp;number=0&amp;sourceID=14","0")</f>
        <v>0</v>
      </c>
    </row>
    <row r="2658" spans="1:7">
      <c r="A2658" s="3">
        <v>10</v>
      </c>
      <c r="B2658" s="3">
        <v>5</v>
      </c>
      <c r="C2658" s="3">
        <v>124</v>
      </c>
      <c r="D2658" s="3">
        <v>48</v>
      </c>
      <c r="E2658" s="3">
        <v>-522.347</v>
      </c>
      <c r="F2658" s="4" t="str">
        <f>HYPERLINK("http://141.218.60.56/~jnz1568/getInfo.php?workbook=10_05.xlsx&amp;sheet=A0&amp;row=2658&amp;col=6&amp;number=12400000&amp;sourceID=14","12400000")</f>
        <v>12400000</v>
      </c>
      <c r="G2658" s="4" t="str">
        <f>HYPERLINK("http://141.218.60.56/~jnz1568/getInfo.php?workbook=10_05.xlsx&amp;sheet=A0&amp;row=2658&amp;col=7&amp;number=0&amp;sourceID=14","0")</f>
        <v>0</v>
      </c>
    </row>
    <row r="2659" spans="1:7">
      <c r="A2659" s="3">
        <v>10</v>
      </c>
      <c r="B2659" s="3">
        <v>5</v>
      </c>
      <c r="C2659" s="3">
        <v>126</v>
      </c>
      <c r="D2659" s="3">
        <v>48</v>
      </c>
      <c r="E2659" s="3">
        <v>-519.19</v>
      </c>
      <c r="F2659" s="4" t="str">
        <f>HYPERLINK("http://141.218.60.56/~jnz1568/getInfo.php?workbook=10_05.xlsx&amp;sheet=A0&amp;row=2659&amp;col=6&amp;number=100000000&amp;sourceID=14","100000000")</f>
        <v>100000000</v>
      </c>
      <c r="G2659" s="4" t="str">
        <f>HYPERLINK("http://141.218.60.56/~jnz1568/getInfo.php?workbook=10_05.xlsx&amp;sheet=A0&amp;row=2659&amp;col=7&amp;number=0&amp;sourceID=14","0")</f>
        <v>0</v>
      </c>
    </row>
    <row r="2660" spans="1:7">
      <c r="A2660" s="3">
        <v>10</v>
      </c>
      <c r="B2660" s="3">
        <v>5</v>
      </c>
      <c r="C2660" s="3">
        <v>129</v>
      </c>
      <c r="D2660" s="3">
        <v>48</v>
      </c>
      <c r="E2660" s="3">
        <v>511.719</v>
      </c>
      <c r="F2660" s="4" t="str">
        <f>HYPERLINK("http://141.218.60.56/~jnz1568/getInfo.php?workbook=10_05.xlsx&amp;sheet=A0&amp;row=2660&amp;col=6&amp;number=25200000&amp;sourceID=14","25200000")</f>
        <v>25200000</v>
      </c>
      <c r="G2660" s="4" t="str">
        <f>HYPERLINK("http://141.218.60.56/~jnz1568/getInfo.php?workbook=10_05.xlsx&amp;sheet=A0&amp;row=2660&amp;col=7&amp;number=0&amp;sourceID=14","0")</f>
        <v>0</v>
      </c>
    </row>
    <row r="2661" spans="1:7">
      <c r="A2661" s="3">
        <v>10</v>
      </c>
      <c r="B2661" s="3">
        <v>5</v>
      </c>
      <c r="C2661" s="3">
        <v>130</v>
      </c>
      <c r="D2661" s="3">
        <v>48</v>
      </c>
      <c r="E2661" s="3">
        <v>511.719</v>
      </c>
      <c r="F2661" s="4" t="str">
        <f>HYPERLINK("http://141.218.60.56/~jnz1568/getInfo.php?workbook=10_05.xlsx&amp;sheet=A0&amp;row=2661&amp;col=6&amp;number=316000000&amp;sourceID=14","316000000")</f>
        <v>316000000</v>
      </c>
      <c r="G2661" s="4" t="str">
        <f>HYPERLINK("http://141.218.60.56/~jnz1568/getInfo.php?workbook=10_05.xlsx&amp;sheet=A0&amp;row=2661&amp;col=7&amp;number=0&amp;sourceID=14","0")</f>
        <v>0</v>
      </c>
    </row>
    <row r="2662" spans="1:7">
      <c r="A2662" s="3">
        <v>10</v>
      </c>
      <c r="B2662" s="3">
        <v>5</v>
      </c>
      <c r="C2662" s="3">
        <v>132</v>
      </c>
      <c r="D2662" s="3">
        <v>48</v>
      </c>
      <c r="E2662" s="3">
        <v>-509.914</v>
      </c>
      <c r="F2662" s="4" t="str">
        <f>HYPERLINK("http://141.218.60.56/~jnz1568/getInfo.php?workbook=10_05.xlsx&amp;sheet=A0&amp;row=2662&amp;col=6&amp;number=8420000&amp;sourceID=14","8420000")</f>
        <v>8420000</v>
      </c>
      <c r="G2662" s="4" t="str">
        <f>HYPERLINK("http://141.218.60.56/~jnz1568/getInfo.php?workbook=10_05.xlsx&amp;sheet=A0&amp;row=2662&amp;col=7&amp;number=0&amp;sourceID=14","0")</f>
        <v>0</v>
      </c>
    </row>
    <row r="2663" spans="1:7">
      <c r="A2663" s="3">
        <v>10</v>
      </c>
      <c r="B2663" s="3">
        <v>5</v>
      </c>
      <c r="C2663" s="3">
        <v>133</v>
      </c>
      <c r="D2663" s="3">
        <v>48</v>
      </c>
      <c r="E2663" s="3">
        <v>-509.373</v>
      </c>
      <c r="F2663" s="4" t="str">
        <f>HYPERLINK("http://141.218.60.56/~jnz1568/getInfo.php?workbook=10_05.xlsx&amp;sheet=A0&amp;row=2663&amp;col=6&amp;number=17900000&amp;sourceID=14","17900000")</f>
        <v>17900000</v>
      </c>
      <c r="G2663" s="4" t="str">
        <f>HYPERLINK("http://141.218.60.56/~jnz1568/getInfo.php?workbook=10_05.xlsx&amp;sheet=A0&amp;row=2663&amp;col=7&amp;number=0&amp;sourceID=14","0")</f>
        <v>0</v>
      </c>
    </row>
    <row r="2664" spans="1:7">
      <c r="A2664" s="3">
        <v>10</v>
      </c>
      <c r="B2664" s="3">
        <v>5</v>
      </c>
      <c r="C2664" s="3">
        <v>138</v>
      </c>
      <c r="D2664" s="3">
        <v>48</v>
      </c>
      <c r="E2664" s="3">
        <v>-501.304</v>
      </c>
      <c r="F2664" s="4" t="str">
        <f>HYPERLINK("http://141.218.60.56/~jnz1568/getInfo.php?workbook=10_05.xlsx&amp;sheet=A0&amp;row=2664&amp;col=6&amp;number=40300&amp;sourceID=14","40300")</f>
        <v>40300</v>
      </c>
      <c r="G2664" s="4" t="str">
        <f>HYPERLINK("http://141.218.60.56/~jnz1568/getInfo.php?workbook=10_05.xlsx&amp;sheet=A0&amp;row=2664&amp;col=7&amp;number=0&amp;sourceID=14","0")</f>
        <v>0</v>
      </c>
    </row>
    <row r="2665" spans="1:7">
      <c r="A2665" s="3">
        <v>10</v>
      </c>
      <c r="B2665" s="3">
        <v>5</v>
      </c>
      <c r="C2665" s="3">
        <v>150</v>
      </c>
      <c r="D2665" s="3">
        <v>48</v>
      </c>
      <c r="E2665" s="3">
        <v>-480.551</v>
      </c>
      <c r="F2665" s="4" t="str">
        <f>HYPERLINK("http://141.218.60.56/~jnz1568/getInfo.php?workbook=10_05.xlsx&amp;sheet=A0&amp;row=2665&amp;col=6&amp;number=3590000&amp;sourceID=14","3590000")</f>
        <v>3590000</v>
      </c>
      <c r="G2665" s="4" t="str">
        <f>HYPERLINK("http://141.218.60.56/~jnz1568/getInfo.php?workbook=10_05.xlsx&amp;sheet=A0&amp;row=2665&amp;col=7&amp;number=0&amp;sourceID=14","0")</f>
        <v>0</v>
      </c>
    </row>
    <row r="2666" spans="1:7">
      <c r="A2666" s="3">
        <v>10</v>
      </c>
      <c r="B2666" s="3">
        <v>5</v>
      </c>
      <c r="C2666" s="3">
        <v>151</v>
      </c>
      <c r="D2666" s="3">
        <v>48</v>
      </c>
      <c r="E2666" s="3">
        <v>-480.5</v>
      </c>
      <c r="F2666" s="4" t="str">
        <f>HYPERLINK("http://141.218.60.56/~jnz1568/getInfo.php?workbook=10_05.xlsx&amp;sheet=A0&amp;row=2666&amp;col=6&amp;number=64000000&amp;sourceID=14","64000000")</f>
        <v>64000000</v>
      </c>
      <c r="G2666" s="4" t="str">
        <f>HYPERLINK("http://141.218.60.56/~jnz1568/getInfo.php?workbook=10_05.xlsx&amp;sheet=A0&amp;row=2666&amp;col=7&amp;number=0&amp;sourceID=14","0")</f>
        <v>0</v>
      </c>
    </row>
    <row r="2667" spans="1:7">
      <c r="A2667" s="3">
        <v>10</v>
      </c>
      <c r="B2667" s="3">
        <v>5</v>
      </c>
      <c r="C2667" s="3">
        <v>154</v>
      </c>
      <c r="D2667" s="3">
        <v>48</v>
      </c>
      <c r="E2667" s="3">
        <v>473.06</v>
      </c>
      <c r="F2667" s="4" t="str">
        <f>HYPERLINK("http://141.218.60.56/~jnz1568/getInfo.php?workbook=10_05.xlsx&amp;sheet=A0&amp;row=2667&amp;col=6&amp;number=250000000&amp;sourceID=14","250000000")</f>
        <v>250000000</v>
      </c>
      <c r="G2667" s="4" t="str">
        <f>HYPERLINK("http://141.218.60.56/~jnz1568/getInfo.php?workbook=10_05.xlsx&amp;sheet=A0&amp;row=2667&amp;col=7&amp;number=0&amp;sourceID=14","0")</f>
        <v>0</v>
      </c>
    </row>
    <row r="2668" spans="1:7">
      <c r="A2668" s="3">
        <v>10</v>
      </c>
      <c r="B2668" s="3">
        <v>5</v>
      </c>
      <c r="C2668" s="3">
        <v>155</v>
      </c>
      <c r="D2668" s="3">
        <v>48</v>
      </c>
      <c r="E2668" s="3">
        <v>473.06</v>
      </c>
      <c r="F2668" s="4" t="str">
        <f>HYPERLINK("http://141.218.60.56/~jnz1568/getInfo.php?workbook=10_05.xlsx&amp;sheet=A0&amp;row=2668&amp;col=6&amp;number=4540000&amp;sourceID=14","4540000")</f>
        <v>4540000</v>
      </c>
      <c r="G2668" s="4" t="str">
        <f>HYPERLINK("http://141.218.60.56/~jnz1568/getInfo.php?workbook=10_05.xlsx&amp;sheet=A0&amp;row=2668&amp;col=7&amp;number=0&amp;sourceID=14","0")</f>
        <v>0</v>
      </c>
    </row>
    <row r="2669" spans="1:7">
      <c r="A2669" s="3">
        <v>10</v>
      </c>
      <c r="B2669" s="3">
        <v>5</v>
      </c>
      <c r="C2669" s="3">
        <v>156</v>
      </c>
      <c r="D2669" s="3">
        <v>48</v>
      </c>
      <c r="E2669" s="3">
        <v>-471.221</v>
      </c>
      <c r="F2669" s="4" t="str">
        <f>HYPERLINK("http://141.218.60.56/~jnz1568/getInfo.php?workbook=10_05.xlsx&amp;sheet=A0&amp;row=2669&amp;col=6&amp;number=38100000&amp;sourceID=14","38100000")</f>
        <v>38100000</v>
      </c>
      <c r="G2669" s="4" t="str">
        <f>HYPERLINK("http://141.218.60.56/~jnz1568/getInfo.php?workbook=10_05.xlsx&amp;sheet=A0&amp;row=2669&amp;col=7&amp;number=0&amp;sourceID=14","0")</f>
        <v>0</v>
      </c>
    </row>
    <row r="2670" spans="1:7">
      <c r="A2670" s="3">
        <v>10</v>
      </c>
      <c r="B2670" s="3">
        <v>5</v>
      </c>
      <c r="C2670" s="3">
        <v>157</v>
      </c>
      <c r="D2670" s="3">
        <v>48</v>
      </c>
      <c r="E2670" s="3">
        <v>-470.824</v>
      </c>
      <c r="F2670" s="4" t="str">
        <f>HYPERLINK("http://141.218.60.56/~jnz1568/getInfo.php?workbook=10_05.xlsx&amp;sheet=A0&amp;row=2670&amp;col=6&amp;number=333000000&amp;sourceID=14","333000000")</f>
        <v>333000000</v>
      </c>
      <c r="G2670" s="4" t="str">
        <f>HYPERLINK("http://141.218.60.56/~jnz1568/getInfo.php?workbook=10_05.xlsx&amp;sheet=A0&amp;row=2670&amp;col=7&amp;number=0&amp;sourceID=14","0")</f>
        <v>0</v>
      </c>
    </row>
    <row r="2671" spans="1:7">
      <c r="A2671" s="3">
        <v>10</v>
      </c>
      <c r="B2671" s="3">
        <v>5</v>
      </c>
      <c r="C2671" s="3">
        <v>162</v>
      </c>
      <c r="D2671" s="3">
        <v>48</v>
      </c>
      <c r="E2671" s="3">
        <v>466.68</v>
      </c>
      <c r="F2671" s="4" t="str">
        <f>HYPERLINK("http://141.218.60.56/~jnz1568/getInfo.php?workbook=10_05.xlsx&amp;sheet=A0&amp;row=2671&amp;col=6&amp;number=200000000&amp;sourceID=14","200000000")</f>
        <v>200000000</v>
      </c>
      <c r="G2671" s="4" t="str">
        <f>HYPERLINK("http://141.218.60.56/~jnz1568/getInfo.php?workbook=10_05.xlsx&amp;sheet=A0&amp;row=2671&amp;col=7&amp;number=0&amp;sourceID=14","0")</f>
        <v>0</v>
      </c>
    </row>
    <row r="2672" spans="1:7">
      <c r="A2672" s="3">
        <v>10</v>
      </c>
      <c r="B2672" s="3">
        <v>5</v>
      </c>
      <c r="C2672" s="3">
        <v>168</v>
      </c>
      <c r="D2672" s="3">
        <v>48</v>
      </c>
      <c r="E2672" s="3">
        <v>-339.565</v>
      </c>
      <c r="F2672" s="4" t="str">
        <f>HYPERLINK("http://141.218.60.56/~jnz1568/getInfo.php?workbook=10_05.xlsx&amp;sheet=A0&amp;row=2672&amp;col=6&amp;number=37000000&amp;sourceID=14","37000000")</f>
        <v>37000000</v>
      </c>
      <c r="G2672" s="4" t="str">
        <f>HYPERLINK("http://141.218.60.56/~jnz1568/getInfo.php?workbook=10_05.xlsx&amp;sheet=A0&amp;row=2672&amp;col=7&amp;number=0&amp;sourceID=14","0")</f>
        <v>0</v>
      </c>
    </row>
    <row r="2673" spans="1:7">
      <c r="A2673" s="3">
        <v>10</v>
      </c>
      <c r="B2673" s="3">
        <v>5</v>
      </c>
      <c r="C2673" s="3">
        <v>169</v>
      </c>
      <c r="D2673" s="3">
        <v>48</v>
      </c>
      <c r="E2673" s="3">
        <v>-339.51</v>
      </c>
      <c r="F2673" s="4" t="str">
        <f>HYPERLINK("http://141.218.60.56/~jnz1568/getInfo.php?workbook=10_05.xlsx&amp;sheet=A0&amp;row=2673&amp;col=6&amp;number=3580000&amp;sourceID=14","3580000")</f>
        <v>3580000</v>
      </c>
      <c r="G2673" s="4" t="str">
        <f>HYPERLINK("http://141.218.60.56/~jnz1568/getInfo.php?workbook=10_05.xlsx&amp;sheet=A0&amp;row=2673&amp;col=7&amp;number=0&amp;sourceID=14","0")</f>
        <v>0</v>
      </c>
    </row>
    <row r="2674" spans="1:7">
      <c r="A2674" s="3">
        <v>10</v>
      </c>
      <c r="B2674" s="3">
        <v>5</v>
      </c>
      <c r="C2674" s="3">
        <v>171</v>
      </c>
      <c r="D2674" s="3">
        <v>48</v>
      </c>
      <c r="E2674" s="3">
        <v>-328.938</v>
      </c>
      <c r="F2674" s="4" t="str">
        <f>HYPERLINK("http://141.218.60.56/~jnz1568/getInfo.php?workbook=10_05.xlsx&amp;sheet=A0&amp;row=2674&amp;col=6&amp;number=1040000&amp;sourceID=14","1040000")</f>
        <v>1040000</v>
      </c>
      <c r="G2674" s="4" t="str">
        <f>HYPERLINK("http://141.218.60.56/~jnz1568/getInfo.php?workbook=10_05.xlsx&amp;sheet=A0&amp;row=2674&amp;col=7&amp;number=0&amp;sourceID=14","0")</f>
        <v>0</v>
      </c>
    </row>
    <row r="2675" spans="1:7">
      <c r="A2675" s="3">
        <v>10</v>
      </c>
      <c r="B2675" s="3">
        <v>5</v>
      </c>
      <c r="C2675" s="3">
        <v>172</v>
      </c>
      <c r="D2675" s="3">
        <v>48</v>
      </c>
      <c r="E2675" s="3">
        <v>-326.842</v>
      </c>
      <c r="F2675" s="4" t="str">
        <f>HYPERLINK("http://141.218.60.56/~jnz1568/getInfo.php?workbook=10_05.xlsx&amp;sheet=A0&amp;row=2675&amp;col=6&amp;number=44100&amp;sourceID=14","44100")</f>
        <v>44100</v>
      </c>
      <c r="G2675" s="4" t="str">
        <f>HYPERLINK("http://141.218.60.56/~jnz1568/getInfo.php?workbook=10_05.xlsx&amp;sheet=A0&amp;row=2675&amp;col=7&amp;number=0&amp;sourceID=14","0")</f>
        <v>0</v>
      </c>
    </row>
    <row r="2676" spans="1:7">
      <c r="A2676" s="3">
        <v>10</v>
      </c>
      <c r="B2676" s="3">
        <v>5</v>
      </c>
      <c r="C2676" s="3">
        <v>173</v>
      </c>
      <c r="D2676" s="3">
        <v>48</v>
      </c>
      <c r="E2676" s="3">
        <v>-326.817</v>
      </c>
      <c r="F2676" s="4" t="str">
        <f>HYPERLINK("http://141.218.60.56/~jnz1568/getInfo.php?workbook=10_05.xlsx&amp;sheet=A0&amp;row=2676&amp;col=6&amp;number=702000&amp;sourceID=14","702000")</f>
        <v>702000</v>
      </c>
      <c r="G2676" s="4" t="str">
        <f>HYPERLINK("http://141.218.60.56/~jnz1568/getInfo.php?workbook=10_05.xlsx&amp;sheet=A0&amp;row=2676&amp;col=7&amp;number=0&amp;sourceID=14","0")</f>
        <v>0</v>
      </c>
    </row>
    <row r="2677" spans="1:7">
      <c r="A2677" s="3">
        <v>10</v>
      </c>
      <c r="B2677" s="3">
        <v>5</v>
      </c>
      <c r="C2677" s="3">
        <v>59</v>
      </c>
      <c r="D2677" s="3">
        <v>49</v>
      </c>
      <c r="E2677" s="3">
        <v>1838.239</v>
      </c>
      <c r="F2677" s="4" t="str">
        <f>HYPERLINK("http://141.218.60.56/~jnz1568/getInfo.php?workbook=10_05.xlsx&amp;sheet=A0&amp;row=2677&amp;col=6&amp;number=10600&amp;sourceID=14","10600")</f>
        <v>10600</v>
      </c>
      <c r="G2677" s="4" t="str">
        <f>HYPERLINK("http://141.218.60.56/~jnz1568/getInfo.php?workbook=10_05.xlsx&amp;sheet=A0&amp;row=2677&amp;col=7&amp;number=0&amp;sourceID=14","0")</f>
        <v>0</v>
      </c>
    </row>
    <row r="2678" spans="1:7">
      <c r="A2678" s="3">
        <v>10</v>
      </c>
      <c r="B2678" s="3">
        <v>5</v>
      </c>
      <c r="C2678" s="3">
        <v>60</v>
      </c>
      <c r="D2678" s="3">
        <v>49</v>
      </c>
      <c r="E2678" s="3">
        <v>1833.52</v>
      </c>
      <c r="F2678" s="4" t="str">
        <f>HYPERLINK("http://141.218.60.56/~jnz1568/getInfo.php?workbook=10_05.xlsx&amp;sheet=A0&amp;row=2678&amp;col=6&amp;number=159000&amp;sourceID=14","159000")</f>
        <v>159000</v>
      </c>
      <c r="G2678" s="4" t="str">
        <f>HYPERLINK("http://141.218.60.56/~jnz1568/getInfo.php?workbook=10_05.xlsx&amp;sheet=A0&amp;row=2678&amp;col=7&amp;number=0&amp;sourceID=14","0")</f>
        <v>0</v>
      </c>
    </row>
    <row r="2679" spans="1:7">
      <c r="A2679" s="3">
        <v>10</v>
      </c>
      <c r="B2679" s="3">
        <v>5</v>
      </c>
      <c r="C2679" s="3">
        <v>62</v>
      </c>
      <c r="D2679" s="3">
        <v>49</v>
      </c>
      <c r="E2679" s="3">
        <v>1774.626</v>
      </c>
      <c r="F2679" s="4" t="str">
        <f>HYPERLINK("http://141.218.60.56/~jnz1568/getInfo.php?workbook=10_05.xlsx&amp;sheet=A0&amp;row=2679&amp;col=6&amp;number=30100&amp;sourceID=14","30100")</f>
        <v>30100</v>
      </c>
      <c r="G2679" s="4" t="str">
        <f>HYPERLINK("http://141.218.60.56/~jnz1568/getInfo.php?workbook=10_05.xlsx&amp;sheet=A0&amp;row=2679&amp;col=7&amp;number=0&amp;sourceID=14","0")</f>
        <v>0</v>
      </c>
    </row>
    <row r="2680" spans="1:7">
      <c r="A2680" s="3">
        <v>10</v>
      </c>
      <c r="B2680" s="3">
        <v>5</v>
      </c>
      <c r="C2680" s="3">
        <v>66</v>
      </c>
      <c r="D2680" s="3">
        <v>49</v>
      </c>
      <c r="E2680" s="3">
        <v>1143.513</v>
      </c>
      <c r="F2680" s="4" t="str">
        <f>HYPERLINK("http://141.218.60.56/~jnz1568/getInfo.php?workbook=10_05.xlsx&amp;sheet=A0&amp;row=2680&amp;col=6&amp;number=369&amp;sourceID=14","369")</f>
        <v>369</v>
      </c>
      <c r="G2680" s="4" t="str">
        <f>HYPERLINK("http://141.218.60.56/~jnz1568/getInfo.php?workbook=10_05.xlsx&amp;sheet=A0&amp;row=2680&amp;col=7&amp;number=0&amp;sourceID=14","0")</f>
        <v>0</v>
      </c>
    </row>
    <row r="2681" spans="1:7">
      <c r="A2681" s="3">
        <v>10</v>
      </c>
      <c r="B2681" s="3">
        <v>5</v>
      </c>
      <c r="C2681" s="3">
        <v>67</v>
      </c>
      <c r="D2681" s="3">
        <v>49</v>
      </c>
      <c r="E2681" s="3">
        <v>1143.513</v>
      </c>
      <c r="F2681" s="4" t="str">
        <f>HYPERLINK("http://141.218.60.56/~jnz1568/getInfo.php?workbook=10_05.xlsx&amp;sheet=A0&amp;row=2681&amp;col=6&amp;number=2420&amp;sourceID=14","2420")</f>
        <v>2420</v>
      </c>
      <c r="G2681" s="4" t="str">
        <f>HYPERLINK("http://141.218.60.56/~jnz1568/getInfo.php?workbook=10_05.xlsx&amp;sheet=A0&amp;row=2681&amp;col=7&amp;number=0&amp;sourceID=14","0")</f>
        <v>0</v>
      </c>
    </row>
    <row r="2682" spans="1:7">
      <c r="A2682" s="3">
        <v>10</v>
      </c>
      <c r="B2682" s="3">
        <v>5</v>
      </c>
      <c r="C2682" s="3">
        <v>71</v>
      </c>
      <c r="D2682" s="3">
        <v>49</v>
      </c>
      <c r="E2682" s="3">
        <v>1091.348</v>
      </c>
      <c r="F2682" s="4" t="str">
        <f>HYPERLINK("http://141.218.60.56/~jnz1568/getInfo.php?workbook=10_05.xlsx&amp;sheet=A0&amp;row=2682&amp;col=6&amp;number=2040000&amp;sourceID=14","2040000")</f>
        <v>2040000</v>
      </c>
      <c r="G2682" s="4" t="str">
        <f>HYPERLINK("http://141.218.60.56/~jnz1568/getInfo.php?workbook=10_05.xlsx&amp;sheet=A0&amp;row=2682&amp;col=7&amp;number=0&amp;sourceID=14","0")</f>
        <v>0</v>
      </c>
    </row>
    <row r="2683" spans="1:7">
      <c r="A2683" s="3">
        <v>10</v>
      </c>
      <c r="B2683" s="3">
        <v>5</v>
      </c>
      <c r="C2683" s="3">
        <v>72</v>
      </c>
      <c r="D2683" s="3">
        <v>49</v>
      </c>
      <c r="E2683" s="3">
        <v>1091.348</v>
      </c>
      <c r="F2683" s="4" t="str">
        <f>HYPERLINK("http://141.218.60.56/~jnz1568/getInfo.php?workbook=10_05.xlsx&amp;sheet=A0&amp;row=2683&amp;col=6&amp;number=6010000&amp;sourceID=14","6010000")</f>
        <v>6010000</v>
      </c>
      <c r="G2683" s="4" t="str">
        <f>HYPERLINK("http://141.218.60.56/~jnz1568/getInfo.php?workbook=10_05.xlsx&amp;sheet=A0&amp;row=2683&amp;col=7&amp;number=0&amp;sourceID=14","0")</f>
        <v>0</v>
      </c>
    </row>
    <row r="2684" spans="1:7">
      <c r="A2684" s="3">
        <v>10</v>
      </c>
      <c r="B2684" s="3">
        <v>5</v>
      </c>
      <c r="C2684" s="3">
        <v>78</v>
      </c>
      <c r="D2684" s="3">
        <v>49</v>
      </c>
      <c r="E2684" s="3">
        <v>-856.261</v>
      </c>
      <c r="F2684" s="4" t="str">
        <f>HYPERLINK("http://141.218.60.56/~jnz1568/getInfo.php?workbook=10_05.xlsx&amp;sheet=A0&amp;row=2684&amp;col=6&amp;number=1880000&amp;sourceID=14","1880000")</f>
        <v>1880000</v>
      </c>
      <c r="G2684" s="4" t="str">
        <f>HYPERLINK("http://141.218.60.56/~jnz1568/getInfo.php?workbook=10_05.xlsx&amp;sheet=A0&amp;row=2684&amp;col=7&amp;number=0&amp;sourceID=14","0")</f>
        <v>0</v>
      </c>
    </row>
    <row r="2685" spans="1:7">
      <c r="A2685" s="3">
        <v>10</v>
      </c>
      <c r="B2685" s="3">
        <v>5</v>
      </c>
      <c r="C2685" s="3">
        <v>80</v>
      </c>
      <c r="D2685" s="3">
        <v>49</v>
      </c>
      <c r="E2685" s="3">
        <v>802.377</v>
      </c>
      <c r="F2685" s="4" t="str">
        <f>HYPERLINK("http://141.218.60.56/~jnz1568/getInfo.php?workbook=10_05.xlsx&amp;sheet=A0&amp;row=2685&amp;col=6&amp;number=94600&amp;sourceID=14","94600")</f>
        <v>94600</v>
      </c>
      <c r="G2685" s="4" t="str">
        <f>HYPERLINK("http://141.218.60.56/~jnz1568/getInfo.php?workbook=10_05.xlsx&amp;sheet=A0&amp;row=2685&amp;col=7&amp;number=0&amp;sourceID=14","0")</f>
        <v>0</v>
      </c>
    </row>
    <row r="2686" spans="1:7">
      <c r="A2686" s="3">
        <v>10</v>
      </c>
      <c r="B2686" s="3">
        <v>5</v>
      </c>
      <c r="C2686" s="3">
        <v>81</v>
      </c>
      <c r="D2686" s="3">
        <v>49</v>
      </c>
      <c r="E2686" s="3">
        <v>802.377</v>
      </c>
      <c r="F2686" s="4" t="str">
        <f>HYPERLINK("http://141.218.60.56/~jnz1568/getInfo.php?workbook=10_05.xlsx&amp;sheet=A0&amp;row=2686&amp;col=6&amp;number=875000&amp;sourceID=14","875000")</f>
        <v>875000</v>
      </c>
      <c r="G2686" s="4" t="str">
        <f>HYPERLINK("http://141.218.60.56/~jnz1568/getInfo.php?workbook=10_05.xlsx&amp;sheet=A0&amp;row=2686&amp;col=7&amp;number=0&amp;sourceID=14","0")</f>
        <v>0</v>
      </c>
    </row>
    <row r="2687" spans="1:7">
      <c r="A2687" s="3">
        <v>10</v>
      </c>
      <c r="B2687" s="3">
        <v>5</v>
      </c>
      <c r="C2687" s="3">
        <v>99</v>
      </c>
      <c r="D2687" s="3">
        <v>49</v>
      </c>
      <c r="E2687" s="3">
        <v>-595.384</v>
      </c>
      <c r="F2687" s="4" t="str">
        <f>HYPERLINK("http://141.218.60.56/~jnz1568/getInfo.php?workbook=10_05.xlsx&amp;sheet=A0&amp;row=2687&amp;col=6&amp;number=1760&amp;sourceID=14","1760")</f>
        <v>1760</v>
      </c>
      <c r="G2687" s="4" t="str">
        <f>HYPERLINK("http://141.218.60.56/~jnz1568/getInfo.php?workbook=10_05.xlsx&amp;sheet=A0&amp;row=2687&amp;col=7&amp;number=0&amp;sourceID=14","0")</f>
        <v>0</v>
      </c>
    </row>
    <row r="2688" spans="1:7">
      <c r="A2688" s="3">
        <v>10</v>
      </c>
      <c r="B2688" s="3">
        <v>5</v>
      </c>
      <c r="C2688" s="3">
        <v>100</v>
      </c>
      <c r="D2688" s="3">
        <v>49</v>
      </c>
      <c r="E2688" s="3">
        <v>-594.454</v>
      </c>
      <c r="F2688" s="4" t="str">
        <f>HYPERLINK("http://141.218.60.56/~jnz1568/getInfo.php?workbook=10_05.xlsx&amp;sheet=A0&amp;row=2688&amp;col=6&amp;number=17000&amp;sourceID=14","17000")</f>
        <v>17000</v>
      </c>
      <c r="G2688" s="4" t="str">
        <f>HYPERLINK("http://141.218.60.56/~jnz1568/getInfo.php?workbook=10_05.xlsx&amp;sheet=A0&amp;row=2688&amp;col=7&amp;number=0&amp;sourceID=14","0")</f>
        <v>0</v>
      </c>
    </row>
    <row r="2689" spans="1:7">
      <c r="A2689" s="3">
        <v>10</v>
      </c>
      <c r="B2689" s="3">
        <v>5</v>
      </c>
      <c r="C2689" s="3">
        <v>102</v>
      </c>
      <c r="D2689" s="3">
        <v>49</v>
      </c>
      <c r="E2689" s="3">
        <v>-593.128</v>
      </c>
      <c r="F2689" s="4" t="str">
        <f>HYPERLINK("http://141.218.60.56/~jnz1568/getInfo.php?workbook=10_05.xlsx&amp;sheet=A0&amp;row=2689&amp;col=6&amp;number=177000&amp;sourceID=14","177000")</f>
        <v>177000</v>
      </c>
      <c r="G2689" s="4" t="str">
        <f>HYPERLINK("http://141.218.60.56/~jnz1568/getInfo.php?workbook=10_05.xlsx&amp;sheet=A0&amp;row=2689&amp;col=7&amp;number=0&amp;sourceID=14","0")</f>
        <v>0</v>
      </c>
    </row>
    <row r="2690" spans="1:7">
      <c r="A2690" s="3">
        <v>10</v>
      </c>
      <c r="B2690" s="3">
        <v>5</v>
      </c>
      <c r="C2690" s="3">
        <v>106</v>
      </c>
      <c r="D2690" s="3">
        <v>49</v>
      </c>
      <c r="E2690" s="3">
        <v>-574.506</v>
      </c>
      <c r="F2690" s="4" t="str">
        <f>HYPERLINK("http://141.218.60.56/~jnz1568/getInfo.php?workbook=10_05.xlsx&amp;sheet=A0&amp;row=2690&amp;col=6&amp;number=9760000&amp;sourceID=14","9760000")</f>
        <v>9760000</v>
      </c>
      <c r="G2690" s="4" t="str">
        <f>HYPERLINK("http://141.218.60.56/~jnz1568/getInfo.php?workbook=10_05.xlsx&amp;sheet=A0&amp;row=2690&amp;col=7&amp;number=0&amp;sourceID=14","0")</f>
        <v>0</v>
      </c>
    </row>
    <row r="2691" spans="1:7">
      <c r="A2691" s="3">
        <v>10</v>
      </c>
      <c r="B2691" s="3">
        <v>5</v>
      </c>
      <c r="C2691" s="3">
        <v>107</v>
      </c>
      <c r="D2691" s="3">
        <v>49</v>
      </c>
      <c r="E2691" s="3">
        <v>-573.59</v>
      </c>
      <c r="F2691" s="4" t="str">
        <f>HYPERLINK("http://141.218.60.56/~jnz1568/getInfo.php?workbook=10_05.xlsx&amp;sheet=A0&amp;row=2691&amp;col=6&amp;number=188000000&amp;sourceID=14","188000000")</f>
        <v>188000000</v>
      </c>
      <c r="G2691" s="4" t="str">
        <f>HYPERLINK("http://141.218.60.56/~jnz1568/getInfo.php?workbook=10_05.xlsx&amp;sheet=A0&amp;row=2691&amp;col=7&amp;number=0&amp;sourceID=14","0")</f>
        <v>0</v>
      </c>
    </row>
    <row r="2692" spans="1:7">
      <c r="A2692" s="3">
        <v>10</v>
      </c>
      <c r="B2692" s="3">
        <v>5</v>
      </c>
      <c r="C2692" s="3">
        <v>108</v>
      </c>
      <c r="D2692" s="3">
        <v>49</v>
      </c>
      <c r="E2692" s="3">
        <v>-572.64</v>
      </c>
      <c r="F2692" s="4" t="str">
        <f>HYPERLINK("http://141.218.60.56/~jnz1568/getInfo.php?workbook=10_05.xlsx&amp;sheet=A0&amp;row=2692&amp;col=6&amp;number=436000000&amp;sourceID=14","436000000")</f>
        <v>436000000</v>
      </c>
      <c r="G2692" s="4" t="str">
        <f>HYPERLINK("http://141.218.60.56/~jnz1568/getInfo.php?workbook=10_05.xlsx&amp;sheet=A0&amp;row=2692&amp;col=7&amp;number=0&amp;sourceID=14","0")</f>
        <v>0</v>
      </c>
    </row>
    <row r="2693" spans="1:7">
      <c r="A2693" s="3">
        <v>10</v>
      </c>
      <c r="B2693" s="3">
        <v>5</v>
      </c>
      <c r="C2693" s="3">
        <v>109</v>
      </c>
      <c r="D2693" s="3">
        <v>49</v>
      </c>
      <c r="E2693" s="3">
        <v>-571.283</v>
      </c>
      <c r="F2693" s="4" t="str">
        <f>HYPERLINK("http://141.218.60.56/~jnz1568/getInfo.php?workbook=10_05.xlsx&amp;sheet=A0&amp;row=2693&amp;col=6&amp;number=149000000&amp;sourceID=14","149000000")</f>
        <v>149000000</v>
      </c>
      <c r="G2693" s="4" t="str">
        <f>HYPERLINK("http://141.218.60.56/~jnz1568/getInfo.php?workbook=10_05.xlsx&amp;sheet=A0&amp;row=2693&amp;col=7&amp;number=0&amp;sourceID=14","0")</f>
        <v>0</v>
      </c>
    </row>
    <row r="2694" spans="1:7">
      <c r="A2694" s="3">
        <v>10</v>
      </c>
      <c r="B2694" s="3">
        <v>5</v>
      </c>
      <c r="C2694" s="3">
        <v>115</v>
      </c>
      <c r="D2694" s="3">
        <v>49</v>
      </c>
      <c r="E2694" s="3">
        <v>-547.871</v>
      </c>
      <c r="F2694" s="4" t="str">
        <f>HYPERLINK("http://141.218.60.56/~jnz1568/getInfo.php?workbook=10_05.xlsx&amp;sheet=A0&amp;row=2694&amp;col=6&amp;number=1210000&amp;sourceID=14","1210000")</f>
        <v>1210000</v>
      </c>
      <c r="G2694" s="4" t="str">
        <f>HYPERLINK("http://141.218.60.56/~jnz1568/getInfo.php?workbook=10_05.xlsx&amp;sheet=A0&amp;row=2694&amp;col=7&amp;number=0&amp;sourceID=14","0")</f>
        <v>0</v>
      </c>
    </row>
    <row r="2695" spans="1:7">
      <c r="A2695" s="3">
        <v>10</v>
      </c>
      <c r="B2695" s="3">
        <v>5</v>
      </c>
      <c r="C2695" s="3">
        <v>116</v>
      </c>
      <c r="D2695" s="3">
        <v>49</v>
      </c>
      <c r="E2695" s="3">
        <v>-545.213</v>
      </c>
      <c r="F2695" s="4" t="str">
        <f>HYPERLINK("http://141.218.60.56/~jnz1568/getInfo.php?workbook=10_05.xlsx&amp;sheet=A0&amp;row=2695&amp;col=6&amp;number=19600000&amp;sourceID=14","19600000")</f>
        <v>19600000</v>
      </c>
      <c r="G2695" s="4" t="str">
        <f>HYPERLINK("http://141.218.60.56/~jnz1568/getInfo.php?workbook=10_05.xlsx&amp;sheet=A0&amp;row=2695&amp;col=7&amp;number=0&amp;sourceID=14","0")</f>
        <v>0</v>
      </c>
    </row>
    <row r="2696" spans="1:7">
      <c r="A2696" s="3">
        <v>10</v>
      </c>
      <c r="B2696" s="3">
        <v>5</v>
      </c>
      <c r="C2696" s="3">
        <v>117</v>
      </c>
      <c r="D2696" s="3">
        <v>49</v>
      </c>
      <c r="E2696" s="3">
        <v>-544.548</v>
      </c>
      <c r="F2696" s="4" t="str">
        <f>HYPERLINK("http://141.218.60.56/~jnz1568/getInfo.php?workbook=10_05.xlsx&amp;sheet=A0&amp;row=2696&amp;col=6&amp;number=244000000&amp;sourceID=14","244000000")</f>
        <v>244000000</v>
      </c>
      <c r="G2696" s="4" t="str">
        <f>HYPERLINK("http://141.218.60.56/~jnz1568/getInfo.php?workbook=10_05.xlsx&amp;sheet=A0&amp;row=2696&amp;col=7&amp;number=0&amp;sourceID=14","0")</f>
        <v>0</v>
      </c>
    </row>
    <row r="2697" spans="1:7">
      <c r="A2697" s="3">
        <v>10</v>
      </c>
      <c r="B2697" s="3">
        <v>5</v>
      </c>
      <c r="C2697" s="3">
        <v>118</v>
      </c>
      <c r="D2697" s="3">
        <v>49</v>
      </c>
      <c r="E2697" s="3">
        <v>-544.308</v>
      </c>
      <c r="F2697" s="4" t="str">
        <f>HYPERLINK("http://141.218.60.56/~jnz1568/getInfo.php?workbook=10_05.xlsx&amp;sheet=A0&amp;row=2697&amp;col=6&amp;number=291000000&amp;sourceID=14","291000000")</f>
        <v>291000000</v>
      </c>
      <c r="G2697" s="4" t="str">
        <f>HYPERLINK("http://141.218.60.56/~jnz1568/getInfo.php?workbook=10_05.xlsx&amp;sheet=A0&amp;row=2697&amp;col=7&amp;number=0&amp;sourceID=14","0")</f>
        <v>0</v>
      </c>
    </row>
    <row r="2698" spans="1:7">
      <c r="A2698" s="3">
        <v>10</v>
      </c>
      <c r="B2698" s="3">
        <v>5</v>
      </c>
      <c r="C2698" s="3">
        <v>121</v>
      </c>
      <c r="D2698" s="3">
        <v>49</v>
      </c>
      <c r="E2698" s="3">
        <v>-534.317</v>
      </c>
      <c r="F2698" s="4" t="str">
        <f>HYPERLINK("http://141.218.60.56/~jnz1568/getInfo.php?workbook=10_05.xlsx&amp;sheet=A0&amp;row=2698&amp;col=6&amp;number=34500000&amp;sourceID=14","34500000")</f>
        <v>34500000</v>
      </c>
      <c r="G2698" s="4" t="str">
        <f>HYPERLINK("http://141.218.60.56/~jnz1568/getInfo.php?workbook=10_05.xlsx&amp;sheet=A0&amp;row=2698&amp;col=7&amp;number=0&amp;sourceID=14","0")</f>
        <v>0</v>
      </c>
    </row>
    <row r="2699" spans="1:7">
      <c r="A2699" s="3">
        <v>10</v>
      </c>
      <c r="B2699" s="3">
        <v>5</v>
      </c>
      <c r="C2699" s="3">
        <v>122</v>
      </c>
      <c r="D2699" s="3">
        <v>49</v>
      </c>
      <c r="E2699" s="3">
        <v>-533.263</v>
      </c>
      <c r="F2699" s="4" t="str">
        <f>HYPERLINK("http://141.218.60.56/~jnz1568/getInfo.php?workbook=10_05.xlsx&amp;sheet=A0&amp;row=2699&amp;col=6&amp;number=199000000&amp;sourceID=14","199000000")</f>
        <v>199000000</v>
      </c>
      <c r="G2699" s="4" t="str">
        <f>HYPERLINK("http://141.218.60.56/~jnz1568/getInfo.php?workbook=10_05.xlsx&amp;sheet=A0&amp;row=2699&amp;col=7&amp;number=0&amp;sourceID=14","0")</f>
        <v>0</v>
      </c>
    </row>
    <row r="2700" spans="1:7">
      <c r="A2700" s="3">
        <v>10</v>
      </c>
      <c r="B2700" s="3">
        <v>5</v>
      </c>
      <c r="C2700" s="3">
        <v>123</v>
      </c>
      <c r="D2700" s="3">
        <v>49</v>
      </c>
      <c r="E2700" s="3">
        <v>-532.428</v>
      </c>
      <c r="F2700" s="4" t="str">
        <f>HYPERLINK("http://141.218.60.56/~jnz1568/getInfo.php?workbook=10_05.xlsx&amp;sheet=A0&amp;row=2700&amp;col=6&amp;number=1110000000&amp;sourceID=14","1110000000")</f>
        <v>1110000000</v>
      </c>
      <c r="G2700" s="4" t="str">
        <f>HYPERLINK("http://141.218.60.56/~jnz1568/getInfo.php?workbook=10_05.xlsx&amp;sheet=A0&amp;row=2700&amp;col=7&amp;number=0&amp;sourceID=14","0")</f>
        <v>0</v>
      </c>
    </row>
    <row r="2701" spans="1:7">
      <c r="A2701" s="3">
        <v>10</v>
      </c>
      <c r="B2701" s="3">
        <v>5</v>
      </c>
      <c r="C2701" s="3">
        <v>124</v>
      </c>
      <c r="D2701" s="3">
        <v>49</v>
      </c>
      <c r="E2701" s="3">
        <v>-531.735</v>
      </c>
      <c r="F2701" s="4" t="str">
        <f>HYPERLINK("http://141.218.60.56/~jnz1568/getInfo.php?workbook=10_05.xlsx&amp;sheet=A0&amp;row=2701&amp;col=6&amp;number=611000000&amp;sourceID=14","611000000")</f>
        <v>611000000</v>
      </c>
      <c r="G2701" s="4" t="str">
        <f>HYPERLINK("http://141.218.60.56/~jnz1568/getInfo.php?workbook=10_05.xlsx&amp;sheet=A0&amp;row=2701&amp;col=7&amp;number=0&amp;sourceID=14","0")</f>
        <v>0</v>
      </c>
    </row>
    <row r="2702" spans="1:7">
      <c r="A2702" s="3">
        <v>10</v>
      </c>
      <c r="B2702" s="3">
        <v>5</v>
      </c>
      <c r="C2702" s="3">
        <v>126</v>
      </c>
      <c r="D2702" s="3">
        <v>49</v>
      </c>
      <c r="E2702" s="3">
        <v>-528.464</v>
      </c>
      <c r="F2702" s="4" t="str">
        <f>HYPERLINK("http://141.218.60.56/~jnz1568/getInfo.php?workbook=10_05.xlsx&amp;sheet=A0&amp;row=2702&amp;col=6&amp;number=44200000&amp;sourceID=14","44200000")</f>
        <v>44200000</v>
      </c>
      <c r="G2702" s="4" t="str">
        <f>HYPERLINK("http://141.218.60.56/~jnz1568/getInfo.php?workbook=10_05.xlsx&amp;sheet=A0&amp;row=2702&amp;col=7&amp;number=0&amp;sourceID=14","0")</f>
        <v>0</v>
      </c>
    </row>
    <row r="2703" spans="1:7">
      <c r="A2703" s="3">
        <v>10</v>
      </c>
      <c r="B2703" s="3">
        <v>5</v>
      </c>
      <c r="C2703" s="3">
        <v>129</v>
      </c>
      <c r="D2703" s="3">
        <v>49</v>
      </c>
      <c r="E2703" s="3">
        <v>520.726</v>
      </c>
      <c r="F2703" s="4" t="str">
        <f>HYPERLINK("http://141.218.60.56/~jnz1568/getInfo.php?workbook=10_05.xlsx&amp;sheet=A0&amp;row=2703&amp;col=6&amp;number=70.8&amp;sourceID=14","70.8")</f>
        <v>70.8</v>
      </c>
      <c r="G2703" s="4" t="str">
        <f>HYPERLINK("http://141.218.60.56/~jnz1568/getInfo.php?workbook=10_05.xlsx&amp;sheet=A0&amp;row=2703&amp;col=7&amp;number=0&amp;sourceID=14","0")</f>
        <v>0</v>
      </c>
    </row>
    <row r="2704" spans="1:7">
      <c r="A2704" s="3">
        <v>10</v>
      </c>
      <c r="B2704" s="3">
        <v>5</v>
      </c>
      <c r="C2704" s="3">
        <v>130</v>
      </c>
      <c r="D2704" s="3">
        <v>49</v>
      </c>
      <c r="E2704" s="3">
        <v>520.726</v>
      </c>
      <c r="F2704" s="4" t="str">
        <f>HYPERLINK("http://141.218.60.56/~jnz1568/getInfo.php?workbook=10_05.xlsx&amp;sheet=A0&amp;row=2704&amp;col=6&amp;number=37400000&amp;sourceID=14","37400000")</f>
        <v>37400000</v>
      </c>
      <c r="G2704" s="4" t="str">
        <f>HYPERLINK("http://141.218.60.56/~jnz1568/getInfo.php?workbook=10_05.xlsx&amp;sheet=A0&amp;row=2704&amp;col=7&amp;number=0&amp;sourceID=14","0")</f>
        <v>0</v>
      </c>
    </row>
    <row r="2705" spans="1:7">
      <c r="A2705" s="3">
        <v>10</v>
      </c>
      <c r="B2705" s="3">
        <v>5</v>
      </c>
      <c r="C2705" s="3">
        <v>132</v>
      </c>
      <c r="D2705" s="3">
        <v>49</v>
      </c>
      <c r="E2705" s="3">
        <v>-518.856</v>
      </c>
      <c r="F2705" s="4" t="str">
        <f>HYPERLINK("http://141.218.60.56/~jnz1568/getInfo.php?workbook=10_05.xlsx&amp;sheet=A0&amp;row=2705&amp;col=6&amp;number=301000000&amp;sourceID=14","301000000")</f>
        <v>301000000</v>
      </c>
      <c r="G2705" s="4" t="str">
        <f>HYPERLINK("http://141.218.60.56/~jnz1568/getInfo.php?workbook=10_05.xlsx&amp;sheet=A0&amp;row=2705&amp;col=7&amp;number=0&amp;sourceID=14","0")</f>
        <v>0</v>
      </c>
    </row>
    <row r="2706" spans="1:7">
      <c r="A2706" s="3">
        <v>10</v>
      </c>
      <c r="B2706" s="3">
        <v>5</v>
      </c>
      <c r="C2706" s="3">
        <v>133</v>
      </c>
      <c r="D2706" s="3">
        <v>49</v>
      </c>
      <c r="E2706" s="3">
        <v>-518.297</v>
      </c>
      <c r="F2706" s="4" t="str">
        <f>HYPERLINK("http://141.218.60.56/~jnz1568/getInfo.php?workbook=10_05.xlsx&amp;sheet=A0&amp;row=2706&amp;col=6&amp;number=435000000&amp;sourceID=14","435000000")</f>
        <v>435000000</v>
      </c>
      <c r="G2706" s="4" t="str">
        <f>HYPERLINK("http://141.218.60.56/~jnz1568/getInfo.php?workbook=10_05.xlsx&amp;sheet=A0&amp;row=2706&amp;col=7&amp;number=0&amp;sourceID=14","0")</f>
        <v>0</v>
      </c>
    </row>
    <row r="2707" spans="1:7">
      <c r="A2707" s="3">
        <v>10</v>
      </c>
      <c r="B2707" s="3">
        <v>5</v>
      </c>
      <c r="C2707" s="3">
        <v>138</v>
      </c>
      <c r="D2707" s="3">
        <v>49</v>
      </c>
      <c r="E2707" s="3">
        <v>-509.945</v>
      </c>
      <c r="F2707" s="4" t="str">
        <f>HYPERLINK("http://141.218.60.56/~jnz1568/getInfo.php?workbook=10_05.xlsx&amp;sheet=A0&amp;row=2707&amp;col=6&amp;number=1470&amp;sourceID=14","1470")</f>
        <v>1470</v>
      </c>
      <c r="G2707" s="4" t="str">
        <f>HYPERLINK("http://141.218.60.56/~jnz1568/getInfo.php?workbook=10_05.xlsx&amp;sheet=A0&amp;row=2707&amp;col=7&amp;number=0&amp;sourceID=14","0")</f>
        <v>0</v>
      </c>
    </row>
    <row r="2708" spans="1:7">
      <c r="A2708" s="3">
        <v>10</v>
      </c>
      <c r="B2708" s="3">
        <v>5</v>
      </c>
      <c r="C2708" s="3">
        <v>150</v>
      </c>
      <c r="D2708" s="3">
        <v>49</v>
      </c>
      <c r="E2708" s="3">
        <v>-488.485</v>
      </c>
      <c r="F2708" s="4" t="str">
        <f>HYPERLINK("http://141.218.60.56/~jnz1568/getInfo.php?workbook=10_05.xlsx&amp;sheet=A0&amp;row=2708&amp;col=6&amp;number=146000&amp;sourceID=14","146000")</f>
        <v>146000</v>
      </c>
      <c r="G2708" s="4" t="str">
        <f>HYPERLINK("http://141.218.60.56/~jnz1568/getInfo.php?workbook=10_05.xlsx&amp;sheet=A0&amp;row=2708&amp;col=7&amp;number=0&amp;sourceID=14","0")</f>
        <v>0</v>
      </c>
    </row>
    <row r="2709" spans="1:7">
      <c r="A2709" s="3">
        <v>10</v>
      </c>
      <c r="B2709" s="3">
        <v>5</v>
      </c>
      <c r="C2709" s="3">
        <v>151</v>
      </c>
      <c r="D2709" s="3">
        <v>49</v>
      </c>
      <c r="E2709" s="3">
        <v>-488.432</v>
      </c>
      <c r="F2709" s="4" t="str">
        <f>HYPERLINK("http://141.218.60.56/~jnz1568/getInfo.php?workbook=10_05.xlsx&amp;sheet=A0&amp;row=2709&amp;col=6&amp;number=1990000&amp;sourceID=14","1990000")</f>
        <v>1990000</v>
      </c>
      <c r="G2709" s="4" t="str">
        <f>HYPERLINK("http://141.218.60.56/~jnz1568/getInfo.php?workbook=10_05.xlsx&amp;sheet=A0&amp;row=2709&amp;col=7&amp;number=0&amp;sourceID=14","0")</f>
        <v>0</v>
      </c>
    </row>
    <row r="2710" spans="1:7">
      <c r="A2710" s="3">
        <v>10</v>
      </c>
      <c r="B2710" s="3">
        <v>5</v>
      </c>
      <c r="C2710" s="3">
        <v>154</v>
      </c>
      <c r="D2710" s="3">
        <v>49</v>
      </c>
      <c r="E2710" s="3">
        <v>480.747</v>
      </c>
      <c r="F2710" s="4" t="str">
        <f>HYPERLINK("http://141.218.60.56/~jnz1568/getInfo.php?workbook=10_05.xlsx&amp;sheet=A0&amp;row=2710&amp;col=6&amp;number=7420000&amp;sourceID=14","7420000")</f>
        <v>7420000</v>
      </c>
      <c r="G2710" s="4" t="str">
        <f>HYPERLINK("http://141.218.60.56/~jnz1568/getInfo.php?workbook=10_05.xlsx&amp;sheet=A0&amp;row=2710&amp;col=7&amp;number=0&amp;sourceID=14","0")</f>
        <v>0</v>
      </c>
    </row>
    <row r="2711" spans="1:7">
      <c r="A2711" s="3">
        <v>10</v>
      </c>
      <c r="B2711" s="3">
        <v>5</v>
      </c>
      <c r="C2711" s="3">
        <v>155</v>
      </c>
      <c r="D2711" s="3">
        <v>49</v>
      </c>
      <c r="E2711" s="3">
        <v>480.747</v>
      </c>
      <c r="F2711" s="4" t="str">
        <f>HYPERLINK("http://141.218.60.56/~jnz1568/getInfo.php?workbook=10_05.xlsx&amp;sheet=A0&amp;row=2711&amp;col=6&amp;number=213000&amp;sourceID=14","213000")</f>
        <v>213000</v>
      </c>
      <c r="G2711" s="4" t="str">
        <f>HYPERLINK("http://141.218.60.56/~jnz1568/getInfo.php?workbook=10_05.xlsx&amp;sheet=A0&amp;row=2711&amp;col=7&amp;number=0&amp;sourceID=14","0")</f>
        <v>0</v>
      </c>
    </row>
    <row r="2712" spans="1:7">
      <c r="A2712" s="3">
        <v>10</v>
      </c>
      <c r="B2712" s="3">
        <v>5</v>
      </c>
      <c r="C2712" s="3">
        <v>156</v>
      </c>
      <c r="D2712" s="3">
        <v>49</v>
      </c>
      <c r="E2712" s="3">
        <v>-478.848</v>
      </c>
      <c r="F2712" s="4" t="str">
        <f>HYPERLINK("http://141.218.60.56/~jnz1568/getInfo.php?workbook=10_05.xlsx&amp;sheet=A0&amp;row=2712&amp;col=6&amp;number=1100000&amp;sourceID=14","1100000")</f>
        <v>1100000</v>
      </c>
      <c r="G2712" s="4" t="str">
        <f>HYPERLINK("http://141.218.60.56/~jnz1568/getInfo.php?workbook=10_05.xlsx&amp;sheet=A0&amp;row=2712&amp;col=7&amp;number=0&amp;sourceID=14","0")</f>
        <v>0</v>
      </c>
    </row>
    <row r="2713" spans="1:7">
      <c r="A2713" s="3">
        <v>10</v>
      </c>
      <c r="B2713" s="3">
        <v>5</v>
      </c>
      <c r="C2713" s="3">
        <v>157</v>
      </c>
      <c r="D2713" s="3">
        <v>49</v>
      </c>
      <c r="E2713" s="3">
        <v>-478.438</v>
      </c>
      <c r="F2713" s="4" t="str">
        <f>HYPERLINK("http://141.218.60.56/~jnz1568/getInfo.php?workbook=10_05.xlsx&amp;sheet=A0&amp;row=2713&amp;col=6&amp;number=8780000&amp;sourceID=14","8780000")</f>
        <v>8780000</v>
      </c>
      <c r="G2713" s="4" t="str">
        <f>HYPERLINK("http://141.218.60.56/~jnz1568/getInfo.php?workbook=10_05.xlsx&amp;sheet=A0&amp;row=2713&amp;col=7&amp;number=0&amp;sourceID=14","0")</f>
        <v>0</v>
      </c>
    </row>
    <row r="2714" spans="1:7">
      <c r="A2714" s="3">
        <v>10</v>
      </c>
      <c r="B2714" s="3">
        <v>5</v>
      </c>
      <c r="C2714" s="3">
        <v>162</v>
      </c>
      <c r="D2714" s="3">
        <v>49</v>
      </c>
      <c r="E2714" s="3">
        <v>474.159</v>
      </c>
      <c r="F2714" s="4" t="str">
        <f>HYPERLINK("http://141.218.60.56/~jnz1568/getInfo.php?workbook=10_05.xlsx&amp;sheet=A0&amp;row=2714&amp;col=6&amp;number=9390000&amp;sourceID=14","9390000")</f>
        <v>9390000</v>
      </c>
      <c r="G2714" s="4" t="str">
        <f>HYPERLINK("http://141.218.60.56/~jnz1568/getInfo.php?workbook=10_05.xlsx&amp;sheet=A0&amp;row=2714&amp;col=7&amp;number=0&amp;sourceID=14","0")</f>
        <v>0</v>
      </c>
    </row>
    <row r="2715" spans="1:7">
      <c r="A2715" s="3">
        <v>10</v>
      </c>
      <c r="B2715" s="3">
        <v>5</v>
      </c>
      <c r="C2715" s="3">
        <v>168</v>
      </c>
      <c r="D2715" s="3">
        <v>49</v>
      </c>
      <c r="E2715" s="3">
        <v>-343.507</v>
      </c>
      <c r="F2715" s="4" t="str">
        <f>HYPERLINK("http://141.218.60.56/~jnz1568/getInfo.php?workbook=10_05.xlsx&amp;sheet=A0&amp;row=2715&amp;col=6&amp;number=1630000&amp;sourceID=14","1630000")</f>
        <v>1630000</v>
      </c>
      <c r="G2715" s="4" t="str">
        <f>HYPERLINK("http://141.218.60.56/~jnz1568/getInfo.php?workbook=10_05.xlsx&amp;sheet=A0&amp;row=2715&amp;col=7&amp;number=0&amp;sourceID=14","0")</f>
        <v>0</v>
      </c>
    </row>
    <row r="2716" spans="1:7">
      <c r="A2716" s="3">
        <v>10</v>
      </c>
      <c r="B2716" s="3">
        <v>5</v>
      </c>
      <c r="C2716" s="3">
        <v>169</v>
      </c>
      <c r="D2716" s="3">
        <v>49</v>
      </c>
      <c r="E2716" s="3">
        <v>-343.451</v>
      </c>
      <c r="F2716" s="4" t="str">
        <f>HYPERLINK("http://141.218.60.56/~jnz1568/getInfo.php?workbook=10_05.xlsx&amp;sheet=A0&amp;row=2716&amp;col=6&amp;number=165000&amp;sourceID=14","165000")</f>
        <v>165000</v>
      </c>
      <c r="G2716" s="4" t="str">
        <f>HYPERLINK("http://141.218.60.56/~jnz1568/getInfo.php?workbook=10_05.xlsx&amp;sheet=A0&amp;row=2716&amp;col=7&amp;number=0&amp;sourceID=14","0")</f>
        <v>0</v>
      </c>
    </row>
    <row r="2717" spans="1:7">
      <c r="A2717" s="3">
        <v>10</v>
      </c>
      <c r="B2717" s="3">
        <v>5</v>
      </c>
      <c r="C2717" s="3">
        <v>171</v>
      </c>
      <c r="D2717" s="3">
        <v>49</v>
      </c>
      <c r="E2717" s="3">
        <v>-332.637</v>
      </c>
      <c r="F2717" s="4" t="str">
        <f>HYPERLINK("http://141.218.60.56/~jnz1568/getInfo.php?workbook=10_05.xlsx&amp;sheet=A0&amp;row=2717&amp;col=6&amp;number=60000&amp;sourceID=14","60000")</f>
        <v>60000</v>
      </c>
      <c r="G2717" s="4" t="str">
        <f>HYPERLINK("http://141.218.60.56/~jnz1568/getInfo.php?workbook=10_05.xlsx&amp;sheet=A0&amp;row=2717&amp;col=7&amp;number=0&amp;sourceID=14","0")</f>
        <v>0</v>
      </c>
    </row>
    <row r="2718" spans="1:7">
      <c r="A2718" s="3">
        <v>10</v>
      </c>
      <c r="B2718" s="3">
        <v>5</v>
      </c>
      <c r="C2718" s="3">
        <v>172</v>
      </c>
      <c r="D2718" s="3">
        <v>49</v>
      </c>
      <c r="E2718" s="3">
        <v>-330.493</v>
      </c>
      <c r="F2718" s="4" t="str">
        <f>HYPERLINK("http://141.218.60.56/~jnz1568/getInfo.php?workbook=10_05.xlsx&amp;sheet=A0&amp;row=2718&amp;col=6&amp;number=6470&amp;sourceID=14","6470")</f>
        <v>6470</v>
      </c>
      <c r="G2718" s="4" t="str">
        <f>HYPERLINK("http://141.218.60.56/~jnz1568/getInfo.php?workbook=10_05.xlsx&amp;sheet=A0&amp;row=2718&amp;col=7&amp;number=0&amp;sourceID=14","0")</f>
        <v>0</v>
      </c>
    </row>
    <row r="2719" spans="1:7">
      <c r="A2719" s="3">
        <v>10</v>
      </c>
      <c r="B2719" s="3">
        <v>5</v>
      </c>
      <c r="C2719" s="3">
        <v>173</v>
      </c>
      <c r="D2719" s="3">
        <v>49</v>
      </c>
      <c r="E2719" s="3">
        <v>-330.468</v>
      </c>
      <c r="F2719" s="4" t="str">
        <f>HYPERLINK("http://141.218.60.56/~jnz1568/getInfo.php?workbook=10_05.xlsx&amp;sheet=A0&amp;row=2719&amp;col=6&amp;number=71800&amp;sourceID=14","71800")</f>
        <v>71800</v>
      </c>
      <c r="G2719" s="4" t="str">
        <f>HYPERLINK("http://141.218.60.56/~jnz1568/getInfo.php?workbook=10_05.xlsx&amp;sheet=A0&amp;row=2719&amp;col=7&amp;number=0&amp;sourceID=14","0")</f>
        <v>0</v>
      </c>
    </row>
    <row r="2720" spans="1:7">
      <c r="A2720" s="3">
        <v>10</v>
      </c>
      <c r="B2720" s="3">
        <v>5</v>
      </c>
      <c r="C2720" s="3">
        <v>58</v>
      </c>
      <c r="D2720" s="3">
        <v>50</v>
      </c>
      <c r="E2720" s="3">
        <v>1956.951</v>
      </c>
      <c r="F2720" s="4" t="str">
        <f>HYPERLINK("http://141.218.60.56/~jnz1568/getInfo.php?workbook=10_05.xlsx&amp;sheet=A0&amp;row=2720&amp;col=6&amp;number=114&amp;sourceID=14","114")</f>
        <v>114</v>
      </c>
      <c r="G2720" s="4" t="str">
        <f>HYPERLINK("http://141.218.60.56/~jnz1568/getInfo.php?workbook=10_05.xlsx&amp;sheet=A0&amp;row=2720&amp;col=7&amp;number=0&amp;sourceID=14","0")</f>
        <v>0</v>
      </c>
    </row>
    <row r="2721" spans="1:7">
      <c r="A2721" s="3">
        <v>10</v>
      </c>
      <c r="B2721" s="3">
        <v>5</v>
      </c>
      <c r="C2721" s="3">
        <v>59</v>
      </c>
      <c r="D2721" s="3">
        <v>50</v>
      </c>
      <c r="E2721" s="3">
        <v>1848.432</v>
      </c>
      <c r="F2721" s="4" t="str">
        <f>HYPERLINK("http://141.218.60.56/~jnz1568/getInfo.php?workbook=10_05.xlsx&amp;sheet=A0&amp;row=2721&amp;col=6&amp;number=14700&amp;sourceID=14","14700")</f>
        <v>14700</v>
      </c>
      <c r="G2721" s="4" t="str">
        <f>HYPERLINK("http://141.218.60.56/~jnz1568/getInfo.php?workbook=10_05.xlsx&amp;sheet=A0&amp;row=2721&amp;col=7&amp;number=0&amp;sourceID=14","0")</f>
        <v>0</v>
      </c>
    </row>
    <row r="2722" spans="1:7">
      <c r="A2722" s="3">
        <v>10</v>
      </c>
      <c r="B2722" s="3">
        <v>5</v>
      </c>
      <c r="C2722" s="3">
        <v>60</v>
      </c>
      <c r="D2722" s="3">
        <v>50</v>
      </c>
      <c r="E2722" s="3">
        <v>1843.661</v>
      </c>
      <c r="F2722" s="4" t="str">
        <f>HYPERLINK("http://141.218.60.56/~jnz1568/getInfo.php?workbook=10_05.xlsx&amp;sheet=A0&amp;row=2722&amp;col=6&amp;number=1280&amp;sourceID=14","1280")</f>
        <v>1280</v>
      </c>
      <c r="G2722" s="4" t="str">
        <f>HYPERLINK("http://141.218.60.56/~jnz1568/getInfo.php?workbook=10_05.xlsx&amp;sheet=A0&amp;row=2722&amp;col=7&amp;number=0&amp;sourceID=14","0")</f>
        <v>0</v>
      </c>
    </row>
    <row r="2723" spans="1:7">
      <c r="A2723" s="3">
        <v>10</v>
      </c>
      <c r="B2723" s="3">
        <v>5</v>
      </c>
      <c r="C2723" s="3">
        <v>61</v>
      </c>
      <c r="D2723" s="3">
        <v>50</v>
      </c>
      <c r="E2723" s="3">
        <v>1793.725</v>
      </c>
      <c r="F2723" s="4" t="str">
        <f>HYPERLINK("http://141.218.60.56/~jnz1568/getInfo.php?workbook=10_05.xlsx&amp;sheet=A0&amp;row=2723&amp;col=6&amp;number=2570&amp;sourceID=14","2570")</f>
        <v>2570</v>
      </c>
      <c r="G2723" s="4" t="str">
        <f>HYPERLINK("http://141.218.60.56/~jnz1568/getInfo.php?workbook=10_05.xlsx&amp;sheet=A0&amp;row=2723&amp;col=7&amp;number=0&amp;sourceID=14","0")</f>
        <v>0</v>
      </c>
    </row>
    <row r="2724" spans="1:7">
      <c r="A2724" s="3">
        <v>10</v>
      </c>
      <c r="B2724" s="3">
        <v>5</v>
      </c>
      <c r="C2724" s="3">
        <v>62</v>
      </c>
      <c r="D2724" s="3">
        <v>50</v>
      </c>
      <c r="E2724" s="3">
        <v>1784.125</v>
      </c>
      <c r="F2724" s="4" t="str">
        <f>HYPERLINK("http://141.218.60.56/~jnz1568/getInfo.php?workbook=10_05.xlsx&amp;sheet=A0&amp;row=2724&amp;col=6&amp;number=490&amp;sourceID=14","490")</f>
        <v>490</v>
      </c>
      <c r="G2724" s="4" t="str">
        <f>HYPERLINK("http://141.218.60.56/~jnz1568/getInfo.php?workbook=10_05.xlsx&amp;sheet=A0&amp;row=2724&amp;col=7&amp;number=0&amp;sourceID=14","0")</f>
        <v>0</v>
      </c>
    </row>
    <row r="2725" spans="1:7">
      <c r="A2725" s="3">
        <v>10</v>
      </c>
      <c r="B2725" s="3">
        <v>5</v>
      </c>
      <c r="C2725" s="3">
        <v>63</v>
      </c>
      <c r="D2725" s="3">
        <v>50</v>
      </c>
      <c r="E2725" s="3">
        <v>1610.309</v>
      </c>
      <c r="F2725" s="4" t="str">
        <f>HYPERLINK("http://141.218.60.56/~jnz1568/getInfo.php?workbook=10_05.xlsx&amp;sheet=A0&amp;row=2725&amp;col=6&amp;number=2010&amp;sourceID=14","2010")</f>
        <v>2010</v>
      </c>
      <c r="G2725" s="4" t="str">
        <f>HYPERLINK("http://141.218.60.56/~jnz1568/getInfo.php?workbook=10_05.xlsx&amp;sheet=A0&amp;row=2725&amp;col=7&amp;number=0&amp;sourceID=14","0")</f>
        <v>0</v>
      </c>
    </row>
    <row r="2726" spans="1:7">
      <c r="A2726" s="3">
        <v>10</v>
      </c>
      <c r="B2726" s="3">
        <v>5</v>
      </c>
      <c r="C2726" s="3">
        <v>66</v>
      </c>
      <c r="D2726" s="3">
        <v>50</v>
      </c>
      <c r="E2726" s="3">
        <v>1147.449</v>
      </c>
      <c r="F2726" s="4" t="str">
        <f>HYPERLINK("http://141.218.60.56/~jnz1568/getInfo.php?workbook=10_05.xlsx&amp;sheet=A0&amp;row=2726&amp;col=6&amp;number=708&amp;sourceID=14","708")</f>
        <v>708</v>
      </c>
      <c r="G2726" s="4" t="str">
        <f>HYPERLINK("http://141.218.60.56/~jnz1568/getInfo.php?workbook=10_05.xlsx&amp;sheet=A0&amp;row=2726&amp;col=7&amp;number=0&amp;sourceID=14","0")</f>
        <v>0</v>
      </c>
    </row>
    <row r="2727" spans="1:7">
      <c r="A2727" s="3">
        <v>10</v>
      </c>
      <c r="B2727" s="3">
        <v>5</v>
      </c>
      <c r="C2727" s="3">
        <v>67</v>
      </c>
      <c r="D2727" s="3">
        <v>50</v>
      </c>
      <c r="E2727" s="3">
        <v>1147.449</v>
      </c>
      <c r="F2727" s="4" t="str">
        <f>HYPERLINK("http://141.218.60.56/~jnz1568/getInfo.php?workbook=10_05.xlsx&amp;sheet=A0&amp;row=2727&amp;col=6&amp;number=466&amp;sourceID=14","466")</f>
        <v>466</v>
      </c>
      <c r="G2727" s="4" t="str">
        <f>HYPERLINK("http://141.218.60.56/~jnz1568/getInfo.php?workbook=10_05.xlsx&amp;sheet=A0&amp;row=2727&amp;col=7&amp;number=0&amp;sourceID=14","0")</f>
        <v>0</v>
      </c>
    </row>
    <row r="2728" spans="1:7">
      <c r="A2728" s="3">
        <v>10</v>
      </c>
      <c r="B2728" s="3">
        <v>5</v>
      </c>
      <c r="C2728" s="3">
        <v>70</v>
      </c>
      <c r="D2728" s="3">
        <v>50</v>
      </c>
      <c r="E2728" s="3">
        <v>1094.932</v>
      </c>
      <c r="F2728" s="4" t="str">
        <f>HYPERLINK("http://141.218.60.56/~jnz1568/getInfo.php?workbook=10_05.xlsx&amp;sheet=A0&amp;row=2728&amp;col=6&amp;number=4750000&amp;sourceID=14","4750000")</f>
        <v>4750000</v>
      </c>
      <c r="G2728" s="4" t="str">
        <f>HYPERLINK("http://141.218.60.56/~jnz1568/getInfo.php?workbook=10_05.xlsx&amp;sheet=A0&amp;row=2728&amp;col=7&amp;number=0&amp;sourceID=14","0")</f>
        <v>0</v>
      </c>
    </row>
    <row r="2729" spans="1:7">
      <c r="A2729" s="3">
        <v>10</v>
      </c>
      <c r="B2729" s="3">
        <v>5</v>
      </c>
      <c r="C2729" s="3">
        <v>71</v>
      </c>
      <c r="D2729" s="3">
        <v>50</v>
      </c>
      <c r="E2729" s="3">
        <v>1094.932</v>
      </c>
      <c r="F2729" s="4" t="str">
        <f>HYPERLINK("http://141.218.60.56/~jnz1568/getInfo.php?workbook=10_05.xlsx&amp;sheet=A0&amp;row=2729&amp;col=6&amp;number=1470000&amp;sourceID=14","1470000")</f>
        <v>1470000</v>
      </c>
      <c r="G2729" s="4" t="str">
        <f>HYPERLINK("http://141.218.60.56/~jnz1568/getInfo.php?workbook=10_05.xlsx&amp;sheet=A0&amp;row=2729&amp;col=7&amp;number=0&amp;sourceID=14","0")</f>
        <v>0</v>
      </c>
    </row>
    <row r="2730" spans="1:7">
      <c r="A2730" s="3">
        <v>10</v>
      </c>
      <c r="B2730" s="3">
        <v>5</v>
      </c>
      <c r="C2730" s="3">
        <v>72</v>
      </c>
      <c r="D2730" s="3">
        <v>50</v>
      </c>
      <c r="E2730" s="3">
        <v>1094.932</v>
      </c>
      <c r="F2730" s="4" t="str">
        <f>HYPERLINK("http://141.218.60.56/~jnz1568/getInfo.php?workbook=10_05.xlsx&amp;sheet=A0&amp;row=2730&amp;col=6&amp;number=2410000&amp;sourceID=14","2410000")</f>
        <v>2410000</v>
      </c>
      <c r="G2730" s="4" t="str">
        <f>HYPERLINK("http://141.218.60.56/~jnz1568/getInfo.php?workbook=10_05.xlsx&amp;sheet=A0&amp;row=2730&amp;col=7&amp;number=0&amp;sourceID=14","0")</f>
        <v>0</v>
      </c>
    </row>
    <row r="2731" spans="1:7">
      <c r="A2731" s="3">
        <v>10</v>
      </c>
      <c r="B2731" s="3">
        <v>5</v>
      </c>
      <c r="C2731" s="3">
        <v>77</v>
      </c>
      <c r="D2731" s="3">
        <v>50</v>
      </c>
      <c r="E2731" s="3">
        <v>-864.605</v>
      </c>
      <c r="F2731" s="4" t="str">
        <f>HYPERLINK("http://141.218.60.56/~jnz1568/getInfo.php?workbook=10_05.xlsx&amp;sheet=A0&amp;row=2731&amp;col=6&amp;number=195000&amp;sourceID=14","195000")</f>
        <v>195000</v>
      </c>
      <c r="G2731" s="4" t="str">
        <f>HYPERLINK("http://141.218.60.56/~jnz1568/getInfo.php?workbook=10_05.xlsx&amp;sheet=A0&amp;row=2731&amp;col=7&amp;number=0&amp;sourceID=14","0")</f>
        <v>0</v>
      </c>
    </row>
    <row r="2732" spans="1:7">
      <c r="A2732" s="3">
        <v>10</v>
      </c>
      <c r="B2732" s="3">
        <v>5</v>
      </c>
      <c r="C2732" s="3">
        <v>78</v>
      </c>
      <c r="D2732" s="3">
        <v>50</v>
      </c>
      <c r="E2732" s="3">
        <v>-858.437</v>
      </c>
      <c r="F2732" s="4" t="str">
        <f>HYPERLINK("http://141.218.60.56/~jnz1568/getInfo.php?workbook=10_05.xlsx&amp;sheet=A0&amp;row=2732&amp;col=6&amp;number=24800&amp;sourceID=14","24800")</f>
        <v>24800</v>
      </c>
      <c r="G2732" s="4" t="str">
        <f>HYPERLINK("http://141.218.60.56/~jnz1568/getInfo.php?workbook=10_05.xlsx&amp;sheet=A0&amp;row=2732&amp;col=7&amp;number=0&amp;sourceID=14","0")</f>
        <v>0</v>
      </c>
    </row>
    <row r="2733" spans="1:7">
      <c r="A2733" s="3">
        <v>10</v>
      </c>
      <c r="B2733" s="3">
        <v>5</v>
      </c>
      <c r="C2733" s="3">
        <v>80</v>
      </c>
      <c r="D2733" s="3">
        <v>50</v>
      </c>
      <c r="E2733" s="3">
        <v>804.313</v>
      </c>
      <c r="F2733" s="4" t="str">
        <f>HYPERLINK("http://141.218.60.56/~jnz1568/getInfo.php?workbook=10_05.xlsx&amp;sheet=A0&amp;row=2733&amp;col=6&amp;number=104000&amp;sourceID=14","104000")</f>
        <v>104000</v>
      </c>
      <c r="G2733" s="4" t="str">
        <f>HYPERLINK("http://141.218.60.56/~jnz1568/getInfo.php?workbook=10_05.xlsx&amp;sheet=A0&amp;row=2733&amp;col=7&amp;number=0&amp;sourceID=14","0")</f>
        <v>0</v>
      </c>
    </row>
    <row r="2734" spans="1:7">
      <c r="A2734" s="3">
        <v>10</v>
      </c>
      <c r="B2734" s="3">
        <v>5</v>
      </c>
      <c r="C2734" s="3">
        <v>81</v>
      </c>
      <c r="D2734" s="3">
        <v>50</v>
      </c>
      <c r="E2734" s="3">
        <v>804.313</v>
      </c>
      <c r="F2734" s="4" t="str">
        <f>HYPERLINK("http://141.218.60.56/~jnz1568/getInfo.php?workbook=10_05.xlsx&amp;sheet=A0&amp;row=2734&amp;col=6&amp;number=718&amp;sourceID=14","718")</f>
        <v>718</v>
      </c>
      <c r="G2734" s="4" t="str">
        <f>HYPERLINK("http://141.218.60.56/~jnz1568/getInfo.php?workbook=10_05.xlsx&amp;sheet=A0&amp;row=2734&amp;col=7&amp;number=0&amp;sourceID=14","0")</f>
        <v>0</v>
      </c>
    </row>
    <row r="2735" spans="1:7">
      <c r="A2735" s="3">
        <v>10</v>
      </c>
      <c r="B2735" s="3">
        <v>5</v>
      </c>
      <c r="C2735" s="3">
        <v>99</v>
      </c>
      <c r="D2735" s="3">
        <v>50</v>
      </c>
      <c r="E2735" s="3">
        <v>-596.436</v>
      </c>
      <c r="F2735" s="4" t="str">
        <f>HYPERLINK("http://141.218.60.56/~jnz1568/getInfo.php?workbook=10_05.xlsx&amp;sheet=A0&amp;row=2735&amp;col=6&amp;number=16300&amp;sourceID=14","16300")</f>
        <v>16300</v>
      </c>
      <c r="G2735" s="4" t="str">
        <f>HYPERLINK("http://141.218.60.56/~jnz1568/getInfo.php?workbook=10_05.xlsx&amp;sheet=A0&amp;row=2735&amp;col=7&amp;number=0&amp;sourceID=14","0")</f>
        <v>0</v>
      </c>
    </row>
    <row r="2736" spans="1:7">
      <c r="A2736" s="3">
        <v>10</v>
      </c>
      <c r="B2736" s="3">
        <v>5</v>
      </c>
      <c r="C2736" s="3">
        <v>100</v>
      </c>
      <c r="D2736" s="3">
        <v>50</v>
      </c>
      <c r="E2736" s="3">
        <v>-595.501</v>
      </c>
      <c r="F2736" s="4" t="str">
        <f>HYPERLINK("http://141.218.60.56/~jnz1568/getInfo.php?workbook=10_05.xlsx&amp;sheet=A0&amp;row=2736&amp;col=6&amp;number=85800&amp;sourceID=14","85800")</f>
        <v>85800</v>
      </c>
      <c r="G2736" s="4" t="str">
        <f>HYPERLINK("http://141.218.60.56/~jnz1568/getInfo.php?workbook=10_05.xlsx&amp;sheet=A0&amp;row=2736&amp;col=7&amp;number=0&amp;sourceID=14","0")</f>
        <v>0</v>
      </c>
    </row>
    <row r="2737" spans="1:7">
      <c r="A2737" s="3">
        <v>10</v>
      </c>
      <c r="B2737" s="3">
        <v>5</v>
      </c>
      <c r="C2737" s="3">
        <v>105</v>
      </c>
      <c r="D2737" s="3">
        <v>50</v>
      </c>
      <c r="E2737" s="3">
        <v>-575.899</v>
      </c>
      <c r="F2737" s="4" t="str">
        <f>HYPERLINK("http://141.218.60.56/~jnz1568/getInfo.php?workbook=10_05.xlsx&amp;sheet=A0&amp;row=2737&amp;col=6&amp;number=82600000&amp;sourceID=14","82600000")</f>
        <v>82600000</v>
      </c>
      <c r="G2737" s="4" t="str">
        <f>HYPERLINK("http://141.218.60.56/~jnz1568/getInfo.php?workbook=10_05.xlsx&amp;sheet=A0&amp;row=2737&amp;col=7&amp;number=0&amp;sourceID=14","0")</f>
        <v>0</v>
      </c>
    </row>
    <row r="2738" spans="1:7">
      <c r="A2738" s="3">
        <v>10</v>
      </c>
      <c r="B2738" s="3">
        <v>5</v>
      </c>
      <c r="C2738" s="3">
        <v>106</v>
      </c>
      <c r="D2738" s="3">
        <v>50</v>
      </c>
      <c r="E2738" s="3">
        <v>-575.484</v>
      </c>
      <c r="F2738" s="4" t="str">
        <f>HYPERLINK("http://141.218.60.56/~jnz1568/getInfo.php?workbook=10_05.xlsx&amp;sheet=A0&amp;row=2738&amp;col=6&amp;number=268000000&amp;sourceID=14","268000000")</f>
        <v>268000000</v>
      </c>
      <c r="G2738" s="4" t="str">
        <f>HYPERLINK("http://141.218.60.56/~jnz1568/getInfo.php?workbook=10_05.xlsx&amp;sheet=A0&amp;row=2738&amp;col=7&amp;number=0&amp;sourceID=14","0")</f>
        <v>0</v>
      </c>
    </row>
    <row r="2739" spans="1:7">
      <c r="A2739" s="3">
        <v>10</v>
      </c>
      <c r="B2739" s="3">
        <v>5</v>
      </c>
      <c r="C2739" s="3">
        <v>107</v>
      </c>
      <c r="D2739" s="3">
        <v>50</v>
      </c>
      <c r="E2739" s="3">
        <v>-574.565</v>
      </c>
      <c r="F2739" s="4" t="str">
        <f>HYPERLINK("http://141.218.60.56/~jnz1568/getInfo.php?workbook=10_05.xlsx&amp;sheet=A0&amp;row=2739&amp;col=6&amp;number=284000000&amp;sourceID=14","284000000")</f>
        <v>284000000</v>
      </c>
      <c r="G2739" s="4" t="str">
        <f>HYPERLINK("http://141.218.60.56/~jnz1568/getInfo.php?workbook=10_05.xlsx&amp;sheet=A0&amp;row=2739&amp;col=7&amp;number=0&amp;sourceID=14","0")</f>
        <v>0</v>
      </c>
    </row>
    <row r="2740" spans="1:7">
      <c r="A2740" s="3">
        <v>10</v>
      </c>
      <c r="B2740" s="3">
        <v>5</v>
      </c>
      <c r="C2740" s="3">
        <v>109</v>
      </c>
      <c r="D2740" s="3">
        <v>50</v>
      </c>
      <c r="E2740" s="3">
        <v>-572.25</v>
      </c>
      <c r="F2740" s="4" t="str">
        <f>HYPERLINK("http://141.218.60.56/~jnz1568/getInfo.php?workbook=10_05.xlsx&amp;sheet=A0&amp;row=2740&amp;col=6&amp;number=13200000&amp;sourceID=14","13200000")</f>
        <v>13200000</v>
      </c>
      <c r="G2740" s="4" t="str">
        <f>HYPERLINK("http://141.218.60.56/~jnz1568/getInfo.php?workbook=10_05.xlsx&amp;sheet=A0&amp;row=2740&amp;col=7&amp;number=0&amp;sourceID=14","0")</f>
        <v>0</v>
      </c>
    </row>
    <row r="2741" spans="1:7">
      <c r="A2741" s="3">
        <v>10</v>
      </c>
      <c r="B2741" s="3">
        <v>5</v>
      </c>
      <c r="C2741" s="3">
        <v>111</v>
      </c>
      <c r="D2741" s="3">
        <v>50</v>
      </c>
      <c r="E2741" s="3">
        <v>-570.299</v>
      </c>
      <c r="F2741" s="4" t="str">
        <f>HYPERLINK("http://141.218.60.56/~jnz1568/getInfo.php?workbook=10_05.xlsx&amp;sheet=A0&amp;row=2741&amp;col=6&amp;number=32900000&amp;sourceID=14","32900000")</f>
        <v>32900000</v>
      </c>
      <c r="G2741" s="4" t="str">
        <f>HYPERLINK("http://141.218.60.56/~jnz1568/getInfo.php?workbook=10_05.xlsx&amp;sheet=A0&amp;row=2741&amp;col=7&amp;number=0&amp;sourceID=14","0")</f>
        <v>0</v>
      </c>
    </row>
    <row r="2742" spans="1:7">
      <c r="A2742" s="3">
        <v>10</v>
      </c>
      <c r="B2742" s="3">
        <v>5</v>
      </c>
      <c r="C2742" s="3">
        <v>115</v>
      </c>
      <c r="D2742" s="3">
        <v>50</v>
      </c>
      <c r="E2742" s="3">
        <v>-548.761</v>
      </c>
      <c r="F2742" s="4" t="str">
        <f>HYPERLINK("http://141.218.60.56/~jnz1568/getInfo.php?workbook=10_05.xlsx&amp;sheet=A0&amp;row=2742&amp;col=6&amp;number=1700000&amp;sourceID=14","1700000")</f>
        <v>1700000</v>
      </c>
      <c r="G2742" s="4" t="str">
        <f>HYPERLINK("http://141.218.60.56/~jnz1568/getInfo.php?workbook=10_05.xlsx&amp;sheet=A0&amp;row=2742&amp;col=7&amp;number=0&amp;sourceID=14","0")</f>
        <v>0</v>
      </c>
    </row>
    <row r="2743" spans="1:7">
      <c r="A2743" s="3">
        <v>10</v>
      </c>
      <c r="B2743" s="3">
        <v>5</v>
      </c>
      <c r="C2743" s="3">
        <v>117</v>
      </c>
      <c r="D2743" s="3">
        <v>50</v>
      </c>
      <c r="E2743" s="3">
        <v>-545.427</v>
      </c>
      <c r="F2743" s="4" t="str">
        <f>HYPERLINK("http://141.218.60.56/~jnz1568/getInfo.php?workbook=10_05.xlsx&amp;sheet=A0&amp;row=2743&amp;col=6&amp;number=156000000&amp;sourceID=14","156000000")</f>
        <v>156000000</v>
      </c>
      <c r="G2743" s="4" t="str">
        <f>HYPERLINK("http://141.218.60.56/~jnz1568/getInfo.php?workbook=10_05.xlsx&amp;sheet=A0&amp;row=2743&amp;col=7&amp;number=0&amp;sourceID=14","0")</f>
        <v>0</v>
      </c>
    </row>
    <row r="2744" spans="1:7">
      <c r="A2744" s="3">
        <v>10</v>
      </c>
      <c r="B2744" s="3">
        <v>5</v>
      </c>
      <c r="C2744" s="3">
        <v>118</v>
      </c>
      <c r="D2744" s="3">
        <v>50</v>
      </c>
      <c r="E2744" s="3">
        <v>-545.186</v>
      </c>
      <c r="F2744" s="4" t="str">
        <f>HYPERLINK("http://141.218.60.56/~jnz1568/getInfo.php?workbook=10_05.xlsx&amp;sheet=A0&amp;row=2744&amp;col=6&amp;number=35700000&amp;sourceID=14","35700000")</f>
        <v>35700000</v>
      </c>
      <c r="G2744" s="4" t="str">
        <f>HYPERLINK("http://141.218.60.56/~jnz1568/getInfo.php?workbook=10_05.xlsx&amp;sheet=A0&amp;row=2744&amp;col=7&amp;number=0&amp;sourceID=14","0")</f>
        <v>0</v>
      </c>
    </row>
    <row r="2745" spans="1:7">
      <c r="A2745" s="3">
        <v>10</v>
      </c>
      <c r="B2745" s="3">
        <v>5</v>
      </c>
      <c r="C2745" s="3">
        <v>119</v>
      </c>
      <c r="D2745" s="3">
        <v>50</v>
      </c>
      <c r="E2745" s="3">
        <v>-545.037</v>
      </c>
      <c r="F2745" s="4" t="str">
        <f>HYPERLINK("http://141.218.60.56/~jnz1568/getInfo.php?workbook=10_05.xlsx&amp;sheet=A0&amp;row=2745&amp;col=6&amp;number=512000000&amp;sourceID=14","512000000")</f>
        <v>512000000</v>
      </c>
      <c r="G2745" s="4" t="str">
        <f>HYPERLINK("http://141.218.60.56/~jnz1568/getInfo.php?workbook=10_05.xlsx&amp;sheet=A0&amp;row=2745&amp;col=7&amp;number=0&amp;sourceID=14","0")</f>
        <v>0</v>
      </c>
    </row>
    <row r="2746" spans="1:7">
      <c r="A2746" s="3">
        <v>10</v>
      </c>
      <c r="B2746" s="3">
        <v>5</v>
      </c>
      <c r="C2746" s="3">
        <v>120</v>
      </c>
      <c r="D2746" s="3">
        <v>50</v>
      </c>
      <c r="E2746" s="3">
        <v>-535.806</v>
      </c>
      <c r="F2746" s="4" t="str">
        <f>HYPERLINK("http://141.218.60.56/~jnz1568/getInfo.php?workbook=10_05.xlsx&amp;sheet=A0&amp;row=2746&amp;col=6&amp;number=110000000&amp;sourceID=14","110000000")</f>
        <v>110000000</v>
      </c>
      <c r="G2746" s="4" t="str">
        <f>HYPERLINK("http://141.218.60.56/~jnz1568/getInfo.php?workbook=10_05.xlsx&amp;sheet=A0&amp;row=2746&amp;col=7&amp;number=0&amp;sourceID=14","0")</f>
        <v>0</v>
      </c>
    </row>
    <row r="2747" spans="1:7">
      <c r="A2747" s="3">
        <v>10</v>
      </c>
      <c r="B2747" s="3">
        <v>5</v>
      </c>
      <c r="C2747" s="3">
        <v>121</v>
      </c>
      <c r="D2747" s="3">
        <v>50</v>
      </c>
      <c r="E2747" s="3">
        <v>-535.164</v>
      </c>
      <c r="F2747" s="4" t="str">
        <f>HYPERLINK("http://141.218.60.56/~jnz1568/getInfo.php?workbook=10_05.xlsx&amp;sheet=A0&amp;row=2747&amp;col=6&amp;number=338000000&amp;sourceID=14","338000000")</f>
        <v>338000000</v>
      </c>
      <c r="G2747" s="4" t="str">
        <f>HYPERLINK("http://141.218.60.56/~jnz1568/getInfo.php?workbook=10_05.xlsx&amp;sheet=A0&amp;row=2747&amp;col=7&amp;number=0&amp;sourceID=14","0")</f>
        <v>0</v>
      </c>
    </row>
    <row r="2748" spans="1:7">
      <c r="A2748" s="3">
        <v>10</v>
      </c>
      <c r="B2748" s="3">
        <v>5</v>
      </c>
      <c r="C2748" s="3">
        <v>122</v>
      </c>
      <c r="D2748" s="3">
        <v>50</v>
      </c>
      <c r="E2748" s="3">
        <v>-534.106</v>
      </c>
      <c r="F2748" s="4" t="str">
        <f>HYPERLINK("http://141.218.60.56/~jnz1568/getInfo.php?workbook=10_05.xlsx&amp;sheet=A0&amp;row=2748&amp;col=6&amp;number=402000000&amp;sourceID=14","402000000")</f>
        <v>402000000</v>
      </c>
      <c r="G2748" s="4" t="str">
        <f>HYPERLINK("http://141.218.60.56/~jnz1568/getInfo.php?workbook=10_05.xlsx&amp;sheet=A0&amp;row=2748&amp;col=7&amp;number=0&amp;sourceID=14","0")</f>
        <v>0</v>
      </c>
    </row>
    <row r="2749" spans="1:7">
      <c r="A2749" s="3">
        <v>10</v>
      </c>
      <c r="B2749" s="3">
        <v>5</v>
      </c>
      <c r="C2749" s="3">
        <v>123</v>
      </c>
      <c r="D2749" s="3">
        <v>50</v>
      </c>
      <c r="E2749" s="3">
        <v>-533.269</v>
      </c>
      <c r="F2749" s="4" t="str">
        <f>HYPERLINK("http://141.218.60.56/~jnz1568/getInfo.php?workbook=10_05.xlsx&amp;sheet=A0&amp;row=2749&amp;col=6&amp;number=577000000&amp;sourceID=14","577000000")</f>
        <v>577000000</v>
      </c>
      <c r="G2749" s="4" t="str">
        <f>HYPERLINK("http://141.218.60.56/~jnz1568/getInfo.php?workbook=10_05.xlsx&amp;sheet=A0&amp;row=2749&amp;col=7&amp;number=0&amp;sourceID=14","0")</f>
        <v>0</v>
      </c>
    </row>
    <row r="2750" spans="1:7">
      <c r="A2750" s="3">
        <v>10</v>
      </c>
      <c r="B2750" s="3">
        <v>5</v>
      </c>
      <c r="C2750" s="3">
        <v>125</v>
      </c>
      <c r="D2750" s="3">
        <v>50</v>
      </c>
      <c r="E2750" s="3">
        <v>-530.063</v>
      </c>
      <c r="F2750" s="4" t="str">
        <f>HYPERLINK("http://141.218.60.56/~jnz1568/getInfo.php?workbook=10_05.xlsx&amp;sheet=A0&amp;row=2750&amp;col=6&amp;number=2640000&amp;sourceID=14","2640000")</f>
        <v>2640000</v>
      </c>
      <c r="G2750" s="4" t="str">
        <f>HYPERLINK("http://141.218.60.56/~jnz1568/getInfo.php?workbook=10_05.xlsx&amp;sheet=A0&amp;row=2750&amp;col=7&amp;number=0&amp;sourceID=14","0")</f>
        <v>0</v>
      </c>
    </row>
    <row r="2751" spans="1:7">
      <c r="A2751" s="3">
        <v>10</v>
      </c>
      <c r="B2751" s="3">
        <v>5</v>
      </c>
      <c r="C2751" s="3">
        <v>126</v>
      </c>
      <c r="D2751" s="3">
        <v>50</v>
      </c>
      <c r="E2751" s="3">
        <v>-529.292</v>
      </c>
      <c r="F2751" s="4" t="str">
        <f>HYPERLINK("http://141.218.60.56/~jnz1568/getInfo.php?workbook=10_05.xlsx&amp;sheet=A0&amp;row=2751&amp;col=6&amp;number=42800000&amp;sourceID=14","42800000")</f>
        <v>42800000</v>
      </c>
      <c r="G2751" s="4" t="str">
        <f>HYPERLINK("http://141.218.60.56/~jnz1568/getInfo.php?workbook=10_05.xlsx&amp;sheet=A0&amp;row=2751&amp;col=7&amp;number=0&amp;sourceID=14","0")</f>
        <v>0</v>
      </c>
    </row>
    <row r="2752" spans="1:7">
      <c r="A2752" s="3">
        <v>10</v>
      </c>
      <c r="B2752" s="3">
        <v>5</v>
      </c>
      <c r="C2752" s="3">
        <v>129</v>
      </c>
      <c r="D2752" s="3">
        <v>50</v>
      </c>
      <c r="E2752" s="3">
        <v>521.541</v>
      </c>
      <c r="F2752" s="4" t="str">
        <f>HYPERLINK("http://141.218.60.56/~jnz1568/getInfo.php?workbook=10_05.xlsx&amp;sheet=A0&amp;row=2752&amp;col=6&amp;number=1410000&amp;sourceID=14","1410000")</f>
        <v>1410000</v>
      </c>
      <c r="G2752" s="4" t="str">
        <f>HYPERLINK("http://141.218.60.56/~jnz1568/getInfo.php?workbook=10_05.xlsx&amp;sheet=A0&amp;row=2752&amp;col=7&amp;number=0&amp;sourceID=14","0")</f>
        <v>0</v>
      </c>
    </row>
    <row r="2753" spans="1:7">
      <c r="A2753" s="3">
        <v>10</v>
      </c>
      <c r="B2753" s="3">
        <v>5</v>
      </c>
      <c r="C2753" s="3">
        <v>130</v>
      </c>
      <c r="D2753" s="3">
        <v>50</v>
      </c>
      <c r="E2753" s="3">
        <v>521.541</v>
      </c>
      <c r="F2753" s="4" t="str">
        <f>HYPERLINK("http://141.218.60.56/~jnz1568/getInfo.php?workbook=10_05.xlsx&amp;sheet=A0&amp;row=2753&amp;col=6&amp;number=56900000&amp;sourceID=14","56900000")</f>
        <v>56900000</v>
      </c>
      <c r="G2753" s="4" t="str">
        <f>HYPERLINK("http://141.218.60.56/~jnz1568/getInfo.php?workbook=10_05.xlsx&amp;sheet=A0&amp;row=2753&amp;col=7&amp;number=0&amp;sourceID=14","0")</f>
        <v>0</v>
      </c>
    </row>
    <row r="2754" spans="1:7">
      <c r="A2754" s="3">
        <v>10</v>
      </c>
      <c r="B2754" s="3">
        <v>5</v>
      </c>
      <c r="C2754" s="3">
        <v>131</v>
      </c>
      <c r="D2754" s="3">
        <v>50</v>
      </c>
      <c r="E2754" s="3">
        <v>-520.052</v>
      </c>
      <c r="F2754" s="4" t="str">
        <f>HYPERLINK("http://141.218.60.56/~jnz1568/getInfo.php?workbook=10_05.xlsx&amp;sheet=A0&amp;row=2754&amp;col=6&amp;number=739000000&amp;sourceID=14","739000000")</f>
        <v>739000000</v>
      </c>
      <c r="G2754" s="4" t="str">
        <f>HYPERLINK("http://141.218.60.56/~jnz1568/getInfo.php?workbook=10_05.xlsx&amp;sheet=A0&amp;row=2754&amp;col=7&amp;number=0&amp;sourceID=14","0")</f>
        <v>0</v>
      </c>
    </row>
    <row r="2755" spans="1:7">
      <c r="A2755" s="3">
        <v>10</v>
      </c>
      <c r="B2755" s="3">
        <v>5</v>
      </c>
      <c r="C2755" s="3">
        <v>132</v>
      </c>
      <c r="D2755" s="3">
        <v>50</v>
      </c>
      <c r="E2755" s="3">
        <v>-519.654</v>
      </c>
      <c r="F2755" s="4" t="str">
        <f>HYPERLINK("http://141.218.60.56/~jnz1568/getInfo.php?workbook=10_05.xlsx&amp;sheet=A0&amp;row=2755&amp;col=6&amp;number=113000000&amp;sourceID=14","113000000")</f>
        <v>113000000</v>
      </c>
      <c r="G2755" s="4" t="str">
        <f>HYPERLINK("http://141.218.60.56/~jnz1568/getInfo.php?workbook=10_05.xlsx&amp;sheet=A0&amp;row=2755&amp;col=7&amp;number=0&amp;sourceID=14","0")</f>
        <v>0</v>
      </c>
    </row>
    <row r="2756" spans="1:7">
      <c r="A2756" s="3">
        <v>10</v>
      </c>
      <c r="B2756" s="3">
        <v>5</v>
      </c>
      <c r="C2756" s="3">
        <v>133</v>
      </c>
      <c r="D2756" s="3">
        <v>50</v>
      </c>
      <c r="E2756" s="3">
        <v>-519.093</v>
      </c>
      <c r="F2756" s="4" t="str">
        <f>HYPERLINK("http://141.218.60.56/~jnz1568/getInfo.php?workbook=10_05.xlsx&amp;sheet=A0&amp;row=2756&amp;col=6&amp;number=218000000&amp;sourceID=14","218000000")</f>
        <v>218000000</v>
      </c>
      <c r="G2756" s="4" t="str">
        <f>HYPERLINK("http://141.218.60.56/~jnz1568/getInfo.php?workbook=10_05.xlsx&amp;sheet=A0&amp;row=2756&amp;col=7&amp;number=0&amp;sourceID=14","0")</f>
        <v>0</v>
      </c>
    </row>
    <row r="2757" spans="1:7">
      <c r="A2757" s="3">
        <v>10</v>
      </c>
      <c r="B2757" s="3">
        <v>5</v>
      </c>
      <c r="C2757" s="3">
        <v>140</v>
      </c>
      <c r="D2757" s="3">
        <v>50</v>
      </c>
      <c r="E2757" s="3">
        <v>-506.376</v>
      </c>
      <c r="F2757" s="4" t="str">
        <f>HYPERLINK("http://141.218.60.56/~jnz1568/getInfo.php?workbook=10_05.xlsx&amp;sheet=A0&amp;row=2757&amp;col=6&amp;number=133000&amp;sourceID=14","133000")</f>
        <v>133000</v>
      </c>
      <c r="G2757" s="4" t="str">
        <f>HYPERLINK("http://141.218.60.56/~jnz1568/getInfo.php?workbook=10_05.xlsx&amp;sheet=A0&amp;row=2757&amp;col=7&amp;number=0&amp;sourceID=14","0")</f>
        <v>0</v>
      </c>
    </row>
    <row r="2758" spans="1:7">
      <c r="A2758" s="3">
        <v>10</v>
      </c>
      <c r="B2758" s="3">
        <v>5</v>
      </c>
      <c r="C2758" s="3">
        <v>150</v>
      </c>
      <c r="D2758" s="3">
        <v>50</v>
      </c>
      <c r="E2758" s="3">
        <v>-489.192</v>
      </c>
      <c r="F2758" s="4" t="str">
        <f>HYPERLINK("http://141.218.60.56/~jnz1568/getInfo.php?workbook=10_05.xlsx&amp;sheet=A0&amp;row=2758&amp;col=6&amp;number=84200&amp;sourceID=14","84200")</f>
        <v>84200</v>
      </c>
      <c r="G2758" s="4" t="str">
        <f>HYPERLINK("http://141.218.60.56/~jnz1568/getInfo.php?workbook=10_05.xlsx&amp;sheet=A0&amp;row=2758&amp;col=7&amp;number=0&amp;sourceID=14","0")</f>
        <v>0</v>
      </c>
    </row>
    <row r="2759" spans="1:7">
      <c r="A2759" s="3">
        <v>10</v>
      </c>
      <c r="B2759" s="3">
        <v>5</v>
      </c>
      <c r="C2759" s="3">
        <v>151</v>
      </c>
      <c r="D2759" s="3">
        <v>50</v>
      </c>
      <c r="E2759" s="3">
        <v>-489.14</v>
      </c>
      <c r="F2759" s="4" t="str">
        <f>HYPERLINK("http://141.218.60.56/~jnz1568/getInfo.php?workbook=10_05.xlsx&amp;sheet=A0&amp;row=2759&amp;col=6&amp;number=61800&amp;sourceID=14","61800")</f>
        <v>61800</v>
      </c>
      <c r="G2759" s="4" t="str">
        <f>HYPERLINK("http://141.218.60.56/~jnz1568/getInfo.php?workbook=10_05.xlsx&amp;sheet=A0&amp;row=2759&amp;col=7&amp;number=0&amp;sourceID=14","0")</f>
        <v>0</v>
      </c>
    </row>
    <row r="2760" spans="1:7">
      <c r="A2760" s="3">
        <v>10</v>
      </c>
      <c r="B2760" s="3">
        <v>5</v>
      </c>
      <c r="C2760" s="3">
        <v>155</v>
      </c>
      <c r="D2760" s="3">
        <v>50</v>
      </c>
      <c r="E2760" s="3">
        <v>481.441</v>
      </c>
      <c r="F2760" s="4" t="str">
        <f>HYPERLINK("http://141.218.60.56/~jnz1568/getInfo.php?workbook=10_05.xlsx&amp;sheet=A0&amp;row=2760&amp;col=6&amp;number=752000&amp;sourceID=14","752000")</f>
        <v>752000</v>
      </c>
      <c r="G2760" s="4" t="str">
        <f>HYPERLINK("http://141.218.60.56/~jnz1568/getInfo.php?workbook=10_05.xlsx&amp;sheet=A0&amp;row=2760&amp;col=7&amp;number=0&amp;sourceID=14","0")</f>
        <v>0</v>
      </c>
    </row>
    <row r="2761" spans="1:7">
      <c r="A2761" s="3">
        <v>10</v>
      </c>
      <c r="B2761" s="3">
        <v>5</v>
      </c>
      <c r="C2761" s="3">
        <v>156</v>
      </c>
      <c r="D2761" s="3">
        <v>50</v>
      </c>
      <c r="E2761" s="3">
        <v>-479.527</v>
      </c>
      <c r="F2761" s="4" t="str">
        <f>HYPERLINK("http://141.218.60.56/~jnz1568/getInfo.php?workbook=10_05.xlsx&amp;sheet=A0&amp;row=2761&amp;col=6&amp;number=533000&amp;sourceID=14","533000")</f>
        <v>533000</v>
      </c>
      <c r="G2761" s="4" t="str">
        <f>HYPERLINK("http://141.218.60.56/~jnz1568/getInfo.php?workbook=10_05.xlsx&amp;sheet=A0&amp;row=2761&amp;col=7&amp;number=0&amp;sourceID=14","0")</f>
        <v>0</v>
      </c>
    </row>
    <row r="2762" spans="1:7">
      <c r="A2762" s="3">
        <v>10</v>
      </c>
      <c r="B2762" s="3">
        <v>5</v>
      </c>
      <c r="C2762" s="3">
        <v>157</v>
      </c>
      <c r="D2762" s="3">
        <v>50</v>
      </c>
      <c r="E2762" s="3">
        <v>-479.116</v>
      </c>
      <c r="F2762" s="4" t="str">
        <f>HYPERLINK("http://141.218.60.56/~jnz1568/getInfo.php?workbook=10_05.xlsx&amp;sheet=A0&amp;row=2762&amp;col=6&amp;number=519000&amp;sourceID=14","519000")</f>
        <v>519000</v>
      </c>
      <c r="G2762" s="4" t="str">
        <f>HYPERLINK("http://141.218.60.56/~jnz1568/getInfo.php?workbook=10_05.xlsx&amp;sheet=A0&amp;row=2762&amp;col=7&amp;number=0&amp;sourceID=14","0")</f>
        <v>0</v>
      </c>
    </row>
    <row r="2763" spans="1:7">
      <c r="A2763" s="3">
        <v>10</v>
      </c>
      <c r="B2763" s="3">
        <v>5</v>
      </c>
      <c r="C2763" s="3">
        <v>160</v>
      </c>
      <c r="D2763" s="3">
        <v>50</v>
      </c>
      <c r="E2763" s="3">
        <v>-476.228</v>
      </c>
      <c r="F2763" s="4" t="str">
        <f>HYPERLINK("http://141.218.60.56/~jnz1568/getInfo.php?workbook=10_05.xlsx&amp;sheet=A0&amp;row=2763&amp;col=6&amp;number=202000&amp;sourceID=14","202000")</f>
        <v>202000</v>
      </c>
      <c r="G2763" s="4" t="str">
        <f>HYPERLINK("http://141.218.60.56/~jnz1568/getInfo.php?workbook=10_05.xlsx&amp;sheet=A0&amp;row=2763&amp;col=7&amp;number=0&amp;sourceID=14","0")</f>
        <v>0</v>
      </c>
    </row>
    <row r="2764" spans="1:7">
      <c r="A2764" s="3">
        <v>10</v>
      </c>
      <c r="B2764" s="3">
        <v>5</v>
      </c>
      <c r="C2764" s="3">
        <v>161</v>
      </c>
      <c r="D2764" s="3">
        <v>50</v>
      </c>
      <c r="E2764" s="3">
        <v>475.512</v>
      </c>
      <c r="F2764" s="4" t="str">
        <f>HYPERLINK("http://141.218.60.56/~jnz1568/getInfo.php?workbook=10_05.xlsx&amp;sheet=A0&amp;row=2764&amp;col=6&amp;number=1030000&amp;sourceID=14","1030000")</f>
        <v>1030000</v>
      </c>
      <c r="G2764" s="4" t="str">
        <f>HYPERLINK("http://141.218.60.56/~jnz1568/getInfo.php?workbook=10_05.xlsx&amp;sheet=A0&amp;row=2764&amp;col=7&amp;number=0&amp;sourceID=14","0")</f>
        <v>0</v>
      </c>
    </row>
    <row r="2765" spans="1:7">
      <c r="A2765" s="3">
        <v>10</v>
      </c>
      <c r="B2765" s="3">
        <v>5</v>
      </c>
      <c r="C2765" s="3">
        <v>162</v>
      </c>
      <c r="D2765" s="3">
        <v>50</v>
      </c>
      <c r="E2765" s="3">
        <v>474.835</v>
      </c>
      <c r="F2765" s="4" t="str">
        <f>HYPERLINK("http://141.218.60.56/~jnz1568/getInfo.php?workbook=10_05.xlsx&amp;sheet=A0&amp;row=2765&amp;col=6&amp;number=187000&amp;sourceID=14","187000")</f>
        <v>187000</v>
      </c>
      <c r="G2765" s="4" t="str">
        <f>HYPERLINK("http://141.218.60.56/~jnz1568/getInfo.php?workbook=10_05.xlsx&amp;sheet=A0&amp;row=2765&amp;col=7&amp;number=0&amp;sourceID=14","0")</f>
        <v>0</v>
      </c>
    </row>
    <row r="2766" spans="1:7">
      <c r="A2766" s="3">
        <v>10</v>
      </c>
      <c r="B2766" s="3">
        <v>5</v>
      </c>
      <c r="C2766" s="3">
        <v>163</v>
      </c>
      <c r="D2766" s="3">
        <v>50</v>
      </c>
      <c r="E2766" s="3">
        <v>-446.131</v>
      </c>
      <c r="F2766" s="4" t="str">
        <f>HYPERLINK("http://141.218.60.56/~jnz1568/getInfo.php?workbook=10_05.xlsx&amp;sheet=A0&amp;row=2766&amp;col=6&amp;number=301000&amp;sourceID=14","301000")</f>
        <v>301000</v>
      </c>
      <c r="G2766" s="4" t="str">
        <f>HYPERLINK("http://141.218.60.56/~jnz1568/getInfo.php?workbook=10_05.xlsx&amp;sheet=A0&amp;row=2766&amp;col=7&amp;number=0&amp;sourceID=14","0")</f>
        <v>0</v>
      </c>
    </row>
    <row r="2767" spans="1:7">
      <c r="A2767" s="3">
        <v>10</v>
      </c>
      <c r="B2767" s="3">
        <v>5</v>
      </c>
      <c r="C2767" s="3">
        <v>168</v>
      </c>
      <c r="D2767" s="3">
        <v>50</v>
      </c>
      <c r="E2767" s="3">
        <v>-343.857</v>
      </c>
      <c r="F2767" s="4" t="str">
        <f>HYPERLINK("http://141.218.60.56/~jnz1568/getInfo.php?workbook=10_05.xlsx&amp;sheet=A0&amp;row=2767&amp;col=6&amp;number=38&amp;sourceID=14","38")</f>
        <v>38</v>
      </c>
      <c r="G2767" s="4" t="str">
        <f>HYPERLINK("http://141.218.60.56/~jnz1568/getInfo.php?workbook=10_05.xlsx&amp;sheet=A0&amp;row=2767&amp;col=7&amp;number=0&amp;sourceID=14","0")</f>
        <v>0</v>
      </c>
    </row>
    <row r="2768" spans="1:7">
      <c r="A2768" s="3">
        <v>10</v>
      </c>
      <c r="B2768" s="3">
        <v>5</v>
      </c>
      <c r="C2768" s="3">
        <v>169</v>
      </c>
      <c r="D2768" s="3">
        <v>50</v>
      </c>
      <c r="E2768" s="3">
        <v>-343.8</v>
      </c>
      <c r="F2768" s="4" t="str">
        <f>HYPERLINK("http://141.218.60.56/~jnz1568/getInfo.php?workbook=10_05.xlsx&amp;sheet=A0&amp;row=2768&amp;col=6&amp;number=204000&amp;sourceID=14","204000")</f>
        <v>204000</v>
      </c>
      <c r="G2768" s="4" t="str">
        <f>HYPERLINK("http://141.218.60.56/~jnz1568/getInfo.php?workbook=10_05.xlsx&amp;sheet=A0&amp;row=2768&amp;col=7&amp;number=0&amp;sourceID=14","0")</f>
        <v>0</v>
      </c>
    </row>
    <row r="2769" spans="1:7">
      <c r="A2769" s="3">
        <v>10</v>
      </c>
      <c r="B2769" s="3">
        <v>5</v>
      </c>
      <c r="C2769" s="3">
        <v>170</v>
      </c>
      <c r="D2769" s="3">
        <v>50</v>
      </c>
      <c r="E2769" s="3">
        <v>-333.07</v>
      </c>
      <c r="F2769" s="4" t="str">
        <f>HYPERLINK("http://141.218.60.56/~jnz1568/getInfo.php?workbook=10_05.xlsx&amp;sheet=A0&amp;row=2769&amp;col=6&amp;number=12200&amp;sourceID=14","12200")</f>
        <v>12200</v>
      </c>
      <c r="G2769" s="4" t="str">
        <f>HYPERLINK("http://141.218.60.56/~jnz1568/getInfo.php?workbook=10_05.xlsx&amp;sheet=A0&amp;row=2769&amp;col=7&amp;number=0&amp;sourceID=14","0")</f>
        <v>0</v>
      </c>
    </row>
    <row r="2770" spans="1:7">
      <c r="A2770" s="3">
        <v>10</v>
      </c>
      <c r="B2770" s="3">
        <v>5</v>
      </c>
      <c r="C2770" s="3">
        <v>171</v>
      </c>
      <c r="D2770" s="3">
        <v>50</v>
      </c>
      <c r="E2770" s="3">
        <v>-332.964</v>
      </c>
      <c r="F2770" s="4" t="str">
        <f>HYPERLINK("http://141.218.60.56/~jnz1568/getInfo.php?workbook=10_05.xlsx&amp;sheet=A0&amp;row=2770&amp;col=6&amp;number=0.537&amp;sourceID=14","0.537")</f>
        <v>0.537</v>
      </c>
      <c r="G2770" s="4" t="str">
        <f>HYPERLINK("http://141.218.60.56/~jnz1568/getInfo.php?workbook=10_05.xlsx&amp;sheet=A0&amp;row=2770&amp;col=7&amp;number=0&amp;sourceID=14","0")</f>
        <v>0</v>
      </c>
    </row>
    <row r="2771" spans="1:7">
      <c r="A2771" s="3">
        <v>10</v>
      </c>
      <c r="B2771" s="3">
        <v>5</v>
      </c>
      <c r="C2771" s="3">
        <v>172</v>
      </c>
      <c r="D2771" s="3">
        <v>50</v>
      </c>
      <c r="E2771" s="3">
        <v>-330.816</v>
      </c>
      <c r="F2771" s="4" t="str">
        <f>HYPERLINK("http://141.218.60.56/~jnz1568/getInfo.php?workbook=10_05.xlsx&amp;sheet=A0&amp;row=2771&amp;col=6&amp;number=16900&amp;sourceID=14","16900")</f>
        <v>16900</v>
      </c>
      <c r="G2771" s="4" t="str">
        <f>HYPERLINK("http://141.218.60.56/~jnz1568/getInfo.php?workbook=10_05.xlsx&amp;sheet=A0&amp;row=2771&amp;col=7&amp;number=0&amp;sourceID=14","0")</f>
        <v>0</v>
      </c>
    </row>
    <row r="2772" spans="1:7">
      <c r="A2772" s="3">
        <v>10</v>
      </c>
      <c r="B2772" s="3">
        <v>5</v>
      </c>
      <c r="C2772" s="3">
        <v>173</v>
      </c>
      <c r="D2772" s="3">
        <v>50</v>
      </c>
      <c r="E2772" s="3">
        <v>-330.791</v>
      </c>
      <c r="F2772" s="4" t="str">
        <f>HYPERLINK("http://141.218.60.56/~jnz1568/getInfo.php?workbook=10_05.xlsx&amp;sheet=A0&amp;row=2772&amp;col=6&amp;number=3850&amp;sourceID=14","3850")</f>
        <v>3850</v>
      </c>
      <c r="G2772" s="4" t="str">
        <f>HYPERLINK("http://141.218.60.56/~jnz1568/getInfo.php?workbook=10_05.xlsx&amp;sheet=A0&amp;row=2772&amp;col=7&amp;number=0&amp;sourceID=14","0")</f>
        <v>0</v>
      </c>
    </row>
    <row r="2773" spans="1:7">
      <c r="A2773" s="3">
        <v>10</v>
      </c>
      <c r="B2773" s="3">
        <v>5</v>
      </c>
      <c r="C2773" s="3">
        <v>174</v>
      </c>
      <c r="D2773" s="3">
        <v>50</v>
      </c>
      <c r="E2773" s="3">
        <v>-328.498</v>
      </c>
      <c r="F2773" s="4" t="str">
        <f>HYPERLINK("http://141.218.60.56/~jnz1568/getInfo.php?workbook=10_05.xlsx&amp;sheet=A0&amp;row=2773&amp;col=6&amp;number=7860&amp;sourceID=14","7860")</f>
        <v>7860</v>
      </c>
      <c r="G2773" s="4" t="str">
        <f>HYPERLINK("http://141.218.60.56/~jnz1568/getInfo.php?workbook=10_05.xlsx&amp;sheet=A0&amp;row=2773&amp;col=7&amp;number=0&amp;sourceID=14","0")</f>
        <v>0</v>
      </c>
    </row>
    <row r="2774" spans="1:7">
      <c r="A2774" s="3">
        <v>10</v>
      </c>
      <c r="B2774" s="3">
        <v>5</v>
      </c>
      <c r="C2774" s="3">
        <v>58</v>
      </c>
      <c r="D2774" s="3">
        <v>51</v>
      </c>
      <c r="E2774" s="3">
        <v>1966.572</v>
      </c>
      <c r="F2774" s="4" t="str">
        <f>HYPERLINK("http://141.218.60.56/~jnz1568/getInfo.php?workbook=10_05.xlsx&amp;sheet=A0&amp;row=2774&amp;col=6&amp;number=10.5&amp;sourceID=14","10.5")</f>
        <v>10.5</v>
      </c>
      <c r="G2774" s="4" t="str">
        <f>HYPERLINK("http://141.218.60.56/~jnz1568/getInfo.php?workbook=10_05.xlsx&amp;sheet=A0&amp;row=2774&amp;col=7&amp;number=0&amp;sourceID=14","0")</f>
        <v>0</v>
      </c>
    </row>
    <row r="2775" spans="1:7">
      <c r="A2775" s="3">
        <v>10</v>
      </c>
      <c r="B2775" s="3">
        <v>5</v>
      </c>
      <c r="C2775" s="3">
        <v>59</v>
      </c>
      <c r="D2775" s="3">
        <v>51</v>
      </c>
      <c r="E2775" s="3">
        <v>1857.014</v>
      </c>
      <c r="F2775" s="4" t="str">
        <f>HYPERLINK("http://141.218.60.56/~jnz1568/getInfo.php?workbook=10_05.xlsx&amp;sheet=A0&amp;row=2775&amp;col=6&amp;number=8.46&amp;sourceID=14","8.46")</f>
        <v>8.46</v>
      </c>
      <c r="G2775" s="4" t="str">
        <f>HYPERLINK("http://141.218.60.56/~jnz1568/getInfo.php?workbook=10_05.xlsx&amp;sheet=A0&amp;row=2775&amp;col=7&amp;number=0&amp;sourceID=14","0")</f>
        <v>0</v>
      </c>
    </row>
    <row r="2776" spans="1:7">
      <c r="A2776" s="3">
        <v>10</v>
      </c>
      <c r="B2776" s="3">
        <v>5</v>
      </c>
      <c r="C2776" s="3">
        <v>61</v>
      </c>
      <c r="D2776" s="3">
        <v>51</v>
      </c>
      <c r="E2776" s="3">
        <v>1801.805</v>
      </c>
      <c r="F2776" s="4" t="str">
        <f>HYPERLINK("http://141.218.60.56/~jnz1568/getInfo.php?workbook=10_05.xlsx&amp;sheet=A0&amp;row=2776&amp;col=6&amp;number=0.297&amp;sourceID=14","0.297")</f>
        <v>0.297</v>
      </c>
      <c r="G2776" s="4" t="str">
        <f>HYPERLINK("http://141.218.60.56/~jnz1568/getInfo.php?workbook=10_05.xlsx&amp;sheet=A0&amp;row=2776&amp;col=7&amp;number=0&amp;sourceID=14","0")</f>
        <v>0</v>
      </c>
    </row>
    <row r="2777" spans="1:7">
      <c r="A2777" s="3">
        <v>10</v>
      </c>
      <c r="B2777" s="3">
        <v>5</v>
      </c>
      <c r="C2777" s="3">
        <v>62</v>
      </c>
      <c r="D2777" s="3">
        <v>51</v>
      </c>
      <c r="E2777" s="3">
        <v>1792.118</v>
      </c>
      <c r="F2777" s="4" t="str">
        <f>HYPERLINK("http://141.218.60.56/~jnz1568/getInfo.php?workbook=10_05.xlsx&amp;sheet=A0&amp;row=2777&amp;col=6&amp;number=88.8&amp;sourceID=14","88.8")</f>
        <v>88.8</v>
      </c>
      <c r="G2777" s="4" t="str">
        <f>HYPERLINK("http://141.218.60.56/~jnz1568/getInfo.php?workbook=10_05.xlsx&amp;sheet=A0&amp;row=2777&amp;col=7&amp;number=0&amp;sourceID=14","0")</f>
        <v>0</v>
      </c>
    </row>
    <row r="2778" spans="1:7">
      <c r="A2778" s="3">
        <v>10</v>
      </c>
      <c r="B2778" s="3">
        <v>5</v>
      </c>
      <c r="C2778" s="3">
        <v>63</v>
      </c>
      <c r="D2778" s="3">
        <v>51</v>
      </c>
      <c r="E2778" s="3">
        <v>1616.818</v>
      </c>
      <c r="F2778" s="4" t="str">
        <f>HYPERLINK("http://141.218.60.56/~jnz1568/getInfo.php?workbook=10_05.xlsx&amp;sheet=A0&amp;row=2778&amp;col=6&amp;number=210&amp;sourceID=14","210")</f>
        <v>210</v>
      </c>
      <c r="G2778" s="4" t="str">
        <f>HYPERLINK("http://141.218.60.56/~jnz1568/getInfo.php?workbook=10_05.xlsx&amp;sheet=A0&amp;row=2778&amp;col=7&amp;number=0&amp;sourceID=14","0")</f>
        <v>0</v>
      </c>
    </row>
    <row r="2779" spans="1:7">
      <c r="A2779" s="3">
        <v>10</v>
      </c>
      <c r="B2779" s="3">
        <v>5</v>
      </c>
      <c r="C2779" s="3">
        <v>66</v>
      </c>
      <c r="D2779" s="3">
        <v>51</v>
      </c>
      <c r="E2779" s="3">
        <v>1150.75</v>
      </c>
      <c r="F2779" s="4" t="str">
        <f>HYPERLINK("http://141.218.60.56/~jnz1568/getInfo.php?workbook=10_05.xlsx&amp;sheet=A0&amp;row=2779&amp;col=6&amp;number=192&amp;sourceID=14","192")</f>
        <v>192</v>
      </c>
      <c r="G2779" s="4" t="str">
        <f>HYPERLINK("http://141.218.60.56/~jnz1568/getInfo.php?workbook=10_05.xlsx&amp;sheet=A0&amp;row=2779&amp;col=7&amp;number=0&amp;sourceID=14","0")</f>
        <v>0</v>
      </c>
    </row>
    <row r="2780" spans="1:7">
      <c r="A2780" s="3">
        <v>10</v>
      </c>
      <c r="B2780" s="3">
        <v>5</v>
      </c>
      <c r="C2780" s="3">
        <v>70</v>
      </c>
      <c r="D2780" s="3">
        <v>51</v>
      </c>
      <c r="E2780" s="3">
        <v>1097.938</v>
      </c>
      <c r="F2780" s="4" t="str">
        <f>HYPERLINK("http://141.218.60.56/~jnz1568/getInfo.php?workbook=10_05.xlsx&amp;sheet=A0&amp;row=2780&amp;col=6&amp;number=898000&amp;sourceID=14","898000")</f>
        <v>898000</v>
      </c>
      <c r="G2780" s="4" t="str">
        <f>HYPERLINK("http://141.218.60.56/~jnz1568/getInfo.php?workbook=10_05.xlsx&amp;sheet=A0&amp;row=2780&amp;col=7&amp;number=0&amp;sourceID=14","0")</f>
        <v>0</v>
      </c>
    </row>
    <row r="2781" spans="1:7">
      <c r="A2781" s="3">
        <v>10</v>
      </c>
      <c r="B2781" s="3">
        <v>5</v>
      </c>
      <c r="C2781" s="3">
        <v>71</v>
      </c>
      <c r="D2781" s="3">
        <v>51</v>
      </c>
      <c r="E2781" s="3">
        <v>1097.938</v>
      </c>
      <c r="F2781" s="4" t="str">
        <f>HYPERLINK("http://141.218.60.56/~jnz1568/getInfo.php?workbook=10_05.xlsx&amp;sheet=A0&amp;row=2781&amp;col=6&amp;number=3220000&amp;sourceID=14","3220000")</f>
        <v>3220000</v>
      </c>
      <c r="G2781" s="4" t="str">
        <f>HYPERLINK("http://141.218.60.56/~jnz1568/getInfo.php?workbook=10_05.xlsx&amp;sheet=A0&amp;row=2781&amp;col=7&amp;number=0&amp;sourceID=14","0")</f>
        <v>0</v>
      </c>
    </row>
    <row r="2782" spans="1:7">
      <c r="A2782" s="3">
        <v>10</v>
      </c>
      <c r="B2782" s="3">
        <v>5</v>
      </c>
      <c r="C2782" s="3">
        <v>77</v>
      </c>
      <c r="D2782" s="3">
        <v>51</v>
      </c>
      <c r="E2782" s="3">
        <v>-866.5</v>
      </c>
      <c r="F2782" s="4" t="str">
        <f>HYPERLINK("http://141.218.60.56/~jnz1568/getInfo.php?workbook=10_05.xlsx&amp;sheet=A0&amp;row=2782&amp;col=6&amp;number=11.3&amp;sourceID=14","11.3")</f>
        <v>11.3</v>
      </c>
      <c r="G2782" s="4" t="str">
        <f>HYPERLINK("http://141.218.60.56/~jnz1568/getInfo.php?workbook=10_05.xlsx&amp;sheet=A0&amp;row=2782&amp;col=7&amp;number=0&amp;sourceID=14","0")</f>
        <v>0</v>
      </c>
    </row>
    <row r="2783" spans="1:7">
      <c r="A2783" s="3">
        <v>10</v>
      </c>
      <c r="B2783" s="3">
        <v>5</v>
      </c>
      <c r="C2783" s="3">
        <v>78</v>
      </c>
      <c r="D2783" s="3">
        <v>51</v>
      </c>
      <c r="E2783" s="3">
        <v>-860.305</v>
      </c>
      <c r="F2783" s="4" t="str">
        <f>HYPERLINK("http://141.218.60.56/~jnz1568/getInfo.php?workbook=10_05.xlsx&amp;sheet=A0&amp;row=2783&amp;col=6&amp;number=934&amp;sourceID=14","934")</f>
        <v>934</v>
      </c>
      <c r="G2783" s="4" t="str">
        <f>HYPERLINK("http://141.218.60.56/~jnz1568/getInfo.php?workbook=10_05.xlsx&amp;sheet=A0&amp;row=2783&amp;col=7&amp;number=0&amp;sourceID=14","0")</f>
        <v>0</v>
      </c>
    </row>
    <row r="2784" spans="1:7">
      <c r="A2784" s="3">
        <v>10</v>
      </c>
      <c r="B2784" s="3">
        <v>5</v>
      </c>
      <c r="C2784" s="3">
        <v>80</v>
      </c>
      <c r="D2784" s="3">
        <v>51</v>
      </c>
      <c r="E2784" s="3">
        <v>805.933</v>
      </c>
      <c r="F2784" s="4" t="str">
        <f>HYPERLINK("http://141.218.60.56/~jnz1568/getInfo.php?workbook=10_05.xlsx&amp;sheet=A0&amp;row=2784&amp;col=6&amp;number=1570&amp;sourceID=14","1570")</f>
        <v>1570</v>
      </c>
      <c r="G2784" s="4" t="str">
        <f>HYPERLINK("http://141.218.60.56/~jnz1568/getInfo.php?workbook=10_05.xlsx&amp;sheet=A0&amp;row=2784&amp;col=7&amp;number=0&amp;sourceID=14","0")</f>
        <v>0</v>
      </c>
    </row>
    <row r="2785" spans="1:7">
      <c r="A2785" s="3">
        <v>10</v>
      </c>
      <c r="B2785" s="3">
        <v>5</v>
      </c>
      <c r="C2785" s="3">
        <v>99</v>
      </c>
      <c r="D2785" s="3">
        <v>51</v>
      </c>
      <c r="E2785" s="3">
        <v>-597.337</v>
      </c>
      <c r="F2785" s="4" t="str">
        <f>HYPERLINK("http://141.218.60.56/~jnz1568/getInfo.php?workbook=10_05.xlsx&amp;sheet=A0&amp;row=2785&amp;col=6&amp;number=18000&amp;sourceID=14","18000")</f>
        <v>18000</v>
      </c>
      <c r="G2785" s="4" t="str">
        <f>HYPERLINK("http://141.218.60.56/~jnz1568/getInfo.php?workbook=10_05.xlsx&amp;sheet=A0&amp;row=2785&amp;col=7&amp;number=0&amp;sourceID=14","0")</f>
        <v>0</v>
      </c>
    </row>
    <row r="2786" spans="1:7">
      <c r="A2786" s="3">
        <v>10</v>
      </c>
      <c r="B2786" s="3">
        <v>5</v>
      </c>
      <c r="C2786" s="3">
        <v>105</v>
      </c>
      <c r="D2786" s="3">
        <v>51</v>
      </c>
      <c r="E2786" s="3">
        <v>-576.739</v>
      </c>
      <c r="F2786" s="4" t="str">
        <f>HYPERLINK("http://141.218.60.56/~jnz1568/getInfo.php?workbook=10_05.xlsx&amp;sheet=A0&amp;row=2786&amp;col=6&amp;number=369000000&amp;sourceID=14","369000000")</f>
        <v>369000000</v>
      </c>
      <c r="G2786" s="4" t="str">
        <f>HYPERLINK("http://141.218.60.56/~jnz1568/getInfo.php?workbook=10_05.xlsx&amp;sheet=A0&amp;row=2786&amp;col=7&amp;number=0&amp;sourceID=14","0")</f>
        <v>0</v>
      </c>
    </row>
    <row r="2787" spans="1:7">
      <c r="A2787" s="3">
        <v>10</v>
      </c>
      <c r="B2787" s="3">
        <v>5</v>
      </c>
      <c r="C2787" s="3">
        <v>106</v>
      </c>
      <c r="D2787" s="3">
        <v>51</v>
      </c>
      <c r="E2787" s="3">
        <v>-576.323</v>
      </c>
      <c r="F2787" s="4" t="str">
        <f>HYPERLINK("http://141.218.60.56/~jnz1568/getInfo.php?workbook=10_05.xlsx&amp;sheet=A0&amp;row=2787&amp;col=6&amp;number=153000000&amp;sourceID=14","153000000")</f>
        <v>153000000</v>
      </c>
      <c r="G2787" s="4" t="str">
        <f>HYPERLINK("http://141.218.60.56/~jnz1568/getInfo.php?workbook=10_05.xlsx&amp;sheet=A0&amp;row=2787&amp;col=7&amp;number=0&amp;sourceID=14","0")</f>
        <v>0</v>
      </c>
    </row>
    <row r="2788" spans="1:7">
      <c r="A2788" s="3">
        <v>10</v>
      </c>
      <c r="B2788" s="3">
        <v>5</v>
      </c>
      <c r="C2788" s="3">
        <v>109</v>
      </c>
      <c r="D2788" s="3">
        <v>51</v>
      </c>
      <c r="E2788" s="3">
        <v>-573.08</v>
      </c>
      <c r="F2788" s="4" t="str">
        <f>HYPERLINK("http://141.218.60.56/~jnz1568/getInfo.php?workbook=10_05.xlsx&amp;sheet=A0&amp;row=2788&amp;col=6&amp;number=13600000&amp;sourceID=14","13600000")</f>
        <v>13600000</v>
      </c>
      <c r="G2788" s="4" t="str">
        <f>HYPERLINK("http://141.218.60.56/~jnz1568/getInfo.php?workbook=10_05.xlsx&amp;sheet=A0&amp;row=2788&amp;col=7&amp;number=0&amp;sourceID=14","0")</f>
        <v>0</v>
      </c>
    </row>
    <row r="2789" spans="1:7">
      <c r="A2789" s="3">
        <v>10</v>
      </c>
      <c r="B2789" s="3">
        <v>5</v>
      </c>
      <c r="C2789" s="3">
        <v>111</v>
      </c>
      <c r="D2789" s="3">
        <v>51</v>
      </c>
      <c r="E2789" s="3">
        <v>-571.123</v>
      </c>
      <c r="F2789" s="4" t="str">
        <f>HYPERLINK("http://141.218.60.56/~jnz1568/getInfo.php?workbook=10_05.xlsx&amp;sheet=A0&amp;row=2789&amp;col=6&amp;number=19800000&amp;sourceID=14","19800000")</f>
        <v>19800000</v>
      </c>
      <c r="G2789" s="4" t="str">
        <f>HYPERLINK("http://141.218.60.56/~jnz1568/getInfo.php?workbook=10_05.xlsx&amp;sheet=A0&amp;row=2789&amp;col=7&amp;number=0&amp;sourceID=14","0")</f>
        <v>0</v>
      </c>
    </row>
    <row r="2790" spans="1:7">
      <c r="A2790" s="3">
        <v>10</v>
      </c>
      <c r="B2790" s="3">
        <v>5</v>
      </c>
      <c r="C2790" s="3">
        <v>118</v>
      </c>
      <c r="D2790" s="3">
        <v>51</v>
      </c>
      <c r="E2790" s="3">
        <v>-545.939</v>
      </c>
      <c r="F2790" s="4" t="str">
        <f>HYPERLINK("http://141.218.60.56/~jnz1568/getInfo.php?workbook=10_05.xlsx&amp;sheet=A0&amp;row=2790&amp;col=6&amp;number=224000000&amp;sourceID=14","224000000")</f>
        <v>224000000</v>
      </c>
      <c r="G2790" s="4" t="str">
        <f>HYPERLINK("http://141.218.60.56/~jnz1568/getInfo.php?workbook=10_05.xlsx&amp;sheet=A0&amp;row=2790&amp;col=7&amp;number=0&amp;sourceID=14","0")</f>
        <v>0</v>
      </c>
    </row>
    <row r="2791" spans="1:7">
      <c r="A2791" s="3">
        <v>10</v>
      </c>
      <c r="B2791" s="3">
        <v>5</v>
      </c>
      <c r="C2791" s="3">
        <v>119</v>
      </c>
      <c r="D2791" s="3">
        <v>51</v>
      </c>
      <c r="E2791" s="3">
        <v>-545.79</v>
      </c>
      <c r="F2791" s="4" t="str">
        <f>HYPERLINK("http://141.218.60.56/~jnz1568/getInfo.php?workbook=10_05.xlsx&amp;sheet=A0&amp;row=2791&amp;col=6&amp;number=120000000&amp;sourceID=14","120000000")</f>
        <v>120000000</v>
      </c>
      <c r="G2791" s="4" t="str">
        <f>HYPERLINK("http://141.218.60.56/~jnz1568/getInfo.php?workbook=10_05.xlsx&amp;sheet=A0&amp;row=2791&amp;col=7&amp;number=0&amp;sourceID=14","0")</f>
        <v>0</v>
      </c>
    </row>
    <row r="2792" spans="1:7">
      <c r="A2792" s="3">
        <v>10</v>
      </c>
      <c r="B2792" s="3">
        <v>5</v>
      </c>
      <c r="C2792" s="3">
        <v>120</v>
      </c>
      <c r="D2792" s="3">
        <v>51</v>
      </c>
      <c r="E2792" s="3">
        <v>-536.533</v>
      </c>
      <c r="F2792" s="4" t="str">
        <f>HYPERLINK("http://141.218.60.56/~jnz1568/getInfo.php?workbook=10_05.xlsx&amp;sheet=A0&amp;row=2792&amp;col=6&amp;number=485000000&amp;sourceID=14","485000000")</f>
        <v>485000000</v>
      </c>
      <c r="G2792" s="4" t="str">
        <f>HYPERLINK("http://141.218.60.56/~jnz1568/getInfo.php?workbook=10_05.xlsx&amp;sheet=A0&amp;row=2792&amp;col=7&amp;number=0&amp;sourceID=14","0")</f>
        <v>0</v>
      </c>
    </row>
    <row r="2793" spans="1:7">
      <c r="A2793" s="3">
        <v>10</v>
      </c>
      <c r="B2793" s="3">
        <v>5</v>
      </c>
      <c r="C2793" s="3">
        <v>121</v>
      </c>
      <c r="D2793" s="3">
        <v>51</v>
      </c>
      <c r="E2793" s="3">
        <v>-535.889</v>
      </c>
      <c r="F2793" s="4" t="str">
        <f>HYPERLINK("http://141.218.60.56/~jnz1568/getInfo.php?workbook=10_05.xlsx&amp;sheet=A0&amp;row=2793&amp;col=6&amp;number=227000000&amp;sourceID=14","227000000")</f>
        <v>227000000</v>
      </c>
      <c r="G2793" s="4" t="str">
        <f>HYPERLINK("http://141.218.60.56/~jnz1568/getInfo.php?workbook=10_05.xlsx&amp;sheet=A0&amp;row=2793&amp;col=7&amp;number=0&amp;sourceID=14","0")</f>
        <v>0</v>
      </c>
    </row>
    <row r="2794" spans="1:7">
      <c r="A2794" s="3">
        <v>10</v>
      </c>
      <c r="B2794" s="3">
        <v>5</v>
      </c>
      <c r="C2794" s="3">
        <v>123</v>
      </c>
      <c r="D2794" s="3">
        <v>51</v>
      </c>
      <c r="E2794" s="3">
        <v>-533.989</v>
      </c>
      <c r="F2794" s="4" t="str">
        <f>HYPERLINK("http://141.218.60.56/~jnz1568/getInfo.php?workbook=10_05.xlsx&amp;sheet=A0&amp;row=2794&amp;col=6&amp;number=262000000&amp;sourceID=14","262000000")</f>
        <v>262000000</v>
      </c>
      <c r="G2794" s="4" t="str">
        <f>HYPERLINK("http://141.218.60.56/~jnz1568/getInfo.php?workbook=10_05.xlsx&amp;sheet=A0&amp;row=2794&amp;col=7&amp;number=0&amp;sourceID=14","0")</f>
        <v>0</v>
      </c>
    </row>
    <row r="2795" spans="1:7">
      <c r="A2795" s="3">
        <v>10</v>
      </c>
      <c r="B2795" s="3">
        <v>5</v>
      </c>
      <c r="C2795" s="3">
        <v>125</v>
      </c>
      <c r="D2795" s="3">
        <v>51</v>
      </c>
      <c r="E2795" s="3">
        <v>-530.775</v>
      </c>
      <c r="F2795" s="4" t="str">
        <f>HYPERLINK("http://141.218.60.56/~jnz1568/getInfo.php?workbook=10_05.xlsx&amp;sheet=A0&amp;row=2795&amp;col=6&amp;number=9380000&amp;sourceID=14","9380000")</f>
        <v>9380000</v>
      </c>
      <c r="G2795" s="4" t="str">
        <f>HYPERLINK("http://141.218.60.56/~jnz1568/getInfo.php?workbook=10_05.xlsx&amp;sheet=A0&amp;row=2795&amp;col=7&amp;number=0&amp;sourceID=14","0")</f>
        <v>0</v>
      </c>
    </row>
    <row r="2796" spans="1:7">
      <c r="A2796" s="3">
        <v>10</v>
      </c>
      <c r="B2796" s="3">
        <v>5</v>
      </c>
      <c r="C2796" s="3">
        <v>126</v>
      </c>
      <c r="D2796" s="3">
        <v>51</v>
      </c>
      <c r="E2796" s="3">
        <v>-530.002</v>
      </c>
      <c r="F2796" s="4" t="str">
        <f>HYPERLINK("http://141.218.60.56/~jnz1568/getInfo.php?workbook=10_05.xlsx&amp;sheet=A0&amp;row=2796&amp;col=6&amp;number=4770000&amp;sourceID=14","4770000")</f>
        <v>4770000</v>
      </c>
      <c r="G2796" s="4" t="str">
        <f>HYPERLINK("http://141.218.60.56/~jnz1568/getInfo.php?workbook=10_05.xlsx&amp;sheet=A0&amp;row=2796&amp;col=7&amp;number=0&amp;sourceID=14","0")</f>
        <v>0</v>
      </c>
    </row>
    <row r="2797" spans="1:7">
      <c r="A2797" s="3">
        <v>10</v>
      </c>
      <c r="B2797" s="3">
        <v>5</v>
      </c>
      <c r="C2797" s="3">
        <v>129</v>
      </c>
      <c r="D2797" s="3">
        <v>51</v>
      </c>
      <c r="E2797" s="3">
        <v>522.221</v>
      </c>
      <c r="F2797" s="4" t="str">
        <f>HYPERLINK("http://141.218.60.56/~jnz1568/getInfo.php?workbook=10_05.xlsx&amp;sheet=A0&amp;row=2797&amp;col=6&amp;number=1750000&amp;sourceID=14","1750000")</f>
        <v>1750000</v>
      </c>
      <c r="G2797" s="4" t="str">
        <f>HYPERLINK("http://141.218.60.56/~jnz1568/getInfo.php?workbook=10_05.xlsx&amp;sheet=A0&amp;row=2797&amp;col=7&amp;number=0&amp;sourceID=14","0")</f>
        <v>0</v>
      </c>
    </row>
    <row r="2798" spans="1:7">
      <c r="A2798" s="3">
        <v>10</v>
      </c>
      <c r="B2798" s="3">
        <v>5</v>
      </c>
      <c r="C2798" s="3">
        <v>131</v>
      </c>
      <c r="D2798" s="3">
        <v>51</v>
      </c>
      <c r="E2798" s="3">
        <v>-520.737</v>
      </c>
      <c r="F2798" s="4" t="str">
        <f>HYPERLINK("http://141.218.60.56/~jnz1568/getInfo.php?workbook=10_05.xlsx&amp;sheet=A0&amp;row=2798&amp;col=6&amp;number=174000000&amp;sourceID=14","174000000")</f>
        <v>174000000</v>
      </c>
      <c r="G2798" s="4" t="str">
        <f>HYPERLINK("http://141.218.60.56/~jnz1568/getInfo.php?workbook=10_05.xlsx&amp;sheet=A0&amp;row=2798&amp;col=7&amp;number=0&amp;sourceID=14","0")</f>
        <v>0</v>
      </c>
    </row>
    <row r="2799" spans="1:7">
      <c r="A2799" s="3">
        <v>10</v>
      </c>
      <c r="B2799" s="3">
        <v>5</v>
      </c>
      <c r="C2799" s="3">
        <v>132</v>
      </c>
      <c r="D2799" s="3">
        <v>51</v>
      </c>
      <c r="E2799" s="3">
        <v>-520.338</v>
      </c>
      <c r="F2799" s="4" t="str">
        <f>HYPERLINK("http://141.218.60.56/~jnz1568/getInfo.php?workbook=10_05.xlsx&amp;sheet=A0&amp;row=2799&amp;col=6&amp;number=425000000&amp;sourceID=14","425000000")</f>
        <v>425000000</v>
      </c>
      <c r="G2799" s="4" t="str">
        <f>HYPERLINK("http://141.218.60.56/~jnz1568/getInfo.php?workbook=10_05.xlsx&amp;sheet=A0&amp;row=2799&amp;col=7&amp;number=0&amp;sourceID=14","0")</f>
        <v>0</v>
      </c>
    </row>
    <row r="2800" spans="1:7">
      <c r="A2800" s="3">
        <v>10</v>
      </c>
      <c r="B2800" s="3">
        <v>5</v>
      </c>
      <c r="C2800" s="3">
        <v>140</v>
      </c>
      <c r="D2800" s="3">
        <v>51</v>
      </c>
      <c r="E2800" s="3">
        <v>-507.026</v>
      </c>
      <c r="F2800" s="4" t="str">
        <f>HYPERLINK("http://141.218.60.56/~jnz1568/getInfo.php?workbook=10_05.xlsx&amp;sheet=A0&amp;row=2800&amp;col=6&amp;number=40100&amp;sourceID=14","40100")</f>
        <v>40100</v>
      </c>
      <c r="G2800" s="4" t="str">
        <f>HYPERLINK("http://141.218.60.56/~jnz1568/getInfo.php?workbook=10_05.xlsx&amp;sheet=A0&amp;row=2800&amp;col=7&amp;number=0&amp;sourceID=14","0")</f>
        <v>0</v>
      </c>
    </row>
    <row r="2801" spans="1:7">
      <c r="A2801" s="3">
        <v>10</v>
      </c>
      <c r="B2801" s="3">
        <v>5</v>
      </c>
      <c r="C2801" s="3">
        <v>150</v>
      </c>
      <c r="D2801" s="3">
        <v>51</v>
      </c>
      <c r="E2801" s="3">
        <v>-489.798</v>
      </c>
      <c r="F2801" s="4" t="str">
        <f>HYPERLINK("http://141.218.60.56/~jnz1568/getInfo.php?workbook=10_05.xlsx&amp;sheet=A0&amp;row=2801&amp;col=6&amp;number=46700&amp;sourceID=14","46700")</f>
        <v>46700</v>
      </c>
      <c r="G2801" s="4" t="str">
        <f>HYPERLINK("http://141.218.60.56/~jnz1568/getInfo.php?workbook=10_05.xlsx&amp;sheet=A0&amp;row=2801&amp;col=7&amp;number=0&amp;sourceID=14","0")</f>
        <v>0</v>
      </c>
    </row>
    <row r="2802" spans="1:7">
      <c r="A2802" s="3">
        <v>10</v>
      </c>
      <c r="B2802" s="3">
        <v>5</v>
      </c>
      <c r="C2802" s="3">
        <v>156</v>
      </c>
      <c r="D2802" s="3">
        <v>51</v>
      </c>
      <c r="E2802" s="3">
        <v>-480.11</v>
      </c>
      <c r="F2802" s="4" t="str">
        <f>HYPERLINK("http://141.218.60.56/~jnz1568/getInfo.php?workbook=10_05.xlsx&amp;sheet=A0&amp;row=2802&amp;col=6&amp;number=51100&amp;sourceID=14","51100")</f>
        <v>51100</v>
      </c>
      <c r="G2802" s="4" t="str">
        <f>HYPERLINK("http://141.218.60.56/~jnz1568/getInfo.php?workbook=10_05.xlsx&amp;sheet=A0&amp;row=2802&amp;col=7&amp;number=0&amp;sourceID=14","0")</f>
        <v>0</v>
      </c>
    </row>
    <row r="2803" spans="1:7">
      <c r="A2803" s="3">
        <v>10</v>
      </c>
      <c r="B2803" s="3">
        <v>5</v>
      </c>
      <c r="C2803" s="3">
        <v>160</v>
      </c>
      <c r="D2803" s="3">
        <v>51</v>
      </c>
      <c r="E2803" s="3">
        <v>-476.802</v>
      </c>
      <c r="F2803" s="4" t="str">
        <f>HYPERLINK("http://141.218.60.56/~jnz1568/getInfo.php?workbook=10_05.xlsx&amp;sheet=A0&amp;row=2803&amp;col=6&amp;number=45800&amp;sourceID=14","45800")</f>
        <v>45800</v>
      </c>
      <c r="G2803" s="4" t="str">
        <f>HYPERLINK("http://141.218.60.56/~jnz1568/getInfo.php?workbook=10_05.xlsx&amp;sheet=A0&amp;row=2803&amp;col=7&amp;number=0&amp;sourceID=14","0")</f>
        <v>0</v>
      </c>
    </row>
    <row r="2804" spans="1:7">
      <c r="A2804" s="3">
        <v>10</v>
      </c>
      <c r="B2804" s="3">
        <v>5</v>
      </c>
      <c r="C2804" s="3">
        <v>161</v>
      </c>
      <c r="D2804" s="3">
        <v>51</v>
      </c>
      <c r="E2804" s="3">
        <v>476.078</v>
      </c>
      <c r="F2804" s="4" t="str">
        <f>HYPERLINK("http://141.218.60.56/~jnz1568/getInfo.php?workbook=10_05.xlsx&amp;sheet=A0&amp;row=2804&amp;col=6&amp;number=148000&amp;sourceID=14","148000")</f>
        <v>148000</v>
      </c>
      <c r="G2804" s="4" t="str">
        <f>HYPERLINK("http://141.218.60.56/~jnz1568/getInfo.php?workbook=10_05.xlsx&amp;sheet=A0&amp;row=2804&amp;col=7&amp;number=0&amp;sourceID=14","0")</f>
        <v>0</v>
      </c>
    </row>
    <row r="2805" spans="1:7">
      <c r="A2805" s="3">
        <v>10</v>
      </c>
      <c r="B2805" s="3">
        <v>5</v>
      </c>
      <c r="C2805" s="3">
        <v>162</v>
      </c>
      <c r="D2805" s="3">
        <v>51</v>
      </c>
      <c r="E2805" s="3">
        <v>475.399</v>
      </c>
      <c r="F2805" s="4" t="str">
        <f>HYPERLINK("http://141.218.60.56/~jnz1568/getInfo.php?workbook=10_05.xlsx&amp;sheet=A0&amp;row=2805&amp;col=6&amp;number=97200&amp;sourceID=14","97200")</f>
        <v>97200</v>
      </c>
      <c r="G2805" s="4" t="str">
        <f>HYPERLINK("http://141.218.60.56/~jnz1568/getInfo.php?workbook=10_05.xlsx&amp;sheet=A0&amp;row=2805&amp;col=7&amp;number=0&amp;sourceID=14","0")</f>
        <v>0</v>
      </c>
    </row>
    <row r="2806" spans="1:7">
      <c r="A2806" s="3">
        <v>10</v>
      </c>
      <c r="B2806" s="3">
        <v>5</v>
      </c>
      <c r="C2806" s="3">
        <v>163</v>
      </c>
      <c r="D2806" s="3">
        <v>51</v>
      </c>
      <c r="E2806" s="3">
        <v>-446.635</v>
      </c>
      <c r="F2806" s="4" t="str">
        <f>HYPERLINK("http://141.218.60.56/~jnz1568/getInfo.php?workbook=10_05.xlsx&amp;sheet=A0&amp;row=2806&amp;col=6&amp;number=56100&amp;sourceID=14","56100")</f>
        <v>56100</v>
      </c>
      <c r="G2806" s="4" t="str">
        <f>HYPERLINK("http://141.218.60.56/~jnz1568/getInfo.php?workbook=10_05.xlsx&amp;sheet=A0&amp;row=2806&amp;col=7&amp;number=0&amp;sourceID=14","0")</f>
        <v>0</v>
      </c>
    </row>
    <row r="2807" spans="1:7">
      <c r="A2807" s="3">
        <v>10</v>
      </c>
      <c r="B2807" s="3">
        <v>5</v>
      </c>
      <c r="C2807" s="3">
        <v>169</v>
      </c>
      <c r="D2807" s="3">
        <v>51</v>
      </c>
      <c r="E2807" s="3">
        <v>-344.1</v>
      </c>
      <c r="F2807" s="4" t="str">
        <f>HYPERLINK("http://141.218.60.56/~jnz1568/getInfo.php?workbook=10_05.xlsx&amp;sheet=A0&amp;row=2807&amp;col=6&amp;number=4300&amp;sourceID=14","4300")</f>
        <v>4300</v>
      </c>
      <c r="G2807" s="4" t="str">
        <f>HYPERLINK("http://141.218.60.56/~jnz1568/getInfo.php?workbook=10_05.xlsx&amp;sheet=A0&amp;row=2807&amp;col=7&amp;number=0&amp;sourceID=14","0")</f>
        <v>0</v>
      </c>
    </row>
    <row r="2808" spans="1:7">
      <c r="A2808" s="3">
        <v>10</v>
      </c>
      <c r="B2808" s="3">
        <v>5</v>
      </c>
      <c r="C2808" s="3">
        <v>170</v>
      </c>
      <c r="D2808" s="3">
        <v>51</v>
      </c>
      <c r="E2808" s="3">
        <v>-333.351</v>
      </c>
      <c r="F2808" s="4" t="str">
        <f>HYPERLINK("http://141.218.60.56/~jnz1568/getInfo.php?workbook=10_05.xlsx&amp;sheet=A0&amp;row=2808&amp;col=6&amp;number=91.3&amp;sourceID=14","91.3")</f>
        <v>91.3</v>
      </c>
      <c r="G2808" s="4" t="str">
        <f>HYPERLINK("http://141.218.60.56/~jnz1568/getInfo.php?workbook=10_05.xlsx&amp;sheet=A0&amp;row=2808&amp;col=7&amp;number=0&amp;sourceID=14","0")</f>
        <v>0</v>
      </c>
    </row>
    <row r="2809" spans="1:7">
      <c r="A2809" s="3">
        <v>10</v>
      </c>
      <c r="B2809" s="3">
        <v>5</v>
      </c>
      <c r="C2809" s="3">
        <v>171</v>
      </c>
      <c r="D2809" s="3">
        <v>51</v>
      </c>
      <c r="E2809" s="3">
        <v>-333.245</v>
      </c>
      <c r="F2809" s="4" t="str">
        <f>HYPERLINK("http://141.218.60.56/~jnz1568/getInfo.php?workbook=10_05.xlsx&amp;sheet=A0&amp;row=2809&amp;col=6&amp;number=2180&amp;sourceID=14","2180")</f>
        <v>2180</v>
      </c>
      <c r="G2809" s="4" t="str">
        <f>HYPERLINK("http://141.218.60.56/~jnz1568/getInfo.php?workbook=10_05.xlsx&amp;sheet=A0&amp;row=2809&amp;col=7&amp;number=0&amp;sourceID=14","0")</f>
        <v>0</v>
      </c>
    </row>
    <row r="2810" spans="1:7">
      <c r="A2810" s="3">
        <v>10</v>
      </c>
      <c r="B2810" s="3">
        <v>5</v>
      </c>
      <c r="C2810" s="3">
        <v>172</v>
      </c>
      <c r="D2810" s="3">
        <v>51</v>
      </c>
      <c r="E2810" s="3">
        <v>-331.094</v>
      </c>
      <c r="F2810" s="4" t="str">
        <f>HYPERLINK("http://141.218.60.56/~jnz1568/getInfo.php?workbook=10_05.xlsx&amp;sheet=A0&amp;row=2810&amp;col=6&amp;number=1600&amp;sourceID=14","1600")</f>
        <v>1600</v>
      </c>
      <c r="G2810" s="4" t="str">
        <f>HYPERLINK("http://141.218.60.56/~jnz1568/getInfo.php?workbook=10_05.xlsx&amp;sheet=A0&amp;row=2810&amp;col=7&amp;number=0&amp;sourceID=14","0")</f>
        <v>0</v>
      </c>
    </row>
    <row r="2811" spans="1:7">
      <c r="A2811" s="3">
        <v>10</v>
      </c>
      <c r="B2811" s="3">
        <v>5</v>
      </c>
      <c r="C2811" s="3">
        <v>174</v>
      </c>
      <c r="D2811" s="3">
        <v>51</v>
      </c>
      <c r="E2811" s="3">
        <v>-328.772</v>
      </c>
      <c r="F2811" s="4" t="str">
        <f>HYPERLINK("http://141.218.60.56/~jnz1568/getInfo.php?workbook=10_05.xlsx&amp;sheet=A0&amp;row=2811&amp;col=6&amp;number=1810&amp;sourceID=14","1810")</f>
        <v>1810</v>
      </c>
      <c r="G2811" s="4" t="str">
        <f>HYPERLINK("http://141.218.60.56/~jnz1568/getInfo.php?workbook=10_05.xlsx&amp;sheet=A0&amp;row=2811&amp;col=7&amp;number=0&amp;sourceID=14","0")</f>
        <v>0</v>
      </c>
    </row>
    <row r="2812" spans="1:7">
      <c r="A2812" s="3">
        <v>10</v>
      </c>
      <c r="B2812" s="3">
        <v>5</v>
      </c>
      <c r="C2812" s="3">
        <v>58</v>
      </c>
      <c r="D2812" s="3">
        <v>52</v>
      </c>
      <c r="E2812" s="3">
        <v>2339.733</v>
      </c>
      <c r="F2812" s="4" t="str">
        <f>HYPERLINK("http://141.218.60.56/~jnz1568/getInfo.php?workbook=10_05.xlsx&amp;sheet=A0&amp;row=2812&amp;col=6&amp;number=29700000&amp;sourceID=14","29700000")</f>
        <v>29700000</v>
      </c>
      <c r="G2812" s="4" t="str">
        <f>HYPERLINK("http://141.218.60.56/~jnz1568/getInfo.php?workbook=10_05.xlsx&amp;sheet=A0&amp;row=2812&amp;col=7&amp;number=0&amp;sourceID=14","0")</f>
        <v>0</v>
      </c>
    </row>
    <row r="2813" spans="1:7">
      <c r="A2813" s="3">
        <v>10</v>
      </c>
      <c r="B2813" s="3">
        <v>5</v>
      </c>
      <c r="C2813" s="3">
        <v>59</v>
      </c>
      <c r="D2813" s="3">
        <v>52</v>
      </c>
      <c r="E2813" s="3">
        <v>2186.274</v>
      </c>
      <c r="F2813" s="4" t="str">
        <f>HYPERLINK("http://141.218.60.56/~jnz1568/getInfo.php?workbook=10_05.xlsx&amp;sheet=A0&amp;row=2813&amp;col=6&amp;number=50500000&amp;sourceID=14","50500000")</f>
        <v>50500000</v>
      </c>
      <c r="G2813" s="4" t="str">
        <f>HYPERLINK("http://141.218.60.56/~jnz1568/getInfo.php?workbook=10_05.xlsx&amp;sheet=A0&amp;row=2813&amp;col=7&amp;number=0&amp;sourceID=14","0")</f>
        <v>0</v>
      </c>
    </row>
    <row r="2814" spans="1:7">
      <c r="A2814" s="3">
        <v>10</v>
      </c>
      <c r="B2814" s="3">
        <v>5</v>
      </c>
      <c r="C2814" s="3">
        <v>60</v>
      </c>
      <c r="D2814" s="3">
        <v>52</v>
      </c>
      <c r="E2814" s="3">
        <v>2179.603</v>
      </c>
      <c r="F2814" s="4" t="str">
        <f>HYPERLINK("http://141.218.60.56/~jnz1568/getInfo.php?workbook=10_05.xlsx&amp;sheet=A0&amp;row=2814&amp;col=6&amp;number=127000000&amp;sourceID=14","127000000")</f>
        <v>127000000</v>
      </c>
      <c r="G2814" s="4" t="str">
        <f>HYPERLINK("http://141.218.60.56/~jnz1568/getInfo.php?workbook=10_05.xlsx&amp;sheet=A0&amp;row=2814&amp;col=7&amp;number=0&amp;sourceID=14","0")</f>
        <v>0</v>
      </c>
    </row>
    <row r="2815" spans="1:7">
      <c r="A2815" s="3">
        <v>10</v>
      </c>
      <c r="B2815" s="3">
        <v>5</v>
      </c>
      <c r="C2815" s="3">
        <v>61</v>
      </c>
      <c r="D2815" s="3">
        <v>52</v>
      </c>
      <c r="E2815" s="3">
        <v>2110.154</v>
      </c>
      <c r="F2815" s="4" t="str">
        <f>HYPERLINK("http://141.218.60.56/~jnz1568/getInfo.php?workbook=10_05.xlsx&amp;sheet=A0&amp;row=2815&amp;col=6&amp;number=53400000&amp;sourceID=14","53400000")</f>
        <v>53400000</v>
      </c>
      <c r="G2815" s="4" t="str">
        <f>HYPERLINK("http://141.218.60.56/~jnz1568/getInfo.php?workbook=10_05.xlsx&amp;sheet=A0&amp;row=2815&amp;col=7&amp;number=0&amp;sourceID=14","0")</f>
        <v>0</v>
      </c>
    </row>
    <row r="2816" spans="1:7">
      <c r="A2816" s="3">
        <v>10</v>
      </c>
      <c r="B2816" s="3">
        <v>5</v>
      </c>
      <c r="C2816" s="3">
        <v>62</v>
      </c>
      <c r="D2816" s="3">
        <v>52</v>
      </c>
      <c r="E2816" s="3">
        <v>2096.88</v>
      </c>
      <c r="F2816" s="4" t="str">
        <f>HYPERLINK("http://141.218.60.56/~jnz1568/getInfo.php?workbook=10_05.xlsx&amp;sheet=A0&amp;row=2816&amp;col=6&amp;number=100000000&amp;sourceID=14","100000000")</f>
        <v>100000000</v>
      </c>
      <c r="G2816" s="4" t="str">
        <f>HYPERLINK("http://141.218.60.56/~jnz1568/getInfo.php?workbook=10_05.xlsx&amp;sheet=A0&amp;row=2816&amp;col=7&amp;number=0&amp;sourceID=14","0")</f>
        <v>0</v>
      </c>
    </row>
    <row r="2817" spans="1:7">
      <c r="A2817" s="3">
        <v>10</v>
      </c>
      <c r="B2817" s="3">
        <v>5</v>
      </c>
      <c r="C2817" s="3">
        <v>63</v>
      </c>
      <c r="D2817" s="3">
        <v>52</v>
      </c>
      <c r="E2817" s="3">
        <v>1860.815</v>
      </c>
      <c r="F2817" s="4" t="str">
        <f>HYPERLINK("http://141.218.60.56/~jnz1568/getInfo.php?workbook=10_05.xlsx&amp;sheet=A0&amp;row=2817&amp;col=6&amp;number=105000000&amp;sourceID=14","105000000")</f>
        <v>105000000</v>
      </c>
      <c r="G2817" s="4" t="str">
        <f>HYPERLINK("http://141.218.60.56/~jnz1568/getInfo.php?workbook=10_05.xlsx&amp;sheet=A0&amp;row=2817&amp;col=7&amp;number=0&amp;sourceID=14","0")</f>
        <v>0</v>
      </c>
    </row>
    <row r="2818" spans="1:7">
      <c r="A2818" s="3">
        <v>10</v>
      </c>
      <c r="B2818" s="3">
        <v>5</v>
      </c>
      <c r="C2818" s="3">
        <v>66</v>
      </c>
      <c r="D2818" s="3">
        <v>52</v>
      </c>
      <c r="E2818" s="3">
        <v>1269.199</v>
      </c>
      <c r="F2818" s="4" t="str">
        <f>HYPERLINK("http://141.218.60.56/~jnz1568/getInfo.php?workbook=10_05.xlsx&amp;sheet=A0&amp;row=2818&amp;col=6&amp;number=2790000&amp;sourceID=14","2790000")</f>
        <v>2790000</v>
      </c>
      <c r="G2818" s="4" t="str">
        <f>HYPERLINK("http://141.218.60.56/~jnz1568/getInfo.php?workbook=10_05.xlsx&amp;sheet=A0&amp;row=2818&amp;col=7&amp;number=0&amp;sourceID=14","0")</f>
        <v>0</v>
      </c>
    </row>
    <row r="2819" spans="1:7">
      <c r="A2819" s="3">
        <v>10</v>
      </c>
      <c r="B2819" s="3">
        <v>5</v>
      </c>
      <c r="C2819" s="3">
        <v>67</v>
      </c>
      <c r="D2819" s="3">
        <v>52</v>
      </c>
      <c r="E2819" s="3">
        <v>1269.199</v>
      </c>
      <c r="F2819" s="4" t="str">
        <f>HYPERLINK("http://141.218.60.56/~jnz1568/getInfo.php?workbook=10_05.xlsx&amp;sheet=A0&amp;row=2819&amp;col=6&amp;number=17000000&amp;sourceID=14","17000000")</f>
        <v>17000000</v>
      </c>
      <c r="G2819" s="4" t="str">
        <f>HYPERLINK("http://141.218.60.56/~jnz1568/getInfo.php?workbook=10_05.xlsx&amp;sheet=A0&amp;row=2819&amp;col=7&amp;number=0&amp;sourceID=14","0")</f>
        <v>0</v>
      </c>
    </row>
    <row r="2820" spans="1:7">
      <c r="A2820" s="3">
        <v>10</v>
      </c>
      <c r="B2820" s="3">
        <v>5</v>
      </c>
      <c r="C2820" s="3">
        <v>70</v>
      </c>
      <c r="D2820" s="3">
        <v>52</v>
      </c>
      <c r="E2820" s="3">
        <v>1205.257</v>
      </c>
      <c r="F2820" s="4" t="str">
        <f>HYPERLINK("http://141.218.60.56/~jnz1568/getInfo.php?workbook=10_05.xlsx&amp;sheet=A0&amp;row=2820&amp;col=6&amp;number=91000&amp;sourceID=14","91000")</f>
        <v>91000</v>
      </c>
      <c r="G2820" s="4" t="str">
        <f>HYPERLINK("http://141.218.60.56/~jnz1568/getInfo.php?workbook=10_05.xlsx&amp;sheet=A0&amp;row=2820&amp;col=7&amp;number=0&amp;sourceID=14","0")</f>
        <v>0</v>
      </c>
    </row>
    <row r="2821" spans="1:7">
      <c r="A2821" s="3">
        <v>10</v>
      </c>
      <c r="B2821" s="3">
        <v>5</v>
      </c>
      <c r="C2821" s="3">
        <v>71</v>
      </c>
      <c r="D2821" s="3">
        <v>52</v>
      </c>
      <c r="E2821" s="3">
        <v>1205.257</v>
      </c>
      <c r="F2821" s="4" t="str">
        <f>HYPERLINK("http://141.218.60.56/~jnz1568/getInfo.php?workbook=10_05.xlsx&amp;sheet=A0&amp;row=2821&amp;col=6&amp;number=131000&amp;sourceID=14","131000")</f>
        <v>131000</v>
      </c>
      <c r="G2821" s="4" t="str">
        <f>HYPERLINK("http://141.218.60.56/~jnz1568/getInfo.php?workbook=10_05.xlsx&amp;sheet=A0&amp;row=2821&amp;col=7&amp;number=0&amp;sourceID=14","0")</f>
        <v>0</v>
      </c>
    </row>
    <row r="2822" spans="1:7">
      <c r="A2822" s="3">
        <v>10</v>
      </c>
      <c r="B2822" s="3">
        <v>5</v>
      </c>
      <c r="C2822" s="3">
        <v>72</v>
      </c>
      <c r="D2822" s="3">
        <v>52</v>
      </c>
      <c r="E2822" s="3">
        <v>1205.257</v>
      </c>
      <c r="F2822" s="4" t="str">
        <f>HYPERLINK("http://141.218.60.56/~jnz1568/getInfo.php?workbook=10_05.xlsx&amp;sheet=A0&amp;row=2822&amp;col=6&amp;number=127000&amp;sourceID=14","127000")</f>
        <v>127000</v>
      </c>
      <c r="G2822" s="4" t="str">
        <f>HYPERLINK("http://141.218.60.56/~jnz1568/getInfo.php?workbook=10_05.xlsx&amp;sheet=A0&amp;row=2822&amp;col=7&amp;number=0&amp;sourceID=14","0")</f>
        <v>0</v>
      </c>
    </row>
    <row r="2823" spans="1:7">
      <c r="A2823" s="3">
        <v>10</v>
      </c>
      <c r="B2823" s="3">
        <v>5</v>
      </c>
      <c r="C2823" s="3">
        <v>77</v>
      </c>
      <c r="D2823" s="3">
        <v>52</v>
      </c>
      <c r="E2823" s="3">
        <v>-931.794</v>
      </c>
      <c r="F2823" s="4" t="str">
        <f>HYPERLINK("http://141.218.60.56/~jnz1568/getInfo.php?workbook=10_05.xlsx&amp;sheet=A0&amp;row=2823&amp;col=6&amp;number=95900000&amp;sourceID=14","95900000")</f>
        <v>95900000</v>
      </c>
      <c r="G2823" s="4" t="str">
        <f>HYPERLINK("http://141.218.60.56/~jnz1568/getInfo.php?workbook=10_05.xlsx&amp;sheet=A0&amp;row=2823&amp;col=7&amp;number=0&amp;sourceID=14","0")</f>
        <v>0</v>
      </c>
    </row>
    <row r="2824" spans="1:7">
      <c r="A2824" s="3">
        <v>10</v>
      </c>
      <c r="B2824" s="3">
        <v>5</v>
      </c>
      <c r="C2824" s="3">
        <v>78</v>
      </c>
      <c r="D2824" s="3">
        <v>52</v>
      </c>
      <c r="E2824" s="3">
        <v>-924.635</v>
      </c>
      <c r="F2824" s="4" t="str">
        <f>HYPERLINK("http://141.218.60.56/~jnz1568/getInfo.php?workbook=10_05.xlsx&amp;sheet=A0&amp;row=2824&amp;col=6&amp;number=250000000&amp;sourceID=14","250000000")</f>
        <v>250000000</v>
      </c>
      <c r="G2824" s="4" t="str">
        <f>HYPERLINK("http://141.218.60.56/~jnz1568/getInfo.php?workbook=10_05.xlsx&amp;sheet=A0&amp;row=2824&amp;col=7&amp;number=0&amp;sourceID=14","0")</f>
        <v>0</v>
      </c>
    </row>
    <row r="2825" spans="1:7">
      <c r="A2825" s="3">
        <v>10</v>
      </c>
      <c r="B2825" s="3">
        <v>5</v>
      </c>
      <c r="C2825" s="3">
        <v>80</v>
      </c>
      <c r="D2825" s="3">
        <v>52</v>
      </c>
      <c r="E2825" s="3">
        <v>862.294</v>
      </c>
      <c r="F2825" s="4" t="str">
        <f>HYPERLINK("http://141.218.60.56/~jnz1568/getInfo.php?workbook=10_05.xlsx&amp;sheet=A0&amp;row=2825&amp;col=6&amp;number=199000000&amp;sourceID=14","199000000")</f>
        <v>199000000</v>
      </c>
      <c r="G2825" s="4" t="str">
        <f>HYPERLINK("http://141.218.60.56/~jnz1568/getInfo.php?workbook=10_05.xlsx&amp;sheet=A0&amp;row=2825&amp;col=7&amp;number=0&amp;sourceID=14","0")</f>
        <v>0</v>
      </c>
    </row>
    <row r="2826" spans="1:7">
      <c r="A2826" s="3">
        <v>10</v>
      </c>
      <c r="B2826" s="3">
        <v>5</v>
      </c>
      <c r="C2826" s="3">
        <v>81</v>
      </c>
      <c r="D2826" s="3">
        <v>52</v>
      </c>
      <c r="E2826" s="3">
        <v>862.294</v>
      </c>
      <c r="F2826" s="4" t="str">
        <f>HYPERLINK("http://141.218.60.56/~jnz1568/getInfo.php?workbook=10_05.xlsx&amp;sheet=A0&amp;row=2826&amp;col=6&amp;number=1120000000&amp;sourceID=14","1120000000")</f>
        <v>1120000000</v>
      </c>
      <c r="G2826" s="4" t="str">
        <f>HYPERLINK("http://141.218.60.56/~jnz1568/getInfo.php?workbook=10_05.xlsx&amp;sheet=A0&amp;row=2826&amp;col=7&amp;number=0&amp;sourceID=14","0")</f>
        <v>0</v>
      </c>
    </row>
    <row r="2827" spans="1:7">
      <c r="A2827" s="3">
        <v>10</v>
      </c>
      <c r="B2827" s="3">
        <v>5</v>
      </c>
      <c r="C2827" s="3">
        <v>99</v>
      </c>
      <c r="D2827" s="3">
        <v>52</v>
      </c>
      <c r="E2827" s="3">
        <v>-627.657</v>
      </c>
      <c r="F2827" s="4" t="str">
        <f>HYPERLINK("http://141.218.60.56/~jnz1568/getInfo.php?workbook=10_05.xlsx&amp;sheet=A0&amp;row=2827&amp;col=6&amp;number=6.96&amp;sourceID=14","6.96")</f>
        <v>6.96</v>
      </c>
      <c r="G2827" s="4" t="str">
        <f>HYPERLINK("http://141.218.60.56/~jnz1568/getInfo.php?workbook=10_05.xlsx&amp;sheet=A0&amp;row=2827&amp;col=7&amp;number=0&amp;sourceID=14","0")</f>
        <v>0</v>
      </c>
    </row>
    <row r="2828" spans="1:7">
      <c r="A2828" s="3">
        <v>10</v>
      </c>
      <c r="B2828" s="3">
        <v>5</v>
      </c>
      <c r="C2828" s="3">
        <v>100</v>
      </c>
      <c r="D2828" s="3">
        <v>52</v>
      </c>
      <c r="E2828" s="3">
        <v>-626.623</v>
      </c>
      <c r="F2828" s="4" t="str">
        <f>HYPERLINK("http://141.218.60.56/~jnz1568/getInfo.php?workbook=10_05.xlsx&amp;sheet=A0&amp;row=2828&amp;col=6&amp;number=934&amp;sourceID=14","934")</f>
        <v>934</v>
      </c>
      <c r="G2828" s="4" t="str">
        <f>HYPERLINK("http://141.218.60.56/~jnz1568/getInfo.php?workbook=10_05.xlsx&amp;sheet=A0&amp;row=2828&amp;col=7&amp;number=0&amp;sourceID=14","0")</f>
        <v>0</v>
      </c>
    </row>
    <row r="2829" spans="1:7">
      <c r="A2829" s="3">
        <v>10</v>
      </c>
      <c r="B2829" s="3">
        <v>5</v>
      </c>
      <c r="C2829" s="3">
        <v>105</v>
      </c>
      <c r="D2829" s="3">
        <v>52</v>
      </c>
      <c r="E2829" s="3">
        <v>-604.954</v>
      </c>
      <c r="F2829" s="4" t="str">
        <f>HYPERLINK("http://141.218.60.56/~jnz1568/getInfo.php?workbook=10_05.xlsx&amp;sheet=A0&amp;row=2829&amp;col=6&amp;number=2480000&amp;sourceID=14","2480000")</f>
        <v>2480000</v>
      </c>
      <c r="G2829" s="4" t="str">
        <f>HYPERLINK("http://141.218.60.56/~jnz1568/getInfo.php?workbook=10_05.xlsx&amp;sheet=A0&amp;row=2829&amp;col=7&amp;number=0&amp;sourceID=14","0")</f>
        <v>0</v>
      </c>
    </row>
    <row r="2830" spans="1:7">
      <c r="A2830" s="3">
        <v>10</v>
      </c>
      <c r="B2830" s="3">
        <v>5</v>
      </c>
      <c r="C2830" s="3">
        <v>106</v>
      </c>
      <c r="D2830" s="3">
        <v>52</v>
      </c>
      <c r="E2830" s="3">
        <v>-604.497</v>
      </c>
      <c r="F2830" s="4" t="str">
        <f>HYPERLINK("http://141.218.60.56/~jnz1568/getInfo.php?workbook=10_05.xlsx&amp;sheet=A0&amp;row=2830&amp;col=6&amp;number=8270000&amp;sourceID=14","8270000")</f>
        <v>8270000</v>
      </c>
      <c r="G2830" s="4" t="str">
        <f>HYPERLINK("http://141.218.60.56/~jnz1568/getInfo.php?workbook=10_05.xlsx&amp;sheet=A0&amp;row=2830&amp;col=7&amp;number=0&amp;sourceID=14","0")</f>
        <v>0</v>
      </c>
    </row>
    <row r="2831" spans="1:7">
      <c r="A2831" s="3">
        <v>10</v>
      </c>
      <c r="B2831" s="3">
        <v>5</v>
      </c>
      <c r="C2831" s="3">
        <v>107</v>
      </c>
      <c r="D2831" s="3">
        <v>52</v>
      </c>
      <c r="E2831" s="3">
        <v>-603.483</v>
      </c>
      <c r="F2831" s="4" t="str">
        <f>HYPERLINK("http://141.218.60.56/~jnz1568/getInfo.php?workbook=10_05.xlsx&amp;sheet=A0&amp;row=2831&amp;col=6&amp;number=241&amp;sourceID=14","241")</f>
        <v>241</v>
      </c>
      <c r="G2831" s="4" t="str">
        <f>HYPERLINK("http://141.218.60.56/~jnz1568/getInfo.php?workbook=10_05.xlsx&amp;sheet=A0&amp;row=2831&amp;col=7&amp;number=0&amp;sourceID=14","0")</f>
        <v>0</v>
      </c>
    </row>
    <row r="2832" spans="1:7">
      <c r="A2832" s="3">
        <v>10</v>
      </c>
      <c r="B2832" s="3">
        <v>5</v>
      </c>
      <c r="C2832" s="3">
        <v>109</v>
      </c>
      <c r="D2832" s="3">
        <v>52</v>
      </c>
      <c r="E2832" s="3">
        <v>-600.93</v>
      </c>
      <c r="F2832" s="4" t="str">
        <f>HYPERLINK("http://141.218.60.56/~jnz1568/getInfo.php?workbook=10_05.xlsx&amp;sheet=A0&amp;row=2832&amp;col=6&amp;number=92700000&amp;sourceID=14","92700000")</f>
        <v>92700000</v>
      </c>
      <c r="G2832" s="4" t="str">
        <f>HYPERLINK("http://141.218.60.56/~jnz1568/getInfo.php?workbook=10_05.xlsx&amp;sheet=A0&amp;row=2832&amp;col=7&amp;number=0&amp;sourceID=14","0")</f>
        <v>0</v>
      </c>
    </row>
    <row r="2833" spans="1:7">
      <c r="A2833" s="3">
        <v>10</v>
      </c>
      <c r="B2833" s="3">
        <v>5</v>
      </c>
      <c r="C2833" s="3">
        <v>111</v>
      </c>
      <c r="D2833" s="3">
        <v>52</v>
      </c>
      <c r="E2833" s="3">
        <v>-598.778</v>
      </c>
      <c r="F2833" s="4" t="str">
        <f>HYPERLINK("http://141.218.60.56/~jnz1568/getInfo.php?workbook=10_05.xlsx&amp;sheet=A0&amp;row=2833&amp;col=6&amp;number=45200000&amp;sourceID=14","45200000")</f>
        <v>45200000</v>
      </c>
      <c r="G2833" s="4" t="str">
        <f>HYPERLINK("http://141.218.60.56/~jnz1568/getInfo.php?workbook=10_05.xlsx&amp;sheet=A0&amp;row=2833&amp;col=7&amp;number=0&amp;sourceID=14","0")</f>
        <v>0</v>
      </c>
    </row>
    <row r="2834" spans="1:7">
      <c r="A2834" s="3">
        <v>10</v>
      </c>
      <c r="B2834" s="3">
        <v>5</v>
      </c>
      <c r="C2834" s="3">
        <v>115</v>
      </c>
      <c r="D2834" s="3">
        <v>52</v>
      </c>
      <c r="E2834" s="3">
        <v>-575.081</v>
      </c>
      <c r="F2834" s="4" t="str">
        <f>HYPERLINK("http://141.218.60.56/~jnz1568/getInfo.php?workbook=10_05.xlsx&amp;sheet=A0&amp;row=2834&amp;col=6&amp;number=59000&amp;sourceID=14","59000")</f>
        <v>59000</v>
      </c>
      <c r="G2834" s="4" t="str">
        <f>HYPERLINK("http://141.218.60.56/~jnz1568/getInfo.php?workbook=10_05.xlsx&amp;sheet=A0&amp;row=2834&amp;col=7&amp;number=0&amp;sourceID=14","0")</f>
        <v>0</v>
      </c>
    </row>
    <row r="2835" spans="1:7">
      <c r="A2835" s="3">
        <v>10</v>
      </c>
      <c r="B2835" s="3">
        <v>5</v>
      </c>
      <c r="C2835" s="3">
        <v>117</v>
      </c>
      <c r="D2835" s="3">
        <v>52</v>
      </c>
      <c r="E2835" s="3">
        <v>-571.42</v>
      </c>
      <c r="F2835" s="4" t="str">
        <f>HYPERLINK("http://141.218.60.56/~jnz1568/getInfo.php?workbook=10_05.xlsx&amp;sheet=A0&amp;row=2835&amp;col=6&amp;number=5220&amp;sourceID=14","5220")</f>
        <v>5220</v>
      </c>
      <c r="G2835" s="4" t="str">
        <f>HYPERLINK("http://141.218.60.56/~jnz1568/getInfo.php?workbook=10_05.xlsx&amp;sheet=A0&amp;row=2835&amp;col=7&amp;number=0&amp;sourceID=14","0")</f>
        <v>0</v>
      </c>
    </row>
    <row r="2836" spans="1:7">
      <c r="A2836" s="3">
        <v>10</v>
      </c>
      <c r="B2836" s="3">
        <v>5</v>
      </c>
      <c r="C2836" s="3">
        <v>118</v>
      </c>
      <c r="D2836" s="3">
        <v>52</v>
      </c>
      <c r="E2836" s="3">
        <v>-571.155</v>
      </c>
      <c r="F2836" s="4" t="str">
        <f>HYPERLINK("http://141.218.60.56/~jnz1568/getInfo.php?workbook=10_05.xlsx&amp;sheet=A0&amp;row=2836&amp;col=6&amp;number=14200&amp;sourceID=14","14200")</f>
        <v>14200</v>
      </c>
      <c r="G2836" s="4" t="str">
        <f>HYPERLINK("http://141.218.60.56/~jnz1568/getInfo.php?workbook=10_05.xlsx&amp;sheet=A0&amp;row=2836&amp;col=7&amp;number=0&amp;sourceID=14","0")</f>
        <v>0</v>
      </c>
    </row>
    <row r="2837" spans="1:7">
      <c r="A2837" s="3">
        <v>10</v>
      </c>
      <c r="B2837" s="3">
        <v>5</v>
      </c>
      <c r="C2837" s="3">
        <v>119</v>
      </c>
      <c r="D2837" s="3">
        <v>52</v>
      </c>
      <c r="E2837" s="3">
        <v>-570.992</v>
      </c>
      <c r="F2837" s="4" t="str">
        <f>HYPERLINK("http://141.218.60.56/~jnz1568/getInfo.php?workbook=10_05.xlsx&amp;sheet=A0&amp;row=2837&amp;col=6&amp;number=188000&amp;sourceID=14","188000")</f>
        <v>188000</v>
      </c>
      <c r="G2837" s="4" t="str">
        <f>HYPERLINK("http://141.218.60.56/~jnz1568/getInfo.php?workbook=10_05.xlsx&amp;sheet=A0&amp;row=2837&amp;col=7&amp;number=0&amp;sourceID=14","0")</f>
        <v>0</v>
      </c>
    </row>
    <row r="2838" spans="1:7">
      <c r="A2838" s="3">
        <v>10</v>
      </c>
      <c r="B2838" s="3">
        <v>5</v>
      </c>
      <c r="C2838" s="3">
        <v>120</v>
      </c>
      <c r="D2838" s="3">
        <v>52</v>
      </c>
      <c r="E2838" s="3">
        <v>-560.869</v>
      </c>
      <c r="F2838" s="4" t="str">
        <f>HYPERLINK("http://141.218.60.56/~jnz1568/getInfo.php?workbook=10_05.xlsx&amp;sheet=A0&amp;row=2838&amp;col=6&amp;number=339000&amp;sourceID=14","339000")</f>
        <v>339000</v>
      </c>
      <c r="G2838" s="4" t="str">
        <f>HYPERLINK("http://141.218.60.56/~jnz1568/getInfo.php?workbook=10_05.xlsx&amp;sheet=A0&amp;row=2838&amp;col=7&amp;number=0&amp;sourceID=14","0")</f>
        <v>0</v>
      </c>
    </row>
    <row r="2839" spans="1:7">
      <c r="A2839" s="3">
        <v>10</v>
      </c>
      <c r="B2839" s="3">
        <v>5</v>
      </c>
      <c r="C2839" s="3">
        <v>121</v>
      </c>
      <c r="D2839" s="3">
        <v>52</v>
      </c>
      <c r="E2839" s="3">
        <v>-560.165</v>
      </c>
      <c r="F2839" s="4" t="str">
        <f>HYPERLINK("http://141.218.60.56/~jnz1568/getInfo.php?workbook=10_05.xlsx&amp;sheet=A0&amp;row=2839&amp;col=6&amp;number=395000&amp;sourceID=14","395000")</f>
        <v>395000</v>
      </c>
      <c r="G2839" s="4" t="str">
        <f>HYPERLINK("http://141.218.60.56/~jnz1568/getInfo.php?workbook=10_05.xlsx&amp;sheet=A0&amp;row=2839&amp;col=7&amp;number=0&amp;sourceID=14","0")</f>
        <v>0</v>
      </c>
    </row>
    <row r="2840" spans="1:7">
      <c r="A2840" s="3">
        <v>10</v>
      </c>
      <c r="B2840" s="3">
        <v>5</v>
      </c>
      <c r="C2840" s="3">
        <v>122</v>
      </c>
      <c r="D2840" s="3">
        <v>52</v>
      </c>
      <c r="E2840" s="3">
        <v>-559.007</v>
      </c>
      <c r="F2840" s="4" t="str">
        <f>HYPERLINK("http://141.218.60.56/~jnz1568/getInfo.php?workbook=10_05.xlsx&amp;sheet=A0&amp;row=2840&amp;col=6&amp;number=1080&amp;sourceID=14","1080")</f>
        <v>1080</v>
      </c>
      <c r="G2840" s="4" t="str">
        <f>HYPERLINK("http://141.218.60.56/~jnz1568/getInfo.php?workbook=10_05.xlsx&amp;sheet=A0&amp;row=2840&amp;col=7&amp;number=0&amp;sourceID=14","0")</f>
        <v>0</v>
      </c>
    </row>
    <row r="2841" spans="1:7">
      <c r="A2841" s="3">
        <v>10</v>
      </c>
      <c r="B2841" s="3">
        <v>5</v>
      </c>
      <c r="C2841" s="3">
        <v>123</v>
      </c>
      <c r="D2841" s="3">
        <v>52</v>
      </c>
      <c r="E2841" s="3">
        <v>-558.09</v>
      </c>
      <c r="F2841" s="4" t="str">
        <f>HYPERLINK("http://141.218.60.56/~jnz1568/getInfo.php?workbook=10_05.xlsx&amp;sheet=A0&amp;row=2841&amp;col=6&amp;number=1650000&amp;sourceID=14","1650000")</f>
        <v>1650000</v>
      </c>
      <c r="G2841" s="4" t="str">
        <f>HYPERLINK("http://141.218.60.56/~jnz1568/getInfo.php?workbook=10_05.xlsx&amp;sheet=A0&amp;row=2841&amp;col=7&amp;number=0&amp;sourceID=14","0")</f>
        <v>0</v>
      </c>
    </row>
    <row r="2842" spans="1:7">
      <c r="A2842" s="3">
        <v>10</v>
      </c>
      <c r="B2842" s="3">
        <v>5</v>
      </c>
      <c r="C2842" s="3">
        <v>125</v>
      </c>
      <c r="D2842" s="3">
        <v>52</v>
      </c>
      <c r="E2842" s="3">
        <v>-554.58</v>
      </c>
      <c r="F2842" s="4" t="str">
        <f>HYPERLINK("http://141.218.60.56/~jnz1568/getInfo.php?workbook=10_05.xlsx&amp;sheet=A0&amp;row=2842&amp;col=6&amp;number=17900000&amp;sourceID=14","17900000")</f>
        <v>17900000</v>
      </c>
      <c r="G2842" s="4" t="str">
        <f>HYPERLINK("http://141.218.60.56/~jnz1568/getInfo.php?workbook=10_05.xlsx&amp;sheet=A0&amp;row=2842&amp;col=7&amp;number=0&amp;sourceID=14","0")</f>
        <v>0</v>
      </c>
    </row>
    <row r="2843" spans="1:7">
      <c r="A2843" s="3">
        <v>10</v>
      </c>
      <c r="B2843" s="3">
        <v>5</v>
      </c>
      <c r="C2843" s="3">
        <v>126</v>
      </c>
      <c r="D2843" s="3">
        <v>52</v>
      </c>
      <c r="E2843" s="3">
        <v>-553.735</v>
      </c>
      <c r="F2843" s="4" t="str">
        <f>HYPERLINK("http://141.218.60.56/~jnz1568/getInfo.php?workbook=10_05.xlsx&amp;sheet=A0&amp;row=2843&amp;col=6&amp;number=47600000&amp;sourceID=14","47600000")</f>
        <v>47600000</v>
      </c>
      <c r="G2843" s="4" t="str">
        <f>HYPERLINK("http://141.218.60.56/~jnz1568/getInfo.php?workbook=10_05.xlsx&amp;sheet=A0&amp;row=2843&amp;col=7&amp;number=0&amp;sourceID=14","0")</f>
        <v>0</v>
      </c>
    </row>
    <row r="2844" spans="1:7">
      <c r="A2844" s="3">
        <v>10</v>
      </c>
      <c r="B2844" s="3">
        <v>5</v>
      </c>
      <c r="C2844" s="3">
        <v>129</v>
      </c>
      <c r="D2844" s="3">
        <v>52</v>
      </c>
      <c r="E2844" s="3">
        <v>545.317</v>
      </c>
      <c r="F2844" s="4" t="str">
        <f>HYPERLINK("http://141.218.60.56/~jnz1568/getInfo.php?workbook=10_05.xlsx&amp;sheet=A0&amp;row=2844&amp;col=6&amp;number=2510000&amp;sourceID=14","2510000")</f>
        <v>2510000</v>
      </c>
      <c r="G2844" s="4" t="str">
        <f>HYPERLINK("http://141.218.60.56/~jnz1568/getInfo.php?workbook=10_05.xlsx&amp;sheet=A0&amp;row=2844&amp;col=7&amp;number=0&amp;sourceID=14","0")</f>
        <v>0</v>
      </c>
    </row>
    <row r="2845" spans="1:7">
      <c r="A2845" s="3">
        <v>10</v>
      </c>
      <c r="B2845" s="3">
        <v>5</v>
      </c>
      <c r="C2845" s="3">
        <v>130</v>
      </c>
      <c r="D2845" s="3">
        <v>52</v>
      </c>
      <c r="E2845" s="3">
        <v>545.317</v>
      </c>
      <c r="F2845" s="4" t="str">
        <f>HYPERLINK("http://141.218.60.56/~jnz1568/getInfo.php?workbook=10_05.xlsx&amp;sheet=A0&amp;row=2845&amp;col=6&amp;number=3820000&amp;sourceID=14","3820000")</f>
        <v>3820000</v>
      </c>
      <c r="G2845" s="4" t="str">
        <f>HYPERLINK("http://141.218.60.56/~jnz1568/getInfo.php?workbook=10_05.xlsx&amp;sheet=A0&amp;row=2845&amp;col=7&amp;number=0&amp;sourceID=14","0")</f>
        <v>0</v>
      </c>
    </row>
    <row r="2846" spans="1:7">
      <c r="A2846" s="3">
        <v>10</v>
      </c>
      <c r="B2846" s="3">
        <v>5</v>
      </c>
      <c r="C2846" s="3">
        <v>131</v>
      </c>
      <c r="D2846" s="3">
        <v>52</v>
      </c>
      <c r="E2846" s="3">
        <v>-543.63</v>
      </c>
      <c r="F2846" s="4" t="str">
        <f>HYPERLINK("http://141.218.60.56/~jnz1568/getInfo.php?workbook=10_05.xlsx&amp;sheet=A0&amp;row=2846&amp;col=6&amp;number=107000&amp;sourceID=14","107000")</f>
        <v>107000</v>
      </c>
      <c r="G2846" s="4" t="str">
        <f>HYPERLINK("http://141.218.60.56/~jnz1568/getInfo.php?workbook=10_05.xlsx&amp;sheet=A0&amp;row=2846&amp;col=7&amp;number=0&amp;sourceID=14","0")</f>
        <v>0</v>
      </c>
    </row>
    <row r="2847" spans="1:7">
      <c r="A2847" s="3">
        <v>10</v>
      </c>
      <c r="B2847" s="3">
        <v>5</v>
      </c>
      <c r="C2847" s="3">
        <v>132</v>
      </c>
      <c r="D2847" s="3">
        <v>52</v>
      </c>
      <c r="E2847" s="3">
        <v>-543.196</v>
      </c>
      <c r="F2847" s="4" t="str">
        <f>HYPERLINK("http://141.218.60.56/~jnz1568/getInfo.php?workbook=10_05.xlsx&amp;sheet=A0&amp;row=2847&amp;col=6&amp;number=295&amp;sourceID=14","295")</f>
        <v>295</v>
      </c>
      <c r="G2847" s="4" t="str">
        <f>HYPERLINK("http://141.218.60.56/~jnz1568/getInfo.php?workbook=10_05.xlsx&amp;sheet=A0&amp;row=2847&amp;col=7&amp;number=0&amp;sourceID=14","0")</f>
        <v>0</v>
      </c>
    </row>
    <row r="2848" spans="1:7">
      <c r="A2848" s="3">
        <v>10</v>
      </c>
      <c r="B2848" s="3">
        <v>5</v>
      </c>
      <c r="C2848" s="3">
        <v>133</v>
      </c>
      <c r="D2848" s="3">
        <v>52</v>
      </c>
      <c r="E2848" s="3">
        <v>-542.583</v>
      </c>
      <c r="F2848" s="4" t="str">
        <f>HYPERLINK("http://141.218.60.56/~jnz1568/getInfo.php?workbook=10_05.xlsx&amp;sheet=A0&amp;row=2848&amp;col=6&amp;number=1190000&amp;sourceID=14","1190000")</f>
        <v>1190000</v>
      </c>
      <c r="G2848" s="4" t="str">
        <f>HYPERLINK("http://141.218.60.56/~jnz1568/getInfo.php?workbook=10_05.xlsx&amp;sheet=A0&amp;row=2848&amp;col=7&amp;number=0&amp;sourceID=14","0")</f>
        <v>0</v>
      </c>
    </row>
    <row r="2849" spans="1:7">
      <c r="A2849" s="3">
        <v>10</v>
      </c>
      <c r="B2849" s="3">
        <v>5</v>
      </c>
      <c r="C2849" s="3">
        <v>140</v>
      </c>
      <c r="D2849" s="3">
        <v>52</v>
      </c>
      <c r="E2849" s="3">
        <v>-528.704</v>
      </c>
      <c r="F2849" s="4" t="str">
        <f>HYPERLINK("http://141.218.60.56/~jnz1568/getInfo.php?workbook=10_05.xlsx&amp;sheet=A0&amp;row=2849&amp;col=6&amp;number=683000000&amp;sourceID=14","683000000")</f>
        <v>683000000</v>
      </c>
      <c r="G2849" s="4" t="str">
        <f>HYPERLINK("http://141.218.60.56/~jnz1568/getInfo.php?workbook=10_05.xlsx&amp;sheet=A0&amp;row=2849&amp;col=7&amp;number=0&amp;sourceID=14","0")</f>
        <v>0</v>
      </c>
    </row>
    <row r="2850" spans="1:7">
      <c r="A2850" s="3">
        <v>10</v>
      </c>
      <c r="B2850" s="3">
        <v>5</v>
      </c>
      <c r="C2850" s="3">
        <v>150</v>
      </c>
      <c r="D2850" s="3">
        <v>52</v>
      </c>
      <c r="E2850" s="3">
        <v>-509.999</v>
      </c>
      <c r="F2850" s="4" t="str">
        <f>HYPERLINK("http://141.218.60.56/~jnz1568/getInfo.php?workbook=10_05.xlsx&amp;sheet=A0&amp;row=2850&amp;col=6&amp;number=10700000&amp;sourceID=14","10700000")</f>
        <v>10700000</v>
      </c>
      <c r="G2850" s="4" t="str">
        <f>HYPERLINK("http://141.218.60.56/~jnz1568/getInfo.php?workbook=10_05.xlsx&amp;sheet=A0&amp;row=2850&amp;col=7&amp;number=0&amp;sourceID=14","0")</f>
        <v>0</v>
      </c>
    </row>
    <row r="2851" spans="1:7">
      <c r="A2851" s="3">
        <v>10</v>
      </c>
      <c r="B2851" s="3">
        <v>5</v>
      </c>
      <c r="C2851" s="3">
        <v>151</v>
      </c>
      <c r="D2851" s="3">
        <v>52</v>
      </c>
      <c r="E2851" s="3">
        <v>-509.942</v>
      </c>
      <c r="F2851" s="4" t="str">
        <f>HYPERLINK("http://141.218.60.56/~jnz1568/getInfo.php?workbook=10_05.xlsx&amp;sheet=A0&amp;row=2851&amp;col=6&amp;number=32100000&amp;sourceID=14","32100000")</f>
        <v>32100000</v>
      </c>
      <c r="G2851" s="4" t="str">
        <f>HYPERLINK("http://141.218.60.56/~jnz1568/getInfo.php?workbook=10_05.xlsx&amp;sheet=A0&amp;row=2851&amp;col=7&amp;number=0&amp;sourceID=14","0")</f>
        <v>0</v>
      </c>
    </row>
    <row r="2852" spans="1:7">
      <c r="A2852" s="3">
        <v>10</v>
      </c>
      <c r="B2852" s="3">
        <v>5</v>
      </c>
      <c r="C2852" s="3">
        <v>155</v>
      </c>
      <c r="D2852" s="3">
        <v>52</v>
      </c>
      <c r="E2852" s="3">
        <v>501.631</v>
      </c>
      <c r="F2852" s="4" t="str">
        <f>HYPERLINK("http://141.218.60.56/~jnz1568/getInfo.php?workbook=10_05.xlsx&amp;sheet=A0&amp;row=2852&amp;col=6&amp;number=49000000&amp;sourceID=14","49000000")</f>
        <v>49000000</v>
      </c>
      <c r="G2852" s="4" t="str">
        <f>HYPERLINK("http://141.218.60.56/~jnz1568/getInfo.php?workbook=10_05.xlsx&amp;sheet=A0&amp;row=2852&amp;col=7&amp;number=0&amp;sourceID=14","0")</f>
        <v>0</v>
      </c>
    </row>
    <row r="2853" spans="1:7">
      <c r="A2853" s="3">
        <v>10</v>
      </c>
      <c r="B2853" s="3">
        <v>5</v>
      </c>
      <c r="C2853" s="3">
        <v>156</v>
      </c>
      <c r="D2853" s="3">
        <v>52</v>
      </c>
      <c r="E2853" s="3">
        <v>-499.504</v>
      </c>
      <c r="F2853" s="4" t="str">
        <f>HYPERLINK("http://141.218.60.56/~jnz1568/getInfo.php?workbook=10_05.xlsx&amp;sheet=A0&amp;row=2853&amp;col=6&amp;number=16500000&amp;sourceID=14","16500000")</f>
        <v>16500000</v>
      </c>
      <c r="G2853" s="4" t="str">
        <f>HYPERLINK("http://141.218.60.56/~jnz1568/getInfo.php?workbook=10_05.xlsx&amp;sheet=A0&amp;row=2853&amp;col=7&amp;number=0&amp;sourceID=14","0")</f>
        <v>0</v>
      </c>
    </row>
    <row r="2854" spans="1:7">
      <c r="A2854" s="3">
        <v>10</v>
      </c>
      <c r="B2854" s="3">
        <v>5</v>
      </c>
      <c r="C2854" s="3">
        <v>157</v>
      </c>
      <c r="D2854" s="3">
        <v>52</v>
      </c>
      <c r="E2854" s="3">
        <v>-499.058</v>
      </c>
      <c r="F2854" s="4" t="str">
        <f>HYPERLINK("http://141.218.60.56/~jnz1568/getInfo.php?workbook=10_05.xlsx&amp;sheet=A0&amp;row=2854&amp;col=6&amp;number=92800000&amp;sourceID=14","92800000")</f>
        <v>92800000</v>
      </c>
      <c r="G2854" s="4" t="str">
        <f>HYPERLINK("http://141.218.60.56/~jnz1568/getInfo.php?workbook=10_05.xlsx&amp;sheet=A0&amp;row=2854&amp;col=7&amp;number=0&amp;sourceID=14","0")</f>
        <v>0</v>
      </c>
    </row>
    <row r="2855" spans="1:7">
      <c r="A2855" s="3">
        <v>10</v>
      </c>
      <c r="B2855" s="3">
        <v>5</v>
      </c>
      <c r="C2855" s="3">
        <v>160</v>
      </c>
      <c r="D2855" s="3">
        <v>52</v>
      </c>
      <c r="E2855" s="3">
        <v>-495.924</v>
      </c>
      <c r="F2855" s="4" t="str">
        <f>HYPERLINK("http://141.218.60.56/~jnz1568/getInfo.php?workbook=10_05.xlsx&amp;sheet=A0&amp;row=2855&amp;col=6&amp;number=3990000000&amp;sourceID=14","3990000000")</f>
        <v>3990000000</v>
      </c>
      <c r="G2855" s="4" t="str">
        <f>HYPERLINK("http://141.218.60.56/~jnz1568/getInfo.php?workbook=10_05.xlsx&amp;sheet=A0&amp;row=2855&amp;col=7&amp;number=0&amp;sourceID=14","0")</f>
        <v>0</v>
      </c>
    </row>
    <row r="2856" spans="1:7">
      <c r="A2856" s="3">
        <v>10</v>
      </c>
      <c r="B2856" s="3">
        <v>5</v>
      </c>
      <c r="C2856" s="3">
        <v>161</v>
      </c>
      <c r="D2856" s="3">
        <v>52</v>
      </c>
      <c r="E2856" s="3">
        <v>495.198</v>
      </c>
      <c r="F2856" s="4" t="str">
        <f>HYPERLINK("http://141.218.60.56/~jnz1568/getInfo.php?workbook=10_05.xlsx&amp;sheet=A0&amp;row=2856&amp;col=6&amp;number=113000&amp;sourceID=14","113000")</f>
        <v>113000</v>
      </c>
      <c r="G2856" s="4" t="str">
        <f>HYPERLINK("http://141.218.60.56/~jnz1568/getInfo.php?workbook=10_05.xlsx&amp;sheet=A0&amp;row=2856&amp;col=7&amp;number=0&amp;sourceID=14","0")</f>
        <v>0</v>
      </c>
    </row>
    <row r="2857" spans="1:7">
      <c r="A2857" s="3">
        <v>10</v>
      </c>
      <c r="B2857" s="3">
        <v>5</v>
      </c>
      <c r="C2857" s="3">
        <v>162</v>
      </c>
      <c r="D2857" s="3">
        <v>52</v>
      </c>
      <c r="E2857" s="3">
        <v>494.463</v>
      </c>
      <c r="F2857" s="4" t="str">
        <f>HYPERLINK("http://141.218.60.56/~jnz1568/getInfo.php?workbook=10_05.xlsx&amp;sheet=A0&amp;row=2857&amp;col=6&amp;number=934000&amp;sourceID=14","934000")</f>
        <v>934000</v>
      </c>
      <c r="G2857" s="4" t="str">
        <f>HYPERLINK("http://141.218.60.56/~jnz1568/getInfo.php?workbook=10_05.xlsx&amp;sheet=A0&amp;row=2857&amp;col=7&amp;number=0&amp;sourceID=14","0")</f>
        <v>0</v>
      </c>
    </row>
    <row r="2858" spans="1:7">
      <c r="A2858" s="3">
        <v>10</v>
      </c>
      <c r="B2858" s="3">
        <v>5</v>
      </c>
      <c r="C2858" s="3">
        <v>163</v>
      </c>
      <c r="D2858" s="3">
        <v>52</v>
      </c>
      <c r="E2858" s="3">
        <v>-463.371</v>
      </c>
      <c r="F2858" s="4" t="str">
        <f>HYPERLINK("http://141.218.60.56/~jnz1568/getInfo.php?workbook=10_05.xlsx&amp;sheet=A0&amp;row=2858&amp;col=6&amp;number=1180000000&amp;sourceID=14","1180000000")</f>
        <v>1180000000</v>
      </c>
      <c r="G2858" s="4" t="str">
        <f>HYPERLINK("http://141.218.60.56/~jnz1568/getInfo.php?workbook=10_05.xlsx&amp;sheet=A0&amp;row=2858&amp;col=7&amp;number=0&amp;sourceID=14","0")</f>
        <v>0</v>
      </c>
    </row>
    <row r="2859" spans="1:7">
      <c r="A2859" s="3">
        <v>10</v>
      </c>
      <c r="B2859" s="3">
        <v>5</v>
      </c>
      <c r="C2859" s="3">
        <v>168</v>
      </c>
      <c r="D2859" s="3">
        <v>52</v>
      </c>
      <c r="E2859" s="3">
        <v>-354.009</v>
      </c>
      <c r="F2859" s="4" t="str">
        <f>HYPERLINK("http://141.218.60.56/~jnz1568/getInfo.php?workbook=10_05.xlsx&amp;sheet=A0&amp;row=2859&amp;col=6&amp;number=772000000&amp;sourceID=14","772000000")</f>
        <v>772000000</v>
      </c>
      <c r="G2859" s="4" t="str">
        <f>HYPERLINK("http://141.218.60.56/~jnz1568/getInfo.php?workbook=10_05.xlsx&amp;sheet=A0&amp;row=2859&amp;col=7&amp;number=0&amp;sourceID=14","0")</f>
        <v>0</v>
      </c>
    </row>
    <row r="2860" spans="1:7">
      <c r="A2860" s="3">
        <v>10</v>
      </c>
      <c r="B2860" s="3">
        <v>5</v>
      </c>
      <c r="C2860" s="3">
        <v>169</v>
      </c>
      <c r="D2860" s="3">
        <v>52</v>
      </c>
      <c r="E2860" s="3">
        <v>-353.949</v>
      </c>
      <c r="F2860" s="4" t="str">
        <f>HYPERLINK("http://141.218.60.56/~jnz1568/getInfo.php?workbook=10_05.xlsx&amp;sheet=A0&amp;row=2860&amp;col=6&amp;number=136000000&amp;sourceID=14","136000000")</f>
        <v>136000000</v>
      </c>
      <c r="G2860" s="4" t="str">
        <f>HYPERLINK("http://141.218.60.56/~jnz1568/getInfo.php?workbook=10_05.xlsx&amp;sheet=A0&amp;row=2860&amp;col=7&amp;number=0&amp;sourceID=14","0")</f>
        <v>0</v>
      </c>
    </row>
    <row r="2861" spans="1:7">
      <c r="A2861" s="3">
        <v>10</v>
      </c>
      <c r="B2861" s="3">
        <v>5</v>
      </c>
      <c r="C2861" s="3">
        <v>170</v>
      </c>
      <c r="D2861" s="3">
        <v>52</v>
      </c>
      <c r="E2861" s="3">
        <v>-342.586</v>
      </c>
      <c r="F2861" s="4" t="str">
        <f>HYPERLINK("http://141.218.60.56/~jnz1568/getInfo.php?workbook=10_05.xlsx&amp;sheet=A0&amp;row=2861&amp;col=6&amp;number=695000000&amp;sourceID=14","695000000")</f>
        <v>695000000</v>
      </c>
      <c r="G2861" s="4" t="str">
        <f>HYPERLINK("http://141.218.60.56/~jnz1568/getInfo.php?workbook=10_05.xlsx&amp;sheet=A0&amp;row=2861&amp;col=7&amp;number=0&amp;sourceID=14","0")</f>
        <v>0</v>
      </c>
    </row>
    <row r="2862" spans="1:7">
      <c r="A2862" s="3">
        <v>10</v>
      </c>
      <c r="B2862" s="3">
        <v>5</v>
      </c>
      <c r="C2862" s="3">
        <v>171</v>
      </c>
      <c r="D2862" s="3">
        <v>52</v>
      </c>
      <c r="E2862" s="3">
        <v>-342.475</v>
      </c>
      <c r="F2862" s="4" t="str">
        <f>HYPERLINK("http://141.218.60.56/~jnz1568/getInfo.php?workbook=10_05.xlsx&amp;sheet=A0&amp;row=2862&amp;col=6&amp;number=1700000000&amp;sourceID=14","1700000000")</f>
        <v>1700000000</v>
      </c>
      <c r="G2862" s="4" t="str">
        <f>HYPERLINK("http://141.218.60.56/~jnz1568/getInfo.php?workbook=10_05.xlsx&amp;sheet=A0&amp;row=2862&amp;col=7&amp;number=0&amp;sourceID=14","0")</f>
        <v>0</v>
      </c>
    </row>
    <row r="2863" spans="1:7">
      <c r="A2863" s="3">
        <v>10</v>
      </c>
      <c r="B2863" s="3">
        <v>5</v>
      </c>
      <c r="C2863" s="3">
        <v>172</v>
      </c>
      <c r="D2863" s="3">
        <v>52</v>
      </c>
      <c r="E2863" s="3">
        <v>-340.203</v>
      </c>
      <c r="F2863" s="4" t="str">
        <f>HYPERLINK("http://141.218.60.56/~jnz1568/getInfo.php?workbook=10_05.xlsx&amp;sheet=A0&amp;row=2863&amp;col=6&amp;number=391000000&amp;sourceID=14","391000000")</f>
        <v>391000000</v>
      </c>
      <c r="G2863" s="4" t="str">
        <f>HYPERLINK("http://141.218.60.56/~jnz1568/getInfo.php?workbook=10_05.xlsx&amp;sheet=A0&amp;row=2863&amp;col=7&amp;number=0&amp;sourceID=14","0")</f>
        <v>0</v>
      </c>
    </row>
    <row r="2864" spans="1:7">
      <c r="A2864" s="3">
        <v>10</v>
      </c>
      <c r="B2864" s="3">
        <v>5</v>
      </c>
      <c r="C2864" s="3">
        <v>173</v>
      </c>
      <c r="D2864" s="3">
        <v>52</v>
      </c>
      <c r="E2864" s="3">
        <v>-340.176</v>
      </c>
      <c r="F2864" s="4" t="str">
        <f>HYPERLINK("http://141.218.60.56/~jnz1568/getInfo.php?workbook=10_05.xlsx&amp;sheet=A0&amp;row=2864&amp;col=6&amp;number=2520000000&amp;sourceID=14","2520000000")</f>
        <v>2520000000</v>
      </c>
      <c r="G2864" s="4" t="str">
        <f>HYPERLINK("http://141.218.60.56/~jnz1568/getInfo.php?workbook=10_05.xlsx&amp;sheet=A0&amp;row=2864&amp;col=7&amp;number=0&amp;sourceID=14","0")</f>
        <v>0</v>
      </c>
    </row>
    <row r="2865" spans="1:7">
      <c r="A2865" s="3">
        <v>10</v>
      </c>
      <c r="B2865" s="3">
        <v>5</v>
      </c>
      <c r="C2865" s="3">
        <v>174</v>
      </c>
      <c r="D2865" s="3">
        <v>52</v>
      </c>
      <c r="E2865" s="3">
        <v>-337.752</v>
      </c>
      <c r="F2865" s="4" t="str">
        <f>HYPERLINK("http://141.218.60.56/~jnz1568/getInfo.php?workbook=10_05.xlsx&amp;sheet=A0&amp;row=2865&amp;col=6&amp;number=982000000&amp;sourceID=14","982000000")</f>
        <v>982000000</v>
      </c>
      <c r="G2865" s="4" t="str">
        <f>HYPERLINK("http://141.218.60.56/~jnz1568/getInfo.php?workbook=10_05.xlsx&amp;sheet=A0&amp;row=2865&amp;col=7&amp;number=0&amp;sourceID=14","0")</f>
        <v>0</v>
      </c>
    </row>
    <row r="2866" spans="1:7">
      <c r="A2866" s="3">
        <v>10</v>
      </c>
      <c r="B2866" s="3">
        <v>5</v>
      </c>
      <c r="C2866" s="3">
        <v>58</v>
      </c>
      <c r="D2866" s="3">
        <v>53</v>
      </c>
      <c r="E2866" s="3">
        <v>2339.733</v>
      </c>
      <c r="F2866" s="4" t="str">
        <f>HYPERLINK("http://141.218.60.56/~jnz1568/getInfo.php?workbook=10_05.xlsx&amp;sheet=A0&amp;row=2866&amp;col=6&amp;number=14900000&amp;sourceID=14","14900000")</f>
        <v>14900000</v>
      </c>
      <c r="G2866" s="4" t="str">
        <f>HYPERLINK("http://141.218.60.56/~jnz1568/getInfo.php?workbook=10_05.xlsx&amp;sheet=A0&amp;row=2866&amp;col=7&amp;number=0&amp;sourceID=14","0")</f>
        <v>0</v>
      </c>
    </row>
    <row r="2867" spans="1:7">
      <c r="A2867" s="3">
        <v>10</v>
      </c>
      <c r="B2867" s="3">
        <v>5</v>
      </c>
      <c r="C2867" s="3">
        <v>59</v>
      </c>
      <c r="D2867" s="3">
        <v>53</v>
      </c>
      <c r="E2867" s="3">
        <v>2186.274</v>
      </c>
      <c r="F2867" s="4" t="str">
        <f>HYPERLINK("http://141.218.60.56/~jnz1568/getInfo.php?workbook=10_05.xlsx&amp;sheet=A0&amp;row=2867&amp;col=6&amp;number=77800000&amp;sourceID=14","77800000")</f>
        <v>77800000</v>
      </c>
      <c r="G2867" s="4" t="str">
        <f>HYPERLINK("http://141.218.60.56/~jnz1568/getInfo.php?workbook=10_05.xlsx&amp;sheet=A0&amp;row=2867&amp;col=7&amp;number=0&amp;sourceID=14","0")</f>
        <v>0</v>
      </c>
    </row>
    <row r="2868" spans="1:7">
      <c r="A2868" s="3">
        <v>10</v>
      </c>
      <c r="B2868" s="3">
        <v>5</v>
      </c>
      <c r="C2868" s="3">
        <v>61</v>
      </c>
      <c r="D2868" s="3">
        <v>53</v>
      </c>
      <c r="E2868" s="3">
        <v>2110.154</v>
      </c>
      <c r="F2868" s="4" t="str">
        <f>HYPERLINK("http://141.218.60.56/~jnz1568/getInfo.php?workbook=10_05.xlsx&amp;sheet=A0&amp;row=2868&amp;col=6&amp;number=106000000&amp;sourceID=14","106000000")</f>
        <v>106000000</v>
      </c>
      <c r="G2868" s="4" t="str">
        <f>HYPERLINK("http://141.218.60.56/~jnz1568/getInfo.php?workbook=10_05.xlsx&amp;sheet=A0&amp;row=2868&amp;col=7&amp;number=0&amp;sourceID=14","0")</f>
        <v>0</v>
      </c>
    </row>
    <row r="2869" spans="1:7">
      <c r="A2869" s="3">
        <v>10</v>
      </c>
      <c r="B2869" s="3">
        <v>5</v>
      </c>
      <c r="C2869" s="3">
        <v>62</v>
      </c>
      <c r="D2869" s="3">
        <v>53</v>
      </c>
      <c r="E2869" s="3">
        <v>2096.88</v>
      </c>
      <c r="F2869" s="4" t="str">
        <f>HYPERLINK("http://141.218.60.56/~jnz1568/getInfo.php?workbook=10_05.xlsx&amp;sheet=A0&amp;row=2869&amp;col=6&amp;number=60200000&amp;sourceID=14","60200000")</f>
        <v>60200000</v>
      </c>
      <c r="G2869" s="4" t="str">
        <f>HYPERLINK("http://141.218.60.56/~jnz1568/getInfo.php?workbook=10_05.xlsx&amp;sheet=A0&amp;row=2869&amp;col=7&amp;number=0&amp;sourceID=14","0")</f>
        <v>0</v>
      </c>
    </row>
    <row r="2870" spans="1:7">
      <c r="A2870" s="3">
        <v>10</v>
      </c>
      <c r="B2870" s="3">
        <v>5</v>
      </c>
      <c r="C2870" s="3">
        <v>63</v>
      </c>
      <c r="D2870" s="3">
        <v>53</v>
      </c>
      <c r="E2870" s="3">
        <v>1860.815</v>
      </c>
      <c r="F2870" s="4" t="str">
        <f>HYPERLINK("http://141.218.60.56/~jnz1568/getInfo.php?workbook=10_05.xlsx&amp;sheet=A0&amp;row=2870&amp;col=6&amp;number=54500000&amp;sourceID=14","54500000")</f>
        <v>54500000</v>
      </c>
      <c r="G2870" s="4" t="str">
        <f>HYPERLINK("http://141.218.60.56/~jnz1568/getInfo.php?workbook=10_05.xlsx&amp;sheet=A0&amp;row=2870&amp;col=7&amp;number=0&amp;sourceID=14","0")</f>
        <v>0</v>
      </c>
    </row>
    <row r="2871" spans="1:7">
      <c r="A2871" s="3">
        <v>10</v>
      </c>
      <c r="B2871" s="3">
        <v>5</v>
      </c>
      <c r="C2871" s="3">
        <v>66</v>
      </c>
      <c r="D2871" s="3">
        <v>53</v>
      </c>
      <c r="E2871" s="3">
        <v>1269.199</v>
      </c>
      <c r="F2871" s="4" t="str">
        <f>HYPERLINK("http://141.218.60.56/~jnz1568/getInfo.php?workbook=10_05.xlsx&amp;sheet=A0&amp;row=2871&amp;col=6&amp;number=14900000&amp;sourceID=14","14900000")</f>
        <v>14900000</v>
      </c>
      <c r="G2871" s="4" t="str">
        <f>HYPERLINK("http://141.218.60.56/~jnz1568/getInfo.php?workbook=10_05.xlsx&amp;sheet=A0&amp;row=2871&amp;col=7&amp;number=0&amp;sourceID=14","0")</f>
        <v>0</v>
      </c>
    </row>
    <row r="2872" spans="1:7">
      <c r="A2872" s="3">
        <v>10</v>
      </c>
      <c r="B2872" s="3">
        <v>5</v>
      </c>
      <c r="C2872" s="3">
        <v>70</v>
      </c>
      <c r="D2872" s="3">
        <v>53</v>
      </c>
      <c r="E2872" s="3">
        <v>1205.257</v>
      </c>
      <c r="F2872" s="4" t="str">
        <f>HYPERLINK("http://141.218.60.56/~jnz1568/getInfo.php?workbook=10_05.xlsx&amp;sheet=A0&amp;row=2872&amp;col=6&amp;number=234000&amp;sourceID=14","234000")</f>
        <v>234000</v>
      </c>
      <c r="G2872" s="4" t="str">
        <f>HYPERLINK("http://141.218.60.56/~jnz1568/getInfo.php?workbook=10_05.xlsx&amp;sheet=A0&amp;row=2872&amp;col=7&amp;number=0&amp;sourceID=14","0")</f>
        <v>0</v>
      </c>
    </row>
    <row r="2873" spans="1:7">
      <c r="A2873" s="3">
        <v>10</v>
      </c>
      <c r="B2873" s="3">
        <v>5</v>
      </c>
      <c r="C2873" s="3">
        <v>71</v>
      </c>
      <c r="D2873" s="3">
        <v>53</v>
      </c>
      <c r="E2873" s="3">
        <v>1205.257</v>
      </c>
      <c r="F2873" s="4" t="str">
        <f>HYPERLINK("http://141.218.60.56/~jnz1568/getInfo.php?workbook=10_05.xlsx&amp;sheet=A0&amp;row=2873&amp;col=6&amp;number=102&amp;sourceID=14","102")</f>
        <v>102</v>
      </c>
      <c r="G2873" s="4" t="str">
        <f>HYPERLINK("http://141.218.60.56/~jnz1568/getInfo.php?workbook=10_05.xlsx&amp;sheet=A0&amp;row=2873&amp;col=7&amp;number=0&amp;sourceID=14","0")</f>
        <v>0</v>
      </c>
    </row>
    <row r="2874" spans="1:7">
      <c r="A2874" s="3">
        <v>10</v>
      </c>
      <c r="B2874" s="3">
        <v>5</v>
      </c>
      <c r="C2874" s="3">
        <v>77</v>
      </c>
      <c r="D2874" s="3">
        <v>53</v>
      </c>
      <c r="E2874" s="3">
        <v>-932.272</v>
      </c>
      <c r="F2874" s="4" t="str">
        <f>HYPERLINK("http://141.218.60.56/~jnz1568/getInfo.php?workbook=10_05.xlsx&amp;sheet=A0&amp;row=2874&amp;col=6&amp;number=209000000&amp;sourceID=14","209000000")</f>
        <v>209000000</v>
      </c>
      <c r="G2874" s="4" t="str">
        <f>HYPERLINK("http://141.218.60.56/~jnz1568/getInfo.php?workbook=10_05.xlsx&amp;sheet=A0&amp;row=2874&amp;col=7&amp;number=0&amp;sourceID=14","0")</f>
        <v>0</v>
      </c>
    </row>
    <row r="2875" spans="1:7">
      <c r="A2875" s="3">
        <v>10</v>
      </c>
      <c r="B2875" s="3">
        <v>5</v>
      </c>
      <c r="C2875" s="3">
        <v>78</v>
      </c>
      <c r="D2875" s="3">
        <v>53</v>
      </c>
      <c r="E2875" s="3">
        <v>-925.105</v>
      </c>
      <c r="F2875" s="4" t="str">
        <f>HYPERLINK("http://141.218.60.56/~jnz1568/getInfo.php?workbook=10_05.xlsx&amp;sheet=A0&amp;row=2875&amp;col=6&amp;number=63500000&amp;sourceID=14","63500000")</f>
        <v>63500000</v>
      </c>
      <c r="G2875" s="4" t="str">
        <f>HYPERLINK("http://141.218.60.56/~jnz1568/getInfo.php?workbook=10_05.xlsx&amp;sheet=A0&amp;row=2875&amp;col=7&amp;number=0&amp;sourceID=14","0")</f>
        <v>0</v>
      </c>
    </row>
    <row r="2876" spans="1:7">
      <c r="A2876" s="3">
        <v>10</v>
      </c>
      <c r="B2876" s="3">
        <v>5</v>
      </c>
      <c r="C2876" s="3">
        <v>80</v>
      </c>
      <c r="D2876" s="3">
        <v>53</v>
      </c>
      <c r="E2876" s="3">
        <v>862.294</v>
      </c>
      <c r="F2876" s="4" t="str">
        <f>HYPERLINK("http://141.218.60.56/~jnz1568/getInfo.php?workbook=10_05.xlsx&amp;sheet=A0&amp;row=2876&amp;col=6&amp;number=941000000&amp;sourceID=14","941000000")</f>
        <v>941000000</v>
      </c>
      <c r="G2876" s="4" t="str">
        <f>HYPERLINK("http://141.218.60.56/~jnz1568/getInfo.php?workbook=10_05.xlsx&amp;sheet=A0&amp;row=2876&amp;col=7&amp;number=0&amp;sourceID=14","0")</f>
        <v>0</v>
      </c>
    </row>
    <row r="2877" spans="1:7">
      <c r="A2877" s="3">
        <v>10</v>
      </c>
      <c r="B2877" s="3">
        <v>5</v>
      </c>
      <c r="C2877" s="3">
        <v>99</v>
      </c>
      <c r="D2877" s="3">
        <v>53</v>
      </c>
      <c r="E2877" s="3">
        <v>-627.874</v>
      </c>
      <c r="F2877" s="4" t="str">
        <f>HYPERLINK("http://141.218.60.56/~jnz1568/getInfo.php?workbook=10_05.xlsx&amp;sheet=A0&amp;row=2877&amp;col=6&amp;number=3080&amp;sourceID=14","3080")</f>
        <v>3080</v>
      </c>
      <c r="G2877" s="4" t="str">
        <f>HYPERLINK("http://141.218.60.56/~jnz1568/getInfo.php?workbook=10_05.xlsx&amp;sheet=A0&amp;row=2877&amp;col=7&amp;number=0&amp;sourceID=14","0")</f>
        <v>0</v>
      </c>
    </row>
    <row r="2878" spans="1:7">
      <c r="A2878" s="3">
        <v>10</v>
      </c>
      <c r="B2878" s="3">
        <v>5</v>
      </c>
      <c r="C2878" s="3">
        <v>105</v>
      </c>
      <c r="D2878" s="3">
        <v>53</v>
      </c>
      <c r="E2878" s="3">
        <v>-605.156</v>
      </c>
      <c r="F2878" s="4" t="str">
        <f>HYPERLINK("http://141.218.60.56/~jnz1568/getInfo.php?workbook=10_05.xlsx&amp;sheet=A0&amp;row=2878&amp;col=6&amp;number=4080000&amp;sourceID=14","4080000")</f>
        <v>4080000</v>
      </c>
      <c r="G2878" s="4" t="str">
        <f>HYPERLINK("http://141.218.60.56/~jnz1568/getInfo.php?workbook=10_05.xlsx&amp;sheet=A0&amp;row=2878&amp;col=7&amp;number=0&amp;sourceID=14","0")</f>
        <v>0</v>
      </c>
    </row>
    <row r="2879" spans="1:7">
      <c r="A2879" s="3">
        <v>10</v>
      </c>
      <c r="B2879" s="3">
        <v>5</v>
      </c>
      <c r="C2879" s="3">
        <v>106</v>
      </c>
      <c r="D2879" s="3">
        <v>53</v>
      </c>
      <c r="E2879" s="3">
        <v>-604.698</v>
      </c>
      <c r="F2879" s="4" t="str">
        <f>HYPERLINK("http://141.218.60.56/~jnz1568/getInfo.php?workbook=10_05.xlsx&amp;sheet=A0&amp;row=2879&amp;col=6&amp;number=1550000&amp;sourceID=14","1550000")</f>
        <v>1550000</v>
      </c>
      <c r="G2879" s="4" t="str">
        <f>HYPERLINK("http://141.218.60.56/~jnz1568/getInfo.php?workbook=10_05.xlsx&amp;sheet=A0&amp;row=2879&amp;col=7&amp;number=0&amp;sourceID=14","0")</f>
        <v>0</v>
      </c>
    </row>
    <row r="2880" spans="1:7">
      <c r="A2880" s="3">
        <v>10</v>
      </c>
      <c r="B2880" s="3">
        <v>5</v>
      </c>
      <c r="C2880" s="3">
        <v>109</v>
      </c>
      <c r="D2880" s="3">
        <v>53</v>
      </c>
      <c r="E2880" s="3">
        <v>-601.129</v>
      </c>
      <c r="F2880" s="4" t="str">
        <f>HYPERLINK("http://141.218.60.56/~jnz1568/getInfo.php?workbook=10_05.xlsx&amp;sheet=A0&amp;row=2880&amp;col=6&amp;number=17900000&amp;sourceID=14","17900000")</f>
        <v>17900000</v>
      </c>
      <c r="G2880" s="4" t="str">
        <f>HYPERLINK("http://141.218.60.56/~jnz1568/getInfo.php?workbook=10_05.xlsx&amp;sheet=A0&amp;row=2880&amp;col=7&amp;number=0&amp;sourceID=14","0")</f>
        <v>0</v>
      </c>
    </row>
    <row r="2881" spans="1:7">
      <c r="A2881" s="3">
        <v>10</v>
      </c>
      <c r="B2881" s="3">
        <v>5</v>
      </c>
      <c r="C2881" s="3">
        <v>111</v>
      </c>
      <c r="D2881" s="3">
        <v>53</v>
      </c>
      <c r="E2881" s="3">
        <v>-598.976</v>
      </c>
      <c r="F2881" s="4" t="str">
        <f>HYPERLINK("http://141.218.60.56/~jnz1568/getInfo.php?workbook=10_05.xlsx&amp;sheet=A0&amp;row=2881&amp;col=6&amp;number=74300000&amp;sourceID=14","74300000")</f>
        <v>74300000</v>
      </c>
      <c r="G2881" s="4" t="str">
        <f>HYPERLINK("http://141.218.60.56/~jnz1568/getInfo.php?workbook=10_05.xlsx&amp;sheet=A0&amp;row=2881&amp;col=7&amp;number=0&amp;sourceID=14","0")</f>
        <v>0</v>
      </c>
    </row>
    <row r="2882" spans="1:7">
      <c r="A2882" s="3">
        <v>10</v>
      </c>
      <c r="B2882" s="3">
        <v>5</v>
      </c>
      <c r="C2882" s="3">
        <v>118</v>
      </c>
      <c r="D2882" s="3">
        <v>53</v>
      </c>
      <c r="E2882" s="3">
        <v>-571.335</v>
      </c>
      <c r="F2882" s="4" t="str">
        <f>HYPERLINK("http://141.218.60.56/~jnz1568/getInfo.php?workbook=10_05.xlsx&amp;sheet=A0&amp;row=2882&amp;col=6&amp;number=308&amp;sourceID=14","308")</f>
        <v>308</v>
      </c>
      <c r="G2882" s="4" t="str">
        <f>HYPERLINK("http://141.218.60.56/~jnz1568/getInfo.php?workbook=10_05.xlsx&amp;sheet=A0&amp;row=2882&amp;col=7&amp;number=0&amp;sourceID=14","0")</f>
        <v>0</v>
      </c>
    </row>
    <row r="2883" spans="1:7">
      <c r="A2883" s="3">
        <v>10</v>
      </c>
      <c r="B2883" s="3">
        <v>5</v>
      </c>
      <c r="C2883" s="3">
        <v>119</v>
      </c>
      <c r="D2883" s="3">
        <v>53</v>
      </c>
      <c r="E2883" s="3">
        <v>-571.172</v>
      </c>
      <c r="F2883" s="4" t="str">
        <f>HYPERLINK("http://141.218.60.56/~jnz1568/getInfo.php?workbook=10_05.xlsx&amp;sheet=A0&amp;row=2883&amp;col=6&amp;number=170000&amp;sourceID=14","170000")</f>
        <v>170000</v>
      </c>
      <c r="G2883" s="4" t="str">
        <f>HYPERLINK("http://141.218.60.56/~jnz1568/getInfo.php?workbook=10_05.xlsx&amp;sheet=A0&amp;row=2883&amp;col=7&amp;number=0&amp;sourceID=14","0")</f>
        <v>0</v>
      </c>
    </row>
    <row r="2884" spans="1:7">
      <c r="A2884" s="3">
        <v>10</v>
      </c>
      <c r="B2884" s="3">
        <v>5</v>
      </c>
      <c r="C2884" s="3">
        <v>120</v>
      </c>
      <c r="D2884" s="3">
        <v>53</v>
      </c>
      <c r="E2884" s="3">
        <v>-561.042</v>
      </c>
      <c r="F2884" s="4" t="str">
        <f>HYPERLINK("http://141.218.60.56/~jnz1568/getInfo.php?workbook=10_05.xlsx&amp;sheet=A0&amp;row=2884&amp;col=6&amp;number=668000&amp;sourceID=14","668000")</f>
        <v>668000</v>
      </c>
      <c r="G2884" s="4" t="str">
        <f>HYPERLINK("http://141.218.60.56/~jnz1568/getInfo.php?workbook=10_05.xlsx&amp;sheet=A0&amp;row=2884&amp;col=7&amp;number=0&amp;sourceID=14","0")</f>
        <v>0</v>
      </c>
    </row>
    <row r="2885" spans="1:7">
      <c r="A2885" s="3">
        <v>10</v>
      </c>
      <c r="B2885" s="3">
        <v>5</v>
      </c>
      <c r="C2885" s="3">
        <v>121</v>
      </c>
      <c r="D2885" s="3">
        <v>53</v>
      </c>
      <c r="E2885" s="3">
        <v>-560.338</v>
      </c>
      <c r="F2885" s="4" t="str">
        <f>HYPERLINK("http://141.218.60.56/~jnz1568/getInfo.php?workbook=10_05.xlsx&amp;sheet=A0&amp;row=2885&amp;col=6&amp;number=48500&amp;sourceID=14","48500")</f>
        <v>48500</v>
      </c>
      <c r="G2885" s="4" t="str">
        <f>HYPERLINK("http://141.218.60.56/~jnz1568/getInfo.php?workbook=10_05.xlsx&amp;sheet=A0&amp;row=2885&amp;col=7&amp;number=0&amp;sourceID=14","0")</f>
        <v>0</v>
      </c>
    </row>
    <row r="2886" spans="1:7">
      <c r="A2886" s="3">
        <v>10</v>
      </c>
      <c r="B2886" s="3">
        <v>5</v>
      </c>
      <c r="C2886" s="3">
        <v>123</v>
      </c>
      <c r="D2886" s="3">
        <v>53</v>
      </c>
      <c r="E2886" s="3">
        <v>-558.261</v>
      </c>
      <c r="F2886" s="4" t="str">
        <f>HYPERLINK("http://141.218.60.56/~jnz1568/getInfo.php?workbook=10_05.xlsx&amp;sheet=A0&amp;row=2886&amp;col=6&amp;number=288000&amp;sourceID=14","288000")</f>
        <v>288000</v>
      </c>
      <c r="G2886" s="4" t="str">
        <f>HYPERLINK("http://141.218.60.56/~jnz1568/getInfo.php?workbook=10_05.xlsx&amp;sheet=A0&amp;row=2886&amp;col=7&amp;number=0&amp;sourceID=14","0")</f>
        <v>0</v>
      </c>
    </row>
    <row r="2887" spans="1:7">
      <c r="A2887" s="3">
        <v>10</v>
      </c>
      <c r="B2887" s="3">
        <v>5</v>
      </c>
      <c r="C2887" s="3">
        <v>125</v>
      </c>
      <c r="D2887" s="3">
        <v>53</v>
      </c>
      <c r="E2887" s="3">
        <v>-554.749</v>
      </c>
      <c r="F2887" s="4" t="str">
        <f>HYPERLINK("http://141.218.60.56/~jnz1568/getInfo.php?workbook=10_05.xlsx&amp;sheet=A0&amp;row=2887&amp;col=6&amp;number=37800000&amp;sourceID=14","37800000")</f>
        <v>37800000</v>
      </c>
      <c r="G2887" s="4" t="str">
        <f>HYPERLINK("http://141.218.60.56/~jnz1568/getInfo.php?workbook=10_05.xlsx&amp;sheet=A0&amp;row=2887&amp;col=7&amp;number=0&amp;sourceID=14","0")</f>
        <v>0</v>
      </c>
    </row>
    <row r="2888" spans="1:7">
      <c r="A2888" s="3">
        <v>10</v>
      </c>
      <c r="B2888" s="3">
        <v>5</v>
      </c>
      <c r="C2888" s="3">
        <v>126</v>
      </c>
      <c r="D2888" s="3">
        <v>53</v>
      </c>
      <c r="E2888" s="3">
        <v>-553.904</v>
      </c>
      <c r="F2888" s="4" t="str">
        <f>HYPERLINK("http://141.218.60.56/~jnz1568/getInfo.php?workbook=10_05.xlsx&amp;sheet=A0&amp;row=2888&amp;col=6&amp;number=8770000&amp;sourceID=14","8770000")</f>
        <v>8770000</v>
      </c>
      <c r="G2888" s="4" t="str">
        <f>HYPERLINK("http://141.218.60.56/~jnz1568/getInfo.php?workbook=10_05.xlsx&amp;sheet=A0&amp;row=2888&amp;col=7&amp;number=0&amp;sourceID=14","0")</f>
        <v>0</v>
      </c>
    </row>
    <row r="2889" spans="1:7">
      <c r="A2889" s="3">
        <v>10</v>
      </c>
      <c r="B2889" s="3">
        <v>5</v>
      </c>
      <c r="C2889" s="3">
        <v>129</v>
      </c>
      <c r="D2889" s="3">
        <v>53</v>
      </c>
      <c r="E2889" s="3">
        <v>545.317</v>
      </c>
      <c r="F2889" s="4" t="str">
        <f>HYPERLINK("http://141.218.60.56/~jnz1568/getInfo.php?workbook=10_05.xlsx&amp;sheet=A0&amp;row=2889&amp;col=6&amp;number=2730000&amp;sourceID=14","2730000")</f>
        <v>2730000</v>
      </c>
      <c r="G2889" s="4" t="str">
        <f>HYPERLINK("http://141.218.60.56/~jnz1568/getInfo.php?workbook=10_05.xlsx&amp;sheet=A0&amp;row=2889&amp;col=7&amp;number=0&amp;sourceID=14","0")</f>
        <v>0</v>
      </c>
    </row>
    <row r="2890" spans="1:7">
      <c r="A2890" s="3">
        <v>10</v>
      </c>
      <c r="B2890" s="3">
        <v>5</v>
      </c>
      <c r="C2890" s="3">
        <v>131</v>
      </c>
      <c r="D2890" s="3">
        <v>53</v>
      </c>
      <c r="E2890" s="3">
        <v>-543.793</v>
      </c>
      <c r="F2890" s="4" t="str">
        <f>HYPERLINK("http://141.218.60.56/~jnz1568/getInfo.php?workbook=10_05.xlsx&amp;sheet=A0&amp;row=2890&amp;col=6&amp;number=105000&amp;sourceID=14","105000")</f>
        <v>105000</v>
      </c>
      <c r="G2890" s="4" t="str">
        <f>HYPERLINK("http://141.218.60.56/~jnz1568/getInfo.php?workbook=10_05.xlsx&amp;sheet=A0&amp;row=2890&amp;col=7&amp;number=0&amp;sourceID=14","0")</f>
        <v>0</v>
      </c>
    </row>
    <row r="2891" spans="1:7">
      <c r="A2891" s="3">
        <v>10</v>
      </c>
      <c r="B2891" s="3">
        <v>5</v>
      </c>
      <c r="C2891" s="3">
        <v>132</v>
      </c>
      <c r="D2891" s="3">
        <v>53</v>
      </c>
      <c r="E2891" s="3">
        <v>-543.358</v>
      </c>
      <c r="F2891" s="4" t="str">
        <f>HYPERLINK("http://141.218.60.56/~jnz1568/getInfo.php?workbook=10_05.xlsx&amp;sheet=A0&amp;row=2891&amp;col=6&amp;number=31200&amp;sourceID=14","31200")</f>
        <v>31200</v>
      </c>
      <c r="G2891" s="4" t="str">
        <f>HYPERLINK("http://141.218.60.56/~jnz1568/getInfo.php?workbook=10_05.xlsx&amp;sheet=A0&amp;row=2891&amp;col=7&amp;number=0&amp;sourceID=14","0")</f>
        <v>0</v>
      </c>
    </row>
    <row r="2892" spans="1:7">
      <c r="A2892" s="3">
        <v>10</v>
      </c>
      <c r="B2892" s="3">
        <v>5</v>
      </c>
      <c r="C2892" s="3">
        <v>140</v>
      </c>
      <c r="D2892" s="3">
        <v>53</v>
      </c>
      <c r="E2892" s="3">
        <v>-528.858</v>
      </c>
      <c r="F2892" s="4" t="str">
        <f>HYPERLINK("http://141.218.60.56/~jnz1568/getInfo.php?workbook=10_05.xlsx&amp;sheet=A0&amp;row=2892&amp;col=6&amp;number=359000000&amp;sourceID=14","359000000")</f>
        <v>359000000</v>
      </c>
      <c r="G2892" s="4" t="str">
        <f>HYPERLINK("http://141.218.60.56/~jnz1568/getInfo.php?workbook=10_05.xlsx&amp;sheet=A0&amp;row=2892&amp;col=7&amp;number=0&amp;sourceID=14","0")</f>
        <v>0</v>
      </c>
    </row>
    <row r="2893" spans="1:7">
      <c r="A2893" s="3">
        <v>10</v>
      </c>
      <c r="B2893" s="3">
        <v>5</v>
      </c>
      <c r="C2893" s="3">
        <v>150</v>
      </c>
      <c r="D2893" s="3">
        <v>53</v>
      </c>
      <c r="E2893" s="3">
        <v>-510.143</v>
      </c>
      <c r="F2893" s="4" t="str">
        <f>HYPERLINK("http://141.218.60.56/~jnz1568/getInfo.php?workbook=10_05.xlsx&amp;sheet=A0&amp;row=2893&amp;col=6&amp;number=56000000&amp;sourceID=14","56000000")</f>
        <v>56000000</v>
      </c>
      <c r="G2893" s="4" t="str">
        <f>HYPERLINK("http://141.218.60.56/~jnz1568/getInfo.php?workbook=10_05.xlsx&amp;sheet=A0&amp;row=2893&amp;col=7&amp;number=0&amp;sourceID=14","0")</f>
        <v>0</v>
      </c>
    </row>
    <row r="2894" spans="1:7">
      <c r="A2894" s="3">
        <v>10</v>
      </c>
      <c r="B2894" s="3">
        <v>5</v>
      </c>
      <c r="C2894" s="3">
        <v>156</v>
      </c>
      <c r="D2894" s="3">
        <v>53</v>
      </c>
      <c r="E2894" s="3">
        <v>-499.641</v>
      </c>
      <c r="F2894" s="4" t="str">
        <f>HYPERLINK("http://141.218.60.56/~jnz1568/getInfo.php?workbook=10_05.xlsx&amp;sheet=A0&amp;row=2894&amp;col=6&amp;number=72900000&amp;sourceID=14","72900000")</f>
        <v>72900000</v>
      </c>
      <c r="G2894" s="4" t="str">
        <f>HYPERLINK("http://141.218.60.56/~jnz1568/getInfo.php?workbook=10_05.xlsx&amp;sheet=A0&amp;row=2894&amp;col=7&amp;number=0&amp;sourceID=14","0")</f>
        <v>0</v>
      </c>
    </row>
    <row r="2895" spans="1:7">
      <c r="A2895" s="3">
        <v>10</v>
      </c>
      <c r="B2895" s="3">
        <v>5</v>
      </c>
      <c r="C2895" s="3">
        <v>160</v>
      </c>
      <c r="D2895" s="3">
        <v>53</v>
      </c>
      <c r="E2895" s="3">
        <v>-496.06</v>
      </c>
      <c r="F2895" s="4" t="str">
        <f>HYPERLINK("http://141.218.60.56/~jnz1568/getInfo.php?workbook=10_05.xlsx&amp;sheet=A0&amp;row=2895&amp;col=6&amp;number=2000000000&amp;sourceID=14","2000000000")</f>
        <v>2000000000</v>
      </c>
      <c r="G2895" s="4" t="str">
        <f>HYPERLINK("http://141.218.60.56/~jnz1568/getInfo.php?workbook=10_05.xlsx&amp;sheet=A0&amp;row=2895&amp;col=7&amp;number=0&amp;sourceID=14","0")</f>
        <v>0</v>
      </c>
    </row>
    <row r="2896" spans="1:7">
      <c r="A2896" s="3">
        <v>10</v>
      </c>
      <c r="B2896" s="3">
        <v>5</v>
      </c>
      <c r="C2896" s="3">
        <v>161</v>
      </c>
      <c r="D2896" s="3">
        <v>53</v>
      </c>
      <c r="E2896" s="3">
        <v>495.198</v>
      </c>
      <c r="F2896" s="4" t="str">
        <f>HYPERLINK("http://141.218.60.56/~jnz1568/getInfo.php?workbook=10_05.xlsx&amp;sheet=A0&amp;row=2896&amp;col=6&amp;number=1250000&amp;sourceID=14","1250000")</f>
        <v>1250000</v>
      </c>
      <c r="G2896" s="4" t="str">
        <f>HYPERLINK("http://141.218.60.56/~jnz1568/getInfo.php?workbook=10_05.xlsx&amp;sheet=A0&amp;row=2896&amp;col=7&amp;number=0&amp;sourceID=14","0")</f>
        <v>0</v>
      </c>
    </row>
    <row r="2897" spans="1:7">
      <c r="A2897" s="3">
        <v>10</v>
      </c>
      <c r="B2897" s="3">
        <v>5</v>
      </c>
      <c r="C2897" s="3">
        <v>162</v>
      </c>
      <c r="D2897" s="3">
        <v>53</v>
      </c>
      <c r="E2897" s="3">
        <v>494.463</v>
      </c>
      <c r="F2897" s="4" t="str">
        <f>HYPERLINK("http://141.218.60.56/~jnz1568/getInfo.php?workbook=10_05.xlsx&amp;sheet=A0&amp;row=2897&amp;col=6&amp;number=87500&amp;sourceID=14","87500")</f>
        <v>87500</v>
      </c>
      <c r="G2897" s="4" t="str">
        <f>HYPERLINK("http://141.218.60.56/~jnz1568/getInfo.php?workbook=10_05.xlsx&amp;sheet=A0&amp;row=2897&amp;col=7&amp;number=0&amp;sourceID=14","0")</f>
        <v>0</v>
      </c>
    </row>
    <row r="2898" spans="1:7">
      <c r="A2898" s="3">
        <v>10</v>
      </c>
      <c r="B2898" s="3">
        <v>5</v>
      </c>
      <c r="C2898" s="3">
        <v>163</v>
      </c>
      <c r="D2898" s="3">
        <v>53</v>
      </c>
      <c r="E2898" s="3">
        <v>-463.49</v>
      </c>
      <c r="F2898" s="4" t="str">
        <f>HYPERLINK("http://141.218.60.56/~jnz1568/getInfo.php?workbook=10_05.xlsx&amp;sheet=A0&amp;row=2898&amp;col=6&amp;number=610000000&amp;sourceID=14","610000000")</f>
        <v>610000000</v>
      </c>
      <c r="G2898" s="4" t="str">
        <f>HYPERLINK("http://141.218.60.56/~jnz1568/getInfo.php?workbook=10_05.xlsx&amp;sheet=A0&amp;row=2898&amp;col=7&amp;number=0&amp;sourceID=14","0")</f>
        <v>0</v>
      </c>
    </row>
    <row r="2899" spans="1:7">
      <c r="A2899" s="3">
        <v>10</v>
      </c>
      <c r="B2899" s="3">
        <v>5</v>
      </c>
      <c r="C2899" s="3">
        <v>169</v>
      </c>
      <c r="D2899" s="3">
        <v>53</v>
      </c>
      <c r="E2899" s="3">
        <v>-354.018</v>
      </c>
      <c r="F2899" s="4" t="str">
        <f>HYPERLINK("http://141.218.60.56/~jnz1568/getInfo.php?workbook=10_05.xlsx&amp;sheet=A0&amp;row=2899&amp;col=6&amp;number=685000000&amp;sourceID=14","685000000")</f>
        <v>685000000</v>
      </c>
      <c r="G2899" s="4" t="str">
        <f>HYPERLINK("http://141.218.60.56/~jnz1568/getInfo.php?workbook=10_05.xlsx&amp;sheet=A0&amp;row=2899&amp;col=7&amp;number=0&amp;sourceID=14","0")</f>
        <v>0</v>
      </c>
    </row>
    <row r="2900" spans="1:7">
      <c r="A2900" s="3">
        <v>10</v>
      </c>
      <c r="B2900" s="3">
        <v>5</v>
      </c>
      <c r="C2900" s="3">
        <v>170</v>
      </c>
      <c r="D2900" s="3">
        <v>53</v>
      </c>
      <c r="E2900" s="3">
        <v>-342.651</v>
      </c>
      <c r="F2900" s="4" t="str">
        <f>HYPERLINK("http://141.218.60.56/~jnz1568/getInfo.php?workbook=10_05.xlsx&amp;sheet=A0&amp;row=2900&amp;col=6&amp;number=1350000000&amp;sourceID=14","1350000000")</f>
        <v>1350000000</v>
      </c>
      <c r="G2900" s="4" t="str">
        <f>HYPERLINK("http://141.218.60.56/~jnz1568/getInfo.php?workbook=10_05.xlsx&amp;sheet=A0&amp;row=2900&amp;col=7&amp;number=0&amp;sourceID=14","0")</f>
        <v>0</v>
      </c>
    </row>
    <row r="2901" spans="1:7">
      <c r="A2901" s="3">
        <v>10</v>
      </c>
      <c r="B2901" s="3">
        <v>5</v>
      </c>
      <c r="C2901" s="3">
        <v>171</v>
      </c>
      <c r="D2901" s="3">
        <v>53</v>
      </c>
      <c r="E2901" s="3">
        <v>-342.539</v>
      </c>
      <c r="F2901" s="4" t="str">
        <f>HYPERLINK("http://141.218.60.56/~jnz1568/getInfo.php?workbook=10_05.xlsx&amp;sheet=A0&amp;row=2901&amp;col=6&amp;number=312000000&amp;sourceID=14","312000000")</f>
        <v>312000000</v>
      </c>
      <c r="G2901" s="4" t="str">
        <f>HYPERLINK("http://141.218.60.56/~jnz1568/getInfo.php?workbook=10_05.xlsx&amp;sheet=A0&amp;row=2901&amp;col=7&amp;number=0&amp;sourceID=14","0")</f>
        <v>0</v>
      </c>
    </row>
    <row r="2902" spans="1:7">
      <c r="A2902" s="3">
        <v>10</v>
      </c>
      <c r="B2902" s="3">
        <v>5</v>
      </c>
      <c r="C2902" s="3">
        <v>172</v>
      </c>
      <c r="D2902" s="3">
        <v>53</v>
      </c>
      <c r="E2902" s="3">
        <v>-340.266</v>
      </c>
      <c r="F2902" s="4" t="str">
        <f>HYPERLINK("http://141.218.60.56/~jnz1568/getInfo.php?workbook=10_05.xlsx&amp;sheet=A0&amp;row=2902&amp;col=6&amp;number=2170000000&amp;sourceID=14","2170000000")</f>
        <v>2170000000</v>
      </c>
      <c r="G2902" s="4" t="str">
        <f>HYPERLINK("http://141.218.60.56/~jnz1568/getInfo.php?workbook=10_05.xlsx&amp;sheet=A0&amp;row=2902&amp;col=7&amp;number=0&amp;sourceID=14","0")</f>
        <v>0</v>
      </c>
    </row>
    <row r="2903" spans="1:7">
      <c r="A2903" s="3">
        <v>10</v>
      </c>
      <c r="B2903" s="3">
        <v>5</v>
      </c>
      <c r="C2903" s="3">
        <v>174</v>
      </c>
      <c r="D2903" s="3">
        <v>53</v>
      </c>
      <c r="E2903" s="3">
        <v>-337.814</v>
      </c>
      <c r="F2903" s="4" t="str">
        <f>HYPERLINK("http://141.218.60.56/~jnz1568/getInfo.php?workbook=10_05.xlsx&amp;sheet=A0&amp;row=2903&amp;col=6&amp;number=538000000&amp;sourceID=14","538000000")</f>
        <v>538000000</v>
      </c>
      <c r="G2903" s="4" t="str">
        <f>HYPERLINK("http://141.218.60.56/~jnz1568/getInfo.php?workbook=10_05.xlsx&amp;sheet=A0&amp;row=2903&amp;col=7&amp;number=0&amp;sourceID=14","0")</f>
        <v>0</v>
      </c>
    </row>
    <row r="2904" spans="1:7">
      <c r="A2904" s="3">
        <v>10</v>
      </c>
      <c r="B2904" s="3">
        <v>5</v>
      </c>
      <c r="C2904" s="3">
        <v>59</v>
      </c>
      <c r="D2904" s="3">
        <v>54</v>
      </c>
      <c r="E2904" s="3">
        <v>2493.77</v>
      </c>
      <c r="F2904" s="4" t="str">
        <f>HYPERLINK("http://141.218.60.56/~jnz1568/getInfo.php?workbook=10_05.xlsx&amp;sheet=A0&amp;row=2904&amp;col=6&amp;number=1750000&amp;sourceID=14","1750000")</f>
        <v>1750000</v>
      </c>
      <c r="G2904" s="4" t="str">
        <f>HYPERLINK("http://141.218.60.56/~jnz1568/getInfo.php?workbook=10_05.xlsx&amp;sheet=A0&amp;row=2904&amp;col=7&amp;number=0&amp;sourceID=14","0")</f>
        <v>0</v>
      </c>
    </row>
    <row r="2905" spans="1:7">
      <c r="A2905" s="3">
        <v>10</v>
      </c>
      <c r="B2905" s="3">
        <v>5</v>
      </c>
      <c r="C2905" s="3">
        <v>60</v>
      </c>
      <c r="D2905" s="3">
        <v>54</v>
      </c>
      <c r="E2905" s="3">
        <v>2485.094</v>
      </c>
      <c r="F2905" s="4" t="str">
        <f>HYPERLINK("http://141.218.60.56/~jnz1568/getInfo.php?workbook=10_05.xlsx&amp;sheet=A0&amp;row=2905&amp;col=6&amp;number=109000&amp;sourceID=14","109000")</f>
        <v>109000</v>
      </c>
      <c r="G2905" s="4" t="str">
        <f>HYPERLINK("http://141.218.60.56/~jnz1568/getInfo.php?workbook=10_05.xlsx&amp;sheet=A0&amp;row=2905&amp;col=7&amp;number=0&amp;sourceID=14","0")</f>
        <v>0</v>
      </c>
    </row>
    <row r="2906" spans="1:7">
      <c r="A2906" s="3">
        <v>10</v>
      </c>
      <c r="B2906" s="3">
        <v>5</v>
      </c>
      <c r="C2906" s="3">
        <v>62</v>
      </c>
      <c r="D2906" s="3">
        <v>54</v>
      </c>
      <c r="E2906" s="3">
        <v>2378.126</v>
      </c>
      <c r="F2906" s="4" t="str">
        <f>HYPERLINK("http://141.218.60.56/~jnz1568/getInfo.php?workbook=10_05.xlsx&amp;sheet=A0&amp;row=2906&amp;col=6&amp;number=127000&amp;sourceID=14","127000")</f>
        <v>127000</v>
      </c>
      <c r="G2906" s="4" t="str">
        <f>HYPERLINK("http://141.218.60.56/~jnz1568/getInfo.php?workbook=10_05.xlsx&amp;sheet=A0&amp;row=2906&amp;col=7&amp;number=0&amp;sourceID=14","0")</f>
        <v>0</v>
      </c>
    </row>
    <row r="2907" spans="1:7">
      <c r="A2907" s="3">
        <v>10</v>
      </c>
      <c r="B2907" s="3">
        <v>5</v>
      </c>
      <c r="C2907" s="3">
        <v>66</v>
      </c>
      <c r="D2907" s="3">
        <v>54</v>
      </c>
      <c r="E2907" s="3">
        <v>1367.057</v>
      </c>
      <c r="F2907" s="4" t="str">
        <f>HYPERLINK("http://141.218.60.56/~jnz1568/getInfo.php?workbook=10_05.xlsx&amp;sheet=A0&amp;row=2907&amp;col=6&amp;number=16800&amp;sourceID=14","16800")</f>
        <v>16800</v>
      </c>
      <c r="G2907" s="4" t="str">
        <f>HYPERLINK("http://141.218.60.56/~jnz1568/getInfo.php?workbook=10_05.xlsx&amp;sheet=A0&amp;row=2907&amp;col=7&amp;number=0&amp;sourceID=14","0")</f>
        <v>0</v>
      </c>
    </row>
    <row r="2908" spans="1:7">
      <c r="A2908" s="3">
        <v>10</v>
      </c>
      <c r="B2908" s="3">
        <v>5</v>
      </c>
      <c r="C2908" s="3">
        <v>67</v>
      </c>
      <c r="D2908" s="3">
        <v>54</v>
      </c>
      <c r="E2908" s="3">
        <v>1367.057</v>
      </c>
      <c r="F2908" s="4" t="str">
        <f>HYPERLINK("http://141.218.60.56/~jnz1568/getInfo.php?workbook=10_05.xlsx&amp;sheet=A0&amp;row=2908&amp;col=6&amp;number=692&amp;sourceID=14","692")</f>
        <v>692</v>
      </c>
      <c r="G2908" s="4" t="str">
        <f>HYPERLINK("http://141.218.60.56/~jnz1568/getInfo.php?workbook=10_05.xlsx&amp;sheet=A0&amp;row=2908&amp;col=7&amp;number=0&amp;sourceID=14","0")</f>
        <v>0</v>
      </c>
    </row>
    <row r="2909" spans="1:7">
      <c r="A2909" s="3">
        <v>10</v>
      </c>
      <c r="B2909" s="3">
        <v>5</v>
      </c>
      <c r="C2909" s="3">
        <v>71</v>
      </c>
      <c r="D2909" s="3">
        <v>54</v>
      </c>
      <c r="E2909" s="3">
        <v>1293.162</v>
      </c>
      <c r="F2909" s="4" t="str">
        <f>HYPERLINK("http://141.218.60.56/~jnz1568/getInfo.php?workbook=10_05.xlsx&amp;sheet=A0&amp;row=2909&amp;col=6&amp;number=166&amp;sourceID=14","166")</f>
        <v>166</v>
      </c>
      <c r="G2909" s="4" t="str">
        <f>HYPERLINK("http://141.218.60.56/~jnz1568/getInfo.php?workbook=10_05.xlsx&amp;sheet=A0&amp;row=2909&amp;col=7&amp;number=0&amp;sourceID=14","0")</f>
        <v>0</v>
      </c>
    </row>
    <row r="2910" spans="1:7">
      <c r="A2910" s="3">
        <v>10</v>
      </c>
      <c r="B2910" s="3">
        <v>5</v>
      </c>
      <c r="C2910" s="3">
        <v>72</v>
      </c>
      <c r="D2910" s="3">
        <v>54</v>
      </c>
      <c r="E2910" s="3">
        <v>1293.162</v>
      </c>
      <c r="F2910" s="4" t="str">
        <f>HYPERLINK("http://141.218.60.56/~jnz1568/getInfo.php?workbook=10_05.xlsx&amp;sheet=A0&amp;row=2910&amp;col=6&amp;number=43.8&amp;sourceID=14","43.8")</f>
        <v>43.8</v>
      </c>
      <c r="G2910" s="4" t="str">
        <f>HYPERLINK("http://141.218.60.56/~jnz1568/getInfo.php?workbook=10_05.xlsx&amp;sheet=A0&amp;row=2910&amp;col=7&amp;number=0&amp;sourceID=14","0")</f>
        <v>0</v>
      </c>
    </row>
    <row r="2911" spans="1:7">
      <c r="A2911" s="3">
        <v>10</v>
      </c>
      <c r="B2911" s="3">
        <v>5</v>
      </c>
      <c r="C2911" s="3">
        <v>78</v>
      </c>
      <c r="D2911" s="3">
        <v>54</v>
      </c>
      <c r="E2911" s="3">
        <v>-975.726</v>
      </c>
      <c r="F2911" s="4" t="str">
        <f>HYPERLINK("http://141.218.60.56/~jnz1568/getInfo.php?workbook=10_05.xlsx&amp;sheet=A0&amp;row=2911&amp;col=6&amp;number=12700&amp;sourceID=14","12700")</f>
        <v>12700</v>
      </c>
      <c r="G2911" s="4" t="str">
        <f>HYPERLINK("http://141.218.60.56/~jnz1568/getInfo.php?workbook=10_05.xlsx&amp;sheet=A0&amp;row=2911&amp;col=7&amp;number=0&amp;sourceID=14","0")</f>
        <v>0</v>
      </c>
    </row>
    <row r="2912" spans="1:7">
      <c r="A2912" s="3">
        <v>10</v>
      </c>
      <c r="B2912" s="3">
        <v>5</v>
      </c>
      <c r="C2912" s="3">
        <v>80</v>
      </c>
      <c r="D2912" s="3">
        <v>54</v>
      </c>
      <c r="E2912" s="3">
        <v>906.373</v>
      </c>
      <c r="F2912" s="4" t="str">
        <f>HYPERLINK("http://141.218.60.56/~jnz1568/getInfo.php?workbook=10_05.xlsx&amp;sheet=A0&amp;row=2912&amp;col=6&amp;number=68800000&amp;sourceID=14","68800000")</f>
        <v>68800000</v>
      </c>
      <c r="G2912" s="4" t="str">
        <f>HYPERLINK("http://141.218.60.56/~jnz1568/getInfo.php?workbook=10_05.xlsx&amp;sheet=A0&amp;row=2912&amp;col=7&amp;number=0&amp;sourceID=14","0")</f>
        <v>0</v>
      </c>
    </row>
    <row r="2913" spans="1:7">
      <c r="A2913" s="3">
        <v>10</v>
      </c>
      <c r="B2913" s="3">
        <v>5</v>
      </c>
      <c r="C2913" s="3">
        <v>81</v>
      </c>
      <c r="D2913" s="3">
        <v>54</v>
      </c>
      <c r="E2913" s="3">
        <v>906.373</v>
      </c>
      <c r="F2913" s="4" t="str">
        <f>HYPERLINK("http://141.218.60.56/~jnz1568/getInfo.php?workbook=10_05.xlsx&amp;sheet=A0&amp;row=2913&amp;col=6&amp;number=3550000&amp;sourceID=14","3550000")</f>
        <v>3550000</v>
      </c>
      <c r="G2913" s="4" t="str">
        <f>HYPERLINK("http://141.218.60.56/~jnz1568/getInfo.php?workbook=10_05.xlsx&amp;sheet=A0&amp;row=2913&amp;col=7&amp;number=0&amp;sourceID=14","0")</f>
        <v>0</v>
      </c>
    </row>
    <row r="2914" spans="1:7">
      <c r="A2914" s="3">
        <v>10</v>
      </c>
      <c r="B2914" s="3">
        <v>5</v>
      </c>
      <c r="C2914" s="3">
        <v>99</v>
      </c>
      <c r="D2914" s="3">
        <v>54</v>
      </c>
      <c r="E2914" s="3">
        <v>-650.789</v>
      </c>
      <c r="F2914" s="4" t="str">
        <f>HYPERLINK("http://141.218.60.56/~jnz1568/getInfo.php?workbook=10_05.xlsx&amp;sheet=A0&amp;row=2914&amp;col=6&amp;number=293000&amp;sourceID=14","293000")</f>
        <v>293000</v>
      </c>
      <c r="G2914" s="4" t="str">
        <f>HYPERLINK("http://141.218.60.56/~jnz1568/getInfo.php?workbook=10_05.xlsx&amp;sheet=A0&amp;row=2914&amp;col=7&amp;number=0&amp;sourceID=14","0")</f>
        <v>0</v>
      </c>
    </row>
    <row r="2915" spans="1:7">
      <c r="A2915" s="3">
        <v>10</v>
      </c>
      <c r="B2915" s="3">
        <v>5</v>
      </c>
      <c r="C2915" s="3">
        <v>100</v>
      </c>
      <c r="D2915" s="3">
        <v>54</v>
      </c>
      <c r="E2915" s="3">
        <v>-649.677</v>
      </c>
      <c r="F2915" s="4" t="str">
        <f>HYPERLINK("http://141.218.60.56/~jnz1568/getInfo.php?workbook=10_05.xlsx&amp;sheet=A0&amp;row=2915&amp;col=6&amp;number=15400&amp;sourceID=14","15400")</f>
        <v>15400</v>
      </c>
      <c r="G2915" s="4" t="str">
        <f>HYPERLINK("http://141.218.60.56/~jnz1568/getInfo.php?workbook=10_05.xlsx&amp;sheet=A0&amp;row=2915&amp;col=7&amp;number=0&amp;sourceID=14","0")</f>
        <v>0</v>
      </c>
    </row>
    <row r="2916" spans="1:7">
      <c r="A2916" s="3">
        <v>10</v>
      </c>
      <c r="B2916" s="3">
        <v>5</v>
      </c>
      <c r="C2916" s="3">
        <v>102</v>
      </c>
      <c r="D2916" s="3">
        <v>54</v>
      </c>
      <c r="E2916" s="3">
        <v>-648.094</v>
      </c>
      <c r="F2916" s="4" t="str">
        <f>HYPERLINK("http://141.218.60.56/~jnz1568/getInfo.php?workbook=10_05.xlsx&amp;sheet=A0&amp;row=2916&amp;col=6&amp;number=9290&amp;sourceID=14","9290")</f>
        <v>9290</v>
      </c>
      <c r="G2916" s="4" t="str">
        <f>HYPERLINK("http://141.218.60.56/~jnz1568/getInfo.php?workbook=10_05.xlsx&amp;sheet=A0&amp;row=2916&amp;col=7&amp;number=0&amp;sourceID=14","0")</f>
        <v>0</v>
      </c>
    </row>
    <row r="2917" spans="1:7">
      <c r="A2917" s="3">
        <v>10</v>
      </c>
      <c r="B2917" s="3">
        <v>5</v>
      </c>
      <c r="C2917" s="3">
        <v>106</v>
      </c>
      <c r="D2917" s="3">
        <v>54</v>
      </c>
      <c r="E2917" s="3">
        <v>-625.924</v>
      </c>
      <c r="F2917" s="4" t="str">
        <f>HYPERLINK("http://141.218.60.56/~jnz1568/getInfo.php?workbook=10_05.xlsx&amp;sheet=A0&amp;row=2917&amp;col=6&amp;number=5100&amp;sourceID=14","5100")</f>
        <v>5100</v>
      </c>
      <c r="G2917" s="4" t="str">
        <f>HYPERLINK("http://141.218.60.56/~jnz1568/getInfo.php?workbook=10_05.xlsx&amp;sheet=A0&amp;row=2917&amp;col=7&amp;number=0&amp;sourceID=14","0")</f>
        <v>0</v>
      </c>
    </row>
    <row r="2918" spans="1:7">
      <c r="A2918" s="3">
        <v>10</v>
      </c>
      <c r="B2918" s="3">
        <v>5</v>
      </c>
      <c r="C2918" s="3">
        <v>107</v>
      </c>
      <c r="D2918" s="3">
        <v>54</v>
      </c>
      <c r="E2918" s="3">
        <v>-624.837</v>
      </c>
      <c r="F2918" s="4" t="str">
        <f>HYPERLINK("http://141.218.60.56/~jnz1568/getInfo.php?workbook=10_05.xlsx&amp;sheet=A0&amp;row=2918&amp;col=6&amp;number=645000&amp;sourceID=14","645000")</f>
        <v>645000</v>
      </c>
      <c r="G2918" s="4" t="str">
        <f>HYPERLINK("http://141.218.60.56/~jnz1568/getInfo.php?workbook=10_05.xlsx&amp;sheet=A0&amp;row=2918&amp;col=7&amp;number=0&amp;sourceID=14","0")</f>
        <v>0</v>
      </c>
    </row>
    <row r="2919" spans="1:7">
      <c r="A2919" s="3">
        <v>10</v>
      </c>
      <c r="B2919" s="3">
        <v>5</v>
      </c>
      <c r="C2919" s="3">
        <v>108</v>
      </c>
      <c r="D2919" s="3">
        <v>54</v>
      </c>
      <c r="E2919" s="3">
        <v>-623.711</v>
      </c>
      <c r="F2919" s="4" t="str">
        <f>HYPERLINK("http://141.218.60.56/~jnz1568/getInfo.php?workbook=10_05.xlsx&amp;sheet=A0&amp;row=2919&amp;col=6&amp;number=89700&amp;sourceID=14","89700")</f>
        <v>89700</v>
      </c>
      <c r="G2919" s="4" t="str">
        <f>HYPERLINK("http://141.218.60.56/~jnz1568/getInfo.php?workbook=10_05.xlsx&amp;sheet=A0&amp;row=2919&amp;col=7&amp;number=0&amp;sourceID=14","0")</f>
        <v>0</v>
      </c>
    </row>
    <row r="2920" spans="1:7">
      <c r="A2920" s="3">
        <v>10</v>
      </c>
      <c r="B2920" s="3">
        <v>5</v>
      </c>
      <c r="C2920" s="3">
        <v>109</v>
      </c>
      <c r="D2920" s="3">
        <v>54</v>
      </c>
      <c r="E2920" s="3">
        <v>-622.101</v>
      </c>
      <c r="F2920" s="4" t="str">
        <f>HYPERLINK("http://141.218.60.56/~jnz1568/getInfo.php?workbook=10_05.xlsx&amp;sheet=A0&amp;row=2920&amp;col=6&amp;number=1430&amp;sourceID=14","1430")</f>
        <v>1430</v>
      </c>
      <c r="G2920" s="4" t="str">
        <f>HYPERLINK("http://141.218.60.56/~jnz1568/getInfo.php?workbook=10_05.xlsx&amp;sheet=A0&amp;row=2920&amp;col=7&amp;number=0&amp;sourceID=14","0")</f>
        <v>0</v>
      </c>
    </row>
    <row r="2921" spans="1:7">
      <c r="A2921" s="3">
        <v>10</v>
      </c>
      <c r="B2921" s="3">
        <v>5</v>
      </c>
      <c r="C2921" s="3">
        <v>115</v>
      </c>
      <c r="D2921" s="3">
        <v>54</v>
      </c>
      <c r="E2921" s="3">
        <v>-594.44</v>
      </c>
      <c r="F2921" s="4" t="str">
        <f>HYPERLINK("http://141.218.60.56/~jnz1568/getInfo.php?workbook=10_05.xlsx&amp;sheet=A0&amp;row=2921&amp;col=6&amp;number=1510000000&amp;sourceID=14","1510000000")</f>
        <v>1510000000</v>
      </c>
      <c r="G2921" s="4" t="str">
        <f>HYPERLINK("http://141.218.60.56/~jnz1568/getInfo.php?workbook=10_05.xlsx&amp;sheet=A0&amp;row=2921&amp;col=7&amp;number=0&amp;sourceID=14","0")</f>
        <v>0</v>
      </c>
    </row>
    <row r="2922" spans="1:7">
      <c r="A2922" s="3">
        <v>10</v>
      </c>
      <c r="B2922" s="3">
        <v>5</v>
      </c>
      <c r="C2922" s="3">
        <v>116</v>
      </c>
      <c r="D2922" s="3">
        <v>54</v>
      </c>
      <c r="E2922" s="3">
        <v>-591.311</v>
      </c>
      <c r="F2922" s="4" t="str">
        <f>HYPERLINK("http://141.218.60.56/~jnz1568/getInfo.php?workbook=10_05.xlsx&amp;sheet=A0&amp;row=2922&amp;col=6&amp;number=51400000&amp;sourceID=14","51400000")</f>
        <v>51400000</v>
      </c>
      <c r="G2922" s="4" t="str">
        <f>HYPERLINK("http://141.218.60.56/~jnz1568/getInfo.php?workbook=10_05.xlsx&amp;sheet=A0&amp;row=2922&amp;col=7&amp;number=0&amp;sourceID=14","0")</f>
        <v>0</v>
      </c>
    </row>
    <row r="2923" spans="1:7">
      <c r="A2923" s="3">
        <v>10</v>
      </c>
      <c r="B2923" s="3">
        <v>5</v>
      </c>
      <c r="C2923" s="3">
        <v>117</v>
      </c>
      <c r="D2923" s="3">
        <v>54</v>
      </c>
      <c r="E2923" s="3">
        <v>-590.529</v>
      </c>
      <c r="F2923" s="4" t="str">
        <f>HYPERLINK("http://141.218.60.56/~jnz1568/getInfo.php?workbook=10_05.xlsx&amp;sheet=A0&amp;row=2923&amp;col=6&amp;number=337&amp;sourceID=14","337")</f>
        <v>337</v>
      </c>
      <c r="G2923" s="4" t="str">
        <f>HYPERLINK("http://141.218.60.56/~jnz1568/getInfo.php?workbook=10_05.xlsx&amp;sheet=A0&amp;row=2923&amp;col=7&amp;number=0&amp;sourceID=14","0")</f>
        <v>0</v>
      </c>
    </row>
    <row r="2924" spans="1:7">
      <c r="A2924" s="3">
        <v>10</v>
      </c>
      <c r="B2924" s="3">
        <v>5</v>
      </c>
      <c r="C2924" s="3">
        <v>118</v>
      </c>
      <c r="D2924" s="3">
        <v>54</v>
      </c>
      <c r="E2924" s="3">
        <v>-590.247</v>
      </c>
      <c r="F2924" s="4" t="str">
        <f>HYPERLINK("http://141.218.60.56/~jnz1568/getInfo.php?workbook=10_05.xlsx&amp;sheet=A0&amp;row=2924&amp;col=6&amp;number=96200&amp;sourceID=14","96200")</f>
        <v>96200</v>
      </c>
      <c r="G2924" s="4" t="str">
        <f>HYPERLINK("http://141.218.60.56/~jnz1568/getInfo.php?workbook=10_05.xlsx&amp;sheet=A0&amp;row=2924&amp;col=7&amp;number=0&amp;sourceID=14","0")</f>
        <v>0</v>
      </c>
    </row>
    <row r="2925" spans="1:7">
      <c r="A2925" s="3">
        <v>10</v>
      </c>
      <c r="B2925" s="3">
        <v>5</v>
      </c>
      <c r="C2925" s="3">
        <v>121</v>
      </c>
      <c r="D2925" s="3">
        <v>54</v>
      </c>
      <c r="E2925" s="3">
        <v>-578.517</v>
      </c>
      <c r="F2925" s="4" t="str">
        <f>HYPERLINK("http://141.218.60.56/~jnz1568/getInfo.php?workbook=10_05.xlsx&amp;sheet=A0&amp;row=2925&amp;col=6&amp;number=1190000&amp;sourceID=14","1190000")</f>
        <v>1190000</v>
      </c>
      <c r="G2925" s="4" t="str">
        <f>HYPERLINK("http://141.218.60.56/~jnz1568/getInfo.php?workbook=10_05.xlsx&amp;sheet=A0&amp;row=2925&amp;col=7&amp;number=0&amp;sourceID=14","0")</f>
        <v>0</v>
      </c>
    </row>
    <row r="2926" spans="1:7">
      <c r="A2926" s="3">
        <v>10</v>
      </c>
      <c r="B2926" s="3">
        <v>5</v>
      </c>
      <c r="C2926" s="3">
        <v>122</v>
      </c>
      <c r="D2926" s="3">
        <v>54</v>
      </c>
      <c r="E2926" s="3">
        <v>-577.282</v>
      </c>
      <c r="F2926" s="4" t="str">
        <f>HYPERLINK("http://141.218.60.56/~jnz1568/getInfo.php?workbook=10_05.xlsx&amp;sheet=A0&amp;row=2926&amp;col=6&amp;number=215000&amp;sourceID=14","215000")</f>
        <v>215000</v>
      </c>
      <c r="G2926" s="4" t="str">
        <f>HYPERLINK("http://141.218.60.56/~jnz1568/getInfo.php?workbook=10_05.xlsx&amp;sheet=A0&amp;row=2926&amp;col=7&amp;number=0&amp;sourceID=14","0")</f>
        <v>0</v>
      </c>
    </row>
    <row r="2927" spans="1:7">
      <c r="A2927" s="3">
        <v>10</v>
      </c>
      <c r="B2927" s="3">
        <v>5</v>
      </c>
      <c r="C2927" s="3">
        <v>123</v>
      </c>
      <c r="D2927" s="3">
        <v>54</v>
      </c>
      <c r="E2927" s="3">
        <v>-576.304</v>
      </c>
      <c r="F2927" s="4" t="str">
        <f>HYPERLINK("http://141.218.60.56/~jnz1568/getInfo.php?workbook=10_05.xlsx&amp;sheet=A0&amp;row=2927&amp;col=6&amp;number=249000&amp;sourceID=14","249000")</f>
        <v>249000</v>
      </c>
      <c r="G2927" s="4" t="str">
        <f>HYPERLINK("http://141.218.60.56/~jnz1568/getInfo.php?workbook=10_05.xlsx&amp;sheet=A0&amp;row=2927&amp;col=7&amp;number=0&amp;sourceID=14","0")</f>
        <v>0</v>
      </c>
    </row>
    <row r="2928" spans="1:7">
      <c r="A2928" s="3">
        <v>10</v>
      </c>
      <c r="B2928" s="3">
        <v>5</v>
      </c>
      <c r="C2928" s="3">
        <v>124</v>
      </c>
      <c r="D2928" s="3">
        <v>54</v>
      </c>
      <c r="E2928" s="3">
        <v>-575.491</v>
      </c>
      <c r="F2928" s="4" t="str">
        <f>HYPERLINK("http://141.218.60.56/~jnz1568/getInfo.php?workbook=10_05.xlsx&amp;sheet=A0&amp;row=2928&amp;col=6&amp;number=105000&amp;sourceID=14","105000")</f>
        <v>105000</v>
      </c>
      <c r="G2928" s="4" t="str">
        <f>HYPERLINK("http://141.218.60.56/~jnz1568/getInfo.php?workbook=10_05.xlsx&amp;sheet=A0&amp;row=2928&amp;col=7&amp;number=0&amp;sourceID=14","0")</f>
        <v>0</v>
      </c>
    </row>
    <row r="2929" spans="1:7">
      <c r="A2929" s="3">
        <v>10</v>
      </c>
      <c r="B2929" s="3">
        <v>5</v>
      </c>
      <c r="C2929" s="3">
        <v>126</v>
      </c>
      <c r="D2929" s="3">
        <v>54</v>
      </c>
      <c r="E2929" s="3">
        <v>-571.662</v>
      </c>
      <c r="F2929" s="4" t="str">
        <f>HYPERLINK("http://141.218.60.56/~jnz1568/getInfo.php?workbook=10_05.xlsx&amp;sheet=A0&amp;row=2929&amp;col=6&amp;number=20700000&amp;sourceID=14","20700000")</f>
        <v>20700000</v>
      </c>
      <c r="G2929" s="4" t="str">
        <f>HYPERLINK("http://141.218.60.56/~jnz1568/getInfo.php?workbook=10_05.xlsx&amp;sheet=A0&amp;row=2929&amp;col=7&amp;number=0&amp;sourceID=14","0")</f>
        <v>0</v>
      </c>
    </row>
    <row r="2930" spans="1:7">
      <c r="A2930" s="3">
        <v>10</v>
      </c>
      <c r="B2930" s="3">
        <v>5</v>
      </c>
      <c r="C2930" s="3">
        <v>129</v>
      </c>
      <c r="D2930" s="3">
        <v>54</v>
      </c>
      <c r="E2930" s="3">
        <v>562.621</v>
      </c>
      <c r="F2930" s="4" t="str">
        <f>HYPERLINK("http://141.218.60.56/~jnz1568/getInfo.php?workbook=10_05.xlsx&amp;sheet=A0&amp;row=2930&amp;col=6&amp;number=2800000000&amp;sourceID=14","2800000000")</f>
        <v>2800000000</v>
      </c>
      <c r="G2930" s="4" t="str">
        <f>HYPERLINK("http://141.218.60.56/~jnz1568/getInfo.php?workbook=10_05.xlsx&amp;sheet=A0&amp;row=2930&amp;col=7&amp;number=0&amp;sourceID=14","0")</f>
        <v>0</v>
      </c>
    </row>
    <row r="2931" spans="1:7">
      <c r="A2931" s="3">
        <v>10</v>
      </c>
      <c r="B2931" s="3">
        <v>5</v>
      </c>
      <c r="C2931" s="3">
        <v>130</v>
      </c>
      <c r="D2931" s="3">
        <v>54</v>
      </c>
      <c r="E2931" s="3">
        <v>562.621</v>
      </c>
      <c r="F2931" s="4" t="str">
        <f>HYPERLINK("http://141.218.60.56/~jnz1568/getInfo.php?workbook=10_05.xlsx&amp;sheet=A0&amp;row=2931&amp;col=6&amp;number=115000000&amp;sourceID=14","115000000")</f>
        <v>115000000</v>
      </c>
      <c r="G2931" s="4" t="str">
        <f>HYPERLINK("http://141.218.60.56/~jnz1568/getInfo.php?workbook=10_05.xlsx&amp;sheet=A0&amp;row=2931&amp;col=7&amp;number=0&amp;sourceID=14","0")</f>
        <v>0</v>
      </c>
    </row>
    <row r="2932" spans="1:7">
      <c r="A2932" s="3">
        <v>10</v>
      </c>
      <c r="B2932" s="3">
        <v>5</v>
      </c>
      <c r="C2932" s="3">
        <v>132</v>
      </c>
      <c r="D2932" s="3">
        <v>54</v>
      </c>
      <c r="E2932" s="3">
        <v>-560.435</v>
      </c>
      <c r="F2932" s="4" t="str">
        <f>HYPERLINK("http://141.218.60.56/~jnz1568/getInfo.php?workbook=10_05.xlsx&amp;sheet=A0&amp;row=2932&amp;col=6&amp;number=6510000&amp;sourceID=14","6510000")</f>
        <v>6510000</v>
      </c>
      <c r="G2932" s="4" t="str">
        <f>HYPERLINK("http://141.218.60.56/~jnz1568/getInfo.php?workbook=10_05.xlsx&amp;sheet=A0&amp;row=2932&amp;col=7&amp;number=0&amp;sourceID=14","0")</f>
        <v>0</v>
      </c>
    </row>
    <row r="2933" spans="1:7">
      <c r="A2933" s="3">
        <v>10</v>
      </c>
      <c r="B2933" s="3">
        <v>5</v>
      </c>
      <c r="C2933" s="3">
        <v>133</v>
      </c>
      <c r="D2933" s="3">
        <v>54</v>
      </c>
      <c r="E2933" s="3">
        <v>-559.783</v>
      </c>
      <c r="F2933" s="4" t="str">
        <f>HYPERLINK("http://141.218.60.56/~jnz1568/getInfo.php?workbook=10_05.xlsx&amp;sheet=A0&amp;row=2933&amp;col=6&amp;number=26500000&amp;sourceID=14","26500000")</f>
        <v>26500000</v>
      </c>
      <c r="G2933" s="4" t="str">
        <f>HYPERLINK("http://141.218.60.56/~jnz1568/getInfo.php?workbook=10_05.xlsx&amp;sheet=A0&amp;row=2933&amp;col=7&amp;number=0&amp;sourceID=14","0")</f>
        <v>0</v>
      </c>
    </row>
    <row r="2934" spans="1:7">
      <c r="A2934" s="3">
        <v>10</v>
      </c>
      <c r="B2934" s="3">
        <v>5</v>
      </c>
      <c r="C2934" s="3">
        <v>138</v>
      </c>
      <c r="D2934" s="3">
        <v>54</v>
      </c>
      <c r="E2934" s="3">
        <v>-550.053</v>
      </c>
      <c r="F2934" s="4" t="str">
        <f>HYPERLINK("http://141.218.60.56/~jnz1568/getInfo.php?workbook=10_05.xlsx&amp;sheet=A0&amp;row=2934&amp;col=6&amp;number=16000000&amp;sourceID=14","16000000")</f>
        <v>16000000</v>
      </c>
      <c r="G2934" s="4" t="str">
        <f>HYPERLINK("http://141.218.60.56/~jnz1568/getInfo.php?workbook=10_05.xlsx&amp;sheet=A0&amp;row=2934&amp;col=7&amp;number=0&amp;sourceID=14","0")</f>
        <v>0</v>
      </c>
    </row>
    <row r="2935" spans="1:7">
      <c r="A2935" s="3">
        <v>10</v>
      </c>
      <c r="B2935" s="3">
        <v>5</v>
      </c>
      <c r="C2935" s="3">
        <v>150</v>
      </c>
      <c r="D2935" s="3">
        <v>54</v>
      </c>
      <c r="E2935" s="3">
        <v>-525.167</v>
      </c>
      <c r="F2935" s="4" t="str">
        <f>HYPERLINK("http://141.218.60.56/~jnz1568/getInfo.php?workbook=10_05.xlsx&amp;sheet=A0&amp;row=2935&amp;col=6&amp;number=155000000&amp;sourceID=14","155000000")</f>
        <v>155000000</v>
      </c>
      <c r="G2935" s="4" t="str">
        <f>HYPERLINK("http://141.218.60.56/~jnz1568/getInfo.php?workbook=10_05.xlsx&amp;sheet=A0&amp;row=2935&amp;col=7&amp;number=0&amp;sourceID=14","0")</f>
        <v>0</v>
      </c>
    </row>
    <row r="2936" spans="1:7">
      <c r="A2936" s="3">
        <v>10</v>
      </c>
      <c r="B2936" s="3">
        <v>5</v>
      </c>
      <c r="C2936" s="3">
        <v>151</v>
      </c>
      <c r="D2936" s="3">
        <v>54</v>
      </c>
      <c r="E2936" s="3">
        <v>-525.106</v>
      </c>
      <c r="F2936" s="4" t="str">
        <f>HYPERLINK("http://141.218.60.56/~jnz1568/getInfo.php?workbook=10_05.xlsx&amp;sheet=A0&amp;row=2936&amp;col=6&amp;number=253000000&amp;sourceID=14","253000000")</f>
        <v>253000000</v>
      </c>
      <c r="G2936" s="4" t="str">
        <f>HYPERLINK("http://141.218.60.56/~jnz1568/getInfo.php?workbook=10_05.xlsx&amp;sheet=A0&amp;row=2936&amp;col=7&amp;number=0&amp;sourceID=14","0")</f>
        <v>0</v>
      </c>
    </row>
    <row r="2937" spans="1:7">
      <c r="A2937" s="3">
        <v>10</v>
      </c>
      <c r="B2937" s="3">
        <v>5</v>
      </c>
      <c r="C2937" s="3">
        <v>154</v>
      </c>
      <c r="D2937" s="3">
        <v>54</v>
      </c>
      <c r="E2937" s="3">
        <v>516.237</v>
      </c>
      <c r="F2937" s="4" t="str">
        <f>HYPERLINK("http://141.218.60.56/~jnz1568/getInfo.php?workbook=10_05.xlsx&amp;sheet=A0&amp;row=2937&amp;col=6&amp;number=21100000&amp;sourceID=14","21100000")</f>
        <v>21100000</v>
      </c>
      <c r="G2937" s="4" t="str">
        <f>HYPERLINK("http://141.218.60.56/~jnz1568/getInfo.php?workbook=10_05.xlsx&amp;sheet=A0&amp;row=2937&amp;col=7&amp;number=0&amp;sourceID=14","0")</f>
        <v>0</v>
      </c>
    </row>
    <row r="2938" spans="1:7">
      <c r="A2938" s="3">
        <v>10</v>
      </c>
      <c r="B2938" s="3">
        <v>5</v>
      </c>
      <c r="C2938" s="3">
        <v>155</v>
      </c>
      <c r="D2938" s="3">
        <v>54</v>
      </c>
      <c r="E2938" s="3">
        <v>516.237</v>
      </c>
      <c r="F2938" s="4" t="str">
        <f>HYPERLINK("http://141.218.60.56/~jnz1568/getInfo.php?workbook=10_05.xlsx&amp;sheet=A0&amp;row=2938&amp;col=6&amp;number=371000000&amp;sourceID=14","371000000")</f>
        <v>371000000</v>
      </c>
      <c r="G2938" s="4" t="str">
        <f>HYPERLINK("http://141.218.60.56/~jnz1568/getInfo.php?workbook=10_05.xlsx&amp;sheet=A0&amp;row=2938&amp;col=7&amp;number=0&amp;sourceID=14","0")</f>
        <v>0</v>
      </c>
    </row>
    <row r="2939" spans="1:7">
      <c r="A2939" s="3">
        <v>10</v>
      </c>
      <c r="B2939" s="3">
        <v>5</v>
      </c>
      <c r="C2939" s="3">
        <v>156</v>
      </c>
      <c r="D2939" s="3">
        <v>54</v>
      </c>
      <c r="E2939" s="3">
        <v>-514.045</v>
      </c>
      <c r="F2939" s="4" t="str">
        <f>HYPERLINK("http://141.218.60.56/~jnz1568/getInfo.php?workbook=10_05.xlsx&amp;sheet=A0&amp;row=2939&amp;col=6&amp;number=1480000000&amp;sourceID=14","1480000000")</f>
        <v>1480000000</v>
      </c>
      <c r="G2939" s="4" t="str">
        <f>HYPERLINK("http://141.218.60.56/~jnz1568/getInfo.php?workbook=10_05.xlsx&amp;sheet=A0&amp;row=2939&amp;col=7&amp;number=0&amp;sourceID=14","0")</f>
        <v>0</v>
      </c>
    </row>
    <row r="2940" spans="1:7">
      <c r="A2940" s="3">
        <v>10</v>
      </c>
      <c r="B2940" s="3">
        <v>5</v>
      </c>
      <c r="C2940" s="3">
        <v>157</v>
      </c>
      <c r="D2940" s="3">
        <v>54</v>
      </c>
      <c r="E2940" s="3">
        <v>-513.572</v>
      </c>
      <c r="F2940" s="4" t="str">
        <f>HYPERLINK("http://141.218.60.56/~jnz1568/getInfo.php?workbook=10_05.xlsx&amp;sheet=A0&amp;row=2940&amp;col=6&amp;number=57300000&amp;sourceID=14","57300000")</f>
        <v>57300000</v>
      </c>
      <c r="G2940" s="4" t="str">
        <f>HYPERLINK("http://141.218.60.56/~jnz1568/getInfo.php?workbook=10_05.xlsx&amp;sheet=A0&amp;row=2940&amp;col=7&amp;number=0&amp;sourceID=14","0")</f>
        <v>0</v>
      </c>
    </row>
    <row r="2941" spans="1:7">
      <c r="A2941" s="3">
        <v>10</v>
      </c>
      <c r="B2941" s="3">
        <v>5</v>
      </c>
      <c r="C2941" s="3">
        <v>162</v>
      </c>
      <c r="D2941" s="3">
        <v>54</v>
      </c>
      <c r="E2941" s="3">
        <v>508.648</v>
      </c>
      <c r="F2941" s="4" t="str">
        <f>HYPERLINK("http://141.218.60.56/~jnz1568/getInfo.php?workbook=10_05.xlsx&amp;sheet=A0&amp;row=2941&amp;col=6&amp;number=474000&amp;sourceID=14","474000")</f>
        <v>474000</v>
      </c>
      <c r="G2941" s="4" t="str">
        <f>HYPERLINK("http://141.218.60.56/~jnz1568/getInfo.php?workbook=10_05.xlsx&amp;sheet=A0&amp;row=2941&amp;col=7&amp;number=0&amp;sourceID=14","0")</f>
        <v>0</v>
      </c>
    </row>
    <row r="2942" spans="1:7">
      <c r="A2942" s="3">
        <v>10</v>
      </c>
      <c r="B2942" s="3">
        <v>5</v>
      </c>
      <c r="C2942" s="3">
        <v>168</v>
      </c>
      <c r="D2942" s="3">
        <v>54</v>
      </c>
      <c r="E2942" s="3">
        <v>-361.251</v>
      </c>
      <c r="F2942" s="4" t="str">
        <f>HYPERLINK("http://141.218.60.56/~jnz1568/getInfo.php?workbook=10_05.xlsx&amp;sheet=A0&amp;row=2942&amp;col=6&amp;number=14000&amp;sourceID=14","14000")</f>
        <v>14000</v>
      </c>
      <c r="G2942" s="4" t="str">
        <f>HYPERLINK("http://141.218.60.56/~jnz1568/getInfo.php?workbook=10_05.xlsx&amp;sheet=A0&amp;row=2942&amp;col=7&amp;number=0&amp;sourceID=14","0")</f>
        <v>0</v>
      </c>
    </row>
    <row r="2943" spans="1:7">
      <c r="A2943" s="3">
        <v>10</v>
      </c>
      <c r="B2943" s="3">
        <v>5</v>
      </c>
      <c r="C2943" s="3">
        <v>169</v>
      </c>
      <c r="D2943" s="3">
        <v>54</v>
      </c>
      <c r="E2943" s="3">
        <v>-361.189</v>
      </c>
      <c r="F2943" s="4" t="str">
        <f>HYPERLINK("http://141.218.60.56/~jnz1568/getInfo.php?workbook=10_05.xlsx&amp;sheet=A0&amp;row=2943&amp;col=6&amp;number=222000&amp;sourceID=14","222000")</f>
        <v>222000</v>
      </c>
      <c r="G2943" s="4" t="str">
        <f>HYPERLINK("http://141.218.60.56/~jnz1568/getInfo.php?workbook=10_05.xlsx&amp;sheet=A0&amp;row=2943&amp;col=7&amp;number=0&amp;sourceID=14","0")</f>
        <v>0</v>
      </c>
    </row>
    <row r="2944" spans="1:7">
      <c r="A2944" s="3">
        <v>10</v>
      </c>
      <c r="B2944" s="3">
        <v>5</v>
      </c>
      <c r="C2944" s="3">
        <v>171</v>
      </c>
      <c r="D2944" s="3">
        <v>54</v>
      </c>
      <c r="E2944" s="3">
        <v>-349.248</v>
      </c>
      <c r="F2944" s="4" t="str">
        <f>HYPERLINK("http://141.218.60.56/~jnz1568/getInfo.php?workbook=10_05.xlsx&amp;sheet=A0&amp;row=2944&amp;col=6&amp;number=312&amp;sourceID=14","312")</f>
        <v>312</v>
      </c>
      <c r="G2944" s="4" t="str">
        <f>HYPERLINK("http://141.218.60.56/~jnz1568/getInfo.php?workbook=10_05.xlsx&amp;sheet=A0&amp;row=2944&amp;col=7&amp;number=0&amp;sourceID=14","0")</f>
        <v>0</v>
      </c>
    </row>
    <row r="2945" spans="1:7">
      <c r="A2945" s="3">
        <v>10</v>
      </c>
      <c r="B2945" s="3">
        <v>5</v>
      </c>
      <c r="C2945" s="3">
        <v>172</v>
      </c>
      <c r="D2945" s="3">
        <v>54</v>
      </c>
      <c r="E2945" s="3">
        <v>-346.886</v>
      </c>
      <c r="F2945" s="4" t="str">
        <f>HYPERLINK("http://141.218.60.56/~jnz1568/getInfo.php?workbook=10_05.xlsx&amp;sheet=A0&amp;row=2945&amp;col=6&amp;number=661000&amp;sourceID=14","661000")</f>
        <v>661000</v>
      </c>
      <c r="G2945" s="4" t="str">
        <f>HYPERLINK("http://141.218.60.56/~jnz1568/getInfo.php?workbook=10_05.xlsx&amp;sheet=A0&amp;row=2945&amp;col=7&amp;number=0&amp;sourceID=14","0")</f>
        <v>0</v>
      </c>
    </row>
    <row r="2946" spans="1:7">
      <c r="A2946" s="3">
        <v>10</v>
      </c>
      <c r="B2946" s="3">
        <v>5</v>
      </c>
      <c r="C2946" s="3">
        <v>173</v>
      </c>
      <c r="D2946" s="3">
        <v>54</v>
      </c>
      <c r="E2946" s="3">
        <v>-346.858</v>
      </c>
      <c r="F2946" s="4" t="str">
        <f>HYPERLINK("http://141.218.60.56/~jnz1568/getInfo.php?workbook=10_05.xlsx&amp;sheet=A0&amp;row=2946&amp;col=6&amp;number=28200&amp;sourceID=14","28200")</f>
        <v>28200</v>
      </c>
      <c r="G2946" s="4" t="str">
        <f>HYPERLINK("http://141.218.60.56/~jnz1568/getInfo.php?workbook=10_05.xlsx&amp;sheet=A0&amp;row=2946&amp;col=7&amp;number=0&amp;sourceID=14","0")</f>
        <v>0</v>
      </c>
    </row>
    <row r="2947" spans="1:7">
      <c r="A2947" s="3">
        <v>10</v>
      </c>
      <c r="B2947" s="3">
        <v>5</v>
      </c>
      <c r="C2947" s="3">
        <v>60</v>
      </c>
      <c r="D2947" s="3">
        <v>55</v>
      </c>
      <c r="E2947" s="3">
        <v>2535.502</v>
      </c>
      <c r="F2947" s="4" t="str">
        <f>HYPERLINK("http://141.218.60.56/~jnz1568/getInfo.php?workbook=10_05.xlsx&amp;sheet=A0&amp;row=2947&amp;col=6&amp;number=1710000&amp;sourceID=14","1710000")</f>
        <v>1710000</v>
      </c>
      <c r="G2947" s="4" t="str">
        <f>HYPERLINK("http://141.218.60.56/~jnz1568/getInfo.php?workbook=10_05.xlsx&amp;sheet=A0&amp;row=2947&amp;col=7&amp;number=0&amp;sourceID=14","0")</f>
        <v>0</v>
      </c>
    </row>
    <row r="2948" spans="1:7">
      <c r="A2948" s="3">
        <v>10</v>
      </c>
      <c r="B2948" s="3">
        <v>5</v>
      </c>
      <c r="C2948" s="3">
        <v>67</v>
      </c>
      <c r="D2948" s="3">
        <v>55</v>
      </c>
      <c r="E2948" s="3">
        <v>1382.173</v>
      </c>
      <c r="F2948" s="4" t="str">
        <f>HYPERLINK("http://141.218.60.56/~jnz1568/getInfo.php?workbook=10_05.xlsx&amp;sheet=A0&amp;row=2948&amp;col=6&amp;number=34200&amp;sourceID=14","34200")</f>
        <v>34200</v>
      </c>
      <c r="G2948" s="4" t="str">
        <f>HYPERLINK("http://141.218.60.56/~jnz1568/getInfo.php?workbook=10_05.xlsx&amp;sheet=A0&amp;row=2948&amp;col=7&amp;number=0&amp;sourceID=14","0")</f>
        <v>0</v>
      </c>
    </row>
    <row r="2949" spans="1:7">
      <c r="A2949" s="3">
        <v>10</v>
      </c>
      <c r="B2949" s="3">
        <v>5</v>
      </c>
      <c r="C2949" s="3">
        <v>72</v>
      </c>
      <c r="D2949" s="3">
        <v>55</v>
      </c>
      <c r="E2949" s="3">
        <v>1306.68</v>
      </c>
      <c r="F2949" s="4" t="str">
        <f>HYPERLINK("http://141.218.60.56/~jnz1568/getInfo.php?workbook=10_05.xlsx&amp;sheet=A0&amp;row=2949&amp;col=6&amp;number=894&amp;sourceID=14","894")</f>
        <v>894</v>
      </c>
      <c r="G2949" s="4" t="str">
        <f>HYPERLINK("http://141.218.60.56/~jnz1568/getInfo.php?workbook=10_05.xlsx&amp;sheet=A0&amp;row=2949&amp;col=7&amp;number=0&amp;sourceID=14","0")</f>
        <v>0</v>
      </c>
    </row>
    <row r="2950" spans="1:7">
      <c r="A2950" s="3">
        <v>10</v>
      </c>
      <c r="B2950" s="3">
        <v>5</v>
      </c>
      <c r="C2950" s="3">
        <v>81</v>
      </c>
      <c r="D2950" s="3">
        <v>55</v>
      </c>
      <c r="E2950" s="3">
        <v>912.994</v>
      </c>
      <c r="F2950" s="4" t="str">
        <f>HYPERLINK("http://141.218.60.56/~jnz1568/getInfo.php?workbook=10_05.xlsx&amp;sheet=A0&amp;row=2950&amp;col=6&amp;number=65300000&amp;sourceID=14","65300000")</f>
        <v>65300000</v>
      </c>
      <c r="G2950" s="4" t="str">
        <f>HYPERLINK("http://141.218.60.56/~jnz1568/getInfo.php?workbook=10_05.xlsx&amp;sheet=A0&amp;row=2950&amp;col=7&amp;number=0&amp;sourceID=14","0")</f>
        <v>0</v>
      </c>
    </row>
    <row r="2951" spans="1:7">
      <c r="A2951" s="3">
        <v>10</v>
      </c>
      <c r="B2951" s="3">
        <v>5</v>
      </c>
      <c r="C2951" s="3">
        <v>100</v>
      </c>
      <c r="D2951" s="3">
        <v>55</v>
      </c>
      <c r="E2951" s="3">
        <v>-653.075</v>
      </c>
      <c r="F2951" s="4" t="str">
        <f>HYPERLINK("http://141.218.60.56/~jnz1568/getInfo.php?workbook=10_05.xlsx&amp;sheet=A0&amp;row=2951&amp;col=6&amp;number=112000&amp;sourceID=14","112000")</f>
        <v>112000</v>
      </c>
      <c r="G2951" s="4" t="str">
        <f>HYPERLINK("http://141.218.60.56/~jnz1568/getInfo.php?workbook=10_05.xlsx&amp;sheet=A0&amp;row=2951&amp;col=7&amp;number=0&amp;sourceID=14","0")</f>
        <v>0</v>
      </c>
    </row>
    <row r="2952" spans="1:7">
      <c r="A2952" s="3">
        <v>10</v>
      </c>
      <c r="B2952" s="3">
        <v>5</v>
      </c>
      <c r="C2952" s="3">
        <v>102</v>
      </c>
      <c r="D2952" s="3">
        <v>55</v>
      </c>
      <c r="E2952" s="3">
        <v>-651.475</v>
      </c>
      <c r="F2952" s="4" t="str">
        <f>HYPERLINK("http://141.218.60.56/~jnz1568/getInfo.php?workbook=10_05.xlsx&amp;sheet=A0&amp;row=2952&amp;col=6&amp;number=6520&amp;sourceID=14","6520")</f>
        <v>6520</v>
      </c>
      <c r="G2952" s="4" t="str">
        <f>HYPERLINK("http://141.218.60.56/~jnz1568/getInfo.php?workbook=10_05.xlsx&amp;sheet=A0&amp;row=2952&amp;col=7&amp;number=0&amp;sourceID=14","0")</f>
        <v>0</v>
      </c>
    </row>
    <row r="2953" spans="1:7">
      <c r="A2953" s="3">
        <v>10</v>
      </c>
      <c r="B2953" s="3">
        <v>5</v>
      </c>
      <c r="C2953" s="3">
        <v>104</v>
      </c>
      <c r="D2953" s="3">
        <v>55</v>
      </c>
      <c r="E2953" s="3">
        <v>-649.373</v>
      </c>
      <c r="F2953" s="4" t="str">
        <f>HYPERLINK("http://141.218.60.56/~jnz1568/getInfo.php?workbook=10_05.xlsx&amp;sheet=A0&amp;row=2953&amp;col=6&amp;number=45300&amp;sourceID=14","45300")</f>
        <v>45300</v>
      </c>
      <c r="G2953" s="4" t="str">
        <f>HYPERLINK("http://141.218.60.56/~jnz1568/getInfo.php?workbook=10_05.xlsx&amp;sheet=A0&amp;row=2953&amp;col=7&amp;number=0&amp;sourceID=14","0")</f>
        <v>0</v>
      </c>
    </row>
    <row r="2954" spans="1:7">
      <c r="A2954" s="3">
        <v>10</v>
      </c>
      <c r="B2954" s="3">
        <v>5</v>
      </c>
      <c r="C2954" s="3">
        <v>107</v>
      </c>
      <c r="D2954" s="3">
        <v>55</v>
      </c>
      <c r="E2954" s="3">
        <v>-627.98</v>
      </c>
      <c r="F2954" s="4" t="str">
        <f>HYPERLINK("http://141.218.60.56/~jnz1568/getInfo.php?workbook=10_05.xlsx&amp;sheet=A0&amp;row=2954&amp;col=6&amp;number=10100&amp;sourceID=14","10100")</f>
        <v>10100</v>
      </c>
      <c r="G2954" s="4" t="str">
        <f>HYPERLINK("http://141.218.60.56/~jnz1568/getInfo.php?workbook=10_05.xlsx&amp;sheet=A0&amp;row=2954&amp;col=7&amp;number=0&amp;sourceID=14","0")</f>
        <v>0</v>
      </c>
    </row>
    <row r="2955" spans="1:7">
      <c r="A2955" s="3">
        <v>10</v>
      </c>
      <c r="B2955" s="3">
        <v>5</v>
      </c>
      <c r="C2955" s="3">
        <v>108</v>
      </c>
      <c r="D2955" s="3">
        <v>55</v>
      </c>
      <c r="E2955" s="3">
        <v>-626.842</v>
      </c>
      <c r="F2955" s="4" t="str">
        <f>HYPERLINK("http://141.218.60.56/~jnz1568/getInfo.php?workbook=10_05.xlsx&amp;sheet=A0&amp;row=2955&amp;col=6&amp;number=2370000&amp;sourceID=14","2370000")</f>
        <v>2370000</v>
      </c>
      <c r="G2955" s="4" t="str">
        <f>HYPERLINK("http://141.218.60.56/~jnz1568/getInfo.php?workbook=10_05.xlsx&amp;sheet=A0&amp;row=2955&amp;col=7&amp;number=0&amp;sourceID=14","0")</f>
        <v>0</v>
      </c>
    </row>
    <row r="2956" spans="1:7">
      <c r="A2956" s="3">
        <v>10</v>
      </c>
      <c r="B2956" s="3">
        <v>5</v>
      </c>
      <c r="C2956" s="3">
        <v>115</v>
      </c>
      <c r="D2956" s="3">
        <v>55</v>
      </c>
      <c r="E2956" s="3">
        <v>-597.283</v>
      </c>
      <c r="F2956" s="4" t="str">
        <f>HYPERLINK("http://141.218.60.56/~jnz1568/getInfo.php?workbook=10_05.xlsx&amp;sheet=A0&amp;row=2956&amp;col=6&amp;number=74500000&amp;sourceID=14","74500000")</f>
        <v>74500000</v>
      </c>
      <c r="G2956" s="4" t="str">
        <f>HYPERLINK("http://141.218.60.56/~jnz1568/getInfo.php?workbook=10_05.xlsx&amp;sheet=A0&amp;row=2956&amp;col=7&amp;number=0&amp;sourceID=14","0")</f>
        <v>0</v>
      </c>
    </row>
    <row r="2957" spans="1:7">
      <c r="A2957" s="3">
        <v>10</v>
      </c>
      <c r="B2957" s="3">
        <v>5</v>
      </c>
      <c r="C2957" s="3">
        <v>116</v>
      </c>
      <c r="D2957" s="3">
        <v>55</v>
      </c>
      <c r="E2957" s="3">
        <v>-594.125</v>
      </c>
      <c r="F2957" s="4" t="str">
        <f>HYPERLINK("http://141.218.60.56/~jnz1568/getInfo.php?workbook=10_05.xlsx&amp;sheet=A0&amp;row=2957&amp;col=6&amp;number=1500000000&amp;sourceID=14","1500000000")</f>
        <v>1500000000</v>
      </c>
      <c r="G2957" s="4" t="str">
        <f>HYPERLINK("http://141.218.60.56/~jnz1568/getInfo.php?workbook=10_05.xlsx&amp;sheet=A0&amp;row=2957&amp;col=7&amp;number=0&amp;sourceID=14","0")</f>
        <v>0</v>
      </c>
    </row>
    <row r="2958" spans="1:7">
      <c r="A2958" s="3">
        <v>10</v>
      </c>
      <c r="B2958" s="3">
        <v>5</v>
      </c>
      <c r="C2958" s="3">
        <v>117</v>
      </c>
      <c r="D2958" s="3">
        <v>55</v>
      </c>
      <c r="E2958" s="3">
        <v>-593.336</v>
      </c>
      <c r="F2958" s="4" t="str">
        <f>HYPERLINK("http://141.218.60.56/~jnz1568/getInfo.php?workbook=10_05.xlsx&amp;sheet=A0&amp;row=2958&amp;col=6&amp;number=436000&amp;sourceID=14","436000")</f>
        <v>436000</v>
      </c>
      <c r="G2958" s="4" t="str">
        <f>HYPERLINK("http://141.218.60.56/~jnz1568/getInfo.php?workbook=10_05.xlsx&amp;sheet=A0&amp;row=2958&amp;col=7&amp;number=0&amp;sourceID=14","0")</f>
        <v>0</v>
      </c>
    </row>
    <row r="2959" spans="1:7">
      <c r="A2959" s="3">
        <v>10</v>
      </c>
      <c r="B2959" s="3">
        <v>5</v>
      </c>
      <c r="C2959" s="3">
        <v>122</v>
      </c>
      <c r="D2959" s="3">
        <v>55</v>
      </c>
      <c r="E2959" s="3">
        <v>-579.963</v>
      </c>
      <c r="F2959" s="4" t="str">
        <f>HYPERLINK("http://141.218.60.56/~jnz1568/getInfo.php?workbook=10_05.xlsx&amp;sheet=A0&amp;row=2959&amp;col=6&amp;number=3100000&amp;sourceID=14","3100000")</f>
        <v>3100000</v>
      </c>
      <c r="G2959" s="4" t="str">
        <f>HYPERLINK("http://141.218.60.56/~jnz1568/getInfo.php?workbook=10_05.xlsx&amp;sheet=A0&amp;row=2959&amp;col=7&amp;number=0&amp;sourceID=14","0")</f>
        <v>0</v>
      </c>
    </row>
    <row r="2960" spans="1:7">
      <c r="A2960" s="3">
        <v>10</v>
      </c>
      <c r="B2960" s="3">
        <v>5</v>
      </c>
      <c r="C2960" s="3">
        <v>124</v>
      </c>
      <c r="D2960" s="3">
        <v>55</v>
      </c>
      <c r="E2960" s="3">
        <v>-578.156</v>
      </c>
      <c r="F2960" s="4" t="str">
        <f>HYPERLINK("http://141.218.60.56/~jnz1568/getInfo.php?workbook=10_05.xlsx&amp;sheet=A0&amp;row=2960&amp;col=6&amp;number=3300000&amp;sourceID=14","3300000")</f>
        <v>3300000</v>
      </c>
      <c r="G2960" s="4" t="str">
        <f>HYPERLINK("http://141.218.60.56/~jnz1568/getInfo.php?workbook=10_05.xlsx&amp;sheet=A0&amp;row=2960&amp;col=7&amp;number=0&amp;sourceID=14","0")</f>
        <v>0</v>
      </c>
    </row>
    <row r="2961" spans="1:7">
      <c r="A2961" s="3">
        <v>10</v>
      </c>
      <c r="B2961" s="3">
        <v>5</v>
      </c>
      <c r="C2961" s="3">
        <v>130</v>
      </c>
      <c r="D2961" s="3">
        <v>55</v>
      </c>
      <c r="E2961" s="3">
        <v>565.164</v>
      </c>
      <c r="F2961" s="4" t="str">
        <f>HYPERLINK("http://141.218.60.56/~jnz1568/getInfo.php?workbook=10_05.xlsx&amp;sheet=A0&amp;row=2961&amp;col=6&amp;number=2220000000&amp;sourceID=14","2220000000")</f>
        <v>2220000000</v>
      </c>
      <c r="G2961" s="4" t="str">
        <f>HYPERLINK("http://141.218.60.56/~jnz1568/getInfo.php?workbook=10_05.xlsx&amp;sheet=A0&amp;row=2961&amp;col=7&amp;number=0&amp;sourceID=14","0")</f>
        <v>0</v>
      </c>
    </row>
    <row r="2962" spans="1:7">
      <c r="A2962" s="3">
        <v>10</v>
      </c>
      <c r="B2962" s="3">
        <v>5</v>
      </c>
      <c r="C2962" s="3">
        <v>133</v>
      </c>
      <c r="D2962" s="3">
        <v>55</v>
      </c>
      <c r="E2962" s="3">
        <v>-562.304</v>
      </c>
      <c r="F2962" s="4" t="str">
        <f>HYPERLINK("http://141.218.60.56/~jnz1568/getInfo.php?workbook=10_05.xlsx&amp;sheet=A0&amp;row=2962&amp;col=6&amp;number=515000000&amp;sourceID=14","515000000")</f>
        <v>515000000</v>
      </c>
      <c r="G2962" s="4" t="str">
        <f>HYPERLINK("http://141.218.60.56/~jnz1568/getInfo.php?workbook=10_05.xlsx&amp;sheet=A0&amp;row=2962&amp;col=7&amp;number=0&amp;sourceID=14","0")</f>
        <v>0</v>
      </c>
    </row>
    <row r="2963" spans="1:7">
      <c r="A2963" s="3">
        <v>10</v>
      </c>
      <c r="B2963" s="3">
        <v>5</v>
      </c>
      <c r="C2963" s="3">
        <v>138</v>
      </c>
      <c r="D2963" s="3">
        <v>55</v>
      </c>
      <c r="E2963" s="3">
        <v>-552.487</v>
      </c>
      <c r="F2963" s="4" t="str">
        <f>HYPERLINK("http://141.218.60.56/~jnz1568/getInfo.php?workbook=10_05.xlsx&amp;sheet=A0&amp;row=2963&amp;col=6&amp;number=526000&amp;sourceID=14","526000")</f>
        <v>526000</v>
      </c>
      <c r="G2963" s="4" t="str">
        <f>HYPERLINK("http://141.218.60.56/~jnz1568/getInfo.php?workbook=10_05.xlsx&amp;sheet=A0&amp;row=2963&amp;col=7&amp;number=0&amp;sourceID=14","0")</f>
        <v>0</v>
      </c>
    </row>
    <row r="2964" spans="1:7">
      <c r="A2964" s="3">
        <v>10</v>
      </c>
      <c r="B2964" s="3">
        <v>5</v>
      </c>
      <c r="C2964" s="3">
        <v>139</v>
      </c>
      <c r="D2964" s="3">
        <v>55</v>
      </c>
      <c r="E2964" s="3">
        <v>-552.118</v>
      </c>
      <c r="F2964" s="4" t="str">
        <f>HYPERLINK("http://141.218.60.56/~jnz1568/getInfo.php?workbook=10_05.xlsx&amp;sheet=A0&amp;row=2964&amp;col=6&amp;number=14000000&amp;sourceID=14","14000000")</f>
        <v>14000000</v>
      </c>
      <c r="G2964" s="4" t="str">
        <f>HYPERLINK("http://141.218.60.56/~jnz1568/getInfo.php?workbook=10_05.xlsx&amp;sheet=A0&amp;row=2964&amp;col=7&amp;number=0&amp;sourceID=14","0")</f>
        <v>0</v>
      </c>
    </row>
    <row r="2965" spans="1:7">
      <c r="A2965" s="3">
        <v>10</v>
      </c>
      <c r="B2965" s="3">
        <v>5</v>
      </c>
      <c r="C2965" s="3">
        <v>151</v>
      </c>
      <c r="D2965" s="3">
        <v>55</v>
      </c>
      <c r="E2965" s="3">
        <v>-527.324</v>
      </c>
      <c r="F2965" s="4" t="str">
        <f>HYPERLINK("http://141.218.60.56/~jnz1568/getInfo.php?workbook=10_05.xlsx&amp;sheet=A0&amp;row=2965&amp;col=6&amp;number=143000000&amp;sourceID=14","143000000")</f>
        <v>143000000</v>
      </c>
      <c r="G2965" s="4" t="str">
        <f>HYPERLINK("http://141.218.60.56/~jnz1568/getInfo.php?workbook=10_05.xlsx&amp;sheet=A0&amp;row=2965&amp;col=7&amp;number=0&amp;sourceID=14","0")</f>
        <v>0</v>
      </c>
    </row>
    <row r="2966" spans="1:7">
      <c r="A2966" s="3">
        <v>10</v>
      </c>
      <c r="B2966" s="3">
        <v>5</v>
      </c>
      <c r="C2966" s="3">
        <v>154</v>
      </c>
      <c r="D2966" s="3">
        <v>55</v>
      </c>
      <c r="E2966" s="3">
        <v>518.377</v>
      </c>
      <c r="F2966" s="4" t="str">
        <f>HYPERLINK("http://141.218.60.56/~jnz1568/getInfo.php?workbook=10_05.xlsx&amp;sheet=A0&amp;row=2966&amp;col=6&amp;number=625000000&amp;sourceID=14","625000000")</f>
        <v>625000000</v>
      </c>
      <c r="G2966" s="4" t="str">
        <f>HYPERLINK("http://141.218.60.56/~jnz1568/getInfo.php?workbook=10_05.xlsx&amp;sheet=A0&amp;row=2966&amp;col=7&amp;number=0&amp;sourceID=14","0")</f>
        <v>0</v>
      </c>
    </row>
    <row r="2967" spans="1:7">
      <c r="A2967" s="3">
        <v>10</v>
      </c>
      <c r="B2967" s="3">
        <v>5</v>
      </c>
      <c r="C2967" s="3">
        <v>155</v>
      </c>
      <c r="D2967" s="3">
        <v>55</v>
      </c>
      <c r="E2967" s="3">
        <v>518.377</v>
      </c>
      <c r="F2967" s="4" t="str">
        <f>HYPERLINK("http://141.218.60.56/~jnz1568/getInfo.php?workbook=10_05.xlsx&amp;sheet=A0&amp;row=2967&amp;col=6&amp;number=58500000&amp;sourceID=14","58500000")</f>
        <v>58500000</v>
      </c>
      <c r="G2967" s="4" t="str">
        <f>HYPERLINK("http://141.218.60.56/~jnz1568/getInfo.php?workbook=10_05.xlsx&amp;sheet=A0&amp;row=2967&amp;col=7&amp;number=0&amp;sourceID=14","0")</f>
        <v>0</v>
      </c>
    </row>
    <row r="2968" spans="1:7">
      <c r="A2968" s="3">
        <v>10</v>
      </c>
      <c r="B2968" s="3">
        <v>5</v>
      </c>
      <c r="C2968" s="3">
        <v>157</v>
      </c>
      <c r="D2968" s="3">
        <v>55</v>
      </c>
      <c r="E2968" s="3">
        <v>-515.693</v>
      </c>
      <c r="F2968" s="4" t="str">
        <f>HYPERLINK("http://141.218.60.56/~jnz1568/getInfo.php?workbook=10_05.xlsx&amp;sheet=A0&amp;row=2968&amp;col=6&amp;number=1330000000&amp;sourceID=14","1330000000")</f>
        <v>1330000000</v>
      </c>
      <c r="G2968" s="4" t="str">
        <f>HYPERLINK("http://141.218.60.56/~jnz1568/getInfo.php?workbook=10_05.xlsx&amp;sheet=A0&amp;row=2968&amp;col=7&amp;number=0&amp;sourceID=14","0")</f>
        <v>0</v>
      </c>
    </row>
    <row r="2969" spans="1:7">
      <c r="A2969" s="3">
        <v>10</v>
      </c>
      <c r="B2969" s="3">
        <v>5</v>
      </c>
      <c r="C2969" s="3">
        <v>168</v>
      </c>
      <c r="D2969" s="3">
        <v>55</v>
      </c>
      <c r="E2969" s="3">
        <v>-362.3</v>
      </c>
      <c r="F2969" s="4" t="str">
        <f>HYPERLINK("http://141.218.60.56/~jnz1568/getInfo.php?workbook=10_05.xlsx&amp;sheet=A0&amp;row=2969&amp;col=6&amp;number=645000&amp;sourceID=14","645000")</f>
        <v>645000</v>
      </c>
      <c r="G2969" s="4" t="str">
        <f>HYPERLINK("http://141.218.60.56/~jnz1568/getInfo.php?workbook=10_05.xlsx&amp;sheet=A0&amp;row=2969&amp;col=7&amp;number=0&amp;sourceID=14","0")</f>
        <v>0</v>
      </c>
    </row>
    <row r="2970" spans="1:7">
      <c r="A2970" s="3">
        <v>10</v>
      </c>
      <c r="B2970" s="3">
        <v>5</v>
      </c>
      <c r="C2970" s="3">
        <v>173</v>
      </c>
      <c r="D2970" s="3">
        <v>55</v>
      </c>
      <c r="E2970" s="3">
        <v>-347.824</v>
      </c>
      <c r="F2970" s="4" t="str">
        <f>HYPERLINK("http://141.218.60.56/~jnz1568/getInfo.php?workbook=10_05.xlsx&amp;sheet=A0&amp;row=2970&amp;col=6&amp;number=264000&amp;sourceID=14","264000")</f>
        <v>264000</v>
      </c>
      <c r="G2970" s="4" t="str">
        <f>HYPERLINK("http://141.218.60.56/~jnz1568/getInfo.php?workbook=10_05.xlsx&amp;sheet=A0&amp;row=2970&amp;col=7&amp;number=0&amp;sourceID=14","0")</f>
        <v>0</v>
      </c>
    </row>
    <row r="2971" spans="1:7">
      <c r="A2971" s="3">
        <v>10</v>
      </c>
      <c r="B2971" s="3">
        <v>5</v>
      </c>
      <c r="C2971" s="3">
        <v>58</v>
      </c>
      <c r="D2971" s="3">
        <v>56</v>
      </c>
      <c r="E2971" s="3">
        <v>3246.759</v>
      </c>
      <c r="F2971" s="4" t="str">
        <f>HYPERLINK("http://141.218.60.56/~jnz1568/getInfo.php?workbook=10_05.xlsx&amp;sheet=A0&amp;row=2971&amp;col=6&amp;number=930000&amp;sourceID=14","930000")</f>
        <v>930000</v>
      </c>
      <c r="G2971" s="4" t="str">
        <f>HYPERLINK("http://141.218.60.56/~jnz1568/getInfo.php?workbook=10_05.xlsx&amp;sheet=A0&amp;row=2971&amp;col=7&amp;number=0&amp;sourceID=14","0")</f>
        <v>0</v>
      </c>
    </row>
    <row r="2972" spans="1:7">
      <c r="A2972" s="3">
        <v>10</v>
      </c>
      <c r="B2972" s="3">
        <v>5</v>
      </c>
      <c r="C2972" s="3">
        <v>59</v>
      </c>
      <c r="D2972" s="3">
        <v>56</v>
      </c>
      <c r="E2972" s="3">
        <v>2958.585</v>
      </c>
      <c r="F2972" s="4" t="str">
        <f>HYPERLINK("http://141.218.60.56/~jnz1568/getInfo.php?workbook=10_05.xlsx&amp;sheet=A0&amp;row=2972&amp;col=6&amp;number=3810000&amp;sourceID=14","3810000")</f>
        <v>3810000</v>
      </c>
      <c r="G2972" s="4" t="str">
        <f>HYPERLINK("http://141.218.60.56/~jnz1568/getInfo.php?workbook=10_05.xlsx&amp;sheet=A0&amp;row=2972&amp;col=7&amp;number=0&amp;sourceID=14","0")</f>
        <v>0</v>
      </c>
    </row>
    <row r="2973" spans="1:7">
      <c r="A2973" s="3">
        <v>10</v>
      </c>
      <c r="B2973" s="3">
        <v>5</v>
      </c>
      <c r="C2973" s="3">
        <v>60</v>
      </c>
      <c r="D2973" s="3">
        <v>56</v>
      </c>
      <c r="E2973" s="3">
        <v>2946.381</v>
      </c>
      <c r="F2973" s="4" t="str">
        <f>HYPERLINK("http://141.218.60.56/~jnz1568/getInfo.php?workbook=10_05.xlsx&amp;sheet=A0&amp;row=2973&amp;col=6&amp;number=9250000&amp;sourceID=14","9250000")</f>
        <v>9250000</v>
      </c>
      <c r="G2973" s="4" t="str">
        <f>HYPERLINK("http://141.218.60.56/~jnz1568/getInfo.php?workbook=10_05.xlsx&amp;sheet=A0&amp;row=2973&amp;col=7&amp;number=0&amp;sourceID=14","0")</f>
        <v>0</v>
      </c>
    </row>
    <row r="2974" spans="1:7">
      <c r="A2974" s="3">
        <v>10</v>
      </c>
      <c r="B2974" s="3">
        <v>5</v>
      </c>
      <c r="C2974" s="3">
        <v>61</v>
      </c>
      <c r="D2974" s="3">
        <v>56</v>
      </c>
      <c r="E2974" s="3">
        <v>2820.88</v>
      </c>
      <c r="F2974" s="4" t="str">
        <f>HYPERLINK("http://141.218.60.56/~jnz1568/getInfo.php?workbook=10_05.xlsx&amp;sheet=A0&amp;row=2974&amp;col=6&amp;number=4070000&amp;sourceID=14","4070000")</f>
        <v>4070000</v>
      </c>
      <c r="G2974" s="4" t="str">
        <f>HYPERLINK("http://141.218.60.56/~jnz1568/getInfo.php?workbook=10_05.xlsx&amp;sheet=A0&amp;row=2974&amp;col=7&amp;number=0&amp;sourceID=14","0")</f>
        <v>0</v>
      </c>
    </row>
    <row r="2975" spans="1:7">
      <c r="A2975" s="3">
        <v>10</v>
      </c>
      <c r="B2975" s="3">
        <v>5</v>
      </c>
      <c r="C2975" s="3">
        <v>62</v>
      </c>
      <c r="D2975" s="3">
        <v>56</v>
      </c>
      <c r="E2975" s="3">
        <v>2797.208</v>
      </c>
      <c r="F2975" s="4" t="str">
        <f>HYPERLINK("http://141.218.60.56/~jnz1568/getInfo.php?workbook=10_05.xlsx&amp;sheet=A0&amp;row=2975&amp;col=6&amp;number=7880000&amp;sourceID=14","7880000")</f>
        <v>7880000</v>
      </c>
      <c r="G2975" s="4" t="str">
        <f>HYPERLINK("http://141.218.60.56/~jnz1568/getInfo.php?workbook=10_05.xlsx&amp;sheet=A0&amp;row=2975&amp;col=7&amp;number=0&amp;sourceID=14","0")</f>
        <v>0</v>
      </c>
    </row>
    <row r="2976" spans="1:7">
      <c r="A2976" s="3">
        <v>10</v>
      </c>
      <c r="B2976" s="3">
        <v>5</v>
      </c>
      <c r="C2976" s="3">
        <v>63</v>
      </c>
      <c r="D2976" s="3">
        <v>56</v>
      </c>
      <c r="E2976" s="3">
        <v>2392.349</v>
      </c>
      <c r="F2976" s="4" t="str">
        <f>HYPERLINK("http://141.218.60.56/~jnz1568/getInfo.php?workbook=10_05.xlsx&amp;sheet=A0&amp;row=2976&amp;col=6&amp;number=31100&amp;sourceID=14","31100")</f>
        <v>31100</v>
      </c>
      <c r="G2976" s="4" t="str">
        <f>HYPERLINK("http://141.218.60.56/~jnz1568/getInfo.php?workbook=10_05.xlsx&amp;sheet=A0&amp;row=2976&amp;col=7&amp;number=0&amp;sourceID=14","0")</f>
        <v>0</v>
      </c>
    </row>
    <row r="2977" spans="1:7">
      <c r="A2977" s="3">
        <v>10</v>
      </c>
      <c r="B2977" s="3">
        <v>5</v>
      </c>
      <c r="C2977" s="3">
        <v>66</v>
      </c>
      <c r="D2977" s="3">
        <v>56</v>
      </c>
      <c r="E2977" s="3">
        <v>1495.889</v>
      </c>
      <c r="F2977" s="4" t="str">
        <f>HYPERLINK("http://141.218.60.56/~jnz1568/getInfo.php?workbook=10_05.xlsx&amp;sheet=A0&amp;row=2977&amp;col=6&amp;number=72100&amp;sourceID=14","72100")</f>
        <v>72100</v>
      </c>
      <c r="G2977" s="4" t="str">
        <f>HYPERLINK("http://141.218.60.56/~jnz1568/getInfo.php?workbook=10_05.xlsx&amp;sheet=A0&amp;row=2977&amp;col=7&amp;number=0&amp;sourceID=14","0")</f>
        <v>0</v>
      </c>
    </row>
    <row r="2978" spans="1:7">
      <c r="A2978" s="3">
        <v>10</v>
      </c>
      <c r="B2978" s="3">
        <v>5</v>
      </c>
      <c r="C2978" s="3">
        <v>67</v>
      </c>
      <c r="D2978" s="3">
        <v>56</v>
      </c>
      <c r="E2978" s="3">
        <v>1495.889</v>
      </c>
      <c r="F2978" s="4" t="str">
        <f>HYPERLINK("http://141.218.60.56/~jnz1568/getInfo.php?workbook=10_05.xlsx&amp;sheet=A0&amp;row=2978&amp;col=6&amp;number=442000&amp;sourceID=14","442000")</f>
        <v>442000</v>
      </c>
      <c r="G2978" s="4" t="str">
        <f>HYPERLINK("http://141.218.60.56/~jnz1568/getInfo.php?workbook=10_05.xlsx&amp;sheet=A0&amp;row=2978&amp;col=7&amp;number=0&amp;sourceID=14","0")</f>
        <v>0</v>
      </c>
    </row>
    <row r="2979" spans="1:7">
      <c r="A2979" s="3">
        <v>10</v>
      </c>
      <c r="B2979" s="3">
        <v>5</v>
      </c>
      <c r="C2979" s="3">
        <v>70</v>
      </c>
      <c r="D2979" s="3">
        <v>56</v>
      </c>
      <c r="E2979" s="3">
        <v>1407.858</v>
      </c>
      <c r="F2979" s="4" t="str">
        <f>HYPERLINK("http://141.218.60.56/~jnz1568/getInfo.php?workbook=10_05.xlsx&amp;sheet=A0&amp;row=2979&amp;col=6&amp;number=844&amp;sourceID=14","844")</f>
        <v>844</v>
      </c>
      <c r="G2979" s="4" t="str">
        <f>HYPERLINK("http://141.218.60.56/~jnz1568/getInfo.php?workbook=10_05.xlsx&amp;sheet=A0&amp;row=2979&amp;col=7&amp;number=0&amp;sourceID=14","0")</f>
        <v>0</v>
      </c>
    </row>
    <row r="2980" spans="1:7">
      <c r="A2980" s="3">
        <v>10</v>
      </c>
      <c r="B2980" s="3">
        <v>5</v>
      </c>
      <c r="C2980" s="3">
        <v>71</v>
      </c>
      <c r="D2980" s="3">
        <v>56</v>
      </c>
      <c r="E2980" s="3">
        <v>1407.858</v>
      </c>
      <c r="F2980" s="4" t="str">
        <f>HYPERLINK("http://141.218.60.56/~jnz1568/getInfo.php?workbook=10_05.xlsx&amp;sheet=A0&amp;row=2980&amp;col=6&amp;number=7300&amp;sourceID=14","7300")</f>
        <v>7300</v>
      </c>
      <c r="G2980" s="4" t="str">
        <f>HYPERLINK("http://141.218.60.56/~jnz1568/getInfo.php?workbook=10_05.xlsx&amp;sheet=A0&amp;row=2980&amp;col=7&amp;number=0&amp;sourceID=14","0")</f>
        <v>0</v>
      </c>
    </row>
    <row r="2981" spans="1:7">
      <c r="A2981" s="3">
        <v>10</v>
      </c>
      <c r="B2981" s="3">
        <v>5</v>
      </c>
      <c r="C2981" s="3">
        <v>72</v>
      </c>
      <c r="D2981" s="3">
        <v>56</v>
      </c>
      <c r="E2981" s="3">
        <v>1407.858</v>
      </c>
      <c r="F2981" s="4" t="str">
        <f>HYPERLINK("http://141.218.60.56/~jnz1568/getInfo.php?workbook=10_05.xlsx&amp;sheet=A0&amp;row=2981&amp;col=6&amp;number=17000&amp;sourceID=14","17000")</f>
        <v>17000</v>
      </c>
      <c r="G2981" s="4" t="str">
        <f>HYPERLINK("http://141.218.60.56/~jnz1568/getInfo.php?workbook=10_05.xlsx&amp;sheet=A0&amp;row=2981&amp;col=7&amp;number=0&amp;sourceID=14","0")</f>
        <v>0</v>
      </c>
    </row>
    <row r="2982" spans="1:7">
      <c r="A2982" s="3">
        <v>10</v>
      </c>
      <c r="B2982" s="3">
        <v>5</v>
      </c>
      <c r="C2982" s="3">
        <v>77</v>
      </c>
      <c r="D2982" s="3">
        <v>56</v>
      </c>
      <c r="E2982" s="3">
        <v>-1048.682</v>
      </c>
      <c r="F2982" s="4" t="str">
        <f>HYPERLINK("http://141.218.60.56/~jnz1568/getInfo.php?workbook=10_05.xlsx&amp;sheet=A0&amp;row=2982&amp;col=6&amp;number=1980000&amp;sourceID=14","1980000")</f>
        <v>1980000</v>
      </c>
      <c r="G2982" s="4" t="str">
        <f>HYPERLINK("http://141.218.60.56/~jnz1568/getInfo.php?workbook=10_05.xlsx&amp;sheet=A0&amp;row=2982&amp;col=7&amp;number=0&amp;sourceID=14","0")</f>
        <v>0</v>
      </c>
    </row>
    <row r="2983" spans="1:7">
      <c r="A2983" s="3">
        <v>10</v>
      </c>
      <c r="B2983" s="3">
        <v>5</v>
      </c>
      <c r="C2983" s="3">
        <v>78</v>
      </c>
      <c r="D2983" s="3">
        <v>56</v>
      </c>
      <c r="E2983" s="3">
        <v>-1039.622</v>
      </c>
      <c r="F2983" s="4" t="str">
        <f>HYPERLINK("http://141.218.60.56/~jnz1568/getInfo.php?workbook=10_05.xlsx&amp;sheet=A0&amp;row=2983&amp;col=6&amp;number=4720000&amp;sourceID=14","4720000")</f>
        <v>4720000</v>
      </c>
      <c r="G2983" s="4" t="str">
        <f>HYPERLINK("http://141.218.60.56/~jnz1568/getInfo.php?workbook=10_05.xlsx&amp;sheet=A0&amp;row=2983&amp;col=7&amp;number=0&amp;sourceID=14","0")</f>
        <v>0</v>
      </c>
    </row>
    <row r="2984" spans="1:7">
      <c r="A2984" s="3">
        <v>10</v>
      </c>
      <c r="B2984" s="3">
        <v>5</v>
      </c>
      <c r="C2984" s="3">
        <v>80</v>
      </c>
      <c r="D2984" s="3">
        <v>56</v>
      </c>
      <c r="E2984" s="3">
        <v>961.263</v>
      </c>
      <c r="F2984" s="4" t="str">
        <f>HYPERLINK("http://141.218.60.56/~jnz1568/getInfo.php?workbook=10_05.xlsx&amp;sheet=A0&amp;row=2984&amp;col=6&amp;number=27800000&amp;sourceID=14","27800000")</f>
        <v>27800000</v>
      </c>
      <c r="G2984" s="4" t="str">
        <f>HYPERLINK("http://141.218.60.56/~jnz1568/getInfo.php?workbook=10_05.xlsx&amp;sheet=A0&amp;row=2984&amp;col=7&amp;number=0&amp;sourceID=14","0")</f>
        <v>0</v>
      </c>
    </row>
    <row r="2985" spans="1:7">
      <c r="A2985" s="3">
        <v>10</v>
      </c>
      <c r="B2985" s="3">
        <v>5</v>
      </c>
      <c r="C2985" s="3">
        <v>81</v>
      </c>
      <c r="D2985" s="3">
        <v>56</v>
      </c>
      <c r="E2985" s="3">
        <v>961.263</v>
      </c>
      <c r="F2985" s="4" t="str">
        <f>HYPERLINK("http://141.218.60.56/~jnz1568/getInfo.php?workbook=10_05.xlsx&amp;sheet=A0&amp;row=2985&amp;col=6&amp;number=171000000&amp;sourceID=14","171000000")</f>
        <v>171000000</v>
      </c>
      <c r="G2985" s="4" t="str">
        <f>HYPERLINK("http://141.218.60.56/~jnz1568/getInfo.php?workbook=10_05.xlsx&amp;sheet=A0&amp;row=2985&amp;col=7&amp;number=0&amp;sourceID=14","0")</f>
        <v>0</v>
      </c>
    </row>
    <row r="2986" spans="1:7">
      <c r="A2986" s="3">
        <v>10</v>
      </c>
      <c r="B2986" s="3">
        <v>5</v>
      </c>
      <c r="C2986" s="3">
        <v>99</v>
      </c>
      <c r="D2986" s="3">
        <v>56</v>
      </c>
      <c r="E2986" s="3">
        <v>-678.607</v>
      </c>
      <c r="F2986" s="4" t="str">
        <f>HYPERLINK("http://141.218.60.56/~jnz1568/getInfo.php?workbook=10_05.xlsx&amp;sheet=A0&amp;row=2986&amp;col=6&amp;number=1540&amp;sourceID=14","1540")</f>
        <v>1540</v>
      </c>
      <c r="G2986" s="4" t="str">
        <f>HYPERLINK("http://141.218.60.56/~jnz1568/getInfo.php?workbook=10_05.xlsx&amp;sheet=A0&amp;row=2986&amp;col=7&amp;number=0&amp;sourceID=14","0")</f>
        <v>0</v>
      </c>
    </row>
    <row r="2987" spans="1:7">
      <c r="A2987" s="3">
        <v>10</v>
      </c>
      <c r="B2987" s="3">
        <v>5</v>
      </c>
      <c r="C2987" s="3">
        <v>100</v>
      </c>
      <c r="D2987" s="3">
        <v>56</v>
      </c>
      <c r="E2987" s="3">
        <v>-677.398</v>
      </c>
      <c r="F2987" s="4" t="str">
        <f>HYPERLINK("http://141.218.60.56/~jnz1568/getInfo.php?workbook=10_05.xlsx&amp;sheet=A0&amp;row=2987&amp;col=6&amp;number=55.7&amp;sourceID=14","55.7")</f>
        <v>55.7</v>
      </c>
      <c r="G2987" s="4" t="str">
        <f>HYPERLINK("http://141.218.60.56/~jnz1568/getInfo.php?workbook=10_05.xlsx&amp;sheet=A0&amp;row=2987&amp;col=7&amp;number=0&amp;sourceID=14","0")</f>
        <v>0</v>
      </c>
    </row>
    <row r="2988" spans="1:7">
      <c r="A2988" s="3">
        <v>10</v>
      </c>
      <c r="B2988" s="3">
        <v>5</v>
      </c>
      <c r="C2988" s="3">
        <v>105</v>
      </c>
      <c r="D2988" s="3">
        <v>56</v>
      </c>
      <c r="E2988" s="3">
        <v>-652.147</v>
      </c>
      <c r="F2988" s="4" t="str">
        <f>HYPERLINK("http://141.218.60.56/~jnz1568/getInfo.php?workbook=10_05.xlsx&amp;sheet=A0&amp;row=2988&amp;col=6&amp;number=3210000&amp;sourceID=14","3210000")</f>
        <v>3210000</v>
      </c>
      <c r="G2988" s="4" t="str">
        <f>HYPERLINK("http://141.218.60.56/~jnz1568/getInfo.php?workbook=10_05.xlsx&amp;sheet=A0&amp;row=2988&amp;col=7&amp;number=0&amp;sourceID=14","0")</f>
        <v>0</v>
      </c>
    </row>
    <row r="2989" spans="1:7">
      <c r="A2989" s="3">
        <v>10</v>
      </c>
      <c r="B2989" s="3">
        <v>5</v>
      </c>
      <c r="C2989" s="3">
        <v>106</v>
      </c>
      <c r="D2989" s="3">
        <v>56</v>
      </c>
      <c r="E2989" s="3">
        <v>-651.616</v>
      </c>
      <c r="F2989" s="4" t="str">
        <f>HYPERLINK("http://141.218.60.56/~jnz1568/getInfo.php?workbook=10_05.xlsx&amp;sheet=A0&amp;row=2989&amp;col=6&amp;number=11000000&amp;sourceID=14","11000000")</f>
        <v>11000000</v>
      </c>
      <c r="G2989" s="4" t="str">
        <f>HYPERLINK("http://141.218.60.56/~jnz1568/getInfo.php?workbook=10_05.xlsx&amp;sheet=A0&amp;row=2989&amp;col=7&amp;number=0&amp;sourceID=14","0")</f>
        <v>0</v>
      </c>
    </row>
    <row r="2990" spans="1:7">
      <c r="A2990" s="3">
        <v>10</v>
      </c>
      <c r="B2990" s="3">
        <v>5</v>
      </c>
      <c r="C2990" s="3">
        <v>107</v>
      </c>
      <c r="D2990" s="3">
        <v>56</v>
      </c>
      <c r="E2990" s="3">
        <v>-650.437</v>
      </c>
      <c r="F2990" s="4" t="str">
        <f>HYPERLINK("http://141.218.60.56/~jnz1568/getInfo.php?workbook=10_05.xlsx&amp;sheet=A0&amp;row=2990&amp;col=6&amp;number=41300&amp;sourceID=14","41300")</f>
        <v>41300</v>
      </c>
      <c r="G2990" s="4" t="str">
        <f>HYPERLINK("http://141.218.60.56/~jnz1568/getInfo.php?workbook=10_05.xlsx&amp;sheet=A0&amp;row=2990&amp;col=7&amp;number=0&amp;sourceID=14","0")</f>
        <v>0</v>
      </c>
    </row>
    <row r="2991" spans="1:7">
      <c r="A2991" s="3">
        <v>10</v>
      </c>
      <c r="B2991" s="3">
        <v>5</v>
      </c>
      <c r="C2991" s="3">
        <v>109</v>
      </c>
      <c r="D2991" s="3">
        <v>56</v>
      </c>
      <c r="E2991" s="3">
        <v>-647.472</v>
      </c>
      <c r="F2991" s="4" t="str">
        <f>HYPERLINK("http://141.218.60.56/~jnz1568/getInfo.php?workbook=10_05.xlsx&amp;sheet=A0&amp;row=2991&amp;col=6&amp;number=131000000&amp;sourceID=14","131000000")</f>
        <v>131000000</v>
      </c>
      <c r="G2991" s="4" t="str">
        <f>HYPERLINK("http://141.218.60.56/~jnz1568/getInfo.php?workbook=10_05.xlsx&amp;sheet=A0&amp;row=2991&amp;col=7&amp;number=0&amp;sourceID=14","0")</f>
        <v>0</v>
      </c>
    </row>
    <row r="2992" spans="1:7">
      <c r="A2992" s="3">
        <v>10</v>
      </c>
      <c r="B2992" s="3">
        <v>5</v>
      </c>
      <c r="C2992" s="3">
        <v>111</v>
      </c>
      <c r="D2992" s="3">
        <v>56</v>
      </c>
      <c r="E2992" s="3">
        <v>-644.975</v>
      </c>
      <c r="F2992" s="4" t="str">
        <f>HYPERLINK("http://141.218.60.56/~jnz1568/getInfo.php?workbook=10_05.xlsx&amp;sheet=A0&amp;row=2992&amp;col=6&amp;number=59400000&amp;sourceID=14","59400000")</f>
        <v>59400000</v>
      </c>
      <c r="G2992" s="4" t="str">
        <f>HYPERLINK("http://141.218.60.56/~jnz1568/getInfo.php?workbook=10_05.xlsx&amp;sheet=A0&amp;row=2992&amp;col=7&amp;number=0&amp;sourceID=14","0")</f>
        <v>0</v>
      </c>
    </row>
    <row r="2993" spans="1:7">
      <c r="A2993" s="3">
        <v>10</v>
      </c>
      <c r="B2993" s="3">
        <v>5</v>
      </c>
      <c r="C2993" s="3">
        <v>115</v>
      </c>
      <c r="D2993" s="3">
        <v>56</v>
      </c>
      <c r="E2993" s="3">
        <v>-617.563</v>
      </c>
      <c r="F2993" s="4" t="str">
        <f>HYPERLINK("http://141.218.60.56/~jnz1568/getInfo.php?workbook=10_05.xlsx&amp;sheet=A0&amp;row=2993&amp;col=6&amp;number=73300&amp;sourceID=14","73300")</f>
        <v>73300</v>
      </c>
      <c r="G2993" s="4" t="str">
        <f>HYPERLINK("http://141.218.60.56/~jnz1568/getInfo.php?workbook=10_05.xlsx&amp;sheet=A0&amp;row=2993&amp;col=7&amp;number=0&amp;sourceID=14","0")</f>
        <v>0</v>
      </c>
    </row>
    <row r="2994" spans="1:7">
      <c r="A2994" s="3">
        <v>10</v>
      </c>
      <c r="B2994" s="3">
        <v>5</v>
      </c>
      <c r="C2994" s="3">
        <v>117</v>
      </c>
      <c r="D2994" s="3">
        <v>56</v>
      </c>
      <c r="E2994" s="3">
        <v>-613.344</v>
      </c>
      <c r="F2994" s="4" t="str">
        <f>HYPERLINK("http://141.218.60.56/~jnz1568/getInfo.php?workbook=10_05.xlsx&amp;sheet=A0&amp;row=2994&amp;col=6&amp;number=639&amp;sourceID=14","639")</f>
        <v>639</v>
      </c>
      <c r="G2994" s="4" t="str">
        <f>HYPERLINK("http://141.218.60.56/~jnz1568/getInfo.php?workbook=10_05.xlsx&amp;sheet=A0&amp;row=2994&amp;col=7&amp;number=0&amp;sourceID=14","0")</f>
        <v>0</v>
      </c>
    </row>
    <row r="2995" spans="1:7">
      <c r="A2995" s="3">
        <v>10</v>
      </c>
      <c r="B2995" s="3">
        <v>5</v>
      </c>
      <c r="C2995" s="3">
        <v>118</v>
      </c>
      <c r="D2995" s="3">
        <v>56</v>
      </c>
      <c r="E2995" s="3">
        <v>-613.039</v>
      </c>
      <c r="F2995" s="4" t="str">
        <f>HYPERLINK("http://141.218.60.56/~jnz1568/getInfo.php?workbook=10_05.xlsx&amp;sheet=A0&amp;row=2995&amp;col=6&amp;number=15000&amp;sourceID=14","15000")</f>
        <v>15000</v>
      </c>
      <c r="G2995" s="4" t="str">
        <f>HYPERLINK("http://141.218.60.56/~jnz1568/getInfo.php?workbook=10_05.xlsx&amp;sheet=A0&amp;row=2995&amp;col=7&amp;number=0&amp;sourceID=14","0")</f>
        <v>0</v>
      </c>
    </row>
    <row r="2996" spans="1:7">
      <c r="A2996" s="3">
        <v>10</v>
      </c>
      <c r="B2996" s="3">
        <v>5</v>
      </c>
      <c r="C2996" s="3">
        <v>119</v>
      </c>
      <c r="D2996" s="3">
        <v>56</v>
      </c>
      <c r="E2996" s="3">
        <v>-612.851</v>
      </c>
      <c r="F2996" s="4" t="str">
        <f>HYPERLINK("http://141.218.60.56/~jnz1568/getInfo.php?workbook=10_05.xlsx&amp;sheet=A0&amp;row=2996&amp;col=6&amp;number=116000&amp;sourceID=14","116000")</f>
        <v>116000</v>
      </c>
      <c r="G2996" s="4" t="str">
        <f>HYPERLINK("http://141.218.60.56/~jnz1568/getInfo.php?workbook=10_05.xlsx&amp;sheet=A0&amp;row=2996&amp;col=7&amp;number=0&amp;sourceID=14","0")</f>
        <v>0</v>
      </c>
    </row>
    <row r="2997" spans="1:7">
      <c r="A2997" s="3">
        <v>10</v>
      </c>
      <c r="B2997" s="3">
        <v>5</v>
      </c>
      <c r="C2997" s="3">
        <v>120</v>
      </c>
      <c r="D2997" s="3">
        <v>56</v>
      </c>
      <c r="E2997" s="3">
        <v>-601.205</v>
      </c>
      <c r="F2997" s="4" t="str">
        <f>HYPERLINK("http://141.218.60.56/~jnz1568/getInfo.php?workbook=10_05.xlsx&amp;sheet=A0&amp;row=2997&amp;col=6&amp;number=6420000&amp;sourceID=14","6420000")</f>
        <v>6420000</v>
      </c>
      <c r="G2997" s="4" t="str">
        <f>HYPERLINK("http://141.218.60.56/~jnz1568/getInfo.php?workbook=10_05.xlsx&amp;sheet=A0&amp;row=2997&amp;col=7&amp;number=0&amp;sourceID=14","0")</f>
        <v>0</v>
      </c>
    </row>
    <row r="2998" spans="1:7">
      <c r="A2998" s="3">
        <v>10</v>
      </c>
      <c r="B2998" s="3">
        <v>5</v>
      </c>
      <c r="C2998" s="3">
        <v>121</v>
      </c>
      <c r="D2998" s="3">
        <v>56</v>
      </c>
      <c r="E2998" s="3">
        <v>-600.396</v>
      </c>
      <c r="F2998" s="4" t="str">
        <f>HYPERLINK("http://141.218.60.56/~jnz1568/getInfo.php?workbook=10_05.xlsx&amp;sheet=A0&amp;row=2998&amp;col=6&amp;number=5490000&amp;sourceID=14","5490000")</f>
        <v>5490000</v>
      </c>
      <c r="G2998" s="4" t="str">
        <f>HYPERLINK("http://141.218.60.56/~jnz1568/getInfo.php?workbook=10_05.xlsx&amp;sheet=A0&amp;row=2998&amp;col=7&amp;number=0&amp;sourceID=14","0")</f>
        <v>0</v>
      </c>
    </row>
    <row r="2999" spans="1:7">
      <c r="A2999" s="3">
        <v>10</v>
      </c>
      <c r="B2999" s="3">
        <v>5</v>
      </c>
      <c r="C2999" s="3">
        <v>122</v>
      </c>
      <c r="D2999" s="3">
        <v>56</v>
      </c>
      <c r="E2999" s="3">
        <v>-599.065</v>
      </c>
      <c r="F2999" s="4" t="str">
        <f>HYPERLINK("http://141.218.60.56/~jnz1568/getInfo.php?workbook=10_05.xlsx&amp;sheet=A0&amp;row=2999&amp;col=6&amp;number=23900&amp;sourceID=14","23900")</f>
        <v>23900</v>
      </c>
      <c r="G2999" s="4" t="str">
        <f>HYPERLINK("http://141.218.60.56/~jnz1568/getInfo.php?workbook=10_05.xlsx&amp;sheet=A0&amp;row=2999&amp;col=7&amp;number=0&amp;sourceID=14","0")</f>
        <v>0</v>
      </c>
    </row>
    <row r="3000" spans="1:7">
      <c r="A3000" s="3">
        <v>10</v>
      </c>
      <c r="B3000" s="3">
        <v>5</v>
      </c>
      <c r="C3000" s="3">
        <v>123</v>
      </c>
      <c r="D3000" s="3">
        <v>56</v>
      </c>
      <c r="E3000" s="3">
        <v>-598.012</v>
      </c>
      <c r="F3000" s="4" t="str">
        <f>HYPERLINK("http://141.218.60.56/~jnz1568/getInfo.php?workbook=10_05.xlsx&amp;sheet=A0&amp;row=3000&amp;col=6&amp;number=19400000&amp;sourceID=14","19400000")</f>
        <v>19400000</v>
      </c>
      <c r="G3000" s="4" t="str">
        <f>HYPERLINK("http://141.218.60.56/~jnz1568/getInfo.php?workbook=10_05.xlsx&amp;sheet=A0&amp;row=3000&amp;col=7&amp;number=0&amp;sourceID=14","0")</f>
        <v>0</v>
      </c>
    </row>
    <row r="3001" spans="1:7">
      <c r="A3001" s="3">
        <v>10</v>
      </c>
      <c r="B3001" s="3">
        <v>5</v>
      </c>
      <c r="C3001" s="3">
        <v>125</v>
      </c>
      <c r="D3001" s="3">
        <v>56</v>
      </c>
      <c r="E3001" s="3">
        <v>-593.984</v>
      </c>
      <c r="F3001" s="4" t="str">
        <f>HYPERLINK("http://141.218.60.56/~jnz1568/getInfo.php?workbook=10_05.xlsx&amp;sheet=A0&amp;row=3001&amp;col=6&amp;number=312000000&amp;sourceID=14","312000000")</f>
        <v>312000000</v>
      </c>
      <c r="G3001" s="4" t="str">
        <f>HYPERLINK("http://141.218.60.56/~jnz1568/getInfo.php?workbook=10_05.xlsx&amp;sheet=A0&amp;row=3001&amp;col=7&amp;number=0&amp;sourceID=14","0")</f>
        <v>0</v>
      </c>
    </row>
    <row r="3002" spans="1:7">
      <c r="A3002" s="3">
        <v>10</v>
      </c>
      <c r="B3002" s="3">
        <v>5</v>
      </c>
      <c r="C3002" s="3">
        <v>126</v>
      </c>
      <c r="D3002" s="3">
        <v>56</v>
      </c>
      <c r="E3002" s="3">
        <v>-593.015</v>
      </c>
      <c r="F3002" s="4" t="str">
        <f>HYPERLINK("http://141.218.60.56/~jnz1568/getInfo.php?workbook=10_05.xlsx&amp;sheet=A0&amp;row=3002&amp;col=6&amp;number=618000000&amp;sourceID=14","618000000")</f>
        <v>618000000</v>
      </c>
      <c r="G3002" s="4" t="str">
        <f>HYPERLINK("http://141.218.60.56/~jnz1568/getInfo.php?workbook=10_05.xlsx&amp;sheet=A0&amp;row=3002&amp;col=7&amp;number=0&amp;sourceID=14","0")</f>
        <v>0</v>
      </c>
    </row>
    <row r="3003" spans="1:7">
      <c r="A3003" s="3">
        <v>10</v>
      </c>
      <c r="B3003" s="3">
        <v>5</v>
      </c>
      <c r="C3003" s="3">
        <v>129</v>
      </c>
      <c r="D3003" s="3">
        <v>56</v>
      </c>
      <c r="E3003" s="3">
        <v>583.296</v>
      </c>
      <c r="F3003" s="4" t="str">
        <f>HYPERLINK("http://141.218.60.56/~jnz1568/getInfo.php?workbook=10_05.xlsx&amp;sheet=A0&amp;row=3003&amp;col=6&amp;number=11700000&amp;sourceID=14","11700000")</f>
        <v>11700000</v>
      </c>
      <c r="G3003" s="4" t="str">
        <f>HYPERLINK("http://141.218.60.56/~jnz1568/getInfo.php?workbook=10_05.xlsx&amp;sheet=A0&amp;row=3003&amp;col=7&amp;number=0&amp;sourceID=14","0")</f>
        <v>0</v>
      </c>
    </row>
    <row r="3004" spans="1:7">
      <c r="A3004" s="3">
        <v>10</v>
      </c>
      <c r="B3004" s="3">
        <v>5</v>
      </c>
      <c r="C3004" s="3">
        <v>130</v>
      </c>
      <c r="D3004" s="3">
        <v>56</v>
      </c>
      <c r="E3004" s="3">
        <v>583.296</v>
      </c>
      <c r="F3004" s="4" t="str">
        <f>HYPERLINK("http://141.218.60.56/~jnz1568/getInfo.php?workbook=10_05.xlsx&amp;sheet=A0&amp;row=3004&amp;col=6&amp;number=5300000&amp;sourceID=14","5300000")</f>
        <v>5300000</v>
      </c>
      <c r="G3004" s="4" t="str">
        <f>HYPERLINK("http://141.218.60.56/~jnz1568/getInfo.php?workbook=10_05.xlsx&amp;sheet=A0&amp;row=3004&amp;col=7&amp;number=0&amp;sourceID=14","0")</f>
        <v>0</v>
      </c>
    </row>
    <row r="3005" spans="1:7">
      <c r="A3005" s="3">
        <v>10</v>
      </c>
      <c r="B3005" s="3">
        <v>5</v>
      </c>
      <c r="C3005" s="3">
        <v>131</v>
      </c>
      <c r="D3005" s="3">
        <v>56</v>
      </c>
      <c r="E3005" s="3">
        <v>-581.44</v>
      </c>
      <c r="F3005" s="4" t="str">
        <f>HYPERLINK("http://141.218.60.56/~jnz1568/getInfo.php?workbook=10_05.xlsx&amp;sheet=A0&amp;row=3005&amp;col=6&amp;number=3550000&amp;sourceID=14","3550000")</f>
        <v>3550000</v>
      </c>
      <c r="G3005" s="4" t="str">
        <f>HYPERLINK("http://141.218.60.56/~jnz1568/getInfo.php?workbook=10_05.xlsx&amp;sheet=A0&amp;row=3005&amp;col=7&amp;number=0&amp;sourceID=14","0")</f>
        <v>0</v>
      </c>
    </row>
    <row r="3006" spans="1:7">
      <c r="A3006" s="3">
        <v>10</v>
      </c>
      <c r="B3006" s="3">
        <v>5</v>
      </c>
      <c r="C3006" s="3">
        <v>132</v>
      </c>
      <c r="D3006" s="3">
        <v>56</v>
      </c>
      <c r="E3006" s="3">
        <v>-580.944</v>
      </c>
      <c r="F3006" s="4" t="str">
        <f>HYPERLINK("http://141.218.60.56/~jnz1568/getInfo.php?workbook=10_05.xlsx&amp;sheet=A0&amp;row=3006&amp;col=6&amp;number=152000&amp;sourceID=14","152000")</f>
        <v>152000</v>
      </c>
      <c r="G3006" s="4" t="str">
        <f>HYPERLINK("http://141.218.60.56/~jnz1568/getInfo.php?workbook=10_05.xlsx&amp;sheet=A0&amp;row=3006&amp;col=7&amp;number=0&amp;sourceID=14","0")</f>
        <v>0</v>
      </c>
    </row>
    <row r="3007" spans="1:7">
      <c r="A3007" s="3">
        <v>10</v>
      </c>
      <c r="B3007" s="3">
        <v>5</v>
      </c>
      <c r="C3007" s="3">
        <v>133</v>
      </c>
      <c r="D3007" s="3">
        <v>56</v>
      </c>
      <c r="E3007" s="3">
        <v>-580.243</v>
      </c>
      <c r="F3007" s="4" t="str">
        <f>HYPERLINK("http://141.218.60.56/~jnz1568/getInfo.php?workbook=10_05.xlsx&amp;sheet=A0&amp;row=3007&amp;col=6&amp;number=1440000&amp;sourceID=14","1440000")</f>
        <v>1440000</v>
      </c>
      <c r="G3007" s="4" t="str">
        <f>HYPERLINK("http://141.218.60.56/~jnz1568/getInfo.php?workbook=10_05.xlsx&amp;sheet=A0&amp;row=3007&amp;col=7&amp;number=0&amp;sourceID=14","0")</f>
        <v>0</v>
      </c>
    </row>
    <row r="3008" spans="1:7">
      <c r="A3008" s="3">
        <v>10</v>
      </c>
      <c r="B3008" s="3">
        <v>5</v>
      </c>
      <c r="C3008" s="3">
        <v>140</v>
      </c>
      <c r="D3008" s="3">
        <v>56</v>
      </c>
      <c r="E3008" s="3">
        <v>-564.399</v>
      </c>
      <c r="F3008" s="4" t="str">
        <f>HYPERLINK("http://141.218.60.56/~jnz1568/getInfo.php?workbook=10_05.xlsx&amp;sheet=A0&amp;row=3008&amp;col=6&amp;number=2430000000&amp;sourceID=14","2430000000")</f>
        <v>2430000000</v>
      </c>
      <c r="G3008" s="4" t="str">
        <f>HYPERLINK("http://141.218.60.56/~jnz1568/getInfo.php?workbook=10_05.xlsx&amp;sheet=A0&amp;row=3008&amp;col=7&amp;number=0&amp;sourceID=14","0")</f>
        <v>0</v>
      </c>
    </row>
    <row r="3009" spans="1:7">
      <c r="A3009" s="3">
        <v>10</v>
      </c>
      <c r="B3009" s="3">
        <v>5</v>
      </c>
      <c r="C3009" s="3">
        <v>150</v>
      </c>
      <c r="D3009" s="3">
        <v>56</v>
      </c>
      <c r="E3009" s="3">
        <v>-543.134</v>
      </c>
      <c r="F3009" s="4" t="str">
        <f>HYPERLINK("http://141.218.60.56/~jnz1568/getInfo.php?workbook=10_05.xlsx&amp;sheet=A0&amp;row=3009&amp;col=6&amp;number=11000000&amp;sourceID=14","11000000")</f>
        <v>11000000</v>
      </c>
      <c r="G3009" s="4" t="str">
        <f>HYPERLINK("http://141.218.60.56/~jnz1568/getInfo.php?workbook=10_05.xlsx&amp;sheet=A0&amp;row=3009&amp;col=7&amp;number=0&amp;sourceID=14","0")</f>
        <v>0</v>
      </c>
    </row>
    <row r="3010" spans="1:7">
      <c r="A3010" s="3">
        <v>10</v>
      </c>
      <c r="B3010" s="3">
        <v>5</v>
      </c>
      <c r="C3010" s="3">
        <v>151</v>
      </c>
      <c r="D3010" s="3">
        <v>56</v>
      </c>
      <c r="E3010" s="3">
        <v>-543.069</v>
      </c>
      <c r="F3010" s="4" t="str">
        <f>HYPERLINK("http://141.218.60.56/~jnz1568/getInfo.php?workbook=10_05.xlsx&amp;sheet=A0&amp;row=3010&amp;col=6&amp;number=35600000&amp;sourceID=14","35600000")</f>
        <v>35600000</v>
      </c>
      <c r="G3010" s="4" t="str">
        <f>HYPERLINK("http://141.218.60.56/~jnz1568/getInfo.php?workbook=10_05.xlsx&amp;sheet=A0&amp;row=3010&amp;col=7&amp;number=0&amp;sourceID=14","0")</f>
        <v>0</v>
      </c>
    </row>
    <row r="3011" spans="1:7">
      <c r="A3011" s="3">
        <v>10</v>
      </c>
      <c r="B3011" s="3">
        <v>5</v>
      </c>
      <c r="C3011" s="3">
        <v>155</v>
      </c>
      <c r="D3011" s="3">
        <v>56</v>
      </c>
      <c r="E3011" s="3">
        <v>533.59</v>
      </c>
      <c r="F3011" s="4" t="str">
        <f>HYPERLINK("http://141.218.60.56/~jnz1568/getInfo.php?workbook=10_05.xlsx&amp;sheet=A0&amp;row=3011&amp;col=6&amp;number=70400000&amp;sourceID=14","70400000")</f>
        <v>70400000</v>
      </c>
      <c r="G3011" s="4" t="str">
        <f>HYPERLINK("http://141.218.60.56/~jnz1568/getInfo.php?workbook=10_05.xlsx&amp;sheet=A0&amp;row=3011&amp;col=7&amp;number=0&amp;sourceID=14","0")</f>
        <v>0</v>
      </c>
    </row>
    <row r="3012" spans="1:7">
      <c r="A3012" s="3">
        <v>10</v>
      </c>
      <c r="B3012" s="3">
        <v>5</v>
      </c>
      <c r="C3012" s="3">
        <v>156</v>
      </c>
      <c r="D3012" s="3">
        <v>56</v>
      </c>
      <c r="E3012" s="3">
        <v>-531.246</v>
      </c>
      <c r="F3012" s="4" t="str">
        <f>HYPERLINK("http://141.218.60.56/~jnz1568/getInfo.php?workbook=10_05.xlsx&amp;sheet=A0&amp;row=3012&amp;col=6&amp;number=179000000&amp;sourceID=14","179000000")</f>
        <v>179000000</v>
      </c>
      <c r="G3012" s="4" t="str">
        <f>HYPERLINK("http://141.218.60.56/~jnz1568/getInfo.php?workbook=10_05.xlsx&amp;sheet=A0&amp;row=3012&amp;col=7&amp;number=0&amp;sourceID=14","0")</f>
        <v>0</v>
      </c>
    </row>
    <row r="3013" spans="1:7">
      <c r="A3013" s="3">
        <v>10</v>
      </c>
      <c r="B3013" s="3">
        <v>5</v>
      </c>
      <c r="C3013" s="3">
        <v>157</v>
      </c>
      <c r="D3013" s="3">
        <v>56</v>
      </c>
      <c r="E3013" s="3">
        <v>-530.741</v>
      </c>
      <c r="F3013" s="4" t="str">
        <f>HYPERLINK("http://141.218.60.56/~jnz1568/getInfo.php?workbook=10_05.xlsx&amp;sheet=A0&amp;row=3013&amp;col=6&amp;number=1090000000&amp;sourceID=14","1090000000")</f>
        <v>1090000000</v>
      </c>
      <c r="G3013" s="4" t="str">
        <f>HYPERLINK("http://141.218.60.56/~jnz1568/getInfo.php?workbook=10_05.xlsx&amp;sheet=A0&amp;row=3013&amp;col=7&amp;number=0&amp;sourceID=14","0")</f>
        <v>0</v>
      </c>
    </row>
    <row r="3014" spans="1:7">
      <c r="A3014" s="3">
        <v>10</v>
      </c>
      <c r="B3014" s="3">
        <v>5</v>
      </c>
      <c r="C3014" s="3">
        <v>160</v>
      </c>
      <c r="D3014" s="3">
        <v>56</v>
      </c>
      <c r="E3014" s="3">
        <v>-527.199</v>
      </c>
      <c r="F3014" s="4" t="str">
        <f>HYPERLINK("http://141.218.60.56/~jnz1568/getInfo.php?workbook=10_05.xlsx&amp;sheet=A0&amp;row=3014&amp;col=6&amp;number=247000000&amp;sourceID=14","247000000")</f>
        <v>247000000</v>
      </c>
      <c r="G3014" s="4" t="str">
        <f>HYPERLINK("http://141.218.60.56/~jnz1568/getInfo.php?workbook=10_05.xlsx&amp;sheet=A0&amp;row=3014&amp;col=7&amp;number=0&amp;sourceID=14","0")</f>
        <v>0</v>
      </c>
    </row>
    <row r="3015" spans="1:7">
      <c r="A3015" s="3">
        <v>10</v>
      </c>
      <c r="B3015" s="3">
        <v>5</v>
      </c>
      <c r="C3015" s="3">
        <v>161</v>
      </c>
      <c r="D3015" s="3">
        <v>56</v>
      </c>
      <c r="E3015" s="3">
        <v>526.317</v>
      </c>
      <c r="F3015" s="4" t="str">
        <f>HYPERLINK("http://141.218.60.56/~jnz1568/getInfo.php?workbook=10_05.xlsx&amp;sheet=A0&amp;row=3015&amp;col=6&amp;number=3410000&amp;sourceID=14","3410000")</f>
        <v>3410000</v>
      </c>
      <c r="G3015" s="4" t="str">
        <f>HYPERLINK("http://141.218.60.56/~jnz1568/getInfo.php?workbook=10_05.xlsx&amp;sheet=A0&amp;row=3015&amp;col=7&amp;number=0&amp;sourceID=14","0")</f>
        <v>0</v>
      </c>
    </row>
    <row r="3016" spans="1:7">
      <c r="A3016" s="3">
        <v>10</v>
      </c>
      <c r="B3016" s="3">
        <v>5</v>
      </c>
      <c r="C3016" s="3">
        <v>162</v>
      </c>
      <c r="D3016" s="3">
        <v>56</v>
      </c>
      <c r="E3016" s="3">
        <v>525.487</v>
      </c>
      <c r="F3016" s="4" t="str">
        <f>HYPERLINK("http://141.218.60.56/~jnz1568/getInfo.php?workbook=10_05.xlsx&amp;sheet=A0&amp;row=3016&amp;col=6&amp;number=9910000&amp;sourceID=14","9910000")</f>
        <v>9910000</v>
      </c>
      <c r="G3016" s="4" t="str">
        <f>HYPERLINK("http://141.218.60.56/~jnz1568/getInfo.php?workbook=10_05.xlsx&amp;sheet=A0&amp;row=3016&amp;col=7&amp;number=0&amp;sourceID=14","0")</f>
        <v>0</v>
      </c>
    </row>
    <row r="3017" spans="1:7">
      <c r="A3017" s="3">
        <v>10</v>
      </c>
      <c r="B3017" s="3">
        <v>5</v>
      </c>
      <c r="C3017" s="3">
        <v>163</v>
      </c>
      <c r="D3017" s="3">
        <v>56</v>
      </c>
      <c r="E3017" s="3">
        <v>-490.562</v>
      </c>
      <c r="F3017" s="4" t="str">
        <f>HYPERLINK("http://141.218.60.56/~jnz1568/getInfo.php?workbook=10_05.xlsx&amp;sheet=A0&amp;row=3017&amp;col=6&amp;number=133000000&amp;sourceID=14","133000000")</f>
        <v>133000000</v>
      </c>
      <c r="G3017" s="4" t="str">
        <f>HYPERLINK("http://141.218.60.56/~jnz1568/getInfo.php?workbook=10_05.xlsx&amp;sheet=A0&amp;row=3017&amp;col=7&amp;number=0&amp;sourceID=14","0")</f>
        <v>0</v>
      </c>
    </row>
    <row r="3018" spans="1:7">
      <c r="A3018" s="3">
        <v>10</v>
      </c>
      <c r="B3018" s="3">
        <v>5</v>
      </c>
      <c r="C3018" s="3">
        <v>168</v>
      </c>
      <c r="D3018" s="3">
        <v>56</v>
      </c>
      <c r="E3018" s="3">
        <v>-369.663</v>
      </c>
      <c r="F3018" s="4" t="str">
        <f>HYPERLINK("http://141.218.60.56/~jnz1568/getInfo.php?workbook=10_05.xlsx&amp;sheet=A0&amp;row=3018&amp;col=6&amp;number=479000000&amp;sourceID=14","479000000")</f>
        <v>479000000</v>
      </c>
      <c r="G3018" s="4" t="str">
        <f>HYPERLINK("http://141.218.60.56/~jnz1568/getInfo.php?workbook=10_05.xlsx&amp;sheet=A0&amp;row=3018&amp;col=7&amp;number=0&amp;sourceID=14","0")</f>
        <v>0</v>
      </c>
    </row>
    <row r="3019" spans="1:7">
      <c r="A3019" s="3">
        <v>10</v>
      </c>
      <c r="B3019" s="3">
        <v>5</v>
      </c>
      <c r="C3019" s="3">
        <v>169</v>
      </c>
      <c r="D3019" s="3">
        <v>56</v>
      </c>
      <c r="E3019" s="3">
        <v>-369.598</v>
      </c>
      <c r="F3019" s="4" t="str">
        <f>HYPERLINK("http://141.218.60.56/~jnz1568/getInfo.php?workbook=10_05.xlsx&amp;sheet=A0&amp;row=3019&amp;col=6&amp;number=80900000&amp;sourceID=14","80900000")</f>
        <v>80900000</v>
      </c>
      <c r="G3019" s="4" t="str">
        <f>HYPERLINK("http://141.218.60.56/~jnz1568/getInfo.php?workbook=10_05.xlsx&amp;sheet=A0&amp;row=3019&amp;col=7&amp;number=0&amp;sourceID=14","0")</f>
        <v>0</v>
      </c>
    </row>
    <row r="3020" spans="1:7">
      <c r="A3020" s="3">
        <v>10</v>
      </c>
      <c r="B3020" s="3">
        <v>5</v>
      </c>
      <c r="C3020" s="3">
        <v>170</v>
      </c>
      <c r="D3020" s="3">
        <v>56</v>
      </c>
      <c r="E3020" s="3">
        <v>-357.225</v>
      </c>
      <c r="F3020" s="4" t="str">
        <f>HYPERLINK("http://141.218.60.56/~jnz1568/getInfo.php?workbook=10_05.xlsx&amp;sheet=A0&amp;row=3020&amp;col=6&amp;number=204000000&amp;sourceID=14","204000000")</f>
        <v>204000000</v>
      </c>
      <c r="G3020" s="4" t="str">
        <f>HYPERLINK("http://141.218.60.56/~jnz1568/getInfo.php?workbook=10_05.xlsx&amp;sheet=A0&amp;row=3020&amp;col=7&amp;number=0&amp;sourceID=14","0")</f>
        <v>0</v>
      </c>
    </row>
    <row r="3021" spans="1:7">
      <c r="A3021" s="3">
        <v>10</v>
      </c>
      <c r="B3021" s="3">
        <v>5</v>
      </c>
      <c r="C3021" s="3">
        <v>171</v>
      </c>
      <c r="D3021" s="3">
        <v>56</v>
      </c>
      <c r="E3021" s="3">
        <v>-357.104</v>
      </c>
      <c r="F3021" s="4" t="str">
        <f>HYPERLINK("http://141.218.60.56/~jnz1568/getInfo.php?workbook=10_05.xlsx&amp;sheet=A0&amp;row=3021&amp;col=6&amp;number=492000000&amp;sourceID=14","492000000")</f>
        <v>492000000</v>
      </c>
      <c r="G3021" s="4" t="str">
        <f>HYPERLINK("http://141.218.60.56/~jnz1568/getInfo.php?workbook=10_05.xlsx&amp;sheet=A0&amp;row=3021&amp;col=7&amp;number=0&amp;sourceID=14","0")</f>
        <v>0</v>
      </c>
    </row>
    <row r="3022" spans="1:7">
      <c r="A3022" s="3">
        <v>10</v>
      </c>
      <c r="B3022" s="3">
        <v>5</v>
      </c>
      <c r="C3022" s="3">
        <v>172</v>
      </c>
      <c r="D3022" s="3">
        <v>56</v>
      </c>
      <c r="E3022" s="3">
        <v>-354.634</v>
      </c>
      <c r="F3022" s="4" t="str">
        <f>HYPERLINK("http://141.218.60.56/~jnz1568/getInfo.php?workbook=10_05.xlsx&amp;sheet=A0&amp;row=3022&amp;col=6&amp;number=47500000&amp;sourceID=14","47500000")</f>
        <v>47500000</v>
      </c>
      <c r="G3022" s="4" t="str">
        <f>HYPERLINK("http://141.218.60.56/~jnz1568/getInfo.php?workbook=10_05.xlsx&amp;sheet=A0&amp;row=3022&amp;col=7&amp;number=0&amp;sourceID=14","0")</f>
        <v>0</v>
      </c>
    </row>
    <row r="3023" spans="1:7">
      <c r="A3023" s="3">
        <v>10</v>
      </c>
      <c r="B3023" s="3">
        <v>5</v>
      </c>
      <c r="C3023" s="3">
        <v>173</v>
      </c>
      <c r="D3023" s="3">
        <v>56</v>
      </c>
      <c r="E3023" s="3">
        <v>-354.606</v>
      </c>
      <c r="F3023" s="4" t="str">
        <f>HYPERLINK("http://141.218.60.56/~jnz1568/getInfo.php?workbook=10_05.xlsx&amp;sheet=A0&amp;row=3023&amp;col=6&amp;number=323000000&amp;sourceID=14","323000000")</f>
        <v>323000000</v>
      </c>
      <c r="G3023" s="4" t="str">
        <f>HYPERLINK("http://141.218.60.56/~jnz1568/getInfo.php?workbook=10_05.xlsx&amp;sheet=A0&amp;row=3023&amp;col=7&amp;number=0&amp;sourceID=14","0")</f>
        <v>0</v>
      </c>
    </row>
    <row r="3024" spans="1:7">
      <c r="A3024" s="3">
        <v>10</v>
      </c>
      <c r="B3024" s="3">
        <v>5</v>
      </c>
      <c r="C3024" s="3">
        <v>174</v>
      </c>
      <c r="D3024" s="3">
        <v>56</v>
      </c>
      <c r="E3024" s="3">
        <v>-351.972</v>
      </c>
      <c r="F3024" s="4" t="str">
        <f>HYPERLINK("http://141.218.60.56/~jnz1568/getInfo.php?workbook=10_05.xlsx&amp;sheet=A0&amp;row=3024&amp;col=6&amp;number=323000000&amp;sourceID=14","323000000")</f>
        <v>323000000</v>
      </c>
      <c r="G3024" s="4" t="str">
        <f>HYPERLINK("http://141.218.60.56/~jnz1568/getInfo.php?workbook=10_05.xlsx&amp;sheet=A0&amp;row=3024&amp;col=7&amp;number=0&amp;sourceID=14","0")</f>
        <v>0</v>
      </c>
    </row>
    <row r="3025" spans="1:7">
      <c r="A3025" s="3">
        <v>10</v>
      </c>
      <c r="B3025" s="3">
        <v>5</v>
      </c>
      <c r="C3025" s="3">
        <v>58</v>
      </c>
      <c r="D3025" s="3">
        <v>57</v>
      </c>
      <c r="E3025" s="3">
        <v>3290.562</v>
      </c>
      <c r="F3025" s="4" t="str">
        <f>HYPERLINK("http://141.218.60.56/~jnz1568/getInfo.php?workbook=10_05.xlsx&amp;sheet=A0&amp;row=3025&amp;col=6&amp;number=357000&amp;sourceID=14","357000")</f>
        <v>357000</v>
      </c>
      <c r="G3025" s="4" t="str">
        <f>HYPERLINK("http://141.218.60.56/~jnz1568/getInfo.php?workbook=10_05.xlsx&amp;sheet=A0&amp;row=3025&amp;col=7&amp;number=0&amp;sourceID=14","0")</f>
        <v>0</v>
      </c>
    </row>
    <row r="3026" spans="1:7">
      <c r="A3026" s="3">
        <v>10</v>
      </c>
      <c r="B3026" s="3">
        <v>5</v>
      </c>
      <c r="C3026" s="3">
        <v>59</v>
      </c>
      <c r="D3026" s="3">
        <v>57</v>
      </c>
      <c r="E3026" s="3">
        <v>2994.914</v>
      </c>
      <c r="F3026" s="4" t="str">
        <f>HYPERLINK("http://141.218.60.56/~jnz1568/getInfo.php?workbook=10_05.xlsx&amp;sheet=A0&amp;row=3026&amp;col=6&amp;number=4730000&amp;sourceID=14","4730000")</f>
        <v>4730000</v>
      </c>
      <c r="G3026" s="4" t="str">
        <f>HYPERLINK("http://141.218.60.56/~jnz1568/getInfo.php?workbook=10_05.xlsx&amp;sheet=A0&amp;row=3026&amp;col=7&amp;number=0&amp;sourceID=14","0")</f>
        <v>0</v>
      </c>
    </row>
    <row r="3027" spans="1:7">
      <c r="A3027" s="3">
        <v>10</v>
      </c>
      <c r="B3027" s="3">
        <v>5</v>
      </c>
      <c r="C3027" s="3">
        <v>61</v>
      </c>
      <c r="D3027" s="3">
        <v>57</v>
      </c>
      <c r="E3027" s="3">
        <v>2853.887</v>
      </c>
      <c r="F3027" s="4" t="str">
        <f>HYPERLINK("http://141.218.60.56/~jnz1568/getInfo.php?workbook=10_05.xlsx&amp;sheet=A0&amp;row=3027&amp;col=6&amp;number=6940000&amp;sourceID=14","6940000")</f>
        <v>6940000</v>
      </c>
      <c r="G3027" s="4" t="str">
        <f>HYPERLINK("http://141.218.60.56/~jnz1568/getInfo.php?workbook=10_05.xlsx&amp;sheet=A0&amp;row=3027&amp;col=7&amp;number=0&amp;sourceID=14","0")</f>
        <v>0</v>
      </c>
    </row>
    <row r="3028" spans="1:7">
      <c r="A3028" s="3">
        <v>10</v>
      </c>
      <c r="B3028" s="3">
        <v>5</v>
      </c>
      <c r="C3028" s="3">
        <v>62</v>
      </c>
      <c r="D3028" s="3">
        <v>57</v>
      </c>
      <c r="E3028" s="3">
        <v>2829.66</v>
      </c>
      <c r="F3028" s="4" t="str">
        <f>HYPERLINK("http://141.218.60.56/~jnz1568/getInfo.php?workbook=10_05.xlsx&amp;sheet=A0&amp;row=3028&amp;col=6&amp;number=3920000&amp;sourceID=14","3920000")</f>
        <v>3920000</v>
      </c>
      <c r="G3028" s="4" t="str">
        <f>HYPERLINK("http://141.218.60.56/~jnz1568/getInfo.php?workbook=10_05.xlsx&amp;sheet=A0&amp;row=3028&amp;col=7&amp;number=0&amp;sourceID=14","0")</f>
        <v>0</v>
      </c>
    </row>
    <row r="3029" spans="1:7">
      <c r="A3029" s="3">
        <v>10</v>
      </c>
      <c r="B3029" s="3">
        <v>5</v>
      </c>
      <c r="C3029" s="3">
        <v>63</v>
      </c>
      <c r="D3029" s="3">
        <v>57</v>
      </c>
      <c r="E3029" s="3">
        <v>2416.047</v>
      </c>
      <c r="F3029" s="4" t="str">
        <f>HYPERLINK("http://141.218.60.56/~jnz1568/getInfo.php?workbook=10_05.xlsx&amp;sheet=A0&amp;row=3029&amp;col=6&amp;number=1610&amp;sourceID=14","1610")</f>
        <v>1610</v>
      </c>
      <c r="G3029" s="4" t="str">
        <f>HYPERLINK("http://141.218.60.56/~jnz1568/getInfo.php?workbook=10_05.xlsx&amp;sheet=A0&amp;row=3029&amp;col=7&amp;number=0&amp;sourceID=14","0")</f>
        <v>0</v>
      </c>
    </row>
    <row r="3030" spans="1:7">
      <c r="A3030" s="3">
        <v>10</v>
      </c>
      <c r="B3030" s="3">
        <v>5</v>
      </c>
      <c r="C3030" s="3">
        <v>66</v>
      </c>
      <c r="D3030" s="3">
        <v>57</v>
      </c>
      <c r="E3030" s="3">
        <v>1505.12</v>
      </c>
      <c r="F3030" s="4" t="str">
        <f>HYPERLINK("http://141.218.60.56/~jnz1568/getInfo.php?workbook=10_05.xlsx&amp;sheet=A0&amp;row=3030&amp;col=6&amp;number=261000&amp;sourceID=14","261000")</f>
        <v>261000</v>
      </c>
      <c r="G3030" s="4" t="str">
        <f>HYPERLINK("http://141.218.60.56/~jnz1568/getInfo.php?workbook=10_05.xlsx&amp;sheet=A0&amp;row=3030&amp;col=7&amp;number=0&amp;sourceID=14","0")</f>
        <v>0</v>
      </c>
    </row>
    <row r="3031" spans="1:7">
      <c r="A3031" s="3">
        <v>10</v>
      </c>
      <c r="B3031" s="3">
        <v>5</v>
      </c>
      <c r="C3031" s="3">
        <v>70</v>
      </c>
      <c r="D3031" s="3">
        <v>57</v>
      </c>
      <c r="E3031" s="3">
        <v>1416.032</v>
      </c>
      <c r="F3031" s="4" t="str">
        <f>HYPERLINK("http://141.218.60.56/~jnz1568/getInfo.php?workbook=10_05.xlsx&amp;sheet=A0&amp;row=3031&amp;col=6&amp;number=4730&amp;sourceID=14","4730")</f>
        <v>4730</v>
      </c>
      <c r="G3031" s="4" t="str">
        <f>HYPERLINK("http://141.218.60.56/~jnz1568/getInfo.php?workbook=10_05.xlsx&amp;sheet=A0&amp;row=3031&amp;col=7&amp;number=0&amp;sourceID=14","0")</f>
        <v>0</v>
      </c>
    </row>
    <row r="3032" spans="1:7">
      <c r="A3032" s="3">
        <v>10</v>
      </c>
      <c r="B3032" s="3">
        <v>5</v>
      </c>
      <c r="C3032" s="3">
        <v>71</v>
      </c>
      <c r="D3032" s="3">
        <v>57</v>
      </c>
      <c r="E3032" s="3">
        <v>1416.032</v>
      </c>
      <c r="F3032" s="4" t="str">
        <f>HYPERLINK("http://141.218.60.56/~jnz1568/getInfo.php?workbook=10_05.xlsx&amp;sheet=A0&amp;row=3032&amp;col=6&amp;number=291&amp;sourceID=14","291")</f>
        <v>291</v>
      </c>
      <c r="G3032" s="4" t="str">
        <f>HYPERLINK("http://141.218.60.56/~jnz1568/getInfo.php?workbook=10_05.xlsx&amp;sheet=A0&amp;row=3032&amp;col=7&amp;number=0&amp;sourceID=14","0")</f>
        <v>0</v>
      </c>
    </row>
    <row r="3033" spans="1:7">
      <c r="A3033" s="3">
        <v>10</v>
      </c>
      <c r="B3033" s="3">
        <v>5</v>
      </c>
      <c r="C3033" s="3">
        <v>77</v>
      </c>
      <c r="D3033" s="3">
        <v>57</v>
      </c>
      <c r="E3033" s="3">
        <v>-1053.166</v>
      </c>
      <c r="F3033" s="4" t="str">
        <f>HYPERLINK("http://141.218.60.56/~jnz1568/getInfo.php?workbook=10_05.xlsx&amp;sheet=A0&amp;row=3033&amp;col=6&amp;number=3200000&amp;sourceID=14","3200000")</f>
        <v>3200000</v>
      </c>
      <c r="G3033" s="4" t="str">
        <f>HYPERLINK("http://141.218.60.56/~jnz1568/getInfo.php?workbook=10_05.xlsx&amp;sheet=A0&amp;row=3033&amp;col=7&amp;number=0&amp;sourceID=14","0")</f>
        <v>0</v>
      </c>
    </row>
    <row r="3034" spans="1:7">
      <c r="A3034" s="3">
        <v>10</v>
      </c>
      <c r="B3034" s="3">
        <v>5</v>
      </c>
      <c r="C3034" s="3">
        <v>78</v>
      </c>
      <c r="D3034" s="3">
        <v>57</v>
      </c>
      <c r="E3034" s="3">
        <v>-1044.029</v>
      </c>
      <c r="F3034" s="4" t="str">
        <f>HYPERLINK("http://141.218.60.56/~jnz1568/getInfo.php?workbook=10_05.xlsx&amp;sheet=A0&amp;row=3034&amp;col=6&amp;number=1290000&amp;sourceID=14","1290000")</f>
        <v>1290000</v>
      </c>
      <c r="G3034" s="4" t="str">
        <f>HYPERLINK("http://141.218.60.56/~jnz1568/getInfo.php?workbook=10_05.xlsx&amp;sheet=A0&amp;row=3034&amp;col=7&amp;number=0&amp;sourceID=14","0")</f>
        <v>0</v>
      </c>
    </row>
    <row r="3035" spans="1:7">
      <c r="A3035" s="3">
        <v>10</v>
      </c>
      <c r="B3035" s="3">
        <v>5</v>
      </c>
      <c r="C3035" s="3">
        <v>80</v>
      </c>
      <c r="D3035" s="3">
        <v>57</v>
      </c>
      <c r="E3035" s="3">
        <v>965.066</v>
      </c>
      <c r="F3035" s="4" t="str">
        <f>HYPERLINK("http://141.218.60.56/~jnz1568/getInfo.php?workbook=10_05.xlsx&amp;sheet=A0&amp;row=3035&amp;col=6&amp;number=125000000&amp;sourceID=14","125000000")</f>
        <v>125000000</v>
      </c>
      <c r="G3035" s="4" t="str">
        <f>HYPERLINK("http://141.218.60.56/~jnz1568/getInfo.php?workbook=10_05.xlsx&amp;sheet=A0&amp;row=3035&amp;col=7&amp;number=0&amp;sourceID=14","0")</f>
        <v>0</v>
      </c>
    </row>
    <row r="3036" spans="1:7">
      <c r="A3036" s="3">
        <v>10</v>
      </c>
      <c r="B3036" s="3">
        <v>5</v>
      </c>
      <c r="C3036" s="3">
        <v>99</v>
      </c>
      <c r="D3036" s="3">
        <v>57</v>
      </c>
      <c r="E3036" s="3">
        <v>-680.482</v>
      </c>
      <c r="F3036" s="4" t="str">
        <f>HYPERLINK("http://141.218.60.56/~jnz1568/getInfo.php?workbook=10_05.xlsx&amp;sheet=A0&amp;row=3036&amp;col=6&amp;number=45&amp;sourceID=14","45")</f>
        <v>45</v>
      </c>
      <c r="G3036" s="4" t="str">
        <f>HYPERLINK("http://141.218.60.56/~jnz1568/getInfo.php?workbook=10_05.xlsx&amp;sheet=A0&amp;row=3036&amp;col=7&amp;number=0&amp;sourceID=14","0")</f>
        <v>0</v>
      </c>
    </row>
    <row r="3037" spans="1:7">
      <c r="A3037" s="3">
        <v>10</v>
      </c>
      <c r="B3037" s="3">
        <v>5</v>
      </c>
      <c r="C3037" s="3">
        <v>105</v>
      </c>
      <c r="D3037" s="3">
        <v>57</v>
      </c>
      <c r="E3037" s="3">
        <v>-653.878</v>
      </c>
      <c r="F3037" s="4" t="str">
        <f>HYPERLINK("http://141.218.60.56/~jnz1568/getInfo.php?workbook=10_05.xlsx&amp;sheet=A0&amp;row=3037&amp;col=6&amp;number=5660000&amp;sourceID=14","5660000")</f>
        <v>5660000</v>
      </c>
      <c r="G3037" s="4" t="str">
        <f>HYPERLINK("http://141.218.60.56/~jnz1568/getInfo.php?workbook=10_05.xlsx&amp;sheet=A0&amp;row=3037&amp;col=7&amp;number=0&amp;sourceID=14","0")</f>
        <v>0</v>
      </c>
    </row>
    <row r="3038" spans="1:7">
      <c r="A3038" s="3">
        <v>10</v>
      </c>
      <c r="B3038" s="3">
        <v>5</v>
      </c>
      <c r="C3038" s="3">
        <v>106</v>
      </c>
      <c r="D3038" s="3">
        <v>57</v>
      </c>
      <c r="E3038" s="3">
        <v>-653.344</v>
      </c>
      <c r="F3038" s="4" t="str">
        <f>HYPERLINK("http://141.218.60.56/~jnz1568/getInfo.php?workbook=10_05.xlsx&amp;sheet=A0&amp;row=3038&amp;col=6&amp;number=2620000&amp;sourceID=14","2620000")</f>
        <v>2620000</v>
      </c>
      <c r="G3038" s="4" t="str">
        <f>HYPERLINK("http://141.218.60.56/~jnz1568/getInfo.php?workbook=10_05.xlsx&amp;sheet=A0&amp;row=3038&amp;col=7&amp;number=0&amp;sourceID=14","0")</f>
        <v>0</v>
      </c>
    </row>
    <row r="3039" spans="1:7">
      <c r="A3039" s="3">
        <v>10</v>
      </c>
      <c r="B3039" s="3">
        <v>5</v>
      </c>
      <c r="C3039" s="3">
        <v>109</v>
      </c>
      <c r="D3039" s="3">
        <v>57</v>
      </c>
      <c r="E3039" s="3">
        <v>-649.179</v>
      </c>
      <c r="F3039" s="4" t="str">
        <f>HYPERLINK("http://141.218.60.56/~jnz1568/getInfo.php?workbook=10_05.xlsx&amp;sheet=A0&amp;row=3039&amp;col=6&amp;number=24300000&amp;sourceID=14","24300000")</f>
        <v>24300000</v>
      </c>
      <c r="G3039" s="4" t="str">
        <f>HYPERLINK("http://141.218.60.56/~jnz1568/getInfo.php?workbook=10_05.xlsx&amp;sheet=A0&amp;row=3039&amp;col=7&amp;number=0&amp;sourceID=14","0")</f>
        <v>0</v>
      </c>
    </row>
    <row r="3040" spans="1:7">
      <c r="A3040" s="3">
        <v>10</v>
      </c>
      <c r="B3040" s="3">
        <v>5</v>
      </c>
      <c r="C3040" s="3">
        <v>111</v>
      </c>
      <c r="D3040" s="3">
        <v>57</v>
      </c>
      <c r="E3040" s="3">
        <v>-646.669</v>
      </c>
      <c r="F3040" s="4" t="str">
        <f>HYPERLINK("http://141.218.60.56/~jnz1568/getInfo.php?workbook=10_05.xlsx&amp;sheet=A0&amp;row=3040&amp;col=6&amp;number=104000000&amp;sourceID=14","104000000")</f>
        <v>104000000</v>
      </c>
      <c r="G3040" s="4" t="str">
        <f>HYPERLINK("http://141.218.60.56/~jnz1568/getInfo.php?workbook=10_05.xlsx&amp;sheet=A0&amp;row=3040&amp;col=7&amp;number=0&amp;sourceID=14","0")</f>
        <v>0</v>
      </c>
    </row>
    <row r="3041" spans="1:7">
      <c r="A3041" s="3">
        <v>10</v>
      </c>
      <c r="B3041" s="3">
        <v>5</v>
      </c>
      <c r="C3041" s="3">
        <v>118</v>
      </c>
      <c r="D3041" s="3">
        <v>57</v>
      </c>
      <c r="E3041" s="3">
        <v>-614.569</v>
      </c>
      <c r="F3041" s="4" t="str">
        <f>HYPERLINK("http://141.218.60.56/~jnz1568/getInfo.php?workbook=10_05.xlsx&amp;sheet=A0&amp;row=3041&amp;col=6&amp;number=1540&amp;sourceID=14","1540")</f>
        <v>1540</v>
      </c>
      <c r="G3041" s="4" t="str">
        <f>HYPERLINK("http://141.218.60.56/~jnz1568/getInfo.php?workbook=10_05.xlsx&amp;sheet=A0&amp;row=3041&amp;col=7&amp;number=0&amp;sourceID=14","0")</f>
        <v>0</v>
      </c>
    </row>
    <row r="3042" spans="1:7">
      <c r="A3042" s="3">
        <v>10</v>
      </c>
      <c r="B3042" s="3">
        <v>5</v>
      </c>
      <c r="C3042" s="3">
        <v>119</v>
      </c>
      <c r="D3042" s="3">
        <v>57</v>
      </c>
      <c r="E3042" s="3">
        <v>-614.38</v>
      </c>
      <c r="F3042" s="4" t="str">
        <f>HYPERLINK("http://141.218.60.56/~jnz1568/getInfo.php?workbook=10_05.xlsx&amp;sheet=A0&amp;row=3042&amp;col=6&amp;number=79100&amp;sourceID=14","79100")</f>
        <v>79100</v>
      </c>
      <c r="G3042" s="4" t="str">
        <f>HYPERLINK("http://141.218.60.56/~jnz1568/getInfo.php?workbook=10_05.xlsx&amp;sheet=A0&amp;row=3042&amp;col=7&amp;number=0&amp;sourceID=14","0")</f>
        <v>0</v>
      </c>
    </row>
    <row r="3043" spans="1:7">
      <c r="A3043" s="3">
        <v>10</v>
      </c>
      <c r="B3043" s="3">
        <v>5</v>
      </c>
      <c r="C3043" s="3">
        <v>120</v>
      </c>
      <c r="D3043" s="3">
        <v>57</v>
      </c>
      <c r="E3043" s="3">
        <v>-602.676</v>
      </c>
      <c r="F3043" s="4" t="str">
        <f>HYPERLINK("http://141.218.60.56/~jnz1568/getInfo.php?workbook=10_05.xlsx&amp;sheet=A0&amp;row=3043&amp;col=6&amp;number=9860000&amp;sourceID=14","9860000")</f>
        <v>9860000</v>
      </c>
      <c r="G3043" s="4" t="str">
        <f>HYPERLINK("http://141.218.60.56/~jnz1568/getInfo.php?workbook=10_05.xlsx&amp;sheet=A0&amp;row=3043&amp;col=7&amp;number=0&amp;sourceID=14","0")</f>
        <v>0</v>
      </c>
    </row>
    <row r="3044" spans="1:7">
      <c r="A3044" s="3">
        <v>10</v>
      </c>
      <c r="B3044" s="3">
        <v>5</v>
      </c>
      <c r="C3044" s="3">
        <v>121</v>
      </c>
      <c r="D3044" s="3">
        <v>57</v>
      </c>
      <c r="E3044" s="3">
        <v>-601.863</v>
      </c>
      <c r="F3044" s="4" t="str">
        <f>HYPERLINK("http://141.218.60.56/~jnz1568/getInfo.php?workbook=10_05.xlsx&amp;sheet=A0&amp;row=3044&amp;col=6&amp;number=1330000&amp;sourceID=14","1330000")</f>
        <v>1330000</v>
      </c>
      <c r="G3044" s="4" t="str">
        <f>HYPERLINK("http://141.218.60.56/~jnz1568/getInfo.php?workbook=10_05.xlsx&amp;sheet=A0&amp;row=3044&amp;col=7&amp;number=0&amp;sourceID=14","0")</f>
        <v>0</v>
      </c>
    </row>
    <row r="3045" spans="1:7">
      <c r="A3045" s="3">
        <v>10</v>
      </c>
      <c r="B3045" s="3">
        <v>5</v>
      </c>
      <c r="C3045" s="3">
        <v>123</v>
      </c>
      <c r="D3045" s="3">
        <v>57</v>
      </c>
      <c r="E3045" s="3">
        <v>-599.468</v>
      </c>
      <c r="F3045" s="4" t="str">
        <f>HYPERLINK("http://141.218.60.56/~jnz1568/getInfo.php?workbook=10_05.xlsx&amp;sheet=A0&amp;row=3045&amp;col=6&amp;number=3720000&amp;sourceID=14","3720000")</f>
        <v>3720000</v>
      </c>
      <c r="G3045" s="4" t="str">
        <f>HYPERLINK("http://141.218.60.56/~jnz1568/getInfo.php?workbook=10_05.xlsx&amp;sheet=A0&amp;row=3045&amp;col=7&amp;number=0&amp;sourceID=14","0")</f>
        <v>0</v>
      </c>
    </row>
    <row r="3046" spans="1:7">
      <c r="A3046" s="3">
        <v>10</v>
      </c>
      <c r="B3046" s="3">
        <v>5</v>
      </c>
      <c r="C3046" s="3">
        <v>125</v>
      </c>
      <c r="D3046" s="3">
        <v>57</v>
      </c>
      <c r="E3046" s="3">
        <v>-595.42</v>
      </c>
      <c r="F3046" s="4" t="str">
        <f>HYPERLINK("http://141.218.60.56/~jnz1568/getInfo.php?workbook=10_05.xlsx&amp;sheet=A0&amp;row=3046&amp;col=6&amp;number=468000000&amp;sourceID=14","468000000")</f>
        <v>468000000</v>
      </c>
      <c r="G3046" s="4" t="str">
        <f>HYPERLINK("http://141.218.60.56/~jnz1568/getInfo.php?workbook=10_05.xlsx&amp;sheet=A0&amp;row=3046&amp;col=7&amp;number=0&amp;sourceID=14","0")</f>
        <v>0</v>
      </c>
    </row>
    <row r="3047" spans="1:7">
      <c r="A3047" s="3">
        <v>10</v>
      </c>
      <c r="B3047" s="3">
        <v>5</v>
      </c>
      <c r="C3047" s="3">
        <v>126</v>
      </c>
      <c r="D3047" s="3">
        <v>57</v>
      </c>
      <c r="E3047" s="3">
        <v>-594.447</v>
      </c>
      <c r="F3047" s="4" t="str">
        <f>HYPERLINK("http://141.218.60.56/~jnz1568/getInfo.php?workbook=10_05.xlsx&amp;sheet=A0&amp;row=3047&amp;col=6&amp;number=120000000&amp;sourceID=14","120000000")</f>
        <v>120000000</v>
      </c>
      <c r="G3047" s="4" t="str">
        <f>HYPERLINK("http://141.218.60.56/~jnz1568/getInfo.php?workbook=10_05.xlsx&amp;sheet=A0&amp;row=3047&amp;col=7&amp;number=0&amp;sourceID=14","0")</f>
        <v>0</v>
      </c>
    </row>
    <row r="3048" spans="1:7">
      <c r="A3048" s="3">
        <v>10</v>
      </c>
      <c r="B3048" s="3">
        <v>5</v>
      </c>
      <c r="C3048" s="3">
        <v>129</v>
      </c>
      <c r="D3048" s="3">
        <v>57</v>
      </c>
      <c r="E3048" s="3">
        <v>584.694</v>
      </c>
      <c r="F3048" s="4" t="str">
        <f>HYPERLINK("http://141.218.60.56/~jnz1568/getInfo.php?workbook=10_05.xlsx&amp;sheet=A0&amp;row=3048&amp;col=6&amp;number=1430000&amp;sourceID=14","1430000")</f>
        <v>1430000</v>
      </c>
      <c r="G3048" s="4" t="str">
        <f>HYPERLINK("http://141.218.60.56/~jnz1568/getInfo.php?workbook=10_05.xlsx&amp;sheet=A0&amp;row=3048&amp;col=7&amp;number=0&amp;sourceID=14","0")</f>
        <v>0</v>
      </c>
    </row>
    <row r="3049" spans="1:7">
      <c r="A3049" s="3">
        <v>10</v>
      </c>
      <c r="B3049" s="3">
        <v>5</v>
      </c>
      <c r="C3049" s="3">
        <v>131</v>
      </c>
      <c r="D3049" s="3">
        <v>57</v>
      </c>
      <c r="E3049" s="3">
        <v>-582.816</v>
      </c>
      <c r="F3049" s="4" t="str">
        <f>HYPERLINK("http://141.218.60.56/~jnz1568/getInfo.php?workbook=10_05.xlsx&amp;sheet=A0&amp;row=3049&amp;col=6&amp;number=870000&amp;sourceID=14","870000")</f>
        <v>870000</v>
      </c>
      <c r="G3049" s="4" t="str">
        <f>HYPERLINK("http://141.218.60.56/~jnz1568/getInfo.php?workbook=10_05.xlsx&amp;sheet=A0&amp;row=3049&amp;col=7&amp;number=0&amp;sourceID=14","0")</f>
        <v>0</v>
      </c>
    </row>
    <row r="3050" spans="1:7">
      <c r="A3050" s="3">
        <v>10</v>
      </c>
      <c r="B3050" s="3">
        <v>5</v>
      </c>
      <c r="C3050" s="3">
        <v>132</v>
      </c>
      <c r="D3050" s="3">
        <v>57</v>
      </c>
      <c r="E3050" s="3">
        <v>-582.317</v>
      </c>
      <c r="F3050" s="4" t="str">
        <f>HYPERLINK("http://141.218.60.56/~jnz1568/getInfo.php?workbook=10_05.xlsx&amp;sheet=A0&amp;row=3050&amp;col=6&amp;number=106000&amp;sourceID=14","106000")</f>
        <v>106000</v>
      </c>
      <c r="G3050" s="4" t="str">
        <f>HYPERLINK("http://141.218.60.56/~jnz1568/getInfo.php?workbook=10_05.xlsx&amp;sheet=A0&amp;row=3050&amp;col=7&amp;number=0&amp;sourceID=14","0")</f>
        <v>0</v>
      </c>
    </row>
    <row r="3051" spans="1:7">
      <c r="A3051" s="3">
        <v>10</v>
      </c>
      <c r="B3051" s="3">
        <v>5</v>
      </c>
      <c r="C3051" s="3">
        <v>140</v>
      </c>
      <c r="D3051" s="3">
        <v>57</v>
      </c>
      <c r="E3051" s="3">
        <v>-565.695</v>
      </c>
      <c r="F3051" s="4" t="str">
        <f>HYPERLINK("http://141.218.60.56/~jnz1568/getInfo.php?workbook=10_05.xlsx&amp;sheet=A0&amp;row=3051&amp;col=6&amp;number=1280000000&amp;sourceID=14","1280000000")</f>
        <v>1280000000</v>
      </c>
      <c r="G3051" s="4" t="str">
        <f>HYPERLINK("http://141.218.60.56/~jnz1568/getInfo.php?workbook=10_05.xlsx&amp;sheet=A0&amp;row=3051&amp;col=7&amp;number=0&amp;sourceID=14","0")</f>
        <v>0</v>
      </c>
    </row>
    <row r="3052" spans="1:7">
      <c r="A3052" s="3">
        <v>10</v>
      </c>
      <c r="B3052" s="3">
        <v>5</v>
      </c>
      <c r="C3052" s="3">
        <v>150</v>
      </c>
      <c r="D3052" s="3">
        <v>57</v>
      </c>
      <c r="E3052" s="3">
        <v>-544.334</v>
      </c>
      <c r="F3052" s="4" t="str">
        <f>HYPERLINK("http://141.218.60.56/~jnz1568/getInfo.php?workbook=10_05.xlsx&amp;sheet=A0&amp;row=3052&amp;col=6&amp;number=64900000&amp;sourceID=14","64900000")</f>
        <v>64900000</v>
      </c>
      <c r="G3052" s="4" t="str">
        <f>HYPERLINK("http://141.218.60.56/~jnz1568/getInfo.php?workbook=10_05.xlsx&amp;sheet=A0&amp;row=3052&amp;col=7&amp;number=0&amp;sourceID=14","0")</f>
        <v>0</v>
      </c>
    </row>
    <row r="3053" spans="1:7">
      <c r="A3053" s="3">
        <v>10</v>
      </c>
      <c r="B3053" s="3">
        <v>5</v>
      </c>
      <c r="C3053" s="3">
        <v>156</v>
      </c>
      <c r="D3053" s="3">
        <v>57</v>
      </c>
      <c r="E3053" s="3">
        <v>-532.394</v>
      </c>
      <c r="F3053" s="4" t="str">
        <f>HYPERLINK("http://141.218.60.56/~jnz1568/getInfo.php?workbook=10_05.xlsx&amp;sheet=A0&amp;row=3053&amp;col=6&amp;number=948000000&amp;sourceID=14","948000000")</f>
        <v>948000000</v>
      </c>
      <c r="G3053" s="4" t="str">
        <f>HYPERLINK("http://141.218.60.56/~jnz1568/getInfo.php?workbook=10_05.xlsx&amp;sheet=A0&amp;row=3053&amp;col=7&amp;number=0&amp;sourceID=14","0")</f>
        <v>0</v>
      </c>
    </row>
    <row r="3054" spans="1:7">
      <c r="A3054" s="3">
        <v>10</v>
      </c>
      <c r="B3054" s="3">
        <v>5</v>
      </c>
      <c r="C3054" s="3">
        <v>160</v>
      </c>
      <c r="D3054" s="3">
        <v>57</v>
      </c>
      <c r="E3054" s="3">
        <v>-528.33</v>
      </c>
      <c r="F3054" s="4" t="str">
        <f>HYPERLINK("http://141.218.60.56/~jnz1568/getInfo.php?workbook=10_05.xlsx&amp;sheet=A0&amp;row=3054&amp;col=6&amp;number=97000000&amp;sourceID=14","97000000")</f>
        <v>97000000</v>
      </c>
      <c r="G3054" s="4" t="str">
        <f>HYPERLINK("http://141.218.60.56/~jnz1568/getInfo.php?workbook=10_05.xlsx&amp;sheet=A0&amp;row=3054&amp;col=7&amp;number=0&amp;sourceID=14","0")</f>
        <v>0</v>
      </c>
    </row>
    <row r="3055" spans="1:7">
      <c r="A3055" s="3">
        <v>10</v>
      </c>
      <c r="B3055" s="3">
        <v>5</v>
      </c>
      <c r="C3055" s="3">
        <v>161</v>
      </c>
      <c r="D3055" s="3">
        <v>57</v>
      </c>
      <c r="E3055" s="3">
        <v>527.455</v>
      </c>
      <c r="F3055" s="4" t="str">
        <f>HYPERLINK("http://141.218.60.56/~jnz1568/getInfo.php?workbook=10_05.xlsx&amp;sheet=A0&amp;row=3055&amp;col=6&amp;number=8880000&amp;sourceID=14","8880000")</f>
        <v>8880000</v>
      </c>
      <c r="G3055" s="4" t="str">
        <f>HYPERLINK("http://141.218.60.56/~jnz1568/getInfo.php?workbook=10_05.xlsx&amp;sheet=A0&amp;row=3055&amp;col=7&amp;number=0&amp;sourceID=14","0")</f>
        <v>0</v>
      </c>
    </row>
    <row r="3056" spans="1:7">
      <c r="A3056" s="3">
        <v>10</v>
      </c>
      <c r="B3056" s="3">
        <v>5</v>
      </c>
      <c r="C3056" s="3">
        <v>162</v>
      </c>
      <c r="D3056" s="3">
        <v>57</v>
      </c>
      <c r="E3056" s="3">
        <v>526.622</v>
      </c>
      <c r="F3056" s="4" t="str">
        <f>HYPERLINK("http://141.218.60.56/~jnz1568/getInfo.php?workbook=10_05.xlsx&amp;sheet=A0&amp;row=3056&amp;col=6&amp;number=3920000&amp;sourceID=14","3920000")</f>
        <v>3920000</v>
      </c>
      <c r="G3056" s="4" t="str">
        <f>HYPERLINK("http://141.218.60.56/~jnz1568/getInfo.php?workbook=10_05.xlsx&amp;sheet=A0&amp;row=3056&amp;col=7&amp;number=0&amp;sourceID=14","0")</f>
        <v>0</v>
      </c>
    </row>
    <row r="3057" spans="1:7">
      <c r="A3057" s="3">
        <v>10</v>
      </c>
      <c r="B3057" s="3">
        <v>5</v>
      </c>
      <c r="C3057" s="3">
        <v>163</v>
      </c>
      <c r="D3057" s="3">
        <v>57</v>
      </c>
      <c r="E3057" s="3">
        <v>-491.541</v>
      </c>
      <c r="F3057" s="4" t="str">
        <f>HYPERLINK("http://141.218.60.56/~jnz1568/getInfo.php?workbook=10_05.xlsx&amp;sheet=A0&amp;row=3057&amp;col=6&amp;number=51500000&amp;sourceID=14","51500000")</f>
        <v>51500000</v>
      </c>
      <c r="G3057" s="4" t="str">
        <f>HYPERLINK("http://141.218.60.56/~jnz1568/getInfo.php?workbook=10_05.xlsx&amp;sheet=A0&amp;row=3057&amp;col=7&amp;number=0&amp;sourceID=14","0")</f>
        <v>0</v>
      </c>
    </row>
    <row r="3058" spans="1:7">
      <c r="A3058" s="3">
        <v>10</v>
      </c>
      <c r="B3058" s="3">
        <v>5</v>
      </c>
      <c r="C3058" s="3">
        <v>169</v>
      </c>
      <c r="D3058" s="3">
        <v>57</v>
      </c>
      <c r="E3058" s="3">
        <v>-370.153</v>
      </c>
      <c r="F3058" s="4" t="str">
        <f>HYPERLINK("http://141.218.60.56/~jnz1568/getInfo.php?workbook=10_05.xlsx&amp;sheet=A0&amp;row=3058&amp;col=6&amp;number=381000000&amp;sourceID=14","381000000")</f>
        <v>381000000</v>
      </c>
      <c r="G3058" s="4" t="str">
        <f>HYPERLINK("http://141.218.60.56/~jnz1568/getInfo.php?workbook=10_05.xlsx&amp;sheet=A0&amp;row=3058&amp;col=7&amp;number=0&amp;sourceID=14","0")</f>
        <v>0</v>
      </c>
    </row>
    <row r="3059" spans="1:7">
      <c r="A3059" s="3">
        <v>10</v>
      </c>
      <c r="B3059" s="3">
        <v>5</v>
      </c>
      <c r="C3059" s="3">
        <v>170</v>
      </c>
      <c r="D3059" s="3">
        <v>57</v>
      </c>
      <c r="E3059" s="3">
        <v>-357.744</v>
      </c>
      <c r="F3059" s="4" t="str">
        <f>HYPERLINK("http://141.218.60.56/~jnz1568/getInfo.php?workbook=10_05.xlsx&amp;sheet=A0&amp;row=3059&amp;col=6&amp;number=349000000&amp;sourceID=14","349000000")</f>
        <v>349000000</v>
      </c>
      <c r="G3059" s="4" t="str">
        <f>HYPERLINK("http://141.218.60.56/~jnz1568/getInfo.php?workbook=10_05.xlsx&amp;sheet=A0&amp;row=3059&amp;col=7&amp;number=0&amp;sourceID=14","0")</f>
        <v>0</v>
      </c>
    </row>
    <row r="3060" spans="1:7">
      <c r="A3060" s="3">
        <v>10</v>
      </c>
      <c r="B3060" s="3">
        <v>5</v>
      </c>
      <c r="C3060" s="3">
        <v>171</v>
      </c>
      <c r="D3060" s="3">
        <v>57</v>
      </c>
      <c r="E3060" s="3">
        <v>-357.622</v>
      </c>
      <c r="F3060" s="4" t="str">
        <f>HYPERLINK("http://141.218.60.56/~jnz1568/getInfo.php?workbook=10_05.xlsx&amp;sheet=A0&amp;row=3060&amp;col=6&amp;number=83300000&amp;sourceID=14","83300000")</f>
        <v>83300000</v>
      </c>
      <c r="G3060" s="4" t="str">
        <f>HYPERLINK("http://141.218.60.56/~jnz1568/getInfo.php?workbook=10_05.xlsx&amp;sheet=A0&amp;row=3060&amp;col=7&amp;number=0&amp;sourceID=14","0")</f>
        <v>0</v>
      </c>
    </row>
    <row r="3061" spans="1:7">
      <c r="A3061" s="3">
        <v>10</v>
      </c>
      <c r="B3061" s="3">
        <v>5</v>
      </c>
      <c r="C3061" s="3">
        <v>172</v>
      </c>
      <c r="D3061" s="3">
        <v>57</v>
      </c>
      <c r="E3061" s="3">
        <v>-355.146</v>
      </c>
      <c r="F3061" s="4" t="str">
        <f>HYPERLINK("http://141.218.60.56/~jnz1568/getInfo.php?workbook=10_05.xlsx&amp;sheet=A0&amp;row=3061&amp;col=6&amp;number=231000000&amp;sourceID=14","231000000")</f>
        <v>231000000</v>
      </c>
      <c r="G3061" s="4" t="str">
        <f>HYPERLINK("http://141.218.60.56/~jnz1568/getInfo.php?workbook=10_05.xlsx&amp;sheet=A0&amp;row=3061&amp;col=7&amp;number=0&amp;sourceID=14","0")</f>
        <v>0</v>
      </c>
    </row>
    <row r="3062" spans="1:7">
      <c r="A3062" s="3">
        <v>10</v>
      </c>
      <c r="B3062" s="3">
        <v>5</v>
      </c>
      <c r="C3062" s="3">
        <v>174</v>
      </c>
      <c r="D3062" s="3">
        <v>57</v>
      </c>
      <c r="E3062" s="3">
        <v>-352.476</v>
      </c>
      <c r="F3062" s="4" t="str">
        <f>HYPERLINK("http://141.218.60.56/~jnz1568/getInfo.php?workbook=10_05.xlsx&amp;sheet=A0&amp;row=3062&amp;col=6&amp;number=157000000&amp;sourceID=14","157000000")</f>
        <v>157000000</v>
      </c>
      <c r="G3062" s="4" t="str">
        <f>HYPERLINK("http://141.218.60.56/~jnz1568/getInfo.php?workbook=10_05.xlsx&amp;sheet=A0&amp;row=3062&amp;col=7&amp;number=0&amp;sourceID=14","0")</f>
        <v>0</v>
      </c>
    </row>
    <row r="3063" spans="1:7">
      <c r="A3063" s="3">
        <v>10</v>
      </c>
      <c r="B3063" s="3">
        <v>5</v>
      </c>
      <c r="C3063" s="3">
        <v>64</v>
      </c>
      <c r="D3063" s="3">
        <v>58</v>
      </c>
      <c r="E3063" s="3">
        <v>-4445.44</v>
      </c>
      <c r="F3063" s="4" t="str">
        <f>HYPERLINK("http://141.218.60.56/~jnz1568/getInfo.php?workbook=10_05.xlsx&amp;sheet=A0&amp;row=3063&amp;col=6&amp;number=75900000&amp;sourceID=14","75900000")</f>
        <v>75900000</v>
      </c>
      <c r="G3063" s="4" t="str">
        <f>HYPERLINK("http://141.218.60.56/~jnz1568/getInfo.php?workbook=10_05.xlsx&amp;sheet=A0&amp;row=3063&amp;col=7&amp;number=0&amp;sourceID=14","0")</f>
        <v>0</v>
      </c>
    </row>
    <row r="3064" spans="1:7">
      <c r="A3064" s="3">
        <v>10</v>
      </c>
      <c r="B3064" s="3">
        <v>5</v>
      </c>
      <c r="C3064" s="3">
        <v>65</v>
      </c>
      <c r="D3064" s="3">
        <v>58</v>
      </c>
      <c r="E3064" s="3">
        <v>-4421.657</v>
      </c>
      <c r="F3064" s="4" t="str">
        <f>HYPERLINK("http://141.218.60.56/~jnz1568/getInfo.php?workbook=10_05.xlsx&amp;sheet=A0&amp;row=3064&amp;col=6&amp;number=77100000&amp;sourceID=14","77100000")</f>
        <v>77100000</v>
      </c>
      <c r="G3064" s="4" t="str">
        <f>HYPERLINK("http://141.218.60.56/~jnz1568/getInfo.php?workbook=10_05.xlsx&amp;sheet=A0&amp;row=3064&amp;col=7&amp;number=0&amp;sourceID=14","0")</f>
        <v>0</v>
      </c>
    </row>
    <row r="3065" spans="1:7">
      <c r="A3065" s="3">
        <v>10</v>
      </c>
      <c r="B3065" s="3">
        <v>5</v>
      </c>
      <c r="C3065" s="3">
        <v>73</v>
      </c>
      <c r="D3065" s="3">
        <v>58</v>
      </c>
      <c r="E3065" s="3">
        <v>2122.695</v>
      </c>
      <c r="F3065" s="4" t="str">
        <f>HYPERLINK("http://141.218.60.56/~jnz1568/getInfo.php?workbook=10_05.xlsx&amp;sheet=A0&amp;row=3065&amp;col=6&amp;number=1160&amp;sourceID=14","1160")</f>
        <v>1160</v>
      </c>
      <c r="G3065" s="4" t="str">
        <f>HYPERLINK("http://141.218.60.56/~jnz1568/getInfo.php?workbook=10_05.xlsx&amp;sheet=A0&amp;row=3065&amp;col=7&amp;number=0&amp;sourceID=14","0")</f>
        <v>0</v>
      </c>
    </row>
    <row r="3066" spans="1:7">
      <c r="A3066" s="3">
        <v>10</v>
      </c>
      <c r="B3066" s="3">
        <v>5</v>
      </c>
      <c r="C3066" s="3">
        <v>75</v>
      </c>
      <c r="D3066" s="3">
        <v>58</v>
      </c>
      <c r="E3066" s="3">
        <v>2027.168</v>
      </c>
      <c r="F3066" s="4" t="str">
        <f>HYPERLINK("http://141.218.60.56/~jnz1568/getInfo.php?workbook=10_05.xlsx&amp;sheet=A0&amp;row=3066&amp;col=6&amp;number=439000&amp;sourceID=14","439000")</f>
        <v>439000</v>
      </c>
      <c r="G3066" s="4" t="str">
        <f>HYPERLINK("http://141.218.60.56/~jnz1568/getInfo.php?workbook=10_05.xlsx&amp;sheet=A0&amp;row=3066&amp;col=7&amp;number=0&amp;sourceID=14","0")</f>
        <v>0</v>
      </c>
    </row>
    <row r="3067" spans="1:7">
      <c r="A3067" s="3">
        <v>10</v>
      </c>
      <c r="B3067" s="3">
        <v>5</v>
      </c>
      <c r="C3067" s="3">
        <v>76</v>
      </c>
      <c r="D3067" s="3">
        <v>58</v>
      </c>
      <c r="E3067" s="3">
        <v>2027.168</v>
      </c>
      <c r="F3067" s="4" t="str">
        <f>HYPERLINK("http://141.218.60.56/~jnz1568/getInfo.php?workbook=10_05.xlsx&amp;sheet=A0&amp;row=3067&amp;col=6&amp;number=400000&amp;sourceID=14","400000")</f>
        <v>400000</v>
      </c>
      <c r="G3067" s="4" t="str">
        <f>HYPERLINK("http://141.218.60.56/~jnz1568/getInfo.php?workbook=10_05.xlsx&amp;sheet=A0&amp;row=3067&amp;col=7&amp;number=0&amp;sourceID=14","0")</f>
        <v>0</v>
      </c>
    </row>
    <row r="3068" spans="1:7">
      <c r="A3068" s="3">
        <v>10</v>
      </c>
      <c r="B3068" s="3">
        <v>5</v>
      </c>
      <c r="C3068" s="3">
        <v>79</v>
      </c>
      <c r="D3068" s="3">
        <v>58</v>
      </c>
      <c r="E3068" s="3">
        <v>-1389.335</v>
      </c>
      <c r="F3068" s="4" t="str">
        <f>HYPERLINK("http://141.218.60.56/~jnz1568/getInfo.php?workbook=10_05.xlsx&amp;sheet=A0&amp;row=3068&amp;col=6&amp;number=18700&amp;sourceID=14","18700")</f>
        <v>18700</v>
      </c>
      <c r="G3068" s="4" t="str">
        <f>HYPERLINK("http://141.218.60.56/~jnz1568/getInfo.php?workbook=10_05.xlsx&amp;sheet=A0&amp;row=3068&amp;col=7&amp;number=0&amp;sourceID=14","0")</f>
        <v>0</v>
      </c>
    </row>
    <row r="3069" spans="1:7">
      <c r="A3069" s="3">
        <v>10</v>
      </c>
      <c r="B3069" s="3">
        <v>5</v>
      </c>
      <c r="C3069" s="3">
        <v>82</v>
      </c>
      <c r="D3069" s="3">
        <v>58</v>
      </c>
      <c r="E3069" s="3">
        <v>1265.024</v>
      </c>
      <c r="F3069" s="4" t="str">
        <f>HYPERLINK("http://141.218.60.56/~jnz1568/getInfo.php?workbook=10_05.xlsx&amp;sheet=A0&amp;row=3069&amp;col=6&amp;number=5420&amp;sourceID=14","5420")</f>
        <v>5420</v>
      </c>
      <c r="G3069" s="4" t="str">
        <f>HYPERLINK("http://141.218.60.56/~jnz1568/getInfo.php?workbook=10_05.xlsx&amp;sheet=A0&amp;row=3069&amp;col=7&amp;number=0&amp;sourceID=14","0")</f>
        <v>0</v>
      </c>
    </row>
    <row r="3070" spans="1:7">
      <c r="A3070" s="3">
        <v>10</v>
      </c>
      <c r="B3070" s="3">
        <v>5</v>
      </c>
      <c r="C3070" s="3">
        <v>83</v>
      </c>
      <c r="D3070" s="3">
        <v>58</v>
      </c>
      <c r="E3070" s="3">
        <v>1265.024</v>
      </c>
      <c r="F3070" s="4" t="str">
        <f>HYPERLINK("http://141.218.60.56/~jnz1568/getInfo.php?workbook=10_05.xlsx&amp;sheet=A0&amp;row=3070&amp;col=6&amp;number=2860&amp;sourceID=14","2860")</f>
        <v>2860</v>
      </c>
      <c r="G3070" s="4" t="str">
        <f>HYPERLINK("http://141.218.60.56/~jnz1568/getInfo.php?workbook=10_05.xlsx&amp;sheet=A0&amp;row=3070&amp;col=7&amp;number=0&amp;sourceID=14","0")</f>
        <v>0</v>
      </c>
    </row>
    <row r="3071" spans="1:7">
      <c r="A3071" s="3">
        <v>10</v>
      </c>
      <c r="B3071" s="3">
        <v>5</v>
      </c>
      <c r="C3071" s="3">
        <v>88</v>
      </c>
      <c r="D3071" s="3">
        <v>58</v>
      </c>
      <c r="E3071" s="3">
        <v>1216.547</v>
      </c>
      <c r="F3071" s="4" t="str">
        <f>HYPERLINK("http://141.218.60.56/~jnz1568/getInfo.php?workbook=10_05.xlsx&amp;sheet=A0&amp;row=3071&amp;col=6&amp;number=2090&amp;sourceID=14","2090")</f>
        <v>2090</v>
      </c>
      <c r="G3071" s="4" t="str">
        <f>HYPERLINK("http://141.218.60.56/~jnz1568/getInfo.php?workbook=10_05.xlsx&amp;sheet=A0&amp;row=3071&amp;col=7&amp;number=0&amp;sourceID=14","0")</f>
        <v>0</v>
      </c>
    </row>
    <row r="3072" spans="1:7">
      <c r="A3072" s="3">
        <v>10</v>
      </c>
      <c r="B3072" s="3">
        <v>5</v>
      </c>
      <c r="C3072" s="3">
        <v>89</v>
      </c>
      <c r="D3072" s="3">
        <v>58</v>
      </c>
      <c r="E3072" s="3">
        <v>1211.096</v>
      </c>
      <c r="F3072" s="4" t="str">
        <f>HYPERLINK("http://141.218.60.56/~jnz1568/getInfo.php?workbook=10_05.xlsx&amp;sheet=A0&amp;row=3072&amp;col=6&amp;number=4970&amp;sourceID=14","4970")</f>
        <v>4970</v>
      </c>
      <c r="G3072" s="4" t="str">
        <f>HYPERLINK("http://141.218.60.56/~jnz1568/getInfo.php?workbook=10_05.xlsx&amp;sheet=A0&amp;row=3072&amp;col=7&amp;number=0&amp;sourceID=14","0")</f>
        <v>0</v>
      </c>
    </row>
    <row r="3073" spans="1:7">
      <c r="A3073" s="3">
        <v>10</v>
      </c>
      <c r="B3073" s="3">
        <v>5</v>
      </c>
      <c r="C3073" s="3">
        <v>91</v>
      </c>
      <c r="D3073" s="3">
        <v>58</v>
      </c>
      <c r="E3073" s="3">
        <v>-1098.71</v>
      </c>
      <c r="F3073" s="4" t="str">
        <f>HYPERLINK("http://141.218.60.56/~jnz1568/getInfo.php?workbook=10_05.xlsx&amp;sheet=A0&amp;row=3073&amp;col=6&amp;number=5420&amp;sourceID=14","5420")</f>
        <v>5420</v>
      </c>
      <c r="G3073" s="4" t="str">
        <f>HYPERLINK("http://141.218.60.56/~jnz1568/getInfo.php?workbook=10_05.xlsx&amp;sheet=A0&amp;row=3073&amp;col=7&amp;number=0&amp;sourceID=14","0")</f>
        <v>0</v>
      </c>
    </row>
    <row r="3074" spans="1:7">
      <c r="A3074" s="3">
        <v>10</v>
      </c>
      <c r="B3074" s="3">
        <v>5</v>
      </c>
      <c r="C3074" s="3">
        <v>93</v>
      </c>
      <c r="D3074" s="3">
        <v>58</v>
      </c>
      <c r="E3074" s="3">
        <v>-1003.937</v>
      </c>
      <c r="F3074" s="4" t="str">
        <f>HYPERLINK("http://141.218.60.56/~jnz1568/getInfo.php?workbook=10_05.xlsx&amp;sheet=A0&amp;row=3074&amp;col=6&amp;number=20300000&amp;sourceID=14","20300000")</f>
        <v>20300000</v>
      </c>
      <c r="G3074" s="4" t="str">
        <f>HYPERLINK("http://141.218.60.56/~jnz1568/getInfo.php?workbook=10_05.xlsx&amp;sheet=A0&amp;row=3074&amp;col=7&amp;number=0&amp;sourceID=14","0")</f>
        <v>0</v>
      </c>
    </row>
    <row r="3075" spans="1:7">
      <c r="A3075" s="3">
        <v>10</v>
      </c>
      <c r="B3075" s="3">
        <v>5</v>
      </c>
      <c r="C3075" s="3">
        <v>94</v>
      </c>
      <c r="D3075" s="3">
        <v>58</v>
      </c>
      <c r="E3075" s="3">
        <v>-1002.388</v>
      </c>
      <c r="F3075" s="4" t="str">
        <f>HYPERLINK("http://141.218.60.56/~jnz1568/getInfo.php?workbook=10_05.xlsx&amp;sheet=A0&amp;row=3075&amp;col=6&amp;number=22100000&amp;sourceID=14","22100000")</f>
        <v>22100000</v>
      </c>
      <c r="G3075" s="4" t="str">
        <f>HYPERLINK("http://141.218.60.56/~jnz1568/getInfo.php?workbook=10_05.xlsx&amp;sheet=A0&amp;row=3075&amp;col=7&amp;number=0&amp;sourceID=14","0")</f>
        <v>0</v>
      </c>
    </row>
    <row r="3076" spans="1:7">
      <c r="A3076" s="3">
        <v>10</v>
      </c>
      <c r="B3076" s="3">
        <v>5</v>
      </c>
      <c r="C3076" s="3">
        <v>95</v>
      </c>
      <c r="D3076" s="3">
        <v>58</v>
      </c>
      <c r="E3076" s="3">
        <v>999.602</v>
      </c>
      <c r="F3076" s="4" t="str">
        <f>HYPERLINK("http://141.218.60.56/~jnz1568/getInfo.php?workbook=10_05.xlsx&amp;sheet=A0&amp;row=3076&amp;col=6&amp;number=25000&amp;sourceID=14","25000")</f>
        <v>25000</v>
      </c>
      <c r="G3076" s="4" t="str">
        <f>HYPERLINK("http://141.218.60.56/~jnz1568/getInfo.php?workbook=10_05.xlsx&amp;sheet=A0&amp;row=3076&amp;col=7&amp;number=0&amp;sourceID=14","0")</f>
        <v>0</v>
      </c>
    </row>
    <row r="3077" spans="1:7">
      <c r="A3077" s="3">
        <v>10</v>
      </c>
      <c r="B3077" s="3">
        <v>5</v>
      </c>
      <c r="C3077" s="3">
        <v>98</v>
      </c>
      <c r="D3077" s="3">
        <v>58</v>
      </c>
      <c r="E3077" s="3">
        <v>-858.761</v>
      </c>
      <c r="F3077" s="4" t="str">
        <f>HYPERLINK("http://141.218.60.56/~jnz1568/getInfo.php?workbook=10_05.xlsx&amp;sheet=A0&amp;row=3077&amp;col=6&amp;number=4530&amp;sourceID=14","4530")</f>
        <v>4530</v>
      </c>
      <c r="G3077" s="4" t="str">
        <f>HYPERLINK("http://141.218.60.56/~jnz1568/getInfo.php?workbook=10_05.xlsx&amp;sheet=A0&amp;row=3077&amp;col=7&amp;number=0&amp;sourceID=14","0")</f>
        <v>0</v>
      </c>
    </row>
    <row r="3078" spans="1:7">
      <c r="A3078" s="3">
        <v>10</v>
      </c>
      <c r="B3078" s="3">
        <v>5</v>
      </c>
      <c r="C3078" s="3">
        <v>101</v>
      </c>
      <c r="D3078" s="3">
        <v>58</v>
      </c>
      <c r="E3078" s="3">
        <v>-855.609</v>
      </c>
      <c r="F3078" s="4" t="str">
        <f>HYPERLINK("http://141.218.60.56/~jnz1568/getInfo.php?workbook=10_05.xlsx&amp;sheet=A0&amp;row=3078&amp;col=6&amp;number=11800&amp;sourceID=14","11800")</f>
        <v>11800</v>
      </c>
      <c r="G3078" s="4" t="str">
        <f>HYPERLINK("http://141.218.60.56/~jnz1568/getInfo.php?workbook=10_05.xlsx&amp;sheet=A0&amp;row=3078&amp;col=7&amp;number=0&amp;sourceID=14","0")</f>
        <v>0</v>
      </c>
    </row>
    <row r="3079" spans="1:7">
      <c r="A3079" s="3">
        <v>10</v>
      </c>
      <c r="B3079" s="3">
        <v>5</v>
      </c>
      <c r="C3079" s="3">
        <v>110</v>
      </c>
      <c r="D3079" s="3">
        <v>58</v>
      </c>
      <c r="E3079" s="3">
        <v>-806.941</v>
      </c>
      <c r="F3079" s="4" t="str">
        <f>HYPERLINK("http://141.218.60.56/~jnz1568/getInfo.php?workbook=10_05.xlsx&amp;sheet=A0&amp;row=3079&amp;col=6&amp;number=2500&amp;sourceID=14","2500")</f>
        <v>2500</v>
      </c>
      <c r="G3079" s="4" t="str">
        <f>HYPERLINK("http://141.218.60.56/~jnz1568/getInfo.php?workbook=10_05.xlsx&amp;sheet=A0&amp;row=3079&amp;col=7&amp;number=0&amp;sourceID=14","0")</f>
        <v>0</v>
      </c>
    </row>
    <row r="3080" spans="1:7">
      <c r="A3080" s="3">
        <v>10</v>
      </c>
      <c r="B3080" s="3">
        <v>5</v>
      </c>
      <c r="C3080" s="3">
        <v>112</v>
      </c>
      <c r="D3080" s="3">
        <v>58</v>
      </c>
      <c r="E3080" s="3">
        <v>-802.692</v>
      </c>
      <c r="F3080" s="4" t="str">
        <f>HYPERLINK("http://141.218.60.56/~jnz1568/getInfo.php?workbook=10_05.xlsx&amp;sheet=A0&amp;row=3080&amp;col=6&amp;number=338&amp;sourceID=14","338")</f>
        <v>338</v>
      </c>
      <c r="G3080" s="4" t="str">
        <f>HYPERLINK("http://141.218.60.56/~jnz1568/getInfo.php?workbook=10_05.xlsx&amp;sheet=A0&amp;row=3080&amp;col=7&amp;number=0&amp;sourceID=14","0")</f>
        <v>0</v>
      </c>
    </row>
    <row r="3081" spans="1:7">
      <c r="A3081" s="3">
        <v>10</v>
      </c>
      <c r="B3081" s="3">
        <v>5</v>
      </c>
      <c r="C3081" s="3">
        <v>114</v>
      </c>
      <c r="D3081" s="3">
        <v>58</v>
      </c>
      <c r="E3081" s="3">
        <v>797.704</v>
      </c>
      <c r="F3081" s="4" t="str">
        <f>HYPERLINK("http://141.218.60.56/~jnz1568/getInfo.php?workbook=10_05.xlsx&amp;sheet=A0&amp;row=3081&amp;col=6&amp;number=293000&amp;sourceID=14","293000")</f>
        <v>293000</v>
      </c>
      <c r="G3081" s="4" t="str">
        <f>HYPERLINK("http://141.218.60.56/~jnz1568/getInfo.php?workbook=10_05.xlsx&amp;sheet=A0&amp;row=3081&amp;col=7&amp;number=0&amp;sourceID=14","0")</f>
        <v>0</v>
      </c>
    </row>
    <row r="3082" spans="1:7">
      <c r="A3082" s="3">
        <v>10</v>
      </c>
      <c r="B3082" s="3">
        <v>5</v>
      </c>
      <c r="C3082" s="3">
        <v>127</v>
      </c>
      <c r="D3082" s="3">
        <v>58</v>
      </c>
      <c r="E3082" s="3">
        <v>-724.839</v>
      </c>
      <c r="F3082" s="4" t="str">
        <f>HYPERLINK("http://141.218.60.56/~jnz1568/getInfo.php?workbook=10_05.xlsx&amp;sheet=A0&amp;row=3082&amp;col=6&amp;number=255000000&amp;sourceID=14","255000000")</f>
        <v>255000000</v>
      </c>
      <c r="G3082" s="4" t="str">
        <f>HYPERLINK("http://141.218.60.56/~jnz1568/getInfo.php?workbook=10_05.xlsx&amp;sheet=A0&amp;row=3082&amp;col=7&amp;number=0&amp;sourceID=14","0")</f>
        <v>0</v>
      </c>
    </row>
    <row r="3083" spans="1:7">
      <c r="A3083" s="3">
        <v>10</v>
      </c>
      <c r="B3083" s="3">
        <v>5</v>
      </c>
      <c r="C3083" s="3">
        <v>128</v>
      </c>
      <c r="D3083" s="3">
        <v>58</v>
      </c>
      <c r="E3083" s="3">
        <v>-722.487</v>
      </c>
      <c r="F3083" s="4" t="str">
        <f>HYPERLINK("http://141.218.60.56/~jnz1568/getInfo.php?workbook=10_05.xlsx&amp;sheet=A0&amp;row=3083&amp;col=6&amp;number=258000000&amp;sourceID=14","258000000")</f>
        <v>258000000</v>
      </c>
      <c r="G3083" s="4" t="str">
        <f>HYPERLINK("http://141.218.60.56/~jnz1568/getInfo.php?workbook=10_05.xlsx&amp;sheet=A0&amp;row=3083&amp;col=7&amp;number=0&amp;sourceID=14","0")</f>
        <v>0</v>
      </c>
    </row>
    <row r="3084" spans="1:7">
      <c r="A3084" s="3">
        <v>10</v>
      </c>
      <c r="B3084" s="3">
        <v>5</v>
      </c>
      <c r="C3084" s="3">
        <v>134</v>
      </c>
      <c r="D3084" s="3">
        <v>58</v>
      </c>
      <c r="E3084" s="3">
        <v>-699.845</v>
      </c>
      <c r="F3084" s="4" t="str">
        <f>HYPERLINK("http://141.218.60.56/~jnz1568/getInfo.php?workbook=10_05.xlsx&amp;sheet=A0&amp;row=3084&amp;col=6&amp;number=1.75&amp;sourceID=14","1.75")</f>
        <v>1.75</v>
      </c>
      <c r="G3084" s="4" t="str">
        <f>HYPERLINK("http://141.218.60.56/~jnz1568/getInfo.php?workbook=10_05.xlsx&amp;sheet=A0&amp;row=3084&amp;col=7&amp;number=0&amp;sourceID=14","0")</f>
        <v>0</v>
      </c>
    </row>
    <row r="3085" spans="1:7">
      <c r="A3085" s="3">
        <v>10</v>
      </c>
      <c r="B3085" s="3">
        <v>5</v>
      </c>
      <c r="C3085" s="3">
        <v>141</v>
      </c>
      <c r="D3085" s="3">
        <v>58</v>
      </c>
      <c r="E3085" s="3">
        <v>-677.526</v>
      </c>
      <c r="F3085" s="4" t="str">
        <f>HYPERLINK("http://141.218.60.56/~jnz1568/getInfo.php?workbook=10_05.xlsx&amp;sheet=A0&amp;row=3085&amp;col=6&amp;number=87200&amp;sourceID=14","87200")</f>
        <v>87200</v>
      </c>
      <c r="G3085" s="4" t="str">
        <f>HYPERLINK("http://141.218.60.56/~jnz1568/getInfo.php?workbook=10_05.xlsx&amp;sheet=A0&amp;row=3085&amp;col=7&amp;number=0&amp;sourceID=14","0")</f>
        <v>0</v>
      </c>
    </row>
    <row r="3086" spans="1:7">
      <c r="A3086" s="3">
        <v>10</v>
      </c>
      <c r="B3086" s="3">
        <v>5</v>
      </c>
      <c r="C3086" s="3">
        <v>142</v>
      </c>
      <c r="D3086" s="3">
        <v>58</v>
      </c>
      <c r="E3086" s="3">
        <v>677.279</v>
      </c>
      <c r="F3086" s="4" t="str">
        <f>HYPERLINK("http://141.218.60.56/~jnz1568/getInfo.php?workbook=10_05.xlsx&amp;sheet=A0&amp;row=3086&amp;col=6&amp;number=107000&amp;sourceID=14","107000")</f>
        <v>107000</v>
      </c>
      <c r="G3086" s="4" t="str">
        <f>HYPERLINK("http://141.218.60.56/~jnz1568/getInfo.php?workbook=10_05.xlsx&amp;sheet=A0&amp;row=3086&amp;col=7&amp;number=0&amp;sourceID=14","0")</f>
        <v>0</v>
      </c>
    </row>
    <row r="3087" spans="1:7">
      <c r="A3087" s="3">
        <v>10</v>
      </c>
      <c r="B3087" s="3">
        <v>5</v>
      </c>
      <c r="C3087" s="3">
        <v>145</v>
      </c>
      <c r="D3087" s="3">
        <v>58</v>
      </c>
      <c r="E3087" s="3">
        <v>671.097</v>
      </c>
      <c r="F3087" s="4" t="str">
        <f>HYPERLINK("http://141.218.60.56/~jnz1568/getInfo.php?workbook=10_05.xlsx&amp;sheet=A0&amp;row=3087&amp;col=6&amp;number=113000&amp;sourceID=14","113000")</f>
        <v>113000</v>
      </c>
      <c r="G3087" s="4" t="str">
        <f>HYPERLINK("http://141.218.60.56/~jnz1568/getInfo.php?workbook=10_05.xlsx&amp;sheet=A0&amp;row=3087&amp;col=7&amp;number=0&amp;sourceID=14","0")</f>
        <v>0</v>
      </c>
    </row>
    <row r="3088" spans="1:7">
      <c r="A3088" s="3">
        <v>10</v>
      </c>
      <c r="B3088" s="3">
        <v>5</v>
      </c>
      <c r="C3088" s="3">
        <v>148</v>
      </c>
      <c r="D3088" s="3">
        <v>58</v>
      </c>
      <c r="E3088" s="3">
        <v>668.004</v>
      </c>
      <c r="F3088" s="4" t="str">
        <f>HYPERLINK("http://141.218.60.56/~jnz1568/getInfo.php?workbook=10_05.xlsx&amp;sheet=A0&amp;row=3088&amp;col=6&amp;number=4060&amp;sourceID=14","4060")</f>
        <v>4060</v>
      </c>
      <c r="G3088" s="4" t="str">
        <f>HYPERLINK("http://141.218.60.56/~jnz1568/getInfo.php?workbook=10_05.xlsx&amp;sheet=A0&amp;row=3088&amp;col=7&amp;number=0&amp;sourceID=14","0")</f>
        <v>0</v>
      </c>
    </row>
    <row r="3089" spans="1:7">
      <c r="A3089" s="3">
        <v>10</v>
      </c>
      <c r="B3089" s="3">
        <v>5</v>
      </c>
      <c r="C3089" s="3">
        <v>149</v>
      </c>
      <c r="D3089" s="3">
        <v>58</v>
      </c>
      <c r="E3089" s="3">
        <v>667.558</v>
      </c>
      <c r="F3089" s="4" t="str">
        <f>HYPERLINK("http://141.218.60.56/~jnz1568/getInfo.php?workbook=10_05.xlsx&amp;sheet=A0&amp;row=3089&amp;col=6&amp;number=4890&amp;sourceID=14","4890")</f>
        <v>4890</v>
      </c>
      <c r="G3089" s="4" t="str">
        <f>HYPERLINK("http://141.218.60.56/~jnz1568/getInfo.php?workbook=10_05.xlsx&amp;sheet=A0&amp;row=3089&amp;col=7&amp;number=0&amp;sourceID=14","0")</f>
        <v>0</v>
      </c>
    </row>
    <row r="3090" spans="1:7">
      <c r="A3090" s="3">
        <v>10</v>
      </c>
      <c r="B3090" s="3">
        <v>5</v>
      </c>
      <c r="C3090" s="3">
        <v>158</v>
      </c>
      <c r="D3090" s="3">
        <v>58</v>
      </c>
      <c r="E3090" s="3">
        <v>-633.928</v>
      </c>
      <c r="F3090" s="4" t="str">
        <f>HYPERLINK("http://141.218.60.56/~jnz1568/getInfo.php?workbook=10_05.xlsx&amp;sheet=A0&amp;row=3090&amp;col=6&amp;number=27100000&amp;sourceID=14","27100000")</f>
        <v>27100000</v>
      </c>
      <c r="G3090" s="4" t="str">
        <f>HYPERLINK("http://141.218.60.56/~jnz1568/getInfo.php?workbook=10_05.xlsx&amp;sheet=A0&amp;row=3090&amp;col=7&amp;number=0&amp;sourceID=14","0")</f>
        <v>0</v>
      </c>
    </row>
    <row r="3091" spans="1:7">
      <c r="A3091" s="3">
        <v>10</v>
      </c>
      <c r="B3091" s="3">
        <v>5</v>
      </c>
      <c r="C3091" s="3">
        <v>159</v>
      </c>
      <c r="D3091" s="3">
        <v>58</v>
      </c>
      <c r="E3091" s="3">
        <v>-632.212</v>
      </c>
      <c r="F3091" s="4" t="str">
        <f>HYPERLINK("http://141.218.60.56/~jnz1568/getInfo.php?workbook=10_05.xlsx&amp;sheet=A0&amp;row=3091&amp;col=6&amp;number=25800000&amp;sourceID=14","25800000")</f>
        <v>25800000</v>
      </c>
      <c r="G3091" s="4" t="str">
        <f>HYPERLINK("http://141.218.60.56/~jnz1568/getInfo.php?workbook=10_05.xlsx&amp;sheet=A0&amp;row=3091&amp;col=7&amp;number=0&amp;sourceID=14","0")</f>
        <v>0</v>
      </c>
    </row>
    <row r="3092" spans="1:7">
      <c r="A3092" s="3">
        <v>10</v>
      </c>
      <c r="B3092" s="3">
        <v>5</v>
      </c>
      <c r="C3092" s="3">
        <v>164</v>
      </c>
      <c r="D3092" s="3">
        <v>58</v>
      </c>
      <c r="E3092" s="3">
        <v>-489.475</v>
      </c>
      <c r="F3092" s="4" t="str">
        <f>HYPERLINK("http://141.218.60.56/~jnz1568/getInfo.php?workbook=10_05.xlsx&amp;sheet=A0&amp;row=3092&amp;col=6&amp;number=680000000&amp;sourceID=14","680000000")</f>
        <v>680000000</v>
      </c>
      <c r="G3092" s="4" t="str">
        <f>HYPERLINK("http://141.218.60.56/~jnz1568/getInfo.php?workbook=10_05.xlsx&amp;sheet=A0&amp;row=3092&amp;col=7&amp;number=0&amp;sourceID=14","0")</f>
        <v>0</v>
      </c>
    </row>
    <row r="3093" spans="1:7">
      <c r="A3093" s="3">
        <v>10</v>
      </c>
      <c r="B3093" s="3">
        <v>5</v>
      </c>
      <c r="C3093" s="3">
        <v>165</v>
      </c>
      <c r="D3093" s="3">
        <v>58</v>
      </c>
      <c r="E3093" s="3">
        <v>-489.147</v>
      </c>
      <c r="F3093" s="4" t="str">
        <f>HYPERLINK("http://141.218.60.56/~jnz1568/getInfo.php?workbook=10_05.xlsx&amp;sheet=A0&amp;row=3093&amp;col=6&amp;number=679000000&amp;sourceID=14","679000000")</f>
        <v>679000000</v>
      </c>
      <c r="G3093" s="4" t="str">
        <f>HYPERLINK("http://141.218.60.56/~jnz1568/getInfo.php?workbook=10_05.xlsx&amp;sheet=A0&amp;row=3093&amp;col=7&amp;number=0&amp;sourceID=14","0")</f>
        <v>0</v>
      </c>
    </row>
    <row r="3094" spans="1:7">
      <c r="A3094" s="3">
        <v>10</v>
      </c>
      <c r="B3094" s="3">
        <v>5</v>
      </c>
      <c r="C3094" s="3">
        <v>166</v>
      </c>
      <c r="D3094" s="3">
        <v>58</v>
      </c>
      <c r="E3094" s="3">
        <v>-431.933</v>
      </c>
      <c r="F3094" s="4" t="str">
        <f>HYPERLINK("http://141.218.60.56/~jnz1568/getInfo.php?workbook=10_05.xlsx&amp;sheet=A0&amp;row=3094&amp;col=6&amp;number=4880000000&amp;sourceID=14","4880000000")</f>
        <v>4880000000</v>
      </c>
      <c r="G3094" s="4" t="str">
        <f>HYPERLINK("http://141.218.60.56/~jnz1568/getInfo.php?workbook=10_05.xlsx&amp;sheet=A0&amp;row=3094&amp;col=7&amp;number=0&amp;sourceID=14","0")</f>
        <v>0</v>
      </c>
    </row>
    <row r="3095" spans="1:7">
      <c r="A3095" s="3">
        <v>10</v>
      </c>
      <c r="B3095" s="3">
        <v>5</v>
      </c>
      <c r="C3095" s="3">
        <v>167</v>
      </c>
      <c r="D3095" s="3">
        <v>58</v>
      </c>
      <c r="E3095" s="3">
        <v>-431.854</v>
      </c>
      <c r="F3095" s="4" t="str">
        <f>HYPERLINK("http://141.218.60.56/~jnz1568/getInfo.php?workbook=10_05.xlsx&amp;sheet=A0&amp;row=3095&amp;col=6&amp;number=4900000000&amp;sourceID=14","4900000000")</f>
        <v>4900000000</v>
      </c>
      <c r="G3095" s="4" t="str">
        <f>HYPERLINK("http://141.218.60.56/~jnz1568/getInfo.php?workbook=10_05.xlsx&amp;sheet=A0&amp;row=3095&amp;col=7&amp;number=0&amp;sourceID=14","0")</f>
        <v>0</v>
      </c>
    </row>
    <row r="3096" spans="1:7">
      <c r="A3096" s="3">
        <v>10</v>
      </c>
      <c r="B3096" s="3">
        <v>5</v>
      </c>
      <c r="C3096" s="3">
        <v>177</v>
      </c>
      <c r="D3096" s="3">
        <v>58</v>
      </c>
      <c r="E3096" s="3">
        <v>-378.893</v>
      </c>
      <c r="F3096" s="4" t="str">
        <f>HYPERLINK("http://141.218.60.56/~jnz1568/getInfo.php?workbook=10_05.xlsx&amp;sheet=A0&amp;row=3096&amp;col=6&amp;number=29100&amp;sourceID=14","29100")</f>
        <v>29100</v>
      </c>
      <c r="G3096" s="4" t="str">
        <f>HYPERLINK("http://141.218.60.56/~jnz1568/getInfo.php?workbook=10_05.xlsx&amp;sheet=A0&amp;row=3096&amp;col=7&amp;number=0&amp;sourceID=14","0")</f>
        <v>0</v>
      </c>
    </row>
    <row r="3097" spans="1:7">
      <c r="A3097" s="3">
        <v>10</v>
      </c>
      <c r="B3097" s="3">
        <v>5</v>
      </c>
      <c r="C3097" s="3">
        <v>179</v>
      </c>
      <c r="D3097" s="3">
        <v>58</v>
      </c>
      <c r="E3097" s="3">
        <v>-373.104</v>
      </c>
      <c r="F3097" s="4" t="str">
        <f>HYPERLINK("http://141.218.60.56/~jnz1568/getInfo.php?workbook=10_05.xlsx&amp;sheet=A0&amp;row=3097&amp;col=6&amp;number=931000000&amp;sourceID=14","931000000")</f>
        <v>931000000</v>
      </c>
      <c r="G3097" s="4" t="str">
        <f>HYPERLINK("http://141.218.60.56/~jnz1568/getInfo.php?workbook=10_05.xlsx&amp;sheet=A0&amp;row=3097&amp;col=7&amp;number=0&amp;sourceID=14","0")</f>
        <v>0</v>
      </c>
    </row>
    <row r="3098" spans="1:7">
      <c r="A3098" s="3">
        <v>10</v>
      </c>
      <c r="B3098" s="3">
        <v>5</v>
      </c>
      <c r="C3098" s="3">
        <v>180</v>
      </c>
      <c r="D3098" s="3">
        <v>58</v>
      </c>
      <c r="E3098" s="3">
        <v>-373.053</v>
      </c>
      <c r="F3098" s="4" t="str">
        <f>HYPERLINK("http://141.218.60.56/~jnz1568/getInfo.php?workbook=10_05.xlsx&amp;sheet=A0&amp;row=3098&amp;col=6&amp;number=920000000&amp;sourceID=14","920000000")</f>
        <v>920000000</v>
      </c>
      <c r="G3098" s="4" t="str">
        <f>HYPERLINK("http://141.218.60.56/~jnz1568/getInfo.php?workbook=10_05.xlsx&amp;sheet=A0&amp;row=3098&amp;col=7&amp;number=0&amp;sourceID=14","0")</f>
        <v>0</v>
      </c>
    </row>
    <row r="3099" spans="1:7">
      <c r="A3099" s="3">
        <v>10</v>
      </c>
      <c r="B3099" s="3">
        <v>5</v>
      </c>
      <c r="C3099" s="3">
        <v>64</v>
      </c>
      <c r="D3099" s="3">
        <v>59</v>
      </c>
      <c r="E3099" s="3">
        <v>-5128.478</v>
      </c>
      <c r="F3099" s="4" t="str">
        <f>HYPERLINK("http://141.218.60.56/~jnz1568/getInfo.php?workbook=10_05.xlsx&amp;sheet=A0&amp;row=3099&amp;col=6&amp;number=851&amp;sourceID=14","851")</f>
        <v>851</v>
      </c>
      <c r="G3099" s="4" t="str">
        <f>HYPERLINK("http://141.218.60.56/~jnz1568/getInfo.php?workbook=10_05.xlsx&amp;sheet=A0&amp;row=3099&amp;col=7&amp;number=0&amp;sourceID=14","0")</f>
        <v>0</v>
      </c>
    </row>
    <row r="3100" spans="1:7">
      <c r="A3100" s="3">
        <v>10</v>
      </c>
      <c r="B3100" s="3">
        <v>5</v>
      </c>
      <c r="C3100" s="3">
        <v>65</v>
      </c>
      <c r="D3100" s="3">
        <v>59</v>
      </c>
      <c r="E3100" s="3">
        <v>-5096.849</v>
      </c>
      <c r="F3100" s="4" t="str">
        <f>HYPERLINK("http://141.218.60.56/~jnz1568/getInfo.php?workbook=10_05.xlsx&amp;sheet=A0&amp;row=3100&amp;col=6&amp;number=17900&amp;sourceID=14","17900")</f>
        <v>17900</v>
      </c>
      <c r="G3100" s="4" t="str">
        <f>HYPERLINK("http://141.218.60.56/~jnz1568/getInfo.php?workbook=10_05.xlsx&amp;sheet=A0&amp;row=3100&amp;col=7&amp;number=0&amp;sourceID=14","0")</f>
        <v>0</v>
      </c>
    </row>
    <row r="3101" spans="1:7">
      <c r="A3101" s="3">
        <v>10</v>
      </c>
      <c r="B3101" s="3">
        <v>5</v>
      </c>
      <c r="C3101" s="3">
        <v>68</v>
      </c>
      <c r="D3101" s="3">
        <v>59</v>
      </c>
      <c r="E3101" s="3">
        <v>2777.783</v>
      </c>
      <c r="F3101" s="4" t="str">
        <f>HYPERLINK("http://141.218.60.56/~jnz1568/getInfo.php?workbook=10_05.xlsx&amp;sheet=A0&amp;row=3101&amp;col=6&amp;number=41600000&amp;sourceID=14","41600000")</f>
        <v>41600000</v>
      </c>
      <c r="G3101" s="4" t="str">
        <f>HYPERLINK("http://141.218.60.56/~jnz1568/getInfo.php?workbook=10_05.xlsx&amp;sheet=A0&amp;row=3101&amp;col=7&amp;number=0&amp;sourceID=14","0")</f>
        <v>0</v>
      </c>
    </row>
    <row r="3102" spans="1:7">
      <c r="A3102" s="3">
        <v>10</v>
      </c>
      <c r="B3102" s="3">
        <v>5</v>
      </c>
      <c r="C3102" s="3">
        <v>73</v>
      </c>
      <c r="D3102" s="3">
        <v>59</v>
      </c>
      <c r="E3102" s="3">
        <v>2267.064</v>
      </c>
      <c r="F3102" s="4" t="str">
        <f>HYPERLINK("http://141.218.60.56/~jnz1568/getInfo.php?workbook=10_05.xlsx&amp;sheet=A0&amp;row=3102&amp;col=6&amp;number=45400000&amp;sourceID=14","45400000")</f>
        <v>45400000</v>
      </c>
      <c r="G3102" s="4" t="str">
        <f>HYPERLINK("http://141.218.60.56/~jnz1568/getInfo.php?workbook=10_05.xlsx&amp;sheet=A0&amp;row=3102&amp;col=7&amp;number=0&amp;sourceID=14","0")</f>
        <v>0</v>
      </c>
    </row>
    <row r="3103" spans="1:7">
      <c r="A3103" s="3">
        <v>10</v>
      </c>
      <c r="B3103" s="3">
        <v>5</v>
      </c>
      <c r="C3103" s="3">
        <v>74</v>
      </c>
      <c r="D3103" s="3">
        <v>59</v>
      </c>
      <c r="E3103" s="3">
        <v>2260.913</v>
      </c>
      <c r="F3103" s="4" t="str">
        <f>HYPERLINK("http://141.218.60.56/~jnz1568/getInfo.php?workbook=10_05.xlsx&amp;sheet=A0&amp;row=3103&amp;col=6&amp;number=594000&amp;sourceID=14","594000")</f>
        <v>594000</v>
      </c>
      <c r="G3103" s="4" t="str">
        <f>HYPERLINK("http://141.218.60.56/~jnz1568/getInfo.php?workbook=10_05.xlsx&amp;sheet=A0&amp;row=3103&amp;col=7&amp;number=0&amp;sourceID=14","0")</f>
        <v>0</v>
      </c>
    </row>
    <row r="3104" spans="1:7">
      <c r="A3104" s="3">
        <v>10</v>
      </c>
      <c r="B3104" s="3">
        <v>5</v>
      </c>
      <c r="C3104" s="3">
        <v>75</v>
      </c>
      <c r="D3104" s="3">
        <v>59</v>
      </c>
      <c r="E3104" s="3">
        <v>2158.433</v>
      </c>
      <c r="F3104" s="4" t="str">
        <f>HYPERLINK("http://141.218.60.56/~jnz1568/getInfo.php?workbook=10_05.xlsx&amp;sheet=A0&amp;row=3104&amp;col=6&amp;number=8060000&amp;sourceID=14","8060000")</f>
        <v>8060000</v>
      </c>
      <c r="G3104" s="4" t="str">
        <f>HYPERLINK("http://141.218.60.56/~jnz1568/getInfo.php?workbook=10_05.xlsx&amp;sheet=A0&amp;row=3104&amp;col=7&amp;number=0&amp;sourceID=14","0")</f>
        <v>0</v>
      </c>
    </row>
    <row r="3105" spans="1:7">
      <c r="A3105" s="3">
        <v>10</v>
      </c>
      <c r="B3105" s="3">
        <v>5</v>
      </c>
      <c r="C3105" s="3">
        <v>76</v>
      </c>
      <c r="D3105" s="3">
        <v>59</v>
      </c>
      <c r="E3105" s="3">
        <v>2158.433</v>
      </c>
      <c r="F3105" s="4" t="str">
        <f>HYPERLINK("http://141.218.60.56/~jnz1568/getInfo.php?workbook=10_05.xlsx&amp;sheet=A0&amp;row=3105&amp;col=6&amp;number=872000&amp;sourceID=14","872000")</f>
        <v>872000</v>
      </c>
      <c r="G3105" s="4" t="str">
        <f>HYPERLINK("http://141.218.60.56/~jnz1568/getInfo.php?workbook=10_05.xlsx&amp;sheet=A0&amp;row=3105&amp;col=7&amp;number=0&amp;sourceID=14","0")</f>
        <v>0</v>
      </c>
    </row>
    <row r="3106" spans="1:7">
      <c r="A3106" s="3">
        <v>10</v>
      </c>
      <c r="B3106" s="3">
        <v>5</v>
      </c>
      <c r="C3106" s="3">
        <v>79</v>
      </c>
      <c r="D3106" s="3">
        <v>59</v>
      </c>
      <c r="E3106" s="3">
        <v>-1449.677</v>
      </c>
      <c r="F3106" s="4" t="str">
        <f>HYPERLINK("http://141.218.60.56/~jnz1568/getInfo.php?workbook=10_05.xlsx&amp;sheet=A0&amp;row=3106&amp;col=6&amp;number=5090000&amp;sourceID=14","5090000")</f>
        <v>5090000</v>
      </c>
      <c r="G3106" s="4" t="str">
        <f>HYPERLINK("http://141.218.60.56/~jnz1568/getInfo.php?workbook=10_05.xlsx&amp;sheet=A0&amp;row=3106&amp;col=7&amp;number=0&amp;sourceID=14","0")</f>
        <v>0</v>
      </c>
    </row>
    <row r="3107" spans="1:7">
      <c r="A3107" s="3">
        <v>10</v>
      </c>
      <c r="B3107" s="3">
        <v>5</v>
      </c>
      <c r="C3107" s="3">
        <v>82</v>
      </c>
      <c r="D3107" s="3">
        <v>59</v>
      </c>
      <c r="E3107" s="3">
        <v>1314.927</v>
      </c>
      <c r="F3107" s="4" t="str">
        <f>HYPERLINK("http://141.218.60.56/~jnz1568/getInfo.php?workbook=10_05.xlsx&amp;sheet=A0&amp;row=3107&amp;col=6&amp;number=68200&amp;sourceID=14","68200")</f>
        <v>68200</v>
      </c>
      <c r="G3107" s="4" t="str">
        <f>HYPERLINK("http://141.218.60.56/~jnz1568/getInfo.php?workbook=10_05.xlsx&amp;sheet=A0&amp;row=3107&amp;col=7&amp;number=0&amp;sourceID=14","0")</f>
        <v>0</v>
      </c>
    </row>
    <row r="3108" spans="1:7">
      <c r="A3108" s="3">
        <v>10</v>
      </c>
      <c r="B3108" s="3">
        <v>5</v>
      </c>
      <c r="C3108" s="3">
        <v>83</v>
      </c>
      <c r="D3108" s="3">
        <v>59</v>
      </c>
      <c r="E3108" s="3">
        <v>1314.927</v>
      </c>
      <c r="F3108" s="4" t="str">
        <f>HYPERLINK("http://141.218.60.56/~jnz1568/getInfo.php?workbook=10_05.xlsx&amp;sheet=A0&amp;row=3108&amp;col=6&amp;number=9520&amp;sourceID=14","9520")</f>
        <v>9520</v>
      </c>
      <c r="G3108" s="4" t="str">
        <f>HYPERLINK("http://141.218.60.56/~jnz1568/getInfo.php?workbook=10_05.xlsx&amp;sheet=A0&amp;row=3108&amp;col=7&amp;number=0&amp;sourceID=14","0")</f>
        <v>0</v>
      </c>
    </row>
    <row r="3109" spans="1:7">
      <c r="A3109" s="3">
        <v>10</v>
      </c>
      <c r="B3109" s="3">
        <v>5</v>
      </c>
      <c r="C3109" s="3">
        <v>84</v>
      </c>
      <c r="D3109" s="3">
        <v>59</v>
      </c>
      <c r="E3109" s="3">
        <v>1314.927</v>
      </c>
      <c r="F3109" s="4" t="str">
        <f>HYPERLINK("http://141.218.60.56/~jnz1568/getInfo.php?workbook=10_05.xlsx&amp;sheet=A0&amp;row=3109&amp;col=6&amp;number=483000&amp;sourceID=14","483000")</f>
        <v>483000</v>
      </c>
      <c r="G3109" s="4" t="str">
        <f>HYPERLINK("http://141.218.60.56/~jnz1568/getInfo.php?workbook=10_05.xlsx&amp;sheet=A0&amp;row=3109&amp;col=7&amp;number=0&amp;sourceID=14","0")</f>
        <v>0</v>
      </c>
    </row>
    <row r="3110" spans="1:7">
      <c r="A3110" s="3">
        <v>10</v>
      </c>
      <c r="B3110" s="3">
        <v>5</v>
      </c>
      <c r="C3110" s="3">
        <v>86</v>
      </c>
      <c r="D3110" s="3">
        <v>59</v>
      </c>
      <c r="E3110" s="3">
        <v>-1299.379</v>
      </c>
      <c r="F3110" s="4" t="str">
        <f>HYPERLINK("http://141.218.60.56/~jnz1568/getInfo.php?workbook=10_05.xlsx&amp;sheet=A0&amp;row=3110&amp;col=6&amp;number=204000000&amp;sourceID=14","204000000")</f>
        <v>204000000</v>
      </c>
      <c r="G3110" s="4" t="str">
        <f>HYPERLINK("http://141.218.60.56/~jnz1568/getInfo.php?workbook=10_05.xlsx&amp;sheet=A0&amp;row=3110&amp;col=7&amp;number=0&amp;sourceID=14","0")</f>
        <v>0</v>
      </c>
    </row>
    <row r="3111" spans="1:7">
      <c r="A3111" s="3">
        <v>10</v>
      </c>
      <c r="B3111" s="3">
        <v>5</v>
      </c>
      <c r="C3111" s="3">
        <v>88</v>
      </c>
      <c r="D3111" s="3">
        <v>59</v>
      </c>
      <c r="E3111" s="3">
        <v>1262.629</v>
      </c>
      <c r="F3111" s="4" t="str">
        <f>HYPERLINK("http://141.218.60.56/~jnz1568/getInfo.php?workbook=10_05.xlsx&amp;sheet=A0&amp;row=3111&amp;col=6&amp;number=617&amp;sourceID=14","617")</f>
        <v>617</v>
      </c>
      <c r="G3111" s="4" t="str">
        <f>HYPERLINK("http://141.218.60.56/~jnz1568/getInfo.php?workbook=10_05.xlsx&amp;sheet=A0&amp;row=3111&amp;col=7&amp;number=0&amp;sourceID=14","0")</f>
        <v>0</v>
      </c>
    </row>
    <row r="3112" spans="1:7">
      <c r="A3112" s="3">
        <v>10</v>
      </c>
      <c r="B3112" s="3">
        <v>5</v>
      </c>
      <c r="C3112" s="3">
        <v>89</v>
      </c>
      <c r="D3112" s="3">
        <v>59</v>
      </c>
      <c r="E3112" s="3">
        <v>1256.757</v>
      </c>
      <c r="F3112" s="4" t="str">
        <f>HYPERLINK("http://141.218.60.56/~jnz1568/getInfo.php?workbook=10_05.xlsx&amp;sheet=A0&amp;row=3112&amp;col=6&amp;number=17900&amp;sourceID=14","17900")</f>
        <v>17900</v>
      </c>
      <c r="G3112" s="4" t="str">
        <f>HYPERLINK("http://141.218.60.56/~jnz1568/getInfo.php?workbook=10_05.xlsx&amp;sheet=A0&amp;row=3112&amp;col=7&amp;number=0&amp;sourceID=14","0")</f>
        <v>0</v>
      </c>
    </row>
    <row r="3113" spans="1:7">
      <c r="A3113" s="3">
        <v>10</v>
      </c>
      <c r="B3113" s="3">
        <v>5</v>
      </c>
      <c r="C3113" s="3">
        <v>90</v>
      </c>
      <c r="D3113" s="3">
        <v>59</v>
      </c>
      <c r="E3113" s="3">
        <v>1247.819</v>
      </c>
      <c r="F3113" s="4" t="str">
        <f>HYPERLINK("http://141.218.60.56/~jnz1568/getInfo.php?workbook=10_05.xlsx&amp;sheet=A0&amp;row=3113&amp;col=6&amp;number=192000&amp;sourceID=14","192000")</f>
        <v>192000</v>
      </c>
      <c r="G3113" s="4" t="str">
        <f>HYPERLINK("http://141.218.60.56/~jnz1568/getInfo.php?workbook=10_05.xlsx&amp;sheet=A0&amp;row=3113&amp;col=7&amp;number=0&amp;sourceID=14","0")</f>
        <v>0</v>
      </c>
    </row>
    <row r="3114" spans="1:7">
      <c r="A3114" s="3">
        <v>10</v>
      </c>
      <c r="B3114" s="3">
        <v>5</v>
      </c>
      <c r="C3114" s="3">
        <v>91</v>
      </c>
      <c r="D3114" s="3">
        <v>59</v>
      </c>
      <c r="E3114" s="3">
        <v>-1136.108</v>
      </c>
      <c r="F3114" s="4" t="str">
        <f>HYPERLINK("http://141.218.60.56/~jnz1568/getInfo.php?workbook=10_05.xlsx&amp;sheet=A0&amp;row=3114&amp;col=6&amp;number=1890000&amp;sourceID=14","1890000")</f>
        <v>1890000</v>
      </c>
      <c r="G3114" s="4" t="str">
        <f>HYPERLINK("http://141.218.60.56/~jnz1568/getInfo.php?workbook=10_05.xlsx&amp;sheet=A0&amp;row=3114&amp;col=7&amp;number=0&amp;sourceID=14","0")</f>
        <v>0</v>
      </c>
    </row>
    <row r="3115" spans="1:7">
      <c r="A3115" s="3">
        <v>10</v>
      </c>
      <c r="B3115" s="3">
        <v>5</v>
      </c>
      <c r="C3115" s="3">
        <v>92</v>
      </c>
      <c r="D3115" s="3">
        <v>59</v>
      </c>
      <c r="E3115" s="3">
        <v>-1125.444</v>
      </c>
      <c r="F3115" s="4" t="str">
        <f>HYPERLINK("http://141.218.60.56/~jnz1568/getInfo.php?workbook=10_05.xlsx&amp;sheet=A0&amp;row=3115&amp;col=6&amp;number=43600000&amp;sourceID=14","43600000")</f>
        <v>43600000</v>
      </c>
      <c r="G3115" s="4" t="str">
        <f>HYPERLINK("http://141.218.60.56/~jnz1568/getInfo.php?workbook=10_05.xlsx&amp;sheet=A0&amp;row=3115&amp;col=7&amp;number=0&amp;sourceID=14","0")</f>
        <v>0</v>
      </c>
    </row>
    <row r="3116" spans="1:7">
      <c r="A3116" s="3">
        <v>10</v>
      </c>
      <c r="B3116" s="3">
        <v>5</v>
      </c>
      <c r="C3116" s="3">
        <v>93</v>
      </c>
      <c r="D3116" s="3">
        <v>59</v>
      </c>
      <c r="E3116" s="3">
        <v>-1035.07</v>
      </c>
      <c r="F3116" s="4" t="str">
        <f>HYPERLINK("http://141.218.60.56/~jnz1568/getInfo.php?workbook=10_05.xlsx&amp;sheet=A0&amp;row=3116&amp;col=6&amp;number=472000&amp;sourceID=14","472000")</f>
        <v>472000</v>
      </c>
      <c r="G3116" s="4" t="str">
        <f>HYPERLINK("http://141.218.60.56/~jnz1568/getInfo.php?workbook=10_05.xlsx&amp;sheet=A0&amp;row=3116&amp;col=7&amp;number=0&amp;sourceID=14","0")</f>
        <v>0</v>
      </c>
    </row>
    <row r="3117" spans="1:7">
      <c r="A3117" s="3">
        <v>10</v>
      </c>
      <c r="B3117" s="3">
        <v>5</v>
      </c>
      <c r="C3117" s="3">
        <v>94</v>
      </c>
      <c r="D3117" s="3">
        <v>59</v>
      </c>
      <c r="E3117" s="3">
        <v>-1033.423</v>
      </c>
      <c r="F3117" s="4" t="str">
        <f>HYPERLINK("http://141.218.60.56/~jnz1568/getInfo.php?workbook=10_05.xlsx&amp;sheet=A0&amp;row=3117&amp;col=6&amp;number=27900000&amp;sourceID=14","27900000")</f>
        <v>27900000</v>
      </c>
      <c r="G3117" s="4" t="str">
        <f>HYPERLINK("http://141.218.60.56/~jnz1568/getInfo.php?workbook=10_05.xlsx&amp;sheet=A0&amp;row=3117&amp;col=7&amp;number=0&amp;sourceID=14","0")</f>
        <v>0</v>
      </c>
    </row>
    <row r="3118" spans="1:7">
      <c r="A3118" s="3">
        <v>10</v>
      </c>
      <c r="B3118" s="3">
        <v>5</v>
      </c>
      <c r="C3118" s="3">
        <v>95</v>
      </c>
      <c r="D3118" s="3">
        <v>59</v>
      </c>
      <c r="E3118" s="3">
        <v>1030.505</v>
      </c>
      <c r="F3118" s="4" t="str">
        <f>HYPERLINK("http://141.218.60.56/~jnz1568/getInfo.php?workbook=10_05.xlsx&amp;sheet=A0&amp;row=3118&amp;col=6&amp;number=1090&amp;sourceID=14","1090")</f>
        <v>1090</v>
      </c>
      <c r="G3118" s="4" t="str">
        <f>HYPERLINK("http://141.218.60.56/~jnz1568/getInfo.php?workbook=10_05.xlsx&amp;sheet=A0&amp;row=3118&amp;col=7&amp;number=0&amp;sourceID=14","0")</f>
        <v>0</v>
      </c>
    </row>
    <row r="3119" spans="1:7">
      <c r="A3119" s="3">
        <v>10</v>
      </c>
      <c r="B3119" s="3">
        <v>5</v>
      </c>
      <c r="C3119" s="3">
        <v>96</v>
      </c>
      <c r="D3119" s="3">
        <v>59</v>
      </c>
      <c r="E3119" s="3">
        <v>910.5</v>
      </c>
      <c r="F3119" s="4" t="str">
        <f>HYPERLINK("http://141.218.60.56/~jnz1568/getInfo.php?workbook=10_05.xlsx&amp;sheet=A0&amp;row=3119&amp;col=6&amp;number=702000000&amp;sourceID=14","702000000")</f>
        <v>702000000</v>
      </c>
      <c r="G3119" s="4" t="str">
        <f>HYPERLINK("http://141.218.60.56/~jnz1568/getInfo.php?workbook=10_05.xlsx&amp;sheet=A0&amp;row=3119&amp;col=7&amp;number=0&amp;sourceID=14","0")</f>
        <v>0</v>
      </c>
    </row>
    <row r="3120" spans="1:7">
      <c r="A3120" s="3">
        <v>10</v>
      </c>
      <c r="B3120" s="3">
        <v>5</v>
      </c>
      <c r="C3120" s="3">
        <v>98</v>
      </c>
      <c r="D3120" s="3">
        <v>59</v>
      </c>
      <c r="E3120" s="3">
        <v>-881.439</v>
      </c>
      <c r="F3120" s="4" t="str">
        <f>HYPERLINK("http://141.218.60.56/~jnz1568/getInfo.php?workbook=10_05.xlsx&amp;sheet=A0&amp;row=3120&amp;col=6&amp;number=111000&amp;sourceID=14","111000")</f>
        <v>111000</v>
      </c>
      <c r="G3120" s="4" t="str">
        <f>HYPERLINK("http://141.218.60.56/~jnz1568/getInfo.php?workbook=10_05.xlsx&amp;sheet=A0&amp;row=3120&amp;col=7&amp;number=0&amp;sourceID=14","0")</f>
        <v>0</v>
      </c>
    </row>
    <row r="3121" spans="1:7">
      <c r="A3121" s="3">
        <v>10</v>
      </c>
      <c r="B3121" s="3">
        <v>5</v>
      </c>
      <c r="C3121" s="3">
        <v>101</v>
      </c>
      <c r="D3121" s="3">
        <v>59</v>
      </c>
      <c r="E3121" s="3">
        <v>-878.119</v>
      </c>
      <c r="F3121" s="4" t="str">
        <f>HYPERLINK("http://141.218.60.56/~jnz1568/getInfo.php?workbook=10_05.xlsx&amp;sheet=A0&amp;row=3121&amp;col=6&amp;number=2460&amp;sourceID=14","2460")</f>
        <v>2460</v>
      </c>
      <c r="G3121" s="4" t="str">
        <f>HYPERLINK("http://141.218.60.56/~jnz1568/getInfo.php?workbook=10_05.xlsx&amp;sheet=A0&amp;row=3121&amp;col=7&amp;number=0&amp;sourceID=14","0")</f>
        <v>0</v>
      </c>
    </row>
    <row r="3122" spans="1:7">
      <c r="A3122" s="3">
        <v>10</v>
      </c>
      <c r="B3122" s="3">
        <v>5</v>
      </c>
      <c r="C3122" s="3">
        <v>103</v>
      </c>
      <c r="D3122" s="3">
        <v>59</v>
      </c>
      <c r="E3122" s="3">
        <v>-872.434</v>
      </c>
      <c r="F3122" s="4" t="str">
        <f>HYPERLINK("http://141.218.60.56/~jnz1568/getInfo.php?workbook=10_05.xlsx&amp;sheet=A0&amp;row=3122&amp;col=6&amp;number=23.6&amp;sourceID=14","23.6")</f>
        <v>23.6</v>
      </c>
      <c r="G3122" s="4" t="str">
        <f>HYPERLINK("http://141.218.60.56/~jnz1568/getInfo.php?workbook=10_05.xlsx&amp;sheet=A0&amp;row=3122&amp;col=7&amp;number=0&amp;sourceID=14","0")</f>
        <v>0</v>
      </c>
    </row>
    <row r="3123" spans="1:7">
      <c r="A3123" s="3">
        <v>10</v>
      </c>
      <c r="B3123" s="3">
        <v>5</v>
      </c>
      <c r="C3123" s="3">
        <v>110</v>
      </c>
      <c r="D3123" s="3">
        <v>59</v>
      </c>
      <c r="E3123" s="3">
        <v>-826.933</v>
      </c>
      <c r="F3123" s="4" t="str">
        <f>HYPERLINK("http://141.218.60.56/~jnz1568/getInfo.php?workbook=10_05.xlsx&amp;sheet=A0&amp;row=3123&amp;col=6&amp;number=173000000&amp;sourceID=14","173000000")</f>
        <v>173000000</v>
      </c>
      <c r="G3123" s="4" t="str">
        <f>HYPERLINK("http://141.218.60.56/~jnz1568/getInfo.php?workbook=10_05.xlsx&amp;sheet=A0&amp;row=3123&amp;col=7&amp;number=0&amp;sourceID=14","0")</f>
        <v>0</v>
      </c>
    </row>
    <row r="3124" spans="1:7">
      <c r="A3124" s="3">
        <v>10</v>
      </c>
      <c r="B3124" s="3">
        <v>5</v>
      </c>
      <c r="C3124" s="3">
        <v>112</v>
      </c>
      <c r="D3124" s="3">
        <v>59</v>
      </c>
      <c r="E3124" s="3">
        <v>-822.471</v>
      </c>
      <c r="F3124" s="4" t="str">
        <f>HYPERLINK("http://141.218.60.56/~jnz1568/getInfo.php?workbook=10_05.xlsx&amp;sheet=A0&amp;row=3124&amp;col=6&amp;number=23200&amp;sourceID=14","23200")</f>
        <v>23200</v>
      </c>
      <c r="G3124" s="4" t="str">
        <f>HYPERLINK("http://141.218.60.56/~jnz1568/getInfo.php?workbook=10_05.xlsx&amp;sheet=A0&amp;row=3124&amp;col=7&amp;number=0&amp;sourceID=14","0")</f>
        <v>0</v>
      </c>
    </row>
    <row r="3125" spans="1:7">
      <c r="A3125" s="3">
        <v>10</v>
      </c>
      <c r="B3125" s="3">
        <v>5</v>
      </c>
      <c r="C3125" s="3">
        <v>113</v>
      </c>
      <c r="D3125" s="3">
        <v>59</v>
      </c>
      <c r="E3125" s="3">
        <v>817.262</v>
      </c>
      <c r="F3125" s="4" t="str">
        <f>HYPERLINK("http://141.218.60.56/~jnz1568/getInfo.php?workbook=10_05.xlsx&amp;sheet=A0&amp;row=3125&amp;col=6&amp;number=101000000&amp;sourceID=14","101000000")</f>
        <v>101000000</v>
      </c>
      <c r="G3125" s="4" t="str">
        <f>HYPERLINK("http://141.218.60.56/~jnz1568/getInfo.php?workbook=10_05.xlsx&amp;sheet=A0&amp;row=3125&amp;col=7&amp;number=0&amp;sourceID=14","0")</f>
        <v>0</v>
      </c>
    </row>
    <row r="3126" spans="1:7">
      <c r="A3126" s="3">
        <v>10</v>
      </c>
      <c r="B3126" s="3">
        <v>5</v>
      </c>
      <c r="C3126" s="3">
        <v>114</v>
      </c>
      <c r="D3126" s="3">
        <v>59</v>
      </c>
      <c r="E3126" s="3">
        <v>817.262</v>
      </c>
      <c r="F3126" s="4" t="str">
        <f>HYPERLINK("http://141.218.60.56/~jnz1568/getInfo.php?workbook=10_05.xlsx&amp;sheet=A0&amp;row=3126&amp;col=6&amp;number=371000000&amp;sourceID=14","371000000")</f>
        <v>371000000</v>
      </c>
      <c r="G3126" s="4" t="str">
        <f>HYPERLINK("http://141.218.60.56/~jnz1568/getInfo.php?workbook=10_05.xlsx&amp;sheet=A0&amp;row=3126&amp;col=7&amp;number=0&amp;sourceID=14","0")</f>
        <v>0</v>
      </c>
    </row>
    <row r="3127" spans="1:7">
      <c r="A3127" s="3">
        <v>10</v>
      </c>
      <c r="B3127" s="3">
        <v>5</v>
      </c>
      <c r="C3127" s="3">
        <v>127</v>
      </c>
      <c r="D3127" s="3">
        <v>59</v>
      </c>
      <c r="E3127" s="3">
        <v>-740.929</v>
      </c>
      <c r="F3127" s="4" t="str">
        <f>HYPERLINK("http://141.218.60.56/~jnz1568/getInfo.php?workbook=10_05.xlsx&amp;sheet=A0&amp;row=3127&amp;col=6&amp;number=11000000&amp;sourceID=14","11000000")</f>
        <v>11000000</v>
      </c>
      <c r="G3127" s="4" t="str">
        <f>HYPERLINK("http://141.218.60.56/~jnz1568/getInfo.php?workbook=10_05.xlsx&amp;sheet=A0&amp;row=3127&amp;col=7&amp;number=0&amp;sourceID=14","0")</f>
        <v>0</v>
      </c>
    </row>
    <row r="3128" spans="1:7">
      <c r="A3128" s="3">
        <v>10</v>
      </c>
      <c r="B3128" s="3">
        <v>5</v>
      </c>
      <c r="C3128" s="3">
        <v>128</v>
      </c>
      <c r="D3128" s="3">
        <v>59</v>
      </c>
      <c r="E3128" s="3">
        <v>-738.472</v>
      </c>
      <c r="F3128" s="4" t="str">
        <f>HYPERLINK("http://141.218.60.56/~jnz1568/getInfo.php?workbook=10_05.xlsx&amp;sheet=A0&amp;row=3128&amp;col=6&amp;number=7410000&amp;sourceID=14","7410000")</f>
        <v>7410000</v>
      </c>
      <c r="G3128" s="4" t="str">
        <f>HYPERLINK("http://141.218.60.56/~jnz1568/getInfo.php?workbook=10_05.xlsx&amp;sheet=A0&amp;row=3128&amp;col=7&amp;number=0&amp;sourceID=14","0")</f>
        <v>0</v>
      </c>
    </row>
    <row r="3129" spans="1:7">
      <c r="A3129" s="3">
        <v>10</v>
      </c>
      <c r="B3129" s="3">
        <v>5</v>
      </c>
      <c r="C3129" s="3">
        <v>134</v>
      </c>
      <c r="D3129" s="3">
        <v>59</v>
      </c>
      <c r="E3129" s="3">
        <v>-714.833</v>
      </c>
      <c r="F3129" s="4" t="str">
        <f>HYPERLINK("http://141.218.60.56/~jnz1568/getInfo.php?workbook=10_05.xlsx&amp;sheet=A0&amp;row=3129&amp;col=6&amp;number=334000&amp;sourceID=14","334000")</f>
        <v>334000</v>
      </c>
      <c r="G3129" s="4" t="str">
        <f>HYPERLINK("http://141.218.60.56/~jnz1568/getInfo.php?workbook=10_05.xlsx&amp;sheet=A0&amp;row=3129&amp;col=7&amp;number=0&amp;sourceID=14","0")</f>
        <v>0</v>
      </c>
    </row>
    <row r="3130" spans="1:7">
      <c r="A3130" s="3">
        <v>10</v>
      </c>
      <c r="B3130" s="3">
        <v>5</v>
      </c>
      <c r="C3130" s="3">
        <v>135</v>
      </c>
      <c r="D3130" s="3">
        <v>59</v>
      </c>
      <c r="E3130" s="3">
        <v>-713.604</v>
      </c>
      <c r="F3130" s="4" t="str">
        <f>HYPERLINK("http://141.218.60.56/~jnz1568/getInfo.php?workbook=10_05.xlsx&amp;sheet=A0&amp;row=3130&amp;col=6&amp;number=28.5&amp;sourceID=14","28.5")</f>
        <v>28.5</v>
      </c>
      <c r="G3130" s="4" t="str">
        <f>HYPERLINK("http://141.218.60.56/~jnz1568/getInfo.php?workbook=10_05.xlsx&amp;sheet=A0&amp;row=3130&amp;col=7&amp;number=0&amp;sourceID=14","0")</f>
        <v>0</v>
      </c>
    </row>
    <row r="3131" spans="1:7">
      <c r="A3131" s="3">
        <v>10</v>
      </c>
      <c r="B3131" s="3">
        <v>5</v>
      </c>
      <c r="C3131" s="3">
        <v>141</v>
      </c>
      <c r="D3131" s="3">
        <v>59</v>
      </c>
      <c r="E3131" s="3">
        <v>-691.564</v>
      </c>
      <c r="F3131" s="4" t="str">
        <f>HYPERLINK("http://141.218.60.56/~jnz1568/getInfo.php?workbook=10_05.xlsx&amp;sheet=A0&amp;row=3131&amp;col=6&amp;number=41300&amp;sourceID=14","41300")</f>
        <v>41300</v>
      </c>
      <c r="G3131" s="4" t="str">
        <f>HYPERLINK("http://141.218.60.56/~jnz1568/getInfo.php?workbook=10_05.xlsx&amp;sheet=A0&amp;row=3131&amp;col=7&amp;number=0&amp;sourceID=14","0")</f>
        <v>0</v>
      </c>
    </row>
    <row r="3132" spans="1:7">
      <c r="A3132" s="3">
        <v>10</v>
      </c>
      <c r="B3132" s="3">
        <v>5</v>
      </c>
      <c r="C3132" s="3">
        <v>142</v>
      </c>
      <c r="D3132" s="3">
        <v>59</v>
      </c>
      <c r="E3132" s="3">
        <v>691.325</v>
      </c>
      <c r="F3132" s="4" t="str">
        <f>HYPERLINK("http://141.218.60.56/~jnz1568/getInfo.php?workbook=10_05.xlsx&amp;sheet=A0&amp;row=3132&amp;col=6&amp;number=343000&amp;sourceID=14","343000")</f>
        <v>343000</v>
      </c>
      <c r="G3132" s="4" t="str">
        <f>HYPERLINK("http://141.218.60.56/~jnz1568/getInfo.php?workbook=10_05.xlsx&amp;sheet=A0&amp;row=3132&amp;col=7&amp;number=0&amp;sourceID=14","0")</f>
        <v>0</v>
      </c>
    </row>
    <row r="3133" spans="1:7">
      <c r="A3133" s="3">
        <v>10</v>
      </c>
      <c r="B3133" s="3">
        <v>5</v>
      </c>
      <c r="C3133" s="3">
        <v>143</v>
      </c>
      <c r="D3133" s="3">
        <v>59</v>
      </c>
      <c r="E3133" s="3">
        <v>690.132</v>
      </c>
      <c r="F3133" s="4" t="str">
        <f>HYPERLINK("http://141.218.60.56/~jnz1568/getInfo.php?workbook=10_05.xlsx&amp;sheet=A0&amp;row=3133&amp;col=6&amp;number=92300&amp;sourceID=14","92300")</f>
        <v>92300</v>
      </c>
      <c r="G3133" s="4" t="str">
        <f>HYPERLINK("http://141.218.60.56/~jnz1568/getInfo.php?workbook=10_05.xlsx&amp;sheet=A0&amp;row=3133&amp;col=7&amp;number=0&amp;sourceID=14","0")</f>
        <v>0</v>
      </c>
    </row>
    <row r="3134" spans="1:7">
      <c r="A3134" s="3">
        <v>10</v>
      </c>
      <c r="B3134" s="3">
        <v>5</v>
      </c>
      <c r="C3134" s="3">
        <v>145</v>
      </c>
      <c r="D3134" s="3">
        <v>59</v>
      </c>
      <c r="E3134" s="3">
        <v>684.886</v>
      </c>
      <c r="F3134" s="4" t="str">
        <f>HYPERLINK("http://141.218.60.56/~jnz1568/getInfo.php?workbook=10_05.xlsx&amp;sheet=A0&amp;row=3134&amp;col=6&amp;number=108000000&amp;sourceID=14","108000000")</f>
        <v>108000000</v>
      </c>
      <c r="G3134" s="4" t="str">
        <f>HYPERLINK("http://141.218.60.56/~jnz1568/getInfo.php?workbook=10_05.xlsx&amp;sheet=A0&amp;row=3134&amp;col=7&amp;number=0&amp;sourceID=14","0")</f>
        <v>0</v>
      </c>
    </row>
    <row r="3135" spans="1:7">
      <c r="A3135" s="3">
        <v>10</v>
      </c>
      <c r="B3135" s="3">
        <v>5</v>
      </c>
      <c r="C3135" s="3">
        <v>146</v>
      </c>
      <c r="D3135" s="3">
        <v>59</v>
      </c>
      <c r="E3135" s="3">
        <v>684.886</v>
      </c>
      <c r="F3135" s="4" t="str">
        <f>HYPERLINK("http://141.218.60.56/~jnz1568/getInfo.php?workbook=10_05.xlsx&amp;sheet=A0&amp;row=3135&amp;col=6&amp;number=5970000&amp;sourceID=14","5970000")</f>
        <v>5970000</v>
      </c>
      <c r="G3135" s="4" t="str">
        <f>HYPERLINK("http://141.218.60.56/~jnz1568/getInfo.php?workbook=10_05.xlsx&amp;sheet=A0&amp;row=3135&amp;col=7&amp;number=0&amp;sourceID=14","0")</f>
        <v>0</v>
      </c>
    </row>
    <row r="3136" spans="1:7">
      <c r="A3136" s="3">
        <v>10</v>
      </c>
      <c r="B3136" s="3">
        <v>5</v>
      </c>
      <c r="C3136" s="3">
        <v>147</v>
      </c>
      <c r="D3136" s="3">
        <v>59</v>
      </c>
      <c r="E3136" s="3">
        <v>682.129</v>
      </c>
      <c r="F3136" s="4" t="str">
        <f>HYPERLINK("http://141.218.60.56/~jnz1568/getInfo.php?workbook=10_05.xlsx&amp;sheet=A0&amp;row=3136&amp;col=6&amp;number=610000&amp;sourceID=14","610000")</f>
        <v>610000</v>
      </c>
      <c r="G3136" s="4" t="str">
        <f>HYPERLINK("http://141.218.60.56/~jnz1568/getInfo.php?workbook=10_05.xlsx&amp;sheet=A0&amp;row=3136&amp;col=7&amp;number=0&amp;sourceID=14","0")</f>
        <v>0</v>
      </c>
    </row>
    <row r="3137" spans="1:7">
      <c r="A3137" s="3">
        <v>10</v>
      </c>
      <c r="B3137" s="3">
        <v>5</v>
      </c>
      <c r="C3137" s="3">
        <v>148</v>
      </c>
      <c r="D3137" s="3">
        <v>59</v>
      </c>
      <c r="E3137" s="3">
        <v>681.665</v>
      </c>
      <c r="F3137" s="4" t="str">
        <f>HYPERLINK("http://141.218.60.56/~jnz1568/getInfo.php?workbook=10_05.xlsx&amp;sheet=A0&amp;row=3137&amp;col=6&amp;number=50200000&amp;sourceID=14","50200000")</f>
        <v>50200000</v>
      </c>
      <c r="G3137" s="4" t="str">
        <f>HYPERLINK("http://141.218.60.56/~jnz1568/getInfo.php?workbook=10_05.xlsx&amp;sheet=A0&amp;row=3137&amp;col=7&amp;number=0&amp;sourceID=14","0")</f>
        <v>0</v>
      </c>
    </row>
    <row r="3138" spans="1:7">
      <c r="A3138" s="3">
        <v>10</v>
      </c>
      <c r="B3138" s="3">
        <v>5</v>
      </c>
      <c r="C3138" s="3">
        <v>149</v>
      </c>
      <c r="D3138" s="3">
        <v>59</v>
      </c>
      <c r="E3138" s="3">
        <v>681.2</v>
      </c>
      <c r="F3138" s="4" t="str">
        <f>HYPERLINK("http://141.218.60.56/~jnz1568/getInfo.php?workbook=10_05.xlsx&amp;sheet=A0&amp;row=3138&amp;col=6&amp;number=940&amp;sourceID=14","940")</f>
        <v>940</v>
      </c>
      <c r="G3138" s="4" t="str">
        <f>HYPERLINK("http://141.218.60.56/~jnz1568/getInfo.php?workbook=10_05.xlsx&amp;sheet=A0&amp;row=3138&amp;col=7&amp;number=0&amp;sourceID=14","0")</f>
        <v>0</v>
      </c>
    </row>
    <row r="3139" spans="1:7">
      <c r="A3139" s="3">
        <v>10</v>
      </c>
      <c r="B3139" s="3">
        <v>5</v>
      </c>
      <c r="C3139" s="3">
        <v>152</v>
      </c>
      <c r="D3139" s="3">
        <v>59</v>
      </c>
      <c r="E3139" s="3">
        <v>657.204</v>
      </c>
      <c r="F3139" s="4" t="str">
        <f>HYPERLINK("http://141.218.60.56/~jnz1568/getInfo.php?workbook=10_05.xlsx&amp;sheet=A0&amp;row=3139&amp;col=6&amp;number=52300000&amp;sourceID=14","52300000")</f>
        <v>52300000</v>
      </c>
      <c r="G3139" s="4" t="str">
        <f>HYPERLINK("http://141.218.60.56/~jnz1568/getInfo.php?workbook=10_05.xlsx&amp;sheet=A0&amp;row=3139&amp;col=7&amp;number=0&amp;sourceID=14","0")</f>
        <v>0</v>
      </c>
    </row>
    <row r="3140" spans="1:7">
      <c r="A3140" s="3">
        <v>10</v>
      </c>
      <c r="B3140" s="3">
        <v>5</v>
      </c>
      <c r="C3140" s="3">
        <v>158</v>
      </c>
      <c r="D3140" s="3">
        <v>59</v>
      </c>
      <c r="E3140" s="3">
        <v>-646.201</v>
      </c>
      <c r="F3140" s="4" t="str">
        <f>HYPERLINK("http://141.218.60.56/~jnz1568/getInfo.php?workbook=10_05.xlsx&amp;sheet=A0&amp;row=3140&amp;col=6&amp;number=6840000&amp;sourceID=14","6840000")</f>
        <v>6840000</v>
      </c>
      <c r="G3140" s="4" t="str">
        <f>HYPERLINK("http://141.218.60.56/~jnz1568/getInfo.php?workbook=10_05.xlsx&amp;sheet=A0&amp;row=3140&amp;col=7&amp;number=0&amp;sourceID=14","0")</f>
        <v>0</v>
      </c>
    </row>
    <row r="3141" spans="1:7">
      <c r="A3141" s="3">
        <v>10</v>
      </c>
      <c r="B3141" s="3">
        <v>5</v>
      </c>
      <c r="C3141" s="3">
        <v>159</v>
      </c>
      <c r="D3141" s="3">
        <v>59</v>
      </c>
      <c r="E3141" s="3">
        <v>-644.418</v>
      </c>
      <c r="F3141" s="4" t="str">
        <f>HYPERLINK("http://141.218.60.56/~jnz1568/getInfo.php?workbook=10_05.xlsx&amp;sheet=A0&amp;row=3141&amp;col=6&amp;number=34400000&amp;sourceID=14","34400000")</f>
        <v>34400000</v>
      </c>
      <c r="G3141" s="4" t="str">
        <f>HYPERLINK("http://141.218.60.56/~jnz1568/getInfo.php?workbook=10_05.xlsx&amp;sheet=A0&amp;row=3141&amp;col=7&amp;number=0&amp;sourceID=14","0")</f>
        <v>0</v>
      </c>
    </row>
    <row r="3142" spans="1:7">
      <c r="A3142" s="3">
        <v>10</v>
      </c>
      <c r="B3142" s="3">
        <v>5</v>
      </c>
      <c r="C3142" s="3">
        <v>164</v>
      </c>
      <c r="D3142" s="3">
        <v>59</v>
      </c>
      <c r="E3142" s="3">
        <v>-496.76</v>
      </c>
      <c r="F3142" s="4" t="str">
        <f>HYPERLINK("http://141.218.60.56/~jnz1568/getInfo.php?workbook=10_05.xlsx&amp;sheet=A0&amp;row=3142&amp;col=6&amp;number=7680000000&amp;sourceID=14","7680000000")</f>
        <v>7680000000</v>
      </c>
      <c r="G3142" s="4" t="str">
        <f>HYPERLINK("http://141.218.60.56/~jnz1568/getInfo.php?workbook=10_05.xlsx&amp;sheet=A0&amp;row=3142&amp;col=7&amp;number=0&amp;sourceID=14","0")</f>
        <v>0</v>
      </c>
    </row>
    <row r="3143" spans="1:7">
      <c r="A3143" s="3">
        <v>10</v>
      </c>
      <c r="B3143" s="3">
        <v>5</v>
      </c>
      <c r="C3143" s="3">
        <v>165</v>
      </c>
      <c r="D3143" s="3">
        <v>59</v>
      </c>
      <c r="E3143" s="3">
        <v>-496.422</v>
      </c>
      <c r="F3143" s="4" t="str">
        <f>HYPERLINK("http://141.218.60.56/~jnz1568/getInfo.php?workbook=10_05.xlsx&amp;sheet=A0&amp;row=3143&amp;col=6&amp;number=319000000&amp;sourceID=14","319000000")</f>
        <v>319000000</v>
      </c>
      <c r="G3143" s="4" t="str">
        <f>HYPERLINK("http://141.218.60.56/~jnz1568/getInfo.php?workbook=10_05.xlsx&amp;sheet=A0&amp;row=3143&amp;col=7&amp;number=0&amp;sourceID=14","0")</f>
        <v>0</v>
      </c>
    </row>
    <row r="3144" spans="1:7">
      <c r="A3144" s="3">
        <v>10</v>
      </c>
      <c r="B3144" s="3">
        <v>5</v>
      </c>
      <c r="C3144" s="3">
        <v>166</v>
      </c>
      <c r="D3144" s="3">
        <v>59</v>
      </c>
      <c r="E3144" s="3">
        <v>-437.595</v>
      </c>
      <c r="F3144" s="4" t="str">
        <f>HYPERLINK("http://141.218.60.56/~jnz1568/getInfo.php?workbook=10_05.xlsx&amp;sheet=A0&amp;row=3144&amp;col=6&amp;number=1080000000&amp;sourceID=14","1080000000")</f>
        <v>1080000000</v>
      </c>
      <c r="G3144" s="4" t="str">
        <f>HYPERLINK("http://141.218.60.56/~jnz1568/getInfo.php?workbook=10_05.xlsx&amp;sheet=A0&amp;row=3144&amp;col=7&amp;number=0&amp;sourceID=14","0")</f>
        <v>0</v>
      </c>
    </row>
    <row r="3145" spans="1:7">
      <c r="A3145" s="3">
        <v>10</v>
      </c>
      <c r="B3145" s="3">
        <v>5</v>
      </c>
      <c r="C3145" s="3">
        <v>167</v>
      </c>
      <c r="D3145" s="3">
        <v>59</v>
      </c>
      <c r="E3145" s="3">
        <v>-437.515</v>
      </c>
      <c r="F3145" s="4" t="str">
        <f>HYPERLINK("http://141.218.60.56/~jnz1568/getInfo.php?workbook=10_05.xlsx&amp;sheet=A0&amp;row=3145&amp;col=6&amp;number=704000000&amp;sourceID=14","704000000")</f>
        <v>704000000</v>
      </c>
      <c r="G3145" s="4" t="str">
        <f>HYPERLINK("http://141.218.60.56/~jnz1568/getInfo.php?workbook=10_05.xlsx&amp;sheet=A0&amp;row=3145&amp;col=7&amp;number=0&amp;sourceID=14","0")</f>
        <v>0</v>
      </c>
    </row>
    <row r="3146" spans="1:7">
      <c r="A3146" s="3">
        <v>10</v>
      </c>
      <c r="B3146" s="3">
        <v>5</v>
      </c>
      <c r="C3146" s="3">
        <v>176</v>
      </c>
      <c r="D3146" s="3">
        <v>59</v>
      </c>
      <c r="E3146" s="3">
        <v>-384.557</v>
      </c>
      <c r="F3146" s="4" t="str">
        <f>HYPERLINK("http://141.218.60.56/~jnz1568/getInfo.php?workbook=10_05.xlsx&amp;sheet=A0&amp;row=3146&amp;col=6&amp;number=8630000000&amp;sourceID=14","8630000000")</f>
        <v>8630000000</v>
      </c>
      <c r="G3146" s="4" t="str">
        <f>HYPERLINK("http://141.218.60.56/~jnz1568/getInfo.php?workbook=10_05.xlsx&amp;sheet=A0&amp;row=3146&amp;col=7&amp;number=0&amp;sourceID=14","0")</f>
        <v>0</v>
      </c>
    </row>
    <row r="3147" spans="1:7">
      <c r="A3147" s="3">
        <v>10</v>
      </c>
      <c r="B3147" s="3">
        <v>5</v>
      </c>
      <c r="C3147" s="3">
        <v>177</v>
      </c>
      <c r="D3147" s="3">
        <v>59</v>
      </c>
      <c r="E3147" s="3">
        <v>-383.244</v>
      </c>
      <c r="F3147" s="4" t="str">
        <f>HYPERLINK("http://141.218.60.56/~jnz1568/getInfo.php?workbook=10_05.xlsx&amp;sheet=A0&amp;row=3147&amp;col=6&amp;number=2470000000&amp;sourceID=14","2470000000")</f>
        <v>2470000000</v>
      </c>
      <c r="G3147" s="4" t="str">
        <f>HYPERLINK("http://141.218.60.56/~jnz1568/getInfo.php?workbook=10_05.xlsx&amp;sheet=A0&amp;row=3147&amp;col=7&amp;number=0&amp;sourceID=14","0")</f>
        <v>0</v>
      </c>
    </row>
    <row r="3148" spans="1:7">
      <c r="A3148" s="3">
        <v>10</v>
      </c>
      <c r="B3148" s="3">
        <v>5</v>
      </c>
      <c r="C3148" s="3">
        <v>178</v>
      </c>
      <c r="D3148" s="3">
        <v>59</v>
      </c>
      <c r="E3148" s="3">
        <v>-383.179</v>
      </c>
      <c r="F3148" s="4" t="str">
        <f>HYPERLINK("http://141.218.60.56/~jnz1568/getInfo.php?workbook=10_05.xlsx&amp;sheet=A0&amp;row=3148&amp;col=6&amp;number=64600000&amp;sourceID=14","64600000")</f>
        <v>64600000</v>
      </c>
      <c r="G3148" s="4" t="str">
        <f>HYPERLINK("http://141.218.60.56/~jnz1568/getInfo.php?workbook=10_05.xlsx&amp;sheet=A0&amp;row=3148&amp;col=7&amp;number=0&amp;sourceID=14","0")</f>
        <v>0</v>
      </c>
    </row>
    <row r="3149" spans="1:7">
      <c r="A3149" s="3">
        <v>10</v>
      </c>
      <c r="B3149" s="3">
        <v>5</v>
      </c>
      <c r="C3149" s="3">
        <v>179</v>
      </c>
      <c r="D3149" s="3">
        <v>59</v>
      </c>
      <c r="E3149" s="3">
        <v>-377.322</v>
      </c>
      <c r="F3149" s="4" t="str">
        <f>HYPERLINK("http://141.218.60.56/~jnz1568/getInfo.php?workbook=10_05.xlsx&amp;sheet=A0&amp;row=3149&amp;col=6&amp;number=629000000&amp;sourceID=14","629000000")</f>
        <v>629000000</v>
      </c>
      <c r="G3149" s="4" t="str">
        <f>HYPERLINK("http://141.218.60.56/~jnz1568/getInfo.php?workbook=10_05.xlsx&amp;sheet=A0&amp;row=3149&amp;col=7&amp;number=0&amp;sourceID=14","0")</f>
        <v>0</v>
      </c>
    </row>
    <row r="3150" spans="1:7">
      <c r="A3150" s="3">
        <v>10</v>
      </c>
      <c r="B3150" s="3">
        <v>5</v>
      </c>
      <c r="C3150" s="3">
        <v>180</v>
      </c>
      <c r="D3150" s="3">
        <v>59</v>
      </c>
      <c r="E3150" s="3">
        <v>-377.269</v>
      </c>
      <c r="F3150" s="4" t="str">
        <f>HYPERLINK("http://141.218.60.56/~jnz1568/getInfo.php?workbook=10_05.xlsx&amp;sheet=A0&amp;row=3150&amp;col=6&amp;number=45400000&amp;sourceID=14","45400000")</f>
        <v>45400000</v>
      </c>
      <c r="G3150" s="4" t="str">
        <f>HYPERLINK("http://141.218.60.56/~jnz1568/getInfo.php?workbook=10_05.xlsx&amp;sheet=A0&amp;row=3150&amp;col=7&amp;number=0&amp;sourceID=14","0")</f>
        <v>0</v>
      </c>
    </row>
    <row r="3151" spans="1:7">
      <c r="A3151" s="3">
        <v>10</v>
      </c>
      <c r="B3151" s="3">
        <v>5</v>
      </c>
      <c r="C3151" s="3">
        <v>65</v>
      </c>
      <c r="D3151" s="3">
        <v>60</v>
      </c>
      <c r="E3151" s="3">
        <v>-5134.007</v>
      </c>
      <c r="F3151" s="4" t="str">
        <f>HYPERLINK("http://141.218.60.56/~jnz1568/getInfo.php?workbook=10_05.xlsx&amp;sheet=A0&amp;row=3151&amp;col=6&amp;number=1920&amp;sourceID=14","1920")</f>
        <v>1920</v>
      </c>
      <c r="G3151" s="4" t="str">
        <f>HYPERLINK("http://141.218.60.56/~jnz1568/getInfo.php?workbook=10_05.xlsx&amp;sheet=A0&amp;row=3151&amp;col=7&amp;number=0&amp;sourceID=14","0")</f>
        <v>0</v>
      </c>
    </row>
    <row r="3152" spans="1:7">
      <c r="A3152" s="3">
        <v>10</v>
      </c>
      <c r="B3152" s="3">
        <v>5</v>
      </c>
      <c r="C3152" s="3">
        <v>68</v>
      </c>
      <c r="D3152" s="3">
        <v>60</v>
      </c>
      <c r="E3152" s="3">
        <v>2788.628</v>
      </c>
      <c r="F3152" s="4" t="str">
        <f>HYPERLINK("http://141.218.60.56/~jnz1568/getInfo.php?workbook=10_05.xlsx&amp;sheet=A0&amp;row=3152&amp;col=6&amp;number=3140000&amp;sourceID=14","3140000")</f>
        <v>3140000</v>
      </c>
      <c r="G3152" s="4" t="str">
        <f>HYPERLINK("http://141.218.60.56/~jnz1568/getInfo.php?workbook=10_05.xlsx&amp;sheet=A0&amp;row=3152&amp;col=7&amp;number=0&amp;sourceID=14","0")</f>
        <v>0</v>
      </c>
    </row>
    <row r="3153" spans="1:7">
      <c r="A3153" s="3">
        <v>10</v>
      </c>
      <c r="B3153" s="3">
        <v>5</v>
      </c>
      <c r="C3153" s="3">
        <v>69</v>
      </c>
      <c r="D3153" s="3">
        <v>60</v>
      </c>
      <c r="E3153" s="3">
        <v>2788.628</v>
      </c>
      <c r="F3153" s="4" t="str">
        <f>HYPERLINK("http://141.218.60.56/~jnz1568/getInfo.php?workbook=10_05.xlsx&amp;sheet=A0&amp;row=3153&amp;col=6&amp;number=47000000&amp;sourceID=14","47000000")</f>
        <v>47000000</v>
      </c>
      <c r="G3153" s="4" t="str">
        <f>HYPERLINK("http://141.218.60.56/~jnz1568/getInfo.php?workbook=10_05.xlsx&amp;sheet=A0&amp;row=3153&amp;col=7&amp;number=0&amp;sourceID=14","0")</f>
        <v>0</v>
      </c>
    </row>
    <row r="3154" spans="1:7">
      <c r="A3154" s="3">
        <v>10</v>
      </c>
      <c r="B3154" s="3">
        <v>5</v>
      </c>
      <c r="C3154" s="3">
        <v>73</v>
      </c>
      <c r="D3154" s="3">
        <v>60</v>
      </c>
      <c r="E3154" s="3">
        <v>2274.282</v>
      </c>
      <c r="F3154" s="4" t="str">
        <f>HYPERLINK("http://141.218.60.56/~jnz1568/getInfo.php?workbook=10_05.xlsx&amp;sheet=A0&amp;row=3154&amp;col=6&amp;number=3910000&amp;sourceID=14","3910000")</f>
        <v>3910000</v>
      </c>
      <c r="G3154" s="4" t="str">
        <f>HYPERLINK("http://141.218.60.56/~jnz1568/getInfo.php?workbook=10_05.xlsx&amp;sheet=A0&amp;row=3154&amp;col=7&amp;number=0&amp;sourceID=14","0")</f>
        <v>0</v>
      </c>
    </row>
    <row r="3155" spans="1:7">
      <c r="A3155" s="3">
        <v>10</v>
      </c>
      <c r="B3155" s="3">
        <v>5</v>
      </c>
      <c r="C3155" s="3">
        <v>74</v>
      </c>
      <c r="D3155" s="3">
        <v>60</v>
      </c>
      <c r="E3155" s="3">
        <v>2268.092</v>
      </c>
      <c r="F3155" s="4" t="str">
        <f>HYPERLINK("http://141.218.60.56/~jnz1568/getInfo.php?workbook=10_05.xlsx&amp;sheet=A0&amp;row=3155&amp;col=6&amp;number=36900000&amp;sourceID=14","36900000")</f>
        <v>36900000</v>
      </c>
      <c r="G3155" s="4" t="str">
        <f>HYPERLINK("http://141.218.60.56/~jnz1568/getInfo.php?workbook=10_05.xlsx&amp;sheet=A0&amp;row=3155&amp;col=7&amp;number=0&amp;sourceID=14","0")</f>
        <v>0</v>
      </c>
    </row>
    <row r="3156" spans="1:7">
      <c r="A3156" s="3">
        <v>10</v>
      </c>
      <c r="B3156" s="3">
        <v>5</v>
      </c>
      <c r="C3156" s="3">
        <v>76</v>
      </c>
      <c r="D3156" s="3">
        <v>60</v>
      </c>
      <c r="E3156" s="3">
        <v>2164.975</v>
      </c>
      <c r="F3156" s="4" t="str">
        <f>HYPERLINK("http://141.218.60.56/~jnz1568/getInfo.php?workbook=10_05.xlsx&amp;sheet=A0&amp;row=3156&amp;col=6&amp;number=3710000&amp;sourceID=14","3710000")</f>
        <v>3710000</v>
      </c>
      <c r="G3156" s="4" t="str">
        <f>HYPERLINK("http://141.218.60.56/~jnz1568/getInfo.php?workbook=10_05.xlsx&amp;sheet=A0&amp;row=3156&amp;col=7&amp;number=0&amp;sourceID=14","0")</f>
        <v>0</v>
      </c>
    </row>
    <row r="3157" spans="1:7">
      <c r="A3157" s="3">
        <v>10</v>
      </c>
      <c r="B3157" s="3">
        <v>5</v>
      </c>
      <c r="C3157" s="3">
        <v>83</v>
      </c>
      <c r="D3157" s="3">
        <v>60</v>
      </c>
      <c r="E3157" s="3">
        <v>1317.352</v>
      </c>
      <c r="F3157" s="4" t="str">
        <f>HYPERLINK("http://141.218.60.56/~jnz1568/getInfo.php?workbook=10_05.xlsx&amp;sheet=A0&amp;row=3157&amp;col=6&amp;number=16600&amp;sourceID=14","16600")</f>
        <v>16600</v>
      </c>
      <c r="G3157" s="4" t="str">
        <f>HYPERLINK("http://141.218.60.56/~jnz1568/getInfo.php?workbook=10_05.xlsx&amp;sheet=A0&amp;row=3157&amp;col=7&amp;number=0&amp;sourceID=14","0")</f>
        <v>0</v>
      </c>
    </row>
    <row r="3158" spans="1:7">
      <c r="A3158" s="3">
        <v>10</v>
      </c>
      <c r="B3158" s="3">
        <v>5</v>
      </c>
      <c r="C3158" s="3">
        <v>84</v>
      </c>
      <c r="D3158" s="3">
        <v>60</v>
      </c>
      <c r="E3158" s="3">
        <v>1317.352</v>
      </c>
      <c r="F3158" s="4" t="str">
        <f>HYPERLINK("http://141.218.60.56/~jnz1568/getInfo.php?workbook=10_05.xlsx&amp;sheet=A0&amp;row=3158&amp;col=6&amp;number=22800&amp;sourceID=14","22800")</f>
        <v>22800</v>
      </c>
      <c r="G3158" s="4" t="str">
        <f>HYPERLINK("http://141.218.60.56/~jnz1568/getInfo.php?workbook=10_05.xlsx&amp;sheet=A0&amp;row=3158&amp;col=7&amp;number=0&amp;sourceID=14","0")</f>
        <v>0</v>
      </c>
    </row>
    <row r="3159" spans="1:7">
      <c r="A3159" s="3">
        <v>10</v>
      </c>
      <c r="B3159" s="3">
        <v>5</v>
      </c>
      <c r="C3159" s="3">
        <v>85</v>
      </c>
      <c r="D3159" s="3">
        <v>60</v>
      </c>
      <c r="E3159" s="3">
        <v>1317.352</v>
      </c>
      <c r="F3159" s="4" t="str">
        <f>HYPERLINK("http://141.218.60.56/~jnz1568/getInfo.php?workbook=10_05.xlsx&amp;sheet=A0&amp;row=3159&amp;col=6&amp;number=1160000&amp;sourceID=14","1160000")</f>
        <v>1160000</v>
      </c>
      <c r="G3159" s="4" t="str">
        <f>HYPERLINK("http://141.218.60.56/~jnz1568/getInfo.php?workbook=10_05.xlsx&amp;sheet=A0&amp;row=3159&amp;col=7&amp;number=0&amp;sourceID=14","0")</f>
        <v>0</v>
      </c>
    </row>
    <row r="3160" spans="1:7">
      <c r="A3160" s="3">
        <v>10</v>
      </c>
      <c r="B3160" s="3">
        <v>5</v>
      </c>
      <c r="C3160" s="3">
        <v>86</v>
      </c>
      <c r="D3160" s="3">
        <v>60</v>
      </c>
      <c r="E3160" s="3">
        <v>-1301.781</v>
      </c>
      <c r="F3160" s="4" t="str">
        <f>HYPERLINK("http://141.218.60.56/~jnz1568/getInfo.php?workbook=10_05.xlsx&amp;sheet=A0&amp;row=3160&amp;col=6&amp;number=15500000&amp;sourceID=14","15500000")</f>
        <v>15500000</v>
      </c>
      <c r="G3160" s="4" t="str">
        <f>HYPERLINK("http://141.218.60.56/~jnz1568/getInfo.php?workbook=10_05.xlsx&amp;sheet=A0&amp;row=3160&amp;col=7&amp;number=0&amp;sourceID=14","0")</f>
        <v>0</v>
      </c>
    </row>
    <row r="3161" spans="1:7">
      <c r="A3161" s="3">
        <v>10</v>
      </c>
      <c r="B3161" s="3">
        <v>5</v>
      </c>
      <c r="C3161" s="3">
        <v>87</v>
      </c>
      <c r="D3161" s="3">
        <v>60</v>
      </c>
      <c r="E3161" s="3">
        <v>-1301.543</v>
      </c>
      <c r="F3161" s="4" t="str">
        <f>HYPERLINK("http://141.218.60.56/~jnz1568/getInfo.php?workbook=10_05.xlsx&amp;sheet=A0&amp;row=3161&amp;col=6&amp;number=232000000&amp;sourceID=14","232000000")</f>
        <v>232000000</v>
      </c>
      <c r="G3161" s="4" t="str">
        <f>HYPERLINK("http://141.218.60.56/~jnz1568/getInfo.php?workbook=10_05.xlsx&amp;sheet=A0&amp;row=3161&amp;col=7&amp;number=0&amp;sourceID=14","0")</f>
        <v>0</v>
      </c>
    </row>
    <row r="3162" spans="1:7">
      <c r="A3162" s="3">
        <v>10</v>
      </c>
      <c r="B3162" s="3">
        <v>5</v>
      </c>
      <c r="C3162" s="3">
        <v>89</v>
      </c>
      <c r="D3162" s="3">
        <v>60</v>
      </c>
      <c r="E3162" s="3">
        <v>1258.972</v>
      </c>
      <c r="F3162" s="4" t="str">
        <f>HYPERLINK("http://141.218.60.56/~jnz1568/getInfo.php?workbook=10_05.xlsx&amp;sheet=A0&amp;row=3162&amp;col=6&amp;number=1510&amp;sourceID=14","1510")</f>
        <v>1510</v>
      </c>
      <c r="G3162" s="4" t="str">
        <f>HYPERLINK("http://141.218.60.56/~jnz1568/getInfo.php?workbook=10_05.xlsx&amp;sheet=A0&amp;row=3162&amp;col=7&amp;number=0&amp;sourceID=14","0")</f>
        <v>0</v>
      </c>
    </row>
    <row r="3163" spans="1:7">
      <c r="A3163" s="3">
        <v>10</v>
      </c>
      <c r="B3163" s="3">
        <v>5</v>
      </c>
      <c r="C3163" s="3">
        <v>90</v>
      </c>
      <c r="D3163" s="3">
        <v>60</v>
      </c>
      <c r="E3163" s="3">
        <v>1250.002</v>
      </c>
      <c r="F3163" s="4" t="str">
        <f>HYPERLINK("http://141.218.60.56/~jnz1568/getInfo.php?workbook=10_05.xlsx&amp;sheet=A0&amp;row=3163&amp;col=6&amp;number=142000&amp;sourceID=14","142000")</f>
        <v>142000</v>
      </c>
      <c r="G3163" s="4" t="str">
        <f>HYPERLINK("http://141.218.60.56/~jnz1568/getInfo.php?workbook=10_05.xlsx&amp;sheet=A0&amp;row=3163&amp;col=7&amp;number=0&amp;sourceID=14","0")</f>
        <v>0</v>
      </c>
    </row>
    <row r="3164" spans="1:7">
      <c r="A3164" s="3">
        <v>10</v>
      </c>
      <c r="B3164" s="3">
        <v>5</v>
      </c>
      <c r="C3164" s="3">
        <v>91</v>
      </c>
      <c r="D3164" s="3">
        <v>60</v>
      </c>
      <c r="E3164" s="3">
        <v>-1137.943</v>
      </c>
      <c r="F3164" s="4" t="str">
        <f>HYPERLINK("http://141.218.60.56/~jnz1568/getInfo.php?workbook=10_05.xlsx&amp;sheet=A0&amp;row=3164&amp;col=6&amp;number=1140000&amp;sourceID=14","1140000")</f>
        <v>1140000</v>
      </c>
      <c r="G3164" s="4" t="str">
        <f>HYPERLINK("http://141.218.60.56/~jnz1568/getInfo.php?workbook=10_05.xlsx&amp;sheet=A0&amp;row=3164&amp;col=7&amp;number=0&amp;sourceID=14","0")</f>
        <v>0</v>
      </c>
    </row>
    <row r="3165" spans="1:7">
      <c r="A3165" s="3">
        <v>10</v>
      </c>
      <c r="B3165" s="3">
        <v>5</v>
      </c>
      <c r="C3165" s="3">
        <v>92</v>
      </c>
      <c r="D3165" s="3">
        <v>60</v>
      </c>
      <c r="E3165" s="3">
        <v>-1127.245</v>
      </c>
      <c r="F3165" s="4" t="str">
        <f>HYPERLINK("http://141.218.60.56/~jnz1568/getInfo.php?workbook=10_05.xlsx&amp;sheet=A0&amp;row=3165&amp;col=6&amp;number=13300000&amp;sourceID=14","13300000")</f>
        <v>13300000</v>
      </c>
      <c r="G3165" s="4" t="str">
        <f>HYPERLINK("http://141.218.60.56/~jnz1568/getInfo.php?workbook=10_05.xlsx&amp;sheet=A0&amp;row=3165&amp;col=7&amp;number=0&amp;sourceID=14","0")</f>
        <v>0</v>
      </c>
    </row>
    <row r="3166" spans="1:7">
      <c r="A3166" s="3">
        <v>10</v>
      </c>
      <c r="B3166" s="3">
        <v>5</v>
      </c>
      <c r="C3166" s="3">
        <v>94</v>
      </c>
      <c r="D3166" s="3">
        <v>60</v>
      </c>
      <c r="E3166" s="3">
        <v>-1034.941</v>
      </c>
      <c r="F3166" s="4" t="str">
        <f>HYPERLINK("http://141.218.60.56/~jnz1568/getInfo.php?workbook=10_05.xlsx&amp;sheet=A0&amp;row=3166&amp;col=6&amp;number=5390000&amp;sourceID=14","5390000")</f>
        <v>5390000</v>
      </c>
      <c r="G3166" s="4" t="str">
        <f>HYPERLINK("http://141.218.60.56/~jnz1568/getInfo.php?workbook=10_05.xlsx&amp;sheet=A0&amp;row=3166&amp;col=7&amp;number=0&amp;sourceID=14","0")</f>
        <v>0</v>
      </c>
    </row>
    <row r="3167" spans="1:7">
      <c r="A3167" s="3">
        <v>10</v>
      </c>
      <c r="B3167" s="3">
        <v>5</v>
      </c>
      <c r="C3167" s="3">
        <v>95</v>
      </c>
      <c r="D3167" s="3">
        <v>60</v>
      </c>
      <c r="E3167" s="3">
        <v>1031.994</v>
      </c>
      <c r="F3167" s="4" t="str">
        <f>HYPERLINK("http://141.218.60.56/~jnz1568/getInfo.php?workbook=10_05.xlsx&amp;sheet=A0&amp;row=3167&amp;col=6&amp;number=40700&amp;sourceID=14","40700")</f>
        <v>40700</v>
      </c>
      <c r="G3167" s="4" t="str">
        <f>HYPERLINK("http://141.218.60.56/~jnz1568/getInfo.php?workbook=10_05.xlsx&amp;sheet=A0&amp;row=3167&amp;col=7&amp;number=0&amp;sourceID=14","0")</f>
        <v>0</v>
      </c>
    </row>
    <row r="3168" spans="1:7">
      <c r="A3168" s="3">
        <v>10</v>
      </c>
      <c r="B3168" s="3">
        <v>5</v>
      </c>
      <c r="C3168" s="3">
        <v>96</v>
      </c>
      <c r="D3168" s="3">
        <v>60</v>
      </c>
      <c r="E3168" s="3">
        <v>911.662</v>
      </c>
      <c r="F3168" s="4" t="str">
        <f>HYPERLINK("http://141.218.60.56/~jnz1568/getInfo.php?workbook=10_05.xlsx&amp;sheet=A0&amp;row=3168&amp;col=6&amp;number=59100000&amp;sourceID=14","59100000")</f>
        <v>59100000</v>
      </c>
      <c r="G3168" s="4" t="str">
        <f>HYPERLINK("http://141.218.60.56/~jnz1568/getInfo.php?workbook=10_05.xlsx&amp;sheet=A0&amp;row=3168&amp;col=7&amp;number=0&amp;sourceID=14","0")</f>
        <v>0</v>
      </c>
    </row>
    <row r="3169" spans="1:7">
      <c r="A3169" s="3">
        <v>10</v>
      </c>
      <c r="B3169" s="3">
        <v>5</v>
      </c>
      <c r="C3169" s="3">
        <v>97</v>
      </c>
      <c r="D3169" s="3">
        <v>60</v>
      </c>
      <c r="E3169" s="3">
        <v>908.845</v>
      </c>
      <c r="F3169" s="4" t="str">
        <f>HYPERLINK("http://141.218.60.56/~jnz1568/getInfo.php?workbook=10_05.xlsx&amp;sheet=A0&amp;row=3169&amp;col=6&amp;number=811000000&amp;sourceID=14","811000000")</f>
        <v>811000000</v>
      </c>
      <c r="G3169" s="4" t="str">
        <f>HYPERLINK("http://141.218.60.56/~jnz1568/getInfo.php?workbook=10_05.xlsx&amp;sheet=A0&amp;row=3169&amp;col=7&amp;number=0&amp;sourceID=14","0")</f>
        <v>0</v>
      </c>
    </row>
    <row r="3170" spans="1:7">
      <c r="A3170" s="3">
        <v>10</v>
      </c>
      <c r="B3170" s="3">
        <v>5</v>
      </c>
      <c r="C3170" s="3">
        <v>101</v>
      </c>
      <c r="D3170" s="3">
        <v>60</v>
      </c>
      <c r="E3170" s="3">
        <v>-879.215</v>
      </c>
      <c r="F3170" s="4" t="str">
        <f>HYPERLINK("http://141.218.60.56/~jnz1568/getInfo.php?workbook=10_05.xlsx&amp;sheet=A0&amp;row=3170&amp;col=6&amp;number=158000&amp;sourceID=14","158000")</f>
        <v>158000</v>
      </c>
      <c r="G3170" s="4" t="str">
        <f>HYPERLINK("http://141.218.60.56/~jnz1568/getInfo.php?workbook=10_05.xlsx&amp;sheet=A0&amp;row=3170&amp;col=7&amp;number=0&amp;sourceID=14","0")</f>
        <v>0</v>
      </c>
    </row>
    <row r="3171" spans="1:7">
      <c r="A3171" s="3">
        <v>10</v>
      </c>
      <c r="B3171" s="3">
        <v>5</v>
      </c>
      <c r="C3171" s="3">
        <v>103</v>
      </c>
      <c r="D3171" s="3">
        <v>60</v>
      </c>
      <c r="E3171" s="3">
        <v>-873.517</v>
      </c>
      <c r="F3171" s="4" t="str">
        <f>HYPERLINK("http://141.218.60.56/~jnz1568/getInfo.php?workbook=10_05.xlsx&amp;sheet=A0&amp;row=3171&amp;col=6&amp;number=2870&amp;sourceID=14","2870")</f>
        <v>2870</v>
      </c>
      <c r="G3171" s="4" t="str">
        <f>HYPERLINK("http://141.218.60.56/~jnz1568/getInfo.php?workbook=10_05.xlsx&amp;sheet=A0&amp;row=3171&amp;col=7&amp;number=0&amp;sourceID=14","0")</f>
        <v>0</v>
      </c>
    </row>
    <row r="3172" spans="1:7">
      <c r="A3172" s="3">
        <v>10</v>
      </c>
      <c r="B3172" s="3">
        <v>5</v>
      </c>
      <c r="C3172" s="3">
        <v>112</v>
      </c>
      <c r="D3172" s="3">
        <v>60</v>
      </c>
      <c r="E3172" s="3">
        <v>-823.433</v>
      </c>
      <c r="F3172" s="4" t="str">
        <f>HYPERLINK("http://141.218.60.56/~jnz1568/getInfo.php?workbook=10_05.xlsx&amp;sheet=A0&amp;row=3172&amp;col=6&amp;number=112000000&amp;sourceID=14","112000000")</f>
        <v>112000000</v>
      </c>
      <c r="G3172" s="4" t="str">
        <f>HYPERLINK("http://141.218.60.56/~jnz1568/getInfo.php?workbook=10_05.xlsx&amp;sheet=A0&amp;row=3172&amp;col=7&amp;number=0&amp;sourceID=14","0")</f>
        <v>0</v>
      </c>
    </row>
    <row r="3173" spans="1:7">
      <c r="A3173" s="3">
        <v>10</v>
      </c>
      <c r="B3173" s="3">
        <v>5</v>
      </c>
      <c r="C3173" s="3">
        <v>113</v>
      </c>
      <c r="D3173" s="3">
        <v>60</v>
      </c>
      <c r="E3173" s="3">
        <v>818.198</v>
      </c>
      <c r="F3173" s="4" t="str">
        <f>HYPERLINK("http://141.218.60.56/~jnz1568/getInfo.php?workbook=10_05.xlsx&amp;sheet=A0&amp;row=3173&amp;col=6&amp;number=470000000&amp;sourceID=14","470000000")</f>
        <v>470000000</v>
      </c>
      <c r="G3173" s="4" t="str">
        <f>HYPERLINK("http://141.218.60.56/~jnz1568/getInfo.php?workbook=10_05.xlsx&amp;sheet=A0&amp;row=3173&amp;col=7&amp;number=0&amp;sourceID=14","0")</f>
        <v>0</v>
      </c>
    </row>
    <row r="3174" spans="1:7">
      <c r="A3174" s="3">
        <v>10</v>
      </c>
      <c r="B3174" s="3">
        <v>5</v>
      </c>
      <c r="C3174" s="3">
        <v>114</v>
      </c>
      <c r="D3174" s="3">
        <v>60</v>
      </c>
      <c r="E3174" s="3">
        <v>818.198</v>
      </c>
      <c r="F3174" s="4" t="str">
        <f>HYPERLINK("http://141.218.60.56/~jnz1568/getInfo.php?workbook=10_05.xlsx&amp;sheet=A0&amp;row=3174&amp;col=6&amp;number=51400000&amp;sourceID=14","51400000")</f>
        <v>51400000</v>
      </c>
      <c r="G3174" s="4" t="str">
        <f>HYPERLINK("http://141.218.60.56/~jnz1568/getInfo.php?workbook=10_05.xlsx&amp;sheet=A0&amp;row=3174&amp;col=7&amp;number=0&amp;sourceID=14","0")</f>
        <v>0</v>
      </c>
    </row>
    <row r="3175" spans="1:7">
      <c r="A3175" s="3">
        <v>10</v>
      </c>
      <c r="B3175" s="3">
        <v>5</v>
      </c>
      <c r="C3175" s="3">
        <v>128</v>
      </c>
      <c r="D3175" s="3">
        <v>60</v>
      </c>
      <c r="E3175" s="3">
        <v>-739.247</v>
      </c>
      <c r="F3175" s="4" t="str">
        <f>HYPERLINK("http://141.218.60.56/~jnz1568/getInfo.php?workbook=10_05.xlsx&amp;sheet=A0&amp;row=3175&amp;col=6&amp;number=21600000&amp;sourceID=14","21600000")</f>
        <v>21600000</v>
      </c>
      <c r="G3175" s="4" t="str">
        <f>HYPERLINK("http://141.218.60.56/~jnz1568/getInfo.php?workbook=10_05.xlsx&amp;sheet=A0&amp;row=3175&amp;col=7&amp;number=0&amp;sourceID=14","0")</f>
        <v>0</v>
      </c>
    </row>
    <row r="3176" spans="1:7">
      <c r="A3176" s="3">
        <v>10</v>
      </c>
      <c r="B3176" s="3">
        <v>5</v>
      </c>
      <c r="C3176" s="3">
        <v>134</v>
      </c>
      <c r="D3176" s="3">
        <v>60</v>
      </c>
      <c r="E3176" s="3">
        <v>-715.56</v>
      </c>
      <c r="F3176" s="4" t="str">
        <f>HYPERLINK("http://141.218.60.56/~jnz1568/getInfo.php?workbook=10_05.xlsx&amp;sheet=A0&amp;row=3176&amp;col=6&amp;number=32500&amp;sourceID=14","32500")</f>
        <v>32500</v>
      </c>
      <c r="G3176" s="4" t="str">
        <f>HYPERLINK("http://141.218.60.56/~jnz1568/getInfo.php?workbook=10_05.xlsx&amp;sheet=A0&amp;row=3176&amp;col=7&amp;number=0&amp;sourceID=14","0")</f>
        <v>0</v>
      </c>
    </row>
    <row r="3177" spans="1:7">
      <c r="A3177" s="3">
        <v>10</v>
      </c>
      <c r="B3177" s="3">
        <v>5</v>
      </c>
      <c r="C3177" s="3">
        <v>135</v>
      </c>
      <c r="D3177" s="3">
        <v>60</v>
      </c>
      <c r="E3177" s="3">
        <v>-714.328</v>
      </c>
      <c r="F3177" s="4" t="str">
        <f>HYPERLINK("http://141.218.60.56/~jnz1568/getInfo.php?workbook=10_05.xlsx&amp;sheet=A0&amp;row=3177&amp;col=6&amp;number=147000&amp;sourceID=14","147000")</f>
        <v>147000</v>
      </c>
      <c r="G3177" s="4" t="str">
        <f>HYPERLINK("http://141.218.60.56/~jnz1568/getInfo.php?workbook=10_05.xlsx&amp;sheet=A0&amp;row=3177&amp;col=7&amp;number=0&amp;sourceID=14","0")</f>
        <v>0</v>
      </c>
    </row>
    <row r="3178" spans="1:7">
      <c r="A3178" s="3">
        <v>10</v>
      </c>
      <c r="B3178" s="3">
        <v>5</v>
      </c>
      <c r="C3178" s="3">
        <v>136</v>
      </c>
      <c r="D3178" s="3">
        <v>60</v>
      </c>
      <c r="E3178" s="3">
        <v>-712.485</v>
      </c>
      <c r="F3178" s="4" t="str">
        <f>HYPERLINK("http://141.218.60.56/~jnz1568/getInfo.php?workbook=10_05.xlsx&amp;sheet=A0&amp;row=3178&amp;col=6&amp;number=10300&amp;sourceID=14","10300")</f>
        <v>10300</v>
      </c>
      <c r="G3178" s="4" t="str">
        <f>HYPERLINK("http://141.218.60.56/~jnz1568/getInfo.php?workbook=10_05.xlsx&amp;sheet=A0&amp;row=3178&amp;col=7&amp;number=0&amp;sourceID=14","0")</f>
        <v>0</v>
      </c>
    </row>
    <row r="3179" spans="1:7">
      <c r="A3179" s="3">
        <v>10</v>
      </c>
      <c r="B3179" s="3">
        <v>5</v>
      </c>
      <c r="C3179" s="3">
        <v>142</v>
      </c>
      <c r="D3179" s="3">
        <v>60</v>
      </c>
      <c r="E3179" s="3">
        <v>691.995</v>
      </c>
      <c r="F3179" s="4" t="str">
        <f>HYPERLINK("http://141.218.60.56/~jnz1568/getInfo.php?workbook=10_05.xlsx&amp;sheet=A0&amp;row=3179&amp;col=6&amp;number=195000&amp;sourceID=14","195000")</f>
        <v>195000</v>
      </c>
      <c r="G3179" s="4" t="str">
        <f>HYPERLINK("http://141.218.60.56/~jnz1568/getInfo.php?workbook=10_05.xlsx&amp;sheet=A0&amp;row=3179&amp;col=7&amp;number=0&amp;sourceID=14","0")</f>
        <v>0</v>
      </c>
    </row>
    <row r="3180" spans="1:7">
      <c r="A3180" s="3">
        <v>10</v>
      </c>
      <c r="B3180" s="3">
        <v>5</v>
      </c>
      <c r="C3180" s="3">
        <v>143</v>
      </c>
      <c r="D3180" s="3">
        <v>60</v>
      </c>
      <c r="E3180" s="3">
        <v>690.8</v>
      </c>
      <c r="F3180" s="4" t="str">
        <f>HYPERLINK("http://141.218.60.56/~jnz1568/getInfo.php?workbook=10_05.xlsx&amp;sheet=A0&amp;row=3180&amp;col=6&amp;number=1550000&amp;sourceID=14","1550000")</f>
        <v>1550000</v>
      </c>
      <c r="G3180" s="4" t="str">
        <f>HYPERLINK("http://141.218.60.56/~jnz1568/getInfo.php?workbook=10_05.xlsx&amp;sheet=A0&amp;row=3180&amp;col=7&amp;number=0&amp;sourceID=14","0")</f>
        <v>0</v>
      </c>
    </row>
    <row r="3181" spans="1:7">
      <c r="A3181" s="3">
        <v>10</v>
      </c>
      <c r="B3181" s="3">
        <v>5</v>
      </c>
      <c r="C3181" s="3">
        <v>144</v>
      </c>
      <c r="D3181" s="3">
        <v>60</v>
      </c>
      <c r="E3181" s="3">
        <v>689.847</v>
      </c>
      <c r="F3181" s="4" t="str">
        <f>HYPERLINK("http://141.218.60.56/~jnz1568/getInfo.php?workbook=10_05.xlsx&amp;sheet=A0&amp;row=3181&amp;col=6&amp;number=11500&amp;sourceID=14","11500")</f>
        <v>11500</v>
      </c>
      <c r="G3181" s="4" t="str">
        <f>HYPERLINK("http://141.218.60.56/~jnz1568/getInfo.php?workbook=10_05.xlsx&amp;sheet=A0&amp;row=3181&amp;col=7&amp;number=0&amp;sourceID=14","0")</f>
        <v>0</v>
      </c>
    </row>
    <row r="3182" spans="1:7">
      <c r="A3182" s="3">
        <v>10</v>
      </c>
      <c r="B3182" s="3">
        <v>5</v>
      </c>
      <c r="C3182" s="3">
        <v>145</v>
      </c>
      <c r="D3182" s="3">
        <v>60</v>
      </c>
      <c r="E3182" s="3">
        <v>685.543</v>
      </c>
      <c r="F3182" s="4" t="str">
        <f>HYPERLINK("http://141.218.60.56/~jnz1568/getInfo.php?workbook=10_05.xlsx&amp;sheet=A0&amp;row=3182&amp;col=6&amp;number=9570000&amp;sourceID=14","9570000")</f>
        <v>9570000</v>
      </c>
      <c r="G3182" s="4" t="str">
        <f>HYPERLINK("http://141.218.60.56/~jnz1568/getInfo.php?workbook=10_05.xlsx&amp;sheet=A0&amp;row=3182&amp;col=7&amp;number=0&amp;sourceID=14","0")</f>
        <v>0</v>
      </c>
    </row>
    <row r="3183" spans="1:7">
      <c r="A3183" s="3">
        <v>10</v>
      </c>
      <c r="B3183" s="3">
        <v>5</v>
      </c>
      <c r="C3183" s="3">
        <v>146</v>
      </c>
      <c r="D3183" s="3">
        <v>60</v>
      </c>
      <c r="E3183" s="3">
        <v>685.543</v>
      </c>
      <c r="F3183" s="4" t="str">
        <f>HYPERLINK("http://141.218.60.56/~jnz1568/getInfo.php?workbook=10_05.xlsx&amp;sheet=A0&amp;row=3183&amp;col=6&amp;number=138000000&amp;sourceID=14","138000000")</f>
        <v>138000000</v>
      </c>
      <c r="G3183" s="4" t="str">
        <f>HYPERLINK("http://141.218.60.56/~jnz1568/getInfo.php?workbook=10_05.xlsx&amp;sheet=A0&amp;row=3183&amp;col=7&amp;number=0&amp;sourceID=14","0")</f>
        <v>0</v>
      </c>
    </row>
    <row r="3184" spans="1:7">
      <c r="A3184" s="3">
        <v>10</v>
      </c>
      <c r="B3184" s="3">
        <v>5</v>
      </c>
      <c r="C3184" s="3">
        <v>147</v>
      </c>
      <c r="D3184" s="3">
        <v>60</v>
      </c>
      <c r="E3184" s="3">
        <v>682.782</v>
      </c>
      <c r="F3184" s="4" t="str">
        <f>HYPERLINK("http://141.218.60.56/~jnz1568/getInfo.php?workbook=10_05.xlsx&amp;sheet=A0&amp;row=3184&amp;col=6&amp;number=15500000&amp;sourceID=14","15500000")</f>
        <v>15500000</v>
      </c>
      <c r="G3184" s="4" t="str">
        <f>HYPERLINK("http://141.218.60.56/~jnz1568/getInfo.php?workbook=10_05.xlsx&amp;sheet=A0&amp;row=3184&amp;col=7&amp;number=0&amp;sourceID=14","0")</f>
        <v>0</v>
      </c>
    </row>
    <row r="3185" spans="1:7">
      <c r="A3185" s="3">
        <v>10</v>
      </c>
      <c r="B3185" s="3">
        <v>5</v>
      </c>
      <c r="C3185" s="3">
        <v>148</v>
      </c>
      <c r="D3185" s="3">
        <v>60</v>
      </c>
      <c r="E3185" s="3">
        <v>682.316</v>
      </c>
      <c r="F3185" s="4" t="str">
        <f>HYPERLINK("http://141.218.60.56/~jnz1568/getInfo.php?workbook=10_05.xlsx&amp;sheet=A0&amp;row=3185&amp;col=6&amp;number=4940000&amp;sourceID=14","4940000")</f>
        <v>4940000</v>
      </c>
      <c r="G3185" s="4" t="str">
        <f>HYPERLINK("http://141.218.60.56/~jnz1568/getInfo.php?workbook=10_05.xlsx&amp;sheet=A0&amp;row=3185&amp;col=7&amp;number=0&amp;sourceID=14","0")</f>
        <v>0</v>
      </c>
    </row>
    <row r="3186" spans="1:7">
      <c r="A3186" s="3">
        <v>10</v>
      </c>
      <c r="B3186" s="3">
        <v>5</v>
      </c>
      <c r="C3186" s="3">
        <v>152</v>
      </c>
      <c r="D3186" s="3">
        <v>60</v>
      </c>
      <c r="E3186" s="3">
        <v>657.809</v>
      </c>
      <c r="F3186" s="4" t="str">
        <f>HYPERLINK("http://141.218.60.56/~jnz1568/getInfo.php?workbook=10_05.xlsx&amp;sheet=A0&amp;row=3186&amp;col=6&amp;number=7130000&amp;sourceID=14","7130000")</f>
        <v>7130000</v>
      </c>
      <c r="G3186" s="4" t="str">
        <f>HYPERLINK("http://141.218.60.56/~jnz1568/getInfo.php?workbook=10_05.xlsx&amp;sheet=A0&amp;row=3186&amp;col=7&amp;number=0&amp;sourceID=14","0")</f>
        <v>0</v>
      </c>
    </row>
    <row r="3187" spans="1:7">
      <c r="A3187" s="3">
        <v>10</v>
      </c>
      <c r="B3187" s="3">
        <v>5</v>
      </c>
      <c r="C3187" s="3">
        <v>153</v>
      </c>
      <c r="D3187" s="3">
        <v>60</v>
      </c>
      <c r="E3187" s="3">
        <v>654.366</v>
      </c>
      <c r="F3187" s="4" t="str">
        <f>HYPERLINK("http://141.218.60.56/~jnz1568/getInfo.php?workbook=10_05.xlsx&amp;sheet=A0&amp;row=3187&amp;col=6&amp;number=63500000&amp;sourceID=14","63500000")</f>
        <v>63500000</v>
      </c>
      <c r="G3187" s="4" t="str">
        <f>HYPERLINK("http://141.218.60.56/~jnz1568/getInfo.php?workbook=10_05.xlsx&amp;sheet=A0&amp;row=3187&amp;col=7&amp;number=0&amp;sourceID=14","0")</f>
        <v>0</v>
      </c>
    </row>
    <row r="3188" spans="1:7">
      <c r="A3188" s="3">
        <v>10</v>
      </c>
      <c r="B3188" s="3">
        <v>5</v>
      </c>
      <c r="C3188" s="3">
        <v>158</v>
      </c>
      <c r="D3188" s="3">
        <v>60</v>
      </c>
      <c r="E3188" s="3">
        <v>-646.794</v>
      </c>
      <c r="F3188" s="4" t="str">
        <f>HYPERLINK("http://141.218.60.56/~jnz1568/getInfo.php?workbook=10_05.xlsx&amp;sheet=A0&amp;row=3188&amp;col=6&amp;number=44600000&amp;sourceID=14","44600000")</f>
        <v>44600000</v>
      </c>
      <c r="G3188" s="4" t="str">
        <f>HYPERLINK("http://141.218.60.56/~jnz1568/getInfo.php?workbook=10_05.xlsx&amp;sheet=A0&amp;row=3188&amp;col=7&amp;number=0&amp;sourceID=14","0")</f>
        <v>0</v>
      </c>
    </row>
    <row r="3189" spans="1:7">
      <c r="A3189" s="3">
        <v>10</v>
      </c>
      <c r="B3189" s="3">
        <v>5</v>
      </c>
      <c r="C3189" s="3">
        <v>165</v>
      </c>
      <c r="D3189" s="3">
        <v>60</v>
      </c>
      <c r="E3189" s="3">
        <v>-496.772</v>
      </c>
      <c r="F3189" s="4" t="str">
        <f>HYPERLINK("http://141.218.60.56/~jnz1568/getInfo.php?workbook=10_05.xlsx&amp;sheet=A0&amp;row=3189&amp;col=6&amp;number=6500000000&amp;sourceID=14","6500000000")</f>
        <v>6500000000</v>
      </c>
      <c r="G3189" s="4" t="str">
        <f>HYPERLINK("http://141.218.60.56/~jnz1568/getInfo.php?workbook=10_05.xlsx&amp;sheet=A0&amp;row=3189&amp;col=7&amp;number=0&amp;sourceID=14","0")</f>
        <v>0</v>
      </c>
    </row>
    <row r="3190" spans="1:7">
      <c r="A3190" s="3">
        <v>10</v>
      </c>
      <c r="B3190" s="3">
        <v>5</v>
      </c>
      <c r="C3190" s="3">
        <v>167</v>
      </c>
      <c r="D3190" s="3">
        <v>60</v>
      </c>
      <c r="E3190" s="3">
        <v>-437.787</v>
      </c>
      <c r="F3190" s="4" t="str">
        <f>HYPERLINK("http://141.218.60.56/~jnz1568/getInfo.php?workbook=10_05.xlsx&amp;sheet=A0&amp;row=3190&amp;col=6&amp;number=1640000000&amp;sourceID=14","1640000000")</f>
        <v>1640000000</v>
      </c>
      <c r="G3190" s="4" t="str">
        <f>HYPERLINK("http://141.218.60.56/~jnz1568/getInfo.php?workbook=10_05.xlsx&amp;sheet=A0&amp;row=3190&amp;col=7&amp;number=0&amp;sourceID=14","0")</f>
        <v>0</v>
      </c>
    </row>
    <row r="3191" spans="1:7">
      <c r="A3191" s="3">
        <v>10</v>
      </c>
      <c r="B3191" s="3">
        <v>5</v>
      </c>
      <c r="C3191" s="3">
        <v>175</v>
      </c>
      <c r="D3191" s="3">
        <v>60</v>
      </c>
      <c r="E3191" s="3">
        <v>-384.769</v>
      </c>
      <c r="F3191" s="4" t="str">
        <f>HYPERLINK("http://141.218.60.56/~jnz1568/getInfo.php?workbook=10_05.xlsx&amp;sheet=A0&amp;row=3191&amp;col=6&amp;number=9830000000&amp;sourceID=14","9830000000")</f>
        <v>9830000000</v>
      </c>
      <c r="G3191" s="4" t="str">
        <f>HYPERLINK("http://141.218.60.56/~jnz1568/getInfo.php?workbook=10_05.xlsx&amp;sheet=A0&amp;row=3191&amp;col=7&amp;number=0&amp;sourceID=14","0")</f>
        <v>0</v>
      </c>
    </row>
    <row r="3192" spans="1:7">
      <c r="A3192" s="3">
        <v>10</v>
      </c>
      <c r="B3192" s="3">
        <v>5</v>
      </c>
      <c r="C3192" s="3">
        <v>176</v>
      </c>
      <c r="D3192" s="3">
        <v>60</v>
      </c>
      <c r="E3192" s="3">
        <v>-384.767</v>
      </c>
      <c r="F3192" s="4" t="str">
        <f>HYPERLINK("http://141.218.60.56/~jnz1568/getInfo.php?workbook=10_05.xlsx&amp;sheet=A0&amp;row=3192&amp;col=6&amp;number=669000000&amp;sourceID=14","669000000")</f>
        <v>669000000</v>
      </c>
      <c r="G3192" s="4" t="str">
        <f>HYPERLINK("http://141.218.60.56/~jnz1568/getInfo.php?workbook=10_05.xlsx&amp;sheet=A0&amp;row=3192&amp;col=7&amp;number=0&amp;sourceID=14","0")</f>
        <v>0</v>
      </c>
    </row>
    <row r="3193" spans="1:7">
      <c r="A3193" s="3">
        <v>10</v>
      </c>
      <c r="B3193" s="3">
        <v>5</v>
      </c>
      <c r="C3193" s="3">
        <v>177</v>
      </c>
      <c r="D3193" s="3">
        <v>60</v>
      </c>
      <c r="E3193" s="3">
        <v>-383.452</v>
      </c>
      <c r="F3193" s="4" t="str">
        <f>HYPERLINK("http://141.218.60.56/~jnz1568/getInfo.php?workbook=10_05.xlsx&amp;sheet=A0&amp;row=3193&amp;col=6&amp;number=205000000&amp;sourceID=14","205000000")</f>
        <v>205000000</v>
      </c>
      <c r="G3193" s="4" t="str">
        <f>HYPERLINK("http://141.218.60.56/~jnz1568/getInfo.php?workbook=10_05.xlsx&amp;sheet=A0&amp;row=3193&amp;col=7&amp;number=0&amp;sourceID=14","0")</f>
        <v>0</v>
      </c>
    </row>
    <row r="3194" spans="1:7">
      <c r="A3194" s="3">
        <v>10</v>
      </c>
      <c r="B3194" s="3">
        <v>5</v>
      </c>
      <c r="C3194" s="3">
        <v>178</v>
      </c>
      <c r="D3194" s="3">
        <v>60</v>
      </c>
      <c r="E3194" s="3">
        <v>-383.388</v>
      </c>
      <c r="F3194" s="4" t="str">
        <f>HYPERLINK("http://141.218.60.56/~jnz1568/getInfo.php?workbook=10_05.xlsx&amp;sheet=A0&amp;row=3194&amp;col=6&amp;number=1900000000&amp;sourceID=14","1900000000")</f>
        <v>1900000000</v>
      </c>
      <c r="G3194" s="4" t="str">
        <f>HYPERLINK("http://141.218.60.56/~jnz1568/getInfo.php?workbook=10_05.xlsx&amp;sheet=A0&amp;row=3194&amp;col=7&amp;number=0&amp;sourceID=14","0")</f>
        <v>0</v>
      </c>
    </row>
    <row r="3195" spans="1:7">
      <c r="A3195" s="3">
        <v>10</v>
      </c>
      <c r="B3195" s="3">
        <v>5</v>
      </c>
      <c r="C3195" s="3">
        <v>180</v>
      </c>
      <c r="D3195" s="3">
        <v>60</v>
      </c>
      <c r="E3195" s="3">
        <v>-377.472</v>
      </c>
      <c r="F3195" s="4" t="str">
        <f>HYPERLINK("http://141.218.60.56/~jnz1568/getInfo.php?workbook=10_05.xlsx&amp;sheet=A0&amp;row=3195&amp;col=6&amp;number=289000000&amp;sourceID=14","289000000")</f>
        <v>289000000</v>
      </c>
      <c r="G3195" s="4" t="str">
        <f>HYPERLINK("http://141.218.60.56/~jnz1568/getInfo.php?workbook=10_05.xlsx&amp;sheet=A0&amp;row=3195&amp;col=7&amp;number=0&amp;sourceID=14","0")</f>
        <v>0</v>
      </c>
    </row>
    <row r="3196" spans="1:7">
      <c r="A3196" s="3">
        <v>10</v>
      </c>
      <c r="B3196" s="3">
        <v>5</v>
      </c>
      <c r="C3196" s="3">
        <v>64</v>
      </c>
      <c r="D3196" s="3">
        <v>61</v>
      </c>
      <c r="E3196" s="3">
        <v>-5601.31</v>
      </c>
      <c r="F3196" s="4" t="str">
        <f>HYPERLINK("http://141.218.60.56/~jnz1568/getInfo.php?workbook=10_05.xlsx&amp;sheet=A0&amp;row=3196&amp;col=6&amp;number=118000&amp;sourceID=14","118000")</f>
        <v>118000</v>
      </c>
      <c r="G3196" s="4" t="str">
        <f>HYPERLINK("http://141.218.60.56/~jnz1568/getInfo.php?workbook=10_05.xlsx&amp;sheet=A0&amp;row=3196&amp;col=7&amp;number=0&amp;sourceID=14","0")</f>
        <v>0</v>
      </c>
    </row>
    <row r="3197" spans="1:7">
      <c r="A3197" s="3">
        <v>10</v>
      </c>
      <c r="B3197" s="3">
        <v>5</v>
      </c>
      <c r="C3197" s="3">
        <v>65</v>
      </c>
      <c r="D3197" s="3">
        <v>61</v>
      </c>
      <c r="E3197" s="3">
        <v>-5563.602</v>
      </c>
      <c r="F3197" s="4" t="str">
        <f>HYPERLINK("http://141.218.60.56/~jnz1568/getInfo.php?workbook=10_05.xlsx&amp;sheet=A0&amp;row=3197&amp;col=6&amp;number=53700&amp;sourceID=14","53700")</f>
        <v>53700</v>
      </c>
      <c r="G3197" s="4" t="str">
        <f>HYPERLINK("http://141.218.60.56/~jnz1568/getInfo.php?workbook=10_05.xlsx&amp;sheet=A0&amp;row=3197&amp;col=7&amp;number=0&amp;sourceID=14","0")</f>
        <v>0</v>
      </c>
    </row>
    <row r="3198" spans="1:7">
      <c r="A3198" s="3">
        <v>10</v>
      </c>
      <c r="B3198" s="3">
        <v>5</v>
      </c>
      <c r="C3198" s="3">
        <v>73</v>
      </c>
      <c r="D3198" s="3">
        <v>61</v>
      </c>
      <c r="E3198" s="3">
        <v>2355.162</v>
      </c>
      <c r="F3198" s="4" t="str">
        <f>HYPERLINK("http://141.218.60.56/~jnz1568/getInfo.php?workbook=10_05.xlsx&amp;sheet=A0&amp;row=3198&amp;col=6&amp;number=66700000&amp;sourceID=14","66700000")</f>
        <v>66700000</v>
      </c>
      <c r="G3198" s="4" t="str">
        <f>HYPERLINK("http://141.218.60.56/~jnz1568/getInfo.php?workbook=10_05.xlsx&amp;sheet=A0&amp;row=3198&amp;col=7&amp;number=0&amp;sourceID=14","0")</f>
        <v>0</v>
      </c>
    </row>
    <row r="3199" spans="1:7">
      <c r="A3199" s="3">
        <v>10</v>
      </c>
      <c r="B3199" s="3">
        <v>5</v>
      </c>
      <c r="C3199" s="3">
        <v>75</v>
      </c>
      <c r="D3199" s="3">
        <v>61</v>
      </c>
      <c r="E3199" s="3">
        <v>2238.142</v>
      </c>
      <c r="F3199" s="4" t="str">
        <f>HYPERLINK("http://141.218.60.56/~jnz1568/getInfo.php?workbook=10_05.xlsx&amp;sheet=A0&amp;row=3199&amp;col=6&amp;number=31200000&amp;sourceID=14","31200000")</f>
        <v>31200000</v>
      </c>
      <c r="G3199" s="4" t="str">
        <f>HYPERLINK("http://141.218.60.56/~jnz1568/getInfo.php?workbook=10_05.xlsx&amp;sheet=A0&amp;row=3199&amp;col=7&amp;number=0&amp;sourceID=14","0")</f>
        <v>0</v>
      </c>
    </row>
    <row r="3200" spans="1:7">
      <c r="A3200" s="3">
        <v>10</v>
      </c>
      <c r="B3200" s="3">
        <v>5</v>
      </c>
      <c r="C3200" s="3">
        <v>76</v>
      </c>
      <c r="D3200" s="3">
        <v>61</v>
      </c>
      <c r="E3200" s="3">
        <v>2238.142</v>
      </c>
      <c r="F3200" s="4" t="str">
        <f>HYPERLINK("http://141.218.60.56/~jnz1568/getInfo.php?workbook=10_05.xlsx&amp;sheet=A0&amp;row=3200&amp;col=6&amp;number=6650000&amp;sourceID=14","6650000")</f>
        <v>6650000</v>
      </c>
      <c r="G3200" s="4" t="str">
        <f>HYPERLINK("http://141.218.60.56/~jnz1568/getInfo.php?workbook=10_05.xlsx&amp;sheet=A0&amp;row=3200&amp;col=7&amp;number=0&amp;sourceID=14","0")</f>
        <v>0</v>
      </c>
    </row>
    <row r="3201" spans="1:7">
      <c r="A3201" s="3">
        <v>10</v>
      </c>
      <c r="B3201" s="3">
        <v>5</v>
      </c>
      <c r="C3201" s="3">
        <v>79</v>
      </c>
      <c r="D3201" s="3">
        <v>61</v>
      </c>
      <c r="E3201" s="3">
        <v>-1485.114</v>
      </c>
      <c r="F3201" s="4" t="str">
        <f>HYPERLINK("http://141.218.60.56/~jnz1568/getInfo.php?workbook=10_05.xlsx&amp;sheet=A0&amp;row=3201&amp;col=6&amp;number=21400000&amp;sourceID=14","21400000")</f>
        <v>21400000</v>
      </c>
      <c r="G3201" s="4" t="str">
        <f>HYPERLINK("http://141.218.60.56/~jnz1568/getInfo.php?workbook=10_05.xlsx&amp;sheet=A0&amp;row=3201&amp;col=7&amp;number=0&amp;sourceID=14","0")</f>
        <v>0</v>
      </c>
    </row>
    <row r="3202" spans="1:7">
      <c r="A3202" s="3">
        <v>10</v>
      </c>
      <c r="B3202" s="3">
        <v>5</v>
      </c>
      <c r="C3202" s="3">
        <v>82</v>
      </c>
      <c r="D3202" s="3">
        <v>61</v>
      </c>
      <c r="E3202" s="3">
        <v>1344.088</v>
      </c>
      <c r="F3202" s="4" t="str">
        <f>HYPERLINK("http://141.218.60.56/~jnz1568/getInfo.php?workbook=10_05.xlsx&amp;sheet=A0&amp;row=3202&amp;col=6&amp;number=225000&amp;sourceID=14","225000")</f>
        <v>225000</v>
      </c>
      <c r="G3202" s="4" t="str">
        <f>HYPERLINK("http://141.218.60.56/~jnz1568/getInfo.php?workbook=10_05.xlsx&amp;sheet=A0&amp;row=3202&amp;col=7&amp;number=0&amp;sourceID=14","0")</f>
        <v>0</v>
      </c>
    </row>
    <row r="3203" spans="1:7">
      <c r="A3203" s="3">
        <v>10</v>
      </c>
      <c r="B3203" s="3">
        <v>5</v>
      </c>
      <c r="C3203" s="3">
        <v>83</v>
      </c>
      <c r="D3203" s="3">
        <v>61</v>
      </c>
      <c r="E3203" s="3">
        <v>1344.088</v>
      </c>
      <c r="F3203" s="4" t="str">
        <f>HYPERLINK("http://141.218.60.56/~jnz1568/getInfo.php?workbook=10_05.xlsx&amp;sheet=A0&amp;row=3203&amp;col=6&amp;number=16000&amp;sourceID=14","16000")</f>
        <v>16000</v>
      </c>
      <c r="G3203" s="4" t="str">
        <f>HYPERLINK("http://141.218.60.56/~jnz1568/getInfo.php?workbook=10_05.xlsx&amp;sheet=A0&amp;row=3203&amp;col=7&amp;number=0&amp;sourceID=14","0")</f>
        <v>0</v>
      </c>
    </row>
    <row r="3204" spans="1:7">
      <c r="A3204" s="3">
        <v>10</v>
      </c>
      <c r="B3204" s="3">
        <v>5</v>
      </c>
      <c r="C3204" s="3">
        <v>88</v>
      </c>
      <c r="D3204" s="3">
        <v>61</v>
      </c>
      <c r="E3204" s="3">
        <v>1289.493</v>
      </c>
      <c r="F3204" s="4" t="str">
        <f>HYPERLINK("http://141.218.60.56/~jnz1568/getInfo.php?workbook=10_05.xlsx&amp;sheet=A0&amp;row=3204&amp;col=6&amp;number=39400&amp;sourceID=14","39400")</f>
        <v>39400</v>
      </c>
      <c r="G3204" s="4" t="str">
        <f>HYPERLINK("http://141.218.60.56/~jnz1568/getInfo.php?workbook=10_05.xlsx&amp;sheet=A0&amp;row=3204&amp;col=7&amp;number=0&amp;sourceID=14","0")</f>
        <v>0</v>
      </c>
    </row>
    <row r="3205" spans="1:7">
      <c r="A3205" s="3">
        <v>10</v>
      </c>
      <c r="B3205" s="3">
        <v>5</v>
      </c>
      <c r="C3205" s="3">
        <v>89</v>
      </c>
      <c r="D3205" s="3">
        <v>61</v>
      </c>
      <c r="E3205" s="3">
        <v>1283.37</v>
      </c>
      <c r="F3205" s="4" t="str">
        <f>HYPERLINK("http://141.218.60.56/~jnz1568/getInfo.php?workbook=10_05.xlsx&amp;sheet=A0&amp;row=3205&amp;col=6&amp;number=276000&amp;sourceID=14","276000")</f>
        <v>276000</v>
      </c>
      <c r="G3205" s="4" t="str">
        <f>HYPERLINK("http://141.218.60.56/~jnz1568/getInfo.php?workbook=10_05.xlsx&amp;sheet=A0&amp;row=3205&amp;col=7&amp;number=0&amp;sourceID=14","0")</f>
        <v>0</v>
      </c>
    </row>
    <row r="3206" spans="1:7">
      <c r="A3206" s="3">
        <v>10</v>
      </c>
      <c r="B3206" s="3">
        <v>5</v>
      </c>
      <c r="C3206" s="3">
        <v>91</v>
      </c>
      <c r="D3206" s="3">
        <v>61</v>
      </c>
      <c r="E3206" s="3">
        <v>-1157.758</v>
      </c>
      <c r="F3206" s="4" t="str">
        <f>HYPERLINK("http://141.218.60.56/~jnz1568/getInfo.php?workbook=10_05.xlsx&amp;sheet=A0&amp;row=3206&amp;col=6&amp;number=350000000&amp;sourceID=14","350000000")</f>
        <v>350000000</v>
      </c>
      <c r="G3206" s="4" t="str">
        <f>HYPERLINK("http://141.218.60.56/~jnz1568/getInfo.php?workbook=10_05.xlsx&amp;sheet=A0&amp;row=3206&amp;col=7&amp;number=0&amp;sourceID=14","0")</f>
        <v>0</v>
      </c>
    </row>
    <row r="3207" spans="1:7">
      <c r="A3207" s="3">
        <v>10</v>
      </c>
      <c r="B3207" s="3">
        <v>5</v>
      </c>
      <c r="C3207" s="3">
        <v>93</v>
      </c>
      <c r="D3207" s="3">
        <v>61</v>
      </c>
      <c r="E3207" s="3">
        <v>-1053.01</v>
      </c>
      <c r="F3207" s="4" t="str">
        <f>HYPERLINK("http://141.218.60.56/~jnz1568/getInfo.php?workbook=10_05.xlsx&amp;sheet=A0&amp;row=3207&amp;col=6&amp;number=281000000&amp;sourceID=14","281000000")</f>
        <v>281000000</v>
      </c>
      <c r="G3207" s="4" t="str">
        <f>HYPERLINK("http://141.218.60.56/~jnz1568/getInfo.php?workbook=10_05.xlsx&amp;sheet=A0&amp;row=3207&amp;col=7&amp;number=0&amp;sourceID=14","0")</f>
        <v>0</v>
      </c>
    </row>
    <row r="3208" spans="1:7">
      <c r="A3208" s="3">
        <v>10</v>
      </c>
      <c r="B3208" s="3">
        <v>5</v>
      </c>
      <c r="C3208" s="3">
        <v>94</v>
      </c>
      <c r="D3208" s="3">
        <v>61</v>
      </c>
      <c r="E3208" s="3">
        <v>-1051.306</v>
      </c>
      <c r="F3208" s="4" t="str">
        <f>HYPERLINK("http://141.218.60.56/~jnz1568/getInfo.php?workbook=10_05.xlsx&amp;sheet=A0&amp;row=3208&amp;col=6&amp;number=70200000&amp;sourceID=14","70200000")</f>
        <v>70200000</v>
      </c>
      <c r="G3208" s="4" t="str">
        <f>HYPERLINK("http://141.218.60.56/~jnz1568/getInfo.php?workbook=10_05.xlsx&amp;sheet=A0&amp;row=3208&amp;col=7&amp;number=0&amp;sourceID=14","0")</f>
        <v>0</v>
      </c>
    </row>
    <row r="3209" spans="1:7">
      <c r="A3209" s="3">
        <v>10</v>
      </c>
      <c r="B3209" s="3">
        <v>5</v>
      </c>
      <c r="C3209" s="3">
        <v>95</v>
      </c>
      <c r="D3209" s="3">
        <v>61</v>
      </c>
      <c r="E3209" s="3">
        <v>1048.33</v>
      </c>
      <c r="F3209" s="4" t="str">
        <f>HYPERLINK("http://141.218.60.56/~jnz1568/getInfo.php?workbook=10_05.xlsx&amp;sheet=A0&amp;row=3209&amp;col=6&amp;number=28500&amp;sourceID=14","28500")</f>
        <v>28500</v>
      </c>
      <c r="G3209" s="4" t="str">
        <f>HYPERLINK("http://141.218.60.56/~jnz1568/getInfo.php?workbook=10_05.xlsx&amp;sheet=A0&amp;row=3209&amp;col=7&amp;number=0&amp;sourceID=14","0")</f>
        <v>0</v>
      </c>
    </row>
    <row r="3210" spans="1:7">
      <c r="A3210" s="3">
        <v>10</v>
      </c>
      <c r="B3210" s="3">
        <v>5</v>
      </c>
      <c r="C3210" s="3">
        <v>98</v>
      </c>
      <c r="D3210" s="3">
        <v>61</v>
      </c>
      <c r="E3210" s="3">
        <v>-894.416</v>
      </c>
      <c r="F3210" s="4" t="str">
        <f>HYPERLINK("http://141.218.60.56/~jnz1568/getInfo.php?workbook=10_05.xlsx&amp;sheet=A0&amp;row=3210&amp;col=6&amp;number=120000&amp;sourceID=14","120000")</f>
        <v>120000</v>
      </c>
      <c r="G3210" s="4" t="str">
        <f>HYPERLINK("http://141.218.60.56/~jnz1568/getInfo.php?workbook=10_05.xlsx&amp;sheet=A0&amp;row=3210&amp;col=7&amp;number=0&amp;sourceID=14","0")</f>
        <v>0</v>
      </c>
    </row>
    <row r="3211" spans="1:7">
      <c r="A3211" s="3">
        <v>10</v>
      </c>
      <c r="B3211" s="3">
        <v>5</v>
      </c>
      <c r="C3211" s="3">
        <v>101</v>
      </c>
      <c r="D3211" s="3">
        <v>61</v>
      </c>
      <c r="E3211" s="3">
        <v>-890.997</v>
      </c>
      <c r="F3211" s="4" t="str">
        <f>HYPERLINK("http://141.218.60.56/~jnz1568/getInfo.php?workbook=10_05.xlsx&amp;sheet=A0&amp;row=3211&amp;col=6&amp;number=74700&amp;sourceID=14","74700")</f>
        <v>74700</v>
      </c>
      <c r="G3211" s="4" t="str">
        <f>HYPERLINK("http://141.218.60.56/~jnz1568/getInfo.php?workbook=10_05.xlsx&amp;sheet=A0&amp;row=3211&amp;col=7&amp;number=0&amp;sourceID=14","0")</f>
        <v>0</v>
      </c>
    </row>
    <row r="3212" spans="1:7">
      <c r="A3212" s="3">
        <v>10</v>
      </c>
      <c r="B3212" s="3">
        <v>5</v>
      </c>
      <c r="C3212" s="3">
        <v>110</v>
      </c>
      <c r="D3212" s="3">
        <v>61</v>
      </c>
      <c r="E3212" s="3">
        <v>-838.344</v>
      </c>
      <c r="F3212" s="4" t="str">
        <f>HYPERLINK("http://141.218.60.56/~jnz1568/getInfo.php?workbook=10_05.xlsx&amp;sheet=A0&amp;row=3212&amp;col=6&amp;number=169000000&amp;sourceID=14","169000000")</f>
        <v>169000000</v>
      </c>
      <c r="G3212" s="4" t="str">
        <f>HYPERLINK("http://141.218.60.56/~jnz1568/getInfo.php?workbook=10_05.xlsx&amp;sheet=A0&amp;row=3212&amp;col=7&amp;number=0&amp;sourceID=14","0")</f>
        <v>0</v>
      </c>
    </row>
    <row r="3213" spans="1:7">
      <c r="A3213" s="3">
        <v>10</v>
      </c>
      <c r="B3213" s="3">
        <v>5</v>
      </c>
      <c r="C3213" s="3">
        <v>112</v>
      </c>
      <c r="D3213" s="3">
        <v>61</v>
      </c>
      <c r="E3213" s="3">
        <v>-833.759</v>
      </c>
      <c r="F3213" s="4" t="str">
        <f>HYPERLINK("http://141.218.60.56/~jnz1568/getInfo.php?workbook=10_05.xlsx&amp;sheet=A0&amp;row=3213&amp;col=6&amp;number=42000000&amp;sourceID=14","42000000")</f>
        <v>42000000</v>
      </c>
      <c r="G3213" s="4" t="str">
        <f>HYPERLINK("http://141.218.60.56/~jnz1568/getInfo.php?workbook=10_05.xlsx&amp;sheet=A0&amp;row=3213&amp;col=7&amp;number=0&amp;sourceID=14","0")</f>
        <v>0</v>
      </c>
    </row>
    <row r="3214" spans="1:7">
      <c r="A3214" s="3">
        <v>10</v>
      </c>
      <c r="B3214" s="3">
        <v>5</v>
      </c>
      <c r="C3214" s="3">
        <v>114</v>
      </c>
      <c r="D3214" s="3">
        <v>61</v>
      </c>
      <c r="E3214" s="3">
        <v>828.433</v>
      </c>
      <c r="F3214" s="4" t="str">
        <f>HYPERLINK("http://141.218.60.56/~jnz1568/getInfo.php?workbook=10_05.xlsx&amp;sheet=A0&amp;row=3214&amp;col=6&amp;number=208000000&amp;sourceID=14","208000000")</f>
        <v>208000000</v>
      </c>
      <c r="G3214" s="4" t="str">
        <f>HYPERLINK("http://141.218.60.56/~jnz1568/getInfo.php?workbook=10_05.xlsx&amp;sheet=A0&amp;row=3214&amp;col=7&amp;number=0&amp;sourceID=14","0")</f>
        <v>0</v>
      </c>
    </row>
    <row r="3215" spans="1:7">
      <c r="A3215" s="3">
        <v>10</v>
      </c>
      <c r="B3215" s="3">
        <v>5</v>
      </c>
      <c r="C3215" s="3">
        <v>127</v>
      </c>
      <c r="D3215" s="3">
        <v>61</v>
      </c>
      <c r="E3215" s="3">
        <v>-750.076</v>
      </c>
      <c r="F3215" s="4" t="str">
        <f>HYPERLINK("http://141.218.60.56/~jnz1568/getInfo.php?workbook=10_05.xlsx&amp;sheet=A0&amp;row=3215&amp;col=6&amp;number=46800000&amp;sourceID=14","46800000")</f>
        <v>46800000</v>
      </c>
      <c r="G3215" s="4" t="str">
        <f>HYPERLINK("http://141.218.60.56/~jnz1568/getInfo.php?workbook=10_05.xlsx&amp;sheet=A0&amp;row=3215&amp;col=7&amp;number=0&amp;sourceID=14","0")</f>
        <v>0</v>
      </c>
    </row>
    <row r="3216" spans="1:7">
      <c r="A3216" s="3">
        <v>10</v>
      </c>
      <c r="B3216" s="3">
        <v>5</v>
      </c>
      <c r="C3216" s="3">
        <v>128</v>
      </c>
      <c r="D3216" s="3">
        <v>61</v>
      </c>
      <c r="E3216" s="3">
        <v>-747.559</v>
      </c>
      <c r="F3216" s="4" t="str">
        <f>HYPERLINK("http://141.218.60.56/~jnz1568/getInfo.php?workbook=10_05.xlsx&amp;sheet=A0&amp;row=3216&amp;col=6&amp;number=9590000&amp;sourceID=14","9590000")</f>
        <v>9590000</v>
      </c>
      <c r="G3216" s="4" t="str">
        <f>HYPERLINK("http://141.218.60.56/~jnz1568/getInfo.php?workbook=10_05.xlsx&amp;sheet=A0&amp;row=3216&amp;col=7&amp;number=0&amp;sourceID=14","0")</f>
        <v>0</v>
      </c>
    </row>
    <row r="3217" spans="1:7">
      <c r="A3217" s="3">
        <v>10</v>
      </c>
      <c r="B3217" s="3">
        <v>5</v>
      </c>
      <c r="C3217" s="3">
        <v>134</v>
      </c>
      <c r="D3217" s="3">
        <v>61</v>
      </c>
      <c r="E3217" s="3">
        <v>-723.344</v>
      </c>
      <c r="F3217" s="4" t="str">
        <f>HYPERLINK("http://141.218.60.56/~jnz1568/getInfo.php?workbook=10_05.xlsx&amp;sheet=A0&amp;row=3217&amp;col=6&amp;number=20800&amp;sourceID=14","20800")</f>
        <v>20800</v>
      </c>
      <c r="G3217" s="4" t="str">
        <f>HYPERLINK("http://141.218.60.56/~jnz1568/getInfo.php?workbook=10_05.xlsx&amp;sheet=A0&amp;row=3217&amp;col=7&amp;number=0&amp;sourceID=14","0")</f>
        <v>0</v>
      </c>
    </row>
    <row r="3218" spans="1:7">
      <c r="A3218" s="3">
        <v>10</v>
      </c>
      <c r="B3218" s="3">
        <v>5</v>
      </c>
      <c r="C3218" s="3">
        <v>141</v>
      </c>
      <c r="D3218" s="3">
        <v>61</v>
      </c>
      <c r="E3218" s="3">
        <v>-699.527</v>
      </c>
      <c r="F3218" s="4" t="str">
        <f>HYPERLINK("http://141.218.60.56/~jnz1568/getInfo.php?workbook=10_05.xlsx&amp;sheet=A0&amp;row=3218&amp;col=6&amp;number=54100&amp;sourceID=14","54100")</f>
        <v>54100</v>
      </c>
      <c r="G3218" s="4" t="str">
        <f>HYPERLINK("http://141.218.60.56/~jnz1568/getInfo.php?workbook=10_05.xlsx&amp;sheet=A0&amp;row=3218&amp;col=7&amp;number=0&amp;sourceID=14","0")</f>
        <v>0</v>
      </c>
    </row>
    <row r="3219" spans="1:7">
      <c r="A3219" s="3">
        <v>10</v>
      </c>
      <c r="B3219" s="3">
        <v>5</v>
      </c>
      <c r="C3219" s="3">
        <v>142</v>
      </c>
      <c r="D3219" s="3">
        <v>61</v>
      </c>
      <c r="E3219" s="3">
        <v>699.302</v>
      </c>
      <c r="F3219" s="4" t="str">
        <f>HYPERLINK("http://141.218.60.56/~jnz1568/getInfo.php?workbook=10_05.xlsx&amp;sheet=A0&amp;row=3219&amp;col=6&amp;number=82800&amp;sourceID=14","82800")</f>
        <v>82800</v>
      </c>
      <c r="G3219" s="4" t="str">
        <f>HYPERLINK("http://141.218.60.56/~jnz1568/getInfo.php?workbook=10_05.xlsx&amp;sheet=A0&amp;row=3219&amp;col=7&amp;number=0&amp;sourceID=14","0")</f>
        <v>0</v>
      </c>
    </row>
    <row r="3220" spans="1:7">
      <c r="A3220" s="3">
        <v>10</v>
      </c>
      <c r="B3220" s="3">
        <v>5</v>
      </c>
      <c r="C3220" s="3">
        <v>145</v>
      </c>
      <c r="D3220" s="3">
        <v>61</v>
      </c>
      <c r="E3220" s="3">
        <v>692.714</v>
      </c>
      <c r="F3220" s="4" t="str">
        <f>HYPERLINK("http://141.218.60.56/~jnz1568/getInfo.php?workbook=10_05.xlsx&amp;sheet=A0&amp;row=3220&amp;col=6&amp;number=9290000&amp;sourceID=14","9290000")</f>
        <v>9290000</v>
      </c>
      <c r="G3220" s="4" t="str">
        <f>HYPERLINK("http://141.218.60.56/~jnz1568/getInfo.php?workbook=10_05.xlsx&amp;sheet=A0&amp;row=3220&amp;col=7&amp;number=0&amp;sourceID=14","0")</f>
        <v>0</v>
      </c>
    </row>
    <row r="3221" spans="1:7">
      <c r="A3221" s="3">
        <v>10</v>
      </c>
      <c r="B3221" s="3">
        <v>5</v>
      </c>
      <c r="C3221" s="3">
        <v>148</v>
      </c>
      <c r="D3221" s="3">
        <v>61</v>
      </c>
      <c r="E3221" s="3">
        <v>689.419</v>
      </c>
      <c r="F3221" s="4" t="str">
        <f>HYPERLINK("http://141.218.60.56/~jnz1568/getInfo.php?workbook=10_05.xlsx&amp;sheet=A0&amp;row=3221&amp;col=6&amp;number=4660000&amp;sourceID=14","4660000")</f>
        <v>4660000</v>
      </c>
      <c r="G3221" s="4" t="str">
        <f>HYPERLINK("http://141.218.60.56/~jnz1568/getInfo.php?workbook=10_05.xlsx&amp;sheet=A0&amp;row=3221&amp;col=7&amp;number=0&amp;sourceID=14","0")</f>
        <v>0</v>
      </c>
    </row>
    <row r="3222" spans="1:7">
      <c r="A3222" s="3">
        <v>10</v>
      </c>
      <c r="B3222" s="3">
        <v>5</v>
      </c>
      <c r="C3222" s="3">
        <v>149</v>
      </c>
      <c r="D3222" s="3">
        <v>61</v>
      </c>
      <c r="E3222" s="3">
        <v>688.944</v>
      </c>
      <c r="F3222" s="4" t="str">
        <f>HYPERLINK("http://141.218.60.56/~jnz1568/getInfo.php?workbook=10_05.xlsx&amp;sheet=A0&amp;row=3222&amp;col=6&amp;number=2570&amp;sourceID=14","2570")</f>
        <v>2570</v>
      </c>
      <c r="G3222" s="4" t="str">
        <f>HYPERLINK("http://141.218.60.56/~jnz1568/getInfo.php?workbook=10_05.xlsx&amp;sheet=A0&amp;row=3222&amp;col=7&amp;number=0&amp;sourceID=14","0")</f>
        <v>0</v>
      </c>
    </row>
    <row r="3223" spans="1:7">
      <c r="A3223" s="3">
        <v>10</v>
      </c>
      <c r="B3223" s="3">
        <v>5</v>
      </c>
      <c r="C3223" s="3">
        <v>158</v>
      </c>
      <c r="D3223" s="3">
        <v>61</v>
      </c>
      <c r="E3223" s="3">
        <v>-653.148</v>
      </c>
      <c r="F3223" s="4" t="str">
        <f>HYPERLINK("http://141.218.60.56/~jnz1568/getInfo.php?workbook=10_05.xlsx&amp;sheet=A0&amp;row=3223&amp;col=6&amp;number=5510000&amp;sourceID=14","5510000")</f>
        <v>5510000</v>
      </c>
      <c r="G3223" s="4" t="str">
        <f>HYPERLINK("http://141.218.60.56/~jnz1568/getInfo.php?workbook=10_05.xlsx&amp;sheet=A0&amp;row=3223&amp;col=7&amp;number=0&amp;sourceID=14","0")</f>
        <v>0</v>
      </c>
    </row>
    <row r="3224" spans="1:7">
      <c r="A3224" s="3">
        <v>10</v>
      </c>
      <c r="B3224" s="3">
        <v>5</v>
      </c>
      <c r="C3224" s="3">
        <v>159</v>
      </c>
      <c r="D3224" s="3">
        <v>61</v>
      </c>
      <c r="E3224" s="3">
        <v>-651.327</v>
      </c>
      <c r="F3224" s="4" t="str">
        <f>HYPERLINK("http://141.218.60.56/~jnz1568/getInfo.php?workbook=10_05.xlsx&amp;sheet=A0&amp;row=3224&amp;col=6&amp;number=16500000&amp;sourceID=14","16500000")</f>
        <v>16500000</v>
      </c>
      <c r="G3224" s="4" t="str">
        <f>HYPERLINK("http://141.218.60.56/~jnz1568/getInfo.php?workbook=10_05.xlsx&amp;sheet=A0&amp;row=3224&amp;col=7&amp;number=0&amp;sourceID=14","0")</f>
        <v>0</v>
      </c>
    </row>
    <row r="3225" spans="1:7">
      <c r="A3225" s="3">
        <v>10</v>
      </c>
      <c r="B3225" s="3">
        <v>5</v>
      </c>
      <c r="C3225" s="3">
        <v>164</v>
      </c>
      <c r="D3225" s="3">
        <v>61</v>
      </c>
      <c r="E3225" s="3">
        <v>-500.855</v>
      </c>
      <c r="F3225" s="4" t="str">
        <f>HYPERLINK("http://141.218.60.56/~jnz1568/getInfo.php?workbook=10_05.xlsx&amp;sheet=A0&amp;row=3225&amp;col=6&amp;number=889000000&amp;sourceID=14","889000000")</f>
        <v>889000000</v>
      </c>
      <c r="G3225" s="4" t="str">
        <f>HYPERLINK("http://141.218.60.56/~jnz1568/getInfo.php?workbook=10_05.xlsx&amp;sheet=A0&amp;row=3225&amp;col=7&amp;number=0&amp;sourceID=14","0")</f>
        <v>0</v>
      </c>
    </row>
    <row r="3226" spans="1:7">
      <c r="A3226" s="3">
        <v>10</v>
      </c>
      <c r="B3226" s="3">
        <v>5</v>
      </c>
      <c r="C3226" s="3">
        <v>165</v>
      </c>
      <c r="D3226" s="3">
        <v>61</v>
      </c>
      <c r="E3226" s="3">
        <v>-500.511</v>
      </c>
      <c r="F3226" s="4" t="str">
        <f>HYPERLINK("http://141.218.60.56/~jnz1568/getInfo.php?workbook=10_05.xlsx&amp;sheet=A0&amp;row=3226&amp;col=6&amp;number=218000000&amp;sourceID=14","218000000")</f>
        <v>218000000</v>
      </c>
      <c r="G3226" s="4" t="str">
        <f>HYPERLINK("http://141.218.60.56/~jnz1568/getInfo.php?workbook=10_05.xlsx&amp;sheet=A0&amp;row=3226&amp;col=7&amp;number=0&amp;sourceID=14","0")</f>
        <v>0</v>
      </c>
    </row>
    <row r="3227" spans="1:7">
      <c r="A3227" s="3">
        <v>10</v>
      </c>
      <c r="B3227" s="3">
        <v>5</v>
      </c>
      <c r="C3227" s="3">
        <v>166</v>
      </c>
      <c r="D3227" s="3">
        <v>61</v>
      </c>
      <c r="E3227" s="3">
        <v>-440.77</v>
      </c>
      <c r="F3227" s="4" t="str">
        <f>HYPERLINK("http://141.218.60.56/~jnz1568/getInfo.php?workbook=10_05.xlsx&amp;sheet=A0&amp;row=3227&amp;col=6&amp;number=2380000000&amp;sourceID=14","2380000000")</f>
        <v>2380000000</v>
      </c>
      <c r="G3227" s="4" t="str">
        <f>HYPERLINK("http://141.218.60.56/~jnz1568/getInfo.php?workbook=10_05.xlsx&amp;sheet=A0&amp;row=3227&amp;col=7&amp;number=0&amp;sourceID=14","0")</f>
        <v>0</v>
      </c>
    </row>
    <row r="3228" spans="1:7">
      <c r="A3228" s="3">
        <v>10</v>
      </c>
      <c r="B3228" s="3">
        <v>5</v>
      </c>
      <c r="C3228" s="3">
        <v>167</v>
      </c>
      <c r="D3228" s="3">
        <v>61</v>
      </c>
      <c r="E3228" s="3">
        <v>-440.689</v>
      </c>
      <c r="F3228" s="4" t="str">
        <f>HYPERLINK("http://141.218.60.56/~jnz1568/getInfo.php?workbook=10_05.xlsx&amp;sheet=A0&amp;row=3228&amp;col=6&amp;number=570000000&amp;sourceID=14","570000000")</f>
        <v>570000000</v>
      </c>
      <c r="G3228" s="4" t="str">
        <f>HYPERLINK("http://141.218.60.56/~jnz1568/getInfo.php?workbook=10_05.xlsx&amp;sheet=A0&amp;row=3228&amp;col=7&amp;number=0&amp;sourceID=14","0")</f>
        <v>0</v>
      </c>
    </row>
    <row r="3229" spans="1:7">
      <c r="A3229" s="3">
        <v>10</v>
      </c>
      <c r="B3229" s="3">
        <v>5</v>
      </c>
      <c r="C3229" s="3">
        <v>177</v>
      </c>
      <c r="D3229" s="3">
        <v>61</v>
      </c>
      <c r="E3229" s="3">
        <v>-385.677</v>
      </c>
      <c r="F3229" s="4" t="str">
        <f>HYPERLINK("http://141.218.60.56/~jnz1568/getInfo.php?workbook=10_05.xlsx&amp;sheet=A0&amp;row=3229&amp;col=6&amp;number=5330000000&amp;sourceID=14","5330000000")</f>
        <v>5330000000</v>
      </c>
      <c r="G3229" s="4" t="str">
        <f>HYPERLINK("http://141.218.60.56/~jnz1568/getInfo.php?workbook=10_05.xlsx&amp;sheet=A0&amp;row=3229&amp;col=7&amp;number=0&amp;sourceID=14","0")</f>
        <v>0</v>
      </c>
    </row>
    <row r="3230" spans="1:7">
      <c r="A3230" s="3">
        <v>10</v>
      </c>
      <c r="B3230" s="3">
        <v>5</v>
      </c>
      <c r="C3230" s="3">
        <v>179</v>
      </c>
      <c r="D3230" s="3">
        <v>61</v>
      </c>
      <c r="E3230" s="3">
        <v>-379.68</v>
      </c>
      <c r="F3230" s="4" t="str">
        <f>HYPERLINK("http://141.218.60.56/~jnz1568/getInfo.php?workbook=10_05.xlsx&amp;sheet=A0&amp;row=3230&amp;col=6&amp;number=1960000000&amp;sourceID=14","1960000000")</f>
        <v>1960000000</v>
      </c>
      <c r="G3230" s="4" t="str">
        <f>HYPERLINK("http://141.218.60.56/~jnz1568/getInfo.php?workbook=10_05.xlsx&amp;sheet=A0&amp;row=3230&amp;col=7&amp;number=0&amp;sourceID=14","0")</f>
        <v>0</v>
      </c>
    </row>
    <row r="3231" spans="1:7">
      <c r="A3231" s="3">
        <v>10</v>
      </c>
      <c r="B3231" s="3">
        <v>5</v>
      </c>
      <c r="C3231" s="3">
        <v>180</v>
      </c>
      <c r="D3231" s="3">
        <v>61</v>
      </c>
      <c r="E3231" s="3">
        <v>-379.627</v>
      </c>
      <c r="F3231" s="4" t="str">
        <f>HYPERLINK("http://141.218.60.56/~jnz1568/getInfo.php?workbook=10_05.xlsx&amp;sheet=A0&amp;row=3231&amp;col=6&amp;number=460000000&amp;sourceID=14","460000000")</f>
        <v>460000000</v>
      </c>
      <c r="G3231" s="4" t="str">
        <f>HYPERLINK("http://141.218.60.56/~jnz1568/getInfo.php?workbook=10_05.xlsx&amp;sheet=A0&amp;row=3231&amp;col=7&amp;number=0&amp;sourceID=14","0")</f>
        <v>0</v>
      </c>
    </row>
    <row r="3232" spans="1:7">
      <c r="A3232" s="3">
        <v>10</v>
      </c>
      <c r="B3232" s="3">
        <v>5</v>
      </c>
      <c r="C3232" s="3">
        <v>64</v>
      </c>
      <c r="D3232" s="3">
        <v>62</v>
      </c>
      <c r="E3232" s="3">
        <v>-5699.315</v>
      </c>
      <c r="F3232" s="4" t="str">
        <f>HYPERLINK("http://141.218.60.56/~jnz1568/getInfo.php?workbook=10_05.xlsx&amp;sheet=A0&amp;row=3232&amp;col=6&amp;number=72100&amp;sourceID=14","72100")</f>
        <v>72100</v>
      </c>
      <c r="G3232" s="4" t="str">
        <f>HYPERLINK("http://141.218.60.56/~jnz1568/getInfo.php?workbook=10_05.xlsx&amp;sheet=A0&amp;row=3232&amp;col=7&amp;number=0&amp;sourceID=14","0")</f>
        <v>0</v>
      </c>
    </row>
    <row r="3233" spans="1:7">
      <c r="A3233" s="3">
        <v>10</v>
      </c>
      <c r="B3233" s="3">
        <v>5</v>
      </c>
      <c r="C3233" s="3">
        <v>65</v>
      </c>
      <c r="D3233" s="3">
        <v>62</v>
      </c>
      <c r="E3233" s="3">
        <v>-5660.281</v>
      </c>
      <c r="F3233" s="4" t="str">
        <f>HYPERLINK("http://141.218.60.56/~jnz1568/getInfo.php?workbook=10_05.xlsx&amp;sheet=A0&amp;row=3233&amp;col=6&amp;number=161000&amp;sourceID=14","161000")</f>
        <v>161000</v>
      </c>
      <c r="G3233" s="4" t="str">
        <f>HYPERLINK("http://141.218.60.56/~jnz1568/getInfo.php?workbook=10_05.xlsx&amp;sheet=A0&amp;row=3233&amp;col=7&amp;number=0&amp;sourceID=14","0")</f>
        <v>0</v>
      </c>
    </row>
    <row r="3234" spans="1:7">
      <c r="A3234" s="3">
        <v>10</v>
      </c>
      <c r="B3234" s="3">
        <v>5</v>
      </c>
      <c r="C3234" s="3">
        <v>68</v>
      </c>
      <c r="D3234" s="3">
        <v>62</v>
      </c>
      <c r="E3234" s="3">
        <v>2936.863</v>
      </c>
      <c r="F3234" s="4" t="str">
        <f>HYPERLINK("http://141.218.60.56/~jnz1568/getInfo.php?workbook=10_05.xlsx&amp;sheet=A0&amp;row=3234&amp;col=6&amp;number=2290000&amp;sourceID=14","2290000")</f>
        <v>2290000</v>
      </c>
      <c r="G3234" s="4" t="str">
        <f>HYPERLINK("http://141.218.60.56/~jnz1568/getInfo.php?workbook=10_05.xlsx&amp;sheet=A0&amp;row=3234&amp;col=7&amp;number=0&amp;sourceID=14","0")</f>
        <v>0</v>
      </c>
    </row>
    <row r="3235" spans="1:7">
      <c r="A3235" s="3">
        <v>10</v>
      </c>
      <c r="B3235" s="3">
        <v>5</v>
      </c>
      <c r="C3235" s="3">
        <v>73</v>
      </c>
      <c r="D3235" s="3">
        <v>62</v>
      </c>
      <c r="E3235" s="3">
        <v>2371.921</v>
      </c>
      <c r="F3235" s="4" t="str">
        <f>HYPERLINK("http://141.218.60.56/~jnz1568/getInfo.php?workbook=10_05.xlsx&amp;sheet=A0&amp;row=3235&amp;col=6&amp;number=4530000&amp;sourceID=14","4530000")</f>
        <v>4530000</v>
      </c>
      <c r="G3235" s="4" t="str">
        <f>HYPERLINK("http://141.218.60.56/~jnz1568/getInfo.php?workbook=10_05.xlsx&amp;sheet=A0&amp;row=3235&amp;col=7&amp;number=0&amp;sourceID=14","0")</f>
        <v>0</v>
      </c>
    </row>
    <row r="3236" spans="1:7">
      <c r="A3236" s="3">
        <v>10</v>
      </c>
      <c r="B3236" s="3">
        <v>5</v>
      </c>
      <c r="C3236" s="3">
        <v>74</v>
      </c>
      <c r="D3236" s="3">
        <v>62</v>
      </c>
      <c r="E3236" s="3">
        <v>2365.189</v>
      </c>
      <c r="F3236" s="4" t="str">
        <f>HYPERLINK("http://141.218.60.56/~jnz1568/getInfo.php?workbook=10_05.xlsx&amp;sheet=A0&amp;row=3236&amp;col=6&amp;number=81300000&amp;sourceID=14","81300000")</f>
        <v>81300000</v>
      </c>
      <c r="G3236" s="4" t="str">
        <f>HYPERLINK("http://141.218.60.56/~jnz1568/getInfo.php?workbook=10_05.xlsx&amp;sheet=A0&amp;row=3236&amp;col=7&amp;number=0&amp;sourceID=14","0")</f>
        <v>0</v>
      </c>
    </row>
    <row r="3237" spans="1:7">
      <c r="A3237" s="3">
        <v>10</v>
      </c>
      <c r="B3237" s="3">
        <v>5</v>
      </c>
      <c r="C3237" s="3">
        <v>75</v>
      </c>
      <c r="D3237" s="3">
        <v>62</v>
      </c>
      <c r="E3237" s="3">
        <v>2253.271</v>
      </c>
      <c r="F3237" s="4" t="str">
        <f>HYPERLINK("http://141.218.60.56/~jnz1568/getInfo.php?workbook=10_05.xlsx&amp;sheet=A0&amp;row=3237&amp;col=6&amp;number=7660000&amp;sourceID=14","7660000")</f>
        <v>7660000</v>
      </c>
      <c r="G3237" s="4" t="str">
        <f>HYPERLINK("http://141.218.60.56/~jnz1568/getInfo.php?workbook=10_05.xlsx&amp;sheet=A0&amp;row=3237&amp;col=7&amp;number=0&amp;sourceID=14","0")</f>
        <v>0</v>
      </c>
    </row>
    <row r="3238" spans="1:7">
      <c r="A3238" s="3">
        <v>10</v>
      </c>
      <c r="B3238" s="3">
        <v>5</v>
      </c>
      <c r="C3238" s="3">
        <v>76</v>
      </c>
      <c r="D3238" s="3">
        <v>62</v>
      </c>
      <c r="E3238" s="3">
        <v>2253.271</v>
      </c>
      <c r="F3238" s="4" t="str">
        <f>HYPERLINK("http://141.218.60.56/~jnz1568/getInfo.php?workbook=10_05.xlsx&amp;sheet=A0&amp;row=3238&amp;col=6&amp;number=34100000&amp;sourceID=14","34100000")</f>
        <v>34100000</v>
      </c>
      <c r="G3238" s="4" t="str">
        <f>HYPERLINK("http://141.218.60.56/~jnz1568/getInfo.php?workbook=10_05.xlsx&amp;sheet=A0&amp;row=3238&amp;col=7&amp;number=0&amp;sourceID=14","0")</f>
        <v>0</v>
      </c>
    </row>
    <row r="3239" spans="1:7">
      <c r="A3239" s="3">
        <v>10</v>
      </c>
      <c r="B3239" s="3">
        <v>5</v>
      </c>
      <c r="C3239" s="3">
        <v>79</v>
      </c>
      <c r="D3239" s="3">
        <v>62</v>
      </c>
      <c r="E3239" s="3">
        <v>-1491.917</v>
      </c>
      <c r="F3239" s="4" t="str">
        <f>HYPERLINK("http://141.218.60.56/~jnz1568/getInfo.php?workbook=10_05.xlsx&amp;sheet=A0&amp;row=3239&amp;col=6&amp;number=55400000&amp;sourceID=14","55400000")</f>
        <v>55400000</v>
      </c>
      <c r="G3239" s="4" t="str">
        <f>HYPERLINK("http://141.218.60.56/~jnz1568/getInfo.php?workbook=10_05.xlsx&amp;sheet=A0&amp;row=3239&amp;col=7&amp;number=0&amp;sourceID=14","0")</f>
        <v>0</v>
      </c>
    </row>
    <row r="3240" spans="1:7">
      <c r="A3240" s="3">
        <v>10</v>
      </c>
      <c r="B3240" s="3">
        <v>5</v>
      </c>
      <c r="C3240" s="3">
        <v>82</v>
      </c>
      <c r="D3240" s="3">
        <v>62</v>
      </c>
      <c r="E3240" s="3">
        <v>1349.53</v>
      </c>
      <c r="F3240" s="4" t="str">
        <f>HYPERLINK("http://141.218.60.56/~jnz1568/getInfo.php?workbook=10_05.xlsx&amp;sheet=A0&amp;row=3240&amp;col=6&amp;number=95400&amp;sourceID=14","95400")</f>
        <v>95400</v>
      </c>
      <c r="G3240" s="4" t="str">
        <f>HYPERLINK("http://141.218.60.56/~jnz1568/getInfo.php?workbook=10_05.xlsx&amp;sheet=A0&amp;row=3240&amp;col=7&amp;number=0&amp;sourceID=14","0")</f>
        <v>0</v>
      </c>
    </row>
    <row r="3241" spans="1:7">
      <c r="A3241" s="3">
        <v>10</v>
      </c>
      <c r="B3241" s="3">
        <v>5</v>
      </c>
      <c r="C3241" s="3">
        <v>83</v>
      </c>
      <c r="D3241" s="3">
        <v>62</v>
      </c>
      <c r="E3241" s="3">
        <v>1349.53</v>
      </c>
      <c r="F3241" s="4" t="str">
        <f>HYPERLINK("http://141.218.60.56/~jnz1568/getInfo.php?workbook=10_05.xlsx&amp;sheet=A0&amp;row=3241&amp;col=6&amp;number=146000&amp;sourceID=14","146000")</f>
        <v>146000</v>
      </c>
      <c r="G3241" s="4" t="str">
        <f>HYPERLINK("http://141.218.60.56/~jnz1568/getInfo.php?workbook=10_05.xlsx&amp;sheet=A0&amp;row=3241&amp;col=7&amp;number=0&amp;sourceID=14","0")</f>
        <v>0</v>
      </c>
    </row>
    <row r="3242" spans="1:7">
      <c r="A3242" s="3">
        <v>10</v>
      </c>
      <c r="B3242" s="3">
        <v>5</v>
      </c>
      <c r="C3242" s="3">
        <v>84</v>
      </c>
      <c r="D3242" s="3">
        <v>62</v>
      </c>
      <c r="E3242" s="3">
        <v>1349.53</v>
      </c>
      <c r="F3242" s="4" t="str">
        <f>HYPERLINK("http://141.218.60.56/~jnz1568/getInfo.php?workbook=10_05.xlsx&amp;sheet=A0&amp;row=3242&amp;col=6&amp;number=60000&amp;sourceID=14","60000")</f>
        <v>60000</v>
      </c>
      <c r="G3242" s="4" t="str">
        <f>HYPERLINK("http://141.218.60.56/~jnz1568/getInfo.php?workbook=10_05.xlsx&amp;sheet=A0&amp;row=3242&amp;col=7&amp;number=0&amp;sourceID=14","0")</f>
        <v>0</v>
      </c>
    </row>
    <row r="3243" spans="1:7">
      <c r="A3243" s="3">
        <v>10</v>
      </c>
      <c r="B3243" s="3">
        <v>5</v>
      </c>
      <c r="C3243" s="3">
        <v>86</v>
      </c>
      <c r="D3243" s="3">
        <v>62</v>
      </c>
      <c r="E3243" s="3">
        <v>-1333.211</v>
      </c>
      <c r="F3243" s="4" t="str">
        <f>HYPERLINK("http://141.218.60.56/~jnz1568/getInfo.php?workbook=10_05.xlsx&amp;sheet=A0&amp;row=3243&amp;col=6&amp;number=13200000&amp;sourceID=14","13200000")</f>
        <v>13200000</v>
      </c>
      <c r="G3243" s="4" t="str">
        <f>HYPERLINK("http://141.218.60.56/~jnz1568/getInfo.php?workbook=10_05.xlsx&amp;sheet=A0&amp;row=3243&amp;col=7&amp;number=0&amp;sourceID=14","0")</f>
        <v>0</v>
      </c>
    </row>
    <row r="3244" spans="1:7">
      <c r="A3244" s="3">
        <v>10</v>
      </c>
      <c r="B3244" s="3">
        <v>5</v>
      </c>
      <c r="C3244" s="3">
        <v>88</v>
      </c>
      <c r="D3244" s="3">
        <v>62</v>
      </c>
      <c r="E3244" s="3">
        <v>1294.501</v>
      </c>
      <c r="F3244" s="4" t="str">
        <f>HYPERLINK("http://141.218.60.56/~jnz1568/getInfo.php?workbook=10_05.xlsx&amp;sheet=A0&amp;row=3244&amp;col=6&amp;number=7240&amp;sourceID=14","7240")</f>
        <v>7240</v>
      </c>
      <c r="G3244" s="4" t="str">
        <f>HYPERLINK("http://141.218.60.56/~jnz1568/getInfo.php?workbook=10_05.xlsx&amp;sheet=A0&amp;row=3244&amp;col=7&amp;number=0&amp;sourceID=14","0")</f>
        <v>0</v>
      </c>
    </row>
    <row r="3245" spans="1:7">
      <c r="A3245" s="3">
        <v>10</v>
      </c>
      <c r="B3245" s="3">
        <v>5</v>
      </c>
      <c r="C3245" s="3">
        <v>89</v>
      </c>
      <c r="D3245" s="3">
        <v>62</v>
      </c>
      <c r="E3245" s="3">
        <v>1288.33</v>
      </c>
      <c r="F3245" s="4" t="str">
        <f>HYPERLINK("http://141.218.60.56/~jnz1568/getInfo.php?workbook=10_05.xlsx&amp;sheet=A0&amp;row=3245&amp;col=6&amp;number=13000&amp;sourceID=14","13000")</f>
        <v>13000</v>
      </c>
      <c r="G3245" s="4" t="str">
        <f>HYPERLINK("http://141.218.60.56/~jnz1568/getInfo.php?workbook=10_05.xlsx&amp;sheet=A0&amp;row=3245&amp;col=7&amp;number=0&amp;sourceID=14","0")</f>
        <v>0</v>
      </c>
    </row>
    <row r="3246" spans="1:7">
      <c r="A3246" s="3">
        <v>10</v>
      </c>
      <c r="B3246" s="3">
        <v>5</v>
      </c>
      <c r="C3246" s="3">
        <v>90</v>
      </c>
      <c r="D3246" s="3">
        <v>62</v>
      </c>
      <c r="E3246" s="3">
        <v>1278.938</v>
      </c>
      <c r="F3246" s="4" t="str">
        <f>HYPERLINK("http://141.218.60.56/~jnz1568/getInfo.php?workbook=10_05.xlsx&amp;sheet=A0&amp;row=3246&amp;col=6&amp;number=1230000&amp;sourceID=14","1230000")</f>
        <v>1230000</v>
      </c>
      <c r="G3246" s="4" t="str">
        <f>HYPERLINK("http://141.218.60.56/~jnz1568/getInfo.php?workbook=10_05.xlsx&amp;sheet=A0&amp;row=3246&amp;col=7&amp;number=0&amp;sourceID=14","0")</f>
        <v>0</v>
      </c>
    </row>
    <row r="3247" spans="1:7">
      <c r="A3247" s="3">
        <v>10</v>
      </c>
      <c r="B3247" s="3">
        <v>5</v>
      </c>
      <c r="C3247" s="3">
        <v>91</v>
      </c>
      <c r="D3247" s="3">
        <v>62</v>
      </c>
      <c r="E3247" s="3">
        <v>-1161.888</v>
      </c>
      <c r="F3247" s="4" t="str">
        <f>HYPERLINK("http://141.218.60.56/~jnz1568/getInfo.php?workbook=10_05.xlsx&amp;sheet=A0&amp;row=3247&amp;col=6&amp;number=79800000&amp;sourceID=14","79800000")</f>
        <v>79800000</v>
      </c>
      <c r="G3247" s="4" t="str">
        <f>HYPERLINK("http://141.218.60.56/~jnz1568/getInfo.php?workbook=10_05.xlsx&amp;sheet=A0&amp;row=3247&amp;col=7&amp;number=0&amp;sourceID=14","0")</f>
        <v>0</v>
      </c>
    </row>
    <row r="3248" spans="1:7">
      <c r="A3248" s="3">
        <v>10</v>
      </c>
      <c r="B3248" s="3">
        <v>5</v>
      </c>
      <c r="C3248" s="3">
        <v>92</v>
      </c>
      <c r="D3248" s="3">
        <v>62</v>
      </c>
      <c r="E3248" s="3">
        <v>-1150.737</v>
      </c>
      <c r="F3248" s="4" t="str">
        <f>HYPERLINK("http://141.218.60.56/~jnz1568/getInfo.php?workbook=10_05.xlsx&amp;sheet=A0&amp;row=3248&amp;col=6&amp;number=381000000&amp;sourceID=14","381000000")</f>
        <v>381000000</v>
      </c>
      <c r="G3248" s="4" t="str">
        <f>HYPERLINK("http://141.218.60.56/~jnz1568/getInfo.php?workbook=10_05.xlsx&amp;sheet=A0&amp;row=3248&amp;col=7&amp;number=0&amp;sourceID=14","0")</f>
        <v>0</v>
      </c>
    </row>
    <row r="3249" spans="1:7">
      <c r="A3249" s="3">
        <v>10</v>
      </c>
      <c r="B3249" s="3">
        <v>5</v>
      </c>
      <c r="C3249" s="3">
        <v>93</v>
      </c>
      <c r="D3249" s="3">
        <v>62</v>
      </c>
      <c r="E3249" s="3">
        <v>-1056.426</v>
      </c>
      <c r="F3249" s="4" t="str">
        <f>HYPERLINK("http://141.218.60.56/~jnz1568/getInfo.php?workbook=10_05.xlsx&amp;sheet=A0&amp;row=3249&amp;col=6&amp;number=152000000&amp;sourceID=14","152000000")</f>
        <v>152000000</v>
      </c>
      <c r="G3249" s="4" t="str">
        <f>HYPERLINK("http://141.218.60.56/~jnz1568/getInfo.php?workbook=10_05.xlsx&amp;sheet=A0&amp;row=3249&amp;col=7&amp;number=0&amp;sourceID=14","0")</f>
        <v>0</v>
      </c>
    </row>
    <row r="3250" spans="1:7">
      <c r="A3250" s="3">
        <v>10</v>
      </c>
      <c r="B3250" s="3">
        <v>5</v>
      </c>
      <c r="C3250" s="3">
        <v>94</v>
      </c>
      <c r="D3250" s="3">
        <v>62</v>
      </c>
      <c r="E3250" s="3">
        <v>-1054.71</v>
      </c>
      <c r="F3250" s="4" t="str">
        <f>HYPERLINK("http://141.218.60.56/~jnz1568/getInfo.php?workbook=10_05.xlsx&amp;sheet=A0&amp;row=3250&amp;col=6&amp;number=333000000&amp;sourceID=14","333000000")</f>
        <v>333000000</v>
      </c>
      <c r="G3250" s="4" t="str">
        <f>HYPERLINK("http://141.218.60.56/~jnz1568/getInfo.php?workbook=10_05.xlsx&amp;sheet=A0&amp;row=3250&amp;col=7&amp;number=0&amp;sourceID=14","0")</f>
        <v>0</v>
      </c>
    </row>
    <row r="3251" spans="1:7">
      <c r="A3251" s="3">
        <v>10</v>
      </c>
      <c r="B3251" s="3">
        <v>5</v>
      </c>
      <c r="C3251" s="3">
        <v>95</v>
      </c>
      <c r="D3251" s="3">
        <v>62</v>
      </c>
      <c r="E3251" s="3">
        <v>1051.637</v>
      </c>
      <c r="F3251" s="4" t="str">
        <f>HYPERLINK("http://141.218.60.56/~jnz1568/getInfo.php?workbook=10_05.xlsx&amp;sheet=A0&amp;row=3251&amp;col=6&amp;number=147000&amp;sourceID=14","147000")</f>
        <v>147000</v>
      </c>
      <c r="G3251" s="4" t="str">
        <f>HYPERLINK("http://141.218.60.56/~jnz1568/getInfo.php?workbook=10_05.xlsx&amp;sheet=A0&amp;row=3251&amp;col=7&amp;number=0&amp;sourceID=14","0")</f>
        <v>0</v>
      </c>
    </row>
    <row r="3252" spans="1:7">
      <c r="A3252" s="3">
        <v>10</v>
      </c>
      <c r="B3252" s="3">
        <v>5</v>
      </c>
      <c r="C3252" s="3">
        <v>96</v>
      </c>
      <c r="D3252" s="3">
        <v>62</v>
      </c>
      <c r="E3252" s="3">
        <v>926.958</v>
      </c>
      <c r="F3252" s="4" t="str">
        <f>HYPERLINK("http://141.218.60.56/~jnz1568/getInfo.php?workbook=10_05.xlsx&amp;sheet=A0&amp;row=3252&amp;col=6&amp;number=50000000&amp;sourceID=14","50000000")</f>
        <v>50000000</v>
      </c>
      <c r="G3252" s="4" t="str">
        <f>HYPERLINK("http://141.218.60.56/~jnz1568/getInfo.php?workbook=10_05.xlsx&amp;sheet=A0&amp;row=3252&amp;col=7&amp;number=0&amp;sourceID=14","0")</f>
        <v>0</v>
      </c>
    </row>
    <row r="3253" spans="1:7">
      <c r="A3253" s="3">
        <v>10</v>
      </c>
      <c r="B3253" s="3">
        <v>5</v>
      </c>
      <c r="C3253" s="3">
        <v>98</v>
      </c>
      <c r="D3253" s="3">
        <v>62</v>
      </c>
      <c r="E3253" s="3">
        <v>-896.879</v>
      </c>
      <c r="F3253" s="4" t="str">
        <f>HYPERLINK("http://141.218.60.56/~jnz1568/getInfo.php?workbook=10_05.xlsx&amp;sheet=A0&amp;row=3253&amp;col=6&amp;number=53800&amp;sourceID=14","53800")</f>
        <v>53800</v>
      </c>
      <c r="G3253" s="4" t="str">
        <f>HYPERLINK("http://141.218.60.56/~jnz1568/getInfo.php?workbook=10_05.xlsx&amp;sheet=A0&amp;row=3253&amp;col=7&amp;number=0&amp;sourceID=14","0")</f>
        <v>0</v>
      </c>
    </row>
    <row r="3254" spans="1:7">
      <c r="A3254" s="3">
        <v>10</v>
      </c>
      <c r="B3254" s="3">
        <v>5</v>
      </c>
      <c r="C3254" s="3">
        <v>101</v>
      </c>
      <c r="D3254" s="3">
        <v>62</v>
      </c>
      <c r="E3254" s="3">
        <v>-893.441</v>
      </c>
      <c r="F3254" s="4" t="str">
        <f>HYPERLINK("http://141.218.60.56/~jnz1568/getInfo.php?workbook=10_05.xlsx&amp;sheet=A0&amp;row=3254&amp;col=6&amp;number=429000&amp;sourceID=14","429000")</f>
        <v>429000</v>
      </c>
      <c r="G3254" s="4" t="str">
        <f>HYPERLINK("http://141.218.60.56/~jnz1568/getInfo.php?workbook=10_05.xlsx&amp;sheet=A0&amp;row=3254&amp;col=7&amp;number=0&amp;sourceID=14","0")</f>
        <v>0</v>
      </c>
    </row>
    <row r="3255" spans="1:7">
      <c r="A3255" s="3">
        <v>10</v>
      </c>
      <c r="B3255" s="3">
        <v>5</v>
      </c>
      <c r="C3255" s="3">
        <v>103</v>
      </c>
      <c r="D3255" s="3">
        <v>62</v>
      </c>
      <c r="E3255" s="3">
        <v>-887.557</v>
      </c>
      <c r="F3255" s="4" t="str">
        <f>HYPERLINK("http://141.218.60.56/~jnz1568/getInfo.php?workbook=10_05.xlsx&amp;sheet=A0&amp;row=3255&amp;col=6&amp;number=1290&amp;sourceID=14","1290")</f>
        <v>1290</v>
      </c>
      <c r="G3255" s="4" t="str">
        <f>HYPERLINK("http://141.218.60.56/~jnz1568/getInfo.php?workbook=10_05.xlsx&amp;sheet=A0&amp;row=3255&amp;col=7&amp;number=0&amp;sourceID=14","0")</f>
        <v>0</v>
      </c>
    </row>
    <row r="3256" spans="1:7">
      <c r="A3256" s="3">
        <v>10</v>
      </c>
      <c r="B3256" s="3">
        <v>5</v>
      </c>
      <c r="C3256" s="3">
        <v>110</v>
      </c>
      <c r="D3256" s="3">
        <v>62</v>
      </c>
      <c r="E3256" s="3">
        <v>-840.507</v>
      </c>
      <c r="F3256" s="4" t="str">
        <f>HYPERLINK("http://141.218.60.56/~jnz1568/getInfo.php?workbook=10_05.xlsx&amp;sheet=A0&amp;row=3256&amp;col=6&amp;number=39700000&amp;sourceID=14","39700000")</f>
        <v>39700000</v>
      </c>
      <c r="G3256" s="4" t="str">
        <f>HYPERLINK("http://141.218.60.56/~jnz1568/getInfo.php?workbook=10_05.xlsx&amp;sheet=A0&amp;row=3256&amp;col=7&amp;number=0&amp;sourceID=14","0")</f>
        <v>0</v>
      </c>
    </row>
    <row r="3257" spans="1:7">
      <c r="A3257" s="3">
        <v>10</v>
      </c>
      <c r="B3257" s="3">
        <v>5</v>
      </c>
      <c r="C3257" s="3">
        <v>112</v>
      </c>
      <c r="D3257" s="3">
        <v>62</v>
      </c>
      <c r="E3257" s="3">
        <v>-835.898</v>
      </c>
      <c r="F3257" s="4" t="str">
        <f>HYPERLINK("http://141.218.60.56/~jnz1568/getInfo.php?workbook=10_05.xlsx&amp;sheet=A0&amp;row=3257&amp;col=6&amp;number=217000000&amp;sourceID=14","217000000")</f>
        <v>217000000</v>
      </c>
      <c r="G3257" s="4" t="str">
        <f>HYPERLINK("http://141.218.60.56/~jnz1568/getInfo.php?workbook=10_05.xlsx&amp;sheet=A0&amp;row=3257&amp;col=7&amp;number=0&amp;sourceID=14","0")</f>
        <v>0</v>
      </c>
    </row>
    <row r="3258" spans="1:7">
      <c r="A3258" s="3">
        <v>10</v>
      </c>
      <c r="B3258" s="3">
        <v>5</v>
      </c>
      <c r="C3258" s="3">
        <v>113</v>
      </c>
      <c r="D3258" s="3">
        <v>62</v>
      </c>
      <c r="E3258" s="3">
        <v>830.497</v>
      </c>
      <c r="F3258" s="4" t="str">
        <f>HYPERLINK("http://141.218.60.56/~jnz1568/getInfo.php?workbook=10_05.xlsx&amp;sheet=A0&amp;row=3258&amp;col=6&amp;number=181000000&amp;sourceID=14","181000000")</f>
        <v>181000000</v>
      </c>
      <c r="G3258" s="4" t="str">
        <f>HYPERLINK("http://141.218.60.56/~jnz1568/getInfo.php?workbook=10_05.xlsx&amp;sheet=A0&amp;row=3258&amp;col=7&amp;number=0&amp;sourceID=14","0")</f>
        <v>0</v>
      </c>
    </row>
    <row r="3259" spans="1:7">
      <c r="A3259" s="3">
        <v>10</v>
      </c>
      <c r="B3259" s="3">
        <v>5</v>
      </c>
      <c r="C3259" s="3">
        <v>114</v>
      </c>
      <c r="D3259" s="3">
        <v>62</v>
      </c>
      <c r="E3259" s="3">
        <v>830.497</v>
      </c>
      <c r="F3259" s="4" t="str">
        <f>HYPERLINK("http://141.218.60.56/~jnz1568/getInfo.php?workbook=10_05.xlsx&amp;sheet=A0&amp;row=3259&amp;col=6&amp;number=116000000&amp;sourceID=14","116000000")</f>
        <v>116000000</v>
      </c>
      <c r="G3259" s="4" t="str">
        <f>HYPERLINK("http://141.218.60.56/~jnz1568/getInfo.php?workbook=10_05.xlsx&amp;sheet=A0&amp;row=3259&amp;col=7&amp;number=0&amp;sourceID=14","0")</f>
        <v>0</v>
      </c>
    </row>
    <row r="3260" spans="1:7">
      <c r="A3260" s="3">
        <v>10</v>
      </c>
      <c r="B3260" s="3">
        <v>5</v>
      </c>
      <c r="C3260" s="3">
        <v>127</v>
      </c>
      <c r="D3260" s="3">
        <v>62</v>
      </c>
      <c r="E3260" s="3">
        <v>-751.808</v>
      </c>
      <c r="F3260" s="4" t="str">
        <f>HYPERLINK("http://141.218.60.56/~jnz1568/getInfo.php?workbook=10_05.xlsx&amp;sheet=A0&amp;row=3260&amp;col=6&amp;number=34300000&amp;sourceID=14","34300000")</f>
        <v>34300000</v>
      </c>
      <c r="G3260" s="4" t="str">
        <f>HYPERLINK("http://141.218.60.56/~jnz1568/getInfo.php?workbook=10_05.xlsx&amp;sheet=A0&amp;row=3260&amp;col=7&amp;number=0&amp;sourceID=14","0")</f>
        <v>0</v>
      </c>
    </row>
    <row r="3261" spans="1:7">
      <c r="A3261" s="3">
        <v>10</v>
      </c>
      <c r="B3261" s="3">
        <v>5</v>
      </c>
      <c r="C3261" s="3">
        <v>128</v>
      </c>
      <c r="D3261" s="3">
        <v>62</v>
      </c>
      <c r="E3261" s="3">
        <v>-749.278</v>
      </c>
      <c r="F3261" s="4" t="str">
        <f>HYPERLINK("http://141.218.60.56/~jnz1568/getInfo.php?workbook=10_05.xlsx&amp;sheet=A0&amp;row=3261&amp;col=6&amp;number=57400000&amp;sourceID=14","57400000")</f>
        <v>57400000</v>
      </c>
      <c r="G3261" s="4" t="str">
        <f>HYPERLINK("http://141.218.60.56/~jnz1568/getInfo.php?workbook=10_05.xlsx&amp;sheet=A0&amp;row=3261&amp;col=7&amp;number=0&amp;sourceID=14","0")</f>
        <v>0</v>
      </c>
    </row>
    <row r="3262" spans="1:7">
      <c r="A3262" s="3">
        <v>10</v>
      </c>
      <c r="B3262" s="3">
        <v>5</v>
      </c>
      <c r="C3262" s="3">
        <v>134</v>
      </c>
      <c r="D3262" s="3">
        <v>62</v>
      </c>
      <c r="E3262" s="3">
        <v>-724.954</v>
      </c>
      <c r="F3262" s="4" t="str">
        <f>HYPERLINK("http://141.218.60.56/~jnz1568/getInfo.php?workbook=10_05.xlsx&amp;sheet=A0&amp;row=3262&amp;col=6&amp;number=4930&amp;sourceID=14","4930")</f>
        <v>4930</v>
      </c>
      <c r="G3262" s="4" t="str">
        <f>HYPERLINK("http://141.218.60.56/~jnz1568/getInfo.php?workbook=10_05.xlsx&amp;sheet=A0&amp;row=3262&amp;col=7&amp;number=0&amp;sourceID=14","0")</f>
        <v>0</v>
      </c>
    </row>
    <row r="3263" spans="1:7">
      <c r="A3263" s="3">
        <v>10</v>
      </c>
      <c r="B3263" s="3">
        <v>5</v>
      </c>
      <c r="C3263" s="3">
        <v>135</v>
      </c>
      <c r="D3263" s="3">
        <v>62</v>
      </c>
      <c r="E3263" s="3">
        <v>-723.69</v>
      </c>
      <c r="F3263" s="4" t="str">
        <f>HYPERLINK("http://141.218.60.56/~jnz1568/getInfo.php?workbook=10_05.xlsx&amp;sheet=A0&amp;row=3263&amp;col=6&amp;number=10900&amp;sourceID=14","10900")</f>
        <v>10900</v>
      </c>
      <c r="G3263" s="4" t="str">
        <f>HYPERLINK("http://141.218.60.56/~jnz1568/getInfo.php?workbook=10_05.xlsx&amp;sheet=A0&amp;row=3263&amp;col=7&amp;number=0&amp;sourceID=14","0")</f>
        <v>0</v>
      </c>
    </row>
    <row r="3264" spans="1:7">
      <c r="A3264" s="3">
        <v>10</v>
      </c>
      <c r="B3264" s="3">
        <v>5</v>
      </c>
      <c r="C3264" s="3">
        <v>141</v>
      </c>
      <c r="D3264" s="3">
        <v>62</v>
      </c>
      <c r="E3264" s="3">
        <v>-701.033</v>
      </c>
      <c r="F3264" s="4" t="str">
        <f>HYPERLINK("http://141.218.60.56/~jnz1568/getInfo.php?workbook=10_05.xlsx&amp;sheet=A0&amp;row=3264&amp;col=6&amp;number=49200&amp;sourceID=14","49200")</f>
        <v>49200</v>
      </c>
      <c r="G3264" s="4" t="str">
        <f>HYPERLINK("http://141.218.60.56/~jnz1568/getInfo.php?workbook=10_05.xlsx&amp;sheet=A0&amp;row=3264&amp;col=7&amp;number=0&amp;sourceID=14","0")</f>
        <v>0</v>
      </c>
    </row>
    <row r="3265" spans="1:7">
      <c r="A3265" s="3">
        <v>10</v>
      </c>
      <c r="B3265" s="3">
        <v>5</v>
      </c>
      <c r="C3265" s="3">
        <v>142</v>
      </c>
      <c r="D3265" s="3">
        <v>62</v>
      </c>
      <c r="E3265" s="3">
        <v>700.772</v>
      </c>
      <c r="F3265" s="4" t="str">
        <f>HYPERLINK("http://141.218.60.56/~jnz1568/getInfo.php?workbook=10_05.xlsx&amp;sheet=A0&amp;row=3265&amp;col=6&amp;number=105000&amp;sourceID=14","105000")</f>
        <v>105000</v>
      </c>
      <c r="G3265" s="4" t="str">
        <f>HYPERLINK("http://141.218.60.56/~jnz1568/getInfo.php?workbook=10_05.xlsx&amp;sheet=A0&amp;row=3265&amp;col=7&amp;number=0&amp;sourceID=14","0")</f>
        <v>0</v>
      </c>
    </row>
    <row r="3266" spans="1:7">
      <c r="A3266" s="3">
        <v>10</v>
      </c>
      <c r="B3266" s="3">
        <v>5</v>
      </c>
      <c r="C3266" s="3">
        <v>143</v>
      </c>
      <c r="D3266" s="3">
        <v>62</v>
      </c>
      <c r="E3266" s="3">
        <v>699.547</v>
      </c>
      <c r="F3266" s="4" t="str">
        <f>HYPERLINK("http://141.218.60.56/~jnz1568/getInfo.php?workbook=10_05.xlsx&amp;sheet=A0&amp;row=3266&amp;col=6&amp;number=210000&amp;sourceID=14","210000")</f>
        <v>210000</v>
      </c>
      <c r="G3266" s="4" t="str">
        <f>HYPERLINK("http://141.218.60.56/~jnz1568/getInfo.php?workbook=10_05.xlsx&amp;sheet=A0&amp;row=3266&amp;col=7&amp;number=0&amp;sourceID=14","0")</f>
        <v>0</v>
      </c>
    </row>
    <row r="3267" spans="1:7">
      <c r="A3267" s="3">
        <v>10</v>
      </c>
      <c r="B3267" s="3">
        <v>5</v>
      </c>
      <c r="C3267" s="3">
        <v>145</v>
      </c>
      <c r="D3267" s="3">
        <v>62</v>
      </c>
      <c r="E3267" s="3">
        <v>694.156</v>
      </c>
      <c r="F3267" s="4" t="str">
        <f>HYPERLINK("http://141.218.60.56/~jnz1568/getInfo.php?workbook=10_05.xlsx&amp;sheet=A0&amp;row=3267&amp;col=6&amp;number=789000&amp;sourceID=14","789000")</f>
        <v>789000</v>
      </c>
      <c r="G3267" s="4" t="str">
        <f>HYPERLINK("http://141.218.60.56/~jnz1568/getInfo.php?workbook=10_05.xlsx&amp;sheet=A0&amp;row=3267&amp;col=7&amp;number=0&amp;sourceID=14","0")</f>
        <v>0</v>
      </c>
    </row>
    <row r="3268" spans="1:7">
      <c r="A3268" s="3">
        <v>10</v>
      </c>
      <c r="B3268" s="3">
        <v>5</v>
      </c>
      <c r="C3268" s="3">
        <v>146</v>
      </c>
      <c r="D3268" s="3">
        <v>62</v>
      </c>
      <c r="E3268" s="3">
        <v>694.156</v>
      </c>
      <c r="F3268" s="4" t="str">
        <f>HYPERLINK("http://141.218.60.56/~jnz1568/getInfo.php?workbook=10_05.xlsx&amp;sheet=A0&amp;row=3268&amp;col=6&amp;number=22000000&amp;sourceID=14","22000000")</f>
        <v>22000000</v>
      </c>
      <c r="G3268" s="4" t="str">
        <f>HYPERLINK("http://141.218.60.56/~jnz1568/getInfo.php?workbook=10_05.xlsx&amp;sheet=A0&amp;row=3268&amp;col=7&amp;number=0&amp;sourceID=14","0")</f>
        <v>0</v>
      </c>
    </row>
    <row r="3269" spans="1:7">
      <c r="A3269" s="3">
        <v>10</v>
      </c>
      <c r="B3269" s="3">
        <v>5</v>
      </c>
      <c r="C3269" s="3">
        <v>147</v>
      </c>
      <c r="D3269" s="3">
        <v>62</v>
      </c>
      <c r="E3269" s="3">
        <v>691.325</v>
      </c>
      <c r="F3269" s="4" t="str">
        <f>HYPERLINK("http://141.218.60.56/~jnz1568/getInfo.php?workbook=10_05.xlsx&amp;sheet=A0&amp;row=3269&amp;col=6&amp;number=2450000&amp;sourceID=14","2450000")</f>
        <v>2450000</v>
      </c>
      <c r="G3269" s="4" t="str">
        <f>HYPERLINK("http://141.218.60.56/~jnz1568/getInfo.php?workbook=10_05.xlsx&amp;sheet=A0&amp;row=3269&amp;col=7&amp;number=0&amp;sourceID=14","0")</f>
        <v>0</v>
      </c>
    </row>
    <row r="3270" spans="1:7">
      <c r="A3270" s="3">
        <v>10</v>
      </c>
      <c r="B3270" s="3">
        <v>5</v>
      </c>
      <c r="C3270" s="3">
        <v>148</v>
      </c>
      <c r="D3270" s="3">
        <v>62</v>
      </c>
      <c r="E3270" s="3">
        <v>690.848</v>
      </c>
      <c r="F3270" s="4" t="str">
        <f>HYPERLINK("http://141.218.60.56/~jnz1568/getInfo.php?workbook=10_05.xlsx&amp;sheet=A0&amp;row=3270&amp;col=6&amp;number=526000&amp;sourceID=14","526000")</f>
        <v>526000</v>
      </c>
      <c r="G3270" s="4" t="str">
        <f>HYPERLINK("http://141.218.60.56/~jnz1568/getInfo.php?workbook=10_05.xlsx&amp;sheet=A0&amp;row=3270&amp;col=7&amp;number=0&amp;sourceID=14","0")</f>
        <v>0</v>
      </c>
    </row>
    <row r="3271" spans="1:7">
      <c r="A3271" s="3">
        <v>10</v>
      </c>
      <c r="B3271" s="3">
        <v>5</v>
      </c>
      <c r="C3271" s="3">
        <v>149</v>
      </c>
      <c r="D3271" s="3">
        <v>62</v>
      </c>
      <c r="E3271" s="3">
        <v>690.371</v>
      </c>
      <c r="F3271" s="4" t="str">
        <f>HYPERLINK("http://141.218.60.56/~jnz1568/getInfo.php?workbook=10_05.xlsx&amp;sheet=A0&amp;row=3271&amp;col=6&amp;number=1600&amp;sourceID=14","1600")</f>
        <v>1600</v>
      </c>
      <c r="G3271" s="4" t="str">
        <f>HYPERLINK("http://141.218.60.56/~jnz1568/getInfo.php?workbook=10_05.xlsx&amp;sheet=A0&amp;row=3271&amp;col=7&amp;number=0&amp;sourceID=14","0")</f>
        <v>0</v>
      </c>
    </row>
    <row r="3272" spans="1:7">
      <c r="A3272" s="3">
        <v>10</v>
      </c>
      <c r="B3272" s="3">
        <v>5</v>
      </c>
      <c r="C3272" s="3">
        <v>152</v>
      </c>
      <c r="D3272" s="3">
        <v>62</v>
      </c>
      <c r="E3272" s="3">
        <v>665.736</v>
      </c>
      <c r="F3272" s="4" t="str">
        <f>HYPERLINK("http://141.218.60.56/~jnz1568/getInfo.php?workbook=10_05.xlsx&amp;sheet=A0&amp;row=3272&amp;col=6&amp;number=2630000&amp;sourceID=14","2630000")</f>
        <v>2630000</v>
      </c>
      <c r="G3272" s="4" t="str">
        <f>HYPERLINK("http://141.218.60.56/~jnz1568/getInfo.php?workbook=10_05.xlsx&amp;sheet=A0&amp;row=3272&amp;col=7&amp;number=0&amp;sourceID=14","0")</f>
        <v>0</v>
      </c>
    </row>
    <row r="3273" spans="1:7">
      <c r="A3273" s="3">
        <v>10</v>
      </c>
      <c r="B3273" s="3">
        <v>5</v>
      </c>
      <c r="C3273" s="3">
        <v>158</v>
      </c>
      <c r="D3273" s="3">
        <v>62</v>
      </c>
      <c r="E3273" s="3">
        <v>-654.46</v>
      </c>
      <c r="F3273" s="4" t="str">
        <f>HYPERLINK("http://141.218.60.56/~jnz1568/getInfo.php?workbook=10_05.xlsx&amp;sheet=A0&amp;row=3273&amp;col=6&amp;number=16500000&amp;sourceID=14","16500000")</f>
        <v>16500000</v>
      </c>
      <c r="G3273" s="4" t="str">
        <f>HYPERLINK("http://141.218.60.56/~jnz1568/getInfo.php?workbook=10_05.xlsx&amp;sheet=A0&amp;row=3273&amp;col=7&amp;number=0&amp;sourceID=14","0")</f>
        <v>0</v>
      </c>
    </row>
    <row r="3274" spans="1:7">
      <c r="A3274" s="3">
        <v>10</v>
      </c>
      <c r="B3274" s="3">
        <v>5</v>
      </c>
      <c r="C3274" s="3">
        <v>159</v>
      </c>
      <c r="D3274" s="3">
        <v>62</v>
      </c>
      <c r="E3274" s="3">
        <v>-652.632</v>
      </c>
      <c r="F3274" s="4" t="str">
        <f>HYPERLINK("http://141.218.60.56/~jnz1568/getInfo.php?workbook=10_05.xlsx&amp;sheet=A0&amp;row=3274&amp;col=6&amp;number=20100000&amp;sourceID=14","20100000")</f>
        <v>20100000</v>
      </c>
      <c r="G3274" s="4" t="str">
        <f>HYPERLINK("http://141.218.60.56/~jnz1568/getInfo.php?workbook=10_05.xlsx&amp;sheet=A0&amp;row=3274&amp;col=7&amp;number=0&amp;sourceID=14","0")</f>
        <v>0</v>
      </c>
    </row>
    <row r="3275" spans="1:7">
      <c r="A3275" s="3">
        <v>10</v>
      </c>
      <c r="B3275" s="3">
        <v>5</v>
      </c>
      <c r="C3275" s="3">
        <v>164</v>
      </c>
      <c r="D3275" s="3">
        <v>62</v>
      </c>
      <c r="E3275" s="3">
        <v>-501.626</v>
      </c>
      <c r="F3275" s="4" t="str">
        <f>HYPERLINK("http://141.218.60.56/~jnz1568/getInfo.php?workbook=10_05.xlsx&amp;sheet=A0&amp;row=3275&amp;col=6&amp;number=61300&amp;sourceID=14","61300")</f>
        <v>61300</v>
      </c>
      <c r="G3275" s="4" t="str">
        <f>HYPERLINK("http://141.218.60.56/~jnz1568/getInfo.php?workbook=10_05.xlsx&amp;sheet=A0&amp;row=3275&amp;col=7&amp;number=0&amp;sourceID=14","0")</f>
        <v>0</v>
      </c>
    </row>
    <row r="3276" spans="1:7">
      <c r="A3276" s="3">
        <v>10</v>
      </c>
      <c r="B3276" s="3">
        <v>5</v>
      </c>
      <c r="C3276" s="3">
        <v>165</v>
      </c>
      <c r="D3276" s="3">
        <v>62</v>
      </c>
      <c r="E3276" s="3">
        <v>-501.282</v>
      </c>
      <c r="F3276" s="4" t="str">
        <f>HYPERLINK("http://141.218.60.56/~jnz1568/getInfo.php?workbook=10_05.xlsx&amp;sheet=A0&amp;row=3276&amp;col=6&amp;number=1500000000&amp;sourceID=14","1500000000")</f>
        <v>1500000000</v>
      </c>
      <c r="G3276" s="4" t="str">
        <f>HYPERLINK("http://141.218.60.56/~jnz1568/getInfo.php?workbook=10_05.xlsx&amp;sheet=A0&amp;row=3276&amp;col=7&amp;number=0&amp;sourceID=14","0")</f>
        <v>0</v>
      </c>
    </row>
    <row r="3277" spans="1:7">
      <c r="A3277" s="3">
        <v>10</v>
      </c>
      <c r="B3277" s="3">
        <v>5</v>
      </c>
      <c r="C3277" s="3">
        <v>166</v>
      </c>
      <c r="D3277" s="3">
        <v>62</v>
      </c>
      <c r="E3277" s="3">
        <v>-441.367</v>
      </c>
      <c r="F3277" s="4" t="str">
        <f>HYPERLINK("http://141.218.60.56/~jnz1568/getInfo.php?workbook=10_05.xlsx&amp;sheet=A0&amp;row=3277&amp;col=6&amp;number=1910000000&amp;sourceID=14","1910000000")</f>
        <v>1910000000</v>
      </c>
      <c r="G3277" s="4" t="str">
        <f>HYPERLINK("http://141.218.60.56/~jnz1568/getInfo.php?workbook=10_05.xlsx&amp;sheet=A0&amp;row=3277&amp;col=7&amp;number=0&amp;sourceID=14","0")</f>
        <v>0</v>
      </c>
    </row>
    <row r="3278" spans="1:7">
      <c r="A3278" s="3">
        <v>10</v>
      </c>
      <c r="B3278" s="3">
        <v>5</v>
      </c>
      <c r="C3278" s="3">
        <v>167</v>
      </c>
      <c r="D3278" s="3">
        <v>62</v>
      </c>
      <c r="E3278" s="3">
        <v>-441.286</v>
      </c>
      <c r="F3278" s="4" t="str">
        <f>HYPERLINK("http://141.218.60.56/~jnz1568/getInfo.php?workbook=10_05.xlsx&amp;sheet=A0&amp;row=3278&amp;col=6&amp;number=2440000000&amp;sourceID=14","2440000000")</f>
        <v>2440000000</v>
      </c>
      <c r="G3278" s="4" t="str">
        <f>HYPERLINK("http://141.218.60.56/~jnz1568/getInfo.php?workbook=10_05.xlsx&amp;sheet=A0&amp;row=3278&amp;col=7&amp;number=0&amp;sourceID=14","0")</f>
        <v>0</v>
      </c>
    </row>
    <row r="3279" spans="1:7">
      <c r="A3279" s="3">
        <v>10</v>
      </c>
      <c r="B3279" s="3">
        <v>5</v>
      </c>
      <c r="C3279" s="3">
        <v>176</v>
      </c>
      <c r="D3279" s="3">
        <v>62</v>
      </c>
      <c r="E3279" s="3">
        <v>-387.467</v>
      </c>
      <c r="F3279" s="4" t="str">
        <f>HYPERLINK("http://141.218.60.56/~jnz1568/getInfo.php?workbook=10_05.xlsx&amp;sheet=A0&amp;row=3279&amp;col=6&amp;number=523000000&amp;sourceID=14","523000000")</f>
        <v>523000000</v>
      </c>
      <c r="G3279" s="4" t="str">
        <f>HYPERLINK("http://141.218.60.56/~jnz1568/getInfo.php?workbook=10_05.xlsx&amp;sheet=A0&amp;row=3279&amp;col=7&amp;number=0&amp;sourceID=14","0")</f>
        <v>0</v>
      </c>
    </row>
    <row r="3280" spans="1:7">
      <c r="A3280" s="3">
        <v>10</v>
      </c>
      <c r="B3280" s="3">
        <v>5</v>
      </c>
      <c r="C3280" s="3">
        <v>177</v>
      </c>
      <c r="D3280" s="3">
        <v>62</v>
      </c>
      <c r="E3280" s="3">
        <v>-386.134</v>
      </c>
      <c r="F3280" s="4" t="str">
        <f>HYPERLINK("http://141.218.60.56/~jnz1568/getInfo.php?workbook=10_05.xlsx&amp;sheet=A0&amp;row=3280&amp;col=6&amp;number=447000000&amp;sourceID=14","447000000")</f>
        <v>447000000</v>
      </c>
      <c r="G3280" s="4" t="str">
        <f>HYPERLINK("http://141.218.60.56/~jnz1568/getInfo.php?workbook=10_05.xlsx&amp;sheet=A0&amp;row=3280&amp;col=7&amp;number=0&amp;sourceID=14","0")</f>
        <v>0</v>
      </c>
    </row>
    <row r="3281" spans="1:7">
      <c r="A3281" s="3">
        <v>10</v>
      </c>
      <c r="B3281" s="3">
        <v>5</v>
      </c>
      <c r="C3281" s="3">
        <v>178</v>
      </c>
      <c r="D3281" s="3">
        <v>62</v>
      </c>
      <c r="E3281" s="3">
        <v>-386.068</v>
      </c>
      <c r="F3281" s="4" t="str">
        <f>HYPERLINK("http://141.218.60.56/~jnz1568/getInfo.php?workbook=10_05.xlsx&amp;sheet=A0&amp;row=3281&amp;col=6&amp;number=6490000000&amp;sourceID=14","6490000000")</f>
        <v>6490000000</v>
      </c>
      <c r="G3281" s="4" t="str">
        <f>HYPERLINK("http://141.218.60.56/~jnz1568/getInfo.php?workbook=10_05.xlsx&amp;sheet=A0&amp;row=3281&amp;col=7&amp;number=0&amp;sourceID=14","0")</f>
        <v>0</v>
      </c>
    </row>
    <row r="3282" spans="1:7">
      <c r="A3282" s="3">
        <v>10</v>
      </c>
      <c r="B3282" s="3">
        <v>5</v>
      </c>
      <c r="C3282" s="3">
        <v>179</v>
      </c>
      <c r="D3282" s="3">
        <v>62</v>
      </c>
      <c r="E3282" s="3">
        <v>-380.123</v>
      </c>
      <c r="F3282" s="4" t="str">
        <f>HYPERLINK("http://141.218.60.56/~jnz1568/getInfo.php?workbook=10_05.xlsx&amp;sheet=A0&amp;row=3282&amp;col=6&amp;number=664000000&amp;sourceID=14","664000000")</f>
        <v>664000000</v>
      </c>
      <c r="G3282" s="4" t="str">
        <f>HYPERLINK("http://141.218.60.56/~jnz1568/getInfo.php?workbook=10_05.xlsx&amp;sheet=A0&amp;row=3282&amp;col=7&amp;number=0&amp;sourceID=14","0")</f>
        <v>0</v>
      </c>
    </row>
    <row r="3283" spans="1:7">
      <c r="A3283" s="3">
        <v>10</v>
      </c>
      <c r="B3283" s="3">
        <v>5</v>
      </c>
      <c r="C3283" s="3">
        <v>180</v>
      </c>
      <c r="D3283" s="3">
        <v>62</v>
      </c>
      <c r="E3283" s="3">
        <v>-380.07</v>
      </c>
      <c r="F3283" s="4" t="str">
        <f>HYPERLINK("http://141.218.60.56/~jnz1568/getInfo.php?workbook=10_05.xlsx&amp;sheet=A0&amp;row=3283&amp;col=6&amp;number=2400000000&amp;sourceID=14","2400000000")</f>
        <v>2400000000</v>
      </c>
      <c r="G3283" s="4" t="str">
        <f>HYPERLINK("http://141.218.60.56/~jnz1568/getInfo.php?workbook=10_05.xlsx&amp;sheet=A0&amp;row=3283&amp;col=7&amp;number=0&amp;sourceID=14","0")</f>
        <v>0</v>
      </c>
    </row>
    <row r="3284" spans="1:7">
      <c r="A3284" s="3">
        <v>10</v>
      </c>
      <c r="B3284" s="3">
        <v>5</v>
      </c>
      <c r="C3284" s="3">
        <v>64</v>
      </c>
      <c r="D3284" s="3">
        <v>63</v>
      </c>
      <c r="E3284" s="3">
        <v>-8695.668</v>
      </c>
      <c r="F3284" s="4" t="str">
        <f>HYPERLINK("http://141.218.60.56/~jnz1568/getInfo.php?workbook=10_05.xlsx&amp;sheet=A0&amp;row=3284&amp;col=6&amp;number=1530000&amp;sourceID=14","1530000")</f>
        <v>1530000</v>
      </c>
      <c r="G3284" s="4" t="str">
        <f>HYPERLINK("http://141.218.60.56/~jnz1568/getInfo.php?workbook=10_05.xlsx&amp;sheet=A0&amp;row=3284&amp;col=7&amp;number=0&amp;sourceID=14","0")</f>
        <v>0</v>
      </c>
    </row>
    <row r="3285" spans="1:7">
      <c r="A3285" s="3">
        <v>10</v>
      </c>
      <c r="B3285" s="3">
        <v>5</v>
      </c>
      <c r="C3285" s="3">
        <v>65</v>
      </c>
      <c r="D3285" s="3">
        <v>63</v>
      </c>
      <c r="E3285" s="3">
        <v>-8605.127</v>
      </c>
      <c r="F3285" s="4" t="str">
        <f>HYPERLINK("http://141.218.60.56/~jnz1568/getInfo.php?workbook=10_05.xlsx&amp;sheet=A0&amp;row=3285&amp;col=6&amp;number=1570000&amp;sourceID=14","1570000")</f>
        <v>1570000</v>
      </c>
      <c r="G3285" s="4" t="str">
        <f>HYPERLINK("http://141.218.60.56/~jnz1568/getInfo.php?workbook=10_05.xlsx&amp;sheet=A0&amp;row=3285&amp;col=7&amp;number=0&amp;sourceID=14","0")</f>
        <v>0</v>
      </c>
    </row>
    <row r="3286" spans="1:7">
      <c r="A3286" s="3">
        <v>10</v>
      </c>
      <c r="B3286" s="3">
        <v>5</v>
      </c>
      <c r="C3286" s="3">
        <v>73</v>
      </c>
      <c r="D3286" s="3">
        <v>63</v>
      </c>
      <c r="E3286" s="3">
        <v>2769.321</v>
      </c>
      <c r="F3286" s="4" t="str">
        <f>HYPERLINK("http://141.218.60.56/~jnz1568/getInfo.php?workbook=10_05.xlsx&amp;sheet=A0&amp;row=3286&amp;col=6&amp;number=3190&amp;sourceID=14","3190")</f>
        <v>3190</v>
      </c>
      <c r="G3286" s="4" t="str">
        <f>HYPERLINK("http://141.218.60.56/~jnz1568/getInfo.php?workbook=10_05.xlsx&amp;sheet=A0&amp;row=3286&amp;col=7&amp;number=0&amp;sourceID=14","0")</f>
        <v>0</v>
      </c>
    </row>
    <row r="3287" spans="1:7">
      <c r="A3287" s="3">
        <v>10</v>
      </c>
      <c r="B3287" s="3">
        <v>5</v>
      </c>
      <c r="C3287" s="3">
        <v>75</v>
      </c>
      <c r="D3287" s="3">
        <v>63</v>
      </c>
      <c r="E3287" s="3">
        <v>2608.927</v>
      </c>
      <c r="F3287" s="4" t="str">
        <f>HYPERLINK("http://141.218.60.56/~jnz1568/getInfo.php?workbook=10_05.xlsx&amp;sheet=A0&amp;row=3287&amp;col=6&amp;number=58900000&amp;sourceID=14","58900000")</f>
        <v>58900000</v>
      </c>
      <c r="G3287" s="4" t="str">
        <f>HYPERLINK("http://141.218.60.56/~jnz1568/getInfo.php?workbook=10_05.xlsx&amp;sheet=A0&amp;row=3287&amp;col=7&amp;number=0&amp;sourceID=14","0")</f>
        <v>0</v>
      </c>
    </row>
    <row r="3288" spans="1:7">
      <c r="A3288" s="3">
        <v>10</v>
      </c>
      <c r="B3288" s="3">
        <v>5</v>
      </c>
      <c r="C3288" s="3">
        <v>76</v>
      </c>
      <c r="D3288" s="3">
        <v>63</v>
      </c>
      <c r="E3288" s="3">
        <v>2608.927</v>
      </c>
      <c r="F3288" s="4" t="str">
        <f>HYPERLINK("http://141.218.60.56/~jnz1568/getInfo.php?workbook=10_05.xlsx&amp;sheet=A0&amp;row=3288&amp;col=6&amp;number=60500000&amp;sourceID=14","60500000")</f>
        <v>60500000</v>
      </c>
      <c r="G3288" s="4" t="str">
        <f>HYPERLINK("http://141.218.60.56/~jnz1568/getInfo.php?workbook=10_05.xlsx&amp;sheet=A0&amp;row=3288&amp;col=7&amp;number=0&amp;sourceID=14","0")</f>
        <v>0</v>
      </c>
    </row>
    <row r="3289" spans="1:7">
      <c r="A3289" s="3">
        <v>10</v>
      </c>
      <c r="B3289" s="3">
        <v>5</v>
      </c>
      <c r="C3289" s="3">
        <v>79</v>
      </c>
      <c r="D3289" s="3">
        <v>63</v>
      </c>
      <c r="E3289" s="3">
        <v>-1639.831</v>
      </c>
      <c r="F3289" s="4" t="str">
        <f>HYPERLINK("http://141.218.60.56/~jnz1568/getInfo.php?workbook=10_05.xlsx&amp;sheet=A0&amp;row=3289&amp;col=6&amp;number=2110000&amp;sourceID=14","2110000")</f>
        <v>2110000</v>
      </c>
      <c r="G3289" s="4" t="str">
        <f>HYPERLINK("http://141.218.60.56/~jnz1568/getInfo.php?workbook=10_05.xlsx&amp;sheet=A0&amp;row=3289&amp;col=7&amp;number=0&amp;sourceID=14","0")</f>
        <v>0</v>
      </c>
    </row>
    <row r="3290" spans="1:7">
      <c r="A3290" s="3">
        <v>10</v>
      </c>
      <c r="B3290" s="3">
        <v>5</v>
      </c>
      <c r="C3290" s="3">
        <v>82</v>
      </c>
      <c r="D3290" s="3">
        <v>63</v>
      </c>
      <c r="E3290" s="3">
        <v>1469.51</v>
      </c>
      <c r="F3290" s="4" t="str">
        <f>HYPERLINK("http://141.218.60.56/~jnz1568/getInfo.php?workbook=10_05.xlsx&amp;sheet=A0&amp;row=3290&amp;col=6&amp;number=17400&amp;sourceID=14","17400")</f>
        <v>17400</v>
      </c>
      <c r="G3290" s="4" t="str">
        <f>HYPERLINK("http://141.218.60.56/~jnz1568/getInfo.php?workbook=10_05.xlsx&amp;sheet=A0&amp;row=3290&amp;col=7&amp;number=0&amp;sourceID=14","0")</f>
        <v>0</v>
      </c>
    </row>
    <row r="3291" spans="1:7">
      <c r="A3291" s="3">
        <v>10</v>
      </c>
      <c r="B3291" s="3">
        <v>5</v>
      </c>
      <c r="C3291" s="3">
        <v>83</v>
      </c>
      <c r="D3291" s="3">
        <v>63</v>
      </c>
      <c r="E3291" s="3">
        <v>1469.51</v>
      </c>
      <c r="F3291" s="4" t="str">
        <f>HYPERLINK("http://141.218.60.56/~jnz1568/getInfo.php?workbook=10_05.xlsx&amp;sheet=A0&amp;row=3291&amp;col=6&amp;number=9970&amp;sourceID=14","9970")</f>
        <v>9970</v>
      </c>
      <c r="G3291" s="4" t="str">
        <f>HYPERLINK("http://141.218.60.56/~jnz1568/getInfo.php?workbook=10_05.xlsx&amp;sheet=A0&amp;row=3291&amp;col=7&amp;number=0&amp;sourceID=14","0")</f>
        <v>0</v>
      </c>
    </row>
    <row r="3292" spans="1:7">
      <c r="A3292" s="3">
        <v>10</v>
      </c>
      <c r="B3292" s="3">
        <v>5</v>
      </c>
      <c r="C3292" s="3">
        <v>88</v>
      </c>
      <c r="D3292" s="3">
        <v>63</v>
      </c>
      <c r="E3292" s="3">
        <v>1404.497</v>
      </c>
      <c r="F3292" s="4" t="str">
        <f>HYPERLINK("http://141.218.60.56/~jnz1568/getInfo.php?workbook=10_05.xlsx&amp;sheet=A0&amp;row=3292&amp;col=6&amp;number=1410&amp;sourceID=14","1410")</f>
        <v>1410</v>
      </c>
      <c r="G3292" s="4" t="str">
        <f>HYPERLINK("http://141.218.60.56/~jnz1568/getInfo.php?workbook=10_05.xlsx&amp;sheet=A0&amp;row=3292&amp;col=7&amp;number=0&amp;sourceID=14","0")</f>
        <v>0</v>
      </c>
    </row>
    <row r="3293" spans="1:7">
      <c r="A3293" s="3">
        <v>10</v>
      </c>
      <c r="B3293" s="3">
        <v>5</v>
      </c>
      <c r="C3293" s="3">
        <v>89</v>
      </c>
      <c r="D3293" s="3">
        <v>63</v>
      </c>
      <c r="E3293" s="3">
        <v>1397.236</v>
      </c>
      <c r="F3293" s="4" t="str">
        <f>HYPERLINK("http://141.218.60.56/~jnz1568/getInfo.php?workbook=10_05.xlsx&amp;sheet=A0&amp;row=3293&amp;col=6&amp;number=4980&amp;sourceID=14","4980")</f>
        <v>4980</v>
      </c>
      <c r="G3293" s="4" t="str">
        <f>HYPERLINK("http://141.218.60.56/~jnz1568/getInfo.php?workbook=10_05.xlsx&amp;sheet=A0&amp;row=3293&amp;col=7&amp;number=0&amp;sourceID=14","0")</f>
        <v>0</v>
      </c>
    </row>
    <row r="3294" spans="1:7">
      <c r="A3294" s="3">
        <v>10</v>
      </c>
      <c r="B3294" s="3">
        <v>5</v>
      </c>
      <c r="C3294" s="3">
        <v>91</v>
      </c>
      <c r="D3294" s="3">
        <v>63</v>
      </c>
      <c r="E3294" s="3">
        <v>-1249.674</v>
      </c>
      <c r="F3294" s="4" t="str">
        <f>HYPERLINK("http://141.218.60.56/~jnz1568/getInfo.php?workbook=10_05.xlsx&amp;sheet=A0&amp;row=3294&amp;col=6&amp;number=20000&amp;sourceID=14","20000")</f>
        <v>20000</v>
      </c>
      <c r="G3294" s="4" t="str">
        <f>HYPERLINK("http://141.218.60.56/~jnz1568/getInfo.php?workbook=10_05.xlsx&amp;sheet=A0&amp;row=3294&amp;col=7&amp;number=0&amp;sourceID=14","0")</f>
        <v>0</v>
      </c>
    </row>
    <row r="3295" spans="1:7">
      <c r="A3295" s="3">
        <v>10</v>
      </c>
      <c r="B3295" s="3">
        <v>5</v>
      </c>
      <c r="C3295" s="3">
        <v>93</v>
      </c>
      <c r="D3295" s="3">
        <v>63</v>
      </c>
      <c r="E3295" s="3">
        <v>-1128.505</v>
      </c>
      <c r="F3295" s="4" t="str">
        <f>HYPERLINK("http://141.218.60.56/~jnz1568/getInfo.php?workbook=10_05.xlsx&amp;sheet=A0&amp;row=3295&amp;col=6&amp;number=6540000&amp;sourceID=14","6540000")</f>
        <v>6540000</v>
      </c>
      <c r="G3295" s="4" t="str">
        <f>HYPERLINK("http://141.218.60.56/~jnz1568/getInfo.php?workbook=10_05.xlsx&amp;sheet=A0&amp;row=3295&amp;col=7&amp;number=0&amp;sourceID=14","0")</f>
        <v>0</v>
      </c>
    </row>
    <row r="3296" spans="1:7">
      <c r="A3296" s="3">
        <v>10</v>
      </c>
      <c r="B3296" s="3">
        <v>5</v>
      </c>
      <c r="C3296" s="3">
        <v>94</v>
      </c>
      <c r="D3296" s="3">
        <v>63</v>
      </c>
      <c r="E3296" s="3">
        <v>-1126.547</v>
      </c>
      <c r="F3296" s="4" t="str">
        <f>HYPERLINK("http://141.218.60.56/~jnz1568/getInfo.php?workbook=10_05.xlsx&amp;sheet=A0&amp;row=3296&amp;col=6&amp;number=6290000&amp;sourceID=14","6290000")</f>
        <v>6290000</v>
      </c>
      <c r="G3296" s="4" t="str">
        <f>HYPERLINK("http://141.218.60.56/~jnz1568/getInfo.php?workbook=10_05.xlsx&amp;sheet=A0&amp;row=3296&amp;col=7&amp;number=0&amp;sourceID=14","0")</f>
        <v>0</v>
      </c>
    </row>
    <row r="3297" spans="1:7">
      <c r="A3297" s="3">
        <v>10</v>
      </c>
      <c r="B3297" s="3">
        <v>5</v>
      </c>
      <c r="C3297" s="3">
        <v>95</v>
      </c>
      <c r="D3297" s="3">
        <v>63</v>
      </c>
      <c r="E3297" s="3">
        <v>1123.093</v>
      </c>
      <c r="F3297" s="4" t="str">
        <f>HYPERLINK("http://141.218.60.56/~jnz1568/getInfo.php?workbook=10_05.xlsx&amp;sheet=A0&amp;row=3297&amp;col=6&amp;number=171000&amp;sourceID=14","171000")</f>
        <v>171000</v>
      </c>
      <c r="G3297" s="4" t="str">
        <f>HYPERLINK("http://141.218.60.56/~jnz1568/getInfo.php?workbook=10_05.xlsx&amp;sheet=A0&amp;row=3297&amp;col=7&amp;number=0&amp;sourceID=14","0")</f>
        <v>0</v>
      </c>
    </row>
    <row r="3298" spans="1:7">
      <c r="A3298" s="3">
        <v>10</v>
      </c>
      <c r="B3298" s="3">
        <v>5</v>
      </c>
      <c r="C3298" s="3">
        <v>98</v>
      </c>
      <c r="D3298" s="3">
        <v>63</v>
      </c>
      <c r="E3298" s="3">
        <v>-948.3</v>
      </c>
      <c r="F3298" s="4" t="str">
        <f>HYPERLINK("http://141.218.60.56/~jnz1568/getInfo.php?workbook=10_05.xlsx&amp;sheet=A0&amp;row=3298&amp;col=6&amp;number=496&amp;sourceID=14","496")</f>
        <v>496</v>
      </c>
      <c r="G3298" s="4" t="str">
        <f>HYPERLINK("http://141.218.60.56/~jnz1568/getInfo.php?workbook=10_05.xlsx&amp;sheet=A0&amp;row=3298&amp;col=7&amp;number=0&amp;sourceID=14","0")</f>
        <v>0</v>
      </c>
    </row>
    <row r="3299" spans="1:7">
      <c r="A3299" s="3">
        <v>10</v>
      </c>
      <c r="B3299" s="3">
        <v>5</v>
      </c>
      <c r="C3299" s="3">
        <v>101</v>
      </c>
      <c r="D3299" s="3">
        <v>63</v>
      </c>
      <c r="E3299" s="3">
        <v>-944.458</v>
      </c>
      <c r="F3299" s="4" t="str">
        <f>HYPERLINK("http://141.218.60.56/~jnz1568/getInfo.php?workbook=10_05.xlsx&amp;sheet=A0&amp;row=3299&amp;col=6&amp;number=1520&amp;sourceID=14","1520")</f>
        <v>1520</v>
      </c>
      <c r="G3299" s="4" t="str">
        <f>HYPERLINK("http://141.218.60.56/~jnz1568/getInfo.php?workbook=10_05.xlsx&amp;sheet=A0&amp;row=3299&amp;col=7&amp;number=0&amp;sourceID=14","0")</f>
        <v>0</v>
      </c>
    </row>
    <row r="3300" spans="1:7">
      <c r="A3300" s="3">
        <v>10</v>
      </c>
      <c r="B3300" s="3">
        <v>5</v>
      </c>
      <c r="C3300" s="3">
        <v>110</v>
      </c>
      <c r="D3300" s="3">
        <v>63</v>
      </c>
      <c r="E3300" s="3">
        <v>-885.506</v>
      </c>
      <c r="F3300" s="4" t="str">
        <f>HYPERLINK("http://141.218.60.56/~jnz1568/getInfo.php?workbook=10_05.xlsx&amp;sheet=A0&amp;row=3300&amp;col=6&amp;number=5810000&amp;sourceID=14","5810000")</f>
        <v>5810000</v>
      </c>
      <c r="G3300" s="4" t="str">
        <f>HYPERLINK("http://141.218.60.56/~jnz1568/getInfo.php?workbook=10_05.xlsx&amp;sheet=A0&amp;row=3300&amp;col=7&amp;number=0&amp;sourceID=14","0")</f>
        <v>0</v>
      </c>
    </row>
    <row r="3301" spans="1:7">
      <c r="A3301" s="3">
        <v>10</v>
      </c>
      <c r="B3301" s="3">
        <v>5</v>
      </c>
      <c r="C3301" s="3">
        <v>112</v>
      </c>
      <c r="D3301" s="3">
        <v>63</v>
      </c>
      <c r="E3301" s="3">
        <v>-880.392</v>
      </c>
      <c r="F3301" s="4" t="str">
        <f>HYPERLINK("http://141.218.60.56/~jnz1568/getInfo.php?workbook=10_05.xlsx&amp;sheet=A0&amp;row=3301&amp;col=6&amp;number=6520000&amp;sourceID=14","6520000")</f>
        <v>6520000</v>
      </c>
      <c r="G3301" s="4" t="str">
        <f>HYPERLINK("http://141.218.60.56/~jnz1568/getInfo.php?workbook=10_05.xlsx&amp;sheet=A0&amp;row=3301&amp;col=7&amp;number=0&amp;sourceID=14","0")</f>
        <v>0</v>
      </c>
    </row>
    <row r="3302" spans="1:7">
      <c r="A3302" s="3">
        <v>10</v>
      </c>
      <c r="B3302" s="3">
        <v>5</v>
      </c>
      <c r="C3302" s="3">
        <v>114</v>
      </c>
      <c r="D3302" s="3">
        <v>63</v>
      </c>
      <c r="E3302" s="3">
        <v>874.433</v>
      </c>
      <c r="F3302" s="4" t="str">
        <f>HYPERLINK("http://141.218.60.56/~jnz1568/getInfo.php?workbook=10_05.xlsx&amp;sheet=A0&amp;row=3302&amp;col=6&amp;number=524000&amp;sourceID=14","524000")</f>
        <v>524000</v>
      </c>
      <c r="G3302" s="4" t="str">
        <f>HYPERLINK("http://141.218.60.56/~jnz1568/getInfo.php?workbook=10_05.xlsx&amp;sheet=A0&amp;row=3302&amp;col=7&amp;number=0&amp;sourceID=14","0")</f>
        <v>0</v>
      </c>
    </row>
    <row r="3303" spans="1:7">
      <c r="A3303" s="3">
        <v>10</v>
      </c>
      <c r="B3303" s="3">
        <v>5</v>
      </c>
      <c r="C3303" s="3">
        <v>127</v>
      </c>
      <c r="D3303" s="3">
        <v>63</v>
      </c>
      <c r="E3303" s="3">
        <v>-787.608</v>
      </c>
      <c r="F3303" s="4" t="str">
        <f>HYPERLINK("http://141.218.60.56/~jnz1568/getInfo.php?workbook=10_05.xlsx&amp;sheet=A0&amp;row=3303&amp;col=6&amp;number=630000000&amp;sourceID=14","630000000")</f>
        <v>630000000</v>
      </c>
      <c r="G3303" s="4" t="str">
        <f>HYPERLINK("http://141.218.60.56/~jnz1568/getInfo.php?workbook=10_05.xlsx&amp;sheet=A0&amp;row=3303&amp;col=7&amp;number=0&amp;sourceID=14","0")</f>
        <v>0</v>
      </c>
    </row>
    <row r="3304" spans="1:7">
      <c r="A3304" s="3">
        <v>10</v>
      </c>
      <c r="B3304" s="3">
        <v>5</v>
      </c>
      <c r="C3304" s="3">
        <v>128</v>
      </c>
      <c r="D3304" s="3">
        <v>63</v>
      </c>
      <c r="E3304" s="3">
        <v>-784.832</v>
      </c>
      <c r="F3304" s="4" t="str">
        <f>HYPERLINK("http://141.218.60.56/~jnz1568/getInfo.php?workbook=10_05.xlsx&amp;sheet=A0&amp;row=3304&amp;col=6&amp;number=626000000&amp;sourceID=14","626000000")</f>
        <v>626000000</v>
      </c>
      <c r="G3304" s="4" t="str">
        <f>HYPERLINK("http://141.218.60.56/~jnz1568/getInfo.php?workbook=10_05.xlsx&amp;sheet=A0&amp;row=3304&amp;col=7&amp;number=0&amp;sourceID=14","0")</f>
        <v>0</v>
      </c>
    </row>
    <row r="3305" spans="1:7">
      <c r="A3305" s="3">
        <v>10</v>
      </c>
      <c r="B3305" s="3">
        <v>5</v>
      </c>
      <c r="C3305" s="3">
        <v>134</v>
      </c>
      <c r="D3305" s="3">
        <v>63</v>
      </c>
      <c r="E3305" s="3">
        <v>-758.186</v>
      </c>
      <c r="F3305" s="4" t="str">
        <f>HYPERLINK("http://141.218.60.56/~jnz1568/getInfo.php?workbook=10_05.xlsx&amp;sheet=A0&amp;row=3305&amp;col=6&amp;number=1240&amp;sourceID=14","1240")</f>
        <v>1240</v>
      </c>
      <c r="G3305" s="4" t="str">
        <f>HYPERLINK("http://141.218.60.56/~jnz1568/getInfo.php?workbook=10_05.xlsx&amp;sheet=A0&amp;row=3305&amp;col=7&amp;number=0&amp;sourceID=14","0")</f>
        <v>0</v>
      </c>
    </row>
    <row r="3306" spans="1:7">
      <c r="A3306" s="3">
        <v>10</v>
      </c>
      <c r="B3306" s="3">
        <v>5</v>
      </c>
      <c r="C3306" s="3">
        <v>141</v>
      </c>
      <c r="D3306" s="3">
        <v>63</v>
      </c>
      <c r="E3306" s="3">
        <v>-732.06</v>
      </c>
      <c r="F3306" s="4" t="str">
        <f>HYPERLINK("http://141.218.60.56/~jnz1568/getInfo.php?workbook=10_05.xlsx&amp;sheet=A0&amp;row=3306&amp;col=6&amp;number=759000&amp;sourceID=14","759000")</f>
        <v>759000</v>
      </c>
      <c r="G3306" s="4" t="str">
        <f>HYPERLINK("http://141.218.60.56/~jnz1568/getInfo.php?workbook=10_05.xlsx&amp;sheet=A0&amp;row=3306&amp;col=7&amp;number=0&amp;sourceID=14","0")</f>
        <v>0</v>
      </c>
    </row>
    <row r="3307" spans="1:7">
      <c r="A3307" s="3">
        <v>10</v>
      </c>
      <c r="B3307" s="3">
        <v>5</v>
      </c>
      <c r="C3307" s="3">
        <v>142</v>
      </c>
      <c r="D3307" s="3">
        <v>63</v>
      </c>
      <c r="E3307" s="3">
        <v>731.798</v>
      </c>
      <c r="F3307" s="4" t="str">
        <f>HYPERLINK("http://141.218.60.56/~jnz1568/getInfo.php?workbook=10_05.xlsx&amp;sheet=A0&amp;row=3307&amp;col=6&amp;number=665000&amp;sourceID=14","665000")</f>
        <v>665000</v>
      </c>
      <c r="G3307" s="4" t="str">
        <f>HYPERLINK("http://141.218.60.56/~jnz1568/getInfo.php?workbook=10_05.xlsx&amp;sheet=A0&amp;row=3307&amp;col=7&amp;number=0&amp;sourceID=14","0")</f>
        <v>0</v>
      </c>
    </row>
    <row r="3308" spans="1:7">
      <c r="A3308" s="3">
        <v>10</v>
      </c>
      <c r="B3308" s="3">
        <v>5</v>
      </c>
      <c r="C3308" s="3">
        <v>145</v>
      </c>
      <c r="D3308" s="3">
        <v>63</v>
      </c>
      <c r="E3308" s="3">
        <v>724.587</v>
      </c>
      <c r="F3308" s="4" t="str">
        <f>HYPERLINK("http://141.218.60.56/~jnz1568/getInfo.php?workbook=10_05.xlsx&amp;sheet=A0&amp;row=3308&amp;col=6&amp;number=1440000&amp;sourceID=14","1440000")</f>
        <v>1440000</v>
      </c>
      <c r="G3308" s="4" t="str">
        <f>HYPERLINK("http://141.218.60.56/~jnz1568/getInfo.php?workbook=10_05.xlsx&amp;sheet=A0&amp;row=3308&amp;col=7&amp;number=0&amp;sourceID=14","0")</f>
        <v>0</v>
      </c>
    </row>
    <row r="3309" spans="1:7">
      <c r="A3309" s="3">
        <v>10</v>
      </c>
      <c r="B3309" s="3">
        <v>5</v>
      </c>
      <c r="C3309" s="3">
        <v>148</v>
      </c>
      <c r="D3309" s="3">
        <v>63</v>
      </c>
      <c r="E3309" s="3">
        <v>720.982</v>
      </c>
      <c r="F3309" s="4" t="str">
        <f>HYPERLINK("http://141.218.60.56/~jnz1568/getInfo.php?workbook=10_05.xlsx&amp;sheet=A0&amp;row=3309&amp;col=6&amp;number=104000&amp;sourceID=14","104000")</f>
        <v>104000</v>
      </c>
      <c r="G3309" s="4" t="str">
        <f>HYPERLINK("http://141.218.60.56/~jnz1568/getInfo.php?workbook=10_05.xlsx&amp;sheet=A0&amp;row=3309&amp;col=7&amp;number=0&amp;sourceID=14","0")</f>
        <v>0</v>
      </c>
    </row>
    <row r="3310" spans="1:7">
      <c r="A3310" s="3">
        <v>10</v>
      </c>
      <c r="B3310" s="3">
        <v>5</v>
      </c>
      <c r="C3310" s="3">
        <v>149</v>
      </c>
      <c r="D3310" s="3">
        <v>63</v>
      </c>
      <c r="E3310" s="3">
        <v>720.462</v>
      </c>
      <c r="F3310" s="4" t="str">
        <f>HYPERLINK("http://141.218.60.56/~jnz1568/getInfo.php?workbook=10_05.xlsx&amp;sheet=A0&amp;row=3310&amp;col=6&amp;number=53100&amp;sourceID=14","53100")</f>
        <v>53100</v>
      </c>
      <c r="G3310" s="4" t="str">
        <f>HYPERLINK("http://141.218.60.56/~jnz1568/getInfo.php?workbook=10_05.xlsx&amp;sheet=A0&amp;row=3310&amp;col=7&amp;number=0&amp;sourceID=14","0")</f>
        <v>0</v>
      </c>
    </row>
    <row r="3311" spans="1:7">
      <c r="A3311" s="3">
        <v>10</v>
      </c>
      <c r="B3311" s="3">
        <v>5</v>
      </c>
      <c r="C3311" s="3">
        <v>158</v>
      </c>
      <c r="D3311" s="3">
        <v>63</v>
      </c>
      <c r="E3311" s="3">
        <v>-681.423</v>
      </c>
      <c r="F3311" s="4" t="str">
        <f>HYPERLINK("http://141.218.60.56/~jnz1568/getInfo.php?workbook=10_05.xlsx&amp;sheet=A0&amp;row=3311&amp;col=6&amp;number=430000000&amp;sourceID=14","430000000")</f>
        <v>430000000</v>
      </c>
      <c r="G3311" s="4" t="str">
        <f>HYPERLINK("http://141.218.60.56/~jnz1568/getInfo.php?workbook=10_05.xlsx&amp;sheet=A0&amp;row=3311&amp;col=7&amp;number=0&amp;sourceID=14","0")</f>
        <v>0</v>
      </c>
    </row>
    <row r="3312" spans="1:7">
      <c r="A3312" s="3">
        <v>10</v>
      </c>
      <c r="B3312" s="3">
        <v>5</v>
      </c>
      <c r="C3312" s="3">
        <v>159</v>
      </c>
      <c r="D3312" s="3">
        <v>63</v>
      </c>
      <c r="E3312" s="3">
        <v>-679.441</v>
      </c>
      <c r="F3312" s="4" t="str">
        <f>HYPERLINK("http://141.218.60.56/~jnz1568/getInfo.php?workbook=10_05.xlsx&amp;sheet=A0&amp;row=3312&amp;col=6&amp;number=426000000&amp;sourceID=14","426000000")</f>
        <v>426000000</v>
      </c>
      <c r="G3312" s="4" t="str">
        <f>HYPERLINK("http://141.218.60.56/~jnz1568/getInfo.php?workbook=10_05.xlsx&amp;sheet=A0&amp;row=3312&amp;col=7&amp;number=0&amp;sourceID=14","0")</f>
        <v>0</v>
      </c>
    </row>
    <row r="3313" spans="1:7">
      <c r="A3313" s="3">
        <v>10</v>
      </c>
      <c r="B3313" s="3">
        <v>5</v>
      </c>
      <c r="C3313" s="3">
        <v>164</v>
      </c>
      <c r="D3313" s="3">
        <v>63</v>
      </c>
      <c r="E3313" s="3">
        <v>-517.315</v>
      </c>
      <c r="F3313" s="4" t="str">
        <f>HYPERLINK("http://141.218.60.56/~jnz1568/getInfo.php?workbook=10_05.xlsx&amp;sheet=A0&amp;row=3313&amp;col=6&amp;number=457000000&amp;sourceID=14","457000000")</f>
        <v>457000000</v>
      </c>
      <c r="G3313" s="4" t="str">
        <f>HYPERLINK("http://141.218.60.56/~jnz1568/getInfo.php?workbook=10_05.xlsx&amp;sheet=A0&amp;row=3313&amp;col=7&amp;number=0&amp;sourceID=14","0")</f>
        <v>0</v>
      </c>
    </row>
    <row r="3314" spans="1:7">
      <c r="A3314" s="3">
        <v>10</v>
      </c>
      <c r="B3314" s="3">
        <v>5</v>
      </c>
      <c r="C3314" s="3">
        <v>165</v>
      </c>
      <c r="D3314" s="3">
        <v>63</v>
      </c>
      <c r="E3314" s="3">
        <v>-516.949</v>
      </c>
      <c r="F3314" s="4" t="str">
        <f>HYPERLINK("http://141.218.60.56/~jnz1568/getInfo.php?workbook=10_05.xlsx&amp;sheet=A0&amp;row=3314&amp;col=6&amp;number=470000000&amp;sourceID=14","470000000")</f>
        <v>470000000</v>
      </c>
      <c r="G3314" s="4" t="str">
        <f>HYPERLINK("http://141.218.60.56/~jnz1568/getInfo.php?workbook=10_05.xlsx&amp;sheet=A0&amp;row=3314&amp;col=7&amp;number=0&amp;sourceID=14","0")</f>
        <v>0</v>
      </c>
    </row>
    <row r="3315" spans="1:7">
      <c r="A3315" s="3">
        <v>10</v>
      </c>
      <c r="B3315" s="3">
        <v>5</v>
      </c>
      <c r="C3315" s="3">
        <v>166</v>
      </c>
      <c r="D3315" s="3">
        <v>63</v>
      </c>
      <c r="E3315" s="3">
        <v>-453.468</v>
      </c>
      <c r="F3315" s="4" t="str">
        <f>HYPERLINK("http://141.218.60.56/~jnz1568/getInfo.php?workbook=10_05.xlsx&amp;sheet=A0&amp;row=3315&amp;col=6&amp;number=186000000&amp;sourceID=14","186000000")</f>
        <v>186000000</v>
      </c>
      <c r="G3315" s="4" t="str">
        <f>HYPERLINK("http://141.218.60.56/~jnz1568/getInfo.php?workbook=10_05.xlsx&amp;sheet=A0&amp;row=3315&amp;col=7&amp;number=0&amp;sourceID=14","0")</f>
        <v>0</v>
      </c>
    </row>
    <row r="3316" spans="1:7">
      <c r="A3316" s="3">
        <v>10</v>
      </c>
      <c r="B3316" s="3">
        <v>5</v>
      </c>
      <c r="C3316" s="3">
        <v>167</v>
      </c>
      <c r="D3316" s="3">
        <v>63</v>
      </c>
      <c r="E3316" s="3">
        <v>-453.382</v>
      </c>
      <c r="F3316" s="4" t="str">
        <f>HYPERLINK("http://141.218.60.56/~jnz1568/getInfo.php?workbook=10_05.xlsx&amp;sheet=A0&amp;row=3316&amp;col=6&amp;number=206000000&amp;sourceID=14","206000000")</f>
        <v>206000000</v>
      </c>
      <c r="G3316" s="4" t="str">
        <f>HYPERLINK("http://141.218.60.56/~jnz1568/getInfo.php?workbook=10_05.xlsx&amp;sheet=A0&amp;row=3316&amp;col=7&amp;number=0&amp;sourceID=14","0")</f>
        <v>0</v>
      </c>
    </row>
    <row r="3317" spans="1:7">
      <c r="A3317" s="3">
        <v>10</v>
      </c>
      <c r="B3317" s="3">
        <v>5</v>
      </c>
      <c r="C3317" s="3">
        <v>177</v>
      </c>
      <c r="D3317" s="3">
        <v>63</v>
      </c>
      <c r="E3317" s="3">
        <v>-395.364</v>
      </c>
      <c r="F3317" s="4" t="str">
        <f>HYPERLINK("http://141.218.60.56/~jnz1568/getInfo.php?workbook=10_05.xlsx&amp;sheet=A0&amp;row=3317&amp;col=6&amp;number=458000&amp;sourceID=14","458000")</f>
        <v>458000</v>
      </c>
      <c r="G3317" s="4" t="str">
        <f>HYPERLINK("http://141.218.60.56/~jnz1568/getInfo.php?workbook=10_05.xlsx&amp;sheet=A0&amp;row=3317&amp;col=7&amp;number=0&amp;sourceID=14","0")</f>
        <v>0</v>
      </c>
    </row>
    <row r="3318" spans="1:7">
      <c r="A3318" s="3">
        <v>10</v>
      </c>
      <c r="B3318" s="3">
        <v>5</v>
      </c>
      <c r="C3318" s="3">
        <v>179</v>
      </c>
      <c r="D3318" s="3">
        <v>63</v>
      </c>
      <c r="E3318" s="3">
        <v>-389.065</v>
      </c>
      <c r="F3318" s="4" t="str">
        <f>HYPERLINK("http://141.218.60.56/~jnz1568/getInfo.php?workbook=10_05.xlsx&amp;sheet=A0&amp;row=3318&amp;col=6&amp;number=4200000000&amp;sourceID=14","4200000000")</f>
        <v>4200000000</v>
      </c>
      <c r="G3318" s="4" t="str">
        <f>HYPERLINK("http://141.218.60.56/~jnz1568/getInfo.php?workbook=10_05.xlsx&amp;sheet=A0&amp;row=3318&amp;col=7&amp;number=0&amp;sourceID=14","0")</f>
        <v>0</v>
      </c>
    </row>
    <row r="3319" spans="1:7">
      <c r="A3319" s="3">
        <v>10</v>
      </c>
      <c r="B3319" s="3">
        <v>5</v>
      </c>
      <c r="C3319" s="3">
        <v>180</v>
      </c>
      <c r="D3319" s="3">
        <v>63</v>
      </c>
      <c r="E3319" s="3">
        <v>-389.009</v>
      </c>
      <c r="F3319" s="4" t="str">
        <f>HYPERLINK("http://141.218.60.56/~jnz1568/getInfo.php?workbook=10_05.xlsx&amp;sheet=A0&amp;row=3319&amp;col=6&amp;number=4270000000&amp;sourceID=14","4270000000")</f>
        <v>4270000000</v>
      </c>
      <c r="G3319" s="4" t="str">
        <f>HYPERLINK("http://141.218.60.56/~jnz1568/getInfo.php?workbook=10_05.xlsx&amp;sheet=A0&amp;row=3319&amp;col=7&amp;number=0&amp;sourceID=14","0")</f>
        <v>0</v>
      </c>
    </row>
    <row r="3320" spans="1:7">
      <c r="A3320" s="3">
        <v>10</v>
      </c>
      <c r="B3320" s="3">
        <v>5</v>
      </c>
      <c r="C3320" s="3">
        <v>66</v>
      </c>
      <c r="D3320" s="3">
        <v>64</v>
      </c>
      <c r="E3320" s="3">
        <v>-7389.904</v>
      </c>
      <c r="F3320" s="4" t="str">
        <f>HYPERLINK("http://141.218.60.56/~jnz1568/getInfo.php?workbook=10_05.xlsx&amp;sheet=A0&amp;row=3320&amp;col=6&amp;number=18100000&amp;sourceID=14","18100000")</f>
        <v>18100000</v>
      </c>
      <c r="G3320" s="4" t="str">
        <f>HYPERLINK("http://141.218.60.56/~jnz1568/getInfo.php?workbook=10_05.xlsx&amp;sheet=A0&amp;row=3320&amp;col=7&amp;number=0&amp;sourceID=14","0")</f>
        <v>0</v>
      </c>
    </row>
    <row r="3321" spans="1:7">
      <c r="A3321" s="3">
        <v>10</v>
      </c>
      <c r="B3321" s="3">
        <v>5</v>
      </c>
      <c r="C3321" s="3">
        <v>70</v>
      </c>
      <c r="D3321" s="3">
        <v>64</v>
      </c>
      <c r="E3321" s="3">
        <v>-5882.71</v>
      </c>
      <c r="F3321" s="4" t="str">
        <f>HYPERLINK("http://141.218.60.56/~jnz1568/getInfo.php?workbook=10_05.xlsx&amp;sheet=A0&amp;row=3321&amp;col=6&amp;number=662&amp;sourceID=14","662")</f>
        <v>662</v>
      </c>
      <c r="G3321" s="4" t="str">
        <f>HYPERLINK("http://141.218.60.56/~jnz1568/getInfo.php?workbook=10_05.xlsx&amp;sheet=A0&amp;row=3321&amp;col=7&amp;number=0&amp;sourceID=14","0")</f>
        <v>0</v>
      </c>
    </row>
    <row r="3322" spans="1:7">
      <c r="A3322" s="3">
        <v>10</v>
      </c>
      <c r="B3322" s="3">
        <v>5</v>
      </c>
      <c r="C3322" s="3">
        <v>71</v>
      </c>
      <c r="D3322" s="3">
        <v>64</v>
      </c>
      <c r="E3322" s="3">
        <v>-5730.998</v>
      </c>
      <c r="F3322" s="4" t="str">
        <f>HYPERLINK("http://141.218.60.56/~jnz1568/getInfo.php?workbook=10_05.xlsx&amp;sheet=A0&amp;row=3322&amp;col=6&amp;number=5.14&amp;sourceID=14","5.14")</f>
        <v>5.14</v>
      </c>
      <c r="G3322" s="4" t="str">
        <f>HYPERLINK("http://141.218.60.56/~jnz1568/getInfo.php?workbook=10_05.xlsx&amp;sheet=A0&amp;row=3322&amp;col=7&amp;number=0&amp;sourceID=14","0")</f>
        <v>0</v>
      </c>
    </row>
    <row r="3323" spans="1:7">
      <c r="A3323" s="3">
        <v>10</v>
      </c>
      <c r="B3323" s="3">
        <v>5</v>
      </c>
      <c r="C3323" s="3">
        <v>77</v>
      </c>
      <c r="D3323" s="3">
        <v>64</v>
      </c>
      <c r="E3323" s="3">
        <v>-2377.56</v>
      </c>
      <c r="F3323" s="4" t="str">
        <f>HYPERLINK("http://141.218.60.56/~jnz1568/getInfo.php?workbook=10_05.xlsx&amp;sheet=A0&amp;row=3323&amp;col=6&amp;number=3220&amp;sourceID=14","3220")</f>
        <v>3220</v>
      </c>
      <c r="G3323" s="4" t="str">
        <f>HYPERLINK("http://141.218.60.56/~jnz1568/getInfo.php?workbook=10_05.xlsx&amp;sheet=A0&amp;row=3323&amp;col=7&amp;number=0&amp;sourceID=14","0")</f>
        <v>0</v>
      </c>
    </row>
    <row r="3324" spans="1:7">
      <c r="A3324" s="3">
        <v>10</v>
      </c>
      <c r="B3324" s="3">
        <v>5</v>
      </c>
      <c r="C3324" s="3">
        <v>78</v>
      </c>
      <c r="D3324" s="3">
        <v>64</v>
      </c>
      <c r="E3324" s="3">
        <v>-2331.496</v>
      </c>
      <c r="F3324" s="4" t="str">
        <f>HYPERLINK("http://141.218.60.56/~jnz1568/getInfo.php?workbook=10_05.xlsx&amp;sheet=A0&amp;row=3324&amp;col=6&amp;number=488&amp;sourceID=14","488")</f>
        <v>488</v>
      </c>
      <c r="G3324" s="4" t="str">
        <f>HYPERLINK("http://141.218.60.56/~jnz1568/getInfo.php?workbook=10_05.xlsx&amp;sheet=A0&amp;row=3324&amp;col=7&amp;number=0&amp;sourceID=14","0")</f>
        <v>0</v>
      </c>
    </row>
    <row r="3325" spans="1:7">
      <c r="A3325" s="3">
        <v>10</v>
      </c>
      <c r="B3325" s="3">
        <v>5</v>
      </c>
      <c r="C3325" s="3">
        <v>80</v>
      </c>
      <c r="D3325" s="3">
        <v>64</v>
      </c>
      <c r="E3325" s="3">
        <v>-1972.39</v>
      </c>
      <c r="F3325" s="4" t="str">
        <f>HYPERLINK("http://141.218.60.56/~jnz1568/getInfo.php?workbook=10_05.xlsx&amp;sheet=A0&amp;row=3325&amp;col=6&amp;number=60800&amp;sourceID=14","60800")</f>
        <v>60800</v>
      </c>
      <c r="G3325" s="4" t="str">
        <f>HYPERLINK("http://141.218.60.56/~jnz1568/getInfo.php?workbook=10_05.xlsx&amp;sheet=A0&amp;row=3325&amp;col=7&amp;number=0&amp;sourceID=14","0")</f>
        <v>0</v>
      </c>
    </row>
    <row r="3326" spans="1:7">
      <c r="A3326" s="3">
        <v>10</v>
      </c>
      <c r="B3326" s="3">
        <v>5</v>
      </c>
      <c r="C3326" s="3">
        <v>99</v>
      </c>
      <c r="D3326" s="3">
        <v>64</v>
      </c>
      <c r="E3326" s="3">
        <v>-1063.119</v>
      </c>
      <c r="F3326" s="4" t="str">
        <f>HYPERLINK("http://141.218.60.56/~jnz1568/getInfo.php?workbook=10_05.xlsx&amp;sheet=A0&amp;row=3326&amp;col=6&amp;number=0.0982&amp;sourceID=14","0.0982")</f>
        <v>0.0982</v>
      </c>
      <c r="G3326" s="4" t="str">
        <f>HYPERLINK("http://141.218.60.56/~jnz1568/getInfo.php?workbook=10_05.xlsx&amp;sheet=A0&amp;row=3326&amp;col=7&amp;number=0&amp;sourceID=14","0")</f>
        <v>0</v>
      </c>
    </row>
    <row r="3327" spans="1:7">
      <c r="A3327" s="3">
        <v>10</v>
      </c>
      <c r="B3327" s="3">
        <v>5</v>
      </c>
      <c r="C3327" s="3">
        <v>105</v>
      </c>
      <c r="D3327" s="3">
        <v>64</v>
      </c>
      <c r="E3327" s="3">
        <v>-999.582</v>
      </c>
      <c r="F3327" s="4" t="str">
        <f>HYPERLINK("http://141.218.60.56/~jnz1568/getInfo.php?workbook=10_05.xlsx&amp;sheet=A0&amp;row=3327&amp;col=6&amp;number=428000&amp;sourceID=14","428000")</f>
        <v>428000</v>
      </c>
      <c r="G3327" s="4" t="str">
        <f>HYPERLINK("http://141.218.60.56/~jnz1568/getInfo.php?workbook=10_05.xlsx&amp;sheet=A0&amp;row=3327&amp;col=7&amp;number=0&amp;sourceID=14","0")</f>
        <v>0</v>
      </c>
    </row>
    <row r="3328" spans="1:7">
      <c r="A3328" s="3">
        <v>10</v>
      </c>
      <c r="B3328" s="3">
        <v>5</v>
      </c>
      <c r="C3328" s="3">
        <v>106</v>
      </c>
      <c r="D3328" s="3">
        <v>64</v>
      </c>
      <c r="E3328" s="3">
        <v>-998.335</v>
      </c>
      <c r="F3328" s="4" t="str">
        <f>HYPERLINK("http://141.218.60.56/~jnz1568/getInfo.php?workbook=10_05.xlsx&amp;sheet=A0&amp;row=3328&amp;col=6&amp;number=169000&amp;sourceID=14","169000")</f>
        <v>169000</v>
      </c>
      <c r="G3328" s="4" t="str">
        <f>HYPERLINK("http://141.218.60.56/~jnz1568/getInfo.php?workbook=10_05.xlsx&amp;sheet=A0&amp;row=3328&amp;col=7&amp;number=0&amp;sourceID=14","0")</f>
        <v>0</v>
      </c>
    </row>
    <row r="3329" spans="1:7">
      <c r="A3329" s="3">
        <v>10</v>
      </c>
      <c r="B3329" s="3">
        <v>5</v>
      </c>
      <c r="C3329" s="3">
        <v>109</v>
      </c>
      <c r="D3329" s="3">
        <v>64</v>
      </c>
      <c r="E3329" s="3">
        <v>-988.642</v>
      </c>
      <c r="F3329" s="4" t="str">
        <f>HYPERLINK("http://141.218.60.56/~jnz1568/getInfo.php?workbook=10_05.xlsx&amp;sheet=A0&amp;row=3329&amp;col=6&amp;number=1700000&amp;sourceID=14","1700000")</f>
        <v>1700000</v>
      </c>
      <c r="G3329" s="4" t="str">
        <f>HYPERLINK("http://141.218.60.56/~jnz1568/getInfo.php?workbook=10_05.xlsx&amp;sheet=A0&amp;row=3329&amp;col=7&amp;number=0&amp;sourceID=14","0")</f>
        <v>0</v>
      </c>
    </row>
    <row r="3330" spans="1:7">
      <c r="A3330" s="3">
        <v>10</v>
      </c>
      <c r="B3330" s="3">
        <v>5</v>
      </c>
      <c r="C3330" s="3">
        <v>111</v>
      </c>
      <c r="D3330" s="3">
        <v>64</v>
      </c>
      <c r="E3330" s="3">
        <v>-982.832</v>
      </c>
      <c r="F3330" s="4" t="str">
        <f>HYPERLINK("http://141.218.60.56/~jnz1568/getInfo.php?workbook=10_05.xlsx&amp;sheet=A0&amp;row=3330&amp;col=6&amp;number=7190000&amp;sourceID=14","7190000")</f>
        <v>7190000</v>
      </c>
      <c r="G3330" s="4" t="str">
        <f>HYPERLINK("http://141.218.60.56/~jnz1568/getInfo.php?workbook=10_05.xlsx&amp;sheet=A0&amp;row=3330&amp;col=7&amp;number=0&amp;sourceID=14","0")</f>
        <v>0</v>
      </c>
    </row>
    <row r="3331" spans="1:7">
      <c r="A3331" s="3">
        <v>10</v>
      </c>
      <c r="B3331" s="3">
        <v>5</v>
      </c>
      <c r="C3331" s="3">
        <v>118</v>
      </c>
      <c r="D3331" s="3">
        <v>64</v>
      </c>
      <c r="E3331" s="3">
        <v>-910.549</v>
      </c>
      <c r="F3331" s="4" t="str">
        <f>HYPERLINK("http://141.218.60.56/~jnz1568/getInfo.php?workbook=10_05.xlsx&amp;sheet=A0&amp;row=3331&amp;col=6&amp;number=14100&amp;sourceID=14","14100")</f>
        <v>14100</v>
      </c>
      <c r="G3331" s="4" t="str">
        <f>HYPERLINK("http://141.218.60.56/~jnz1568/getInfo.php?workbook=10_05.xlsx&amp;sheet=A0&amp;row=3331&amp;col=7&amp;number=0&amp;sourceID=14","0")</f>
        <v>0</v>
      </c>
    </row>
    <row r="3332" spans="1:7">
      <c r="A3332" s="3">
        <v>10</v>
      </c>
      <c r="B3332" s="3">
        <v>5</v>
      </c>
      <c r="C3332" s="3">
        <v>119</v>
      </c>
      <c r="D3332" s="3">
        <v>64</v>
      </c>
      <c r="E3332" s="3">
        <v>-910.135</v>
      </c>
      <c r="F3332" s="4" t="str">
        <f>HYPERLINK("http://141.218.60.56/~jnz1568/getInfo.php?workbook=10_05.xlsx&amp;sheet=A0&amp;row=3332&amp;col=6&amp;number=19800&amp;sourceID=14","19800")</f>
        <v>19800</v>
      </c>
      <c r="G3332" s="4" t="str">
        <f>HYPERLINK("http://141.218.60.56/~jnz1568/getInfo.php?workbook=10_05.xlsx&amp;sheet=A0&amp;row=3332&amp;col=7&amp;number=0&amp;sourceID=14","0")</f>
        <v>0</v>
      </c>
    </row>
    <row r="3333" spans="1:7">
      <c r="A3333" s="3">
        <v>10</v>
      </c>
      <c r="B3333" s="3">
        <v>5</v>
      </c>
      <c r="C3333" s="3">
        <v>120</v>
      </c>
      <c r="D3333" s="3">
        <v>64</v>
      </c>
      <c r="E3333" s="3">
        <v>-884.683</v>
      </c>
      <c r="F3333" s="4" t="str">
        <f>HYPERLINK("http://141.218.60.56/~jnz1568/getInfo.php?workbook=10_05.xlsx&amp;sheet=A0&amp;row=3333&amp;col=6&amp;number=590000&amp;sourceID=14","590000")</f>
        <v>590000</v>
      </c>
      <c r="G3333" s="4" t="str">
        <f>HYPERLINK("http://141.218.60.56/~jnz1568/getInfo.php?workbook=10_05.xlsx&amp;sheet=A0&amp;row=3333&amp;col=7&amp;number=0&amp;sourceID=14","0")</f>
        <v>0</v>
      </c>
    </row>
    <row r="3334" spans="1:7">
      <c r="A3334" s="3">
        <v>10</v>
      </c>
      <c r="B3334" s="3">
        <v>5</v>
      </c>
      <c r="C3334" s="3">
        <v>121</v>
      </c>
      <c r="D3334" s="3">
        <v>64</v>
      </c>
      <c r="E3334" s="3">
        <v>-882.934</v>
      </c>
      <c r="F3334" s="4" t="str">
        <f>HYPERLINK("http://141.218.60.56/~jnz1568/getInfo.php?workbook=10_05.xlsx&amp;sheet=A0&amp;row=3334&amp;col=6&amp;number=30700&amp;sourceID=14","30700")</f>
        <v>30700</v>
      </c>
      <c r="G3334" s="4" t="str">
        <f>HYPERLINK("http://141.218.60.56/~jnz1568/getInfo.php?workbook=10_05.xlsx&amp;sheet=A0&amp;row=3334&amp;col=7&amp;number=0&amp;sourceID=14","0")</f>
        <v>0</v>
      </c>
    </row>
    <row r="3335" spans="1:7">
      <c r="A3335" s="3">
        <v>10</v>
      </c>
      <c r="B3335" s="3">
        <v>5</v>
      </c>
      <c r="C3335" s="3">
        <v>123</v>
      </c>
      <c r="D3335" s="3">
        <v>64</v>
      </c>
      <c r="E3335" s="3">
        <v>-877.787</v>
      </c>
      <c r="F3335" s="4" t="str">
        <f>HYPERLINK("http://141.218.60.56/~jnz1568/getInfo.php?workbook=10_05.xlsx&amp;sheet=A0&amp;row=3335&amp;col=6&amp;number=251000&amp;sourceID=14","251000")</f>
        <v>251000</v>
      </c>
      <c r="G3335" s="4" t="str">
        <f>HYPERLINK("http://141.218.60.56/~jnz1568/getInfo.php?workbook=10_05.xlsx&amp;sheet=A0&amp;row=3335&amp;col=7&amp;number=0&amp;sourceID=14","0")</f>
        <v>0</v>
      </c>
    </row>
    <row r="3336" spans="1:7">
      <c r="A3336" s="3">
        <v>10</v>
      </c>
      <c r="B3336" s="3">
        <v>5</v>
      </c>
      <c r="C3336" s="3">
        <v>125</v>
      </c>
      <c r="D3336" s="3">
        <v>64</v>
      </c>
      <c r="E3336" s="3">
        <v>-869.136</v>
      </c>
      <c r="F3336" s="4" t="str">
        <f>HYPERLINK("http://141.218.60.56/~jnz1568/getInfo.php?workbook=10_05.xlsx&amp;sheet=A0&amp;row=3336&amp;col=6&amp;number=20700000&amp;sourceID=14","20700000")</f>
        <v>20700000</v>
      </c>
      <c r="G3336" s="4" t="str">
        <f>HYPERLINK("http://141.218.60.56/~jnz1568/getInfo.php?workbook=10_05.xlsx&amp;sheet=A0&amp;row=3336&amp;col=7&amp;number=0&amp;sourceID=14","0")</f>
        <v>0</v>
      </c>
    </row>
    <row r="3337" spans="1:7">
      <c r="A3337" s="3">
        <v>10</v>
      </c>
      <c r="B3337" s="3">
        <v>5</v>
      </c>
      <c r="C3337" s="3">
        <v>126</v>
      </c>
      <c r="D3337" s="3">
        <v>64</v>
      </c>
      <c r="E3337" s="3">
        <v>-867.064</v>
      </c>
      <c r="F3337" s="4" t="str">
        <f>HYPERLINK("http://141.218.60.56/~jnz1568/getInfo.php?workbook=10_05.xlsx&amp;sheet=A0&amp;row=3337&amp;col=6&amp;number=8490000&amp;sourceID=14","8490000")</f>
        <v>8490000</v>
      </c>
      <c r="G3337" s="4" t="str">
        <f>HYPERLINK("http://141.218.60.56/~jnz1568/getInfo.php?workbook=10_05.xlsx&amp;sheet=A0&amp;row=3337&amp;col=7&amp;number=0&amp;sourceID=14","0")</f>
        <v>0</v>
      </c>
    </row>
    <row r="3338" spans="1:7">
      <c r="A3338" s="3">
        <v>10</v>
      </c>
      <c r="B3338" s="3">
        <v>5</v>
      </c>
      <c r="C3338" s="3">
        <v>129</v>
      </c>
      <c r="D3338" s="3">
        <v>64</v>
      </c>
      <c r="E3338" s="3">
        <v>-849.028</v>
      </c>
      <c r="F3338" s="4" t="str">
        <f>HYPERLINK("http://141.218.60.56/~jnz1568/getInfo.php?workbook=10_05.xlsx&amp;sheet=A0&amp;row=3338&amp;col=6&amp;number=30200000&amp;sourceID=14","30200000")</f>
        <v>30200000</v>
      </c>
      <c r="G3338" s="4" t="str">
        <f>HYPERLINK("http://141.218.60.56/~jnz1568/getInfo.php?workbook=10_05.xlsx&amp;sheet=A0&amp;row=3338&amp;col=7&amp;number=0&amp;sourceID=14","0")</f>
        <v>0</v>
      </c>
    </row>
    <row r="3339" spans="1:7">
      <c r="A3339" s="3">
        <v>10</v>
      </c>
      <c r="B3339" s="3">
        <v>5</v>
      </c>
      <c r="C3339" s="3">
        <v>131</v>
      </c>
      <c r="D3339" s="3">
        <v>64</v>
      </c>
      <c r="E3339" s="3">
        <v>-842.54</v>
      </c>
      <c r="F3339" s="4" t="str">
        <f>HYPERLINK("http://141.218.60.56/~jnz1568/getInfo.php?workbook=10_05.xlsx&amp;sheet=A0&amp;row=3339&amp;col=6&amp;number=7950&amp;sourceID=14","7950")</f>
        <v>7950</v>
      </c>
      <c r="G3339" s="4" t="str">
        <f>HYPERLINK("http://141.218.60.56/~jnz1568/getInfo.php?workbook=10_05.xlsx&amp;sheet=A0&amp;row=3339&amp;col=7&amp;number=0&amp;sourceID=14","0")</f>
        <v>0</v>
      </c>
    </row>
    <row r="3340" spans="1:7">
      <c r="A3340" s="3">
        <v>10</v>
      </c>
      <c r="B3340" s="3">
        <v>5</v>
      </c>
      <c r="C3340" s="3">
        <v>132</v>
      </c>
      <c r="D3340" s="3">
        <v>64</v>
      </c>
      <c r="E3340" s="3">
        <v>-841.497</v>
      </c>
      <c r="F3340" s="4" t="str">
        <f>HYPERLINK("http://141.218.60.56/~jnz1568/getInfo.php?workbook=10_05.xlsx&amp;sheet=A0&amp;row=3340&amp;col=6&amp;number=122000&amp;sourceID=14","122000")</f>
        <v>122000</v>
      </c>
      <c r="G3340" s="4" t="str">
        <f>HYPERLINK("http://141.218.60.56/~jnz1568/getInfo.php?workbook=10_05.xlsx&amp;sheet=A0&amp;row=3340&amp;col=7&amp;number=0&amp;sourceID=14","0")</f>
        <v>0</v>
      </c>
    </row>
    <row r="3341" spans="1:7">
      <c r="A3341" s="3">
        <v>10</v>
      </c>
      <c r="B3341" s="3">
        <v>5</v>
      </c>
      <c r="C3341" s="3">
        <v>140</v>
      </c>
      <c r="D3341" s="3">
        <v>64</v>
      </c>
      <c r="E3341" s="3">
        <v>-807.221</v>
      </c>
      <c r="F3341" s="4" t="str">
        <f>HYPERLINK("http://141.218.60.56/~jnz1568/getInfo.php?workbook=10_05.xlsx&amp;sheet=A0&amp;row=3341&amp;col=6&amp;number=197000&amp;sourceID=14","197000")</f>
        <v>197000</v>
      </c>
      <c r="G3341" s="4" t="str">
        <f>HYPERLINK("http://141.218.60.56/~jnz1568/getInfo.php?workbook=10_05.xlsx&amp;sheet=A0&amp;row=3341&amp;col=7&amp;number=0&amp;sourceID=14","0")</f>
        <v>0</v>
      </c>
    </row>
    <row r="3342" spans="1:7">
      <c r="A3342" s="3">
        <v>10</v>
      </c>
      <c r="B3342" s="3">
        <v>5</v>
      </c>
      <c r="C3342" s="3">
        <v>150</v>
      </c>
      <c r="D3342" s="3">
        <v>64</v>
      </c>
      <c r="E3342" s="3">
        <v>-764.416</v>
      </c>
      <c r="F3342" s="4" t="str">
        <f>HYPERLINK("http://141.218.60.56/~jnz1568/getInfo.php?workbook=10_05.xlsx&amp;sheet=A0&amp;row=3342&amp;col=6&amp;number=14100000&amp;sourceID=14","14100000")</f>
        <v>14100000</v>
      </c>
      <c r="G3342" s="4" t="str">
        <f>HYPERLINK("http://141.218.60.56/~jnz1568/getInfo.php?workbook=10_05.xlsx&amp;sheet=A0&amp;row=3342&amp;col=7&amp;number=0&amp;sourceID=14","0")</f>
        <v>0</v>
      </c>
    </row>
    <row r="3343" spans="1:7">
      <c r="A3343" s="3">
        <v>10</v>
      </c>
      <c r="B3343" s="3">
        <v>5</v>
      </c>
      <c r="C3343" s="3">
        <v>156</v>
      </c>
      <c r="D3343" s="3">
        <v>64</v>
      </c>
      <c r="E3343" s="3">
        <v>-741.077</v>
      </c>
      <c r="F3343" s="4" t="str">
        <f>HYPERLINK("http://141.218.60.56/~jnz1568/getInfo.php?workbook=10_05.xlsx&amp;sheet=A0&amp;row=3343&amp;col=6&amp;number=15900000&amp;sourceID=14","15900000")</f>
        <v>15900000</v>
      </c>
      <c r="G3343" s="4" t="str">
        <f>HYPERLINK("http://141.218.60.56/~jnz1568/getInfo.php?workbook=10_05.xlsx&amp;sheet=A0&amp;row=3343&amp;col=7&amp;number=0&amp;sourceID=14","0")</f>
        <v>0</v>
      </c>
    </row>
    <row r="3344" spans="1:7">
      <c r="A3344" s="3">
        <v>10</v>
      </c>
      <c r="B3344" s="3">
        <v>5</v>
      </c>
      <c r="C3344" s="3">
        <v>160</v>
      </c>
      <c r="D3344" s="3">
        <v>64</v>
      </c>
      <c r="E3344" s="3">
        <v>-733.225</v>
      </c>
      <c r="F3344" s="4" t="str">
        <f>HYPERLINK("http://141.218.60.56/~jnz1568/getInfo.php?workbook=10_05.xlsx&amp;sheet=A0&amp;row=3344&amp;col=6&amp;number=11500000&amp;sourceID=14","11500000")</f>
        <v>11500000</v>
      </c>
      <c r="G3344" s="4" t="str">
        <f>HYPERLINK("http://141.218.60.56/~jnz1568/getInfo.php?workbook=10_05.xlsx&amp;sheet=A0&amp;row=3344&amp;col=7&amp;number=0&amp;sourceID=14","0")</f>
        <v>0</v>
      </c>
    </row>
    <row r="3345" spans="1:7">
      <c r="A3345" s="3">
        <v>10</v>
      </c>
      <c r="B3345" s="3">
        <v>5</v>
      </c>
      <c r="C3345" s="3">
        <v>161</v>
      </c>
      <c r="D3345" s="3">
        <v>64</v>
      </c>
      <c r="E3345" s="3">
        <v>-731.525</v>
      </c>
      <c r="F3345" s="4" t="str">
        <f>HYPERLINK("http://141.218.60.56/~jnz1568/getInfo.php?workbook=10_05.xlsx&amp;sheet=A0&amp;row=3345&amp;col=6&amp;number=67100000&amp;sourceID=14","67100000")</f>
        <v>67100000</v>
      </c>
      <c r="G3345" s="4" t="str">
        <f>HYPERLINK("http://141.218.60.56/~jnz1568/getInfo.php?workbook=10_05.xlsx&amp;sheet=A0&amp;row=3345&amp;col=7&amp;number=0&amp;sourceID=14","0")</f>
        <v>0</v>
      </c>
    </row>
    <row r="3346" spans="1:7">
      <c r="A3346" s="3">
        <v>10</v>
      </c>
      <c r="B3346" s="3">
        <v>5</v>
      </c>
      <c r="C3346" s="3">
        <v>162</v>
      </c>
      <c r="D3346" s="3">
        <v>64</v>
      </c>
      <c r="E3346" s="3">
        <v>-729.944</v>
      </c>
      <c r="F3346" s="4" t="str">
        <f>HYPERLINK("http://141.218.60.56/~jnz1568/getInfo.php?workbook=10_05.xlsx&amp;sheet=A0&amp;row=3346&amp;col=6&amp;number=16600000&amp;sourceID=14","16600000")</f>
        <v>16600000</v>
      </c>
      <c r="G3346" s="4" t="str">
        <f>HYPERLINK("http://141.218.60.56/~jnz1568/getInfo.php?workbook=10_05.xlsx&amp;sheet=A0&amp;row=3346&amp;col=7&amp;number=0&amp;sourceID=14","0")</f>
        <v>0</v>
      </c>
    </row>
    <row r="3347" spans="1:7">
      <c r="A3347" s="3">
        <v>10</v>
      </c>
      <c r="B3347" s="3">
        <v>5</v>
      </c>
      <c r="C3347" s="3">
        <v>163</v>
      </c>
      <c r="D3347" s="3">
        <v>64</v>
      </c>
      <c r="E3347" s="3">
        <v>-664.232</v>
      </c>
      <c r="F3347" s="4" t="str">
        <f>HYPERLINK("http://141.218.60.56/~jnz1568/getInfo.php?workbook=10_05.xlsx&amp;sheet=A0&amp;row=3347&amp;col=6&amp;number=60600000&amp;sourceID=14","60600000")</f>
        <v>60600000</v>
      </c>
      <c r="G3347" s="4" t="str">
        <f>HYPERLINK("http://141.218.60.56/~jnz1568/getInfo.php?workbook=10_05.xlsx&amp;sheet=A0&amp;row=3347&amp;col=7&amp;number=0&amp;sourceID=14","0")</f>
        <v>0</v>
      </c>
    </row>
    <row r="3348" spans="1:7">
      <c r="A3348" s="3">
        <v>10</v>
      </c>
      <c r="B3348" s="3">
        <v>5</v>
      </c>
      <c r="C3348" s="3">
        <v>169</v>
      </c>
      <c r="D3348" s="3">
        <v>64</v>
      </c>
      <c r="E3348" s="3">
        <v>-460.264</v>
      </c>
      <c r="F3348" s="4" t="str">
        <f>HYPERLINK("http://141.218.60.56/~jnz1568/getInfo.php?workbook=10_05.xlsx&amp;sheet=A0&amp;row=3348&amp;col=6&amp;number=1340000000&amp;sourceID=14","1340000000")</f>
        <v>1340000000</v>
      </c>
      <c r="G3348" s="4" t="str">
        <f>HYPERLINK("http://141.218.60.56/~jnz1568/getInfo.php?workbook=10_05.xlsx&amp;sheet=A0&amp;row=3348&amp;col=7&amp;number=0&amp;sourceID=14","0")</f>
        <v>0</v>
      </c>
    </row>
    <row r="3349" spans="1:7">
      <c r="A3349" s="3">
        <v>10</v>
      </c>
      <c r="B3349" s="3">
        <v>5</v>
      </c>
      <c r="C3349" s="3">
        <v>170</v>
      </c>
      <c r="D3349" s="3">
        <v>64</v>
      </c>
      <c r="E3349" s="3">
        <v>-441.233</v>
      </c>
      <c r="F3349" s="4" t="str">
        <f>HYPERLINK("http://141.218.60.56/~jnz1568/getInfo.php?workbook=10_05.xlsx&amp;sheet=A0&amp;row=3349&amp;col=6&amp;number=3800000000&amp;sourceID=14","3800000000")</f>
        <v>3800000000</v>
      </c>
      <c r="G3349" s="4" t="str">
        <f>HYPERLINK("http://141.218.60.56/~jnz1568/getInfo.php?workbook=10_05.xlsx&amp;sheet=A0&amp;row=3349&amp;col=7&amp;number=0&amp;sourceID=14","0")</f>
        <v>0</v>
      </c>
    </row>
    <row r="3350" spans="1:7">
      <c r="A3350" s="3">
        <v>10</v>
      </c>
      <c r="B3350" s="3">
        <v>5</v>
      </c>
      <c r="C3350" s="3">
        <v>171</v>
      </c>
      <c r="D3350" s="3">
        <v>64</v>
      </c>
      <c r="E3350" s="3">
        <v>-441.048</v>
      </c>
      <c r="F3350" s="4" t="str">
        <f>HYPERLINK("http://141.218.60.56/~jnz1568/getInfo.php?workbook=10_05.xlsx&amp;sheet=A0&amp;row=3350&amp;col=6&amp;number=980000000&amp;sourceID=14","980000000")</f>
        <v>980000000</v>
      </c>
      <c r="G3350" s="4" t="str">
        <f>HYPERLINK("http://141.218.60.56/~jnz1568/getInfo.php?workbook=10_05.xlsx&amp;sheet=A0&amp;row=3350&amp;col=7&amp;number=0&amp;sourceID=14","0")</f>
        <v>0</v>
      </c>
    </row>
    <row r="3351" spans="1:7">
      <c r="A3351" s="3">
        <v>10</v>
      </c>
      <c r="B3351" s="3">
        <v>5</v>
      </c>
      <c r="C3351" s="3">
        <v>172</v>
      </c>
      <c r="D3351" s="3">
        <v>64</v>
      </c>
      <c r="E3351" s="3">
        <v>-437.287</v>
      </c>
      <c r="F3351" s="4" t="str">
        <f>HYPERLINK("http://141.218.60.56/~jnz1568/getInfo.php?workbook=10_05.xlsx&amp;sheet=A0&amp;row=3351&amp;col=6&amp;number=2200000000&amp;sourceID=14","2200000000")</f>
        <v>2200000000</v>
      </c>
      <c r="G3351" s="4" t="str">
        <f>HYPERLINK("http://141.218.60.56/~jnz1568/getInfo.php?workbook=10_05.xlsx&amp;sheet=A0&amp;row=3351&amp;col=7&amp;number=0&amp;sourceID=14","0")</f>
        <v>0</v>
      </c>
    </row>
    <row r="3352" spans="1:7">
      <c r="A3352" s="3">
        <v>10</v>
      </c>
      <c r="B3352" s="3">
        <v>5</v>
      </c>
      <c r="C3352" s="3">
        <v>174</v>
      </c>
      <c r="D3352" s="3">
        <v>64</v>
      </c>
      <c r="E3352" s="3">
        <v>-433.246</v>
      </c>
      <c r="F3352" s="4" t="str">
        <f>HYPERLINK("http://141.218.60.56/~jnz1568/getInfo.php?workbook=10_05.xlsx&amp;sheet=A0&amp;row=3352&amp;col=6&amp;number=2020000000&amp;sourceID=14","2020000000")</f>
        <v>2020000000</v>
      </c>
      <c r="G3352" s="4" t="str">
        <f>HYPERLINK("http://141.218.60.56/~jnz1568/getInfo.php?workbook=10_05.xlsx&amp;sheet=A0&amp;row=3352&amp;col=7&amp;number=0&amp;sourceID=14","0")</f>
        <v>0</v>
      </c>
    </row>
    <row r="3353" spans="1:7">
      <c r="A3353" s="3">
        <v>10</v>
      </c>
      <c r="B3353" s="3">
        <v>5</v>
      </c>
      <c r="C3353" s="3">
        <v>66</v>
      </c>
      <c r="D3353" s="3">
        <v>65</v>
      </c>
      <c r="E3353" s="3">
        <v>-7456.579</v>
      </c>
      <c r="F3353" s="4" t="str">
        <f>HYPERLINK("http://141.218.60.56/~jnz1568/getInfo.php?workbook=10_05.xlsx&amp;sheet=A0&amp;row=3353&amp;col=6&amp;number=3530000&amp;sourceID=14","3530000")</f>
        <v>3530000</v>
      </c>
      <c r="G3353" s="4" t="str">
        <f>HYPERLINK("http://141.218.60.56/~jnz1568/getInfo.php?workbook=10_05.xlsx&amp;sheet=A0&amp;row=3353&amp;col=7&amp;number=0&amp;sourceID=14","0")</f>
        <v>0</v>
      </c>
    </row>
    <row r="3354" spans="1:7">
      <c r="A3354" s="3">
        <v>10</v>
      </c>
      <c r="B3354" s="3">
        <v>5</v>
      </c>
      <c r="C3354" s="3">
        <v>67</v>
      </c>
      <c r="D3354" s="3">
        <v>65</v>
      </c>
      <c r="E3354" s="3">
        <v>-7438.829</v>
      </c>
      <c r="F3354" s="4" t="str">
        <f>HYPERLINK("http://141.218.60.56/~jnz1568/getInfo.php?workbook=10_05.xlsx&amp;sheet=A0&amp;row=3354&amp;col=6&amp;number=21300000&amp;sourceID=14","21300000")</f>
        <v>21300000</v>
      </c>
      <c r="G3354" s="4" t="str">
        <f>HYPERLINK("http://141.218.60.56/~jnz1568/getInfo.php?workbook=10_05.xlsx&amp;sheet=A0&amp;row=3354&amp;col=7&amp;number=0&amp;sourceID=14","0")</f>
        <v>0</v>
      </c>
    </row>
    <row r="3355" spans="1:7">
      <c r="A3355" s="3">
        <v>10</v>
      </c>
      <c r="B3355" s="3">
        <v>5</v>
      </c>
      <c r="C3355" s="3">
        <v>70</v>
      </c>
      <c r="D3355" s="3">
        <v>65</v>
      </c>
      <c r="E3355" s="3">
        <v>-5924.884</v>
      </c>
      <c r="F3355" s="4" t="str">
        <f>HYPERLINK("http://141.218.60.56/~jnz1568/getInfo.php?workbook=10_05.xlsx&amp;sheet=A0&amp;row=3355&amp;col=6&amp;number=1140&amp;sourceID=14","1140")</f>
        <v>1140</v>
      </c>
      <c r="G3355" s="4" t="str">
        <f>HYPERLINK("http://141.218.60.56/~jnz1568/getInfo.php?workbook=10_05.xlsx&amp;sheet=A0&amp;row=3355&amp;col=7&amp;number=0&amp;sourceID=14","0")</f>
        <v>0</v>
      </c>
    </row>
    <row r="3356" spans="1:7">
      <c r="A3356" s="3">
        <v>10</v>
      </c>
      <c r="B3356" s="3">
        <v>5</v>
      </c>
      <c r="C3356" s="3">
        <v>71</v>
      </c>
      <c r="D3356" s="3">
        <v>65</v>
      </c>
      <c r="E3356" s="3">
        <v>-5771.017</v>
      </c>
      <c r="F3356" s="4" t="str">
        <f>HYPERLINK("http://141.218.60.56/~jnz1568/getInfo.php?workbook=10_05.xlsx&amp;sheet=A0&amp;row=3356&amp;col=6&amp;number=9.18&amp;sourceID=14","9.18")</f>
        <v>9.18</v>
      </c>
      <c r="G3356" s="4" t="str">
        <f>HYPERLINK("http://141.218.60.56/~jnz1568/getInfo.php?workbook=10_05.xlsx&amp;sheet=A0&amp;row=3356&amp;col=7&amp;number=0&amp;sourceID=14","0")</f>
        <v>0</v>
      </c>
    </row>
    <row r="3357" spans="1:7">
      <c r="A3357" s="3">
        <v>10</v>
      </c>
      <c r="B3357" s="3">
        <v>5</v>
      </c>
      <c r="C3357" s="3">
        <v>72</v>
      </c>
      <c r="D3357" s="3">
        <v>65</v>
      </c>
      <c r="E3357" s="3">
        <v>-5536.189</v>
      </c>
      <c r="F3357" s="4" t="str">
        <f>HYPERLINK("http://141.218.60.56/~jnz1568/getInfo.php?workbook=10_05.xlsx&amp;sheet=A0&amp;row=3357&amp;col=6&amp;number=46.6&amp;sourceID=14","46.6")</f>
        <v>46.6</v>
      </c>
      <c r="G3357" s="4" t="str">
        <f>HYPERLINK("http://141.218.60.56/~jnz1568/getInfo.php?workbook=10_05.xlsx&amp;sheet=A0&amp;row=3357&amp;col=7&amp;number=0&amp;sourceID=14","0")</f>
        <v>0</v>
      </c>
    </row>
    <row r="3358" spans="1:7">
      <c r="A3358" s="3">
        <v>10</v>
      </c>
      <c r="B3358" s="3">
        <v>5</v>
      </c>
      <c r="C3358" s="3">
        <v>77</v>
      </c>
      <c r="D3358" s="3">
        <v>65</v>
      </c>
      <c r="E3358" s="3">
        <v>-2384.42</v>
      </c>
      <c r="F3358" s="4" t="str">
        <f>HYPERLINK("http://141.218.60.56/~jnz1568/getInfo.php?workbook=10_05.xlsx&amp;sheet=A0&amp;row=3358&amp;col=6&amp;number=5.8&amp;sourceID=14","5.8")</f>
        <v>5.8</v>
      </c>
      <c r="G3358" s="4" t="str">
        <f>HYPERLINK("http://141.218.60.56/~jnz1568/getInfo.php?workbook=10_05.xlsx&amp;sheet=A0&amp;row=3358&amp;col=7&amp;number=0&amp;sourceID=14","0")</f>
        <v>0</v>
      </c>
    </row>
    <row r="3359" spans="1:7">
      <c r="A3359" s="3">
        <v>10</v>
      </c>
      <c r="B3359" s="3">
        <v>5</v>
      </c>
      <c r="C3359" s="3">
        <v>78</v>
      </c>
      <c r="D3359" s="3">
        <v>65</v>
      </c>
      <c r="E3359" s="3">
        <v>-2338.092</v>
      </c>
      <c r="F3359" s="4" t="str">
        <f>HYPERLINK("http://141.218.60.56/~jnz1568/getInfo.php?workbook=10_05.xlsx&amp;sheet=A0&amp;row=3359&amp;col=6&amp;number=1410&amp;sourceID=14","1410")</f>
        <v>1410</v>
      </c>
      <c r="G3359" s="4" t="str">
        <f>HYPERLINK("http://141.218.60.56/~jnz1568/getInfo.php?workbook=10_05.xlsx&amp;sheet=A0&amp;row=3359&amp;col=7&amp;number=0&amp;sourceID=14","0")</f>
        <v>0</v>
      </c>
    </row>
    <row r="3360" spans="1:7">
      <c r="A3360" s="3">
        <v>10</v>
      </c>
      <c r="B3360" s="3">
        <v>5</v>
      </c>
      <c r="C3360" s="3">
        <v>80</v>
      </c>
      <c r="D3360" s="3">
        <v>65</v>
      </c>
      <c r="E3360" s="3">
        <v>-1977.109</v>
      </c>
      <c r="F3360" s="4" t="str">
        <f>HYPERLINK("http://141.218.60.56/~jnz1568/getInfo.php?workbook=10_05.xlsx&amp;sheet=A0&amp;row=3360&amp;col=6&amp;number=10800&amp;sourceID=14","10800")</f>
        <v>10800</v>
      </c>
      <c r="G3360" s="4" t="str">
        <f>HYPERLINK("http://141.218.60.56/~jnz1568/getInfo.php?workbook=10_05.xlsx&amp;sheet=A0&amp;row=3360&amp;col=7&amp;number=0&amp;sourceID=14","0")</f>
        <v>0</v>
      </c>
    </row>
    <row r="3361" spans="1:7">
      <c r="A3361" s="3">
        <v>10</v>
      </c>
      <c r="B3361" s="3">
        <v>5</v>
      </c>
      <c r="C3361" s="3">
        <v>81</v>
      </c>
      <c r="D3361" s="3">
        <v>65</v>
      </c>
      <c r="E3361" s="3">
        <v>-1975.429</v>
      </c>
      <c r="F3361" s="4" t="str">
        <f>HYPERLINK("http://141.218.60.56/~jnz1568/getInfo.php?workbook=10_05.xlsx&amp;sheet=A0&amp;row=3361&amp;col=6&amp;number=71800&amp;sourceID=14","71800")</f>
        <v>71800</v>
      </c>
      <c r="G3361" s="4" t="str">
        <f>HYPERLINK("http://141.218.60.56/~jnz1568/getInfo.php?workbook=10_05.xlsx&amp;sheet=A0&amp;row=3361&amp;col=7&amp;number=0&amp;sourceID=14","0")</f>
        <v>0</v>
      </c>
    </row>
    <row r="3362" spans="1:7">
      <c r="A3362" s="3">
        <v>10</v>
      </c>
      <c r="B3362" s="3">
        <v>5</v>
      </c>
      <c r="C3362" s="3">
        <v>99</v>
      </c>
      <c r="D3362" s="3">
        <v>65</v>
      </c>
      <c r="E3362" s="3">
        <v>-1064.489</v>
      </c>
      <c r="F3362" s="4" t="str">
        <f>HYPERLINK("http://141.218.60.56/~jnz1568/getInfo.php?workbook=10_05.xlsx&amp;sheet=A0&amp;row=3362&amp;col=6&amp;number=69.1&amp;sourceID=14","69.1")</f>
        <v>69.1</v>
      </c>
      <c r="G3362" s="4" t="str">
        <f>HYPERLINK("http://141.218.60.56/~jnz1568/getInfo.php?workbook=10_05.xlsx&amp;sheet=A0&amp;row=3362&amp;col=7&amp;number=0&amp;sourceID=14","0")</f>
        <v>0</v>
      </c>
    </row>
    <row r="3363" spans="1:7">
      <c r="A3363" s="3">
        <v>10</v>
      </c>
      <c r="B3363" s="3">
        <v>5</v>
      </c>
      <c r="C3363" s="3">
        <v>100</v>
      </c>
      <c r="D3363" s="3">
        <v>65</v>
      </c>
      <c r="E3363" s="3">
        <v>-1061.517</v>
      </c>
      <c r="F3363" s="4" t="str">
        <f>HYPERLINK("http://141.218.60.56/~jnz1568/getInfo.php?workbook=10_05.xlsx&amp;sheet=A0&amp;row=3363&amp;col=6&amp;number=5.51&amp;sourceID=14","5.51")</f>
        <v>5.51</v>
      </c>
      <c r="G3363" s="4" t="str">
        <f>HYPERLINK("http://141.218.60.56/~jnz1568/getInfo.php?workbook=10_05.xlsx&amp;sheet=A0&amp;row=3363&amp;col=7&amp;number=0&amp;sourceID=14","0")</f>
        <v>0</v>
      </c>
    </row>
    <row r="3364" spans="1:7">
      <c r="A3364" s="3">
        <v>10</v>
      </c>
      <c r="B3364" s="3">
        <v>5</v>
      </c>
      <c r="C3364" s="3">
        <v>105</v>
      </c>
      <c r="D3364" s="3">
        <v>65</v>
      </c>
      <c r="E3364" s="3">
        <v>-1000.792</v>
      </c>
      <c r="F3364" s="4" t="str">
        <f>HYPERLINK("http://141.218.60.56/~jnz1568/getInfo.php?workbook=10_05.xlsx&amp;sheet=A0&amp;row=3364&amp;col=6&amp;number=201000&amp;sourceID=14","201000")</f>
        <v>201000</v>
      </c>
      <c r="G3364" s="4" t="str">
        <f>HYPERLINK("http://141.218.60.56/~jnz1568/getInfo.php?workbook=10_05.xlsx&amp;sheet=A0&amp;row=3364&amp;col=7&amp;number=0&amp;sourceID=14","0")</f>
        <v>0</v>
      </c>
    </row>
    <row r="3365" spans="1:7">
      <c r="A3365" s="3">
        <v>10</v>
      </c>
      <c r="B3365" s="3">
        <v>5</v>
      </c>
      <c r="C3365" s="3">
        <v>106</v>
      </c>
      <c r="D3365" s="3">
        <v>65</v>
      </c>
      <c r="E3365" s="3">
        <v>-999.542</v>
      </c>
      <c r="F3365" s="4" t="str">
        <f>HYPERLINK("http://141.218.60.56/~jnz1568/getInfo.php?workbook=10_05.xlsx&amp;sheet=A0&amp;row=3365&amp;col=6&amp;number=721000&amp;sourceID=14","721000")</f>
        <v>721000</v>
      </c>
      <c r="G3365" s="4" t="str">
        <f>HYPERLINK("http://141.218.60.56/~jnz1568/getInfo.php?workbook=10_05.xlsx&amp;sheet=A0&amp;row=3365&amp;col=7&amp;number=0&amp;sourceID=14","0")</f>
        <v>0</v>
      </c>
    </row>
    <row r="3366" spans="1:7">
      <c r="A3366" s="3">
        <v>10</v>
      </c>
      <c r="B3366" s="3">
        <v>5</v>
      </c>
      <c r="C3366" s="3">
        <v>107</v>
      </c>
      <c r="D3366" s="3">
        <v>65</v>
      </c>
      <c r="E3366" s="3">
        <v>-996.772</v>
      </c>
      <c r="F3366" s="4" t="str">
        <f>HYPERLINK("http://141.218.60.56/~jnz1568/getInfo.php?workbook=10_05.xlsx&amp;sheet=A0&amp;row=3366&amp;col=6&amp;number=348&amp;sourceID=14","348")</f>
        <v>348</v>
      </c>
      <c r="G3366" s="4" t="str">
        <f>HYPERLINK("http://141.218.60.56/~jnz1568/getInfo.php?workbook=10_05.xlsx&amp;sheet=A0&amp;row=3366&amp;col=7&amp;number=0&amp;sourceID=14","0")</f>
        <v>0</v>
      </c>
    </row>
    <row r="3367" spans="1:7">
      <c r="A3367" s="3">
        <v>10</v>
      </c>
      <c r="B3367" s="3">
        <v>5</v>
      </c>
      <c r="C3367" s="3">
        <v>109</v>
      </c>
      <c r="D3367" s="3">
        <v>65</v>
      </c>
      <c r="E3367" s="3">
        <v>-989.826</v>
      </c>
      <c r="F3367" s="4" t="str">
        <f>HYPERLINK("http://141.218.60.56/~jnz1568/getInfo.php?workbook=10_05.xlsx&amp;sheet=A0&amp;row=3367&amp;col=6&amp;number=7810000&amp;sourceID=14","7810000")</f>
        <v>7810000</v>
      </c>
      <c r="G3367" s="4" t="str">
        <f>HYPERLINK("http://141.218.60.56/~jnz1568/getInfo.php?workbook=10_05.xlsx&amp;sheet=A0&amp;row=3367&amp;col=7&amp;number=0&amp;sourceID=14","0")</f>
        <v>0</v>
      </c>
    </row>
    <row r="3368" spans="1:7">
      <c r="A3368" s="3">
        <v>10</v>
      </c>
      <c r="B3368" s="3">
        <v>5</v>
      </c>
      <c r="C3368" s="3">
        <v>111</v>
      </c>
      <c r="D3368" s="3">
        <v>65</v>
      </c>
      <c r="E3368" s="3">
        <v>-984.002</v>
      </c>
      <c r="F3368" s="4" t="str">
        <f>HYPERLINK("http://141.218.60.56/~jnz1568/getInfo.php?workbook=10_05.xlsx&amp;sheet=A0&amp;row=3368&amp;col=6&amp;number=3330000&amp;sourceID=14","3330000")</f>
        <v>3330000</v>
      </c>
      <c r="G3368" s="4" t="str">
        <f>HYPERLINK("http://141.218.60.56/~jnz1568/getInfo.php?workbook=10_05.xlsx&amp;sheet=A0&amp;row=3368&amp;col=7&amp;number=0&amp;sourceID=14","0")</f>
        <v>0</v>
      </c>
    </row>
    <row r="3369" spans="1:7">
      <c r="A3369" s="3">
        <v>10</v>
      </c>
      <c r="B3369" s="3">
        <v>5</v>
      </c>
      <c r="C3369" s="3">
        <v>115</v>
      </c>
      <c r="D3369" s="3">
        <v>65</v>
      </c>
      <c r="E3369" s="3">
        <v>-921.593</v>
      </c>
      <c r="F3369" s="4" t="str">
        <f>HYPERLINK("http://141.218.60.56/~jnz1568/getInfo.php?workbook=10_05.xlsx&amp;sheet=A0&amp;row=3369&amp;col=6&amp;number=131&amp;sourceID=14","131")</f>
        <v>131</v>
      </c>
      <c r="G3369" s="4" t="str">
        <f>HYPERLINK("http://141.218.60.56/~jnz1568/getInfo.php?workbook=10_05.xlsx&amp;sheet=A0&amp;row=3369&amp;col=7&amp;number=0&amp;sourceID=14","0")</f>
        <v>0</v>
      </c>
    </row>
    <row r="3370" spans="1:7">
      <c r="A3370" s="3">
        <v>10</v>
      </c>
      <c r="B3370" s="3">
        <v>5</v>
      </c>
      <c r="C3370" s="3">
        <v>117</v>
      </c>
      <c r="D3370" s="3">
        <v>65</v>
      </c>
      <c r="E3370" s="3">
        <v>-912.227</v>
      </c>
      <c r="F3370" s="4" t="str">
        <f>HYPERLINK("http://141.218.60.56/~jnz1568/getInfo.php?workbook=10_05.xlsx&amp;sheet=A0&amp;row=3370&amp;col=6&amp;number=7150&amp;sourceID=14","7150")</f>
        <v>7150</v>
      </c>
      <c r="G3370" s="4" t="str">
        <f>HYPERLINK("http://141.218.60.56/~jnz1568/getInfo.php?workbook=10_05.xlsx&amp;sheet=A0&amp;row=3370&amp;col=7&amp;number=0&amp;sourceID=14","0")</f>
        <v>0</v>
      </c>
    </row>
    <row r="3371" spans="1:7">
      <c r="A3371" s="3">
        <v>10</v>
      </c>
      <c r="B3371" s="3">
        <v>5</v>
      </c>
      <c r="C3371" s="3">
        <v>118</v>
      </c>
      <c r="D3371" s="3">
        <v>65</v>
      </c>
      <c r="E3371" s="3">
        <v>-911.554</v>
      </c>
      <c r="F3371" s="4" t="str">
        <f>HYPERLINK("http://141.218.60.56/~jnz1568/getInfo.php?workbook=10_05.xlsx&amp;sheet=A0&amp;row=3371&amp;col=6&amp;number=24500&amp;sourceID=14","24500")</f>
        <v>24500</v>
      </c>
      <c r="G3371" s="4" t="str">
        <f>HYPERLINK("http://141.218.60.56/~jnz1568/getInfo.php?workbook=10_05.xlsx&amp;sheet=A0&amp;row=3371&amp;col=7&amp;number=0&amp;sourceID=14","0")</f>
        <v>0</v>
      </c>
    </row>
    <row r="3372" spans="1:7">
      <c r="A3372" s="3">
        <v>10</v>
      </c>
      <c r="B3372" s="3">
        <v>5</v>
      </c>
      <c r="C3372" s="3">
        <v>119</v>
      </c>
      <c r="D3372" s="3">
        <v>65</v>
      </c>
      <c r="E3372" s="3">
        <v>-911.139</v>
      </c>
      <c r="F3372" s="4" t="str">
        <f>HYPERLINK("http://141.218.60.56/~jnz1568/getInfo.php?workbook=10_05.xlsx&amp;sheet=A0&amp;row=3372&amp;col=6&amp;number=86.2&amp;sourceID=14","86.2")</f>
        <v>86.2</v>
      </c>
      <c r="G3372" s="4" t="str">
        <f>HYPERLINK("http://141.218.60.56/~jnz1568/getInfo.php?workbook=10_05.xlsx&amp;sheet=A0&amp;row=3372&amp;col=7&amp;number=0&amp;sourceID=14","0")</f>
        <v>0</v>
      </c>
    </row>
    <row r="3373" spans="1:7">
      <c r="A3373" s="3">
        <v>10</v>
      </c>
      <c r="B3373" s="3">
        <v>5</v>
      </c>
      <c r="C3373" s="3">
        <v>120</v>
      </c>
      <c r="D3373" s="3">
        <v>65</v>
      </c>
      <c r="E3373" s="3">
        <v>-885.631</v>
      </c>
      <c r="F3373" s="4" t="str">
        <f>HYPERLINK("http://141.218.60.56/~jnz1568/getInfo.php?workbook=10_05.xlsx&amp;sheet=A0&amp;row=3373&amp;col=6&amp;number=272000&amp;sourceID=14","272000")</f>
        <v>272000</v>
      </c>
      <c r="G3373" s="4" t="str">
        <f>HYPERLINK("http://141.218.60.56/~jnz1568/getInfo.php?workbook=10_05.xlsx&amp;sheet=A0&amp;row=3373&amp;col=7&amp;number=0&amp;sourceID=14","0")</f>
        <v>0</v>
      </c>
    </row>
    <row r="3374" spans="1:7">
      <c r="A3374" s="3">
        <v>10</v>
      </c>
      <c r="B3374" s="3">
        <v>5</v>
      </c>
      <c r="C3374" s="3">
        <v>121</v>
      </c>
      <c r="D3374" s="3">
        <v>65</v>
      </c>
      <c r="E3374" s="3">
        <v>-883.878</v>
      </c>
      <c r="F3374" s="4" t="str">
        <f>HYPERLINK("http://141.218.60.56/~jnz1568/getInfo.php?workbook=10_05.xlsx&amp;sheet=A0&amp;row=3374&amp;col=6&amp;number=390000&amp;sourceID=14","390000")</f>
        <v>390000</v>
      </c>
      <c r="G3374" s="4" t="str">
        <f>HYPERLINK("http://141.218.60.56/~jnz1568/getInfo.php?workbook=10_05.xlsx&amp;sheet=A0&amp;row=3374&amp;col=7&amp;number=0&amp;sourceID=14","0")</f>
        <v>0</v>
      </c>
    </row>
    <row r="3375" spans="1:7">
      <c r="A3375" s="3">
        <v>10</v>
      </c>
      <c r="B3375" s="3">
        <v>5</v>
      </c>
      <c r="C3375" s="3">
        <v>122</v>
      </c>
      <c r="D3375" s="3">
        <v>65</v>
      </c>
      <c r="E3375" s="3">
        <v>-880.997</v>
      </c>
      <c r="F3375" s="4" t="str">
        <f>HYPERLINK("http://141.218.60.56/~jnz1568/getInfo.php?workbook=10_05.xlsx&amp;sheet=A0&amp;row=3375&amp;col=6&amp;number=26200&amp;sourceID=14","26200")</f>
        <v>26200</v>
      </c>
      <c r="G3375" s="4" t="str">
        <f>HYPERLINK("http://141.218.60.56/~jnz1568/getInfo.php?workbook=10_05.xlsx&amp;sheet=A0&amp;row=3375&amp;col=7&amp;number=0&amp;sourceID=14","0")</f>
        <v>0</v>
      </c>
    </row>
    <row r="3376" spans="1:7">
      <c r="A3376" s="3">
        <v>10</v>
      </c>
      <c r="B3376" s="3">
        <v>5</v>
      </c>
      <c r="C3376" s="3">
        <v>123</v>
      </c>
      <c r="D3376" s="3">
        <v>65</v>
      </c>
      <c r="E3376" s="3">
        <v>-878.721</v>
      </c>
      <c r="F3376" s="4" t="str">
        <f>HYPERLINK("http://141.218.60.56/~jnz1568/getInfo.php?workbook=10_05.xlsx&amp;sheet=A0&amp;row=3376&amp;col=6&amp;number=842000&amp;sourceID=14","842000")</f>
        <v>842000</v>
      </c>
      <c r="G3376" s="4" t="str">
        <f>HYPERLINK("http://141.218.60.56/~jnz1568/getInfo.php?workbook=10_05.xlsx&amp;sheet=A0&amp;row=3376&amp;col=7&amp;number=0&amp;sourceID=14","0")</f>
        <v>0</v>
      </c>
    </row>
    <row r="3377" spans="1:7">
      <c r="A3377" s="3">
        <v>10</v>
      </c>
      <c r="B3377" s="3">
        <v>5</v>
      </c>
      <c r="C3377" s="3">
        <v>125</v>
      </c>
      <c r="D3377" s="3">
        <v>65</v>
      </c>
      <c r="E3377" s="3">
        <v>-870.051</v>
      </c>
      <c r="F3377" s="4" t="str">
        <f>HYPERLINK("http://141.218.60.56/~jnz1568/getInfo.php?workbook=10_05.xlsx&amp;sheet=A0&amp;row=3377&amp;col=6&amp;number=9370000&amp;sourceID=14","9370000")</f>
        <v>9370000</v>
      </c>
      <c r="G3377" s="4" t="str">
        <f>HYPERLINK("http://141.218.60.56/~jnz1568/getInfo.php?workbook=10_05.xlsx&amp;sheet=A0&amp;row=3377&amp;col=7&amp;number=0&amp;sourceID=14","0")</f>
        <v>0</v>
      </c>
    </row>
    <row r="3378" spans="1:7">
      <c r="A3378" s="3">
        <v>10</v>
      </c>
      <c r="B3378" s="3">
        <v>5</v>
      </c>
      <c r="C3378" s="3">
        <v>126</v>
      </c>
      <c r="D3378" s="3">
        <v>65</v>
      </c>
      <c r="E3378" s="3">
        <v>-867.974</v>
      </c>
      <c r="F3378" s="4" t="str">
        <f>HYPERLINK("http://141.218.60.56/~jnz1568/getInfo.php?workbook=10_05.xlsx&amp;sheet=A0&amp;row=3378&amp;col=6&amp;number=23000000&amp;sourceID=14","23000000")</f>
        <v>23000000</v>
      </c>
      <c r="G3378" s="4" t="str">
        <f>HYPERLINK("http://141.218.60.56/~jnz1568/getInfo.php?workbook=10_05.xlsx&amp;sheet=A0&amp;row=3378&amp;col=7&amp;number=0&amp;sourceID=14","0")</f>
        <v>0</v>
      </c>
    </row>
    <row r="3379" spans="1:7">
      <c r="A3379" s="3">
        <v>10</v>
      </c>
      <c r="B3379" s="3">
        <v>5</v>
      </c>
      <c r="C3379" s="3">
        <v>129</v>
      </c>
      <c r="D3379" s="3">
        <v>65</v>
      </c>
      <c r="E3379" s="3">
        <v>-849.901</v>
      </c>
      <c r="F3379" s="4" t="str">
        <f>HYPERLINK("http://141.218.60.56/~jnz1568/getInfo.php?workbook=10_05.xlsx&amp;sheet=A0&amp;row=3379&amp;col=6&amp;number=10400000&amp;sourceID=14","10400000")</f>
        <v>10400000</v>
      </c>
      <c r="G3379" s="4" t="str">
        <f>HYPERLINK("http://141.218.60.56/~jnz1568/getInfo.php?workbook=10_05.xlsx&amp;sheet=A0&amp;row=3379&amp;col=7&amp;number=0&amp;sourceID=14","0")</f>
        <v>0</v>
      </c>
    </row>
    <row r="3380" spans="1:7">
      <c r="A3380" s="3">
        <v>10</v>
      </c>
      <c r="B3380" s="3">
        <v>5</v>
      </c>
      <c r="C3380" s="3">
        <v>130</v>
      </c>
      <c r="D3380" s="3">
        <v>65</v>
      </c>
      <c r="E3380" s="3">
        <v>-845.56</v>
      </c>
      <c r="F3380" s="4" t="str">
        <f>HYPERLINK("http://141.218.60.56/~jnz1568/getInfo.php?workbook=10_05.xlsx&amp;sheet=A0&amp;row=3380&amp;col=6&amp;number=31300000&amp;sourceID=14","31300000")</f>
        <v>31300000</v>
      </c>
      <c r="G3380" s="4" t="str">
        <f>HYPERLINK("http://141.218.60.56/~jnz1568/getInfo.php?workbook=10_05.xlsx&amp;sheet=A0&amp;row=3380&amp;col=7&amp;number=0&amp;sourceID=14","0")</f>
        <v>0</v>
      </c>
    </row>
    <row r="3381" spans="1:7">
      <c r="A3381" s="3">
        <v>10</v>
      </c>
      <c r="B3381" s="3">
        <v>5</v>
      </c>
      <c r="C3381" s="3">
        <v>131</v>
      </c>
      <c r="D3381" s="3">
        <v>65</v>
      </c>
      <c r="E3381" s="3">
        <v>-843.399</v>
      </c>
      <c r="F3381" s="4" t="str">
        <f>HYPERLINK("http://141.218.60.56/~jnz1568/getInfo.php?workbook=10_05.xlsx&amp;sheet=A0&amp;row=3381&amp;col=6&amp;number=388&amp;sourceID=14","388")</f>
        <v>388</v>
      </c>
      <c r="G3381" s="4" t="str">
        <f>HYPERLINK("http://141.218.60.56/~jnz1568/getInfo.php?workbook=10_05.xlsx&amp;sheet=A0&amp;row=3381&amp;col=7&amp;number=0&amp;sourceID=14","0")</f>
        <v>0</v>
      </c>
    </row>
    <row r="3382" spans="1:7">
      <c r="A3382" s="3">
        <v>10</v>
      </c>
      <c r="B3382" s="3">
        <v>5</v>
      </c>
      <c r="C3382" s="3">
        <v>132</v>
      </c>
      <c r="D3382" s="3">
        <v>65</v>
      </c>
      <c r="E3382" s="3">
        <v>-842.355</v>
      </c>
      <c r="F3382" s="4" t="str">
        <f>HYPERLINK("http://141.218.60.56/~jnz1568/getInfo.php?workbook=10_05.xlsx&amp;sheet=A0&amp;row=3382&amp;col=6&amp;number=36.4&amp;sourceID=14","36.4")</f>
        <v>36.4</v>
      </c>
      <c r="G3382" s="4" t="str">
        <f>HYPERLINK("http://141.218.60.56/~jnz1568/getInfo.php?workbook=10_05.xlsx&amp;sheet=A0&amp;row=3382&amp;col=7&amp;number=0&amp;sourceID=14","0")</f>
        <v>0</v>
      </c>
    </row>
    <row r="3383" spans="1:7">
      <c r="A3383" s="3">
        <v>10</v>
      </c>
      <c r="B3383" s="3">
        <v>5</v>
      </c>
      <c r="C3383" s="3">
        <v>133</v>
      </c>
      <c r="D3383" s="3">
        <v>65</v>
      </c>
      <c r="E3383" s="3">
        <v>-840.882</v>
      </c>
      <c r="F3383" s="4" t="str">
        <f>HYPERLINK("http://141.218.60.56/~jnz1568/getInfo.php?workbook=10_05.xlsx&amp;sheet=A0&amp;row=3383&amp;col=6&amp;number=7420000&amp;sourceID=14","7420000")</f>
        <v>7420000</v>
      </c>
      <c r="G3383" s="4" t="str">
        <f>HYPERLINK("http://141.218.60.56/~jnz1568/getInfo.php?workbook=10_05.xlsx&amp;sheet=A0&amp;row=3383&amp;col=7&amp;number=0&amp;sourceID=14","0")</f>
        <v>0</v>
      </c>
    </row>
    <row r="3384" spans="1:7">
      <c r="A3384" s="3">
        <v>10</v>
      </c>
      <c r="B3384" s="3">
        <v>5</v>
      </c>
      <c r="C3384" s="3">
        <v>140</v>
      </c>
      <c r="D3384" s="3">
        <v>65</v>
      </c>
      <c r="E3384" s="3">
        <v>-808.01</v>
      </c>
      <c r="F3384" s="4" t="str">
        <f>HYPERLINK("http://141.218.60.56/~jnz1568/getInfo.php?workbook=10_05.xlsx&amp;sheet=A0&amp;row=3384&amp;col=6&amp;number=1420000&amp;sourceID=14","1420000")</f>
        <v>1420000</v>
      </c>
      <c r="G3384" s="4" t="str">
        <f>HYPERLINK("http://141.218.60.56/~jnz1568/getInfo.php?workbook=10_05.xlsx&amp;sheet=A0&amp;row=3384&amp;col=7&amp;number=0&amp;sourceID=14","0")</f>
        <v>0</v>
      </c>
    </row>
    <row r="3385" spans="1:7">
      <c r="A3385" s="3">
        <v>10</v>
      </c>
      <c r="B3385" s="3">
        <v>5</v>
      </c>
      <c r="C3385" s="3">
        <v>150</v>
      </c>
      <c r="D3385" s="3">
        <v>65</v>
      </c>
      <c r="E3385" s="3">
        <v>-765.124</v>
      </c>
      <c r="F3385" s="4" t="str">
        <f>HYPERLINK("http://141.218.60.56/~jnz1568/getInfo.php?workbook=10_05.xlsx&amp;sheet=A0&amp;row=3385&amp;col=6&amp;number=2720000&amp;sourceID=14","2720000")</f>
        <v>2720000</v>
      </c>
      <c r="G3385" s="4" t="str">
        <f>HYPERLINK("http://141.218.60.56/~jnz1568/getInfo.php?workbook=10_05.xlsx&amp;sheet=A0&amp;row=3385&amp;col=7&amp;number=0&amp;sourceID=14","0")</f>
        <v>0</v>
      </c>
    </row>
    <row r="3386" spans="1:7">
      <c r="A3386" s="3">
        <v>10</v>
      </c>
      <c r="B3386" s="3">
        <v>5</v>
      </c>
      <c r="C3386" s="3">
        <v>151</v>
      </c>
      <c r="D3386" s="3">
        <v>65</v>
      </c>
      <c r="E3386" s="3">
        <v>-764.995</v>
      </c>
      <c r="F3386" s="4" t="str">
        <f>HYPERLINK("http://141.218.60.56/~jnz1568/getInfo.php?workbook=10_05.xlsx&amp;sheet=A0&amp;row=3386&amp;col=6&amp;number=7700000&amp;sourceID=14","7700000")</f>
        <v>7700000</v>
      </c>
      <c r="G3386" s="4" t="str">
        <f>HYPERLINK("http://141.218.60.56/~jnz1568/getInfo.php?workbook=10_05.xlsx&amp;sheet=A0&amp;row=3386&amp;col=7&amp;number=0&amp;sourceID=14","0")</f>
        <v>0</v>
      </c>
    </row>
    <row r="3387" spans="1:7">
      <c r="A3387" s="3">
        <v>10</v>
      </c>
      <c r="B3387" s="3">
        <v>5</v>
      </c>
      <c r="C3387" s="3">
        <v>155</v>
      </c>
      <c r="D3387" s="3">
        <v>65</v>
      </c>
      <c r="E3387" s="3">
        <v>-744.864</v>
      </c>
      <c r="F3387" s="4" t="str">
        <f>HYPERLINK("http://141.218.60.56/~jnz1568/getInfo.php?workbook=10_05.xlsx&amp;sheet=A0&amp;row=3387&amp;col=6&amp;number=8920000&amp;sourceID=14","8920000")</f>
        <v>8920000</v>
      </c>
      <c r="G3387" s="4" t="str">
        <f>HYPERLINK("http://141.218.60.56/~jnz1568/getInfo.php?workbook=10_05.xlsx&amp;sheet=A0&amp;row=3387&amp;col=7&amp;number=0&amp;sourceID=14","0")</f>
        <v>0</v>
      </c>
    </row>
    <row r="3388" spans="1:7">
      <c r="A3388" s="3">
        <v>10</v>
      </c>
      <c r="B3388" s="3">
        <v>5</v>
      </c>
      <c r="C3388" s="3">
        <v>156</v>
      </c>
      <c r="D3388" s="3">
        <v>65</v>
      </c>
      <c r="E3388" s="3">
        <v>-741.742</v>
      </c>
      <c r="F3388" s="4" t="str">
        <f>HYPERLINK("http://141.218.60.56/~jnz1568/getInfo.php?workbook=10_05.xlsx&amp;sheet=A0&amp;row=3388&amp;col=6&amp;number=2980000&amp;sourceID=14","2980000")</f>
        <v>2980000</v>
      </c>
      <c r="G3388" s="4" t="str">
        <f>HYPERLINK("http://141.218.60.56/~jnz1568/getInfo.php?workbook=10_05.xlsx&amp;sheet=A0&amp;row=3388&amp;col=7&amp;number=0&amp;sourceID=14","0")</f>
        <v>0</v>
      </c>
    </row>
    <row r="3389" spans="1:7">
      <c r="A3389" s="3">
        <v>10</v>
      </c>
      <c r="B3389" s="3">
        <v>5</v>
      </c>
      <c r="C3389" s="3">
        <v>157</v>
      </c>
      <c r="D3389" s="3">
        <v>65</v>
      </c>
      <c r="E3389" s="3">
        <v>-740.759</v>
      </c>
      <c r="F3389" s="4" t="str">
        <f>HYPERLINK("http://141.218.60.56/~jnz1568/getInfo.php?workbook=10_05.xlsx&amp;sheet=A0&amp;row=3389&amp;col=6&amp;number=20400000&amp;sourceID=14","20400000")</f>
        <v>20400000</v>
      </c>
      <c r="G3389" s="4" t="str">
        <f>HYPERLINK("http://141.218.60.56/~jnz1568/getInfo.php?workbook=10_05.xlsx&amp;sheet=A0&amp;row=3389&amp;col=7&amp;number=0&amp;sourceID=14","0")</f>
        <v>0</v>
      </c>
    </row>
    <row r="3390" spans="1:7">
      <c r="A3390" s="3">
        <v>10</v>
      </c>
      <c r="B3390" s="3">
        <v>5</v>
      </c>
      <c r="C3390" s="3">
        <v>160</v>
      </c>
      <c r="D3390" s="3">
        <v>65</v>
      </c>
      <c r="E3390" s="3">
        <v>-733.876</v>
      </c>
      <c r="F3390" s="4" t="str">
        <f>HYPERLINK("http://141.218.60.56/~jnz1568/getInfo.php?workbook=10_05.xlsx&amp;sheet=A0&amp;row=3390&amp;col=6&amp;number=25700000&amp;sourceID=14","25700000")</f>
        <v>25700000</v>
      </c>
      <c r="G3390" s="4" t="str">
        <f>HYPERLINK("http://141.218.60.56/~jnz1568/getInfo.php?workbook=10_05.xlsx&amp;sheet=A0&amp;row=3390&amp;col=7&amp;number=0&amp;sourceID=14","0")</f>
        <v>0</v>
      </c>
    </row>
    <row r="3391" spans="1:7">
      <c r="A3391" s="3">
        <v>10</v>
      </c>
      <c r="B3391" s="3">
        <v>5</v>
      </c>
      <c r="C3391" s="3">
        <v>161</v>
      </c>
      <c r="D3391" s="3">
        <v>65</v>
      </c>
      <c r="E3391" s="3">
        <v>-732.173</v>
      </c>
      <c r="F3391" s="4" t="str">
        <f>HYPERLINK("http://141.218.60.56/~jnz1568/getInfo.php?workbook=10_05.xlsx&amp;sheet=A0&amp;row=3391&amp;col=6&amp;number=33900000&amp;sourceID=14","33900000")</f>
        <v>33900000</v>
      </c>
      <c r="G3391" s="4" t="str">
        <f>HYPERLINK("http://141.218.60.56/~jnz1568/getInfo.php?workbook=10_05.xlsx&amp;sheet=A0&amp;row=3391&amp;col=7&amp;number=0&amp;sourceID=14","0")</f>
        <v>0</v>
      </c>
    </row>
    <row r="3392" spans="1:7">
      <c r="A3392" s="3">
        <v>10</v>
      </c>
      <c r="B3392" s="3">
        <v>5</v>
      </c>
      <c r="C3392" s="3">
        <v>162</v>
      </c>
      <c r="D3392" s="3">
        <v>65</v>
      </c>
      <c r="E3392" s="3">
        <v>-730.59</v>
      </c>
      <c r="F3392" s="4" t="str">
        <f>HYPERLINK("http://141.218.60.56/~jnz1568/getInfo.php?workbook=10_05.xlsx&amp;sheet=A0&amp;row=3392&amp;col=6&amp;number=84900000&amp;sourceID=14","84900000")</f>
        <v>84900000</v>
      </c>
      <c r="G3392" s="4" t="str">
        <f>HYPERLINK("http://141.218.60.56/~jnz1568/getInfo.php?workbook=10_05.xlsx&amp;sheet=A0&amp;row=3392&amp;col=7&amp;number=0&amp;sourceID=14","0")</f>
        <v>0</v>
      </c>
    </row>
    <row r="3393" spans="1:7">
      <c r="A3393" s="3">
        <v>10</v>
      </c>
      <c r="B3393" s="3">
        <v>5</v>
      </c>
      <c r="C3393" s="3">
        <v>163</v>
      </c>
      <c r="D3393" s="3">
        <v>65</v>
      </c>
      <c r="E3393" s="3">
        <v>-664.767</v>
      </c>
      <c r="F3393" s="4" t="str">
        <f>HYPERLINK("http://141.218.60.56/~jnz1568/getInfo.php?workbook=10_05.xlsx&amp;sheet=A0&amp;row=3393&amp;col=6&amp;number=119000000&amp;sourceID=14","119000000")</f>
        <v>119000000</v>
      </c>
      <c r="G3393" s="4" t="str">
        <f>HYPERLINK("http://141.218.60.56/~jnz1568/getInfo.php?workbook=10_05.xlsx&amp;sheet=A0&amp;row=3393&amp;col=7&amp;number=0&amp;sourceID=14","0")</f>
        <v>0</v>
      </c>
    </row>
    <row r="3394" spans="1:7">
      <c r="A3394" s="3">
        <v>10</v>
      </c>
      <c r="B3394" s="3">
        <v>5</v>
      </c>
      <c r="C3394" s="3">
        <v>168</v>
      </c>
      <c r="D3394" s="3">
        <v>65</v>
      </c>
      <c r="E3394" s="3">
        <v>-460.622</v>
      </c>
      <c r="F3394" s="4" t="str">
        <f>HYPERLINK("http://141.218.60.56/~jnz1568/getInfo.php?workbook=10_05.xlsx&amp;sheet=A0&amp;row=3394&amp;col=6&amp;number=1580000000&amp;sourceID=14","1580000000")</f>
        <v>1580000000</v>
      </c>
      <c r="G3394" s="4" t="str">
        <f>HYPERLINK("http://141.218.60.56/~jnz1568/getInfo.php?workbook=10_05.xlsx&amp;sheet=A0&amp;row=3394&amp;col=7&amp;number=0&amp;sourceID=14","0")</f>
        <v>0</v>
      </c>
    </row>
    <row r="3395" spans="1:7">
      <c r="A3395" s="3">
        <v>10</v>
      </c>
      <c r="B3395" s="3">
        <v>5</v>
      </c>
      <c r="C3395" s="3">
        <v>169</v>
      </c>
      <c r="D3395" s="3">
        <v>65</v>
      </c>
      <c r="E3395" s="3">
        <v>-460.52</v>
      </c>
      <c r="F3395" s="4" t="str">
        <f>HYPERLINK("http://141.218.60.56/~jnz1568/getInfo.php?workbook=10_05.xlsx&amp;sheet=A0&amp;row=3395&amp;col=6&amp;number=261000000&amp;sourceID=14","261000000")</f>
        <v>261000000</v>
      </c>
      <c r="G3395" s="4" t="str">
        <f>HYPERLINK("http://141.218.60.56/~jnz1568/getInfo.php?workbook=10_05.xlsx&amp;sheet=A0&amp;row=3395&amp;col=7&amp;number=0&amp;sourceID=14","0")</f>
        <v>0</v>
      </c>
    </row>
    <row r="3396" spans="1:7">
      <c r="A3396" s="3">
        <v>10</v>
      </c>
      <c r="B3396" s="3">
        <v>5</v>
      </c>
      <c r="C3396" s="3">
        <v>170</v>
      </c>
      <c r="D3396" s="3">
        <v>65</v>
      </c>
      <c r="E3396" s="3">
        <v>-441.469</v>
      </c>
      <c r="F3396" s="4" t="str">
        <f>HYPERLINK("http://141.218.60.56/~jnz1568/getInfo.php?workbook=10_05.xlsx&amp;sheet=A0&amp;row=3396&amp;col=6&amp;number=1780000000&amp;sourceID=14","1780000000")</f>
        <v>1780000000</v>
      </c>
      <c r="G3396" s="4" t="str">
        <f>HYPERLINK("http://141.218.60.56/~jnz1568/getInfo.php?workbook=10_05.xlsx&amp;sheet=A0&amp;row=3396&amp;col=7&amp;number=0&amp;sourceID=14","0")</f>
        <v>0</v>
      </c>
    </row>
    <row r="3397" spans="1:7">
      <c r="A3397" s="3">
        <v>10</v>
      </c>
      <c r="B3397" s="3">
        <v>5</v>
      </c>
      <c r="C3397" s="3">
        <v>171</v>
      </c>
      <c r="D3397" s="3">
        <v>65</v>
      </c>
      <c r="E3397" s="3">
        <v>-441.284</v>
      </c>
      <c r="F3397" s="4" t="str">
        <f>HYPERLINK("http://141.218.60.56/~jnz1568/getInfo.php?workbook=10_05.xlsx&amp;sheet=A0&amp;row=3397&amp;col=6&amp;number=4600000000&amp;sourceID=14","4600000000")</f>
        <v>4600000000</v>
      </c>
      <c r="G3397" s="4" t="str">
        <f>HYPERLINK("http://141.218.60.56/~jnz1568/getInfo.php?workbook=10_05.xlsx&amp;sheet=A0&amp;row=3397&amp;col=7&amp;number=0&amp;sourceID=14","0")</f>
        <v>0</v>
      </c>
    </row>
    <row r="3398" spans="1:7">
      <c r="A3398" s="3">
        <v>10</v>
      </c>
      <c r="B3398" s="3">
        <v>5</v>
      </c>
      <c r="C3398" s="3">
        <v>172</v>
      </c>
      <c r="D3398" s="3">
        <v>65</v>
      </c>
      <c r="E3398" s="3">
        <v>-437.519</v>
      </c>
      <c r="F3398" s="4" t="str">
        <f>HYPERLINK("http://141.218.60.56/~jnz1568/getInfo.php?workbook=10_05.xlsx&amp;sheet=A0&amp;row=3398&amp;col=6&amp;number=507000000&amp;sourceID=14","507000000")</f>
        <v>507000000</v>
      </c>
      <c r="G3398" s="4" t="str">
        <f>HYPERLINK("http://141.218.60.56/~jnz1568/getInfo.php?workbook=10_05.xlsx&amp;sheet=A0&amp;row=3398&amp;col=7&amp;number=0&amp;sourceID=14","0")</f>
        <v>0</v>
      </c>
    </row>
    <row r="3399" spans="1:7">
      <c r="A3399" s="3">
        <v>10</v>
      </c>
      <c r="B3399" s="3">
        <v>5</v>
      </c>
      <c r="C3399" s="3">
        <v>173</v>
      </c>
      <c r="D3399" s="3">
        <v>65</v>
      </c>
      <c r="E3399" s="3">
        <v>-437.475</v>
      </c>
      <c r="F3399" s="4" t="str">
        <f>HYPERLINK("http://141.218.60.56/~jnz1568/getInfo.php?workbook=10_05.xlsx&amp;sheet=A0&amp;row=3399&amp;col=6&amp;number=2740000000&amp;sourceID=14","2740000000")</f>
        <v>2740000000</v>
      </c>
      <c r="G3399" s="4" t="str">
        <f>HYPERLINK("http://141.218.60.56/~jnz1568/getInfo.php?workbook=10_05.xlsx&amp;sheet=A0&amp;row=3399&amp;col=7&amp;number=0&amp;sourceID=14","0")</f>
        <v>0</v>
      </c>
    </row>
    <row r="3400" spans="1:7">
      <c r="A3400" s="3">
        <v>10</v>
      </c>
      <c r="B3400" s="3">
        <v>5</v>
      </c>
      <c r="C3400" s="3">
        <v>174</v>
      </c>
      <c r="D3400" s="3">
        <v>65</v>
      </c>
      <c r="E3400" s="3">
        <v>-433.474</v>
      </c>
      <c r="F3400" s="4" t="str">
        <f>HYPERLINK("http://141.218.60.56/~jnz1568/getInfo.php?workbook=10_05.xlsx&amp;sheet=A0&amp;row=3400&amp;col=6&amp;number=4270000000&amp;sourceID=14","4270000000")</f>
        <v>4270000000</v>
      </c>
      <c r="G3400" s="4" t="str">
        <f>HYPERLINK("http://141.218.60.56/~jnz1568/getInfo.php?workbook=10_05.xlsx&amp;sheet=A0&amp;row=3400&amp;col=7&amp;number=0&amp;sourceID=14","0")</f>
        <v>0</v>
      </c>
    </row>
    <row r="3401" spans="1:7">
      <c r="A3401" s="3">
        <v>10</v>
      </c>
      <c r="B3401" s="3">
        <v>5</v>
      </c>
      <c r="C3401" s="3">
        <v>68</v>
      </c>
      <c r="D3401" s="3">
        <v>66</v>
      </c>
      <c r="E3401" s="3">
        <v>33898.367</v>
      </c>
      <c r="F3401" s="4" t="str">
        <f>HYPERLINK("http://141.218.60.56/~jnz1568/getInfo.php?workbook=10_05.xlsx&amp;sheet=A0&amp;row=3401&amp;col=6&amp;number=42500&amp;sourceID=14","42500")</f>
        <v>42500</v>
      </c>
      <c r="G3401" s="4" t="str">
        <f>HYPERLINK("http://141.218.60.56/~jnz1568/getInfo.php?workbook=10_05.xlsx&amp;sheet=A0&amp;row=3401&amp;col=7&amp;number=0&amp;sourceID=14","0")</f>
        <v>0</v>
      </c>
    </row>
    <row r="3402" spans="1:7">
      <c r="A3402" s="3">
        <v>10</v>
      </c>
      <c r="B3402" s="3">
        <v>5</v>
      </c>
      <c r="C3402" s="3">
        <v>73</v>
      </c>
      <c r="D3402" s="3">
        <v>66</v>
      </c>
      <c r="E3402" s="3">
        <v>9041.608</v>
      </c>
      <c r="F3402" s="4" t="str">
        <f>HYPERLINK("http://141.218.60.56/~jnz1568/getInfo.php?workbook=10_05.xlsx&amp;sheet=A0&amp;row=3402&amp;col=6&amp;number=1150&amp;sourceID=14","1150")</f>
        <v>1150</v>
      </c>
      <c r="G3402" s="4" t="str">
        <f>HYPERLINK("http://141.218.60.56/~jnz1568/getInfo.php?workbook=10_05.xlsx&amp;sheet=A0&amp;row=3402&amp;col=7&amp;number=0&amp;sourceID=14","0")</f>
        <v>0</v>
      </c>
    </row>
    <row r="3403" spans="1:7">
      <c r="A3403" s="3">
        <v>10</v>
      </c>
      <c r="B3403" s="3">
        <v>5</v>
      </c>
      <c r="C3403" s="3">
        <v>74</v>
      </c>
      <c r="D3403" s="3">
        <v>66</v>
      </c>
      <c r="E3403" s="3">
        <v>8944.56</v>
      </c>
      <c r="F3403" s="4" t="str">
        <f>HYPERLINK("http://141.218.60.56/~jnz1568/getInfo.php?workbook=10_05.xlsx&amp;sheet=A0&amp;row=3403&amp;col=6&amp;number=178&amp;sourceID=14","178")</f>
        <v>178</v>
      </c>
      <c r="G3403" s="4" t="str">
        <f>HYPERLINK("http://141.218.60.56/~jnz1568/getInfo.php?workbook=10_05.xlsx&amp;sheet=A0&amp;row=3403&amp;col=7&amp;number=0&amp;sourceID=14","0")</f>
        <v>0</v>
      </c>
    </row>
    <row r="3404" spans="1:7">
      <c r="A3404" s="3">
        <v>10</v>
      </c>
      <c r="B3404" s="3">
        <v>5</v>
      </c>
      <c r="C3404" s="3">
        <v>75</v>
      </c>
      <c r="D3404" s="3">
        <v>66</v>
      </c>
      <c r="E3404" s="3">
        <v>7530.134</v>
      </c>
      <c r="F3404" s="4" t="str">
        <f>HYPERLINK("http://141.218.60.56/~jnz1568/getInfo.php?workbook=10_05.xlsx&amp;sheet=A0&amp;row=3404&amp;col=6&amp;number=510000&amp;sourceID=14","510000")</f>
        <v>510000</v>
      </c>
      <c r="G3404" s="4" t="str">
        <f>HYPERLINK("http://141.218.60.56/~jnz1568/getInfo.php?workbook=10_05.xlsx&amp;sheet=A0&amp;row=3404&amp;col=7&amp;number=0&amp;sourceID=14","0")</f>
        <v>0</v>
      </c>
    </row>
    <row r="3405" spans="1:7">
      <c r="A3405" s="3">
        <v>10</v>
      </c>
      <c r="B3405" s="3">
        <v>5</v>
      </c>
      <c r="C3405" s="3">
        <v>76</v>
      </c>
      <c r="D3405" s="3">
        <v>66</v>
      </c>
      <c r="E3405" s="3">
        <v>7530.134</v>
      </c>
      <c r="F3405" s="4" t="str">
        <f>HYPERLINK("http://141.218.60.56/~jnz1568/getInfo.php?workbook=10_05.xlsx&amp;sheet=A0&amp;row=3405&amp;col=6&amp;number=52300&amp;sourceID=14","52300")</f>
        <v>52300</v>
      </c>
      <c r="G3405" s="4" t="str">
        <f>HYPERLINK("http://141.218.60.56/~jnz1568/getInfo.php?workbook=10_05.xlsx&amp;sheet=A0&amp;row=3405&amp;col=7&amp;number=0&amp;sourceID=14","0")</f>
        <v>0</v>
      </c>
    </row>
    <row r="3406" spans="1:7">
      <c r="A3406" s="3">
        <v>10</v>
      </c>
      <c r="B3406" s="3">
        <v>5</v>
      </c>
      <c r="C3406" s="3">
        <v>79</v>
      </c>
      <c r="D3406" s="3">
        <v>66</v>
      </c>
      <c r="E3406" s="3">
        <v>-2781.646</v>
      </c>
      <c r="F3406" s="4" t="str">
        <f>HYPERLINK("http://141.218.60.56/~jnz1568/getInfo.php?workbook=10_05.xlsx&amp;sheet=A0&amp;row=3406&amp;col=6&amp;number=73300&amp;sourceID=14","73300")</f>
        <v>73300</v>
      </c>
      <c r="G3406" s="4" t="str">
        <f>HYPERLINK("http://141.218.60.56/~jnz1568/getInfo.php?workbook=10_05.xlsx&amp;sheet=A0&amp;row=3406&amp;col=7&amp;number=0&amp;sourceID=14","0")</f>
        <v>0</v>
      </c>
    </row>
    <row r="3407" spans="1:7">
      <c r="A3407" s="3">
        <v>10</v>
      </c>
      <c r="B3407" s="3">
        <v>5</v>
      </c>
      <c r="C3407" s="3">
        <v>82</v>
      </c>
      <c r="D3407" s="3">
        <v>66</v>
      </c>
      <c r="E3407" s="3">
        <v>2325.586</v>
      </c>
      <c r="F3407" s="4" t="str">
        <f>HYPERLINK("http://141.218.60.56/~jnz1568/getInfo.php?workbook=10_05.xlsx&amp;sheet=A0&amp;row=3407&amp;col=6&amp;number=5040&amp;sourceID=14","5040")</f>
        <v>5040</v>
      </c>
      <c r="G3407" s="4" t="str">
        <f>HYPERLINK("http://141.218.60.56/~jnz1568/getInfo.php?workbook=10_05.xlsx&amp;sheet=A0&amp;row=3407&amp;col=7&amp;number=0&amp;sourceID=14","0")</f>
        <v>0</v>
      </c>
    </row>
    <row r="3408" spans="1:7">
      <c r="A3408" s="3">
        <v>10</v>
      </c>
      <c r="B3408" s="3">
        <v>5</v>
      </c>
      <c r="C3408" s="3">
        <v>83</v>
      </c>
      <c r="D3408" s="3">
        <v>66</v>
      </c>
      <c r="E3408" s="3">
        <v>2325.586</v>
      </c>
      <c r="F3408" s="4" t="str">
        <f>HYPERLINK("http://141.218.60.56/~jnz1568/getInfo.php?workbook=10_05.xlsx&amp;sheet=A0&amp;row=3408&amp;col=6&amp;number=112&amp;sourceID=14","112")</f>
        <v>112</v>
      </c>
      <c r="G3408" s="4" t="str">
        <f>HYPERLINK("http://141.218.60.56/~jnz1568/getInfo.php?workbook=10_05.xlsx&amp;sheet=A0&amp;row=3408&amp;col=7&amp;number=0&amp;sourceID=14","0")</f>
        <v>0</v>
      </c>
    </row>
    <row r="3409" spans="1:7">
      <c r="A3409" s="3">
        <v>10</v>
      </c>
      <c r="B3409" s="3">
        <v>5</v>
      </c>
      <c r="C3409" s="3">
        <v>84</v>
      </c>
      <c r="D3409" s="3">
        <v>66</v>
      </c>
      <c r="E3409" s="3">
        <v>2325.586</v>
      </c>
      <c r="F3409" s="4" t="str">
        <f>HYPERLINK("http://141.218.60.56/~jnz1568/getInfo.php?workbook=10_05.xlsx&amp;sheet=A0&amp;row=3409&amp;col=6&amp;number=675000&amp;sourceID=14","675000")</f>
        <v>675000</v>
      </c>
      <c r="G3409" s="4" t="str">
        <f>HYPERLINK("http://141.218.60.56/~jnz1568/getInfo.php?workbook=10_05.xlsx&amp;sheet=A0&amp;row=3409&amp;col=7&amp;number=0&amp;sourceID=14","0")</f>
        <v>0</v>
      </c>
    </row>
    <row r="3410" spans="1:7">
      <c r="A3410" s="3">
        <v>10</v>
      </c>
      <c r="B3410" s="3">
        <v>5</v>
      </c>
      <c r="C3410" s="3">
        <v>86</v>
      </c>
      <c r="D3410" s="3">
        <v>66</v>
      </c>
      <c r="E3410" s="3">
        <v>-2276.405</v>
      </c>
      <c r="F3410" s="4" t="str">
        <f>HYPERLINK("http://141.218.60.56/~jnz1568/getInfo.php?workbook=10_05.xlsx&amp;sheet=A0&amp;row=3410&amp;col=6&amp;number=322000000&amp;sourceID=14","322000000")</f>
        <v>322000000</v>
      </c>
      <c r="G3410" s="4" t="str">
        <f>HYPERLINK("http://141.218.60.56/~jnz1568/getInfo.php?workbook=10_05.xlsx&amp;sheet=A0&amp;row=3410&amp;col=7&amp;number=0&amp;sourceID=14","0")</f>
        <v>0</v>
      </c>
    </row>
    <row r="3411" spans="1:7">
      <c r="A3411" s="3">
        <v>10</v>
      </c>
      <c r="B3411" s="3">
        <v>5</v>
      </c>
      <c r="C3411" s="3">
        <v>88</v>
      </c>
      <c r="D3411" s="3">
        <v>66</v>
      </c>
      <c r="E3411" s="3">
        <v>2166.851</v>
      </c>
      <c r="F3411" s="4" t="str">
        <f>HYPERLINK("http://141.218.60.56/~jnz1568/getInfo.php?workbook=10_05.xlsx&amp;sheet=A0&amp;row=3411&amp;col=6&amp;number=0.209&amp;sourceID=14","0.209")</f>
        <v>0.209</v>
      </c>
      <c r="G3411" s="4" t="str">
        <f>HYPERLINK("http://141.218.60.56/~jnz1568/getInfo.php?workbook=10_05.xlsx&amp;sheet=A0&amp;row=3411&amp;col=7&amp;number=0&amp;sourceID=14","0")</f>
        <v>0</v>
      </c>
    </row>
    <row r="3412" spans="1:7">
      <c r="A3412" s="3">
        <v>10</v>
      </c>
      <c r="B3412" s="3">
        <v>5</v>
      </c>
      <c r="C3412" s="3">
        <v>89</v>
      </c>
      <c r="D3412" s="3">
        <v>66</v>
      </c>
      <c r="E3412" s="3">
        <v>2149.617</v>
      </c>
      <c r="F3412" s="4" t="str">
        <f>HYPERLINK("http://141.218.60.56/~jnz1568/getInfo.php?workbook=10_05.xlsx&amp;sheet=A0&amp;row=3412&amp;col=6&amp;number=79.3&amp;sourceID=14","79.3")</f>
        <v>79.3</v>
      </c>
      <c r="G3412" s="4" t="str">
        <f>HYPERLINK("http://141.218.60.56/~jnz1568/getInfo.php?workbook=10_05.xlsx&amp;sheet=A0&amp;row=3412&amp;col=7&amp;number=0&amp;sourceID=14","0")</f>
        <v>0</v>
      </c>
    </row>
    <row r="3413" spans="1:7">
      <c r="A3413" s="3">
        <v>10</v>
      </c>
      <c r="B3413" s="3">
        <v>5</v>
      </c>
      <c r="C3413" s="3">
        <v>90</v>
      </c>
      <c r="D3413" s="3">
        <v>66</v>
      </c>
      <c r="E3413" s="3">
        <v>2123.597</v>
      </c>
      <c r="F3413" s="4" t="str">
        <f>HYPERLINK("http://141.218.60.56/~jnz1568/getInfo.php?workbook=10_05.xlsx&amp;sheet=A0&amp;row=3413&amp;col=6&amp;number=575&amp;sourceID=14","575")</f>
        <v>575</v>
      </c>
      <c r="G3413" s="4" t="str">
        <f>HYPERLINK("http://141.218.60.56/~jnz1568/getInfo.php?workbook=10_05.xlsx&amp;sheet=A0&amp;row=3413&amp;col=7&amp;number=0&amp;sourceID=14","0")</f>
        <v>0</v>
      </c>
    </row>
    <row r="3414" spans="1:7">
      <c r="A3414" s="3">
        <v>10</v>
      </c>
      <c r="B3414" s="3">
        <v>5</v>
      </c>
      <c r="C3414" s="3">
        <v>91</v>
      </c>
      <c r="D3414" s="3">
        <v>66</v>
      </c>
      <c r="E3414" s="3">
        <v>-1818.549</v>
      </c>
      <c r="F3414" s="4" t="str">
        <f>HYPERLINK("http://141.218.60.56/~jnz1568/getInfo.php?workbook=10_05.xlsx&amp;sheet=A0&amp;row=3414&amp;col=6&amp;number=13000&amp;sourceID=14","13000")</f>
        <v>13000</v>
      </c>
      <c r="G3414" s="4" t="str">
        <f>HYPERLINK("http://141.218.60.56/~jnz1568/getInfo.php?workbook=10_05.xlsx&amp;sheet=A0&amp;row=3414&amp;col=7&amp;number=0&amp;sourceID=14","0")</f>
        <v>0</v>
      </c>
    </row>
    <row r="3415" spans="1:7">
      <c r="A3415" s="3">
        <v>10</v>
      </c>
      <c r="B3415" s="3">
        <v>5</v>
      </c>
      <c r="C3415" s="3">
        <v>92</v>
      </c>
      <c r="D3415" s="3">
        <v>66</v>
      </c>
      <c r="E3415" s="3">
        <v>-1791.38</v>
      </c>
      <c r="F3415" s="4" t="str">
        <f>HYPERLINK("http://141.218.60.56/~jnz1568/getInfo.php?workbook=10_05.xlsx&amp;sheet=A0&amp;row=3415&amp;col=6&amp;number=29000&amp;sourceID=14","29000")</f>
        <v>29000</v>
      </c>
      <c r="G3415" s="4" t="str">
        <f>HYPERLINK("http://141.218.60.56/~jnz1568/getInfo.php?workbook=10_05.xlsx&amp;sheet=A0&amp;row=3415&amp;col=7&amp;number=0&amp;sourceID=14","0")</f>
        <v>0</v>
      </c>
    </row>
    <row r="3416" spans="1:7">
      <c r="A3416" s="3">
        <v>10</v>
      </c>
      <c r="B3416" s="3">
        <v>5</v>
      </c>
      <c r="C3416" s="3">
        <v>93</v>
      </c>
      <c r="D3416" s="3">
        <v>66</v>
      </c>
      <c r="E3416" s="3">
        <v>-1572.8</v>
      </c>
      <c r="F3416" s="4" t="str">
        <f>HYPERLINK("http://141.218.60.56/~jnz1568/getInfo.php?workbook=10_05.xlsx&amp;sheet=A0&amp;row=3416&amp;col=6&amp;number=3570000&amp;sourceID=14","3570000")</f>
        <v>3570000</v>
      </c>
      <c r="G3416" s="4" t="str">
        <f>HYPERLINK("http://141.218.60.56/~jnz1568/getInfo.php?workbook=10_05.xlsx&amp;sheet=A0&amp;row=3416&amp;col=7&amp;number=0&amp;sourceID=14","0")</f>
        <v>0</v>
      </c>
    </row>
    <row r="3417" spans="1:7">
      <c r="A3417" s="3">
        <v>10</v>
      </c>
      <c r="B3417" s="3">
        <v>5</v>
      </c>
      <c r="C3417" s="3">
        <v>94</v>
      </c>
      <c r="D3417" s="3">
        <v>66</v>
      </c>
      <c r="E3417" s="3">
        <v>-1569</v>
      </c>
      <c r="F3417" s="4" t="str">
        <f>HYPERLINK("http://141.218.60.56/~jnz1568/getInfo.php?workbook=10_05.xlsx&amp;sheet=A0&amp;row=3417&amp;col=6&amp;number=332000&amp;sourceID=14","332000")</f>
        <v>332000</v>
      </c>
      <c r="G3417" s="4" t="str">
        <f>HYPERLINK("http://141.218.60.56/~jnz1568/getInfo.php?workbook=10_05.xlsx&amp;sheet=A0&amp;row=3417&amp;col=7&amp;number=0&amp;sourceID=14","0")</f>
        <v>0</v>
      </c>
    </row>
    <row r="3418" spans="1:7">
      <c r="A3418" s="3">
        <v>10</v>
      </c>
      <c r="B3418" s="3">
        <v>5</v>
      </c>
      <c r="C3418" s="3">
        <v>95</v>
      </c>
      <c r="D3418" s="3">
        <v>66</v>
      </c>
      <c r="E3418" s="3">
        <v>1562.747</v>
      </c>
      <c r="F3418" s="4" t="str">
        <f>HYPERLINK("http://141.218.60.56/~jnz1568/getInfo.php?workbook=10_05.xlsx&amp;sheet=A0&amp;row=3418&amp;col=6&amp;number=132&amp;sourceID=14","132")</f>
        <v>132</v>
      </c>
      <c r="G3418" s="4" t="str">
        <f>HYPERLINK("http://141.218.60.56/~jnz1568/getInfo.php?workbook=10_05.xlsx&amp;sheet=A0&amp;row=3418&amp;col=7&amp;number=0&amp;sourceID=14","0")</f>
        <v>0</v>
      </c>
    </row>
    <row r="3419" spans="1:7">
      <c r="A3419" s="3">
        <v>10</v>
      </c>
      <c r="B3419" s="3">
        <v>5</v>
      </c>
      <c r="C3419" s="3">
        <v>96</v>
      </c>
      <c r="D3419" s="3">
        <v>66</v>
      </c>
      <c r="E3419" s="3">
        <v>1302.425</v>
      </c>
      <c r="F3419" s="4" t="str">
        <f>HYPERLINK("http://141.218.60.56/~jnz1568/getInfo.php?workbook=10_05.xlsx&amp;sheet=A0&amp;row=3419&amp;col=6&amp;number=14300000&amp;sourceID=14","14300000")</f>
        <v>14300000</v>
      </c>
      <c r="G3419" s="4" t="str">
        <f>HYPERLINK("http://141.218.60.56/~jnz1568/getInfo.php?workbook=10_05.xlsx&amp;sheet=A0&amp;row=3419&amp;col=7&amp;number=0&amp;sourceID=14","0")</f>
        <v>0</v>
      </c>
    </row>
    <row r="3420" spans="1:7">
      <c r="A3420" s="3">
        <v>10</v>
      </c>
      <c r="B3420" s="3">
        <v>5</v>
      </c>
      <c r="C3420" s="3">
        <v>98</v>
      </c>
      <c r="D3420" s="3">
        <v>66</v>
      </c>
      <c r="E3420" s="3">
        <v>-1243.474</v>
      </c>
      <c r="F3420" s="4" t="str">
        <f>HYPERLINK("http://141.218.60.56/~jnz1568/getInfo.php?workbook=10_05.xlsx&amp;sheet=A0&amp;row=3420&amp;col=6&amp;number=8390&amp;sourceID=14","8390")</f>
        <v>8390</v>
      </c>
      <c r="G3420" s="4" t="str">
        <f>HYPERLINK("http://141.218.60.56/~jnz1568/getInfo.php?workbook=10_05.xlsx&amp;sheet=A0&amp;row=3420&amp;col=7&amp;number=0&amp;sourceID=14","0")</f>
        <v>0</v>
      </c>
    </row>
    <row r="3421" spans="1:7">
      <c r="A3421" s="3">
        <v>10</v>
      </c>
      <c r="B3421" s="3">
        <v>5</v>
      </c>
      <c r="C3421" s="3">
        <v>101</v>
      </c>
      <c r="D3421" s="3">
        <v>66</v>
      </c>
      <c r="E3421" s="3">
        <v>-1236.876</v>
      </c>
      <c r="F3421" s="4" t="str">
        <f>HYPERLINK("http://141.218.60.56/~jnz1568/getInfo.php?workbook=10_05.xlsx&amp;sheet=A0&amp;row=3421&amp;col=6&amp;number=2640&amp;sourceID=14","2640")</f>
        <v>2640</v>
      </c>
      <c r="G3421" s="4" t="str">
        <f>HYPERLINK("http://141.218.60.56/~jnz1568/getInfo.php?workbook=10_05.xlsx&amp;sheet=A0&amp;row=3421&amp;col=7&amp;number=0&amp;sourceID=14","0")</f>
        <v>0</v>
      </c>
    </row>
    <row r="3422" spans="1:7">
      <c r="A3422" s="3">
        <v>10</v>
      </c>
      <c r="B3422" s="3">
        <v>5</v>
      </c>
      <c r="C3422" s="3">
        <v>103</v>
      </c>
      <c r="D3422" s="3">
        <v>66</v>
      </c>
      <c r="E3422" s="3">
        <v>-1225.628</v>
      </c>
      <c r="F3422" s="4" t="str">
        <f>HYPERLINK("http://141.218.60.56/~jnz1568/getInfo.php?workbook=10_05.xlsx&amp;sheet=A0&amp;row=3422&amp;col=6&amp;number=26.9&amp;sourceID=14","26.9")</f>
        <v>26.9</v>
      </c>
      <c r="G3422" s="4" t="str">
        <f>HYPERLINK("http://141.218.60.56/~jnz1568/getInfo.php?workbook=10_05.xlsx&amp;sheet=A0&amp;row=3422&amp;col=7&amp;number=0&amp;sourceID=14","0")</f>
        <v>0</v>
      </c>
    </row>
    <row r="3423" spans="1:7">
      <c r="A3423" s="3">
        <v>10</v>
      </c>
      <c r="B3423" s="3">
        <v>5</v>
      </c>
      <c r="C3423" s="3">
        <v>110</v>
      </c>
      <c r="D3423" s="3">
        <v>66</v>
      </c>
      <c r="E3423" s="3">
        <v>-1137.684</v>
      </c>
      <c r="F3423" s="4" t="str">
        <f>HYPERLINK("http://141.218.60.56/~jnz1568/getInfo.php?workbook=10_05.xlsx&amp;sheet=A0&amp;row=3423&amp;col=6&amp;number=15400000&amp;sourceID=14","15400000")</f>
        <v>15400000</v>
      </c>
      <c r="G3423" s="4" t="str">
        <f>HYPERLINK("http://141.218.60.56/~jnz1568/getInfo.php?workbook=10_05.xlsx&amp;sheet=A0&amp;row=3423&amp;col=7&amp;number=0&amp;sourceID=14","0")</f>
        <v>0</v>
      </c>
    </row>
    <row r="3424" spans="1:7">
      <c r="A3424" s="3">
        <v>10</v>
      </c>
      <c r="B3424" s="3">
        <v>5</v>
      </c>
      <c r="C3424" s="3">
        <v>112</v>
      </c>
      <c r="D3424" s="3">
        <v>66</v>
      </c>
      <c r="E3424" s="3">
        <v>-1129.257</v>
      </c>
      <c r="F3424" s="4" t="str">
        <f>HYPERLINK("http://141.218.60.56/~jnz1568/getInfo.php?workbook=10_05.xlsx&amp;sheet=A0&amp;row=3424&amp;col=6&amp;number=1600000&amp;sourceID=14","1600000")</f>
        <v>1600000</v>
      </c>
      <c r="G3424" s="4" t="str">
        <f>HYPERLINK("http://141.218.60.56/~jnz1568/getInfo.php?workbook=10_05.xlsx&amp;sheet=A0&amp;row=3424&amp;col=7&amp;number=0&amp;sourceID=14","0")</f>
        <v>0</v>
      </c>
    </row>
    <row r="3425" spans="1:7">
      <c r="A3425" s="3">
        <v>10</v>
      </c>
      <c r="B3425" s="3">
        <v>5</v>
      </c>
      <c r="C3425" s="3">
        <v>113</v>
      </c>
      <c r="D3425" s="3">
        <v>66</v>
      </c>
      <c r="E3425" s="3">
        <v>1119.698</v>
      </c>
      <c r="F3425" s="4" t="str">
        <f>HYPERLINK("http://141.218.60.56/~jnz1568/getInfo.php?workbook=10_05.xlsx&amp;sheet=A0&amp;row=3425&amp;col=6&amp;number=5080&amp;sourceID=14","5080")</f>
        <v>5080</v>
      </c>
      <c r="G3425" s="4" t="str">
        <f>HYPERLINK("http://141.218.60.56/~jnz1568/getInfo.php?workbook=10_05.xlsx&amp;sheet=A0&amp;row=3425&amp;col=7&amp;number=0&amp;sourceID=14","0")</f>
        <v>0</v>
      </c>
    </row>
    <row r="3426" spans="1:7">
      <c r="A3426" s="3">
        <v>10</v>
      </c>
      <c r="B3426" s="3">
        <v>5</v>
      </c>
      <c r="C3426" s="3">
        <v>114</v>
      </c>
      <c r="D3426" s="3">
        <v>66</v>
      </c>
      <c r="E3426" s="3">
        <v>1119.698</v>
      </c>
      <c r="F3426" s="4" t="str">
        <f>HYPERLINK("http://141.218.60.56/~jnz1568/getInfo.php?workbook=10_05.xlsx&amp;sheet=A0&amp;row=3426&amp;col=6&amp;number=184000&amp;sourceID=14","184000")</f>
        <v>184000</v>
      </c>
      <c r="G3426" s="4" t="str">
        <f>HYPERLINK("http://141.218.60.56/~jnz1568/getInfo.php?workbook=10_05.xlsx&amp;sheet=A0&amp;row=3426&amp;col=7&amp;number=0&amp;sourceID=14","0")</f>
        <v>0</v>
      </c>
    </row>
    <row r="3427" spans="1:7">
      <c r="A3427" s="3">
        <v>10</v>
      </c>
      <c r="B3427" s="3">
        <v>5</v>
      </c>
      <c r="C3427" s="3">
        <v>127</v>
      </c>
      <c r="D3427" s="3">
        <v>66</v>
      </c>
      <c r="E3427" s="3">
        <v>-981.019</v>
      </c>
      <c r="F3427" s="4" t="str">
        <f>HYPERLINK("http://141.218.60.56/~jnz1568/getInfo.php?workbook=10_05.xlsx&amp;sheet=A0&amp;row=3427&amp;col=6&amp;number=831000&amp;sourceID=14","831000")</f>
        <v>831000</v>
      </c>
      <c r="G3427" s="4" t="str">
        <f>HYPERLINK("http://141.218.60.56/~jnz1568/getInfo.php?workbook=10_05.xlsx&amp;sheet=A0&amp;row=3427&amp;col=7&amp;number=0&amp;sourceID=14","0")</f>
        <v>0</v>
      </c>
    </row>
    <row r="3428" spans="1:7">
      <c r="A3428" s="3">
        <v>10</v>
      </c>
      <c r="B3428" s="3">
        <v>5</v>
      </c>
      <c r="C3428" s="3">
        <v>128</v>
      </c>
      <c r="D3428" s="3">
        <v>66</v>
      </c>
      <c r="E3428" s="3">
        <v>-976.717</v>
      </c>
      <c r="F3428" s="4" t="str">
        <f>HYPERLINK("http://141.218.60.56/~jnz1568/getInfo.php?workbook=10_05.xlsx&amp;sheet=A0&amp;row=3428&amp;col=6&amp;number=97000&amp;sourceID=14","97000")</f>
        <v>97000</v>
      </c>
      <c r="G3428" s="4" t="str">
        <f>HYPERLINK("http://141.218.60.56/~jnz1568/getInfo.php?workbook=10_05.xlsx&amp;sheet=A0&amp;row=3428&amp;col=7&amp;number=0&amp;sourceID=14","0")</f>
        <v>0</v>
      </c>
    </row>
    <row r="3429" spans="1:7">
      <c r="A3429" s="3">
        <v>10</v>
      </c>
      <c r="B3429" s="3">
        <v>5</v>
      </c>
      <c r="C3429" s="3">
        <v>134</v>
      </c>
      <c r="D3429" s="3">
        <v>66</v>
      </c>
      <c r="E3429" s="3">
        <v>-935.788</v>
      </c>
      <c r="F3429" s="4" t="str">
        <f>HYPERLINK("http://141.218.60.56/~jnz1568/getInfo.php?workbook=10_05.xlsx&amp;sheet=A0&amp;row=3429&amp;col=6&amp;number=11700&amp;sourceID=14","11700")</f>
        <v>11700</v>
      </c>
      <c r="G3429" s="4" t="str">
        <f>HYPERLINK("http://141.218.60.56/~jnz1568/getInfo.php?workbook=10_05.xlsx&amp;sheet=A0&amp;row=3429&amp;col=7&amp;number=0&amp;sourceID=14","0")</f>
        <v>0</v>
      </c>
    </row>
    <row r="3430" spans="1:7">
      <c r="A3430" s="3">
        <v>10</v>
      </c>
      <c r="B3430" s="3">
        <v>5</v>
      </c>
      <c r="C3430" s="3">
        <v>135</v>
      </c>
      <c r="D3430" s="3">
        <v>66</v>
      </c>
      <c r="E3430" s="3">
        <v>-933.682</v>
      </c>
      <c r="F3430" s="4" t="str">
        <f>HYPERLINK("http://141.218.60.56/~jnz1568/getInfo.php?workbook=10_05.xlsx&amp;sheet=A0&amp;row=3430&amp;col=6&amp;number=1430&amp;sourceID=14","1430")</f>
        <v>1430</v>
      </c>
      <c r="G3430" s="4" t="str">
        <f>HYPERLINK("http://141.218.60.56/~jnz1568/getInfo.php?workbook=10_05.xlsx&amp;sheet=A0&amp;row=3430&amp;col=7&amp;number=0&amp;sourceID=14","0")</f>
        <v>0</v>
      </c>
    </row>
    <row r="3431" spans="1:7">
      <c r="A3431" s="3">
        <v>10</v>
      </c>
      <c r="B3431" s="3">
        <v>5</v>
      </c>
      <c r="C3431" s="3">
        <v>141</v>
      </c>
      <c r="D3431" s="3">
        <v>66</v>
      </c>
      <c r="E3431" s="3">
        <v>-896.308</v>
      </c>
      <c r="F3431" s="4" t="str">
        <f>HYPERLINK("http://141.218.60.56/~jnz1568/getInfo.php?workbook=10_05.xlsx&amp;sheet=A0&amp;row=3431&amp;col=6&amp;number=30100&amp;sourceID=14","30100")</f>
        <v>30100</v>
      </c>
      <c r="G3431" s="4" t="str">
        <f>HYPERLINK("http://141.218.60.56/~jnz1568/getInfo.php?workbook=10_05.xlsx&amp;sheet=A0&amp;row=3431&amp;col=7&amp;number=0&amp;sourceID=14","0")</f>
        <v>0</v>
      </c>
    </row>
    <row r="3432" spans="1:7">
      <c r="A3432" s="3">
        <v>10</v>
      </c>
      <c r="B3432" s="3">
        <v>5</v>
      </c>
      <c r="C3432" s="3">
        <v>142</v>
      </c>
      <c r="D3432" s="3">
        <v>66</v>
      </c>
      <c r="E3432" s="3">
        <v>896.059</v>
      </c>
      <c r="F3432" s="4" t="str">
        <f>HYPERLINK("http://141.218.60.56/~jnz1568/getInfo.php?workbook=10_05.xlsx&amp;sheet=A0&amp;row=3432&amp;col=6&amp;number=15900&amp;sourceID=14","15900")</f>
        <v>15900</v>
      </c>
      <c r="G3432" s="4" t="str">
        <f>HYPERLINK("http://141.218.60.56/~jnz1568/getInfo.php?workbook=10_05.xlsx&amp;sheet=A0&amp;row=3432&amp;col=7&amp;number=0&amp;sourceID=14","0")</f>
        <v>0</v>
      </c>
    </row>
    <row r="3433" spans="1:7">
      <c r="A3433" s="3">
        <v>10</v>
      </c>
      <c r="B3433" s="3">
        <v>5</v>
      </c>
      <c r="C3433" s="3">
        <v>143</v>
      </c>
      <c r="D3433" s="3">
        <v>66</v>
      </c>
      <c r="E3433" s="3">
        <v>894.056</v>
      </c>
      <c r="F3433" s="4" t="str">
        <f>HYPERLINK("http://141.218.60.56/~jnz1568/getInfo.php?workbook=10_05.xlsx&amp;sheet=A0&amp;row=3433&amp;col=6&amp;number=3010&amp;sourceID=14","3010")</f>
        <v>3010</v>
      </c>
      <c r="G3433" s="4" t="str">
        <f>HYPERLINK("http://141.218.60.56/~jnz1568/getInfo.php?workbook=10_05.xlsx&amp;sheet=A0&amp;row=3433&amp;col=7&amp;number=0&amp;sourceID=14","0")</f>
        <v>0</v>
      </c>
    </row>
    <row r="3434" spans="1:7">
      <c r="A3434" s="3">
        <v>10</v>
      </c>
      <c r="B3434" s="3">
        <v>5</v>
      </c>
      <c r="C3434" s="3">
        <v>145</v>
      </c>
      <c r="D3434" s="3">
        <v>66</v>
      </c>
      <c r="E3434" s="3">
        <v>885.271</v>
      </c>
      <c r="F3434" s="4" t="str">
        <f>HYPERLINK("http://141.218.60.56/~jnz1568/getInfo.php?workbook=10_05.xlsx&amp;sheet=A0&amp;row=3434&amp;col=6&amp;number=422000&amp;sourceID=14","422000")</f>
        <v>422000</v>
      </c>
      <c r="G3434" s="4" t="str">
        <f>HYPERLINK("http://141.218.60.56/~jnz1568/getInfo.php?workbook=10_05.xlsx&amp;sheet=A0&amp;row=3434&amp;col=7&amp;number=0&amp;sourceID=14","0")</f>
        <v>0</v>
      </c>
    </row>
    <row r="3435" spans="1:7">
      <c r="A3435" s="3">
        <v>10</v>
      </c>
      <c r="B3435" s="3">
        <v>5</v>
      </c>
      <c r="C3435" s="3">
        <v>146</v>
      </c>
      <c r="D3435" s="3">
        <v>66</v>
      </c>
      <c r="E3435" s="3">
        <v>885.271</v>
      </c>
      <c r="F3435" s="4" t="str">
        <f>HYPERLINK("http://141.218.60.56/~jnz1568/getInfo.php?workbook=10_05.xlsx&amp;sheet=A0&amp;row=3435&amp;col=6&amp;number=145000&amp;sourceID=14","145000")</f>
        <v>145000</v>
      </c>
      <c r="G3435" s="4" t="str">
        <f>HYPERLINK("http://141.218.60.56/~jnz1568/getInfo.php?workbook=10_05.xlsx&amp;sheet=A0&amp;row=3435&amp;col=7&amp;number=0&amp;sourceID=14","0")</f>
        <v>0</v>
      </c>
    </row>
    <row r="3436" spans="1:7">
      <c r="A3436" s="3">
        <v>10</v>
      </c>
      <c r="B3436" s="3">
        <v>5</v>
      </c>
      <c r="C3436" s="3">
        <v>147</v>
      </c>
      <c r="D3436" s="3">
        <v>66</v>
      </c>
      <c r="E3436" s="3">
        <v>880.671</v>
      </c>
      <c r="F3436" s="4" t="str">
        <f>HYPERLINK("http://141.218.60.56/~jnz1568/getInfo.php?workbook=10_05.xlsx&amp;sheet=A0&amp;row=3436&amp;col=6&amp;number=20500&amp;sourceID=14","20500")</f>
        <v>20500</v>
      </c>
      <c r="G3436" s="4" t="str">
        <f>HYPERLINK("http://141.218.60.56/~jnz1568/getInfo.php?workbook=10_05.xlsx&amp;sheet=A0&amp;row=3436&amp;col=7&amp;number=0&amp;sourceID=14","0")</f>
        <v>0</v>
      </c>
    </row>
    <row r="3437" spans="1:7">
      <c r="A3437" s="3">
        <v>10</v>
      </c>
      <c r="B3437" s="3">
        <v>5</v>
      </c>
      <c r="C3437" s="3">
        <v>148</v>
      </c>
      <c r="D3437" s="3">
        <v>66</v>
      </c>
      <c r="E3437" s="3">
        <v>879.896</v>
      </c>
      <c r="F3437" s="4" t="str">
        <f>HYPERLINK("http://141.218.60.56/~jnz1568/getInfo.php?workbook=10_05.xlsx&amp;sheet=A0&amp;row=3437&amp;col=6&amp;number=261000&amp;sourceID=14","261000")</f>
        <v>261000</v>
      </c>
      <c r="G3437" s="4" t="str">
        <f>HYPERLINK("http://141.218.60.56/~jnz1568/getInfo.php?workbook=10_05.xlsx&amp;sheet=A0&amp;row=3437&amp;col=7&amp;number=0&amp;sourceID=14","0")</f>
        <v>0</v>
      </c>
    </row>
    <row r="3438" spans="1:7">
      <c r="A3438" s="3">
        <v>10</v>
      </c>
      <c r="B3438" s="3">
        <v>5</v>
      </c>
      <c r="C3438" s="3">
        <v>149</v>
      </c>
      <c r="D3438" s="3">
        <v>66</v>
      </c>
      <c r="E3438" s="3">
        <v>879.122</v>
      </c>
      <c r="F3438" s="4" t="str">
        <f>HYPERLINK("http://141.218.60.56/~jnz1568/getInfo.php?workbook=10_05.xlsx&amp;sheet=A0&amp;row=3438&amp;col=6&amp;number=1540&amp;sourceID=14","1540")</f>
        <v>1540</v>
      </c>
      <c r="G3438" s="4" t="str">
        <f>HYPERLINK("http://141.218.60.56/~jnz1568/getInfo.php?workbook=10_05.xlsx&amp;sheet=A0&amp;row=3438&amp;col=7&amp;number=0&amp;sourceID=14","0")</f>
        <v>0</v>
      </c>
    </row>
    <row r="3439" spans="1:7">
      <c r="A3439" s="3">
        <v>10</v>
      </c>
      <c r="B3439" s="3">
        <v>5</v>
      </c>
      <c r="C3439" s="3">
        <v>152</v>
      </c>
      <c r="D3439" s="3">
        <v>66</v>
      </c>
      <c r="E3439" s="3">
        <v>839.562</v>
      </c>
      <c r="F3439" s="4" t="str">
        <f>HYPERLINK("http://141.218.60.56/~jnz1568/getInfo.php?workbook=10_05.xlsx&amp;sheet=A0&amp;row=3439&amp;col=6&amp;number=5500000&amp;sourceID=14","5500000")</f>
        <v>5500000</v>
      </c>
      <c r="G3439" s="4" t="str">
        <f>HYPERLINK("http://141.218.60.56/~jnz1568/getInfo.php?workbook=10_05.xlsx&amp;sheet=A0&amp;row=3439&amp;col=7&amp;number=0&amp;sourceID=14","0")</f>
        <v>0</v>
      </c>
    </row>
    <row r="3440" spans="1:7">
      <c r="A3440" s="3">
        <v>10</v>
      </c>
      <c r="B3440" s="3">
        <v>5</v>
      </c>
      <c r="C3440" s="3">
        <v>158</v>
      </c>
      <c r="D3440" s="3">
        <v>66</v>
      </c>
      <c r="E3440" s="3">
        <v>-821.559</v>
      </c>
      <c r="F3440" s="4" t="str">
        <f>HYPERLINK("http://141.218.60.56/~jnz1568/getInfo.php?workbook=10_05.xlsx&amp;sheet=A0&amp;row=3440&amp;col=6&amp;number=89400&amp;sourceID=14","89400")</f>
        <v>89400</v>
      </c>
      <c r="G3440" s="4" t="str">
        <f>HYPERLINK("http://141.218.60.56/~jnz1568/getInfo.php?workbook=10_05.xlsx&amp;sheet=A0&amp;row=3440&amp;col=7&amp;number=0&amp;sourceID=14","0")</f>
        <v>0</v>
      </c>
    </row>
    <row r="3441" spans="1:7">
      <c r="A3441" s="3">
        <v>10</v>
      </c>
      <c r="B3441" s="3">
        <v>5</v>
      </c>
      <c r="C3441" s="3">
        <v>159</v>
      </c>
      <c r="D3441" s="3">
        <v>66</v>
      </c>
      <c r="E3441" s="3">
        <v>-818.68</v>
      </c>
      <c r="F3441" s="4" t="str">
        <f>HYPERLINK("http://141.218.60.56/~jnz1568/getInfo.php?workbook=10_05.xlsx&amp;sheet=A0&amp;row=3441&amp;col=6&amp;number=349000&amp;sourceID=14","349000")</f>
        <v>349000</v>
      </c>
      <c r="G3441" s="4" t="str">
        <f>HYPERLINK("http://141.218.60.56/~jnz1568/getInfo.php?workbook=10_05.xlsx&amp;sheet=A0&amp;row=3441&amp;col=7&amp;number=0&amp;sourceID=14","0")</f>
        <v>0</v>
      </c>
    </row>
    <row r="3442" spans="1:7">
      <c r="A3442" s="3">
        <v>10</v>
      </c>
      <c r="B3442" s="3">
        <v>5</v>
      </c>
      <c r="C3442" s="3">
        <v>164</v>
      </c>
      <c r="D3442" s="3">
        <v>66</v>
      </c>
      <c r="E3442" s="3">
        <v>-594.27</v>
      </c>
      <c r="F3442" s="4" t="str">
        <f>HYPERLINK("http://141.218.60.56/~jnz1568/getInfo.php?workbook=10_05.xlsx&amp;sheet=A0&amp;row=3442&amp;col=6&amp;number=211000&amp;sourceID=14","211000")</f>
        <v>211000</v>
      </c>
      <c r="G3442" s="4" t="str">
        <f>HYPERLINK("http://141.218.60.56/~jnz1568/getInfo.php?workbook=10_05.xlsx&amp;sheet=A0&amp;row=3442&amp;col=7&amp;number=0&amp;sourceID=14","0")</f>
        <v>0</v>
      </c>
    </row>
    <row r="3443" spans="1:7">
      <c r="A3443" s="3">
        <v>10</v>
      </c>
      <c r="B3443" s="3">
        <v>5</v>
      </c>
      <c r="C3443" s="3">
        <v>165</v>
      </c>
      <c r="D3443" s="3">
        <v>66</v>
      </c>
      <c r="E3443" s="3">
        <v>-593.787</v>
      </c>
      <c r="F3443" s="4" t="str">
        <f>HYPERLINK("http://141.218.60.56/~jnz1568/getInfo.php?workbook=10_05.xlsx&amp;sheet=A0&amp;row=3443&amp;col=6&amp;number=21800&amp;sourceID=14","21800")</f>
        <v>21800</v>
      </c>
      <c r="G3443" s="4" t="str">
        <f>HYPERLINK("http://141.218.60.56/~jnz1568/getInfo.php?workbook=10_05.xlsx&amp;sheet=A0&amp;row=3443&amp;col=7&amp;number=0&amp;sourceID=14","0")</f>
        <v>0</v>
      </c>
    </row>
    <row r="3444" spans="1:7">
      <c r="A3444" s="3">
        <v>10</v>
      </c>
      <c r="B3444" s="3">
        <v>5</v>
      </c>
      <c r="C3444" s="3">
        <v>166</v>
      </c>
      <c r="D3444" s="3">
        <v>66</v>
      </c>
      <c r="E3444" s="3">
        <v>-511.533</v>
      </c>
      <c r="F3444" s="4" t="str">
        <f>HYPERLINK("http://141.218.60.56/~jnz1568/getInfo.php?workbook=10_05.xlsx&amp;sheet=A0&amp;row=3444&amp;col=6&amp;number=6190000&amp;sourceID=14","6190000")</f>
        <v>6190000</v>
      </c>
      <c r="G3444" s="4" t="str">
        <f>HYPERLINK("http://141.218.60.56/~jnz1568/getInfo.php?workbook=10_05.xlsx&amp;sheet=A0&amp;row=3444&amp;col=7&amp;number=0&amp;sourceID=14","0")</f>
        <v>0</v>
      </c>
    </row>
    <row r="3445" spans="1:7">
      <c r="A3445" s="3">
        <v>10</v>
      </c>
      <c r="B3445" s="3">
        <v>5</v>
      </c>
      <c r="C3445" s="3">
        <v>167</v>
      </c>
      <c r="D3445" s="3">
        <v>66</v>
      </c>
      <c r="E3445" s="3">
        <v>-511.424</v>
      </c>
      <c r="F3445" s="4" t="str">
        <f>HYPERLINK("http://141.218.60.56/~jnz1568/getInfo.php?workbook=10_05.xlsx&amp;sheet=A0&amp;row=3445&amp;col=6&amp;number=692000&amp;sourceID=14","692000")</f>
        <v>692000</v>
      </c>
      <c r="G3445" s="4" t="str">
        <f>HYPERLINK("http://141.218.60.56/~jnz1568/getInfo.php?workbook=10_05.xlsx&amp;sheet=A0&amp;row=3445&amp;col=7&amp;number=0&amp;sourceID=14","0")</f>
        <v>0</v>
      </c>
    </row>
    <row r="3446" spans="1:7">
      <c r="A3446" s="3">
        <v>10</v>
      </c>
      <c r="B3446" s="3">
        <v>5</v>
      </c>
      <c r="C3446" s="3">
        <v>176</v>
      </c>
      <c r="D3446" s="3">
        <v>66</v>
      </c>
      <c r="E3446" s="3">
        <v>-440.512</v>
      </c>
      <c r="F3446" s="4" t="str">
        <f>HYPERLINK("http://141.218.60.56/~jnz1568/getInfo.php?workbook=10_05.xlsx&amp;sheet=A0&amp;row=3446&amp;col=6&amp;number=3700000000&amp;sourceID=14","3700000000")</f>
        <v>3700000000</v>
      </c>
      <c r="G3446" s="4" t="str">
        <f>HYPERLINK("http://141.218.60.56/~jnz1568/getInfo.php?workbook=10_05.xlsx&amp;sheet=A0&amp;row=3446&amp;col=7&amp;number=0&amp;sourceID=14","0")</f>
        <v>0</v>
      </c>
    </row>
    <row r="3447" spans="1:7">
      <c r="A3447" s="3">
        <v>10</v>
      </c>
      <c r="B3447" s="3">
        <v>5</v>
      </c>
      <c r="C3447" s="3">
        <v>177</v>
      </c>
      <c r="D3447" s="3">
        <v>66</v>
      </c>
      <c r="E3447" s="3">
        <v>-438.79</v>
      </c>
      <c r="F3447" s="4" t="str">
        <f>HYPERLINK("http://141.218.60.56/~jnz1568/getInfo.php?workbook=10_05.xlsx&amp;sheet=A0&amp;row=3447&amp;col=6&amp;number=5260000000&amp;sourceID=14","5260000000")</f>
        <v>5260000000</v>
      </c>
      <c r="G3447" s="4" t="str">
        <f>HYPERLINK("http://141.218.60.56/~jnz1568/getInfo.php?workbook=10_05.xlsx&amp;sheet=A0&amp;row=3447&amp;col=7&amp;number=0&amp;sourceID=14","0")</f>
        <v>0</v>
      </c>
    </row>
    <row r="3448" spans="1:7">
      <c r="A3448" s="3">
        <v>10</v>
      </c>
      <c r="B3448" s="3">
        <v>5</v>
      </c>
      <c r="C3448" s="3">
        <v>178</v>
      </c>
      <c r="D3448" s="3">
        <v>66</v>
      </c>
      <c r="E3448" s="3">
        <v>-438.705</v>
      </c>
      <c r="F3448" s="4" t="str">
        <f>HYPERLINK("http://141.218.60.56/~jnz1568/getInfo.php?workbook=10_05.xlsx&amp;sheet=A0&amp;row=3448&amp;col=6&amp;number=376000000&amp;sourceID=14","376000000")</f>
        <v>376000000</v>
      </c>
      <c r="G3448" s="4" t="str">
        <f>HYPERLINK("http://141.218.60.56/~jnz1568/getInfo.php?workbook=10_05.xlsx&amp;sheet=A0&amp;row=3448&amp;col=7&amp;number=0&amp;sourceID=14","0")</f>
        <v>0</v>
      </c>
    </row>
    <row r="3449" spans="1:7">
      <c r="A3449" s="3">
        <v>10</v>
      </c>
      <c r="B3449" s="3">
        <v>5</v>
      </c>
      <c r="C3449" s="3">
        <v>179</v>
      </c>
      <c r="D3449" s="3">
        <v>66</v>
      </c>
      <c r="E3449" s="3">
        <v>-431.045</v>
      </c>
      <c r="F3449" s="4" t="str">
        <f>HYPERLINK("http://141.218.60.56/~jnz1568/getInfo.php?workbook=10_05.xlsx&amp;sheet=A0&amp;row=3449&amp;col=6&amp;number=7650000000&amp;sourceID=14","7650000000")</f>
        <v>7650000000</v>
      </c>
      <c r="G3449" s="4" t="str">
        <f>HYPERLINK("http://141.218.60.56/~jnz1568/getInfo.php?workbook=10_05.xlsx&amp;sheet=A0&amp;row=3449&amp;col=7&amp;number=0&amp;sourceID=14","0")</f>
        <v>0</v>
      </c>
    </row>
    <row r="3450" spans="1:7">
      <c r="A3450" s="3">
        <v>10</v>
      </c>
      <c r="B3450" s="3">
        <v>5</v>
      </c>
      <c r="C3450" s="3">
        <v>180</v>
      </c>
      <c r="D3450" s="3">
        <v>66</v>
      </c>
      <c r="E3450" s="3">
        <v>-430.976</v>
      </c>
      <c r="F3450" s="4" t="str">
        <f>HYPERLINK("http://141.218.60.56/~jnz1568/getInfo.php?workbook=10_05.xlsx&amp;sheet=A0&amp;row=3450&amp;col=6&amp;number=770000000&amp;sourceID=14","770000000")</f>
        <v>770000000</v>
      </c>
      <c r="G3450" s="4" t="str">
        <f>HYPERLINK("http://141.218.60.56/~jnz1568/getInfo.php?workbook=10_05.xlsx&amp;sheet=A0&amp;row=3450&amp;col=7&amp;number=0&amp;sourceID=14","0")</f>
        <v>0</v>
      </c>
    </row>
    <row r="3451" spans="1:7">
      <c r="A3451" s="3">
        <v>10</v>
      </c>
      <c r="B3451" s="3">
        <v>5</v>
      </c>
      <c r="C3451" s="3">
        <v>68</v>
      </c>
      <c r="D3451" s="3">
        <v>67</v>
      </c>
      <c r="E3451" s="3">
        <v>33898.367</v>
      </c>
      <c r="F3451" s="4" t="str">
        <f>HYPERLINK("http://141.218.60.56/~jnz1568/getInfo.php?workbook=10_05.xlsx&amp;sheet=A0&amp;row=3451&amp;col=6&amp;number=2940&amp;sourceID=14","2940")</f>
        <v>2940</v>
      </c>
      <c r="G3451" s="4" t="str">
        <f>HYPERLINK("http://141.218.60.56/~jnz1568/getInfo.php?workbook=10_05.xlsx&amp;sheet=A0&amp;row=3451&amp;col=7&amp;number=0&amp;sourceID=14","0")</f>
        <v>0</v>
      </c>
    </row>
    <row r="3452" spans="1:7">
      <c r="A3452" s="3">
        <v>10</v>
      </c>
      <c r="B3452" s="3">
        <v>5</v>
      </c>
      <c r="C3452" s="3">
        <v>69</v>
      </c>
      <c r="D3452" s="3">
        <v>67</v>
      </c>
      <c r="E3452" s="3">
        <v>33898.367</v>
      </c>
      <c r="F3452" s="4" t="str">
        <f>HYPERLINK("http://141.218.60.56/~jnz1568/getInfo.php?workbook=10_05.xlsx&amp;sheet=A0&amp;row=3452&amp;col=6&amp;number=44600&amp;sourceID=14","44600")</f>
        <v>44600</v>
      </c>
      <c r="G3452" s="4" t="str">
        <f>HYPERLINK("http://141.218.60.56/~jnz1568/getInfo.php?workbook=10_05.xlsx&amp;sheet=A0&amp;row=3452&amp;col=7&amp;number=0&amp;sourceID=14","0")</f>
        <v>0</v>
      </c>
    </row>
    <row r="3453" spans="1:7">
      <c r="A3453" s="3">
        <v>10</v>
      </c>
      <c r="B3453" s="3">
        <v>5</v>
      </c>
      <c r="C3453" s="3">
        <v>73</v>
      </c>
      <c r="D3453" s="3">
        <v>67</v>
      </c>
      <c r="E3453" s="3">
        <v>9041.608</v>
      </c>
      <c r="F3453" s="4" t="str">
        <f>HYPERLINK("http://141.218.60.56/~jnz1568/getInfo.php?workbook=10_05.xlsx&amp;sheet=A0&amp;row=3453&amp;col=6&amp;number=96.9&amp;sourceID=14","96.9")</f>
        <v>96.9</v>
      </c>
      <c r="G3453" s="4" t="str">
        <f>HYPERLINK("http://141.218.60.56/~jnz1568/getInfo.php?workbook=10_05.xlsx&amp;sheet=A0&amp;row=3453&amp;col=7&amp;number=0&amp;sourceID=14","0")</f>
        <v>0</v>
      </c>
    </row>
    <row r="3454" spans="1:7">
      <c r="A3454" s="3">
        <v>10</v>
      </c>
      <c r="B3454" s="3">
        <v>5</v>
      </c>
      <c r="C3454" s="3">
        <v>74</v>
      </c>
      <c r="D3454" s="3">
        <v>67</v>
      </c>
      <c r="E3454" s="3">
        <v>8944.56</v>
      </c>
      <c r="F3454" s="4" t="str">
        <f>HYPERLINK("http://141.218.60.56/~jnz1568/getInfo.php?workbook=10_05.xlsx&amp;sheet=A0&amp;row=3454&amp;col=6&amp;number=1090&amp;sourceID=14","1090")</f>
        <v>1090</v>
      </c>
      <c r="G3454" s="4" t="str">
        <f>HYPERLINK("http://141.218.60.56/~jnz1568/getInfo.php?workbook=10_05.xlsx&amp;sheet=A0&amp;row=3454&amp;col=7&amp;number=0&amp;sourceID=14","0")</f>
        <v>0</v>
      </c>
    </row>
    <row r="3455" spans="1:7">
      <c r="A3455" s="3">
        <v>10</v>
      </c>
      <c r="B3455" s="3">
        <v>5</v>
      </c>
      <c r="C3455" s="3">
        <v>76</v>
      </c>
      <c r="D3455" s="3">
        <v>67</v>
      </c>
      <c r="E3455" s="3">
        <v>7530.134</v>
      </c>
      <c r="F3455" s="4" t="str">
        <f>HYPERLINK("http://141.218.60.56/~jnz1568/getInfo.php?workbook=10_05.xlsx&amp;sheet=A0&amp;row=3455&amp;col=6&amp;number=469000&amp;sourceID=14","469000")</f>
        <v>469000</v>
      </c>
      <c r="G3455" s="4" t="str">
        <f>HYPERLINK("http://141.218.60.56/~jnz1568/getInfo.php?workbook=10_05.xlsx&amp;sheet=A0&amp;row=3455&amp;col=7&amp;number=0&amp;sourceID=14","0")</f>
        <v>0</v>
      </c>
    </row>
    <row r="3456" spans="1:7">
      <c r="A3456" s="3">
        <v>10</v>
      </c>
      <c r="B3456" s="3">
        <v>5</v>
      </c>
      <c r="C3456" s="3">
        <v>83</v>
      </c>
      <c r="D3456" s="3">
        <v>67</v>
      </c>
      <c r="E3456" s="3">
        <v>2325.586</v>
      </c>
      <c r="F3456" s="4" t="str">
        <f>HYPERLINK("http://141.218.60.56/~jnz1568/getInfo.php?workbook=10_05.xlsx&amp;sheet=A0&amp;row=3456&amp;col=6&amp;number=2290&amp;sourceID=14","2290")</f>
        <v>2290</v>
      </c>
      <c r="G3456" s="4" t="str">
        <f>HYPERLINK("http://141.218.60.56/~jnz1568/getInfo.php?workbook=10_05.xlsx&amp;sheet=A0&amp;row=3456&amp;col=7&amp;number=0&amp;sourceID=14","0")</f>
        <v>0</v>
      </c>
    </row>
    <row r="3457" spans="1:7">
      <c r="A3457" s="3">
        <v>10</v>
      </c>
      <c r="B3457" s="3">
        <v>5</v>
      </c>
      <c r="C3457" s="3">
        <v>84</v>
      </c>
      <c r="D3457" s="3">
        <v>67</v>
      </c>
      <c r="E3457" s="3">
        <v>2325.586</v>
      </c>
      <c r="F3457" s="4" t="str">
        <f>HYPERLINK("http://141.218.60.56/~jnz1568/getInfo.php?workbook=10_05.xlsx&amp;sheet=A0&amp;row=3457&amp;col=6&amp;number=50200&amp;sourceID=14","50200")</f>
        <v>50200</v>
      </c>
      <c r="G3457" s="4" t="str">
        <f>HYPERLINK("http://141.218.60.56/~jnz1568/getInfo.php?workbook=10_05.xlsx&amp;sheet=A0&amp;row=3457&amp;col=7&amp;number=0&amp;sourceID=14","0")</f>
        <v>0</v>
      </c>
    </row>
    <row r="3458" spans="1:7">
      <c r="A3458" s="3">
        <v>10</v>
      </c>
      <c r="B3458" s="3">
        <v>5</v>
      </c>
      <c r="C3458" s="3">
        <v>85</v>
      </c>
      <c r="D3458" s="3">
        <v>67</v>
      </c>
      <c r="E3458" s="3">
        <v>2325.586</v>
      </c>
      <c r="F3458" s="4" t="str">
        <f>HYPERLINK("http://141.218.60.56/~jnz1568/getInfo.php?workbook=10_05.xlsx&amp;sheet=A0&amp;row=3458&amp;col=6&amp;number=1440000&amp;sourceID=14","1440000")</f>
        <v>1440000</v>
      </c>
      <c r="G3458" s="4" t="str">
        <f>HYPERLINK("http://141.218.60.56/~jnz1568/getInfo.php?workbook=10_05.xlsx&amp;sheet=A0&amp;row=3458&amp;col=7&amp;number=0&amp;sourceID=14","0")</f>
        <v>0</v>
      </c>
    </row>
    <row r="3459" spans="1:7">
      <c r="A3459" s="3">
        <v>10</v>
      </c>
      <c r="B3459" s="3">
        <v>5</v>
      </c>
      <c r="C3459" s="3">
        <v>86</v>
      </c>
      <c r="D3459" s="3">
        <v>67</v>
      </c>
      <c r="E3459" s="3">
        <v>-2278.064</v>
      </c>
      <c r="F3459" s="4" t="str">
        <f>HYPERLINK("http://141.218.60.56/~jnz1568/getInfo.php?workbook=10_05.xlsx&amp;sheet=A0&amp;row=3459&amp;col=6&amp;number=22900000&amp;sourceID=14","22900000")</f>
        <v>22900000</v>
      </c>
      <c r="G3459" s="4" t="str">
        <f>HYPERLINK("http://141.218.60.56/~jnz1568/getInfo.php?workbook=10_05.xlsx&amp;sheet=A0&amp;row=3459&amp;col=7&amp;number=0&amp;sourceID=14","0")</f>
        <v>0</v>
      </c>
    </row>
    <row r="3460" spans="1:7">
      <c r="A3460" s="3">
        <v>10</v>
      </c>
      <c r="B3460" s="3">
        <v>5</v>
      </c>
      <c r="C3460" s="3">
        <v>87</v>
      </c>
      <c r="D3460" s="3">
        <v>67</v>
      </c>
      <c r="E3460" s="3">
        <v>-2277.338</v>
      </c>
      <c r="F3460" s="4" t="str">
        <f>HYPERLINK("http://141.218.60.56/~jnz1568/getInfo.php?workbook=10_05.xlsx&amp;sheet=A0&amp;row=3460&amp;col=6&amp;number=343000000&amp;sourceID=14","343000000")</f>
        <v>343000000</v>
      </c>
      <c r="G3460" s="4" t="str">
        <f>HYPERLINK("http://141.218.60.56/~jnz1568/getInfo.php?workbook=10_05.xlsx&amp;sheet=A0&amp;row=3460&amp;col=7&amp;number=0&amp;sourceID=14","0")</f>
        <v>0</v>
      </c>
    </row>
    <row r="3461" spans="1:7">
      <c r="A3461" s="3">
        <v>10</v>
      </c>
      <c r="B3461" s="3">
        <v>5</v>
      </c>
      <c r="C3461" s="3">
        <v>89</v>
      </c>
      <c r="D3461" s="3">
        <v>67</v>
      </c>
      <c r="E3461" s="3">
        <v>2149.617</v>
      </c>
      <c r="F3461" s="4" t="str">
        <f>HYPERLINK("http://141.218.60.56/~jnz1568/getInfo.php?workbook=10_05.xlsx&amp;sheet=A0&amp;row=3461&amp;col=6&amp;number=5.76&amp;sourceID=14","5.76")</f>
        <v>5.76</v>
      </c>
      <c r="G3461" s="4" t="str">
        <f>HYPERLINK("http://141.218.60.56/~jnz1568/getInfo.php?workbook=10_05.xlsx&amp;sheet=A0&amp;row=3461&amp;col=7&amp;number=0&amp;sourceID=14","0")</f>
        <v>0</v>
      </c>
    </row>
    <row r="3462" spans="1:7">
      <c r="A3462" s="3">
        <v>10</v>
      </c>
      <c r="B3462" s="3">
        <v>5</v>
      </c>
      <c r="C3462" s="3">
        <v>90</v>
      </c>
      <c r="D3462" s="3">
        <v>67</v>
      </c>
      <c r="E3462" s="3">
        <v>2123.597</v>
      </c>
      <c r="F3462" s="4" t="str">
        <f>HYPERLINK("http://141.218.60.56/~jnz1568/getInfo.php?workbook=10_05.xlsx&amp;sheet=A0&amp;row=3462&amp;col=6&amp;number=608&amp;sourceID=14","608")</f>
        <v>608</v>
      </c>
      <c r="G3462" s="4" t="str">
        <f>HYPERLINK("http://141.218.60.56/~jnz1568/getInfo.php?workbook=10_05.xlsx&amp;sheet=A0&amp;row=3462&amp;col=7&amp;number=0&amp;sourceID=14","0")</f>
        <v>0</v>
      </c>
    </row>
    <row r="3463" spans="1:7">
      <c r="A3463" s="3">
        <v>10</v>
      </c>
      <c r="B3463" s="3">
        <v>5</v>
      </c>
      <c r="C3463" s="3">
        <v>91</v>
      </c>
      <c r="D3463" s="3">
        <v>67</v>
      </c>
      <c r="E3463" s="3">
        <v>-1819.608</v>
      </c>
      <c r="F3463" s="4" t="str">
        <f>HYPERLINK("http://141.218.60.56/~jnz1568/getInfo.php?workbook=10_05.xlsx&amp;sheet=A0&amp;row=3463&amp;col=6&amp;number=986&amp;sourceID=14","986")</f>
        <v>986</v>
      </c>
      <c r="G3463" s="4" t="str">
        <f>HYPERLINK("http://141.218.60.56/~jnz1568/getInfo.php?workbook=10_05.xlsx&amp;sheet=A0&amp;row=3463&amp;col=7&amp;number=0&amp;sourceID=14","0")</f>
        <v>0</v>
      </c>
    </row>
    <row r="3464" spans="1:7">
      <c r="A3464" s="3">
        <v>10</v>
      </c>
      <c r="B3464" s="3">
        <v>5</v>
      </c>
      <c r="C3464" s="3">
        <v>92</v>
      </c>
      <c r="D3464" s="3">
        <v>67</v>
      </c>
      <c r="E3464" s="3">
        <v>-1792.407</v>
      </c>
      <c r="F3464" s="4" t="str">
        <f>HYPERLINK("http://141.218.60.56/~jnz1568/getInfo.php?workbook=10_05.xlsx&amp;sheet=A0&amp;row=3464&amp;col=6&amp;number=30300&amp;sourceID=14","30300")</f>
        <v>30300</v>
      </c>
      <c r="G3464" s="4" t="str">
        <f>HYPERLINK("http://141.218.60.56/~jnz1568/getInfo.php?workbook=10_05.xlsx&amp;sheet=A0&amp;row=3464&amp;col=7&amp;number=0&amp;sourceID=14","0")</f>
        <v>0</v>
      </c>
    </row>
    <row r="3465" spans="1:7">
      <c r="A3465" s="3">
        <v>10</v>
      </c>
      <c r="B3465" s="3">
        <v>5</v>
      </c>
      <c r="C3465" s="3">
        <v>94</v>
      </c>
      <c r="D3465" s="3">
        <v>67</v>
      </c>
      <c r="E3465" s="3">
        <v>-1569.788</v>
      </c>
      <c r="F3465" s="4" t="str">
        <f>HYPERLINK("http://141.218.60.56/~jnz1568/getInfo.php?workbook=10_05.xlsx&amp;sheet=A0&amp;row=3465&amp;col=6&amp;number=2970000&amp;sourceID=14","2970000")</f>
        <v>2970000</v>
      </c>
      <c r="G3465" s="4" t="str">
        <f>HYPERLINK("http://141.218.60.56/~jnz1568/getInfo.php?workbook=10_05.xlsx&amp;sheet=A0&amp;row=3465&amp;col=7&amp;number=0&amp;sourceID=14","0")</f>
        <v>0</v>
      </c>
    </row>
    <row r="3466" spans="1:7">
      <c r="A3466" s="3">
        <v>10</v>
      </c>
      <c r="B3466" s="3">
        <v>5</v>
      </c>
      <c r="C3466" s="3">
        <v>95</v>
      </c>
      <c r="D3466" s="3">
        <v>67</v>
      </c>
      <c r="E3466" s="3">
        <v>1562.747</v>
      </c>
      <c r="F3466" s="4" t="str">
        <f>HYPERLINK("http://141.218.60.56/~jnz1568/getInfo.php?workbook=10_05.xlsx&amp;sheet=A0&amp;row=3466&amp;col=6&amp;number=921&amp;sourceID=14","921")</f>
        <v>921</v>
      </c>
      <c r="G3466" s="4" t="str">
        <f>HYPERLINK("http://141.218.60.56/~jnz1568/getInfo.php?workbook=10_05.xlsx&amp;sheet=A0&amp;row=3466&amp;col=7&amp;number=0&amp;sourceID=14","0")</f>
        <v>0</v>
      </c>
    </row>
    <row r="3467" spans="1:7">
      <c r="A3467" s="3">
        <v>10</v>
      </c>
      <c r="B3467" s="3">
        <v>5</v>
      </c>
      <c r="C3467" s="3">
        <v>96</v>
      </c>
      <c r="D3467" s="3">
        <v>67</v>
      </c>
      <c r="E3467" s="3">
        <v>1302.425</v>
      </c>
      <c r="F3467" s="4" t="str">
        <f>HYPERLINK("http://141.218.60.56/~jnz1568/getInfo.php?workbook=10_05.xlsx&amp;sheet=A0&amp;row=3467&amp;col=6&amp;number=993000&amp;sourceID=14","993000")</f>
        <v>993000</v>
      </c>
      <c r="G3467" s="4" t="str">
        <f>HYPERLINK("http://141.218.60.56/~jnz1568/getInfo.php?workbook=10_05.xlsx&amp;sheet=A0&amp;row=3467&amp;col=7&amp;number=0&amp;sourceID=14","0")</f>
        <v>0</v>
      </c>
    </row>
    <row r="3468" spans="1:7">
      <c r="A3468" s="3">
        <v>10</v>
      </c>
      <c r="B3468" s="3">
        <v>5</v>
      </c>
      <c r="C3468" s="3">
        <v>97</v>
      </c>
      <c r="D3468" s="3">
        <v>67</v>
      </c>
      <c r="E3468" s="3">
        <v>1296.683</v>
      </c>
      <c r="F3468" s="4" t="str">
        <f>HYPERLINK("http://141.218.60.56/~jnz1568/getInfo.php?workbook=10_05.xlsx&amp;sheet=A0&amp;row=3468&amp;col=6&amp;number=15200000&amp;sourceID=14","15200000")</f>
        <v>15200000</v>
      </c>
      <c r="G3468" s="4" t="str">
        <f>HYPERLINK("http://141.218.60.56/~jnz1568/getInfo.php?workbook=10_05.xlsx&amp;sheet=A0&amp;row=3468&amp;col=7&amp;number=0&amp;sourceID=14","0")</f>
        <v>0</v>
      </c>
    </row>
    <row r="3469" spans="1:7">
      <c r="A3469" s="3">
        <v>10</v>
      </c>
      <c r="B3469" s="3">
        <v>5</v>
      </c>
      <c r="C3469" s="3">
        <v>101</v>
      </c>
      <c r="D3469" s="3">
        <v>67</v>
      </c>
      <c r="E3469" s="3">
        <v>-1237.366</v>
      </c>
      <c r="F3469" s="4" t="str">
        <f>HYPERLINK("http://141.218.60.56/~jnz1568/getInfo.php?workbook=10_05.xlsx&amp;sheet=A0&amp;row=3469&amp;col=6&amp;number=19000&amp;sourceID=14","19000")</f>
        <v>19000</v>
      </c>
      <c r="G3469" s="4" t="str">
        <f>HYPERLINK("http://141.218.60.56/~jnz1568/getInfo.php?workbook=10_05.xlsx&amp;sheet=A0&amp;row=3469&amp;col=7&amp;number=0&amp;sourceID=14","0")</f>
        <v>0</v>
      </c>
    </row>
    <row r="3470" spans="1:7">
      <c r="A3470" s="3">
        <v>10</v>
      </c>
      <c r="B3470" s="3">
        <v>5</v>
      </c>
      <c r="C3470" s="3">
        <v>103</v>
      </c>
      <c r="D3470" s="3">
        <v>67</v>
      </c>
      <c r="E3470" s="3">
        <v>-1226.109</v>
      </c>
      <c r="F3470" s="4" t="str">
        <f>HYPERLINK("http://141.218.60.56/~jnz1568/getInfo.php?workbook=10_05.xlsx&amp;sheet=A0&amp;row=3470&amp;col=6&amp;number=128&amp;sourceID=14","128")</f>
        <v>128</v>
      </c>
      <c r="G3470" s="4" t="str">
        <f>HYPERLINK("http://141.218.60.56/~jnz1568/getInfo.php?workbook=10_05.xlsx&amp;sheet=A0&amp;row=3470&amp;col=7&amp;number=0&amp;sourceID=14","0")</f>
        <v>0</v>
      </c>
    </row>
    <row r="3471" spans="1:7">
      <c r="A3471" s="3">
        <v>10</v>
      </c>
      <c r="B3471" s="3">
        <v>5</v>
      </c>
      <c r="C3471" s="3">
        <v>112</v>
      </c>
      <c r="D3471" s="3">
        <v>67</v>
      </c>
      <c r="E3471" s="3">
        <v>-1129.665</v>
      </c>
      <c r="F3471" s="4" t="str">
        <f>HYPERLINK("http://141.218.60.56/~jnz1568/getInfo.php?workbook=10_05.xlsx&amp;sheet=A0&amp;row=3471&amp;col=6&amp;number=14300000&amp;sourceID=14","14300000")</f>
        <v>14300000</v>
      </c>
      <c r="G3471" s="4" t="str">
        <f>HYPERLINK("http://141.218.60.56/~jnz1568/getInfo.php?workbook=10_05.xlsx&amp;sheet=A0&amp;row=3471&amp;col=7&amp;number=0&amp;sourceID=14","0")</f>
        <v>0</v>
      </c>
    </row>
    <row r="3472" spans="1:7">
      <c r="A3472" s="3">
        <v>10</v>
      </c>
      <c r="B3472" s="3">
        <v>5</v>
      </c>
      <c r="C3472" s="3">
        <v>113</v>
      </c>
      <c r="D3472" s="3">
        <v>67</v>
      </c>
      <c r="E3472" s="3">
        <v>1119.698</v>
      </c>
      <c r="F3472" s="4" t="str">
        <f>HYPERLINK("http://141.218.60.56/~jnz1568/getInfo.php?workbook=10_05.xlsx&amp;sheet=A0&amp;row=3472&amp;col=6&amp;number=213000&amp;sourceID=14","213000")</f>
        <v>213000</v>
      </c>
      <c r="G3472" s="4" t="str">
        <f>HYPERLINK("http://141.218.60.56/~jnz1568/getInfo.php?workbook=10_05.xlsx&amp;sheet=A0&amp;row=3472&amp;col=7&amp;number=0&amp;sourceID=14","0")</f>
        <v>0</v>
      </c>
    </row>
    <row r="3473" spans="1:7">
      <c r="A3473" s="3">
        <v>10</v>
      </c>
      <c r="B3473" s="3">
        <v>5</v>
      </c>
      <c r="C3473" s="3">
        <v>114</v>
      </c>
      <c r="D3473" s="3">
        <v>67</v>
      </c>
      <c r="E3473" s="3">
        <v>1119.698</v>
      </c>
      <c r="F3473" s="4" t="str">
        <f>HYPERLINK("http://141.218.60.56/~jnz1568/getInfo.php?workbook=10_05.xlsx&amp;sheet=A0&amp;row=3473&amp;col=6&amp;number=36600&amp;sourceID=14","36600")</f>
        <v>36600</v>
      </c>
      <c r="G3473" s="4" t="str">
        <f>HYPERLINK("http://141.218.60.56/~jnz1568/getInfo.php?workbook=10_05.xlsx&amp;sheet=A0&amp;row=3473&amp;col=7&amp;number=0&amp;sourceID=14","0")</f>
        <v>0</v>
      </c>
    </row>
    <row r="3474" spans="1:7">
      <c r="A3474" s="3">
        <v>10</v>
      </c>
      <c r="B3474" s="3">
        <v>5</v>
      </c>
      <c r="C3474" s="3">
        <v>128</v>
      </c>
      <c r="D3474" s="3">
        <v>67</v>
      </c>
      <c r="E3474" s="3">
        <v>-977.022</v>
      </c>
      <c r="F3474" s="4" t="str">
        <f>HYPERLINK("http://141.218.60.56/~jnz1568/getInfo.php?workbook=10_05.xlsx&amp;sheet=A0&amp;row=3474&amp;col=6&amp;number=792000&amp;sourceID=14","792000")</f>
        <v>792000</v>
      </c>
      <c r="G3474" s="4" t="str">
        <f>HYPERLINK("http://141.218.60.56/~jnz1568/getInfo.php?workbook=10_05.xlsx&amp;sheet=A0&amp;row=3474&amp;col=7&amp;number=0&amp;sourceID=14","0")</f>
        <v>0</v>
      </c>
    </row>
    <row r="3475" spans="1:7">
      <c r="A3475" s="3">
        <v>10</v>
      </c>
      <c r="B3475" s="3">
        <v>5</v>
      </c>
      <c r="C3475" s="3">
        <v>134</v>
      </c>
      <c r="D3475" s="3">
        <v>67</v>
      </c>
      <c r="E3475" s="3">
        <v>-936.068</v>
      </c>
      <c r="F3475" s="4" t="str">
        <f>HYPERLINK("http://141.218.60.56/~jnz1568/getInfo.php?workbook=10_05.xlsx&amp;sheet=A0&amp;row=3475&amp;col=6&amp;number=1400&amp;sourceID=14","1400")</f>
        <v>1400</v>
      </c>
      <c r="G3475" s="4" t="str">
        <f>HYPERLINK("http://141.218.60.56/~jnz1568/getInfo.php?workbook=10_05.xlsx&amp;sheet=A0&amp;row=3475&amp;col=7&amp;number=0&amp;sourceID=14","0")</f>
        <v>0</v>
      </c>
    </row>
    <row r="3476" spans="1:7">
      <c r="A3476" s="3">
        <v>10</v>
      </c>
      <c r="B3476" s="3">
        <v>5</v>
      </c>
      <c r="C3476" s="3">
        <v>135</v>
      </c>
      <c r="D3476" s="3">
        <v>67</v>
      </c>
      <c r="E3476" s="3">
        <v>-933.961</v>
      </c>
      <c r="F3476" s="4" t="str">
        <f>HYPERLINK("http://141.218.60.56/~jnz1568/getInfo.php?workbook=10_05.xlsx&amp;sheet=A0&amp;row=3476&amp;col=6&amp;number=4610&amp;sourceID=14","4610")</f>
        <v>4610</v>
      </c>
      <c r="G3476" s="4" t="str">
        <f>HYPERLINK("http://141.218.60.56/~jnz1568/getInfo.php?workbook=10_05.xlsx&amp;sheet=A0&amp;row=3476&amp;col=7&amp;number=0&amp;sourceID=14","0")</f>
        <v>0</v>
      </c>
    </row>
    <row r="3477" spans="1:7">
      <c r="A3477" s="3">
        <v>10</v>
      </c>
      <c r="B3477" s="3">
        <v>5</v>
      </c>
      <c r="C3477" s="3">
        <v>136</v>
      </c>
      <c r="D3477" s="3">
        <v>67</v>
      </c>
      <c r="E3477" s="3">
        <v>-930.814</v>
      </c>
      <c r="F3477" s="4" t="str">
        <f>HYPERLINK("http://141.218.60.56/~jnz1568/getInfo.php?workbook=10_05.xlsx&amp;sheet=A0&amp;row=3477&amp;col=6&amp;number=480&amp;sourceID=14","480")</f>
        <v>480</v>
      </c>
      <c r="G3477" s="4" t="str">
        <f>HYPERLINK("http://141.218.60.56/~jnz1568/getInfo.php?workbook=10_05.xlsx&amp;sheet=A0&amp;row=3477&amp;col=7&amp;number=0&amp;sourceID=14","0")</f>
        <v>0</v>
      </c>
    </row>
    <row r="3478" spans="1:7">
      <c r="A3478" s="3">
        <v>10</v>
      </c>
      <c r="B3478" s="3">
        <v>5</v>
      </c>
      <c r="C3478" s="3">
        <v>142</v>
      </c>
      <c r="D3478" s="3">
        <v>67</v>
      </c>
      <c r="E3478" s="3">
        <v>896.059</v>
      </c>
      <c r="F3478" s="4" t="str">
        <f>HYPERLINK("http://141.218.60.56/~jnz1568/getInfo.php?workbook=10_05.xlsx&amp;sheet=A0&amp;row=3478&amp;col=6&amp;number=12300&amp;sourceID=14","12300")</f>
        <v>12300</v>
      </c>
      <c r="G3478" s="4" t="str">
        <f>HYPERLINK("http://141.218.60.56/~jnz1568/getInfo.php?workbook=10_05.xlsx&amp;sheet=A0&amp;row=3478&amp;col=7&amp;number=0&amp;sourceID=14","0")</f>
        <v>0</v>
      </c>
    </row>
    <row r="3479" spans="1:7">
      <c r="A3479" s="3">
        <v>10</v>
      </c>
      <c r="B3479" s="3">
        <v>5</v>
      </c>
      <c r="C3479" s="3">
        <v>143</v>
      </c>
      <c r="D3479" s="3">
        <v>67</v>
      </c>
      <c r="E3479" s="3">
        <v>894.056</v>
      </c>
      <c r="F3479" s="4" t="str">
        <f>HYPERLINK("http://141.218.60.56/~jnz1568/getInfo.php?workbook=10_05.xlsx&amp;sheet=A0&amp;row=3479&amp;col=6&amp;number=20100&amp;sourceID=14","20100")</f>
        <v>20100</v>
      </c>
      <c r="G3479" s="4" t="str">
        <f>HYPERLINK("http://141.218.60.56/~jnz1568/getInfo.php?workbook=10_05.xlsx&amp;sheet=A0&amp;row=3479&amp;col=7&amp;number=0&amp;sourceID=14","0")</f>
        <v>0</v>
      </c>
    </row>
    <row r="3480" spans="1:7">
      <c r="A3480" s="3">
        <v>10</v>
      </c>
      <c r="B3480" s="3">
        <v>5</v>
      </c>
      <c r="C3480" s="3">
        <v>144</v>
      </c>
      <c r="D3480" s="3">
        <v>67</v>
      </c>
      <c r="E3480" s="3">
        <v>892.46</v>
      </c>
      <c r="F3480" s="4" t="str">
        <f>HYPERLINK("http://141.218.60.56/~jnz1568/getInfo.php?workbook=10_05.xlsx&amp;sheet=A0&amp;row=3480&amp;col=6&amp;number=0.329&amp;sourceID=14","0.329")</f>
        <v>0.329</v>
      </c>
      <c r="G3480" s="4" t="str">
        <f>HYPERLINK("http://141.218.60.56/~jnz1568/getInfo.php?workbook=10_05.xlsx&amp;sheet=A0&amp;row=3480&amp;col=7&amp;number=0&amp;sourceID=14","0")</f>
        <v>0</v>
      </c>
    </row>
    <row r="3481" spans="1:7">
      <c r="A3481" s="3">
        <v>10</v>
      </c>
      <c r="B3481" s="3">
        <v>5</v>
      </c>
      <c r="C3481" s="3">
        <v>145</v>
      </c>
      <c r="D3481" s="3">
        <v>67</v>
      </c>
      <c r="E3481" s="3">
        <v>885.271</v>
      </c>
      <c r="F3481" s="4" t="str">
        <f>HYPERLINK("http://141.218.60.56/~jnz1568/getInfo.php?workbook=10_05.xlsx&amp;sheet=A0&amp;row=3481&amp;col=6&amp;number=40000&amp;sourceID=14","40000")</f>
        <v>40000</v>
      </c>
      <c r="G3481" s="4" t="str">
        <f>HYPERLINK("http://141.218.60.56/~jnz1568/getInfo.php?workbook=10_05.xlsx&amp;sheet=A0&amp;row=3481&amp;col=7&amp;number=0&amp;sourceID=14","0")</f>
        <v>0</v>
      </c>
    </row>
    <row r="3482" spans="1:7">
      <c r="A3482" s="3">
        <v>10</v>
      </c>
      <c r="B3482" s="3">
        <v>5</v>
      </c>
      <c r="C3482" s="3">
        <v>146</v>
      </c>
      <c r="D3482" s="3">
        <v>67</v>
      </c>
      <c r="E3482" s="3">
        <v>885.271</v>
      </c>
      <c r="F3482" s="4" t="str">
        <f>HYPERLINK("http://141.218.60.56/~jnz1568/getInfo.php?workbook=10_05.xlsx&amp;sheet=A0&amp;row=3482&amp;col=6&amp;number=561000&amp;sourceID=14","561000")</f>
        <v>561000</v>
      </c>
      <c r="G3482" s="4" t="str">
        <f>HYPERLINK("http://141.218.60.56/~jnz1568/getInfo.php?workbook=10_05.xlsx&amp;sheet=A0&amp;row=3482&amp;col=7&amp;number=0&amp;sourceID=14","0")</f>
        <v>0</v>
      </c>
    </row>
    <row r="3483" spans="1:7">
      <c r="A3483" s="3">
        <v>10</v>
      </c>
      <c r="B3483" s="3">
        <v>5</v>
      </c>
      <c r="C3483" s="3">
        <v>147</v>
      </c>
      <c r="D3483" s="3">
        <v>67</v>
      </c>
      <c r="E3483" s="3">
        <v>880.671</v>
      </c>
      <c r="F3483" s="4" t="str">
        <f>HYPERLINK("http://141.218.60.56/~jnz1568/getInfo.php?workbook=10_05.xlsx&amp;sheet=A0&amp;row=3483&amp;col=6&amp;number=109000&amp;sourceID=14","109000")</f>
        <v>109000</v>
      </c>
      <c r="G3483" s="4" t="str">
        <f>HYPERLINK("http://141.218.60.56/~jnz1568/getInfo.php?workbook=10_05.xlsx&amp;sheet=A0&amp;row=3483&amp;col=7&amp;number=0&amp;sourceID=14","0")</f>
        <v>0</v>
      </c>
    </row>
    <row r="3484" spans="1:7">
      <c r="A3484" s="3">
        <v>10</v>
      </c>
      <c r="B3484" s="3">
        <v>5</v>
      </c>
      <c r="C3484" s="3">
        <v>148</v>
      </c>
      <c r="D3484" s="3">
        <v>67</v>
      </c>
      <c r="E3484" s="3">
        <v>879.896</v>
      </c>
      <c r="F3484" s="4" t="str">
        <f>HYPERLINK("http://141.218.60.56/~jnz1568/getInfo.php?workbook=10_05.xlsx&amp;sheet=A0&amp;row=3484&amp;col=6&amp;number=5990&amp;sourceID=14","5990")</f>
        <v>5990</v>
      </c>
      <c r="G3484" s="4" t="str">
        <f>HYPERLINK("http://141.218.60.56/~jnz1568/getInfo.php?workbook=10_05.xlsx&amp;sheet=A0&amp;row=3484&amp;col=7&amp;number=0&amp;sourceID=14","0")</f>
        <v>0</v>
      </c>
    </row>
    <row r="3485" spans="1:7">
      <c r="A3485" s="3">
        <v>10</v>
      </c>
      <c r="B3485" s="3">
        <v>5</v>
      </c>
      <c r="C3485" s="3">
        <v>152</v>
      </c>
      <c r="D3485" s="3">
        <v>67</v>
      </c>
      <c r="E3485" s="3">
        <v>839.562</v>
      </c>
      <c r="F3485" s="4" t="str">
        <f>HYPERLINK("http://141.218.60.56/~jnz1568/getInfo.php?workbook=10_05.xlsx&amp;sheet=A0&amp;row=3485&amp;col=6&amp;number=590000&amp;sourceID=14","590000")</f>
        <v>590000</v>
      </c>
      <c r="G3485" s="4" t="str">
        <f>HYPERLINK("http://141.218.60.56/~jnz1568/getInfo.php?workbook=10_05.xlsx&amp;sheet=A0&amp;row=3485&amp;col=7&amp;number=0&amp;sourceID=14","0")</f>
        <v>0</v>
      </c>
    </row>
    <row r="3486" spans="1:7">
      <c r="A3486" s="3">
        <v>10</v>
      </c>
      <c r="B3486" s="3">
        <v>5</v>
      </c>
      <c r="C3486" s="3">
        <v>153</v>
      </c>
      <c r="D3486" s="3">
        <v>67</v>
      </c>
      <c r="E3486" s="3">
        <v>833.96</v>
      </c>
      <c r="F3486" s="4" t="str">
        <f>HYPERLINK("http://141.218.60.56/~jnz1568/getInfo.php?workbook=10_05.xlsx&amp;sheet=A0&amp;row=3486&amp;col=6&amp;number=5530000&amp;sourceID=14","5530000")</f>
        <v>5530000</v>
      </c>
      <c r="G3486" s="4" t="str">
        <f>HYPERLINK("http://141.218.60.56/~jnz1568/getInfo.php?workbook=10_05.xlsx&amp;sheet=A0&amp;row=3486&amp;col=7&amp;number=0&amp;sourceID=14","0")</f>
        <v>0</v>
      </c>
    </row>
    <row r="3487" spans="1:7">
      <c r="A3487" s="3">
        <v>10</v>
      </c>
      <c r="B3487" s="3">
        <v>5</v>
      </c>
      <c r="C3487" s="3">
        <v>158</v>
      </c>
      <c r="D3487" s="3">
        <v>67</v>
      </c>
      <c r="E3487" s="3">
        <v>-821.775</v>
      </c>
      <c r="F3487" s="4" t="str">
        <f>HYPERLINK("http://141.218.60.56/~jnz1568/getInfo.php?workbook=10_05.xlsx&amp;sheet=A0&amp;row=3487&amp;col=6&amp;number=166000&amp;sourceID=14","166000")</f>
        <v>166000</v>
      </c>
      <c r="G3487" s="4" t="str">
        <f>HYPERLINK("http://141.218.60.56/~jnz1568/getInfo.php?workbook=10_05.xlsx&amp;sheet=A0&amp;row=3487&amp;col=7&amp;number=0&amp;sourceID=14","0")</f>
        <v>0</v>
      </c>
    </row>
    <row r="3488" spans="1:7">
      <c r="A3488" s="3">
        <v>10</v>
      </c>
      <c r="B3488" s="3">
        <v>5</v>
      </c>
      <c r="C3488" s="3">
        <v>165</v>
      </c>
      <c r="D3488" s="3">
        <v>67</v>
      </c>
      <c r="E3488" s="3">
        <v>-593.899</v>
      </c>
      <c r="F3488" s="4" t="str">
        <f>HYPERLINK("http://141.218.60.56/~jnz1568/getInfo.php?workbook=10_05.xlsx&amp;sheet=A0&amp;row=3488&amp;col=6&amp;number=174000&amp;sourceID=14","174000")</f>
        <v>174000</v>
      </c>
      <c r="G3488" s="4" t="str">
        <f>HYPERLINK("http://141.218.60.56/~jnz1568/getInfo.php?workbook=10_05.xlsx&amp;sheet=A0&amp;row=3488&amp;col=7&amp;number=0&amp;sourceID=14","0")</f>
        <v>0</v>
      </c>
    </row>
    <row r="3489" spans="1:7">
      <c r="A3489" s="3">
        <v>10</v>
      </c>
      <c r="B3489" s="3">
        <v>5</v>
      </c>
      <c r="C3489" s="3">
        <v>167</v>
      </c>
      <c r="D3489" s="3">
        <v>67</v>
      </c>
      <c r="E3489" s="3">
        <v>-511.507</v>
      </c>
      <c r="F3489" s="4" t="str">
        <f>HYPERLINK("http://141.218.60.56/~jnz1568/getInfo.php?workbook=10_05.xlsx&amp;sheet=A0&amp;row=3489&amp;col=6&amp;number=5760000&amp;sourceID=14","5760000")</f>
        <v>5760000</v>
      </c>
      <c r="G3489" s="4" t="str">
        <f>HYPERLINK("http://141.218.60.56/~jnz1568/getInfo.php?workbook=10_05.xlsx&amp;sheet=A0&amp;row=3489&amp;col=7&amp;number=0&amp;sourceID=14","0")</f>
        <v>0</v>
      </c>
    </row>
    <row r="3490" spans="1:7">
      <c r="A3490" s="3">
        <v>10</v>
      </c>
      <c r="B3490" s="3">
        <v>5</v>
      </c>
      <c r="C3490" s="3">
        <v>175</v>
      </c>
      <c r="D3490" s="3">
        <v>67</v>
      </c>
      <c r="E3490" s="3">
        <v>-440.576</v>
      </c>
      <c r="F3490" s="4" t="str">
        <f>HYPERLINK("http://141.218.60.56/~jnz1568/getInfo.php?workbook=10_05.xlsx&amp;sheet=A0&amp;row=3490&amp;col=6&amp;number=3950000000&amp;sourceID=14","3950000000")</f>
        <v>3950000000</v>
      </c>
      <c r="G3490" s="4" t="str">
        <f>HYPERLINK("http://141.218.60.56/~jnz1568/getInfo.php?workbook=10_05.xlsx&amp;sheet=A0&amp;row=3490&amp;col=7&amp;number=0&amp;sourceID=14","0")</f>
        <v>0</v>
      </c>
    </row>
    <row r="3491" spans="1:7">
      <c r="A3491" s="3">
        <v>10</v>
      </c>
      <c r="B3491" s="3">
        <v>5</v>
      </c>
      <c r="C3491" s="3">
        <v>176</v>
      </c>
      <c r="D3491" s="3">
        <v>67</v>
      </c>
      <c r="E3491" s="3">
        <v>-440.574</v>
      </c>
      <c r="F3491" s="4" t="str">
        <f>HYPERLINK("http://141.218.60.56/~jnz1568/getInfo.php?workbook=10_05.xlsx&amp;sheet=A0&amp;row=3491&amp;col=6&amp;number=250000000&amp;sourceID=14","250000000")</f>
        <v>250000000</v>
      </c>
      <c r="G3491" s="4" t="str">
        <f>HYPERLINK("http://141.218.60.56/~jnz1568/getInfo.php?workbook=10_05.xlsx&amp;sheet=A0&amp;row=3491&amp;col=7&amp;number=0&amp;sourceID=14","0")</f>
        <v>0</v>
      </c>
    </row>
    <row r="3492" spans="1:7">
      <c r="A3492" s="3">
        <v>10</v>
      </c>
      <c r="B3492" s="3">
        <v>5</v>
      </c>
      <c r="C3492" s="3">
        <v>177</v>
      </c>
      <c r="D3492" s="3">
        <v>67</v>
      </c>
      <c r="E3492" s="3">
        <v>-438.851</v>
      </c>
      <c r="F3492" s="4" t="str">
        <f>HYPERLINK("http://141.218.60.56/~jnz1568/getInfo.php?workbook=10_05.xlsx&amp;sheet=A0&amp;row=3492&amp;col=6&amp;number=589000000&amp;sourceID=14","589000000")</f>
        <v>589000000</v>
      </c>
      <c r="G3492" s="4" t="str">
        <f>HYPERLINK("http://141.218.60.56/~jnz1568/getInfo.php?workbook=10_05.xlsx&amp;sheet=A0&amp;row=3492&amp;col=7&amp;number=0&amp;sourceID=14","0")</f>
        <v>0</v>
      </c>
    </row>
    <row r="3493" spans="1:7">
      <c r="A3493" s="3">
        <v>10</v>
      </c>
      <c r="B3493" s="3">
        <v>5</v>
      </c>
      <c r="C3493" s="3">
        <v>178</v>
      </c>
      <c r="D3493" s="3">
        <v>67</v>
      </c>
      <c r="E3493" s="3">
        <v>-438.767</v>
      </c>
      <c r="F3493" s="4" t="str">
        <f>HYPERLINK("http://141.218.60.56/~jnz1568/getInfo.php?workbook=10_05.xlsx&amp;sheet=A0&amp;row=3493&amp;col=6&amp;number=5470000000&amp;sourceID=14","5470000000")</f>
        <v>5470000000</v>
      </c>
      <c r="G3493" s="4" t="str">
        <f>HYPERLINK("http://141.218.60.56/~jnz1568/getInfo.php?workbook=10_05.xlsx&amp;sheet=A0&amp;row=3493&amp;col=7&amp;number=0&amp;sourceID=14","0")</f>
        <v>0</v>
      </c>
    </row>
    <row r="3494" spans="1:7">
      <c r="A3494" s="3">
        <v>10</v>
      </c>
      <c r="B3494" s="3">
        <v>5</v>
      </c>
      <c r="C3494" s="3">
        <v>180</v>
      </c>
      <c r="D3494" s="3">
        <v>67</v>
      </c>
      <c r="E3494" s="3">
        <v>-431.035</v>
      </c>
      <c r="F3494" s="4" t="str">
        <f>HYPERLINK("http://141.218.60.56/~jnz1568/getInfo.php?workbook=10_05.xlsx&amp;sheet=A0&amp;row=3494&amp;col=6&amp;number=6880000000&amp;sourceID=14","6880000000")</f>
        <v>6880000000</v>
      </c>
      <c r="G3494" s="4" t="str">
        <f>HYPERLINK("http://141.218.60.56/~jnz1568/getInfo.php?workbook=10_05.xlsx&amp;sheet=A0&amp;row=3494&amp;col=7&amp;number=0&amp;sourceID=14","0")</f>
        <v>0</v>
      </c>
    </row>
    <row r="3495" spans="1:7">
      <c r="A3495" s="3">
        <v>10</v>
      </c>
      <c r="B3495" s="3">
        <v>5</v>
      </c>
      <c r="C3495" s="3">
        <v>71</v>
      </c>
      <c r="D3495" s="3">
        <v>68</v>
      </c>
      <c r="E3495" s="3">
        <v>81300.963</v>
      </c>
      <c r="F3495" s="4" t="str">
        <f>HYPERLINK("http://141.218.60.56/~jnz1568/getInfo.php?workbook=10_05.xlsx&amp;sheet=A0&amp;row=3495&amp;col=6&amp;number=0.00023&amp;sourceID=14","0.00023")</f>
        <v>0.00023</v>
      </c>
      <c r="G3495" s="4" t="str">
        <f>HYPERLINK("http://141.218.60.56/~jnz1568/getInfo.php?workbook=10_05.xlsx&amp;sheet=A0&amp;row=3495&amp;col=7&amp;number=0&amp;sourceID=14","0")</f>
        <v>0</v>
      </c>
    </row>
    <row r="3496" spans="1:7">
      <c r="A3496" s="3">
        <v>10</v>
      </c>
      <c r="B3496" s="3">
        <v>5</v>
      </c>
      <c r="C3496" s="3">
        <v>72</v>
      </c>
      <c r="D3496" s="3">
        <v>68</v>
      </c>
      <c r="E3496" s="3">
        <v>81300.963</v>
      </c>
      <c r="F3496" s="4" t="str">
        <f>HYPERLINK("http://141.218.60.56/~jnz1568/getInfo.php?workbook=10_05.xlsx&amp;sheet=A0&amp;row=3496&amp;col=6&amp;number=0.000116&amp;sourceID=14","0.000116")</f>
        <v>0.000116</v>
      </c>
      <c r="G3496" s="4" t="str">
        <f>HYPERLINK("http://141.218.60.56/~jnz1568/getInfo.php?workbook=10_05.xlsx&amp;sheet=A0&amp;row=3496&amp;col=7&amp;number=0&amp;sourceID=14","0")</f>
        <v>0</v>
      </c>
    </row>
    <row r="3497" spans="1:7">
      <c r="A3497" s="3">
        <v>10</v>
      </c>
      <c r="B3497" s="3">
        <v>5</v>
      </c>
      <c r="C3497" s="3">
        <v>78</v>
      </c>
      <c r="D3497" s="3">
        <v>68</v>
      </c>
      <c r="E3497" s="3">
        <v>-3789.896</v>
      </c>
      <c r="F3497" s="4" t="str">
        <f>HYPERLINK("http://141.218.60.56/~jnz1568/getInfo.php?workbook=10_05.xlsx&amp;sheet=A0&amp;row=3497&amp;col=6&amp;number=308&amp;sourceID=14","308")</f>
        <v>308</v>
      </c>
      <c r="G3497" s="4" t="str">
        <f>HYPERLINK("http://141.218.60.56/~jnz1568/getInfo.php?workbook=10_05.xlsx&amp;sheet=A0&amp;row=3497&amp;col=7&amp;number=0&amp;sourceID=14","0")</f>
        <v>0</v>
      </c>
    </row>
    <row r="3498" spans="1:7">
      <c r="A3498" s="3">
        <v>10</v>
      </c>
      <c r="B3498" s="3">
        <v>5</v>
      </c>
      <c r="C3498" s="3">
        <v>80</v>
      </c>
      <c r="D3498" s="3">
        <v>68</v>
      </c>
      <c r="E3498" s="3">
        <v>2921.419</v>
      </c>
      <c r="F3498" s="4" t="str">
        <f>HYPERLINK("http://141.218.60.56/~jnz1568/getInfo.php?workbook=10_05.xlsx&amp;sheet=A0&amp;row=3498&amp;col=6&amp;number=421000&amp;sourceID=14","421000")</f>
        <v>421000</v>
      </c>
      <c r="G3498" s="4" t="str">
        <f>HYPERLINK("http://141.218.60.56/~jnz1568/getInfo.php?workbook=10_05.xlsx&amp;sheet=A0&amp;row=3498&amp;col=7&amp;number=0&amp;sourceID=14","0")</f>
        <v>0</v>
      </c>
    </row>
    <row r="3499" spans="1:7">
      <c r="A3499" s="3">
        <v>10</v>
      </c>
      <c r="B3499" s="3">
        <v>5</v>
      </c>
      <c r="C3499" s="3">
        <v>81</v>
      </c>
      <c r="D3499" s="3">
        <v>68</v>
      </c>
      <c r="E3499" s="3">
        <v>2921.419</v>
      </c>
      <c r="F3499" s="4" t="str">
        <f>HYPERLINK("http://141.218.60.56/~jnz1568/getInfo.php?workbook=10_05.xlsx&amp;sheet=A0&amp;row=3499&amp;col=6&amp;number=20800&amp;sourceID=14","20800")</f>
        <v>20800</v>
      </c>
      <c r="G3499" s="4" t="str">
        <f>HYPERLINK("http://141.218.60.56/~jnz1568/getInfo.php?workbook=10_05.xlsx&amp;sheet=A0&amp;row=3499&amp;col=7&amp;number=0&amp;sourceID=14","0")</f>
        <v>0</v>
      </c>
    </row>
    <row r="3500" spans="1:7">
      <c r="A3500" s="3">
        <v>10</v>
      </c>
      <c r="B3500" s="3">
        <v>5</v>
      </c>
      <c r="C3500" s="3">
        <v>99</v>
      </c>
      <c r="D3500" s="3">
        <v>68</v>
      </c>
      <c r="E3500" s="3">
        <v>-1289.36</v>
      </c>
      <c r="F3500" s="4" t="str">
        <f>HYPERLINK("http://141.218.60.56/~jnz1568/getInfo.php?workbook=10_05.xlsx&amp;sheet=A0&amp;row=3500&amp;col=6&amp;number=2920&amp;sourceID=14","2920")</f>
        <v>2920</v>
      </c>
      <c r="G3500" s="4" t="str">
        <f>HYPERLINK("http://141.218.60.56/~jnz1568/getInfo.php?workbook=10_05.xlsx&amp;sheet=A0&amp;row=3500&amp;col=7&amp;number=0&amp;sourceID=14","0")</f>
        <v>0</v>
      </c>
    </row>
    <row r="3501" spans="1:7">
      <c r="A3501" s="3">
        <v>10</v>
      </c>
      <c r="B3501" s="3">
        <v>5</v>
      </c>
      <c r="C3501" s="3">
        <v>100</v>
      </c>
      <c r="D3501" s="3">
        <v>68</v>
      </c>
      <c r="E3501" s="3">
        <v>-1285.003</v>
      </c>
      <c r="F3501" s="4" t="str">
        <f>HYPERLINK("http://141.218.60.56/~jnz1568/getInfo.php?workbook=10_05.xlsx&amp;sheet=A0&amp;row=3501&amp;col=6&amp;number=1040&amp;sourceID=14","1040")</f>
        <v>1040</v>
      </c>
      <c r="G3501" s="4" t="str">
        <f>HYPERLINK("http://141.218.60.56/~jnz1568/getInfo.php?workbook=10_05.xlsx&amp;sheet=A0&amp;row=3501&amp;col=7&amp;number=0&amp;sourceID=14","0")</f>
        <v>0</v>
      </c>
    </row>
    <row r="3502" spans="1:7">
      <c r="A3502" s="3">
        <v>10</v>
      </c>
      <c r="B3502" s="3">
        <v>5</v>
      </c>
      <c r="C3502" s="3">
        <v>102</v>
      </c>
      <c r="D3502" s="3">
        <v>68</v>
      </c>
      <c r="E3502" s="3">
        <v>-1278.824</v>
      </c>
      <c r="F3502" s="4" t="str">
        <f>HYPERLINK("http://141.218.60.56/~jnz1568/getInfo.php?workbook=10_05.xlsx&amp;sheet=A0&amp;row=3502&amp;col=6&amp;number=2.94&amp;sourceID=14","2.94")</f>
        <v>2.94</v>
      </c>
      <c r="G3502" s="4" t="str">
        <f>HYPERLINK("http://141.218.60.56/~jnz1568/getInfo.php?workbook=10_05.xlsx&amp;sheet=A0&amp;row=3502&amp;col=7&amp;number=0&amp;sourceID=14","0")</f>
        <v>0</v>
      </c>
    </row>
    <row r="3503" spans="1:7">
      <c r="A3503" s="3">
        <v>10</v>
      </c>
      <c r="B3503" s="3">
        <v>5</v>
      </c>
      <c r="C3503" s="3">
        <v>106</v>
      </c>
      <c r="D3503" s="3">
        <v>68</v>
      </c>
      <c r="E3503" s="3">
        <v>-1195.288</v>
      </c>
      <c r="F3503" s="4" t="str">
        <f>HYPERLINK("http://141.218.60.56/~jnz1568/getInfo.php?workbook=10_05.xlsx&amp;sheet=A0&amp;row=3503&amp;col=6&amp;number=63.9&amp;sourceID=14","63.9")</f>
        <v>63.9</v>
      </c>
      <c r="G3503" s="4" t="str">
        <f>HYPERLINK("http://141.218.60.56/~jnz1568/getInfo.php?workbook=10_05.xlsx&amp;sheet=A0&amp;row=3503&amp;col=7&amp;number=0&amp;sourceID=14","0")</f>
        <v>0</v>
      </c>
    </row>
    <row r="3504" spans="1:7">
      <c r="A3504" s="3">
        <v>10</v>
      </c>
      <c r="B3504" s="3">
        <v>5</v>
      </c>
      <c r="C3504" s="3">
        <v>107</v>
      </c>
      <c r="D3504" s="3">
        <v>68</v>
      </c>
      <c r="E3504" s="3">
        <v>-1191.329</v>
      </c>
      <c r="F3504" s="4" t="str">
        <f>HYPERLINK("http://141.218.60.56/~jnz1568/getInfo.php?workbook=10_05.xlsx&amp;sheet=A0&amp;row=3504&amp;col=6&amp;number=41500&amp;sourceID=14","41500")</f>
        <v>41500</v>
      </c>
      <c r="G3504" s="4" t="str">
        <f>HYPERLINK("http://141.218.60.56/~jnz1568/getInfo.php?workbook=10_05.xlsx&amp;sheet=A0&amp;row=3504&amp;col=7&amp;number=0&amp;sourceID=14","0")</f>
        <v>0</v>
      </c>
    </row>
    <row r="3505" spans="1:7">
      <c r="A3505" s="3">
        <v>10</v>
      </c>
      <c r="B3505" s="3">
        <v>5</v>
      </c>
      <c r="C3505" s="3">
        <v>108</v>
      </c>
      <c r="D3505" s="3">
        <v>68</v>
      </c>
      <c r="E3505" s="3">
        <v>-1187.242</v>
      </c>
      <c r="F3505" s="4" t="str">
        <f>HYPERLINK("http://141.218.60.56/~jnz1568/getInfo.php?workbook=10_05.xlsx&amp;sheet=A0&amp;row=3505&amp;col=6&amp;number=6130&amp;sourceID=14","6130")</f>
        <v>6130</v>
      </c>
      <c r="G3505" s="4" t="str">
        <f>HYPERLINK("http://141.218.60.56/~jnz1568/getInfo.php?workbook=10_05.xlsx&amp;sheet=A0&amp;row=3505&amp;col=7&amp;number=0&amp;sourceID=14","0")</f>
        <v>0</v>
      </c>
    </row>
    <row r="3506" spans="1:7">
      <c r="A3506" s="3">
        <v>10</v>
      </c>
      <c r="B3506" s="3">
        <v>5</v>
      </c>
      <c r="C3506" s="3">
        <v>109</v>
      </c>
      <c r="D3506" s="3">
        <v>68</v>
      </c>
      <c r="E3506" s="3">
        <v>-1181.421</v>
      </c>
      <c r="F3506" s="4" t="str">
        <f>HYPERLINK("http://141.218.60.56/~jnz1568/getInfo.php?workbook=10_05.xlsx&amp;sheet=A0&amp;row=3506&amp;col=6&amp;number=2100&amp;sourceID=14","2100")</f>
        <v>2100</v>
      </c>
      <c r="G3506" s="4" t="str">
        <f>HYPERLINK("http://141.218.60.56/~jnz1568/getInfo.php?workbook=10_05.xlsx&amp;sheet=A0&amp;row=3506&amp;col=7&amp;number=0&amp;sourceID=14","0")</f>
        <v>0</v>
      </c>
    </row>
    <row r="3507" spans="1:7">
      <c r="A3507" s="3">
        <v>10</v>
      </c>
      <c r="B3507" s="3">
        <v>5</v>
      </c>
      <c r="C3507" s="3">
        <v>115</v>
      </c>
      <c r="D3507" s="3">
        <v>68</v>
      </c>
      <c r="E3507" s="3">
        <v>-1085.495</v>
      </c>
      <c r="F3507" s="4" t="str">
        <f>HYPERLINK("http://141.218.60.56/~jnz1568/getInfo.php?workbook=10_05.xlsx&amp;sheet=A0&amp;row=3507&amp;col=6&amp;number=45300000&amp;sourceID=14","45300000")</f>
        <v>45300000</v>
      </c>
      <c r="G3507" s="4" t="str">
        <f>HYPERLINK("http://141.218.60.56/~jnz1568/getInfo.php?workbook=10_05.xlsx&amp;sheet=A0&amp;row=3507&amp;col=7&amp;number=0&amp;sourceID=14","0")</f>
        <v>0</v>
      </c>
    </row>
    <row r="3508" spans="1:7">
      <c r="A3508" s="3">
        <v>10</v>
      </c>
      <c r="B3508" s="3">
        <v>5</v>
      </c>
      <c r="C3508" s="3">
        <v>116</v>
      </c>
      <c r="D3508" s="3">
        <v>68</v>
      </c>
      <c r="E3508" s="3">
        <v>-1075.109</v>
      </c>
      <c r="F3508" s="4" t="str">
        <f>HYPERLINK("http://141.218.60.56/~jnz1568/getInfo.php?workbook=10_05.xlsx&amp;sheet=A0&amp;row=3508&amp;col=6&amp;number=1910000&amp;sourceID=14","1910000")</f>
        <v>1910000</v>
      </c>
      <c r="G3508" s="4" t="str">
        <f>HYPERLINK("http://141.218.60.56/~jnz1568/getInfo.php?workbook=10_05.xlsx&amp;sheet=A0&amp;row=3508&amp;col=7&amp;number=0&amp;sourceID=14","0")</f>
        <v>0</v>
      </c>
    </row>
    <row r="3509" spans="1:7">
      <c r="A3509" s="3">
        <v>10</v>
      </c>
      <c r="B3509" s="3">
        <v>5</v>
      </c>
      <c r="C3509" s="3">
        <v>117</v>
      </c>
      <c r="D3509" s="3">
        <v>68</v>
      </c>
      <c r="E3509" s="3">
        <v>-1072.526</v>
      </c>
      <c r="F3509" s="4" t="str">
        <f>HYPERLINK("http://141.218.60.56/~jnz1568/getInfo.php?workbook=10_05.xlsx&amp;sheet=A0&amp;row=3509&amp;col=6&amp;number=182&amp;sourceID=14","182")</f>
        <v>182</v>
      </c>
      <c r="G3509" s="4" t="str">
        <f>HYPERLINK("http://141.218.60.56/~jnz1568/getInfo.php?workbook=10_05.xlsx&amp;sheet=A0&amp;row=3509&amp;col=7&amp;number=0&amp;sourceID=14","0")</f>
        <v>0</v>
      </c>
    </row>
    <row r="3510" spans="1:7">
      <c r="A3510" s="3">
        <v>10</v>
      </c>
      <c r="B3510" s="3">
        <v>5</v>
      </c>
      <c r="C3510" s="3">
        <v>118</v>
      </c>
      <c r="D3510" s="3">
        <v>68</v>
      </c>
      <c r="E3510" s="3">
        <v>-1071.595</v>
      </c>
      <c r="F3510" s="4" t="str">
        <f>HYPERLINK("http://141.218.60.56/~jnz1568/getInfo.php?workbook=10_05.xlsx&amp;sheet=A0&amp;row=3510&amp;col=6&amp;number=153&amp;sourceID=14","153")</f>
        <v>153</v>
      </c>
      <c r="G3510" s="4" t="str">
        <f>HYPERLINK("http://141.218.60.56/~jnz1568/getInfo.php?workbook=10_05.xlsx&amp;sheet=A0&amp;row=3510&amp;col=7&amp;number=0&amp;sourceID=14","0")</f>
        <v>0</v>
      </c>
    </row>
    <row r="3511" spans="1:7">
      <c r="A3511" s="3">
        <v>10</v>
      </c>
      <c r="B3511" s="3">
        <v>5</v>
      </c>
      <c r="C3511" s="3">
        <v>121</v>
      </c>
      <c r="D3511" s="3">
        <v>68</v>
      </c>
      <c r="E3511" s="3">
        <v>-1033.551</v>
      </c>
      <c r="F3511" s="4" t="str">
        <f>HYPERLINK("http://141.218.60.56/~jnz1568/getInfo.php?workbook=10_05.xlsx&amp;sheet=A0&amp;row=3511&amp;col=6&amp;number=527&amp;sourceID=14","527")</f>
        <v>527</v>
      </c>
      <c r="G3511" s="4" t="str">
        <f>HYPERLINK("http://141.218.60.56/~jnz1568/getInfo.php?workbook=10_05.xlsx&amp;sheet=A0&amp;row=3511&amp;col=7&amp;number=0&amp;sourceID=14","0")</f>
        <v>0</v>
      </c>
    </row>
    <row r="3512" spans="1:7">
      <c r="A3512" s="3">
        <v>10</v>
      </c>
      <c r="B3512" s="3">
        <v>5</v>
      </c>
      <c r="C3512" s="3">
        <v>122</v>
      </c>
      <c r="D3512" s="3">
        <v>68</v>
      </c>
      <c r="E3512" s="3">
        <v>-1029.614</v>
      </c>
      <c r="F3512" s="4" t="str">
        <f>HYPERLINK("http://141.218.60.56/~jnz1568/getInfo.php?workbook=10_05.xlsx&amp;sheet=A0&amp;row=3512&amp;col=6&amp;number=12600&amp;sourceID=14","12600")</f>
        <v>12600</v>
      </c>
      <c r="G3512" s="4" t="str">
        <f>HYPERLINK("http://141.218.60.56/~jnz1568/getInfo.php?workbook=10_05.xlsx&amp;sheet=A0&amp;row=3512&amp;col=7&amp;number=0&amp;sourceID=14","0")</f>
        <v>0</v>
      </c>
    </row>
    <row r="3513" spans="1:7">
      <c r="A3513" s="3">
        <v>10</v>
      </c>
      <c r="B3513" s="3">
        <v>5</v>
      </c>
      <c r="C3513" s="3">
        <v>123</v>
      </c>
      <c r="D3513" s="3">
        <v>68</v>
      </c>
      <c r="E3513" s="3">
        <v>-1026.506</v>
      </c>
      <c r="F3513" s="4" t="str">
        <f>HYPERLINK("http://141.218.60.56/~jnz1568/getInfo.php?workbook=10_05.xlsx&amp;sheet=A0&amp;row=3513&amp;col=6&amp;number=150&amp;sourceID=14","150")</f>
        <v>150</v>
      </c>
      <c r="G3513" s="4" t="str">
        <f>HYPERLINK("http://141.218.60.56/~jnz1568/getInfo.php?workbook=10_05.xlsx&amp;sheet=A0&amp;row=3513&amp;col=7&amp;number=0&amp;sourceID=14","0")</f>
        <v>0</v>
      </c>
    </row>
    <row r="3514" spans="1:7">
      <c r="A3514" s="3">
        <v>10</v>
      </c>
      <c r="B3514" s="3">
        <v>5</v>
      </c>
      <c r="C3514" s="3">
        <v>124</v>
      </c>
      <c r="D3514" s="3">
        <v>68</v>
      </c>
      <c r="E3514" s="3">
        <v>-1023.931</v>
      </c>
      <c r="F3514" s="4" t="str">
        <f>HYPERLINK("http://141.218.60.56/~jnz1568/getInfo.php?workbook=10_05.xlsx&amp;sheet=A0&amp;row=3514&amp;col=6&amp;number=2720&amp;sourceID=14","2720")</f>
        <v>2720</v>
      </c>
      <c r="G3514" s="4" t="str">
        <f>HYPERLINK("http://141.218.60.56/~jnz1568/getInfo.php?workbook=10_05.xlsx&amp;sheet=A0&amp;row=3514&amp;col=7&amp;number=0&amp;sourceID=14","0")</f>
        <v>0</v>
      </c>
    </row>
    <row r="3515" spans="1:7">
      <c r="A3515" s="3">
        <v>10</v>
      </c>
      <c r="B3515" s="3">
        <v>5</v>
      </c>
      <c r="C3515" s="3">
        <v>126</v>
      </c>
      <c r="D3515" s="3">
        <v>68</v>
      </c>
      <c r="E3515" s="3">
        <v>-1011.871</v>
      </c>
      <c r="F3515" s="4" t="str">
        <f>HYPERLINK("http://141.218.60.56/~jnz1568/getInfo.php?workbook=10_05.xlsx&amp;sheet=A0&amp;row=3515&amp;col=6&amp;number=8600&amp;sourceID=14","8600")</f>
        <v>8600</v>
      </c>
      <c r="G3515" s="4" t="str">
        <f>HYPERLINK("http://141.218.60.56/~jnz1568/getInfo.php?workbook=10_05.xlsx&amp;sheet=A0&amp;row=3515&amp;col=7&amp;number=0&amp;sourceID=14","0")</f>
        <v>0</v>
      </c>
    </row>
    <row r="3516" spans="1:7">
      <c r="A3516" s="3">
        <v>10</v>
      </c>
      <c r="B3516" s="3">
        <v>5</v>
      </c>
      <c r="C3516" s="3">
        <v>129</v>
      </c>
      <c r="D3516" s="3">
        <v>68</v>
      </c>
      <c r="E3516" s="3">
        <v>983.866</v>
      </c>
      <c r="F3516" s="4" t="str">
        <f>HYPERLINK("http://141.218.60.56/~jnz1568/getInfo.php?workbook=10_05.xlsx&amp;sheet=A0&amp;row=3516&amp;col=6&amp;number=1050000&amp;sourceID=14","1050000")</f>
        <v>1050000</v>
      </c>
      <c r="G3516" s="4" t="str">
        <f>HYPERLINK("http://141.218.60.56/~jnz1568/getInfo.php?workbook=10_05.xlsx&amp;sheet=A0&amp;row=3516&amp;col=7&amp;number=0&amp;sourceID=14","0")</f>
        <v>0</v>
      </c>
    </row>
    <row r="3517" spans="1:7">
      <c r="A3517" s="3">
        <v>10</v>
      </c>
      <c r="B3517" s="3">
        <v>5</v>
      </c>
      <c r="C3517" s="3">
        <v>130</v>
      </c>
      <c r="D3517" s="3">
        <v>68</v>
      </c>
      <c r="E3517" s="3">
        <v>983.866</v>
      </c>
      <c r="F3517" s="4" t="str">
        <f>HYPERLINK("http://141.218.60.56/~jnz1568/getInfo.php?workbook=10_05.xlsx&amp;sheet=A0&amp;row=3517&amp;col=6&amp;number=8300&amp;sourceID=14","8300")</f>
        <v>8300</v>
      </c>
      <c r="G3517" s="4" t="str">
        <f>HYPERLINK("http://141.218.60.56/~jnz1568/getInfo.php?workbook=10_05.xlsx&amp;sheet=A0&amp;row=3517&amp;col=7&amp;number=0&amp;sourceID=14","0")</f>
        <v>0</v>
      </c>
    </row>
    <row r="3518" spans="1:7">
      <c r="A3518" s="3">
        <v>10</v>
      </c>
      <c r="B3518" s="3">
        <v>5</v>
      </c>
      <c r="C3518" s="3">
        <v>132</v>
      </c>
      <c r="D3518" s="3">
        <v>68</v>
      </c>
      <c r="E3518" s="3">
        <v>-977.223</v>
      </c>
      <c r="F3518" s="4" t="str">
        <f>HYPERLINK("http://141.218.60.56/~jnz1568/getInfo.php?workbook=10_05.xlsx&amp;sheet=A0&amp;row=3518&amp;col=6&amp;number=911&amp;sourceID=14","911")</f>
        <v>911</v>
      </c>
      <c r="G3518" s="4" t="str">
        <f>HYPERLINK("http://141.218.60.56/~jnz1568/getInfo.php?workbook=10_05.xlsx&amp;sheet=A0&amp;row=3518&amp;col=7&amp;number=0&amp;sourceID=14","0")</f>
        <v>0</v>
      </c>
    </row>
    <row r="3519" spans="1:7">
      <c r="A3519" s="3">
        <v>10</v>
      </c>
      <c r="B3519" s="3">
        <v>5</v>
      </c>
      <c r="C3519" s="3">
        <v>133</v>
      </c>
      <c r="D3519" s="3">
        <v>68</v>
      </c>
      <c r="E3519" s="3">
        <v>-975.24</v>
      </c>
      <c r="F3519" s="4" t="str">
        <f>HYPERLINK("http://141.218.60.56/~jnz1568/getInfo.php?workbook=10_05.xlsx&amp;sheet=A0&amp;row=3519&amp;col=6&amp;number=796&amp;sourceID=14","796")</f>
        <v>796</v>
      </c>
      <c r="G3519" s="4" t="str">
        <f>HYPERLINK("http://141.218.60.56/~jnz1568/getInfo.php?workbook=10_05.xlsx&amp;sheet=A0&amp;row=3519&amp;col=7&amp;number=0&amp;sourceID=14","0")</f>
        <v>0</v>
      </c>
    </row>
    <row r="3520" spans="1:7">
      <c r="A3520" s="3">
        <v>10</v>
      </c>
      <c r="B3520" s="3">
        <v>5</v>
      </c>
      <c r="C3520" s="3">
        <v>138</v>
      </c>
      <c r="D3520" s="3">
        <v>68</v>
      </c>
      <c r="E3520" s="3">
        <v>-946.084</v>
      </c>
      <c r="F3520" s="4" t="str">
        <f>HYPERLINK("http://141.218.60.56/~jnz1568/getInfo.php?workbook=10_05.xlsx&amp;sheet=A0&amp;row=3520&amp;col=6&amp;number=134000000&amp;sourceID=14","134000000")</f>
        <v>134000000</v>
      </c>
      <c r="G3520" s="4" t="str">
        <f>HYPERLINK("http://141.218.60.56/~jnz1568/getInfo.php?workbook=10_05.xlsx&amp;sheet=A0&amp;row=3520&amp;col=7&amp;number=0&amp;sourceID=14","0")</f>
        <v>0</v>
      </c>
    </row>
    <row r="3521" spans="1:7">
      <c r="A3521" s="3">
        <v>10</v>
      </c>
      <c r="B3521" s="3">
        <v>5</v>
      </c>
      <c r="C3521" s="3">
        <v>150</v>
      </c>
      <c r="D3521" s="3">
        <v>68</v>
      </c>
      <c r="E3521" s="3">
        <v>-874.785</v>
      </c>
      <c r="F3521" s="4" t="str">
        <f>HYPERLINK("http://141.218.60.56/~jnz1568/getInfo.php?workbook=10_05.xlsx&amp;sheet=A0&amp;row=3521&amp;col=6&amp;number=36700000&amp;sourceID=14","36700000")</f>
        <v>36700000</v>
      </c>
      <c r="G3521" s="4" t="str">
        <f>HYPERLINK("http://141.218.60.56/~jnz1568/getInfo.php?workbook=10_05.xlsx&amp;sheet=A0&amp;row=3521&amp;col=7&amp;number=0&amp;sourceID=14","0")</f>
        <v>0</v>
      </c>
    </row>
    <row r="3522" spans="1:7">
      <c r="A3522" s="3">
        <v>10</v>
      </c>
      <c r="B3522" s="3">
        <v>5</v>
      </c>
      <c r="C3522" s="3">
        <v>151</v>
      </c>
      <c r="D3522" s="3">
        <v>68</v>
      </c>
      <c r="E3522" s="3">
        <v>-874.617</v>
      </c>
      <c r="F3522" s="4" t="str">
        <f>HYPERLINK("http://141.218.60.56/~jnz1568/getInfo.php?workbook=10_05.xlsx&amp;sheet=A0&amp;row=3522&amp;col=6&amp;number=215000000&amp;sourceID=14","215000000")</f>
        <v>215000000</v>
      </c>
      <c r="G3522" s="4" t="str">
        <f>HYPERLINK("http://141.218.60.56/~jnz1568/getInfo.php?workbook=10_05.xlsx&amp;sheet=A0&amp;row=3522&amp;col=7&amp;number=0&amp;sourceID=14","0")</f>
        <v>0</v>
      </c>
    </row>
    <row r="3523" spans="1:7">
      <c r="A3523" s="3">
        <v>10</v>
      </c>
      <c r="B3523" s="3">
        <v>5</v>
      </c>
      <c r="C3523" s="3">
        <v>154</v>
      </c>
      <c r="D3523" s="3">
        <v>68</v>
      </c>
      <c r="E3523" s="3">
        <v>850.269</v>
      </c>
      <c r="F3523" s="4" t="str">
        <f>HYPERLINK("http://141.218.60.56/~jnz1568/getInfo.php?workbook=10_05.xlsx&amp;sheet=A0&amp;row=3523&amp;col=6&amp;number=18200000&amp;sourceID=14","18200000")</f>
        <v>18200000</v>
      </c>
      <c r="G3523" s="4" t="str">
        <f>HYPERLINK("http://141.218.60.56/~jnz1568/getInfo.php?workbook=10_05.xlsx&amp;sheet=A0&amp;row=3523&amp;col=7&amp;number=0&amp;sourceID=14","0")</f>
        <v>0</v>
      </c>
    </row>
    <row r="3524" spans="1:7">
      <c r="A3524" s="3">
        <v>10</v>
      </c>
      <c r="B3524" s="3">
        <v>5</v>
      </c>
      <c r="C3524" s="3">
        <v>155</v>
      </c>
      <c r="D3524" s="3">
        <v>68</v>
      </c>
      <c r="E3524" s="3">
        <v>850.269</v>
      </c>
      <c r="F3524" s="4" t="str">
        <f>HYPERLINK("http://141.218.60.56/~jnz1568/getInfo.php?workbook=10_05.xlsx&amp;sheet=A0&amp;row=3524&amp;col=6&amp;number=149000000&amp;sourceID=14","149000000")</f>
        <v>149000000</v>
      </c>
      <c r="G3524" s="4" t="str">
        <f>HYPERLINK("http://141.218.60.56/~jnz1568/getInfo.php?workbook=10_05.xlsx&amp;sheet=A0&amp;row=3524&amp;col=7&amp;number=0&amp;sourceID=14","0")</f>
        <v>0</v>
      </c>
    </row>
    <row r="3525" spans="1:7">
      <c r="A3525" s="3">
        <v>10</v>
      </c>
      <c r="B3525" s="3">
        <v>5</v>
      </c>
      <c r="C3525" s="3">
        <v>156</v>
      </c>
      <c r="D3525" s="3">
        <v>68</v>
      </c>
      <c r="E3525" s="3">
        <v>-844.354</v>
      </c>
      <c r="F3525" s="4" t="str">
        <f>HYPERLINK("http://141.218.60.56/~jnz1568/getInfo.php?workbook=10_05.xlsx&amp;sheet=A0&amp;row=3525&amp;col=6&amp;number=34900&amp;sourceID=14","34900")</f>
        <v>34900</v>
      </c>
      <c r="G3525" s="4" t="str">
        <f>HYPERLINK("http://141.218.60.56/~jnz1568/getInfo.php?workbook=10_05.xlsx&amp;sheet=A0&amp;row=3525&amp;col=7&amp;number=0&amp;sourceID=14","0")</f>
        <v>0</v>
      </c>
    </row>
    <row r="3526" spans="1:7">
      <c r="A3526" s="3">
        <v>10</v>
      </c>
      <c r="B3526" s="3">
        <v>5</v>
      </c>
      <c r="C3526" s="3">
        <v>157</v>
      </c>
      <c r="D3526" s="3">
        <v>68</v>
      </c>
      <c r="E3526" s="3">
        <v>-843.079</v>
      </c>
      <c r="F3526" s="4" t="str">
        <f>HYPERLINK("http://141.218.60.56/~jnz1568/getInfo.php?workbook=10_05.xlsx&amp;sheet=A0&amp;row=3526&amp;col=6&amp;number=447000&amp;sourceID=14","447000")</f>
        <v>447000</v>
      </c>
      <c r="G3526" s="4" t="str">
        <f>HYPERLINK("http://141.218.60.56/~jnz1568/getInfo.php?workbook=10_05.xlsx&amp;sheet=A0&amp;row=3526&amp;col=7&amp;number=0&amp;sourceID=14","0")</f>
        <v>0</v>
      </c>
    </row>
    <row r="3527" spans="1:7">
      <c r="A3527" s="3">
        <v>10</v>
      </c>
      <c r="B3527" s="3">
        <v>5</v>
      </c>
      <c r="C3527" s="3">
        <v>162</v>
      </c>
      <c r="D3527" s="3">
        <v>68</v>
      </c>
      <c r="E3527" s="3">
        <v>829.877</v>
      </c>
      <c r="F3527" s="4" t="str">
        <f>HYPERLINK("http://141.218.60.56/~jnz1568/getInfo.php?workbook=10_05.xlsx&amp;sheet=A0&amp;row=3527&amp;col=6&amp;number=494&amp;sourceID=14","494")</f>
        <v>494</v>
      </c>
      <c r="G3527" s="4" t="str">
        <f>HYPERLINK("http://141.218.60.56/~jnz1568/getInfo.php?workbook=10_05.xlsx&amp;sheet=A0&amp;row=3527&amp;col=7&amp;number=0&amp;sourceID=14","0")</f>
        <v>0</v>
      </c>
    </row>
    <row r="3528" spans="1:7">
      <c r="A3528" s="3">
        <v>10</v>
      </c>
      <c r="B3528" s="3">
        <v>5</v>
      </c>
      <c r="C3528" s="3">
        <v>168</v>
      </c>
      <c r="D3528" s="3">
        <v>68</v>
      </c>
      <c r="E3528" s="3">
        <v>-498.222</v>
      </c>
      <c r="F3528" s="4" t="str">
        <f>HYPERLINK("http://141.218.60.56/~jnz1568/getInfo.php?workbook=10_05.xlsx&amp;sheet=A0&amp;row=3528&amp;col=6&amp;number=131000000&amp;sourceID=14","131000000")</f>
        <v>131000000</v>
      </c>
      <c r="G3528" s="4" t="str">
        <f>HYPERLINK("http://141.218.60.56/~jnz1568/getInfo.php?workbook=10_05.xlsx&amp;sheet=A0&amp;row=3528&amp;col=7&amp;number=0&amp;sourceID=14","0")</f>
        <v>0</v>
      </c>
    </row>
    <row r="3529" spans="1:7">
      <c r="A3529" s="3">
        <v>10</v>
      </c>
      <c r="B3529" s="3">
        <v>5</v>
      </c>
      <c r="C3529" s="3">
        <v>169</v>
      </c>
      <c r="D3529" s="3">
        <v>68</v>
      </c>
      <c r="E3529" s="3">
        <v>-498.103</v>
      </c>
      <c r="F3529" s="4" t="str">
        <f>HYPERLINK("http://141.218.60.56/~jnz1568/getInfo.php?workbook=10_05.xlsx&amp;sheet=A0&amp;row=3529&amp;col=6&amp;number=2740000000&amp;sourceID=14","2740000000")</f>
        <v>2740000000</v>
      </c>
      <c r="G3529" s="4" t="str">
        <f>HYPERLINK("http://141.218.60.56/~jnz1568/getInfo.php?workbook=10_05.xlsx&amp;sheet=A0&amp;row=3529&amp;col=7&amp;number=0&amp;sourceID=14","0")</f>
        <v>0</v>
      </c>
    </row>
    <row r="3530" spans="1:7">
      <c r="A3530" s="3">
        <v>10</v>
      </c>
      <c r="B3530" s="3">
        <v>5</v>
      </c>
      <c r="C3530" s="3">
        <v>171</v>
      </c>
      <c r="D3530" s="3">
        <v>68</v>
      </c>
      <c r="E3530" s="3">
        <v>-475.675</v>
      </c>
      <c r="F3530" s="4" t="str">
        <f>HYPERLINK("http://141.218.60.56/~jnz1568/getInfo.php?workbook=10_05.xlsx&amp;sheet=A0&amp;row=3530&amp;col=6&amp;number=6690&amp;sourceID=14","6690")</f>
        <v>6690</v>
      </c>
      <c r="G3530" s="4" t="str">
        <f>HYPERLINK("http://141.218.60.56/~jnz1568/getInfo.php?workbook=10_05.xlsx&amp;sheet=A0&amp;row=3530&amp;col=7&amp;number=0&amp;sourceID=14","0")</f>
        <v>0</v>
      </c>
    </row>
    <row r="3531" spans="1:7">
      <c r="A3531" s="3">
        <v>10</v>
      </c>
      <c r="B3531" s="3">
        <v>5</v>
      </c>
      <c r="C3531" s="3">
        <v>172</v>
      </c>
      <c r="D3531" s="3">
        <v>68</v>
      </c>
      <c r="E3531" s="3">
        <v>-471.303</v>
      </c>
      <c r="F3531" s="4" t="str">
        <f>HYPERLINK("http://141.218.60.56/~jnz1568/getInfo.php?workbook=10_05.xlsx&amp;sheet=A0&amp;row=3531&amp;col=6&amp;number=282000&amp;sourceID=14","282000")</f>
        <v>282000</v>
      </c>
      <c r="G3531" s="4" t="str">
        <f>HYPERLINK("http://141.218.60.56/~jnz1568/getInfo.php?workbook=10_05.xlsx&amp;sheet=A0&amp;row=3531&amp;col=7&amp;number=0&amp;sourceID=14","0")</f>
        <v>0</v>
      </c>
    </row>
    <row r="3532" spans="1:7">
      <c r="A3532" s="3">
        <v>10</v>
      </c>
      <c r="B3532" s="3">
        <v>5</v>
      </c>
      <c r="C3532" s="3">
        <v>173</v>
      </c>
      <c r="D3532" s="3">
        <v>68</v>
      </c>
      <c r="E3532" s="3">
        <v>-471.252</v>
      </c>
      <c r="F3532" s="4" t="str">
        <f>HYPERLINK("http://141.218.60.56/~jnz1568/getInfo.php?workbook=10_05.xlsx&amp;sheet=A0&amp;row=3532&amp;col=6&amp;number=29200&amp;sourceID=14","29200")</f>
        <v>29200</v>
      </c>
      <c r="G3532" s="4" t="str">
        <f>HYPERLINK("http://141.218.60.56/~jnz1568/getInfo.php?workbook=10_05.xlsx&amp;sheet=A0&amp;row=3532&amp;col=7&amp;number=0&amp;sourceID=14","0")</f>
        <v>0</v>
      </c>
    </row>
    <row r="3533" spans="1:7">
      <c r="A3533" s="3">
        <v>10</v>
      </c>
      <c r="B3533" s="3">
        <v>5</v>
      </c>
      <c r="C3533" s="3">
        <v>72</v>
      </c>
      <c r="D3533" s="3">
        <v>69</v>
      </c>
      <c r="E3533" s="3">
        <v>81300.963</v>
      </c>
      <c r="F3533" s="4" t="str">
        <f>HYPERLINK("http://141.218.60.56/~jnz1568/getInfo.php?workbook=10_05.xlsx&amp;sheet=A0&amp;row=3533&amp;col=6&amp;number=0.00399&amp;sourceID=14","0.00399")</f>
        <v>0.00399</v>
      </c>
      <c r="G3533" s="4" t="str">
        <f>HYPERLINK("http://141.218.60.56/~jnz1568/getInfo.php?workbook=10_05.xlsx&amp;sheet=A0&amp;row=3533&amp;col=7&amp;number=0&amp;sourceID=14","0")</f>
        <v>0</v>
      </c>
    </row>
    <row r="3534" spans="1:7">
      <c r="A3534" s="3">
        <v>10</v>
      </c>
      <c r="B3534" s="3">
        <v>5</v>
      </c>
      <c r="C3534" s="3">
        <v>81</v>
      </c>
      <c r="D3534" s="3">
        <v>69</v>
      </c>
      <c r="E3534" s="3">
        <v>2921.419</v>
      </c>
      <c r="F3534" s="4" t="str">
        <f>HYPERLINK("http://141.218.60.56/~jnz1568/getInfo.php?workbook=10_05.xlsx&amp;sheet=A0&amp;row=3534&amp;col=6&amp;number=376000&amp;sourceID=14","376000")</f>
        <v>376000</v>
      </c>
      <c r="G3534" s="4" t="str">
        <f>HYPERLINK("http://141.218.60.56/~jnz1568/getInfo.php?workbook=10_05.xlsx&amp;sheet=A0&amp;row=3534&amp;col=7&amp;number=0&amp;sourceID=14","0")</f>
        <v>0</v>
      </c>
    </row>
    <row r="3535" spans="1:7">
      <c r="A3535" s="3">
        <v>10</v>
      </c>
      <c r="B3535" s="3">
        <v>5</v>
      </c>
      <c r="C3535" s="3">
        <v>100</v>
      </c>
      <c r="D3535" s="3">
        <v>69</v>
      </c>
      <c r="E3535" s="3">
        <v>-1285.184</v>
      </c>
      <c r="F3535" s="4" t="str">
        <f>HYPERLINK("http://141.218.60.56/~jnz1568/getInfo.php?workbook=10_05.xlsx&amp;sheet=A0&amp;row=3535&amp;col=6&amp;number=2020&amp;sourceID=14","2020")</f>
        <v>2020</v>
      </c>
      <c r="G3535" s="4" t="str">
        <f>HYPERLINK("http://141.218.60.56/~jnz1568/getInfo.php?workbook=10_05.xlsx&amp;sheet=A0&amp;row=3535&amp;col=7&amp;number=0&amp;sourceID=14","0")</f>
        <v>0</v>
      </c>
    </row>
    <row r="3536" spans="1:7">
      <c r="A3536" s="3">
        <v>10</v>
      </c>
      <c r="B3536" s="3">
        <v>5</v>
      </c>
      <c r="C3536" s="3">
        <v>102</v>
      </c>
      <c r="D3536" s="3">
        <v>69</v>
      </c>
      <c r="E3536" s="3">
        <v>-1279.004</v>
      </c>
      <c r="F3536" s="4" t="str">
        <f>HYPERLINK("http://141.218.60.56/~jnz1568/getInfo.php?workbook=10_05.xlsx&amp;sheet=A0&amp;row=3536&amp;col=6&amp;number=2020&amp;sourceID=14","2020")</f>
        <v>2020</v>
      </c>
      <c r="G3536" s="4" t="str">
        <f>HYPERLINK("http://141.218.60.56/~jnz1568/getInfo.php?workbook=10_05.xlsx&amp;sheet=A0&amp;row=3536&amp;col=7&amp;number=0&amp;sourceID=14","0")</f>
        <v>0</v>
      </c>
    </row>
    <row r="3537" spans="1:7">
      <c r="A3537" s="3">
        <v>10</v>
      </c>
      <c r="B3537" s="3">
        <v>5</v>
      </c>
      <c r="C3537" s="3">
        <v>104</v>
      </c>
      <c r="D3537" s="3">
        <v>69</v>
      </c>
      <c r="E3537" s="3">
        <v>-1270.925</v>
      </c>
      <c r="F3537" s="4" t="str">
        <f>HYPERLINK("http://141.218.60.56/~jnz1568/getInfo.php?workbook=10_05.xlsx&amp;sheet=A0&amp;row=3537&amp;col=6&amp;number=119&amp;sourceID=14","119")</f>
        <v>119</v>
      </c>
      <c r="G3537" s="4" t="str">
        <f>HYPERLINK("http://141.218.60.56/~jnz1568/getInfo.php?workbook=10_05.xlsx&amp;sheet=A0&amp;row=3537&amp;col=7&amp;number=0&amp;sourceID=14","0")</f>
        <v>0</v>
      </c>
    </row>
    <row r="3538" spans="1:7">
      <c r="A3538" s="3">
        <v>10</v>
      </c>
      <c r="B3538" s="3">
        <v>5</v>
      </c>
      <c r="C3538" s="3">
        <v>107</v>
      </c>
      <c r="D3538" s="3">
        <v>69</v>
      </c>
      <c r="E3538" s="3">
        <v>-1191.485</v>
      </c>
      <c r="F3538" s="4" t="str">
        <f>HYPERLINK("http://141.218.60.56/~jnz1568/getInfo.php?workbook=10_05.xlsx&amp;sheet=A0&amp;row=3538&amp;col=6&amp;number=340&amp;sourceID=14","340")</f>
        <v>340</v>
      </c>
      <c r="G3538" s="4" t="str">
        <f>HYPERLINK("http://141.218.60.56/~jnz1568/getInfo.php?workbook=10_05.xlsx&amp;sheet=A0&amp;row=3538&amp;col=7&amp;number=0&amp;sourceID=14","0")</f>
        <v>0</v>
      </c>
    </row>
    <row r="3539" spans="1:7">
      <c r="A3539" s="3">
        <v>10</v>
      </c>
      <c r="B3539" s="3">
        <v>5</v>
      </c>
      <c r="C3539" s="3">
        <v>108</v>
      </c>
      <c r="D3539" s="3">
        <v>69</v>
      </c>
      <c r="E3539" s="3">
        <v>-1187.397</v>
      </c>
      <c r="F3539" s="4" t="str">
        <f>HYPERLINK("http://141.218.60.56/~jnz1568/getInfo.php?workbook=10_05.xlsx&amp;sheet=A0&amp;row=3539&amp;col=6&amp;number=164000&amp;sourceID=14","164000")</f>
        <v>164000</v>
      </c>
      <c r="G3539" s="4" t="str">
        <f>HYPERLINK("http://141.218.60.56/~jnz1568/getInfo.php?workbook=10_05.xlsx&amp;sheet=A0&amp;row=3539&amp;col=7&amp;number=0&amp;sourceID=14","0")</f>
        <v>0</v>
      </c>
    </row>
    <row r="3540" spans="1:7">
      <c r="A3540" s="3">
        <v>10</v>
      </c>
      <c r="B3540" s="3">
        <v>5</v>
      </c>
      <c r="C3540" s="3">
        <v>115</v>
      </c>
      <c r="D3540" s="3">
        <v>69</v>
      </c>
      <c r="E3540" s="3">
        <v>-1085.625</v>
      </c>
      <c r="F3540" s="4" t="str">
        <f>HYPERLINK("http://141.218.60.56/~jnz1568/getInfo.php?workbook=10_05.xlsx&amp;sheet=A0&amp;row=3540&amp;col=6&amp;number=2140000&amp;sourceID=14","2140000")</f>
        <v>2140000</v>
      </c>
      <c r="G3540" s="4" t="str">
        <f>HYPERLINK("http://141.218.60.56/~jnz1568/getInfo.php?workbook=10_05.xlsx&amp;sheet=A0&amp;row=3540&amp;col=7&amp;number=0&amp;sourceID=14","0")</f>
        <v>0</v>
      </c>
    </row>
    <row r="3541" spans="1:7">
      <c r="A3541" s="3">
        <v>10</v>
      </c>
      <c r="B3541" s="3">
        <v>5</v>
      </c>
      <c r="C3541" s="3">
        <v>116</v>
      </c>
      <c r="D3541" s="3">
        <v>69</v>
      </c>
      <c r="E3541" s="3">
        <v>-1075.236</v>
      </c>
      <c r="F3541" s="4" t="str">
        <f>HYPERLINK("http://141.218.60.56/~jnz1568/getInfo.php?workbook=10_05.xlsx&amp;sheet=A0&amp;row=3541&amp;col=6&amp;number=47600000&amp;sourceID=14","47600000")</f>
        <v>47600000</v>
      </c>
      <c r="G3541" s="4" t="str">
        <f>HYPERLINK("http://141.218.60.56/~jnz1568/getInfo.php?workbook=10_05.xlsx&amp;sheet=A0&amp;row=3541&amp;col=7&amp;number=0&amp;sourceID=14","0")</f>
        <v>0</v>
      </c>
    </row>
    <row r="3542" spans="1:7">
      <c r="A3542" s="3">
        <v>10</v>
      </c>
      <c r="B3542" s="3">
        <v>5</v>
      </c>
      <c r="C3542" s="3">
        <v>117</v>
      </c>
      <c r="D3542" s="3">
        <v>69</v>
      </c>
      <c r="E3542" s="3">
        <v>-1072.653</v>
      </c>
      <c r="F3542" s="4" t="str">
        <f>HYPERLINK("http://141.218.60.56/~jnz1568/getInfo.php?workbook=10_05.xlsx&amp;sheet=A0&amp;row=3542&amp;col=6&amp;number=1490&amp;sourceID=14","1490")</f>
        <v>1490</v>
      </c>
      <c r="G3542" s="4" t="str">
        <f>HYPERLINK("http://141.218.60.56/~jnz1568/getInfo.php?workbook=10_05.xlsx&amp;sheet=A0&amp;row=3542&amp;col=7&amp;number=0&amp;sourceID=14","0")</f>
        <v>0</v>
      </c>
    </row>
    <row r="3543" spans="1:7">
      <c r="A3543" s="3">
        <v>10</v>
      </c>
      <c r="B3543" s="3">
        <v>5</v>
      </c>
      <c r="C3543" s="3">
        <v>122</v>
      </c>
      <c r="D3543" s="3">
        <v>69</v>
      </c>
      <c r="E3543" s="3">
        <v>-1029.73</v>
      </c>
      <c r="F3543" s="4" t="str">
        <f>HYPERLINK("http://141.218.60.56/~jnz1568/getInfo.php?workbook=10_05.xlsx&amp;sheet=A0&amp;row=3543&amp;col=6&amp;number=103&amp;sourceID=14","103")</f>
        <v>103</v>
      </c>
      <c r="G3543" s="4" t="str">
        <f>HYPERLINK("http://141.218.60.56/~jnz1568/getInfo.php?workbook=10_05.xlsx&amp;sheet=A0&amp;row=3543&amp;col=7&amp;number=0&amp;sourceID=14","0")</f>
        <v>0</v>
      </c>
    </row>
    <row r="3544" spans="1:7">
      <c r="A3544" s="3">
        <v>10</v>
      </c>
      <c r="B3544" s="3">
        <v>5</v>
      </c>
      <c r="C3544" s="3">
        <v>124</v>
      </c>
      <c r="D3544" s="3">
        <v>69</v>
      </c>
      <c r="E3544" s="3">
        <v>-1024.046</v>
      </c>
      <c r="F3544" s="4" t="str">
        <f>HYPERLINK("http://141.218.60.56/~jnz1568/getInfo.php?workbook=10_05.xlsx&amp;sheet=A0&amp;row=3544&amp;col=6&amp;number=62800&amp;sourceID=14","62800")</f>
        <v>62800</v>
      </c>
      <c r="G3544" s="4" t="str">
        <f>HYPERLINK("http://141.218.60.56/~jnz1568/getInfo.php?workbook=10_05.xlsx&amp;sheet=A0&amp;row=3544&amp;col=7&amp;number=0&amp;sourceID=14","0")</f>
        <v>0</v>
      </c>
    </row>
    <row r="3545" spans="1:7">
      <c r="A3545" s="3">
        <v>10</v>
      </c>
      <c r="B3545" s="3">
        <v>5</v>
      </c>
      <c r="C3545" s="3">
        <v>130</v>
      </c>
      <c r="D3545" s="3">
        <v>69</v>
      </c>
      <c r="E3545" s="3">
        <v>983.866</v>
      </c>
      <c r="F3545" s="4" t="str">
        <f>HYPERLINK("http://141.218.60.56/~jnz1568/getInfo.php?workbook=10_05.xlsx&amp;sheet=A0&amp;row=3545&amp;col=6&amp;number=858000&amp;sourceID=14","858000")</f>
        <v>858000</v>
      </c>
      <c r="G3545" s="4" t="str">
        <f>HYPERLINK("http://141.218.60.56/~jnz1568/getInfo.php?workbook=10_05.xlsx&amp;sheet=A0&amp;row=3545&amp;col=7&amp;number=0&amp;sourceID=14","0")</f>
        <v>0</v>
      </c>
    </row>
    <row r="3546" spans="1:7">
      <c r="A3546" s="3">
        <v>10</v>
      </c>
      <c r="B3546" s="3">
        <v>5</v>
      </c>
      <c r="C3546" s="3">
        <v>133</v>
      </c>
      <c r="D3546" s="3">
        <v>69</v>
      </c>
      <c r="E3546" s="3">
        <v>-975.345</v>
      </c>
      <c r="F3546" s="4" t="str">
        <f>HYPERLINK("http://141.218.60.56/~jnz1568/getInfo.php?workbook=10_05.xlsx&amp;sheet=A0&amp;row=3546&amp;col=6&amp;number=159000&amp;sourceID=14","159000")</f>
        <v>159000</v>
      </c>
      <c r="G3546" s="4" t="str">
        <f>HYPERLINK("http://141.218.60.56/~jnz1568/getInfo.php?workbook=10_05.xlsx&amp;sheet=A0&amp;row=3546&amp;col=7&amp;number=0&amp;sourceID=14","0")</f>
        <v>0</v>
      </c>
    </row>
    <row r="3547" spans="1:7">
      <c r="A3547" s="3">
        <v>10</v>
      </c>
      <c r="B3547" s="3">
        <v>5</v>
      </c>
      <c r="C3547" s="3">
        <v>138</v>
      </c>
      <c r="D3547" s="3">
        <v>69</v>
      </c>
      <c r="E3547" s="3">
        <v>-946.183</v>
      </c>
      <c r="F3547" s="4" t="str">
        <f>HYPERLINK("http://141.218.60.56/~jnz1568/getInfo.php?workbook=10_05.xlsx&amp;sheet=A0&amp;row=3547&amp;col=6&amp;number=8530000&amp;sourceID=14","8530000")</f>
        <v>8530000</v>
      </c>
      <c r="G3547" s="4" t="str">
        <f>HYPERLINK("http://141.218.60.56/~jnz1568/getInfo.php?workbook=10_05.xlsx&amp;sheet=A0&amp;row=3547&amp;col=7&amp;number=0&amp;sourceID=14","0")</f>
        <v>0</v>
      </c>
    </row>
    <row r="3548" spans="1:7">
      <c r="A3548" s="3">
        <v>10</v>
      </c>
      <c r="B3548" s="3">
        <v>5</v>
      </c>
      <c r="C3548" s="3">
        <v>139</v>
      </c>
      <c r="D3548" s="3">
        <v>69</v>
      </c>
      <c r="E3548" s="3">
        <v>-945.101</v>
      </c>
      <c r="F3548" s="4" t="str">
        <f>HYPERLINK("http://141.218.60.56/~jnz1568/getInfo.php?workbook=10_05.xlsx&amp;sheet=A0&amp;row=3548&amp;col=6&amp;number=144000000&amp;sourceID=14","144000000")</f>
        <v>144000000</v>
      </c>
      <c r="G3548" s="4" t="str">
        <f>HYPERLINK("http://141.218.60.56/~jnz1568/getInfo.php?workbook=10_05.xlsx&amp;sheet=A0&amp;row=3548&amp;col=7&amp;number=0&amp;sourceID=14","0")</f>
        <v>0</v>
      </c>
    </row>
    <row r="3549" spans="1:7">
      <c r="A3549" s="3">
        <v>10</v>
      </c>
      <c r="B3549" s="3">
        <v>5</v>
      </c>
      <c r="C3549" s="3">
        <v>151</v>
      </c>
      <c r="D3549" s="3">
        <v>69</v>
      </c>
      <c r="E3549" s="3">
        <v>-874.701</v>
      </c>
      <c r="F3549" s="4" t="str">
        <f>HYPERLINK("http://141.218.60.56/~jnz1568/getInfo.php?workbook=10_05.xlsx&amp;sheet=A0&amp;row=3549&amp;col=6&amp;number=867000&amp;sourceID=14","867000")</f>
        <v>867000</v>
      </c>
      <c r="G3549" s="4" t="str">
        <f>HYPERLINK("http://141.218.60.56/~jnz1568/getInfo.php?workbook=10_05.xlsx&amp;sheet=A0&amp;row=3549&amp;col=7&amp;number=0&amp;sourceID=14","0")</f>
        <v>0</v>
      </c>
    </row>
    <row r="3550" spans="1:7">
      <c r="A3550" s="3">
        <v>10</v>
      </c>
      <c r="B3550" s="3">
        <v>5</v>
      </c>
      <c r="C3550" s="3">
        <v>154</v>
      </c>
      <c r="D3550" s="3">
        <v>69</v>
      </c>
      <c r="E3550" s="3">
        <v>850.269</v>
      </c>
      <c r="F3550" s="4" t="str">
        <f>HYPERLINK("http://141.218.60.56/~jnz1568/getInfo.php?workbook=10_05.xlsx&amp;sheet=A0&amp;row=3550&amp;col=6&amp;number=378000000&amp;sourceID=14","378000000")</f>
        <v>378000000</v>
      </c>
      <c r="G3550" s="4" t="str">
        <f>HYPERLINK("http://141.218.60.56/~jnz1568/getInfo.php?workbook=10_05.xlsx&amp;sheet=A0&amp;row=3550&amp;col=7&amp;number=0&amp;sourceID=14","0")</f>
        <v>0</v>
      </c>
    </row>
    <row r="3551" spans="1:7">
      <c r="A3551" s="3">
        <v>10</v>
      </c>
      <c r="B3551" s="3">
        <v>5</v>
      </c>
      <c r="C3551" s="3">
        <v>155</v>
      </c>
      <c r="D3551" s="3">
        <v>69</v>
      </c>
      <c r="E3551" s="3">
        <v>850.269</v>
      </c>
      <c r="F3551" s="4" t="str">
        <f>HYPERLINK("http://141.218.60.56/~jnz1568/getInfo.php?workbook=10_05.xlsx&amp;sheet=A0&amp;row=3551&amp;col=6&amp;number=57300000&amp;sourceID=14","57300000")</f>
        <v>57300000</v>
      </c>
      <c r="G3551" s="4" t="str">
        <f>HYPERLINK("http://141.218.60.56/~jnz1568/getInfo.php?workbook=10_05.xlsx&amp;sheet=A0&amp;row=3551&amp;col=7&amp;number=0&amp;sourceID=14","0")</f>
        <v>0</v>
      </c>
    </row>
    <row r="3552" spans="1:7">
      <c r="A3552" s="3">
        <v>10</v>
      </c>
      <c r="B3552" s="3">
        <v>5</v>
      </c>
      <c r="C3552" s="3">
        <v>157</v>
      </c>
      <c r="D3552" s="3">
        <v>69</v>
      </c>
      <c r="E3552" s="3">
        <v>-843.158</v>
      </c>
      <c r="F3552" s="4" t="str">
        <f>HYPERLINK("http://141.218.60.56/~jnz1568/getInfo.php?workbook=10_05.xlsx&amp;sheet=A0&amp;row=3552&amp;col=6&amp;number=379000&amp;sourceID=14","379000")</f>
        <v>379000</v>
      </c>
      <c r="G3552" s="4" t="str">
        <f>HYPERLINK("http://141.218.60.56/~jnz1568/getInfo.php?workbook=10_05.xlsx&amp;sheet=A0&amp;row=3552&amp;col=7&amp;number=0&amp;sourceID=14","0")</f>
        <v>0</v>
      </c>
    </row>
    <row r="3553" spans="1:7">
      <c r="A3553" s="3">
        <v>10</v>
      </c>
      <c r="B3553" s="3">
        <v>5</v>
      </c>
      <c r="C3553" s="3">
        <v>168</v>
      </c>
      <c r="D3553" s="3">
        <v>69</v>
      </c>
      <c r="E3553" s="3">
        <v>-498.25</v>
      </c>
      <c r="F3553" s="4" t="str">
        <f>HYPERLINK("http://141.218.60.56/~jnz1568/getInfo.php?workbook=10_05.xlsx&amp;sheet=A0&amp;row=3553&amp;col=6&amp;number=2600000000&amp;sourceID=14","2600000000")</f>
        <v>2600000000</v>
      </c>
      <c r="G3553" s="4" t="str">
        <f>HYPERLINK("http://141.218.60.56/~jnz1568/getInfo.php?workbook=10_05.xlsx&amp;sheet=A0&amp;row=3553&amp;col=7&amp;number=0&amp;sourceID=14","0")</f>
        <v>0</v>
      </c>
    </row>
    <row r="3554" spans="1:7">
      <c r="A3554" s="3">
        <v>10</v>
      </c>
      <c r="B3554" s="3">
        <v>5</v>
      </c>
      <c r="C3554" s="3">
        <v>173</v>
      </c>
      <c r="D3554" s="3">
        <v>69</v>
      </c>
      <c r="E3554" s="3">
        <v>-471.277</v>
      </c>
      <c r="F3554" s="4" t="str">
        <f>HYPERLINK("http://141.218.60.56/~jnz1568/getInfo.php?workbook=10_05.xlsx&amp;sheet=A0&amp;row=3554&amp;col=6&amp;number=698000&amp;sourceID=14","698000")</f>
        <v>698000</v>
      </c>
      <c r="G3554" s="4" t="str">
        <f>HYPERLINK("http://141.218.60.56/~jnz1568/getInfo.php?workbook=10_05.xlsx&amp;sheet=A0&amp;row=3554&amp;col=7&amp;number=0&amp;sourceID=14","0")</f>
        <v>0</v>
      </c>
    </row>
    <row r="3555" spans="1:7">
      <c r="A3555" s="3">
        <v>10</v>
      </c>
      <c r="B3555" s="3">
        <v>5</v>
      </c>
      <c r="C3555" s="3">
        <v>73</v>
      </c>
      <c r="D3555" s="3">
        <v>70</v>
      </c>
      <c r="E3555" s="3">
        <v>14534.91</v>
      </c>
      <c r="F3555" s="4" t="str">
        <f>HYPERLINK("http://141.218.60.56/~jnz1568/getInfo.php?workbook=10_05.xlsx&amp;sheet=A0&amp;row=3555&amp;col=6&amp;number=14.9&amp;sourceID=14","14.9")</f>
        <v>14.9</v>
      </c>
      <c r="G3555" s="4" t="str">
        <f>HYPERLINK("http://141.218.60.56/~jnz1568/getInfo.php?workbook=10_05.xlsx&amp;sheet=A0&amp;row=3555&amp;col=7&amp;number=0&amp;sourceID=14","0")</f>
        <v>0</v>
      </c>
    </row>
    <row r="3556" spans="1:7">
      <c r="A3556" s="3">
        <v>10</v>
      </c>
      <c r="B3556" s="3">
        <v>5</v>
      </c>
      <c r="C3556" s="3">
        <v>75</v>
      </c>
      <c r="D3556" s="3">
        <v>70</v>
      </c>
      <c r="E3556" s="3">
        <v>10989.031</v>
      </c>
      <c r="F3556" s="4" t="str">
        <f>HYPERLINK("http://141.218.60.56/~jnz1568/getInfo.php?workbook=10_05.xlsx&amp;sheet=A0&amp;row=3556&amp;col=6&amp;number=63.2&amp;sourceID=14","63.2")</f>
        <v>63.2</v>
      </c>
      <c r="G3556" s="4" t="str">
        <f>HYPERLINK("http://141.218.60.56/~jnz1568/getInfo.php?workbook=10_05.xlsx&amp;sheet=A0&amp;row=3556&amp;col=7&amp;number=0&amp;sourceID=14","0")</f>
        <v>0</v>
      </c>
    </row>
    <row r="3557" spans="1:7">
      <c r="A3557" s="3">
        <v>10</v>
      </c>
      <c r="B3557" s="3">
        <v>5</v>
      </c>
      <c r="C3557" s="3">
        <v>76</v>
      </c>
      <c r="D3557" s="3">
        <v>70</v>
      </c>
      <c r="E3557" s="3">
        <v>10989.031</v>
      </c>
      <c r="F3557" s="4" t="str">
        <f>HYPERLINK("http://141.218.60.56/~jnz1568/getInfo.php?workbook=10_05.xlsx&amp;sheet=A0&amp;row=3557&amp;col=6&amp;number=0.546&amp;sourceID=14","0.546")</f>
        <v>0.546</v>
      </c>
      <c r="G3557" s="4" t="str">
        <f>HYPERLINK("http://141.218.60.56/~jnz1568/getInfo.php?workbook=10_05.xlsx&amp;sheet=A0&amp;row=3557&amp;col=7&amp;number=0&amp;sourceID=14","0")</f>
        <v>0</v>
      </c>
    </row>
    <row r="3558" spans="1:7">
      <c r="A3558" s="3">
        <v>10</v>
      </c>
      <c r="B3558" s="3">
        <v>5</v>
      </c>
      <c r="C3558" s="3">
        <v>79</v>
      </c>
      <c r="D3558" s="3">
        <v>70</v>
      </c>
      <c r="E3558" s="3">
        <v>-3078.539</v>
      </c>
      <c r="F3558" s="4" t="str">
        <f>HYPERLINK("http://141.218.60.56/~jnz1568/getInfo.php?workbook=10_05.xlsx&amp;sheet=A0&amp;row=3558&amp;col=6&amp;number=27100&amp;sourceID=14","27100")</f>
        <v>27100</v>
      </c>
      <c r="G3558" s="4" t="str">
        <f>HYPERLINK("http://141.218.60.56/~jnz1568/getInfo.php?workbook=10_05.xlsx&amp;sheet=A0&amp;row=3558&amp;col=7&amp;number=0&amp;sourceID=14","0")</f>
        <v>0</v>
      </c>
    </row>
    <row r="3559" spans="1:7">
      <c r="A3559" s="3">
        <v>10</v>
      </c>
      <c r="B3559" s="3">
        <v>5</v>
      </c>
      <c r="C3559" s="3">
        <v>82</v>
      </c>
      <c r="D3559" s="3">
        <v>70</v>
      </c>
      <c r="E3559" s="3">
        <v>2575.996</v>
      </c>
      <c r="F3559" s="4" t="str">
        <f>HYPERLINK("http://141.218.60.56/~jnz1568/getInfo.php?workbook=10_05.xlsx&amp;sheet=A0&amp;row=3559&amp;col=6&amp;number=115000000&amp;sourceID=14","115000000")</f>
        <v>115000000</v>
      </c>
      <c r="G3559" s="4" t="str">
        <f>HYPERLINK("http://141.218.60.56/~jnz1568/getInfo.php?workbook=10_05.xlsx&amp;sheet=A0&amp;row=3559&amp;col=7&amp;number=0&amp;sourceID=14","0")</f>
        <v>0</v>
      </c>
    </row>
    <row r="3560" spans="1:7">
      <c r="A3560" s="3">
        <v>10</v>
      </c>
      <c r="B3560" s="3">
        <v>5</v>
      </c>
      <c r="C3560" s="3">
        <v>83</v>
      </c>
      <c r="D3560" s="3">
        <v>70</v>
      </c>
      <c r="E3560" s="3">
        <v>2575.996</v>
      </c>
      <c r="F3560" s="4" t="str">
        <f>HYPERLINK("http://141.218.60.56/~jnz1568/getInfo.php?workbook=10_05.xlsx&amp;sheet=A0&amp;row=3560&amp;col=6&amp;number=62400000&amp;sourceID=14","62400000")</f>
        <v>62400000</v>
      </c>
      <c r="G3560" s="4" t="str">
        <f>HYPERLINK("http://141.218.60.56/~jnz1568/getInfo.php?workbook=10_05.xlsx&amp;sheet=A0&amp;row=3560&amp;col=7&amp;number=0&amp;sourceID=14","0")</f>
        <v>0</v>
      </c>
    </row>
    <row r="3561" spans="1:7">
      <c r="A3561" s="3">
        <v>10</v>
      </c>
      <c r="B3561" s="3">
        <v>5</v>
      </c>
      <c r="C3561" s="3">
        <v>88</v>
      </c>
      <c r="D3561" s="3">
        <v>70</v>
      </c>
      <c r="E3561" s="3">
        <v>2382.659</v>
      </c>
      <c r="F3561" s="4" t="str">
        <f>HYPERLINK("http://141.218.60.56/~jnz1568/getInfo.php?workbook=10_05.xlsx&amp;sheet=A0&amp;row=3561&amp;col=6&amp;number=26200000&amp;sourceID=14","26200000")</f>
        <v>26200000</v>
      </c>
      <c r="G3561" s="4" t="str">
        <f>HYPERLINK("http://141.218.60.56/~jnz1568/getInfo.php?workbook=10_05.xlsx&amp;sheet=A0&amp;row=3561&amp;col=7&amp;number=0&amp;sourceID=14","0")</f>
        <v>0</v>
      </c>
    </row>
    <row r="3562" spans="1:7">
      <c r="A3562" s="3">
        <v>10</v>
      </c>
      <c r="B3562" s="3">
        <v>5</v>
      </c>
      <c r="C3562" s="3">
        <v>89</v>
      </c>
      <c r="D3562" s="3">
        <v>70</v>
      </c>
      <c r="E3562" s="3">
        <v>2361.837</v>
      </c>
      <c r="F3562" s="4" t="str">
        <f>HYPERLINK("http://141.218.60.56/~jnz1568/getInfo.php?workbook=10_05.xlsx&amp;sheet=A0&amp;row=3562&amp;col=6&amp;number=70600000&amp;sourceID=14","70600000")</f>
        <v>70600000</v>
      </c>
      <c r="G3562" s="4" t="str">
        <f>HYPERLINK("http://141.218.60.56/~jnz1568/getInfo.php?workbook=10_05.xlsx&amp;sheet=A0&amp;row=3562&amp;col=7&amp;number=0&amp;sourceID=14","0")</f>
        <v>0</v>
      </c>
    </row>
    <row r="3563" spans="1:7">
      <c r="A3563" s="3">
        <v>10</v>
      </c>
      <c r="B3563" s="3">
        <v>5</v>
      </c>
      <c r="C3563" s="3">
        <v>91</v>
      </c>
      <c r="D3563" s="3">
        <v>70</v>
      </c>
      <c r="E3563" s="3">
        <v>-1940.922</v>
      </c>
      <c r="F3563" s="4" t="str">
        <f>HYPERLINK("http://141.218.60.56/~jnz1568/getInfo.php?workbook=10_05.xlsx&amp;sheet=A0&amp;row=3563&amp;col=6&amp;number=45100&amp;sourceID=14","45100")</f>
        <v>45100</v>
      </c>
      <c r="G3563" s="4" t="str">
        <f>HYPERLINK("http://141.218.60.56/~jnz1568/getInfo.php?workbook=10_05.xlsx&amp;sheet=A0&amp;row=3563&amp;col=7&amp;number=0&amp;sourceID=14","0")</f>
        <v>0</v>
      </c>
    </row>
    <row r="3564" spans="1:7">
      <c r="A3564" s="3">
        <v>10</v>
      </c>
      <c r="B3564" s="3">
        <v>5</v>
      </c>
      <c r="C3564" s="3">
        <v>93</v>
      </c>
      <c r="D3564" s="3">
        <v>70</v>
      </c>
      <c r="E3564" s="3">
        <v>-1663.509</v>
      </c>
      <c r="F3564" s="4" t="str">
        <f>HYPERLINK("http://141.218.60.56/~jnz1568/getInfo.php?workbook=10_05.xlsx&amp;sheet=A0&amp;row=3564&amp;col=6&amp;number=49800&amp;sourceID=14","49800")</f>
        <v>49800</v>
      </c>
      <c r="G3564" s="4" t="str">
        <f>HYPERLINK("http://141.218.60.56/~jnz1568/getInfo.php?workbook=10_05.xlsx&amp;sheet=A0&amp;row=3564&amp;col=7&amp;number=0&amp;sourceID=14","0")</f>
        <v>0</v>
      </c>
    </row>
    <row r="3565" spans="1:7">
      <c r="A3565" s="3">
        <v>10</v>
      </c>
      <c r="B3565" s="3">
        <v>5</v>
      </c>
      <c r="C3565" s="3">
        <v>94</v>
      </c>
      <c r="D3565" s="3">
        <v>70</v>
      </c>
      <c r="E3565" s="3">
        <v>-1659.258</v>
      </c>
      <c r="F3565" s="4" t="str">
        <f>HYPERLINK("http://141.218.60.56/~jnz1568/getInfo.php?workbook=10_05.xlsx&amp;sheet=A0&amp;row=3565&amp;col=6&amp;number=62900&amp;sourceID=14","62900")</f>
        <v>62900</v>
      </c>
      <c r="G3565" s="4" t="str">
        <f>HYPERLINK("http://141.218.60.56/~jnz1568/getInfo.php?workbook=10_05.xlsx&amp;sheet=A0&amp;row=3565&amp;col=7&amp;number=0&amp;sourceID=14","0")</f>
        <v>0</v>
      </c>
    </row>
    <row r="3566" spans="1:7">
      <c r="A3566" s="3">
        <v>10</v>
      </c>
      <c r="B3566" s="3">
        <v>5</v>
      </c>
      <c r="C3566" s="3">
        <v>95</v>
      </c>
      <c r="D3566" s="3">
        <v>70</v>
      </c>
      <c r="E3566" s="3">
        <v>1671.964</v>
      </c>
      <c r="F3566" s="4" t="str">
        <f>HYPERLINK("http://141.218.60.56/~jnz1568/getInfo.php?workbook=10_05.xlsx&amp;sheet=A0&amp;row=3566&amp;col=6&amp;number=106000000&amp;sourceID=14","106000000")</f>
        <v>106000000</v>
      </c>
      <c r="G3566" s="4" t="str">
        <f>HYPERLINK("http://141.218.60.56/~jnz1568/getInfo.php?workbook=10_05.xlsx&amp;sheet=A0&amp;row=3566&amp;col=7&amp;number=0&amp;sourceID=14","0")</f>
        <v>0</v>
      </c>
    </row>
    <row r="3567" spans="1:7">
      <c r="A3567" s="3">
        <v>10</v>
      </c>
      <c r="B3567" s="3">
        <v>5</v>
      </c>
      <c r="C3567" s="3">
        <v>98</v>
      </c>
      <c r="D3567" s="3">
        <v>70</v>
      </c>
      <c r="E3567" s="3">
        <v>-1299.497</v>
      </c>
      <c r="F3567" s="4" t="str">
        <f>HYPERLINK("http://141.218.60.56/~jnz1568/getInfo.php?workbook=10_05.xlsx&amp;sheet=A0&amp;row=3567&amp;col=6&amp;number=4990000&amp;sourceID=14","4990000")</f>
        <v>4990000</v>
      </c>
      <c r="G3567" s="4" t="str">
        <f>HYPERLINK("http://141.218.60.56/~jnz1568/getInfo.php?workbook=10_05.xlsx&amp;sheet=A0&amp;row=3567&amp;col=7&amp;number=0&amp;sourceID=14","0")</f>
        <v>0</v>
      </c>
    </row>
    <row r="3568" spans="1:7">
      <c r="A3568" s="3">
        <v>10</v>
      </c>
      <c r="B3568" s="3">
        <v>5</v>
      </c>
      <c r="C3568" s="3">
        <v>101</v>
      </c>
      <c r="D3568" s="3">
        <v>70</v>
      </c>
      <c r="E3568" s="3">
        <v>-1292.293</v>
      </c>
      <c r="F3568" s="4" t="str">
        <f>HYPERLINK("http://141.218.60.56/~jnz1568/getInfo.php?workbook=10_05.xlsx&amp;sheet=A0&amp;row=3568&amp;col=6&amp;number=12000000&amp;sourceID=14","12000000")</f>
        <v>12000000</v>
      </c>
      <c r="G3568" s="4" t="str">
        <f>HYPERLINK("http://141.218.60.56/~jnz1568/getInfo.php?workbook=10_05.xlsx&amp;sheet=A0&amp;row=3568&amp;col=7&amp;number=0&amp;sourceID=14","0")</f>
        <v>0</v>
      </c>
    </row>
    <row r="3569" spans="1:7">
      <c r="A3569" s="3">
        <v>10</v>
      </c>
      <c r="B3569" s="3">
        <v>5</v>
      </c>
      <c r="C3569" s="3">
        <v>110</v>
      </c>
      <c r="D3569" s="3">
        <v>70</v>
      </c>
      <c r="E3569" s="3">
        <v>-1184.401</v>
      </c>
      <c r="F3569" s="4" t="str">
        <f>HYPERLINK("http://141.218.60.56/~jnz1568/getInfo.php?workbook=10_05.xlsx&amp;sheet=A0&amp;row=3569&amp;col=6&amp;number=21200&amp;sourceID=14","21200")</f>
        <v>21200</v>
      </c>
      <c r="G3569" s="4" t="str">
        <f>HYPERLINK("http://141.218.60.56/~jnz1568/getInfo.php?workbook=10_05.xlsx&amp;sheet=A0&amp;row=3569&amp;col=7&amp;number=0&amp;sourceID=14","0")</f>
        <v>0</v>
      </c>
    </row>
    <row r="3570" spans="1:7">
      <c r="A3570" s="3">
        <v>10</v>
      </c>
      <c r="B3570" s="3">
        <v>5</v>
      </c>
      <c r="C3570" s="3">
        <v>112</v>
      </c>
      <c r="D3570" s="3">
        <v>70</v>
      </c>
      <c r="E3570" s="3">
        <v>-1175.27</v>
      </c>
      <c r="F3570" s="4" t="str">
        <f>HYPERLINK("http://141.218.60.56/~jnz1568/getInfo.php?workbook=10_05.xlsx&amp;sheet=A0&amp;row=3570&amp;col=6&amp;number=154&amp;sourceID=14","154")</f>
        <v>154</v>
      </c>
      <c r="G3570" s="4" t="str">
        <f>HYPERLINK("http://141.218.60.56/~jnz1568/getInfo.php?workbook=10_05.xlsx&amp;sheet=A0&amp;row=3570&amp;col=7&amp;number=0&amp;sourceID=14","0")</f>
        <v>0</v>
      </c>
    </row>
    <row r="3571" spans="1:7">
      <c r="A3571" s="3">
        <v>10</v>
      </c>
      <c r="B3571" s="3">
        <v>5</v>
      </c>
      <c r="C3571" s="3">
        <v>114</v>
      </c>
      <c r="D3571" s="3">
        <v>70</v>
      </c>
      <c r="E3571" s="3">
        <v>1174.676</v>
      </c>
      <c r="F3571" s="4" t="str">
        <f>HYPERLINK("http://141.218.60.56/~jnz1568/getInfo.php?workbook=10_05.xlsx&amp;sheet=A0&amp;row=3571&amp;col=6&amp;number=27800&amp;sourceID=14","27800")</f>
        <v>27800</v>
      </c>
      <c r="G3571" s="4" t="str">
        <f>HYPERLINK("http://141.218.60.56/~jnz1568/getInfo.php?workbook=10_05.xlsx&amp;sheet=A0&amp;row=3571&amp;col=7&amp;number=0&amp;sourceID=14","0")</f>
        <v>0</v>
      </c>
    </row>
    <row r="3572" spans="1:7">
      <c r="A3572" s="3">
        <v>10</v>
      </c>
      <c r="B3572" s="3">
        <v>5</v>
      </c>
      <c r="C3572" s="3">
        <v>127</v>
      </c>
      <c r="D3572" s="3">
        <v>70</v>
      </c>
      <c r="E3572" s="3">
        <v>-1015.56</v>
      </c>
      <c r="F3572" s="4" t="str">
        <f>HYPERLINK("http://141.218.60.56/~jnz1568/getInfo.php?workbook=10_05.xlsx&amp;sheet=A0&amp;row=3572&amp;col=6&amp;number=156000&amp;sourceID=14","156000")</f>
        <v>156000</v>
      </c>
      <c r="G3572" s="4" t="str">
        <f>HYPERLINK("http://141.218.60.56/~jnz1568/getInfo.php?workbook=10_05.xlsx&amp;sheet=A0&amp;row=3572&amp;col=7&amp;number=0&amp;sourceID=14","0")</f>
        <v>0</v>
      </c>
    </row>
    <row r="3573" spans="1:7">
      <c r="A3573" s="3">
        <v>10</v>
      </c>
      <c r="B3573" s="3">
        <v>5</v>
      </c>
      <c r="C3573" s="3">
        <v>128</v>
      </c>
      <c r="D3573" s="3">
        <v>70</v>
      </c>
      <c r="E3573" s="3">
        <v>-1010.95</v>
      </c>
      <c r="F3573" s="4" t="str">
        <f>HYPERLINK("http://141.218.60.56/~jnz1568/getInfo.php?workbook=10_05.xlsx&amp;sheet=A0&amp;row=3573&amp;col=6&amp;number=81200&amp;sourceID=14","81200")</f>
        <v>81200</v>
      </c>
      <c r="G3573" s="4" t="str">
        <f>HYPERLINK("http://141.218.60.56/~jnz1568/getInfo.php?workbook=10_05.xlsx&amp;sheet=A0&amp;row=3573&amp;col=7&amp;number=0&amp;sourceID=14","0")</f>
        <v>0</v>
      </c>
    </row>
    <row r="3574" spans="1:7">
      <c r="A3574" s="3">
        <v>10</v>
      </c>
      <c r="B3574" s="3">
        <v>5</v>
      </c>
      <c r="C3574" s="3">
        <v>134</v>
      </c>
      <c r="D3574" s="3">
        <v>70</v>
      </c>
      <c r="E3574" s="3">
        <v>-967.167</v>
      </c>
      <c r="F3574" s="4" t="str">
        <f>HYPERLINK("http://141.218.60.56/~jnz1568/getInfo.php?workbook=10_05.xlsx&amp;sheet=A0&amp;row=3574&amp;col=6&amp;number=537&amp;sourceID=14","537")</f>
        <v>537</v>
      </c>
      <c r="G3574" s="4" t="str">
        <f>HYPERLINK("http://141.218.60.56/~jnz1568/getInfo.php?workbook=10_05.xlsx&amp;sheet=A0&amp;row=3574&amp;col=7&amp;number=0&amp;sourceID=14","0")</f>
        <v>0</v>
      </c>
    </row>
    <row r="3575" spans="1:7">
      <c r="A3575" s="3">
        <v>10</v>
      </c>
      <c r="B3575" s="3">
        <v>5</v>
      </c>
      <c r="C3575" s="3">
        <v>141</v>
      </c>
      <c r="D3575" s="3">
        <v>70</v>
      </c>
      <c r="E3575" s="3">
        <v>-925.054</v>
      </c>
      <c r="F3575" s="4" t="str">
        <f>HYPERLINK("http://141.218.60.56/~jnz1568/getInfo.php?workbook=10_05.xlsx&amp;sheet=A0&amp;row=3575&amp;col=6&amp;number=580000&amp;sourceID=14","580000")</f>
        <v>580000</v>
      </c>
      <c r="G3575" s="4" t="str">
        <f>HYPERLINK("http://141.218.60.56/~jnz1568/getInfo.php?workbook=10_05.xlsx&amp;sheet=A0&amp;row=3575&amp;col=7&amp;number=0&amp;sourceID=14","0")</f>
        <v>0</v>
      </c>
    </row>
    <row r="3576" spans="1:7">
      <c r="A3576" s="3">
        <v>10</v>
      </c>
      <c r="B3576" s="3">
        <v>5</v>
      </c>
      <c r="C3576" s="3">
        <v>142</v>
      </c>
      <c r="D3576" s="3">
        <v>70</v>
      </c>
      <c r="E3576" s="3">
        <v>930.927</v>
      </c>
      <c r="F3576" s="4" t="str">
        <f>HYPERLINK("http://141.218.60.56/~jnz1568/getInfo.php?workbook=10_05.xlsx&amp;sheet=A0&amp;row=3576&amp;col=6&amp;number=451000&amp;sourceID=14","451000")</f>
        <v>451000</v>
      </c>
      <c r="G3576" s="4" t="str">
        <f>HYPERLINK("http://141.218.60.56/~jnz1568/getInfo.php?workbook=10_05.xlsx&amp;sheet=A0&amp;row=3576&amp;col=7&amp;number=0&amp;sourceID=14","0")</f>
        <v>0</v>
      </c>
    </row>
    <row r="3577" spans="1:7">
      <c r="A3577" s="3">
        <v>10</v>
      </c>
      <c r="B3577" s="3">
        <v>5</v>
      </c>
      <c r="C3577" s="3">
        <v>145</v>
      </c>
      <c r="D3577" s="3">
        <v>70</v>
      </c>
      <c r="E3577" s="3">
        <v>919.288</v>
      </c>
      <c r="F3577" s="4" t="str">
        <f>HYPERLINK("http://141.218.60.56/~jnz1568/getInfo.php?workbook=10_05.xlsx&amp;sheet=A0&amp;row=3577&amp;col=6&amp;number=73800&amp;sourceID=14","73800")</f>
        <v>73800</v>
      </c>
      <c r="G3577" s="4" t="str">
        <f>HYPERLINK("http://141.218.60.56/~jnz1568/getInfo.php?workbook=10_05.xlsx&amp;sheet=A0&amp;row=3577&amp;col=7&amp;number=0&amp;sourceID=14","0")</f>
        <v>0</v>
      </c>
    </row>
    <row r="3578" spans="1:7">
      <c r="A3578" s="3">
        <v>10</v>
      </c>
      <c r="B3578" s="3">
        <v>5</v>
      </c>
      <c r="C3578" s="3">
        <v>148</v>
      </c>
      <c r="D3578" s="3">
        <v>70</v>
      </c>
      <c r="E3578" s="3">
        <v>913.494</v>
      </c>
      <c r="F3578" s="4" t="str">
        <f>HYPERLINK("http://141.218.60.56/~jnz1568/getInfo.php?workbook=10_05.xlsx&amp;sheet=A0&amp;row=3578&amp;col=6&amp;number=324000&amp;sourceID=14","324000")</f>
        <v>324000</v>
      </c>
      <c r="G3578" s="4" t="str">
        <f>HYPERLINK("http://141.218.60.56/~jnz1568/getInfo.php?workbook=10_05.xlsx&amp;sheet=A0&amp;row=3578&amp;col=7&amp;number=0&amp;sourceID=14","0")</f>
        <v>0</v>
      </c>
    </row>
    <row r="3579" spans="1:7">
      <c r="A3579" s="3">
        <v>10</v>
      </c>
      <c r="B3579" s="3">
        <v>5</v>
      </c>
      <c r="C3579" s="3">
        <v>149</v>
      </c>
      <c r="D3579" s="3">
        <v>70</v>
      </c>
      <c r="E3579" s="3">
        <v>912.66</v>
      </c>
      <c r="F3579" s="4" t="str">
        <f>HYPERLINK("http://141.218.60.56/~jnz1568/getInfo.php?workbook=10_05.xlsx&amp;sheet=A0&amp;row=3579&amp;col=6&amp;number=156000&amp;sourceID=14","156000")</f>
        <v>156000</v>
      </c>
      <c r="G3579" s="4" t="str">
        <f>HYPERLINK("http://141.218.60.56/~jnz1568/getInfo.php?workbook=10_05.xlsx&amp;sheet=A0&amp;row=3579&amp;col=7&amp;number=0&amp;sourceID=14","0")</f>
        <v>0</v>
      </c>
    </row>
    <row r="3580" spans="1:7">
      <c r="A3580" s="3">
        <v>10</v>
      </c>
      <c r="B3580" s="3">
        <v>5</v>
      </c>
      <c r="C3580" s="3">
        <v>158</v>
      </c>
      <c r="D3580" s="3">
        <v>70</v>
      </c>
      <c r="E3580" s="3">
        <v>-845.646</v>
      </c>
      <c r="F3580" s="4" t="str">
        <f>HYPERLINK("http://141.218.60.56/~jnz1568/getInfo.php?workbook=10_05.xlsx&amp;sheet=A0&amp;row=3580&amp;col=6&amp;number=9650&amp;sourceID=14","9650")</f>
        <v>9650</v>
      </c>
      <c r="G3580" s="4" t="str">
        <f>HYPERLINK("http://141.218.60.56/~jnz1568/getInfo.php?workbook=10_05.xlsx&amp;sheet=A0&amp;row=3580&amp;col=7&amp;number=0&amp;sourceID=14","0")</f>
        <v>0</v>
      </c>
    </row>
    <row r="3581" spans="1:7">
      <c r="A3581" s="3">
        <v>10</v>
      </c>
      <c r="B3581" s="3">
        <v>5</v>
      </c>
      <c r="C3581" s="3">
        <v>159</v>
      </c>
      <c r="D3581" s="3">
        <v>70</v>
      </c>
      <c r="E3581" s="3">
        <v>-842.596</v>
      </c>
      <c r="F3581" s="4" t="str">
        <f>HYPERLINK("http://141.218.60.56/~jnz1568/getInfo.php?workbook=10_05.xlsx&amp;sheet=A0&amp;row=3581&amp;col=6&amp;number=68400&amp;sourceID=14","68400")</f>
        <v>68400</v>
      </c>
      <c r="G3581" s="4" t="str">
        <f>HYPERLINK("http://141.218.60.56/~jnz1568/getInfo.php?workbook=10_05.xlsx&amp;sheet=A0&amp;row=3581&amp;col=7&amp;number=0&amp;sourceID=14","0")</f>
        <v>0</v>
      </c>
    </row>
    <row r="3582" spans="1:7">
      <c r="A3582" s="3">
        <v>10</v>
      </c>
      <c r="B3582" s="3">
        <v>5</v>
      </c>
      <c r="C3582" s="3">
        <v>164</v>
      </c>
      <c r="D3582" s="3">
        <v>70</v>
      </c>
      <c r="E3582" s="3">
        <v>-606.771</v>
      </c>
      <c r="F3582" s="4" t="str">
        <f>HYPERLINK("http://141.218.60.56/~jnz1568/getInfo.php?workbook=10_05.xlsx&amp;sheet=A0&amp;row=3582&amp;col=6&amp;number=33300&amp;sourceID=14","33300")</f>
        <v>33300</v>
      </c>
      <c r="G3582" s="4" t="str">
        <f>HYPERLINK("http://141.218.60.56/~jnz1568/getInfo.php?workbook=10_05.xlsx&amp;sheet=A0&amp;row=3582&amp;col=7&amp;number=0&amp;sourceID=14","0")</f>
        <v>0</v>
      </c>
    </row>
    <row r="3583" spans="1:7">
      <c r="A3583" s="3">
        <v>10</v>
      </c>
      <c r="B3583" s="3">
        <v>5</v>
      </c>
      <c r="C3583" s="3">
        <v>165</v>
      </c>
      <c r="D3583" s="3">
        <v>70</v>
      </c>
      <c r="E3583" s="3">
        <v>-606.267</v>
      </c>
      <c r="F3583" s="4" t="str">
        <f>HYPERLINK("http://141.218.60.56/~jnz1568/getInfo.php?workbook=10_05.xlsx&amp;sheet=A0&amp;row=3583&amp;col=6&amp;number=196000&amp;sourceID=14","196000")</f>
        <v>196000</v>
      </c>
      <c r="G3583" s="4" t="str">
        <f>HYPERLINK("http://141.218.60.56/~jnz1568/getInfo.php?workbook=10_05.xlsx&amp;sheet=A0&amp;row=3583&amp;col=7&amp;number=0&amp;sourceID=14","0")</f>
        <v>0</v>
      </c>
    </row>
    <row r="3584" spans="1:7">
      <c r="A3584" s="3">
        <v>10</v>
      </c>
      <c r="B3584" s="3">
        <v>5</v>
      </c>
      <c r="C3584" s="3">
        <v>166</v>
      </c>
      <c r="D3584" s="3">
        <v>70</v>
      </c>
      <c r="E3584" s="3">
        <v>-520.769</v>
      </c>
      <c r="F3584" s="4" t="str">
        <f>HYPERLINK("http://141.218.60.56/~jnz1568/getInfo.php?workbook=10_05.xlsx&amp;sheet=A0&amp;row=3584&amp;col=6&amp;number=29200&amp;sourceID=14","29200")</f>
        <v>29200</v>
      </c>
      <c r="G3584" s="4" t="str">
        <f>HYPERLINK("http://141.218.60.56/~jnz1568/getInfo.php?workbook=10_05.xlsx&amp;sheet=A0&amp;row=3584&amp;col=7&amp;number=0&amp;sourceID=14","0")</f>
        <v>0</v>
      </c>
    </row>
    <row r="3585" spans="1:7">
      <c r="A3585" s="3">
        <v>10</v>
      </c>
      <c r="B3585" s="3">
        <v>5</v>
      </c>
      <c r="C3585" s="3">
        <v>167</v>
      </c>
      <c r="D3585" s="3">
        <v>70</v>
      </c>
      <c r="E3585" s="3">
        <v>-520.655</v>
      </c>
      <c r="F3585" s="4" t="str">
        <f>HYPERLINK("http://141.218.60.56/~jnz1568/getInfo.php?workbook=10_05.xlsx&amp;sheet=A0&amp;row=3585&amp;col=6&amp;number=54400&amp;sourceID=14","54400")</f>
        <v>54400</v>
      </c>
      <c r="G3585" s="4" t="str">
        <f>HYPERLINK("http://141.218.60.56/~jnz1568/getInfo.php?workbook=10_05.xlsx&amp;sheet=A0&amp;row=3585&amp;col=7&amp;number=0&amp;sourceID=14","0")</f>
        <v>0</v>
      </c>
    </row>
    <row r="3586" spans="1:7">
      <c r="A3586" s="3">
        <v>10</v>
      </c>
      <c r="B3586" s="3">
        <v>5</v>
      </c>
      <c r="C3586" s="3">
        <v>177</v>
      </c>
      <c r="D3586" s="3">
        <v>70</v>
      </c>
      <c r="E3586" s="3">
        <v>-445.568</v>
      </c>
      <c r="F3586" s="4" t="str">
        <f>HYPERLINK("http://141.218.60.56/~jnz1568/getInfo.php?workbook=10_05.xlsx&amp;sheet=A0&amp;row=3586&amp;col=6&amp;number=211000&amp;sourceID=14","211000")</f>
        <v>211000</v>
      </c>
      <c r="G3586" s="4" t="str">
        <f>HYPERLINK("http://141.218.60.56/~jnz1568/getInfo.php?workbook=10_05.xlsx&amp;sheet=A0&amp;row=3586&amp;col=7&amp;number=0&amp;sourceID=14","0")</f>
        <v>0</v>
      </c>
    </row>
    <row r="3587" spans="1:7">
      <c r="A3587" s="3">
        <v>10</v>
      </c>
      <c r="B3587" s="3">
        <v>5</v>
      </c>
      <c r="C3587" s="3">
        <v>179</v>
      </c>
      <c r="D3587" s="3">
        <v>70</v>
      </c>
      <c r="E3587" s="3">
        <v>-437.584</v>
      </c>
      <c r="F3587" s="4" t="str">
        <f>HYPERLINK("http://141.218.60.56/~jnz1568/getInfo.php?workbook=10_05.xlsx&amp;sheet=A0&amp;row=3587&amp;col=6&amp;number=443000&amp;sourceID=14","443000")</f>
        <v>443000</v>
      </c>
      <c r="G3587" s="4" t="str">
        <f>HYPERLINK("http://141.218.60.56/~jnz1568/getInfo.php?workbook=10_05.xlsx&amp;sheet=A0&amp;row=3587&amp;col=7&amp;number=0&amp;sourceID=14","0")</f>
        <v>0</v>
      </c>
    </row>
    <row r="3588" spans="1:7">
      <c r="A3588" s="3">
        <v>10</v>
      </c>
      <c r="B3588" s="3">
        <v>5</v>
      </c>
      <c r="C3588" s="3">
        <v>180</v>
      </c>
      <c r="D3588" s="3">
        <v>70</v>
      </c>
      <c r="E3588" s="3">
        <v>-437.513</v>
      </c>
      <c r="F3588" s="4" t="str">
        <f>HYPERLINK("http://141.218.60.56/~jnz1568/getInfo.php?workbook=10_05.xlsx&amp;sheet=A0&amp;row=3588&amp;col=6&amp;number=1190000&amp;sourceID=14","1190000")</f>
        <v>1190000</v>
      </c>
      <c r="G3588" s="4" t="str">
        <f>HYPERLINK("http://141.218.60.56/~jnz1568/getInfo.php?workbook=10_05.xlsx&amp;sheet=A0&amp;row=3588&amp;col=7&amp;number=0&amp;sourceID=14","0")</f>
        <v>0</v>
      </c>
    </row>
    <row r="3589" spans="1:7">
      <c r="A3589" s="3">
        <v>10</v>
      </c>
      <c r="B3589" s="3">
        <v>5</v>
      </c>
      <c r="C3589" s="3">
        <v>73</v>
      </c>
      <c r="D3589" s="3">
        <v>71</v>
      </c>
      <c r="E3589" s="3">
        <v>14534.91</v>
      </c>
      <c r="F3589" s="4" t="str">
        <f>HYPERLINK("http://141.218.60.56/~jnz1568/getInfo.php?workbook=10_05.xlsx&amp;sheet=A0&amp;row=3589&amp;col=6&amp;number=4.55&amp;sourceID=14","4.55")</f>
        <v>4.55</v>
      </c>
      <c r="G3589" s="4" t="str">
        <f>HYPERLINK("http://141.218.60.56/~jnz1568/getInfo.php?workbook=10_05.xlsx&amp;sheet=A0&amp;row=3589&amp;col=7&amp;number=0&amp;sourceID=14","0")</f>
        <v>0</v>
      </c>
    </row>
    <row r="3590" spans="1:7">
      <c r="A3590" s="3">
        <v>10</v>
      </c>
      <c r="B3590" s="3">
        <v>5</v>
      </c>
      <c r="C3590" s="3">
        <v>74</v>
      </c>
      <c r="D3590" s="3">
        <v>71</v>
      </c>
      <c r="E3590" s="3">
        <v>14285.741</v>
      </c>
      <c r="F3590" s="4" t="str">
        <f>HYPERLINK("http://141.218.60.56/~jnz1568/getInfo.php?workbook=10_05.xlsx&amp;sheet=A0&amp;row=3590&amp;col=6&amp;number=34.4&amp;sourceID=14","34.4")</f>
        <v>34.4</v>
      </c>
      <c r="G3590" s="4" t="str">
        <f>HYPERLINK("http://141.218.60.56/~jnz1568/getInfo.php?workbook=10_05.xlsx&amp;sheet=A0&amp;row=3590&amp;col=7&amp;number=0&amp;sourceID=14","0")</f>
        <v>0</v>
      </c>
    </row>
    <row r="3591" spans="1:7">
      <c r="A3591" s="3">
        <v>10</v>
      </c>
      <c r="B3591" s="3">
        <v>5</v>
      </c>
      <c r="C3591" s="3">
        <v>75</v>
      </c>
      <c r="D3591" s="3">
        <v>71</v>
      </c>
      <c r="E3591" s="3">
        <v>10989.031</v>
      </c>
      <c r="F3591" s="4" t="str">
        <f>HYPERLINK("http://141.218.60.56/~jnz1568/getInfo.php?workbook=10_05.xlsx&amp;sheet=A0&amp;row=3591&amp;col=6&amp;number=118&amp;sourceID=14","118")</f>
        <v>118</v>
      </c>
      <c r="G3591" s="4" t="str">
        <f>HYPERLINK("http://141.218.60.56/~jnz1568/getInfo.php?workbook=10_05.xlsx&amp;sheet=A0&amp;row=3591&amp;col=7&amp;number=0&amp;sourceID=14","0")</f>
        <v>0</v>
      </c>
    </row>
    <row r="3592" spans="1:7">
      <c r="A3592" s="3">
        <v>10</v>
      </c>
      <c r="B3592" s="3">
        <v>5</v>
      </c>
      <c r="C3592" s="3">
        <v>76</v>
      </c>
      <c r="D3592" s="3">
        <v>71</v>
      </c>
      <c r="E3592" s="3">
        <v>10989.031</v>
      </c>
      <c r="F3592" s="4" t="str">
        <f>HYPERLINK("http://141.218.60.56/~jnz1568/getInfo.php?workbook=10_05.xlsx&amp;sheet=A0&amp;row=3592&amp;col=6&amp;number=135&amp;sourceID=14","135")</f>
        <v>135</v>
      </c>
      <c r="G3592" s="4" t="str">
        <f>HYPERLINK("http://141.218.60.56/~jnz1568/getInfo.php?workbook=10_05.xlsx&amp;sheet=A0&amp;row=3592&amp;col=7&amp;number=0&amp;sourceID=14","0")</f>
        <v>0</v>
      </c>
    </row>
    <row r="3593" spans="1:7">
      <c r="A3593" s="3">
        <v>10</v>
      </c>
      <c r="B3593" s="3">
        <v>5</v>
      </c>
      <c r="C3593" s="3">
        <v>79</v>
      </c>
      <c r="D3593" s="3">
        <v>71</v>
      </c>
      <c r="E3593" s="3">
        <v>-3121.786</v>
      </c>
      <c r="F3593" s="4" t="str">
        <f>HYPERLINK("http://141.218.60.56/~jnz1568/getInfo.php?workbook=10_05.xlsx&amp;sheet=A0&amp;row=3593&amp;col=6&amp;number=92100&amp;sourceID=14","92100")</f>
        <v>92100</v>
      </c>
      <c r="G3593" s="4" t="str">
        <f>HYPERLINK("http://141.218.60.56/~jnz1568/getInfo.php?workbook=10_05.xlsx&amp;sheet=A0&amp;row=3593&amp;col=7&amp;number=0&amp;sourceID=14","0")</f>
        <v>0</v>
      </c>
    </row>
    <row r="3594" spans="1:7">
      <c r="A3594" s="3">
        <v>10</v>
      </c>
      <c r="B3594" s="3">
        <v>5</v>
      </c>
      <c r="C3594" s="3">
        <v>82</v>
      </c>
      <c r="D3594" s="3">
        <v>71</v>
      </c>
      <c r="E3594" s="3">
        <v>2575.996</v>
      </c>
      <c r="F3594" s="4" t="str">
        <f>HYPERLINK("http://141.218.60.56/~jnz1568/getInfo.php?workbook=10_05.xlsx&amp;sheet=A0&amp;row=3594&amp;col=6&amp;number=19400000&amp;sourceID=14","19400000")</f>
        <v>19400000</v>
      </c>
      <c r="G3594" s="4" t="str">
        <f>HYPERLINK("http://141.218.60.56/~jnz1568/getInfo.php?workbook=10_05.xlsx&amp;sheet=A0&amp;row=3594&amp;col=7&amp;number=0&amp;sourceID=14","0")</f>
        <v>0</v>
      </c>
    </row>
    <row r="3595" spans="1:7">
      <c r="A3595" s="3">
        <v>10</v>
      </c>
      <c r="B3595" s="3">
        <v>5</v>
      </c>
      <c r="C3595" s="3">
        <v>83</v>
      </c>
      <c r="D3595" s="3">
        <v>71</v>
      </c>
      <c r="E3595" s="3">
        <v>2575.996</v>
      </c>
      <c r="F3595" s="4" t="str">
        <f>HYPERLINK("http://141.218.60.56/~jnz1568/getInfo.php?workbook=10_05.xlsx&amp;sheet=A0&amp;row=3595&amp;col=6&amp;number=67600000&amp;sourceID=14","67600000")</f>
        <v>67600000</v>
      </c>
      <c r="G3595" s="4" t="str">
        <f>HYPERLINK("http://141.218.60.56/~jnz1568/getInfo.php?workbook=10_05.xlsx&amp;sheet=A0&amp;row=3595&amp;col=7&amp;number=0&amp;sourceID=14","0")</f>
        <v>0</v>
      </c>
    </row>
    <row r="3596" spans="1:7">
      <c r="A3596" s="3">
        <v>10</v>
      </c>
      <c r="B3596" s="3">
        <v>5</v>
      </c>
      <c r="C3596" s="3">
        <v>84</v>
      </c>
      <c r="D3596" s="3">
        <v>71</v>
      </c>
      <c r="E3596" s="3">
        <v>2575.996</v>
      </c>
      <c r="F3596" s="4" t="str">
        <f>HYPERLINK("http://141.218.60.56/~jnz1568/getInfo.php?workbook=10_05.xlsx&amp;sheet=A0&amp;row=3596&amp;col=6&amp;number=102000000&amp;sourceID=14","102000000")</f>
        <v>102000000</v>
      </c>
      <c r="G3596" s="4" t="str">
        <f>HYPERLINK("http://141.218.60.56/~jnz1568/getInfo.php?workbook=10_05.xlsx&amp;sheet=A0&amp;row=3596&amp;col=7&amp;number=0&amp;sourceID=14","0")</f>
        <v>0</v>
      </c>
    </row>
    <row r="3597" spans="1:7">
      <c r="A3597" s="3">
        <v>10</v>
      </c>
      <c r="B3597" s="3">
        <v>5</v>
      </c>
      <c r="C3597" s="3">
        <v>86</v>
      </c>
      <c r="D3597" s="3">
        <v>71</v>
      </c>
      <c r="E3597" s="3">
        <v>-2499.255</v>
      </c>
      <c r="F3597" s="4" t="str">
        <f>HYPERLINK("http://141.218.60.56/~jnz1568/getInfo.php?workbook=10_05.xlsx&amp;sheet=A0&amp;row=3597&amp;col=6&amp;number=248000&amp;sourceID=14","248000")</f>
        <v>248000</v>
      </c>
      <c r="G3597" s="4" t="str">
        <f>HYPERLINK("http://141.218.60.56/~jnz1568/getInfo.php?workbook=10_05.xlsx&amp;sheet=A0&amp;row=3597&amp;col=7&amp;number=0&amp;sourceID=14","0")</f>
        <v>0</v>
      </c>
    </row>
    <row r="3598" spans="1:7">
      <c r="A3598" s="3">
        <v>10</v>
      </c>
      <c r="B3598" s="3">
        <v>5</v>
      </c>
      <c r="C3598" s="3">
        <v>88</v>
      </c>
      <c r="D3598" s="3">
        <v>71</v>
      </c>
      <c r="E3598" s="3">
        <v>2382.659</v>
      </c>
      <c r="F3598" s="4" t="str">
        <f>HYPERLINK("http://141.218.60.56/~jnz1568/getInfo.php?workbook=10_05.xlsx&amp;sheet=A0&amp;row=3598&amp;col=6&amp;number=145000000&amp;sourceID=14","145000000")</f>
        <v>145000000</v>
      </c>
      <c r="G3598" s="4" t="str">
        <f>HYPERLINK("http://141.218.60.56/~jnz1568/getInfo.php?workbook=10_05.xlsx&amp;sheet=A0&amp;row=3598&amp;col=7&amp;number=0&amp;sourceID=14","0")</f>
        <v>0</v>
      </c>
    </row>
    <row r="3599" spans="1:7">
      <c r="A3599" s="3">
        <v>10</v>
      </c>
      <c r="B3599" s="3">
        <v>5</v>
      </c>
      <c r="C3599" s="3">
        <v>89</v>
      </c>
      <c r="D3599" s="3">
        <v>71</v>
      </c>
      <c r="E3599" s="3">
        <v>2361.837</v>
      </c>
      <c r="F3599" s="4" t="str">
        <f>HYPERLINK("http://141.218.60.56/~jnz1568/getInfo.php?workbook=10_05.xlsx&amp;sheet=A0&amp;row=3599&amp;col=6&amp;number=29300000&amp;sourceID=14","29300000")</f>
        <v>29300000</v>
      </c>
      <c r="G3599" s="4" t="str">
        <f>HYPERLINK("http://141.218.60.56/~jnz1568/getInfo.php?workbook=10_05.xlsx&amp;sheet=A0&amp;row=3599&amp;col=7&amp;number=0&amp;sourceID=14","0")</f>
        <v>0</v>
      </c>
    </row>
    <row r="3600" spans="1:7">
      <c r="A3600" s="3">
        <v>10</v>
      </c>
      <c r="B3600" s="3">
        <v>5</v>
      </c>
      <c r="C3600" s="3">
        <v>90</v>
      </c>
      <c r="D3600" s="3">
        <v>71</v>
      </c>
      <c r="E3600" s="3">
        <v>2330.463</v>
      </c>
      <c r="F3600" s="4" t="str">
        <f>HYPERLINK("http://141.218.60.56/~jnz1568/getInfo.php?workbook=10_05.xlsx&amp;sheet=A0&amp;row=3600&amp;col=6&amp;number=46400000&amp;sourceID=14","46400000")</f>
        <v>46400000</v>
      </c>
      <c r="G3600" s="4" t="str">
        <f>HYPERLINK("http://141.218.60.56/~jnz1568/getInfo.php?workbook=10_05.xlsx&amp;sheet=A0&amp;row=3600&amp;col=7&amp;number=0&amp;sourceID=14","0")</f>
        <v>0</v>
      </c>
    </row>
    <row r="3601" spans="1:7">
      <c r="A3601" s="3">
        <v>10</v>
      </c>
      <c r="B3601" s="3">
        <v>5</v>
      </c>
      <c r="C3601" s="3">
        <v>91</v>
      </c>
      <c r="D3601" s="3">
        <v>71</v>
      </c>
      <c r="E3601" s="3">
        <v>-1958.024</v>
      </c>
      <c r="F3601" s="4" t="str">
        <f>HYPERLINK("http://141.218.60.56/~jnz1568/getInfo.php?workbook=10_05.xlsx&amp;sheet=A0&amp;row=3601&amp;col=6&amp;number=38900&amp;sourceID=14","38900")</f>
        <v>38900</v>
      </c>
      <c r="G3601" s="4" t="str">
        <f>HYPERLINK("http://141.218.60.56/~jnz1568/getInfo.php?workbook=10_05.xlsx&amp;sheet=A0&amp;row=3601&amp;col=7&amp;number=0&amp;sourceID=14","0")</f>
        <v>0</v>
      </c>
    </row>
    <row r="3602" spans="1:7">
      <c r="A3602" s="3">
        <v>10</v>
      </c>
      <c r="B3602" s="3">
        <v>5</v>
      </c>
      <c r="C3602" s="3">
        <v>92</v>
      </c>
      <c r="D3602" s="3">
        <v>71</v>
      </c>
      <c r="E3602" s="3">
        <v>-1926.563</v>
      </c>
      <c r="F3602" s="4" t="str">
        <f>HYPERLINK("http://141.218.60.56/~jnz1568/getInfo.php?workbook=10_05.xlsx&amp;sheet=A0&amp;row=3602&amp;col=6&amp;number=171000&amp;sourceID=14","171000")</f>
        <v>171000</v>
      </c>
      <c r="G3602" s="4" t="str">
        <f>HYPERLINK("http://141.218.60.56/~jnz1568/getInfo.php?workbook=10_05.xlsx&amp;sheet=A0&amp;row=3602&amp;col=7&amp;number=0&amp;sourceID=14","0")</f>
        <v>0</v>
      </c>
    </row>
    <row r="3603" spans="1:7">
      <c r="A3603" s="3">
        <v>10</v>
      </c>
      <c r="B3603" s="3">
        <v>5</v>
      </c>
      <c r="C3603" s="3">
        <v>93</v>
      </c>
      <c r="D3603" s="3">
        <v>71</v>
      </c>
      <c r="E3603" s="3">
        <v>-1676.056</v>
      </c>
      <c r="F3603" s="4" t="str">
        <f>HYPERLINK("http://141.218.60.56/~jnz1568/getInfo.php?workbook=10_05.xlsx&amp;sheet=A0&amp;row=3603&amp;col=6&amp;number=32400&amp;sourceID=14","32400")</f>
        <v>32400</v>
      </c>
      <c r="G3603" s="4" t="str">
        <f>HYPERLINK("http://141.218.60.56/~jnz1568/getInfo.php?workbook=10_05.xlsx&amp;sheet=A0&amp;row=3603&amp;col=7&amp;number=0&amp;sourceID=14","0")</f>
        <v>0</v>
      </c>
    </row>
    <row r="3604" spans="1:7">
      <c r="A3604" s="3">
        <v>10</v>
      </c>
      <c r="B3604" s="3">
        <v>5</v>
      </c>
      <c r="C3604" s="3">
        <v>94</v>
      </c>
      <c r="D3604" s="3">
        <v>71</v>
      </c>
      <c r="E3604" s="3">
        <v>-1671.741</v>
      </c>
      <c r="F3604" s="4" t="str">
        <f>HYPERLINK("http://141.218.60.56/~jnz1568/getInfo.php?workbook=10_05.xlsx&amp;sheet=A0&amp;row=3604&amp;col=6&amp;number=6120&amp;sourceID=14","6120")</f>
        <v>6120</v>
      </c>
      <c r="G3604" s="4" t="str">
        <f>HYPERLINK("http://141.218.60.56/~jnz1568/getInfo.php?workbook=10_05.xlsx&amp;sheet=A0&amp;row=3604&amp;col=7&amp;number=0&amp;sourceID=14","0")</f>
        <v>0</v>
      </c>
    </row>
    <row r="3605" spans="1:7">
      <c r="A3605" s="3">
        <v>10</v>
      </c>
      <c r="B3605" s="3">
        <v>5</v>
      </c>
      <c r="C3605" s="3">
        <v>95</v>
      </c>
      <c r="D3605" s="3">
        <v>71</v>
      </c>
      <c r="E3605" s="3">
        <v>1671.964</v>
      </c>
      <c r="F3605" s="4" t="str">
        <f>HYPERLINK("http://141.218.60.56/~jnz1568/getInfo.php?workbook=10_05.xlsx&amp;sheet=A0&amp;row=3605&amp;col=6&amp;number=214000000&amp;sourceID=14","214000000")</f>
        <v>214000000</v>
      </c>
      <c r="G3605" s="4" t="str">
        <f>HYPERLINK("http://141.218.60.56/~jnz1568/getInfo.php?workbook=10_05.xlsx&amp;sheet=A0&amp;row=3605&amp;col=7&amp;number=0&amp;sourceID=14","0")</f>
        <v>0</v>
      </c>
    </row>
    <row r="3606" spans="1:7">
      <c r="A3606" s="3">
        <v>10</v>
      </c>
      <c r="B3606" s="3">
        <v>5</v>
      </c>
      <c r="C3606" s="3">
        <v>96</v>
      </c>
      <c r="D3606" s="3">
        <v>71</v>
      </c>
      <c r="E3606" s="3">
        <v>1377.413</v>
      </c>
      <c r="F3606" s="4" t="str">
        <f>HYPERLINK("http://141.218.60.56/~jnz1568/getInfo.php?workbook=10_05.xlsx&amp;sheet=A0&amp;row=3606&amp;col=6&amp;number=1270&amp;sourceID=14","1270")</f>
        <v>1270</v>
      </c>
      <c r="G3606" s="4" t="str">
        <f>HYPERLINK("http://141.218.60.56/~jnz1568/getInfo.php?workbook=10_05.xlsx&amp;sheet=A0&amp;row=3606&amp;col=7&amp;number=0&amp;sourceID=14","0")</f>
        <v>0</v>
      </c>
    </row>
    <row r="3607" spans="1:7">
      <c r="A3607" s="3">
        <v>10</v>
      </c>
      <c r="B3607" s="3">
        <v>5</v>
      </c>
      <c r="C3607" s="3">
        <v>98</v>
      </c>
      <c r="D3607" s="3">
        <v>71</v>
      </c>
      <c r="E3607" s="3">
        <v>-1307.141</v>
      </c>
      <c r="F3607" s="4" t="str">
        <f>HYPERLINK("http://141.218.60.56/~jnz1568/getInfo.php?workbook=10_05.xlsx&amp;sheet=A0&amp;row=3607&amp;col=6&amp;number=24900000&amp;sourceID=14","24900000")</f>
        <v>24900000</v>
      </c>
      <c r="G3607" s="4" t="str">
        <f>HYPERLINK("http://141.218.60.56/~jnz1568/getInfo.php?workbook=10_05.xlsx&amp;sheet=A0&amp;row=3607&amp;col=7&amp;number=0&amp;sourceID=14","0")</f>
        <v>0</v>
      </c>
    </row>
    <row r="3608" spans="1:7">
      <c r="A3608" s="3">
        <v>10</v>
      </c>
      <c r="B3608" s="3">
        <v>5</v>
      </c>
      <c r="C3608" s="3">
        <v>101</v>
      </c>
      <c r="D3608" s="3">
        <v>71</v>
      </c>
      <c r="E3608" s="3">
        <v>-1299.852</v>
      </c>
      <c r="F3608" s="4" t="str">
        <f>HYPERLINK("http://141.218.60.56/~jnz1568/getInfo.php?workbook=10_05.xlsx&amp;sheet=A0&amp;row=3608&amp;col=6&amp;number=3630000&amp;sourceID=14","3630000")</f>
        <v>3630000</v>
      </c>
      <c r="G3608" s="4" t="str">
        <f>HYPERLINK("http://141.218.60.56/~jnz1568/getInfo.php?workbook=10_05.xlsx&amp;sheet=A0&amp;row=3608&amp;col=7&amp;number=0&amp;sourceID=14","0")</f>
        <v>0</v>
      </c>
    </row>
    <row r="3609" spans="1:7">
      <c r="A3609" s="3">
        <v>10</v>
      </c>
      <c r="B3609" s="3">
        <v>5</v>
      </c>
      <c r="C3609" s="3">
        <v>103</v>
      </c>
      <c r="D3609" s="3">
        <v>71</v>
      </c>
      <c r="E3609" s="3">
        <v>-1287.434</v>
      </c>
      <c r="F3609" s="4" t="str">
        <f>HYPERLINK("http://141.218.60.56/~jnz1568/getInfo.php?workbook=10_05.xlsx&amp;sheet=A0&amp;row=3609&amp;col=6&amp;number=8840000&amp;sourceID=14","8840000")</f>
        <v>8840000</v>
      </c>
      <c r="G3609" s="4" t="str">
        <f>HYPERLINK("http://141.218.60.56/~jnz1568/getInfo.php?workbook=10_05.xlsx&amp;sheet=A0&amp;row=3609&amp;col=7&amp;number=0&amp;sourceID=14","0")</f>
        <v>0</v>
      </c>
    </row>
    <row r="3610" spans="1:7">
      <c r="A3610" s="3">
        <v>10</v>
      </c>
      <c r="B3610" s="3">
        <v>5</v>
      </c>
      <c r="C3610" s="3">
        <v>110</v>
      </c>
      <c r="D3610" s="3">
        <v>71</v>
      </c>
      <c r="E3610" s="3">
        <v>-1190.748</v>
      </c>
      <c r="F3610" s="4" t="str">
        <f>HYPERLINK("http://141.218.60.56/~jnz1568/getInfo.php?workbook=10_05.xlsx&amp;sheet=A0&amp;row=3610&amp;col=6&amp;number=41000&amp;sourceID=14","41000")</f>
        <v>41000</v>
      </c>
      <c r="G3610" s="4" t="str">
        <f>HYPERLINK("http://141.218.60.56/~jnz1568/getInfo.php?workbook=10_05.xlsx&amp;sheet=A0&amp;row=3610&amp;col=7&amp;number=0&amp;sourceID=14","0")</f>
        <v>0</v>
      </c>
    </row>
    <row r="3611" spans="1:7">
      <c r="A3611" s="3">
        <v>10</v>
      </c>
      <c r="B3611" s="3">
        <v>5</v>
      </c>
      <c r="C3611" s="3">
        <v>112</v>
      </c>
      <c r="D3611" s="3">
        <v>71</v>
      </c>
      <c r="E3611" s="3">
        <v>-1181.519</v>
      </c>
      <c r="F3611" s="4" t="str">
        <f>HYPERLINK("http://141.218.60.56/~jnz1568/getInfo.php?workbook=10_05.xlsx&amp;sheet=A0&amp;row=3611&amp;col=6&amp;number=24000&amp;sourceID=14","24000")</f>
        <v>24000</v>
      </c>
      <c r="G3611" s="4" t="str">
        <f>HYPERLINK("http://141.218.60.56/~jnz1568/getInfo.php?workbook=10_05.xlsx&amp;sheet=A0&amp;row=3611&amp;col=7&amp;number=0&amp;sourceID=14","0")</f>
        <v>0</v>
      </c>
    </row>
    <row r="3612" spans="1:7">
      <c r="A3612" s="3">
        <v>10</v>
      </c>
      <c r="B3612" s="3">
        <v>5</v>
      </c>
      <c r="C3612" s="3">
        <v>113</v>
      </c>
      <c r="D3612" s="3">
        <v>71</v>
      </c>
      <c r="E3612" s="3">
        <v>1174.676</v>
      </c>
      <c r="F3612" s="4" t="str">
        <f>HYPERLINK("http://141.218.60.56/~jnz1568/getInfo.php?workbook=10_05.xlsx&amp;sheet=A0&amp;row=3612&amp;col=6&amp;number=83800&amp;sourceID=14","83800")</f>
        <v>83800</v>
      </c>
      <c r="G3612" s="4" t="str">
        <f>HYPERLINK("http://141.218.60.56/~jnz1568/getInfo.php?workbook=10_05.xlsx&amp;sheet=A0&amp;row=3612&amp;col=7&amp;number=0&amp;sourceID=14","0")</f>
        <v>0</v>
      </c>
    </row>
    <row r="3613" spans="1:7">
      <c r="A3613" s="3">
        <v>10</v>
      </c>
      <c r="B3613" s="3">
        <v>5</v>
      </c>
      <c r="C3613" s="3">
        <v>114</v>
      </c>
      <c r="D3613" s="3">
        <v>71</v>
      </c>
      <c r="E3613" s="3">
        <v>1174.676</v>
      </c>
      <c r="F3613" s="4" t="str">
        <f>HYPERLINK("http://141.218.60.56/~jnz1568/getInfo.php?workbook=10_05.xlsx&amp;sheet=A0&amp;row=3613&amp;col=6&amp;number=18800&amp;sourceID=14","18800")</f>
        <v>18800</v>
      </c>
      <c r="G3613" s="4" t="str">
        <f>HYPERLINK("http://141.218.60.56/~jnz1568/getInfo.php?workbook=10_05.xlsx&amp;sheet=A0&amp;row=3613&amp;col=7&amp;number=0&amp;sourceID=14","0")</f>
        <v>0</v>
      </c>
    </row>
    <row r="3614" spans="1:7">
      <c r="A3614" s="3">
        <v>10</v>
      </c>
      <c r="B3614" s="3">
        <v>5</v>
      </c>
      <c r="C3614" s="3">
        <v>127</v>
      </c>
      <c r="D3614" s="3">
        <v>71</v>
      </c>
      <c r="E3614" s="3">
        <v>-1020.223</v>
      </c>
      <c r="F3614" s="4" t="str">
        <f>HYPERLINK("http://141.218.60.56/~jnz1568/getInfo.php?workbook=10_05.xlsx&amp;sheet=A0&amp;row=3614&amp;col=6&amp;number=2320&amp;sourceID=14","2320")</f>
        <v>2320</v>
      </c>
      <c r="G3614" s="4" t="str">
        <f>HYPERLINK("http://141.218.60.56/~jnz1568/getInfo.php?workbook=10_05.xlsx&amp;sheet=A0&amp;row=3614&amp;col=7&amp;number=0&amp;sourceID=14","0")</f>
        <v>0</v>
      </c>
    </row>
    <row r="3615" spans="1:7">
      <c r="A3615" s="3">
        <v>10</v>
      </c>
      <c r="B3615" s="3">
        <v>5</v>
      </c>
      <c r="C3615" s="3">
        <v>128</v>
      </c>
      <c r="D3615" s="3">
        <v>71</v>
      </c>
      <c r="E3615" s="3">
        <v>-1015.571</v>
      </c>
      <c r="F3615" s="4" t="str">
        <f>HYPERLINK("http://141.218.60.56/~jnz1568/getInfo.php?workbook=10_05.xlsx&amp;sheet=A0&amp;row=3615&amp;col=6&amp;number=17100&amp;sourceID=14","17100")</f>
        <v>17100</v>
      </c>
      <c r="G3615" s="4" t="str">
        <f>HYPERLINK("http://141.218.60.56/~jnz1568/getInfo.php?workbook=10_05.xlsx&amp;sheet=A0&amp;row=3615&amp;col=7&amp;number=0&amp;sourceID=14","0")</f>
        <v>0</v>
      </c>
    </row>
    <row r="3616" spans="1:7">
      <c r="A3616" s="3">
        <v>10</v>
      </c>
      <c r="B3616" s="3">
        <v>5</v>
      </c>
      <c r="C3616" s="3">
        <v>134</v>
      </c>
      <c r="D3616" s="3">
        <v>71</v>
      </c>
      <c r="E3616" s="3">
        <v>-971.394</v>
      </c>
      <c r="F3616" s="4" t="str">
        <f>HYPERLINK("http://141.218.60.56/~jnz1568/getInfo.php?workbook=10_05.xlsx&amp;sheet=A0&amp;row=3616&amp;col=6&amp;number=550&amp;sourceID=14","550")</f>
        <v>550</v>
      </c>
      <c r="G3616" s="4" t="str">
        <f>HYPERLINK("http://141.218.60.56/~jnz1568/getInfo.php?workbook=10_05.xlsx&amp;sheet=A0&amp;row=3616&amp;col=7&amp;number=0&amp;sourceID=14","0")</f>
        <v>0</v>
      </c>
    </row>
    <row r="3617" spans="1:7">
      <c r="A3617" s="3">
        <v>10</v>
      </c>
      <c r="B3617" s="3">
        <v>5</v>
      </c>
      <c r="C3617" s="3">
        <v>135</v>
      </c>
      <c r="D3617" s="3">
        <v>71</v>
      </c>
      <c r="E3617" s="3">
        <v>-969.126</v>
      </c>
      <c r="F3617" s="4" t="str">
        <f>HYPERLINK("http://141.218.60.56/~jnz1568/getInfo.php?workbook=10_05.xlsx&amp;sheet=A0&amp;row=3617&amp;col=6&amp;number=2240&amp;sourceID=14","2240")</f>
        <v>2240</v>
      </c>
      <c r="G3617" s="4" t="str">
        <f>HYPERLINK("http://141.218.60.56/~jnz1568/getInfo.php?workbook=10_05.xlsx&amp;sheet=A0&amp;row=3617&amp;col=7&amp;number=0&amp;sourceID=14","0")</f>
        <v>0</v>
      </c>
    </row>
    <row r="3618" spans="1:7">
      <c r="A3618" s="3">
        <v>10</v>
      </c>
      <c r="B3618" s="3">
        <v>5</v>
      </c>
      <c r="C3618" s="3">
        <v>141</v>
      </c>
      <c r="D3618" s="3">
        <v>71</v>
      </c>
      <c r="E3618" s="3">
        <v>-928.921</v>
      </c>
      <c r="F3618" s="4" t="str">
        <f>HYPERLINK("http://141.218.60.56/~jnz1568/getInfo.php?workbook=10_05.xlsx&amp;sheet=A0&amp;row=3618&amp;col=6&amp;number=34900&amp;sourceID=14","34900")</f>
        <v>34900</v>
      </c>
      <c r="G3618" s="4" t="str">
        <f>HYPERLINK("http://141.218.60.56/~jnz1568/getInfo.php?workbook=10_05.xlsx&amp;sheet=A0&amp;row=3618&amp;col=7&amp;number=0&amp;sourceID=14","0")</f>
        <v>0</v>
      </c>
    </row>
    <row r="3619" spans="1:7">
      <c r="A3619" s="3">
        <v>10</v>
      </c>
      <c r="B3619" s="3">
        <v>5</v>
      </c>
      <c r="C3619" s="3">
        <v>142</v>
      </c>
      <c r="D3619" s="3">
        <v>71</v>
      </c>
      <c r="E3619" s="3">
        <v>930.927</v>
      </c>
      <c r="F3619" s="4" t="str">
        <f>HYPERLINK("http://141.218.60.56/~jnz1568/getInfo.php?workbook=10_05.xlsx&amp;sheet=A0&amp;row=3619&amp;col=6&amp;number=201000&amp;sourceID=14","201000")</f>
        <v>201000</v>
      </c>
      <c r="G3619" s="4" t="str">
        <f>HYPERLINK("http://141.218.60.56/~jnz1568/getInfo.php?workbook=10_05.xlsx&amp;sheet=A0&amp;row=3619&amp;col=7&amp;number=0&amp;sourceID=14","0")</f>
        <v>0</v>
      </c>
    </row>
    <row r="3620" spans="1:7">
      <c r="A3620" s="3">
        <v>10</v>
      </c>
      <c r="B3620" s="3">
        <v>5</v>
      </c>
      <c r="C3620" s="3">
        <v>143</v>
      </c>
      <c r="D3620" s="3">
        <v>71</v>
      </c>
      <c r="E3620" s="3">
        <v>928.766</v>
      </c>
      <c r="F3620" s="4" t="str">
        <f>HYPERLINK("http://141.218.60.56/~jnz1568/getInfo.php?workbook=10_05.xlsx&amp;sheet=A0&amp;row=3620&amp;col=6&amp;number=705000&amp;sourceID=14","705000")</f>
        <v>705000</v>
      </c>
      <c r="G3620" s="4" t="str">
        <f>HYPERLINK("http://141.218.60.56/~jnz1568/getInfo.php?workbook=10_05.xlsx&amp;sheet=A0&amp;row=3620&amp;col=7&amp;number=0&amp;sourceID=14","0")</f>
        <v>0</v>
      </c>
    </row>
    <row r="3621" spans="1:7">
      <c r="A3621" s="3">
        <v>10</v>
      </c>
      <c r="B3621" s="3">
        <v>5</v>
      </c>
      <c r="C3621" s="3">
        <v>145</v>
      </c>
      <c r="D3621" s="3">
        <v>71</v>
      </c>
      <c r="E3621" s="3">
        <v>919.288</v>
      </c>
      <c r="F3621" s="4" t="str">
        <f>HYPERLINK("http://141.218.60.56/~jnz1568/getInfo.php?workbook=10_05.xlsx&amp;sheet=A0&amp;row=3621&amp;col=6&amp;number=137000&amp;sourceID=14","137000")</f>
        <v>137000</v>
      </c>
      <c r="G3621" s="4" t="str">
        <f>HYPERLINK("http://141.218.60.56/~jnz1568/getInfo.php?workbook=10_05.xlsx&amp;sheet=A0&amp;row=3621&amp;col=7&amp;number=0&amp;sourceID=14","0")</f>
        <v>0</v>
      </c>
    </row>
    <row r="3622" spans="1:7">
      <c r="A3622" s="3">
        <v>10</v>
      </c>
      <c r="B3622" s="3">
        <v>5</v>
      </c>
      <c r="C3622" s="3">
        <v>146</v>
      </c>
      <c r="D3622" s="3">
        <v>71</v>
      </c>
      <c r="E3622" s="3">
        <v>919.288</v>
      </c>
      <c r="F3622" s="4" t="str">
        <f>HYPERLINK("http://141.218.60.56/~jnz1568/getInfo.php?workbook=10_05.xlsx&amp;sheet=A0&amp;row=3622&amp;col=6&amp;number=71.9&amp;sourceID=14","71.9")</f>
        <v>71.9</v>
      </c>
      <c r="G3622" s="4" t="str">
        <f>HYPERLINK("http://141.218.60.56/~jnz1568/getInfo.php?workbook=10_05.xlsx&amp;sheet=A0&amp;row=3622&amp;col=7&amp;number=0&amp;sourceID=14","0")</f>
        <v>0</v>
      </c>
    </row>
    <row r="3623" spans="1:7">
      <c r="A3623" s="3">
        <v>10</v>
      </c>
      <c r="B3623" s="3">
        <v>5</v>
      </c>
      <c r="C3623" s="3">
        <v>147</v>
      </c>
      <c r="D3623" s="3">
        <v>71</v>
      </c>
      <c r="E3623" s="3">
        <v>914.329</v>
      </c>
      <c r="F3623" s="4" t="str">
        <f>HYPERLINK("http://141.218.60.56/~jnz1568/getInfo.php?workbook=10_05.xlsx&amp;sheet=A0&amp;row=3623&amp;col=6&amp;number=158000&amp;sourceID=14","158000")</f>
        <v>158000</v>
      </c>
      <c r="G3623" s="4" t="str">
        <f>HYPERLINK("http://141.218.60.56/~jnz1568/getInfo.php?workbook=10_05.xlsx&amp;sheet=A0&amp;row=3623&amp;col=7&amp;number=0&amp;sourceID=14","0")</f>
        <v>0</v>
      </c>
    </row>
    <row r="3624" spans="1:7">
      <c r="A3624" s="3">
        <v>10</v>
      </c>
      <c r="B3624" s="3">
        <v>5</v>
      </c>
      <c r="C3624" s="3">
        <v>148</v>
      </c>
      <c r="D3624" s="3">
        <v>71</v>
      </c>
      <c r="E3624" s="3">
        <v>913.494</v>
      </c>
      <c r="F3624" s="4" t="str">
        <f>HYPERLINK("http://141.218.60.56/~jnz1568/getInfo.php?workbook=10_05.xlsx&amp;sheet=A0&amp;row=3624&amp;col=6&amp;number=164000&amp;sourceID=14","164000")</f>
        <v>164000</v>
      </c>
      <c r="G3624" s="4" t="str">
        <f>HYPERLINK("http://141.218.60.56/~jnz1568/getInfo.php?workbook=10_05.xlsx&amp;sheet=A0&amp;row=3624&amp;col=7&amp;number=0&amp;sourceID=14","0")</f>
        <v>0</v>
      </c>
    </row>
    <row r="3625" spans="1:7">
      <c r="A3625" s="3">
        <v>10</v>
      </c>
      <c r="B3625" s="3">
        <v>5</v>
      </c>
      <c r="C3625" s="3">
        <v>149</v>
      </c>
      <c r="D3625" s="3">
        <v>71</v>
      </c>
      <c r="E3625" s="3">
        <v>912.66</v>
      </c>
      <c r="F3625" s="4" t="str">
        <f>HYPERLINK("http://141.218.60.56/~jnz1568/getInfo.php?workbook=10_05.xlsx&amp;sheet=A0&amp;row=3625&amp;col=6&amp;number=1190000&amp;sourceID=14","1190000")</f>
        <v>1190000</v>
      </c>
      <c r="G3625" s="4" t="str">
        <f>HYPERLINK("http://141.218.60.56/~jnz1568/getInfo.php?workbook=10_05.xlsx&amp;sheet=A0&amp;row=3625&amp;col=7&amp;number=0&amp;sourceID=14","0")</f>
        <v>0</v>
      </c>
    </row>
    <row r="3626" spans="1:7">
      <c r="A3626" s="3">
        <v>10</v>
      </c>
      <c r="B3626" s="3">
        <v>5</v>
      </c>
      <c r="C3626" s="3">
        <v>152</v>
      </c>
      <c r="D3626" s="3">
        <v>71</v>
      </c>
      <c r="E3626" s="3">
        <v>870.096</v>
      </c>
      <c r="F3626" s="4" t="str">
        <f>HYPERLINK("http://141.218.60.56/~jnz1568/getInfo.php?workbook=10_05.xlsx&amp;sheet=A0&amp;row=3626&amp;col=6&amp;number=5860&amp;sourceID=14","5860")</f>
        <v>5860</v>
      </c>
      <c r="G3626" s="4" t="str">
        <f>HYPERLINK("http://141.218.60.56/~jnz1568/getInfo.php?workbook=10_05.xlsx&amp;sheet=A0&amp;row=3626&amp;col=7&amp;number=0&amp;sourceID=14","0")</f>
        <v>0</v>
      </c>
    </row>
    <row r="3627" spans="1:7">
      <c r="A3627" s="3">
        <v>10</v>
      </c>
      <c r="B3627" s="3">
        <v>5</v>
      </c>
      <c r="C3627" s="3">
        <v>158</v>
      </c>
      <c r="D3627" s="3">
        <v>71</v>
      </c>
      <c r="E3627" s="3">
        <v>-848.876</v>
      </c>
      <c r="F3627" s="4" t="str">
        <f>HYPERLINK("http://141.218.60.56/~jnz1568/getInfo.php?workbook=10_05.xlsx&amp;sheet=A0&amp;row=3627&amp;col=6&amp;number=38000&amp;sourceID=14","38000")</f>
        <v>38000</v>
      </c>
      <c r="G3627" s="4" t="str">
        <f>HYPERLINK("http://141.218.60.56/~jnz1568/getInfo.php?workbook=10_05.xlsx&amp;sheet=A0&amp;row=3627&amp;col=7&amp;number=0&amp;sourceID=14","0")</f>
        <v>0</v>
      </c>
    </row>
    <row r="3628" spans="1:7">
      <c r="A3628" s="3">
        <v>10</v>
      </c>
      <c r="B3628" s="3">
        <v>5</v>
      </c>
      <c r="C3628" s="3">
        <v>159</v>
      </c>
      <c r="D3628" s="3">
        <v>71</v>
      </c>
      <c r="E3628" s="3">
        <v>-845.803</v>
      </c>
      <c r="F3628" s="4" t="str">
        <f>HYPERLINK("http://141.218.60.56/~jnz1568/getInfo.php?workbook=10_05.xlsx&amp;sheet=A0&amp;row=3628&amp;col=6&amp;number=14200&amp;sourceID=14","14200")</f>
        <v>14200</v>
      </c>
      <c r="G3628" s="4" t="str">
        <f>HYPERLINK("http://141.218.60.56/~jnz1568/getInfo.php?workbook=10_05.xlsx&amp;sheet=A0&amp;row=3628&amp;col=7&amp;number=0&amp;sourceID=14","0")</f>
        <v>0</v>
      </c>
    </row>
    <row r="3629" spans="1:7">
      <c r="A3629" s="3">
        <v>10</v>
      </c>
      <c r="B3629" s="3">
        <v>5</v>
      </c>
      <c r="C3629" s="3">
        <v>164</v>
      </c>
      <c r="D3629" s="3">
        <v>71</v>
      </c>
      <c r="E3629" s="3">
        <v>-608.433</v>
      </c>
      <c r="F3629" s="4" t="str">
        <f>HYPERLINK("http://141.218.60.56/~jnz1568/getInfo.php?workbook=10_05.xlsx&amp;sheet=A0&amp;row=3629&amp;col=6&amp;number=180000&amp;sourceID=14","180000")</f>
        <v>180000</v>
      </c>
      <c r="G3629" s="4" t="str">
        <f>HYPERLINK("http://141.218.60.56/~jnz1568/getInfo.php?workbook=10_05.xlsx&amp;sheet=A0&amp;row=3629&amp;col=7&amp;number=0&amp;sourceID=14","0")</f>
        <v>0</v>
      </c>
    </row>
    <row r="3630" spans="1:7">
      <c r="A3630" s="3">
        <v>10</v>
      </c>
      <c r="B3630" s="3">
        <v>5</v>
      </c>
      <c r="C3630" s="3">
        <v>165</v>
      </c>
      <c r="D3630" s="3">
        <v>71</v>
      </c>
      <c r="E3630" s="3">
        <v>-607.926</v>
      </c>
      <c r="F3630" s="4" t="str">
        <f>HYPERLINK("http://141.218.60.56/~jnz1568/getInfo.php?workbook=10_05.xlsx&amp;sheet=A0&amp;row=3630&amp;col=6&amp;number=44800&amp;sourceID=14","44800")</f>
        <v>44800</v>
      </c>
      <c r="G3630" s="4" t="str">
        <f>HYPERLINK("http://141.218.60.56/~jnz1568/getInfo.php?workbook=10_05.xlsx&amp;sheet=A0&amp;row=3630&amp;col=7&amp;number=0&amp;sourceID=14","0")</f>
        <v>0</v>
      </c>
    </row>
    <row r="3631" spans="1:7">
      <c r="A3631" s="3">
        <v>10</v>
      </c>
      <c r="B3631" s="3">
        <v>5</v>
      </c>
      <c r="C3631" s="3">
        <v>166</v>
      </c>
      <c r="D3631" s="3">
        <v>71</v>
      </c>
      <c r="E3631" s="3">
        <v>-521.992</v>
      </c>
      <c r="F3631" s="4" t="str">
        <f>HYPERLINK("http://141.218.60.56/~jnz1568/getInfo.php?workbook=10_05.xlsx&amp;sheet=A0&amp;row=3631&amp;col=6&amp;number=50700&amp;sourceID=14","50700")</f>
        <v>50700</v>
      </c>
      <c r="G3631" s="4" t="str">
        <f>HYPERLINK("http://141.218.60.56/~jnz1568/getInfo.php?workbook=10_05.xlsx&amp;sheet=A0&amp;row=3631&amp;col=7&amp;number=0&amp;sourceID=14","0")</f>
        <v>0</v>
      </c>
    </row>
    <row r="3632" spans="1:7">
      <c r="A3632" s="3">
        <v>10</v>
      </c>
      <c r="B3632" s="3">
        <v>5</v>
      </c>
      <c r="C3632" s="3">
        <v>167</v>
      </c>
      <c r="D3632" s="3">
        <v>71</v>
      </c>
      <c r="E3632" s="3">
        <v>-521.878</v>
      </c>
      <c r="F3632" s="4" t="str">
        <f>HYPERLINK("http://141.218.60.56/~jnz1568/getInfo.php?workbook=10_05.xlsx&amp;sheet=A0&amp;row=3632&amp;col=6&amp;number=215000&amp;sourceID=14","215000")</f>
        <v>215000</v>
      </c>
      <c r="G3632" s="4" t="str">
        <f>HYPERLINK("http://141.218.60.56/~jnz1568/getInfo.php?workbook=10_05.xlsx&amp;sheet=A0&amp;row=3632&amp;col=7&amp;number=0&amp;sourceID=14","0")</f>
        <v>0</v>
      </c>
    </row>
    <row r="3633" spans="1:7">
      <c r="A3633" s="3">
        <v>10</v>
      </c>
      <c r="B3633" s="3">
        <v>5</v>
      </c>
      <c r="C3633" s="3">
        <v>176</v>
      </c>
      <c r="D3633" s="3">
        <v>71</v>
      </c>
      <c r="E3633" s="3">
        <v>-448.246</v>
      </c>
      <c r="F3633" s="4" t="str">
        <f>HYPERLINK("http://141.218.60.56/~jnz1568/getInfo.php?workbook=10_05.xlsx&amp;sheet=A0&amp;row=3633&amp;col=6&amp;number=41900&amp;sourceID=14","41900")</f>
        <v>41900</v>
      </c>
      <c r="G3633" s="4" t="str">
        <f>HYPERLINK("http://141.218.60.56/~jnz1568/getInfo.php?workbook=10_05.xlsx&amp;sheet=A0&amp;row=3633&amp;col=7&amp;number=0&amp;sourceID=14","0")</f>
        <v>0</v>
      </c>
    </row>
    <row r="3634" spans="1:7">
      <c r="A3634" s="3">
        <v>10</v>
      </c>
      <c r="B3634" s="3">
        <v>5</v>
      </c>
      <c r="C3634" s="3">
        <v>177</v>
      </c>
      <c r="D3634" s="3">
        <v>71</v>
      </c>
      <c r="E3634" s="3">
        <v>-446.463</v>
      </c>
      <c r="F3634" s="4" t="str">
        <f>HYPERLINK("http://141.218.60.56/~jnz1568/getInfo.php?workbook=10_05.xlsx&amp;sheet=A0&amp;row=3634&amp;col=6&amp;number=204000&amp;sourceID=14","204000")</f>
        <v>204000</v>
      </c>
      <c r="G3634" s="4" t="str">
        <f>HYPERLINK("http://141.218.60.56/~jnz1568/getInfo.php?workbook=10_05.xlsx&amp;sheet=A0&amp;row=3634&amp;col=7&amp;number=0&amp;sourceID=14","0")</f>
        <v>0</v>
      </c>
    </row>
    <row r="3635" spans="1:7">
      <c r="A3635" s="3">
        <v>10</v>
      </c>
      <c r="B3635" s="3">
        <v>5</v>
      </c>
      <c r="C3635" s="3">
        <v>178</v>
      </c>
      <c r="D3635" s="3">
        <v>71</v>
      </c>
      <c r="E3635" s="3">
        <v>-446.376</v>
      </c>
      <c r="F3635" s="4" t="str">
        <f>HYPERLINK("http://141.218.60.56/~jnz1568/getInfo.php?workbook=10_05.xlsx&amp;sheet=A0&amp;row=3635&amp;col=6&amp;number=500000&amp;sourceID=14","500000")</f>
        <v>500000</v>
      </c>
      <c r="G3635" s="4" t="str">
        <f>HYPERLINK("http://141.218.60.56/~jnz1568/getInfo.php?workbook=10_05.xlsx&amp;sheet=A0&amp;row=3635&amp;col=7&amp;number=0&amp;sourceID=14","0")</f>
        <v>0</v>
      </c>
    </row>
    <row r="3636" spans="1:7">
      <c r="A3636" s="3">
        <v>10</v>
      </c>
      <c r="B3636" s="3">
        <v>5</v>
      </c>
      <c r="C3636" s="3">
        <v>179</v>
      </c>
      <c r="D3636" s="3">
        <v>71</v>
      </c>
      <c r="E3636" s="3">
        <v>-438.447</v>
      </c>
      <c r="F3636" s="4" t="str">
        <f>HYPERLINK("http://141.218.60.56/~jnz1568/getInfo.php?workbook=10_05.xlsx&amp;sheet=A0&amp;row=3636&amp;col=6&amp;number=87500&amp;sourceID=14","87500")</f>
        <v>87500</v>
      </c>
      <c r="G3636" s="4" t="str">
        <f>HYPERLINK("http://141.218.60.56/~jnz1568/getInfo.php?workbook=10_05.xlsx&amp;sheet=A0&amp;row=3636&amp;col=7&amp;number=0&amp;sourceID=14","0")</f>
        <v>0</v>
      </c>
    </row>
    <row r="3637" spans="1:7">
      <c r="A3637" s="3">
        <v>10</v>
      </c>
      <c r="B3637" s="3">
        <v>5</v>
      </c>
      <c r="C3637" s="3">
        <v>180</v>
      </c>
      <c r="D3637" s="3">
        <v>71</v>
      </c>
      <c r="E3637" s="3">
        <v>-438.376</v>
      </c>
      <c r="F3637" s="4" t="str">
        <f>HYPERLINK("http://141.218.60.56/~jnz1568/getInfo.php?workbook=10_05.xlsx&amp;sheet=A0&amp;row=3637&amp;col=6&amp;number=222000&amp;sourceID=14","222000")</f>
        <v>222000</v>
      </c>
      <c r="G3637" s="4" t="str">
        <f>HYPERLINK("http://141.218.60.56/~jnz1568/getInfo.php?workbook=10_05.xlsx&amp;sheet=A0&amp;row=3637&amp;col=7&amp;number=0&amp;sourceID=14","0")</f>
        <v>0</v>
      </c>
    </row>
    <row r="3638" spans="1:7">
      <c r="A3638" s="3">
        <v>10</v>
      </c>
      <c r="B3638" s="3">
        <v>5</v>
      </c>
      <c r="C3638" s="3">
        <v>73</v>
      </c>
      <c r="D3638" s="3">
        <v>72</v>
      </c>
      <c r="E3638" s="3">
        <v>14534.91</v>
      </c>
      <c r="F3638" s="4" t="str">
        <f>HYPERLINK("http://141.218.60.56/~jnz1568/getInfo.php?workbook=10_05.xlsx&amp;sheet=A0&amp;row=3638&amp;col=6&amp;number=0.0168&amp;sourceID=14","0.0168")</f>
        <v>0.0168</v>
      </c>
      <c r="G3638" s="4" t="str">
        <f>HYPERLINK("http://141.218.60.56/~jnz1568/getInfo.php?workbook=10_05.xlsx&amp;sheet=A0&amp;row=3638&amp;col=7&amp;number=0&amp;sourceID=14","0")</f>
        <v>0</v>
      </c>
    </row>
    <row r="3639" spans="1:7">
      <c r="A3639" s="3">
        <v>10</v>
      </c>
      <c r="B3639" s="3">
        <v>5</v>
      </c>
      <c r="C3639" s="3">
        <v>74</v>
      </c>
      <c r="D3639" s="3">
        <v>72</v>
      </c>
      <c r="E3639" s="3">
        <v>14285.741</v>
      </c>
      <c r="F3639" s="4" t="str">
        <f>HYPERLINK("http://141.218.60.56/~jnz1568/getInfo.php?workbook=10_05.xlsx&amp;sheet=A0&amp;row=3639&amp;col=6&amp;number=0.108&amp;sourceID=14","0.108")</f>
        <v>0.108</v>
      </c>
      <c r="G3639" s="4" t="str">
        <f>HYPERLINK("http://141.218.60.56/~jnz1568/getInfo.php?workbook=10_05.xlsx&amp;sheet=A0&amp;row=3639&amp;col=7&amp;number=0&amp;sourceID=14","0")</f>
        <v>0</v>
      </c>
    </row>
    <row r="3640" spans="1:7">
      <c r="A3640" s="3">
        <v>10</v>
      </c>
      <c r="B3640" s="3">
        <v>5</v>
      </c>
      <c r="C3640" s="3">
        <v>76</v>
      </c>
      <c r="D3640" s="3">
        <v>72</v>
      </c>
      <c r="E3640" s="3">
        <v>10989.031</v>
      </c>
      <c r="F3640" s="4" t="str">
        <f>HYPERLINK("http://141.218.60.56/~jnz1568/getInfo.php?workbook=10_05.xlsx&amp;sheet=A0&amp;row=3640&amp;col=6&amp;number=3.73&amp;sourceID=14","3.73")</f>
        <v>3.73</v>
      </c>
      <c r="G3640" s="4" t="str">
        <f>HYPERLINK("http://141.218.60.56/~jnz1568/getInfo.php?workbook=10_05.xlsx&amp;sheet=A0&amp;row=3640&amp;col=7&amp;number=0&amp;sourceID=14","0")</f>
        <v>0</v>
      </c>
    </row>
    <row r="3641" spans="1:7">
      <c r="A3641" s="3">
        <v>10</v>
      </c>
      <c r="B3641" s="3">
        <v>5</v>
      </c>
      <c r="C3641" s="3">
        <v>83</v>
      </c>
      <c r="D3641" s="3">
        <v>72</v>
      </c>
      <c r="E3641" s="3">
        <v>2575.996</v>
      </c>
      <c r="F3641" s="4" t="str">
        <f>HYPERLINK("http://141.218.60.56/~jnz1568/getInfo.php?workbook=10_05.xlsx&amp;sheet=A0&amp;row=3641&amp;col=6&amp;number=4770000&amp;sourceID=14","4770000")</f>
        <v>4770000</v>
      </c>
      <c r="G3641" s="4" t="str">
        <f>HYPERLINK("http://141.218.60.56/~jnz1568/getInfo.php?workbook=10_05.xlsx&amp;sheet=A0&amp;row=3641&amp;col=7&amp;number=0&amp;sourceID=14","0")</f>
        <v>0</v>
      </c>
    </row>
    <row r="3642" spans="1:7">
      <c r="A3642" s="3">
        <v>10</v>
      </c>
      <c r="B3642" s="3">
        <v>5</v>
      </c>
      <c r="C3642" s="3">
        <v>84</v>
      </c>
      <c r="D3642" s="3">
        <v>72</v>
      </c>
      <c r="E3642" s="3">
        <v>2575.996</v>
      </c>
      <c r="F3642" s="4" t="str">
        <f>HYPERLINK("http://141.218.60.56/~jnz1568/getInfo.php?workbook=10_05.xlsx&amp;sheet=A0&amp;row=3642&amp;col=6&amp;number=33200000&amp;sourceID=14","33200000")</f>
        <v>33200000</v>
      </c>
      <c r="G3642" s="4" t="str">
        <f>HYPERLINK("http://141.218.60.56/~jnz1568/getInfo.php?workbook=10_05.xlsx&amp;sheet=A0&amp;row=3642&amp;col=7&amp;number=0&amp;sourceID=14","0")</f>
        <v>0</v>
      </c>
    </row>
    <row r="3643" spans="1:7">
      <c r="A3643" s="3">
        <v>10</v>
      </c>
      <c r="B3643" s="3">
        <v>5</v>
      </c>
      <c r="C3643" s="3">
        <v>85</v>
      </c>
      <c r="D3643" s="3">
        <v>72</v>
      </c>
      <c r="E3643" s="3">
        <v>2575.996</v>
      </c>
      <c r="F3643" s="4" t="str">
        <f>HYPERLINK("http://141.218.60.56/~jnz1568/getInfo.php?workbook=10_05.xlsx&amp;sheet=A0&amp;row=3643&amp;col=6&amp;number=136000000&amp;sourceID=14","136000000")</f>
        <v>136000000</v>
      </c>
      <c r="G3643" s="4" t="str">
        <f>HYPERLINK("http://141.218.60.56/~jnz1568/getInfo.php?workbook=10_05.xlsx&amp;sheet=A0&amp;row=3643&amp;col=7&amp;number=0&amp;sourceID=14","0")</f>
        <v>0</v>
      </c>
    </row>
    <row r="3644" spans="1:7">
      <c r="A3644" s="3">
        <v>10</v>
      </c>
      <c r="B3644" s="3">
        <v>5</v>
      </c>
      <c r="C3644" s="3">
        <v>86</v>
      </c>
      <c r="D3644" s="3">
        <v>72</v>
      </c>
      <c r="E3644" s="3">
        <v>-2546.024</v>
      </c>
      <c r="F3644" s="4" t="str">
        <f>HYPERLINK("http://141.218.60.56/~jnz1568/getInfo.php?workbook=10_05.xlsx&amp;sheet=A0&amp;row=3644&amp;col=6&amp;number=88700&amp;sourceID=14","88700")</f>
        <v>88700</v>
      </c>
      <c r="G3644" s="4" t="str">
        <f>HYPERLINK("http://141.218.60.56/~jnz1568/getInfo.php?workbook=10_05.xlsx&amp;sheet=A0&amp;row=3644&amp;col=7&amp;number=0&amp;sourceID=14","0")</f>
        <v>0</v>
      </c>
    </row>
    <row r="3645" spans="1:7">
      <c r="A3645" s="3">
        <v>10</v>
      </c>
      <c r="B3645" s="3">
        <v>5</v>
      </c>
      <c r="C3645" s="3">
        <v>87</v>
      </c>
      <c r="D3645" s="3">
        <v>72</v>
      </c>
      <c r="E3645" s="3">
        <v>-2545.117</v>
      </c>
      <c r="F3645" s="4" t="str">
        <f>HYPERLINK("http://141.218.60.56/~jnz1568/getInfo.php?workbook=10_05.xlsx&amp;sheet=A0&amp;row=3645&amp;col=6&amp;number=619000&amp;sourceID=14","619000")</f>
        <v>619000</v>
      </c>
      <c r="G3645" s="4" t="str">
        <f>HYPERLINK("http://141.218.60.56/~jnz1568/getInfo.php?workbook=10_05.xlsx&amp;sheet=A0&amp;row=3645&amp;col=7&amp;number=0&amp;sourceID=14","0")</f>
        <v>0</v>
      </c>
    </row>
    <row r="3646" spans="1:7">
      <c r="A3646" s="3">
        <v>10</v>
      </c>
      <c r="B3646" s="3">
        <v>5</v>
      </c>
      <c r="C3646" s="3">
        <v>89</v>
      </c>
      <c r="D3646" s="3">
        <v>72</v>
      </c>
      <c r="E3646" s="3">
        <v>2361.837</v>
      </c>
      <c r="F3646" s="4" t="str">
        <f>HYPERLINK("http://141.218.60.56/~jnz1568/getInfo.php?workbook=10_05.xlsx&amp;sheet=A0&amp;row=3646&amp;col=6&amp;number=73400000&amp;sourceID=14","73400000")</f>
        <v>73400000</v>
      </c>
      <c r="G3646" s="4" t="str">
        <f>HYPERLINK("http://141.218.60.56/~jnz1568/getInfo.php?workbook=10_05.xlsx&amp;sheet=A0&amp;row=3646&amp;col=7&amp;number=0&amp;sourceID=14","0")</f>
        <v>0</v>
      </c>
    </row>
    <row r="3647" spans="1:7">
      <c r="A3647" s="3">
        <v>10</v>
      </c>
      <c r="B3647" s="3">
        <v>5</v>
      </c>
      <c r="C3647" s="3">
        <v>90</v>
      </c>
      <c r="D3647" s="3">
        <v>72</v>
      </c>
      <c r="E3647" s="3">
        <v>2330.463</v>
      </c>
      <c r="F3647" s="4" t="str">
        <f>HYPERLINK("http://141.218.60.56/~jnz1568/getInfo.php?workbook=10_05.xlsx&amp;sheet=A0&amp;row=3647&amp;col=6&amp;number=129000000&amp;sourceID=14","129000000")</f>
        <v>129000000</v>
      </c>
      <c r="G3647" s="4" t="str">
        <f>HYPERLINK("http://141.218.60.56/~jnz1568/getInfo.php?workbook=10_05.xlsx&amp;sheet=A0&amp;row=3647&amp;col=7&amp;number=0&amp;sourceID=14","0")</f>
        <v>0</v>
      </c>
    </row>
    <row r="3648" spans="1:7">
      <c r="A3648" s="3">
        <v>10</v>
      </c>
      <c r="B3648" s="3">
        <v>5</v>
      </c>
      <c r="C3648" s="3">
        <v>91</v>
      </c>
      <c r="D3648" s="3">
        <v>72</v>
      </c>
      <c r="E3648" s="3">
        <v>-1986.614</v>
      </c>
      <c r="F3648" s="4" t="str">
        <f>HYPERLINK("http://141.218.60.56/~jnz1568/getInfo.php?workbook=10_05.xlsx&amp;sheet=A0&amp;row=3648&amp;col=6&amp;number=68300&amp;sourceID=14","68300")</f>
        <v>68300</v>
      </c>
      <c r="G3648" s="4" t="str">
        <f>HYPERLINK("http://141.218.60.56/~jnz1568/getInfo.php?workbook=10_05.xlsx&amp;sheet=A0&amp;row=3648&amp;col=7&amp;number=0&amp;sourceID=14","0")</f>
        <v>0</v>
      </c>
    </row>
    <row r="3649" spans="1:7">
      <c r="A3649" s="3">
        <v>10</v>
      </c>
      <c r="B3649" s="3">
        <v>5</v>
      </c>
      <c r="C3649" s="3">
        <v>92</v>
      </c>
      <c r="D3649" s="3">
        <v>72</v>
      </c>
      <c r="E3649" s="3">
        <v>-1954.235</v>
      </c>
      <c r="F3649" s="4" t="str">
        <f>HYPERLINK("http://141.218.60.56/~jnz1568/getInfo.php?workbook=10_05.xlsx&amp;sheet=A0&amp;row=3649&amp;col=6&amp;number=637000&amp;sourceID=14","637000")</f>
        <v>637000</v>
      </c>
      <c r="G3649" s="4" t="str">
        <f>HYPERLINK("http://141.218.60.56/~jnz1568/getInfo.php?workbook=10_05.xlsx&amp;sheet=A0&amp;row=3649&amp;col=7&amp;number=0&amp;sourceID=14","0")</f>
        <v>0</v>
      </c>
    </row>
    <row r="3650" spans="1:7">
      <c r="A3650" s="3">
        <v>10</v>
      </c>
      <c r="B3650" s="3">
        <v>5</v>
      </c>
      <c r="C3650" s="3">
        <v>94</v>
      </c>
      <c r="D3650" s="3">
        <v>72</v>
      </c>
      <c r="E3650" s="3">
        <v>-1692.537</v>
      </c>
      <c r="F3650" s="4" t="str">
        <f>HYPERLINK("http://141.218.60.56/~jnz1568/getInfo.php?workbook=10_05.xlsx&amp;sheet=A0&amp;row=3650&amp;col=6&amp;number=189000&amp;sourceID=14","189000")</f>
        <v>189000</v>
      </c>
      <c r="G3650" s="4" t="str">
        <f>HYPERLINK("http://141.218.60.56/~jnz1568/getInfo.php?workbook=10_05.xlsx&amp;sheet=A0&amp;row=3650&amp;col=7&amp;number=0&amp;sourceID=14","0")</f>
        <v>0</v>
      </c>
    </row>
    <row r="3651" spans="1:7">
      <c r="A3651" s="3">
        <v>10</v>
      </c>
      <c r="B3651" s="3">
        <v>5</v>
      </c>
      <c r="C3651" s="3">
        <v>95</v>
      </c>
      <c r="D3651" s="3">
        <v>72</v>
      </c>
      <c r="E3651" s="3">
        <v>1671.964</v>
      </c>
      <c r="F3651" s="4" t="str">
        <f>HYPERLINK("http://141.218.60.56/~jnz1568/getInfo.php?workbook=10_05.xlsx&amp;sheet=A0&amp;row=3651&amp;col=6&amp;number=327000000&amp;sourceID=14","327000000")</f>
        <v>327000000</v>
      </c>
      <c r="G3651" s="4" t="str">
        <f>HYPERLINK("http://141.218.60.56/~jnz1568/getInfo.php?workbook=10_05.xlsx&amp;sheet=A0&amp;row=3651&amp;col=7&amp;number=0&amp;sourceID=14","0")</f>
        <v>0</v>
      </c>
    </row>
    <row r="3652" spans="1:7">
      <c r="A3652" s="3">
        <v>10</v>
      </c>
      <c r="B3652" s="3">
        <v>5</v>
      </c>
      <c r="C3652" s="3">
        <v>96</v>
      </c>
      <c r="D3652" s="3">
        <v>72</v>
      </c>
      <c r="E3652" s="3">
        <v>1377.413</v>
      </c>
      <c r="F3652" s="4" t="str">
        <f>HYPERLINK("http://141.218.60.56/~jnz1568/getInfo.php?workbook=10_05.xlsx&amp;sheet=A0&amp;row=3652&amp;col=6&amp;number=1070&amp;sourceID=14","1070")</f>
        <v>1070</v>
      </c>
      <c r="G3652" s="4" t="str">
        <f>HYPERLINK("http://141.218.60.56/~jnz1568/getInfo.php?workbook=10_05.xlsx&amp;sheet=A0&amp;row=3652&amp;col=7&amp;number=0&amp;sourceID=14","0")</f>
        <v>0</v>
      </c>
    </row>
    <row r="3653" spans="1:7">
      <c r="A3653" s="3">
        <v>10</v>
      </c>
      <c r="B3653" s="3">
        <v>5</v>
      </c>
      <c r="C3653" s="3">
        <v>97</v>
      </c>
      <c r="D3653" s="3">
        <v>72</v>
      </c>
      <c r="E3653" s="3">
        <v>1370.992</v>
      </c>
      <c r="F3653" s="4" t="str">
        <f>HYPERLINK("http://141.218.60.56/~jnz1568/getInfo.php?workbook=10_05.xlsx&amp;sheet=A0&amp;row=3653&amp;col=6&amp;number=12400&amp;sourceID=14","12400")</f>
        <v>12400</v>
      </c>
      <c r="G3653" s="4" t="str">
        <f>HYPERLINK("http://141.218.60.56/~jnz1568/getInfo.php?workbook=10_05.xlsx&amp;sheet=A0&amp;row=3653&amp;col=7&amp;number=0&amp;sourceID=14","0")</f>
        <v>0</v>
      </c>
    </row>
    <row r="3654" spans="1:7">
      <c r="A3654" s="3">
        <v>10</v>
      </c>
      <c r="B3654" s="3">
        <v>5</v>
      </c>
      <c r="C3654" s="3">
        <v>101</v>
      </c>
      <c r="D3654" s="3">
        <v>72</v>
      </c>
      <c r="E3654" s="3">
        <v>-1312.39</v>
      </c>
      <c r="F3654" s="4" t="str">
        <f>HYPERLINK("http://141.218.60.56/~jnz1568/getInfo.php?workbook=10_05.xlsx&amp;sheet=A0&amp;row=3654&amp;col=6&amp;number=14200000&amp;sourceID=14","14200000")</f>
        <v>14200000</v>
      </c>
      <c r="G3654" s="4" t="str">
        <f>HYPERLINK("http://141.218.60.56/~jnz1568/getInfo.php?workbook=10_05.xlsx&amp;sheet=A0&amp;row=3654&amp;col=7&amp;number=0&amp;sourceID=14","0")</f>
        <v>0</v>
      </c>
    </row>
    <row r="3655" spans="1:7">
      <c r="A3655" s="3">
        <v>10</v>
      </c>
      <c r="B3655" s="3">
        <v>5</v>
      </c>
      <c r="C3655" s="3">
        <v>103</v>
      </c>
      <c r="D3655" s="3">
        <v>72</v>
      </c>
      <c r="E3655" s="3">
        <v>-1299.733</v>
      </c>
      <c r="F3655" s="4" t="str">
        <f>HYPERLINK("http://141.218.60.56/~jnz1568/getInfo.php?workbook=10_05.xlsx&amp;sheet=A0&amp;row=3655&amp;col=6&amp;number=20800000&amp;sourceID=14","20800000")</f>
        <v>20800000</v>
      </c>
      <c r="G3655" s="4" t="str">
        <f>HYPERLINK("http://141.218.60.56/~jnz1568/getInfo.php?workbook=10_05.xlsx&amp;sheet=A0&amp;row=3655&amp;col=7&amp;number=0&amp;sourceID=14","0")</f>
        <v>0</v>
      </c>
    </row>
    <row r="3656" spans="1:7">
      <c r="A3656" s="3">
        <v>10</v>
      </c>
      <c r="B3656" s="3">
        <v>5</v>
      </c>
      <c r="C3656" s="3">
        <v>112</v>
      </c>
      <c r="D3656" s="3">
        <v>72</v>
      </c>
      <c r="E3656" s="3">
        <v>-1191.869</v>
      </c>
      <c r="F3656" s="4" t="str">
        <f>HYPERLINK("http://141.218.60.56/~jnz1568/getInfo.php?workbook=10_05.xlsx&amp;sheet=A0&amp;row=3656&amp;col=6&amp;number=36200&amp;sourceID=14","36200")</f>
        <v>36200</v>
      </c>
      <c r="G3656" s="4" t="str">
        <f>HYPERLINK("http://141.218.60.56/~jnz1568/getInfo.php?workbook=10_05.xlsx&amp;sheet=A0&amp;row=3656&amp;col=7&amp;number=0&amp;sourceID=14","0")</f>
        <v>0</v>
      </c>
    </row>
    <row r="3657" spans="1:7">
      <c r="A3657" s="3">
        <v>10</v>
      </c>
      <c r="B3657" s="3">
        <v>5</v>
      </c>
      <c r="C3657" s="3">
        <v>113</v>
      </c>
      <c r="D3657" s="3">
        <v>72</v>
      </c>
      <c r="E3657" s="3">
        <v>1174.676</v>
      </c>
      <c r="F3657" s="4" t="str">
        <f>HYPERLINK("http://141.218.60.56/~jnz1568/getInfo.php?workbook=10_05.xlsx&amp;sheet=A0&amp;row=3657&amp;col=6&amp;number=2650&amp;sourceID=14","2650")</f>
        <v>2650</v>
      </c>
      <c r="G3657" s="4" t="str">
        <f>HYPERLINK("http://141.218.60.56/~jnz1568/getInfo.php?workbook=10_05.xlsx&amp;sheet=A0&amp;row=3657&amp;col=7&amp;number=0&amp;sourceID=14","0")</f>
        <v>0</v>
      </c>
    </row>
    <row r="3658" spans="1:7">
      <c r="A3658" s="3">
        <v>10</v>
      </c>
      <c r="B3658" s="3">
        <v>5</v>
      </c>
      <c r="C3658" s="3">
        <v>114</v>
      </c>
      <c r="D3658" s="3">
        <v>72</v>
      </c>
      <c r="E3658" s="3">
        <v>1174.676</v>
      </c>
      <c r="F3658" s="4" t="str">
        <f>HYPERLINK("http://141.218.60.56/~jnz1568/getInfo.php?workbook=10_05.xlsx&amp;sheet=A0&amp;row=3658&amp;col=6&amp;number=169&amp;sourceID=14","169")</f>
        <v>169</v>
      </c>
      <c r="G3658" s="4" t="str">
        <f>HYPERLINK("http://141.218.60.56/~jnz1568/getInfo.php?workbook=10_05.xlsx&amp;sheet=A0&amp;row=3658&amp;col=7&amp;number=0&amp;sourceID=14","0")</f>
        <v>0</v>
      </c>
    </row>
    <row r="3659" spans="1:7">
      <c r="A3659" s="3">
        <v>10</v>
      </c>
      <c r="B3659" s="3">
        <v>5</v>
      </c>
      <c r="C3659" s="3">
        <v>128</v>
      </c>
      <c r="D3659" s="3">
        <v>72</v>
      </c>
      <c r="E3659" s="3">
        <v>-1023.208</v>
      </c>
      <c r="F3659" s="4" t="str">
        <f>HYPERLINK("http://141.218.60.56/~jnz1568/getInfo.php?workbook=10_05.xlsx&amp;sheet=A0&amp;row=3659&amp;col=6&amp;number=5140&amp;sourceID=14","5140")</f>
        <v>5140</v>
      </c>
      <c r="G3659" s="4" t="str">
        <f>HYPERLINK("http://141.218.60.56/~jnz1568/getInfo.php?workbook=10_05.xlsx&amp;sheet=A0&amp;row=3659&amp;col=7&amp;number=0&amp;sourceID=14","0")</f>
        <v>0</v>
      </c>
    </row>
    <row r="3660" spans="1:7">
      <c r="A3660" s="3">
        <v>10</v>
      </c>
      <c r="B3660" s="3">
        <v>5</v>
      </c>
      <c r="C3660" s="3">
        <v>134</v>
      </c>
      <c r="D3660" s="3">
        <v>72</v>
      </c>
      <c r="E3660" s="3">
        <v>-978.38</v>
      </c>
      <c r="F3660" s="4" t="str">
        <f>HYPERLINK("http://141.218.60.56/~jnz1568/getInfo.php?workbook=10_05.xlsx&amp;sheet=A0&amp;row=3660&amp;col=6&amp;number=32&amp;sourceID=14","32")</f>
        <v>32</v>
      </c>
      <c r="G3660" s="4" t="str">
        <f>HYPERLINK("http://141.218.60.56/~jnz1568/getInfo.php?workbook=10_05.xlsx&amp;sheet=A0&amp;row=3660&amp;col=7&amp;number=0&amp;sourceID=14","0")</f>
        <v>0</v>
      </c>
    </row>
    <row r="3661" spans="1:7">
      <c r="A3661" s="3">
        <v>10</v>
      </c>
      <c r="B3661" s="3">
        <v>5</v>
      </c>
      <c r="C3661" s="3">
        <v>135</v>
      </c>
      <c r="D3661" s="3">
        <v>72</v>
      </c>
      <c r="E3661" s="3">
        <v>-976.078</v>
      </c>
      <c r="F3661" s="4" t="str">
        <f>HYPERLINK("http://141.218.60.56/~jnz1568/getInfo.php?workbook=10_05.xlsx&amp;sheet=A0&amp;row=3661&amp;col=6&amp;number=590&amp;sourceID=14","590")</f>
        <v>590</v>
      </c>
      <c r="G3661" s="4" t="str">
        <f>HYPERLINK("http://141.218.60.56/~jnz1568/getInfo.php?workbook=10_05.xlsx&amp;sheet=A0&amp;row=3661&amp;col=7&amp;number=0&amp;sourceID=14","0")</f>
        <v>0</v>
      </c>
    </row>
    <row r="3662" spans="1:7">
      <c r="A3662" s="3">
        <v>10</v>
      </c>
      <c r="B3662" s="3">
        <v>5</v>
      </c>
      <c r="C3662" s="3">
        <v>136</v>
      </c>
      <c r="D3662" s="3">
        <v>72</v>
      </c>
      <c r="E3662" s="3">
        <v>-972.641</v>
      </c>
      <c r="F3662" s="4" t="str">
        <f>HYPERLINK("http://141.218.60.56/~jnz1568/getInfo.php?workbook=10_05.xlsx&amp;sheet=A0&amp;row=3662&amp;col=6&amp;number=3780&amp;sourceID=14","3780")</f>
        <v>3780</v>
      </c>
      <c r="G3662" s="4" t="str">
        <f>HYPERLINK("http://141.218.60.56/~jnz1568/getInfo.php?workbook=10_05.xlsx&amp;sheet=A0&amp;row=3662&amp;col=7&amp;number=0&amp;sourceID=14","0")</f>
        <v>0</v>
      </c>
    </row>
    <row r="3663" spans="1:7">
      <c r="A3663" s="3">
        <v>10</v>
      </c>
      <c r="B3663" s="3">
        <v>5</v>
      </c>
      <c r="C3663" s="3">
        <v>142</v>
      </c>
      <c r="D3663" s="3">
        <v>72</v>
      </c>
      <c r="E3663" s="3">
        <v>930.927</v>
      </c>
      <c r="F3663" s="4" t="str">
        <f>HYPERLINK("http://141.218.60.56/~jnz1568/getInfo.php?workbook=10_05.xlsx&amp;sheet=A0&amp;row=3663&amp;col=6&amp;number=416&amp;sourceID=14","416")</f>
        <v>416</v>
      </c>
      <c r="G3663" s="4" t="str">
        <f>HYPERLINK("http://141.218.60.56/~jnz1568/getInfo.php?workbook=10_05.xlsx&amp;sheet=A0&amp;row=3663&amp;col=7&amp;number=0&amp;sourceID=14","0")</f>
        <v>0</v>
      </c>
    </row>
    <row r="3664" spans="1:7">
      <c r="A3664" s="3">
        <v>10</v>
      </c>
      <c r="B3664" s="3">
        <v>5</v>
      </c>
      <c r="C3664" s="3">
        <v>143</v>
      </c>
      <c r="D3664" s="3">
        <v>72</v>
      </c>
      <c r="E3664" s="3">
        <v>928.766</v>
      </c>
      <c r="F3664" s="4" t="str">
        <f>HYPERLINK("http://141.218.60.56/~jnz1568/getInfo.php?workbook=10_05.xlsx&amp;sheet=A0&amp;row=3664&amp;col=6&amp;number=1410&amp;sourceID=14","1410")</f>
        <v>1410</v>
      </c>
      <c r="G3664" s="4" t="str">
        <f>HYPERLINK("http://141.218.60.56/~jnz1568/getInfo.php?workbook=10_05.xlsx&amp;sheet=A0&amp;row=3664&amp;col=7&amp;number=0&amp;sourceID=14","0")</f>
        <v>0</v>
      </c>
    </row>
    <row r="3665" spans="1:7">
      <c r="A3665" s="3">
        <v>10</v>
      </c>
      <c r="B3665" s="3">
        <v>5</v>
      </c>
      <c r="C3665" s="3">
        <v>144</v>
      </c>
      <c r="D3665" s="3">
        <v>72</v>
      </c>
      <c r="E3665" s="3">
        <v>927.044</v>
      </c>
      <c r="F3665" s="4" t="str">
        <f>HYPERLINK("http://141.218.60.56/~jnz1568/getInfo.php?workbook=10_05.xlsx&amp;sheet=A0&amp;row=3665&amp;col=6&amp;number=554000&amp;sourceID=14","554000")</f>
        <v>554000</v>
      </c>
      <c r="G3665" s="4" t="str">
        <f>HYPERLINK("http://141.218.60.56/~jnz1568/getInfo.php?workbook=10_05.xlsx&amp;sheet=A0&amp;row=3665&amp;col=7&amp;number=0&amp;sourceID=14","0")</f>
        <v>0</v>
      </c>
    </row>
    <row r="3666" spans="1:7">
      <c r="A3666" s="3">
        <v>10</v>
      </c>
      <c r="B3666" s="3">
        <v>5</v>
      </c>
      <c r="C3666" s="3">
        <v>145</v>
      </c>
      <c r="D3666" s="3">
        <v>72</v>
      </c>
      <c r="E3666" s="3">
        <v>919.288</v>
      </c>
      <c r="F3666" s="4" t="str">
        <f>HYPERLINK("http://141.218.60.56/~jnz1568/getInfo.php?workbook=10_05.xlsx&amp;sheet=A0&amp;row=3666&amp;col=6&amp;number=210000&amp;sourceID=14","210000")</f>
        <v>210000</v>
      </c>
      <c r="G3666" s="4" t="str">
        <f>HYPERLINK("http://141.218.60.56/~jnz1568/getInfo.php?workbook=10_05.xlsx&amp;sheet=A0&amp;row=3666&amp;col=7&amp;number=0&amp;sourceID=14","0")</f>
        <v>0</v>
      </c>
    </row>
    <row r="3667" spans="1:7">
      <c r="A3667" s="3">
        <v>10</v>
      </c>
      <c r="B3667" s="3">
        <v>5</v>
      </c>
      <c r="C3667" s="3">
        <v>146</v>
      </c>
      <c r="D3667" s="3">
        <v>72</v>
      </c>
      <c r="E3667" s="3">
        <v>919.288</v>
      </c>
      <c r="F3667" s="4" t="str">
        <f>HYPERLINK("http://141.218.60.56/~jnz1568/getInfo.php?workbook=10_05.xlsx&amp;sheet=A0&amp;row=3667&amp;col=6&amp;number=142000&amp;sourceID=14","142000")</f>
        <v>142000</v>
      </c>
      <c r="G3667" s="4" t="str">
        <f>HYPERLINK("http://141.218.60.56/~jnz1568/getInfo.php?workbook=10_05.xlsx&amp;sheet=A0&amp;row=3667&amp;col=7&amp;number=0&amp;sourceID=14","0")</f>
        <v>0</v>
      </c>
    </row>
    <row r="3668" spans="1:7">
      <c r="A3668" s="3">
        <v>10</v>
      </c>
      <c r="B3668" s="3">
        <v>5</v>
      </c>
      <c r="C3668" s="3">
        <v>147</v>
      </c>
      <c r="D3668" s="3">
        <v>72</v>
      </c>
      <c r="E3668" s="3">
        <v>914.329</v>
      </c>
      <c r="F3668" s="4" t="str">
        <f>HYPERLINK("http://141.218.60.56/~jnz1568/getInfo.php?workbook=10_05.xlsx&amp;sheet=A0&amp;row=3668&amp;col=6&amp;number=985000&amp;sourceID=14","985000")</f>
        <v>985000</v>
      </c>
      <c r="G3668" s="4" t="str">
        <f>HYPERLINK("http://141.218.60.56/~jnz1568/getInfo.php?workbook=10_05.xlsx&amp;sheet=A0&amp;row=3668&amp;col=7&amp;number=0&amp;sourceID=14","0")</f>
        <v>0</v>
      </c>
    </row>
    <row r="3669" spans="1:7">
      <c r="A3669" s="3">
        <v>10</v>
      </c>
      <c r="B3669" s="3">
        <v>5</v>
      </c>
      <c r="C3669" s="3">
        <v>148</v>
      </c>
      <c r="D3669" s="3">
        <v>72</v>
      </c>
      <c r="E3669" s="3">
        <v>913.494</v>
      </c>
      <c r="F3669" s="4" t="str">
        <f>HYPERLINK("http://141.218.60.56/~jnz1568/getInfo.php?workbook=10_05.xlsx&amp;sheet=A0&amp;row=3669&amp;col=6&amp;number=415000&amp;sourceID=14","415000")</f>
        <v>415000</v>
      </c>
      <c r="G3669" s="4" t="str">
        <f>HYPERLINK("http://141.218.60.56/~jnz1568/getInfo.php?workbook=10_05.xlsx&amp;sheet=A0&amp;row=3669&amp;col=7&amp;number=0&amp;sourceID=14","0")</f>
        <v>0</v>
      </c>
    </row>
    <row r="3670" spans="1:7">
      <c r="A3670" s="3">
        <v>10</v>
      </c>
      <c r="B3670" s="3">
        <v>5</v>
      </c>
      <c r="C3670" s="3">
        <v>152</v>
      </c>
      <c r="D3670" s="3">
        <v>72</v>
      </c>
      <c r="E3670" s="3">
        <v>870.096</v>
      </c>
      <c r="F3670" s="4" t="str">
        <f>HYPERLINK("http://141.218.60.56/~jnz1568/getInfo.php?workbook=10_05.xlsx&amp;sheet=A0&amp;row=3670&amp;col=6&amp;number=2560&amp;sourceID=14","2560")</f>
        <v>2560</v>
      </c>
      <c r="G3670" s="4" t="str">
        <f>HYPERLINK("http://141.218.60.56/~jnz1568/getInfo.php?workbook=10_05.xlsx&amp;sheet=A0&amp;row=3670&amp;col=7&amp;number=0&amp;sourceID=14","0")</f>
        <v>0</v>
      </c>
    </row>
    <row r="3671" spans="1:7">
      <c r="A3671" s="3">
        <v>10</v>
      </c>
      <c r="B3671" s="3">
        <v>5</v>
      </c>
      <c r="C3671" s="3">
        <v>153</v>
      </c>
      <c r="D3671" s="3">
        <v>72</v>
      </c>
      <c r="E3671" s="3">
        <v>864.082</v>
      </c>
      <c r="F3671" s="4" t="str">
        <f>HYPERLINK("http://141.218.60.56/~jnz1568/getInfo.php?workbook=10_05.xlsx&amp;sheet=A0&amp;row=3671&amp;col=6&amp;number=31400&amp;sourceID=14","31400")</f>
        <v>31400</v>
      </c>
      <c r="G3671" s="4" t="str">
        <f>HYPERLINK("http://141.218.60.56/~jnz1568/getInfo.php?workbook=10_05.xlsx&amp;sheet=A0&amp;row=3671&amp;col=7&amp;number=0&amp;sourceID=14","0")</f>
        <v>0</v>
      </c>
    </row>
    <row r="3672" spans="1:7">
      <c r="A3672" s="3">
        <v>10</v>
      </c>
      <c r="B3672" s="3">
        <v>5</v>
      </c>
      <c r="C3672" s="3">
        <v>158</v>
      </c>
      <c r="D3672" s="3">
        <v>72</v>
      </c>
      <c r="E3672" s="3">
        <v>-854.206</v>
      </c>
      <c r="F3672" s="4" t="str">
        <f>HYPERLINK("http://141.218.60.56/~jnz1568/getInfo.php?workbook=10_05.xlsx&amp;sheet=A0&amp;row=3672&amp;col=6&amp;number=0.777&amp;sourceID=14","0.777")</f>
        <v>0.777</v>
      </c>
      <c r="G3672" s="4" t="str">
        <f>HYPERLINK("http://141.218.60.56/~jnz1568/getInfo.php?workbook=10_05.xlsx&amp;sheet=A0&amp;row=3672&amp;col=7&amp;number=0&amp;sourceID=14","0")</f>
        <v>0</v>
      </c>
    </row>
    <row r="3673" spans="1:7">
      <c r="A3673" s="3">
        <v>10</v>
      </c>
      <c r="B3673" s="3">
        <v>5</v>
      </c>
      <c r="C3673" s="3">
        <v>165</v>
      </c>
      <c r="D3673" s="3">
        <v>72</v>
      </c>
      <c r="E3673" s="3">
        <v>-610.655</v>
      </c>
      <c r="F3673" s="4" t="str">
        <f>HYPERLINK("http://141.218.60.56/~jnz1568/getInfo.php?workbook=10_05.xlsx&amp;sheet=A0&amp;row=3673&amp;col=6&amp;number=335000&amp;sourceID=14","335000")</f>
        <v>335000</v>
      </c>
      <c r="G3673" s="4" t="str">
        <f>HYPERLINK("http://141.218.60.56/~jnz1568/getInfo.php?workbook=10_05.xlsx&amp;sheet=A0&amp;row=3673&amp;col=7&amp;number=0&amp;sourceID=14","0")</f>
        <v>0</v>
      </c>
    </row>
    <row r="3674" spans="1:7">
      <c r="A3674" s="3">
        <v>10</v>
      </c>
      <c r="B3674" s="3">
        <v>5</v>
      </c>
      <c r="C3674" s="3">
        <v>167</v>
      </c>
      <c r="D3674" s="3">
        <v>72</v>
      </c>
      <c r="E3674" s="3">
        <v>-523.888</v>
      </c>
      <c r="F3674" s="4" t="str">
        <f>HYPERLINK("http://141.218.60.56/~jnz1568/getInfo.php?workbook=10_05.xlsx&amp;sheet=A0&amp;row=3674&amp;col=6&amp;number=18400&amp;sourceID=14","18400")</f>
        <v>18400</v>
      </c>
      <c r="G3674" s="4" t="str">
        <f>HYPERLINK("http://141.218.60.56/~jnz1568/getInfo.php?workbook=10_05.xlsx&amp;sheet=A0&amp;row=3674&amp;col=7&amp;number=0&amp;sourceID=14","0")</f>
        <v>0</v>
      </c>
    </row>
    <row r="3675" spans="1:7">
      <c r="A3675" s="3">
        <v>10</v>
      </c>
      <c r="B3675" s="3">
        <v>5</v>
      </c>
      <c r="C3675" s="3">
        <v>175</v>
      </c>
      <c r="D3675" s="3">
        <v>72</v>
      </c>
      <c r="E3675" s="3">
        <v>-449.73</v>
      </c>
      <c r="F3675" s="4" t="str">
        <f>HYPERLINK("http://141.218.60.56/~jnz1568/getInfo.php?workbook=10_05.xlsx&amp;sheet=A0&amp;row=3675&amp;col=6&amp;number=301000&amp;sourceID=14","301000")</f>
        <v>301000</v>
      </c>
      <c r="G3675" s="4" t="str">
        <f>HYPERLINK("http://141.218.60.56/~jnz1568/getInfo.php?workbook=10_05.xlsx&amp;sheet=A0&amp;row=3675&amp;col=7&amp;number=0&amp;sourceID=14","0")</f>
        <v>0</v>
      </c>
    </row>
    <row r="3676" spans="1:7">
      <c r="A3676" s="3">
        <v>10</v>
      </c>
      <c r="B3676" s="3">
        <v>5</v>
      </c>
      <c r="C3676" s="3">
        <v>176</v>
      </c>
      <c r="D3676" s="3">
        <v>72</v>
      </c>
      <c r="E3676" s="3">
        <v>-449.728</v>
      </c>
      <c r="F3676" s="4" t="str">
        <f>HYPERLINK("http://141.218.60.56/~jnz1568/getInfo.php?workbook=10_05.xlsx&amp;sheet=A0&amp;row=3676&amp;col=6&amp;number=20300&amp;sourceID=14","20300")</f>
        <v>20300</v>
      </c>
      <c r="G3676" s="4" t="str">
        <f>HYPERLINK("http://141.218.60.56/~jnz1568/getInfo.php?workbook=10_05.xlsx&amp;sheet=A0&amp;row=3676&amp;col=7&amp;number=0&amp;sourceID=14","0")</f>
        <v>0</v>
      </c>
    </row>
    <row r="3677" spans="1:7">
      <c r="A3677" s="3">
        <v>10</v>
      </c>
      <c r="B3677" s="3">
        <v>5</v>
      </c>
      <c r="C3677" s="3">
        <v>177</v>
      </c>
      <c r="D3677" s="3">
        <v>72</v>
      </c>
      <c r="E3677" s="3">
        <v>-447.933</v>
      </c>
      <c r="F3677" s="4" t="str">
        <f>HYPERLINK("http://141.218.60.56/~jnz1568/getInfo.php?workbook=10_05.xlsx&amp;sheet=A0&amp;row=3677&amp;col=6&amp;number=13700&amp;sourceID=14","13700")</f>
        <v>13700</v>
      </c>
      <c r="G3677" s="4" t="str">
        <f>HYPERLINK("http://141.218.60.56/~jnz1568/getInfo.php?workbook=10_05.xlsx&amp;sheet=A0&amp;row=3677&amp;col=7&amp;number=0&amp;sourceID=14","0")</f>
        <v>0</v>
      </c>
    </row>
    <row r="3678" spans="1:7">
      <c r="A3678" s="3">
        <v>10</v>
      </c>
      <c r="B3678" s="3">
        <v>5</v>
      </c>
      <c r="C3678" s="3">
        <v>178</v>
      </c>
      <c r="D3678" s="3">
        <v>72</v>
      </c>
      <c r="E3678" s="3">
        <v>-447.845</v>
      </c>
      <c r="F3678" s="4" t="str">
        <f>HYPERLINK("http://141.218.60.56/~jnz1568/getInfo.php?workbook=10_05.xlsx&amp;sheet=A0&amp;row=3678&amp;col=6&amp;number=127000&amp;sourceID=14","127000")</f>
        <v>127000</v>
      </c>
      <c r="G3678" s="4" t="str">
        <f>HYPERLINK("http://141.218.60.56/~jnz1568/getInfo.php?workbook=10_05.xlsx&amp;sheet=A0&amp;row=3678&amp;col=7&amp;number=0&amp;sourceID=14","0")</f>
        <v>0</v>
      </c>
    </row>
    <row r="3679" spans="1:7">
      <c r="A3679" s="3">
        <v>10</v>
      </c>
      <c r="B3679" s="3">
        <v>5</v>
      </c>
      <c r="C3679" s="3">
        <v>180</v>
      </c>
      <c r="D3679" s="3">
        <v>72</v>
      </c>
      <c r="E3679" s="3">
        <v>-439.793</v>
      </c>
      <c r="F3679" s="4" t="str">
        <f>HYPERLINK("http://141.218.60.56/~jnz1568/getInfo.php?workbook=10_05.xlsx&amp;sheet=A0&amp;row=3679&amp;col=6&amp;number=416&amp;sourceID=14","416")</f>
        <v>416</v>
      </c>
      <c r="G3679" s="4" t="str">
        <f>HYPERLINK("http://141.218.60.56/~jnz1568/getInfo.php?workbook=10_05.xlsx&amp;sheet=A0&amp;row=3679&amp;col=7&amp;number=0&amp;sourceID=14","0")</f>
        <v>0</v>
      </c>
    </row>
    <row r="3680" spans="1:7">
      <c r="A3680" s="3">
        <v>10</v>
      </c>
      <c r="B3680" s="3">
        <v>5</v>
      </c>
      <c r="C3680" s="3">
        <v>77</v>
      </c>
      <c r="D3680" s="3">
        <v>73</v>
      </c>
      <c r="E3680" s="3">
        <v>-5732.312</v>
      </c>
      <c r="F3680" s="4" t="str">
        <f>HYPERLINK("http://141.218.60.56/~jnz1568/getInfo.php?workbook=10_05.xlsx&amp;sheet=A0&amp;row=3680&amp;col=6&amp;number=2200000&amp;sourceID=14","2200000")</f>
        <v>2200000</v>
      </c>
      <c r="G3680" s="4" t="str">
        <f>HYPERLINK("http://141.218.60.56/~jnz1568/getInfo.php?workbook=10_05.xlsx&amp;sheet=A0&amp;row=3680&amp;col=7&amp;number=0&amp;sourceID=14","0")</f>
        <v>0</v>
      </c>
    </row>
    <row r="3681" spans="1:7">
      <c r="A3681" s="3">
        <v>10</v>
      </c>
      <c r="B3681" s="3">
        <v>5</v>
      </c>
      <c r="C3681" s="3">
        <v>78</v>
      </c>
      <c r="D3681" s="3">
        <v>73</v>
      </c>
      <c r="E3681" s="3">
        <v>-5471.667</v>
      </c>
      <c r="F3681" s="4" t="str">
        <f>HYPERLINK("http://141.218.60.56/~jnz1568/getInfo.php?workbook=10_05.xlsx&amp;sheet=A0&amp;row=3681&amp;col=6&amp;number=251000&amp;sourceID=14","251000")</f>
        <v>251000</v>
      </c>
      <c r="G3681" s="4" t="str">
        <f>HYPERLINK("http://141.218.60.56/~jnz1568/getInfo.php?workbook=10_05.xlsx&amp;sheet=A0&amp;row=3681&amp;col=7&amp;number=0&amp;sourceID=14","0")</f>
        <v>0</v>
      </c>
    </row>
    <row r="3682" spans="1:7">
      <c r="A3682" s="3">
        <v>10</v>
      </c>
      <c r="B3682" s="3">
        <v>5</v>
      </c>
      <c r="C3682" s="3">
        <v>80</v>
      </c>
      <c r="D3682" s="3">
        <v>73</v>
      </c>
      <c r="E3682" s="3">
        <v>3828.491</v>
      </c>
      <c r="F3682" s="4" t="str">
        <f>HYPERLINK("http://141.218.60.56/~jnz1568/getInfo.php?workbook=10_05.xlsx&amp;sheet=A0&amp;row=3682&amp;col=6&amp;number=16700&amp;sourceID=14","16700")</f>
        <v>16700</v>
      </c>
      <c r="G3682" s="4" t="str">
        <f>HYPERLINK("http://141.218.60.56/~jnz1568/getInfo.php?workbook=10_05.xlsx&amp;sheet=A0&amp;row=3682&amp;col=7&amp;number=0&amp;sourceID=14","0")</f>
        <v>0</v>
      </c>
    </row>
    <row r="3683" spans="1:7">
      <c r="A3683" s="3">
        <v>10</v>
      </c>
      <c r="B3683" s="3">
        <v>5</v>
      </c>
      <c r="C3683" s="3">
        <v>81</v>
      </c>
      <c r="D3683" s="3">
        <v>73</v>
      </c>
      <c r="E3683" s="3">
        <v>3828.491</v>
      </c>
      <c r="F3683" s="4" t="str">
        <f>HYPERLINK("http://141.218.60.56/~jnz1568/getInfo.php?workbook=10_05.xlsx&amp;sheet=A0&amp;row=3683&amp;col=6&amp;number=1750&amp;sourceID=14","1750")</f>
        <v>1750</v>
      </c>
      <c r="G3683" s="4" t="str">
        <f>HYPERLINK("http://141.218.60.56/~jnz1568/getInfo.php?workbook=10_05.xlsx&amp;sheet=A0&amp;row=3683&amp;col=7&amp;number=0&amp;sourceID=14","0")</f>
        <v>0</v>
      </c>
    </row>
    <row r="3684" spans="1:7">
      <c r="A3684" s="3">
        <v>10</v>
      </c>
      <c r="B3684" s="3">
        <v>5</v>
      </c>
      <c r="C3684" s="3">
        <v>99</v>
      </c>
      <c r="D3684" s="3">
        <v>73</v>
      </c>
      <c r="E3684" s="3">
        <v>-1439.929</v>
      </c>
      <c r="F3684" s="4" t="str">
        <f>HYPERLINK("http://141.218.60.56/~jnz1568/getInfo.php?workbook=10_05.xlsx&amp;sheet=A0&amp;row=3684&amp;col=6&amp;number=12400&amp;sourceID=14","12400")</f>
        <v>12400</v>
      </c>
      <c r="G3684" s="4" t="str">
        <f>HYPERLINK("http://141.218.60.56/~jnz1568/getInfo.php?workbook=10_05.xlsx&amp;sheet=A0&amp;row=3684&amp;col=7&amp;number=0&amp;sourceID=14","0")</f>
        <v>0</v>
      </c>
    </row>
    <row r="3685" spans="1:7">
      <c r="A3685" s="3">
        <v>10</v>
      </c>
      <c r="B3685" s="3">
        <v>5</v>
      </c>
      <c r="C3685" s="3">
        <v>100</v>
      </c>
      <c r="D3685" s="3">
        <v>73</v>
      </c>
      <c r="E3685" s="3">
        <v>-1434.496</v>
      </c>
      <c r="F3685" s="4" t="str">
        <f>HYPERLINK("http://141.218.60.56/~jnz1568/getInfo.php?workbook=10_05.xlsx&amp;sheet=A0&amp;row=3685&amp;col=6&amp;number=328&amp;sourceID=14","328")</f>
        <v>328</v>
      </c>
      <c r="G3685" s="4" t="str">
        <f>HYPERLINK("http://141.218.60.56/~jnz1568/getInfo.php?workbook=10_05.xlsx&amp;sheet=A0&amp;row=3685&amp;col=7&amp;number=0&amp;sourceID=14","0")</f>
        <v>0</v>
      </c>
    </row>
    <row r="3686" spans="1:7">
      <c r="A3686" s="3">
        <v>10</v>
      </c>
      <c r="B3686" s="3">
        <v>5</v>
      </c>
      <c r="C3686" s="3">
        <v>105</v>
      </c>
      <c r="D3686" s="3">
        <v>73</v>
      </c>
      <c r="E3686" s="3">
        <v>-1325.788</v>
      </c>
      <c r="F3686" s="4" t="str">
        <f>HYPERLINK("http://141.218.60.56/~jnz1568/getInfo.php?workbook=10_05.xlsx&amp;sheet=A0&amp;row=3686&amp;col=6&amp;number=55400&amp;sourceID=14","55400")</f>
        <v>55400</v>
      </c>
      <c r="G3686" s="4" t="str">
        <f>HYPERLINK("http://141.218.60.56/~jnz1568/getInfo.php?workbook=10_05.xlsx&amp;sheet=A0&amp;row=3686&amp;col=7&amp;number=0&amp;sourceID=14","0")</f>
        <v>0</v>
      </c>
    </row>
    <row r="3687" spans="1:7">
      <c r="A3687" s="3">
        <v>10</v>
      </c>
      <c r="B3687" s="3">
        <v>5</v>
      </c>
      <c r="C3687" s="3">
        <v>106</v>
      </c>
      <c r="D3687" s="3">
        <v>73</v>
      </c>
      <c r="E3687" s="3">
        <v>-1323.594</v>
      </c>
      <c r="F3687" s="4" t="str">
        <f>HYPERLINK("http://141.218.60.56/~jnz1568/getInfo.php?workbook=10_05.xlsx&amp;sheet=A0&amp;row=3687&amp;col=6&amp;number=1190&amp;sourceID=14","1190")</f>
        <v>1190</v>
      </c>
      <c r="G3687" s="4" t="str">
        <f>HYPERLINK("http://141.218.60.56/~jnz1568/getInfo.php?workbook=10_05.xlsx&amp;sheet=A0&amp;row=3687&amp;col=7&amp;number=0&amp;sourceID=14","0")</f>
        <v>0</v>
      </c>
    </row>
    <row r="3688" spans="1:7">
      <c r="A3688" s="3">
        <v>10</v>
      </c>
      <c r="B3688" s="3">
        <v>5</v>
      </c>
      <c r="C3688" s="3">
        <v>107</v>
      </c>
      <c r="D3688" s="3">
        <v>73</v>
      </c>
      <c r="E3688" s="3">
        <v>-1318.742</v>
      </c>
      <c r="F3688" s="4" t="str">
        <f>HYPERLINK("http://141.218.60.56/~jnz1568/getInfo.php?workbook=10_05.xlsx&amp;sheet=A0&amp;row=3688&amp;col=6&amp;number=10500&amp;sourceID=14","10500")</f>
        <v>10500</v>
      </c>
      <c r="G3688" s="4" t="str">
        <f>HYPERLINK("http://141.218.60.56/~jnz1568/getInfo.php?workbook=10_05.xlsx&amp;sheet=A0&amp;row=3688&amp;col=7&amp;number=0&amp;sourceID=14","0")</f>
        <v>0</v>
      </c>
    </row>
    <row r="3689" spans="1:7">
      <c r="A3689" s="3">
        <v>10</v>
      </c>
      <c r="B3689" s="3">
        <v>5</v>
      </c>
      <c r="C3689" s="3">
        <v>109</v>
      </c>
      <c r="D3689" s="3">
        <v>73</v>
      </c>
      <c r="E3689" s="3">
        <v>-1306.611</v>
      </c>
      <c r="F3689" s="4" t="str">
        <f>HYPERLINK("http://141.218.60.56/~jnz1568/getInfo.php?workbook=10_05.xlsx&amp;sheet=A0&amp;row=3689&amp;col=6&amp;number=134000&amp;sourceID=14","134000")</f>
        <v>134000</v>
      </c>
      <c r="G3689" s="4" t="str">
        <f>HYPERLINK("http://141.218.60.56/~jnz1568/getInfo.php?workbook=10_05.xlsx&amp;sheet=A0&amp;row=3689&amp;col=7&amp;number=0&amp;sourceID=14","0")</f>
        <v>0</v>
      </c>
    </row>
    <row r="3690" spans="1:7">
      <c r="A3690" s="3">
        <v>10</v>
      </c>
      <c r="B3690" s="3">
        <v>5</v>
      </c>
      <c r="C3690" s="3">
        <v>111</v>
      </c>
      <c r="D3690" s="3">
        <v>73</v>
      </c>
      <c r="E3690" s="3">
        <v>-1296.481</v>
      </c>
      <c r="F3690" s="4" t="str">
        <f>HYPERLINK("http://141.218.60.56/~jnz1568/getInfo.php?workbook=10_05.xlsx&amp;sheet=A0&amp;row=3690&amp;col=6&amp;number=938000&amp;sourceID=14","938000")</f>
        <v>938000</v>
      </c>
      <c r="G3690" s="4" t="str">
        <f>HYPERLINK("http://141.218.60.56/~jnz1568/getInfo.php?workbook=10_05.xlsx&amp;sheet=A0&amp;row=3690&amp;col=7&amp;number=0&amp;sourceID=14","0")</f>
        <v>0</v>
      </c>
    </row>
    <row r="3691" spans="1:7">
      <c r="A3691" s="3">
        <v>10</v>
      </c>
      <c r="B3691" s="3">
        <v>5</v>
      </c>
      <c r="C3691" s="3">
        <v>115</v>
      </c>
      <c r="D3691" s="3">
        <v>73</v>
      </c>
      <c r="E3691" s="3">
        <v>-1190.28</v>
      </c>
      <c r="F3691" s="4" t="str">
        <f>HYPERLINK("http://141.218.60.56/~jnz1568/getInfo.php?workbook=10_05.xlsx&amp;sheet=A0&amp;row=3691&amp;col=6&amp;number=14300000&amp;sourceID=14","14300000")</f>
        <v>14300000</v>
      </c>
      <c r="G3691" s="4" t="str">
        <f>HYPERLINK("http://141.218.60.56/~jnz1568/getInfo.php?workbook=10_05.xlsx&amp;sheet=A0&amp;row=3691&amp;col=7&amp;number=0&amp;sourceID=14","0")</f>
        <v>0</v>
      </c>
    </row>
    <row r="3692" spans="1:7">
      <c r="A3692" s="3">
        <v>10</v>
      </c>
      <c r="B3692" s="3">
        <v>5</v>
      </c>
      <c r="C3692" s="3">
        <v>117</v>
      </c>
      <c r="D3692" s="3">
        <v>73</v>
      </c>
      <c r="E3692" s="3">
        <v>-1174.704</v>
      </c>
      <c r="F3692" s="4" t="str">
        <f>HYPERLINK("http://141.218.60.56/~jnz1568/getInfo.php?workbook=10_05.xlsx&amp;sheet=A0&amp;row=3692&amp;col=6&amp;number=4790&amp;sourceID=14","4790")</f>
        <v>4790</v>
      </c>
      <c r="G3692" s="4" t="str">
        <f>HYPERLINK("http://141.218.60.56/~jnz1568/getInfo.php?workbook=10_05.xlsx&amp;sheet=A0&amp;row=3692&amp;col=7&amp;number=0&amp;sourceID=14","0")</f>
        <v>0</v>
      </c>
    </row>
    <row r="3693" spans="1:7">
      <c r="A3693" s="3">
        <v>10</v>
      </c>
      <c r="B3693" s="3">
        <v>5</v>
      </c>
      <c r="C3693" s="3">
        <v>118</v>
      </c>
      <c r="D3693" s="3">
        <v>73</v>
      </c>
      <c r="E3693" s="3">
        <v>-1173.587</v>
      </c>
      <c r="F3693" s="4" t="str">
        <f>HYPERLINK("http://141.218.60.56/~jnz1568/getInfo.php?workbook=10_05.xlsx&amp;sheet=A0&amp;row=3693&amp;col=6&amp;number=20100&amp;sourceID=14","20100")</f>
        <v>20100</v>
      </c>
      <c r="G3693" s="4" t="str">
        <f>HYPERLINK("http://141.218.60.56/~jnz1568/getInfo.php?workbook=10_05.xlsx&amp;sheet=A0&amp;row=3693&amp;col=7&amp;number=0&amp;sourceID=14","0")</f>
        <v>0</v>
      </c>
    </row>
    <row r="3694" spans="1:7">
      <c r="A3694" s="3">
        <v>10</v>
      </c>
      <c r="B3694" s="3">
        <v>5</v>
      </c>
      <c r="C3694" s="3">
        <v>119</v>
      </c>
      <c r="D3694" s="3">
        <v>73</v>
      </c>
      <c r="E3694" s="3">
        <v>-1172.899</v>
      </c>
      <c r="F3694" s="4" t="str">
        <f>HYPERLINK("http://141.218.60.56/~jnz1568/getInfo.php?workbook=10_05.xlsx&amp;sheet=A0&amp;row=3694&amp;col=6&amp;number=803&amp;sourceID=14","803")</f>
        <v>803</v>
      </c>
      <c r="G3694" s="4" t="str">
        <f>HYPERLINK("http://141.218.60.56/~jnz1568/getInfo.php?workbook=10_05.xlsx&amp;sheet=A0&amp;row=3694&amp;col=7&amp;number=0&amp;sourceID=14","0")</f>
        <v>0</v>
      </c>
    </row>
    <row r="3695" spans="1:7">
      <c r="A3695" s="3">
        <v>10</v>
      </c>
      <c r="B3695" s="3">
        <v>5</v>
      </c>
      <c r="C3695" s="3">
        <v>120</v>
      </c>
      <c r="D3695" s="3">
        <v>73</v>
      </c>
      <c r="E3695" s="3">
        <v>-1130.968</v>
      </c>
      <c r="F3695" s="4" t="str">
        <f>HYPERLINK("http://141.218.60.56/~jnz1568/getInfo.php?workbook=10_05.xlsx&amp;sheet=A0&amp;row=3695&amp;col=6&amp;number=443000&amp;sourceID=14","443000")</f>
        <v>443000</v>
      </c>
      <c r="G3695" s="4" t="str">
        <f>HYPERLINK("http://141.218.60.56/~jnz1568/getInfo.php?workbook=10_05.xlsx&amp;sheet=A0&amp;row=3695&amp;col=7&amp;number=0&amp;sourceID=14","0")</f>
        <v>0</v>
      </c>
    </row>
    <row r="3696" spans="1:7">
      <c r="A3696" s="3">
        <v>10</v>
      </c>
      <c r="B3696" s="3">
        <v>5</v>
      </c>
      <c r="C3696" s="3">
        <v>121</v>
      </c>
      <c r="D3696" s="3">
        <v>73</v>
      </c>
      <c r="E3696" s="3">
        <v>-1128.11</v>
      </c>
      <c r="F3696" s="4" t="str">
        <f>HYPERLINK("http://141.218.60.56/~jnz1568/getInfo.php?workbook=10_05.xlsx&amp;sheet=A0&amp;row=3696&amp;col=6&amp;number=90400&amp;sourceID=14","90400")</f>
        <v>90400</v>
      </c>
      <c r="G3696" s="4" t="str">
        <f>HYPERLINK("http://141.218.60.56/~jnz1568/getInfo.php?workbook=10_05.xlsx&amp;sheet=A0&amp;row=3696&amp;col=7&amp;number=0&amp;sourceID=14","0")</f>
        <v>0</v>
      </c>
    </row>
    <row r="3697" spans="1:7">
      <c r="A3697" s="3">
        <v>10</v>
      </c>
      <c r="B3697" s="3">
        <v>5</v>
      </c>
      <c r="C3697" s="3">
        <v>122</v>
      </c>
      <c r="D3697" s="3">
        <v>73</v>
      </c>
      <c r="E3697" s="3">
        <v>-1123.421</v>
      </c>
      <c r="F3697" s="4" t="str">
        <f>HYPERLINK("http://141.218.60.56/~jnz1568/getInfo.php?workbook=10_05.xlsx&amp;sheet=A0&amp;row=3697&amp;col=6&amp;number=166&amp;sourceID=14","166")</f>
        <v>166</v>
      </c>
      <c r="G3697" s="4" t="str">
        <f>HYPERLINK("http://141.218.60.56/~jnz1568/getInfo.php?workbook=10_05.xlsx&amp;sheet=A0&amp;row=3697&amp;col=7&amp;number=0&amp;sourceID=14","0")</f>
        <v>0</v>
      </c>
    </row>
    <row r="3698" spans="1:7">
      <c r="A3698" s="3">
        <v>10</v>
      </c>
      <c r="B3698" s="3">
        <v>5</v>
      </c>
      <c r="C3698" s="3">
        <v>123</v>
      </c>
      <c r="D3698" s="3">
        <v>73</v>
      </c>
      <c r="E3698" s="3">
        <v>-1119.723</v>
      </c>
      <c r="F3698" s="4" t="str">
        <f>HYPERLINK("http://141.218.60.56/~jnz1568/getInfo.php?workbook=10_05.xlsx&amp;sheet=A0&amp;row=3698&amp;col=6&amp;number=41900&amp;sourceID=14","41900")</f>
        <v>41900</v>
      </c>
      <c r="G3698" s="4" t="str">
        <f>HYPERLINK("http://141.218.60.56/~jnz1568/getInfo.php?workbook=10_05.xlsx&amp;sheet=A0&amp;row=3698&amp;col=7&amp;number=0&amp;sourceID=14","0")</f>
        <v>0</v>
      </c>
    </row>
    <row r="3699" spans="1:7">
      <c r="A3699" s="3">
        <v>10</v>
      </c>
      <c r="B3699" s="3">
        <v>5</v>
      </c>
      <c r="C3699" s="3">
        <v>125</v>
      </c>
      <c r="D3699" s="3">
        <v>73</v>
      </c>
      <c r="E3699" s="3">
        <v>-1105.683</v>
      </c>
      <c r="F3699" s="4" t="str">
        <f>HYPERLINK("http://141.218.60.56/~jnz1568/getInfo.php?workbook=10_05.xlsx&amp;sheet=A0&amp;row=3699&amp;col=6&amp;number=20800000&amp;sourceID=14","20800000")</f>
        <v>20800000</v>
      </c>
      <c r="G3699" s="4" t="str">
        <f>HYPERLINK("http://141.218.60.56/~jnz1568/getInfo.php?workbook=10_05.xlsx&amp;sheet=A0&amp;row=3699&amp;col=7&amp;number=0&amp;sourceID=14","0")</f>
        <v>0</v>
      </c>
    </row>
    <row r="3700" spans="1:7">
      <c r="A3700" s="3">
        <v>10</v>
      </c>
      <c r="B3700" s="3">
        <v>5</v>
      </c>
      <c r="C3700" s="3">
        <v>126</v>
      </c>
      <c r="D3700" s="3">
        <v>73</v>
      </c>
      <c r="E3700" s="3">
        <v>-1102.331</v>
      </c>
      <c r="F3700" s="4" t="str">
        <f>HYPERLINK("http://141.218.60.56/~jnz1568/getInfo.php?workbook=10_05.xlsx&amp;sheet=A0&amp;row=3700&amp;col=6&amp;number=857000&amp;sourceID=14","857000")</f>
        <v>857000</v>
      </c>
      <c r="G3700" s="4" t="str">
        <f>HYPERLINK("http://141.218.60.56/~jnz1568/getInfo.php?workbook=10_05.xlsx&amp;sheet=A0&amp;row=3700&amp;col=7&amp;number=0&amp;sourceID=14","0")</f>
        <v>0</v>
      </c>
    </row>
    <row r="3701" spans="1:7">
      <c r="A3701" s="3">
        <v>10</v>
      </c>
      <c r="B3701" s="3">
        <v>5</v>
      </c>
      <c r="C3701" s="3">
        <v>129</v>
      </c>
      <c r="D3701" s="3">
        <v>73</v>
      </c>
      <c r="E3701" s="3">
        <v>1069.178</v>
      </c>
      <c r="F3701" s="4" t="str">
        <f>HYPERLINK("http://141.218.60.56/~jnz1568/getInfo.php?workbook=10_05.xlsx&amp;sheet=A0&amp;row=3701&amp;col=6&amp;number=19600000&amp;sourceID=14","19600000")</f>
        <v>19600000</v>
      </c>
      <c r="G3701" s="4" t="str">
        <f>HYPERLINK("http://141.218.60.56/~jnz1568/getInfo.php?workbook=10_05.xlsx&amp;sheet=A0&amp;row=3701&amp;col=7&amp;number=0&amp;sourceID=14","0")</f>
        <v>0</v>
      </c>
    </row>
    <row r="3702" spans="1:7">
      <c r="A3702" s="3">
        <v>10</v>
      </c>
      <c r="B3702" s="3">
        <v>5</v>
      </c>
      <c r="C3702" s="3">
        <v>130</v>
      </c>
      <c r="D3702" s="3">
        <v>73</v>
      </c>
      <c r="E3702" s="3">
        <v>1069.178</v>
      </c>
      <c r="F3702" s="4" t="str">
        <f>HYPERLINK("http://141.218.60.56/~jnz1568/getInfo.php?workbook=10_05.xlsx&amp;sheet=A0&amp;row=3702&amp;col=6&amp;number=1160000&amp;sourceID=14","1160000")</f>
        <v>1160000</v>
      </c>
      <c r="G3702" s="4" t="str">
        <f>HYPERLINK("http://141.218.60.56/~jnz1568/getInfo.php?workbook=10_05.xlsx&amp;sheet=A0&amp;row=3702&amp;col=7&amp;number=0&amp;sourceID=14","0")</f>
        <v>0</v>
      </c>
    </row>
    <row r="3703" spans="1:7">
      <c r="A3703" s="3">
        <v>10</v>
      </c>
      <c r="B3703" s="3">
        <v>5</v>
      </c>
      <c r="C3703" s="3">
        <v>131</v>
      </c>
      <c r="D3703" s="3">
        <v>73</v>
      </c>
      <c r="E3703" s="3">
        <v>-1062.995</v>
      </c>
      <c r="F3703" s="4" t="str">
        <f>HYPERLINK("http://141.218.60.56/~jnz1568/getInfo.php?workbook=10_05.xlsx&amp;sheet=A0&amp;row=3703&amp;col=6&amp;number=237&amp;sourceID=14","237")</f>
        <v>237</v>
      </c>
      <c r="G3703" s="4" t="str">
        <f>HYPERLINK("http://141.218.60.56/~jnz1568/getInfo.php?workbook=10_05.xlsx&amp;sheet=A0&amp;row=3703&amp;col=7&amp;number=0&amp;sourceID=14","0")</f>
        <v>0</v>
      </c>
    </row>
    <row r="3704" spans="1:7">
      <c r="A3704" s="3">
        <v>10</v>
      </c>
      <c r="B3704" s="3">
        <v>5</v>
      </c>
      <c r="C3704" s="3">
        <v>132</v>
      </c>
      <c r="D3704" s="3">
        <v>73</v>
      </c>
      <c r="E3704" s="3">
        <v>-1061.336</v>
      </c>
      <c r="F3704" s="4" t="str">
        <f>HYPERLINK("http://141.218.60.56/~jnz1568/getInfo.php?workbook=10_05.xlsx&amp;sheet=A0&amp;row=3704&amp;col=6&amp;number=85200&amp;sourceID=14","85200")</f>
        <v>85200</v>
      </c>
      <c r="G3704" s="4" t="str">
        <f>HYPERLINK("http://141.218.60.56/~jnz1568/getInfo.php?workbook=10_05.xlsx&amp;sheet=A0&amp;row=3704&amp;col=7&amp;number=0&amp;sourceID=14","0")</f>
        <v>0</v>
      </c>
    </row>
    <row r="3705" spans="1:7">
      <c r="A3705" s="3">
        <v>10</v>
      </c>
      <c r="B3705" s="3">
        <v>5</v>
      </c>
      <c r="C3705" s="3">
        <v>133</v>
      </c>
      <c r="D3705" s="3">
        <v>73</v>
      </c>
      <c r="E3705" s="3">
        <v>-1058.999</v>
      </c>
      <c r="F3705" s="4" t="str">
        <f>HYPERLINK("http://141.218.60.56/~jnz1568/getInfo.php?workbook=10_05.xlsx&amp;sheet=A0&amp;row=3705&amp;col=6&amp;number=338000&amp;sourceID=14","338000")</f>
        <v>338000</v>
      </c>
      <c r="G3705" s="4" t="str">
        <f>HYPERLINK("http://141.218.60.56/~jnz1568/getInfo.php?workbook=10_05.xlsx&amp;sheet=A0&amp;row=3705&amp;col=7&amp;number=0&amp;sourceID=14","0")</f>
        <v>0</v>
      </c>
    </row>
    <row r="3706" spans="1:7">
      <c r="A3706" s="3">
        <v>10</v>
      </c>
      <c r="B3706" s="3">
        <v>5</v>
      </c>
      <c r="C3706" s="3">
        <v>140</v>
      </c>
      <c r="D3706" s="3">
        <v>73</v>
      </c>
      <c r="E3706" s="3">
        <v>-1007.386</v>
      </c>
      <c r="F3706" s="4" t="str">
        <f>HYPERLINK("http://141.218.60.56/~jnz1568/getInfo.php?workbook=10_05.xlsx&amp;sheet=A0&amp;row=3706&amp;col=6&amp;number=83300&amp;sourceID=14","83300")</f>
        <v>83300</v>
      </c>
      <c r="G3706" s="4" t="str">
        <f>HYPERLINK("http://141.218.60.56/~jnz1568/getInfo.php?workbook=10_05.xlsx&amp;sheet=A0&amp;row=3706&amp;col=7&amp;number=0&amp;sourceID=14","0")</f>
        <v>0</v>
      </c>
    </row>
    <row r="3707" spans="1:7">
      <c r="A3707" s="3">
        <v>10</v>
      </c>
      <c r="B3707" s="3">
        <v>5</v>
      </c>
      <c r="C3707" s="3">
        <v>150</v>
      </c>
      <c r="D3707" s="3">
        <v>73</v>
      </c>
      <c r="E3707" s="3">
        <v>-941.586</v>
      </c>
      <c r="F3707" s="4" t="str">
        <f>HYPERLINK("http://141.218.60.56/~jnz1568/getInfo.php?workbook=10_05.xlsx&amp;sheet=A0&amp;row=3707&amp;col=6&amp;number=719000000&amp;sourceID=14","719000000")</f>
        <v>719000000</v>
      </c>
      <c r="G3707" s="4" t="str">
        <f>HYPERLINK("http://141.218.60.56/~jnz1568/getInfo.php?workbook=10_05.xlsx&amp;sheet=A0&amp;row=3707&amp;col=7&amp;number=0&amp;sourceID=14","0")</f>
        <v>0</v>
      </c>
    </row>
    <row r="3708" spans="1:7">
      <c r="A3708" s="3">
        <v>10</v>
      </c>
      <c r="B3708" s="3">
        <v>5</v>
      </c>
      <c r="C3708" s="3">
        <v>151</v>
      </c>
      <c r="D3708" s="3">
        <v>73</v>
      </c>
      <c r="E3708" s="3">
        <v>-941.391</v>
      </c>
      <c r="F3708" s="4" t="str">
        <f>HYPERLINK("http://141.218.60.56/~jnz1568/getInfo.php?workbook=10_05.xlsx&amp;sheet=A0&amp;row=3708&amp;col=6&amp;number=273000000&amp;sourceID=14","273000000")</f>
        <v>273000000</v>
      </c>
      <c r="G3708" s="4" t="str">
        <f>HYPERLINK("http://141.218.60.56/~jnz1568/getInfo.php?workbook=10_05.xlsx&amp;sheet=A0&amp;row=3708&amp;col=7&amp;number=0&amp;sourceID=14","0")</f>
        <v>0</v>
      </c>
    </row>
    <row r="3709" spans="1:7">
      <c r="A3709" s="3">
        <v>10</v>
      </c>
      <c r="B3709" s="3">
        <v>5</v>
      </c>
      <c r="C3709" s="3">
        <v>155</v>
      </c>
      <c r="D3709" s="3">
        <v>73</v>
      </c>
      <c r="E3709" s="3">
        <v>913.244</v>
      </c>
      <c r="F3709" s="4" t="str">
        <f>HYPERLINK("http://141.218.60.56/~jnz1568/getInfo.php?workbook=10_05.xlsx&amp;sheet=A0&amp;row=3709&amp;col=6&amp;number=34000000&amp;sourceID=14","34000000")</f>
        <v>34000000</v>
      </c>
      <c r="G3709" s="4" t="str">
        <f>HYPERLINK("http://141.218.60.56/~jnz1568/getInfo.php?workbook=10_05.xlsx&amp;sheet=A0&amp;row=3709&amp;col=7&amp;number=0&amp;sourceID=14","0")</f>
        <v>0</v>
      </c>
    </row>
    <row r="3710" spans="1:7">
      <c r="A3710" s="3">
        <v>10</v>
      </c>
      <c r="B3710" s="3">
        <v>5</v>
      </c>
      <c r="C3710" s="3">
        <v>156</v>
      </c>
      <c r="D3710" s="3">
        <v>73</v>
      </c>
      <c r="E3710" s="3">
        <v>-906.423</v>
      </c>
      <c r="F3710" s="4" t="str">
        <f>HYPERLINK("http://141.218.60.56/~jnz1568/getInfo.php?workbook=10_05.xlsx&amp;sheet=A0&amp;row=3710&amp;col=6&amp;number=84900000&amp;sourceID=14","84900000")</f>
        <v>84900000</v>
      </c>
      <c r="G3710" s="4" t="str">
        <f>HYPERLINK("http://141.218.60.56/~jnz1568/getInfo.php?workbook=10_05.xlsx&amp;sheet=A0&amp;row=3710&amp;col=7&amp;number=0&amp;sourceID=14","0")</f>
        <v>0</v>
      </c>
    </row>
    <row r="3711" spans="1:7">
      <c r="A3711" s="3">
        <v>10</v>
      </c>
      <c r="B3711" s="3">
        <v>5</v>
      </c>
      <c r="C3711" s="3">
        <v>157</v>
      </c>
      <c r="D3711" s="3">
        <v>73</v>
      </c>
      <c r="E3711" s="3">
        <v>-904.954</v>
      </c>
      <c r="F3711" s="4" t="str">
        <f>HYPERLINK("http://141.218.60.56/~jnz1568/getInfo.php?workbook=10_05.xlsx&amp;sheet=A0&amp;row=3711&amp;col=6&amp;number=4950000&amp;sourceID=14","4950000")</f>
        <v>4950000</v>
      </c>
      <c r="G3711" s="4" t="str">
        <f>HYPERLINK("http://141.218.60.56/~jnz1568/getInfo.php?workbook=10_05.xlsx&amp;sheet=A0&amp;row=3711&amp;col=7&amp;number=0&amp;sourceID=14","0")</f>
        <v>0</v>
      </c>
    </row>
    <row r="3712" spans="1:7">
      <c r="A3712" s="3">
        <v>10</v>
      </c>
      <c r="B3712" s="3">
        <v>5</v>
      </c>
      <c r="C3712" s="3">
        <v>160</v>
      </c>
      <c r="D3712" s="3">
        <v>73</v>
      </c>
      <c r="E3712" s="3">
        <v>-894.704</v>
      </c>
      <c r="F3712" s="4" t="str">
        <f>HYPERLINK("http://141.218.60.56/~jnz1568/getInfo.php?workbook=10_05.xlsx&amp;sheet=A0&amp;row=3712&amp;col=6&amp;number=2550&amp;sourceID=14","2550")</f>
        <v>2550</v>
      </c>
      <c r="G3712" s="4" t="str">
        <f>HYPERLINK("http://141.218.60.56/~jnz1568/getInfo.php?workbook=10_05.xlsx&amp;sheet=A0&amp;row=3712&amp;col=7&amp;number=0&amp;sourceID=14","0")</f>
        <v>0</v>
      </c>
    </row>
    <row r="3713" spans="1:7">
      <c r="A3713" s="3">
        <v>10</v>
      </c>
      <c r="B3713" s="3">
        <v>5</v>
      </c>
      <c r="C3713" s="3">
        <v>161</v>
      </c>
      <c r="D3713" s="3">
        <v>73</v>
      </c>
      <c r="E3713" s="3">
        <v>892.142</v>
      </c>
      <c r="F3713" s="4" t="str">
        <f>HYPERLINK("http://141.218.60.56/~jnz1568/getInfo.php?workbook=10_05.xlsx&amp;sheet=A0&amp;row=3713&amp;col=6&amp;number=459000000&amp;sourceID=14","459000000")</f>
        <v>459000000</v>
      </c>
      <c r="G3713" s="4" t="str">
        <f>HYPERLINK("http://141.218.60.56/~jnz1568/getInfo.php?workbook=10_05.xlsx&amp;sheet=A0&amp;row=3713&amp;col=7&amp;number=0&amp;sourceID=14","0")</f>
        <v>0</v>
      </c>
    </row>
    <row r="3714" spans="1:7">
      <c r="A3714" s="3">
        <v>10</v>
      </c>
      <c r="B3714" s="3">
        <v>5</v>
      </c>
      <c r="C3714" s="3">
        <v>162</v>
      </c>
      <c r="D3714" s="3">
        <v>73</v>
      </c>
      <c r="E3714" s="3">
        <v>889.761</v>
      </c>
      <c r="F3714" s="4" t="str">
        <f>HYPERLINK("http://141.218.60.56/~jnz1568/getInfo.php?workbook=10_05.xlsx&amp;sheet=A0&amp;row=3714&amp;col=6&amp;number=43800000&amp;sourceID=14","43800000")</f>
        <v>43800000</v>
      </c>
      <c r="G3714" s="4" t="str">
        <f>HYPERLINK("http://141.218.60.56/~jnz1568/getInfo.php?workbook=10_05.xlsx&amp;sheet=A0&amp;row=3714&amp;col=7&amp;number=0&amp;sourceID=14","0")</f>
        <v>0</v>
      </c>
    </row>
    <row r="3715" spans="1:7">
      <c r="A3715" s="3">
        <v>10</v>
      </c>
      <c r="B3715" s="3">
        <v>5</v>
      </c>
      <c r="C3715" s="3">
        <v>163</v>
      </c>
      <c r="D3715" s="3">
        <v>73</v>
      </c>
      <c r="E3715" s="3">
        <v>-794.062</v>
      </c>
      <c r="F3715" s="4" t="str">
        <f>HYPERLINK("http://141.218.60.56/~jnz1568/getInfo.php?workbook=10_05.xlsx&amp;sheet=A0&amp;row=3715&amp;col=6&amp;number=2870&amp;sourceID=14","2870")</f>
        <v>2870</v>
      </c>
      <c r="G3715" s="4" t="str">
        <f>HYPERLINK("http://141.218.60.56/~jnz1568/getInfo.php?workbook=10_05.xlsx&amp;sheet=A0&amp;row=3715&amp;col=7&amp;number=0&amp;sourceID=14","0")</f>
        <v>0</v>
      </c>
    </row>
    <row r="3716" spans="1:7">
      <c r="A3716" s="3">
        <v>10</v>
      </c>
      <c r="B3716" s="3">
        <v>5</v>
      </c>
      <c r="C3716" s="3">
        <v>168</v>
      </c>
      <c r="D3716" s="3">
        <v>73</v>
      </c>
      <c r="E3716" s="3">
        <v>-519.201</v>
      </c>
      <c r="F3716" s="4" t="str">
        <f>HYPERLINK("http://141.218.60.56/~jnz1568/getInfo.php?workbook=10_05.xlsx&amp;sheet=A0&amp;row=3716&amp;col=6&amp;number=57500000&amp;sourceID=14","57500000")</f>
        <v>57500000</v>
      </c>
      <c r="G3716" s="4" t="str">
        <f>HYPERLINK("http://141.218.60.56/~jnz1568/getInfo.php?workbook=10_05.xlsx&amp;sheet=A0&amp;row=3716&amp;col=7&amp;number=0&amp;sourceID=14","0")</f>
        <v>0</v>
      </c>
    </row>
    <row r="3717" spans="1:7">
      <c r="A3717" s="3">
        <v>10</v>
      </c>
      <c r="B3717" s="3">
        <v>5</v>
      </c>
      <c r="C3717" s="3">
        <v>169</v>
      </c>
      <c r="D3717" s="3">
        <v>73</v>
      </c>
      <c r="E3717" s="3">
        <v>-519.072</v>
      </c>
      <c r="F3717" s="4" t="str">
        <f>HYPERLINK("http://141.218.60.56/~jnz1568/getInfo.php?workbook=10_05.xlsx&amp;sheet=A0&amp;row=3717&amp;col=6&amp;number=785000000&amp;sourceID=14","785000000")</f>
        <v>785000000</v>
      </c>
      <c r="G3717" s="4" t="str">
        <f>HYPERLINK("http://141.218.60.56/~jnz1568/getInfo.php?workbook=10_05.xlsx&amp;sheet=A0&amp;row=3717&amp;col=7&amp;number=0&amp;sourceID=14","0")</f>
        <v>0</v>
      </c>
    </row>
    <row r="3718" spans="1:7">
      <c r="A3718" s="3">
        <v>10</v>
      </c>
      <c r="B3718" s="3">
        <v>5</v>
      </c>
      <c r="C3718" s="3">
        <v>170</v>
      </c>
      <c r="D3718" s="3">
        <v>73</v>
      </c>
      <c r="E3718" s="3">
        <v>-494.994</v>
      </c>
      <c r="F3718" s="4" t="str">
        <f>HYPERLINK("http://141.218.60.56/~jnz1568/getInfo.php?workbook=10_05.xlsx&amp;sheet=A0&amp;row=3718&amp;col=6&amp;number=873000000&amp;sourceID=14","873000000")</f>
        <v>873000000</v>
      </c>
      <c r="G3718" s="4" t="str">
        <f>HYPERLINK("http://141.218.60.56/~jnz1568/getInfo.php?workbook=10_05.xlsx&amp;sheet=A0&amp;row=3718&amp;col=7&amp;number=0&amp;sourceID=14","0")</f>
        <v>0</v>
      </c>
    </row>
    <row r="3719" spans="1:7">
      <c r="A3719" s="3">
        <v>10</v>
      </c>
      <c r="B3719" s="3">
        <v>5</v>
      </c>
      <c r="C3719" s="3">
        <v>171</v>
      </c>
      <c r="D3719" s="3">
        <v>73</v>
      </c>
      <c r="E3719" s="3">
        <v>-494.761</v>
      </c>
      <c r="F3719" s="4" t="str">
        <f>HYPERLINK("http://141.218.60.56/~jnz1568/getInfo.php?workbook=10_05.xlsx&amp;sheet=A0&amp;row=3719&amp;col=6&amp;number=101000000&amp;sourceID=14","101000000")</f>
        <v>101000000</v>
      </c>
      <c r="G3719" s="4" t="str">
        <f>HYPERLINK("http://141.218.60.56/~jnz1568/getInfo.php?workbook=10_05.xlsx&amp;sheet=A0&amp;row=3719&amp;col=7&amp;number=0&amp;sourceID=14","0")</f>
        <v>0</v>
      </c>
    </row>
    <row r="3720" spans="1:7">
      <c r="A3720" s="3">
        <v>10</v>
      </c>
      <c r="B3720" s="3">
        <v>5</v>
      </c>
      <c r="C3720" s="3">
        <v>172</v>
      </c>
      <c r="D3720" s="3">
        <v>73</v>
      </c>
      <c r="E3720" s="3">
        <v>-490.034</v>
      </c>
      <c r="F3720" s="4" t="str">
        <f>HYPERLINK("http://141.218.60.56/~jnz1568/getInfo.php?workbook=10_05.xlsx&amp;sheet=A0&amp;row=3720&amp;col=6&amp;number=1210000000&amp;sourceID=14","1210000000")</f>
        <v>1210000000</v>
      </c>
      <c r="G3720" s="4" t="str">
        <f>HYPERLINK("http://141.218.60.56/~jnz1568/getInfo.php?workbook=10_05.xlsx&amp;sheet=A0&amp;row=3720&amp;col=7&amp;number=0&amp;sourceID=14","0")</f>
        <v>0</v>
      </c>
    </row>
    <row r="3721" spans="1:7">
      <c r="A3721" s="3">
        <v>10</v>
      </c>
      <c r="B3721" s="3">
        <v>5</v>
      </c>
      <c r="C3721" s="3">
        <v>173</v>
      </c>
      <c r="D3721" s="3">
        <v>73</v>
      </c>
      <c r="E3721" s="3">
        <v>-489.978</v>
      </c>
      <c r="F3721" s="4" t="str">
        <f>HYPERLINK("http://141.218.60.56/~jnz1568/getInfo.php?workbook=10_05.xlsx&amp;sheet=A0&amp;row=3721&amp;col=6&amp;number=88900000&amp;sourceID=14","88900000")</f>
        <v>88900000</v>
      </c>
      <c r="G3721" s="4" t="str">
        <f>HYPERLINK("http://141.218.60.56/~jnz1568/getInfo.php?workbook=10_05.xlsx&amp;sheet=A0&amp;row=3721&amp;col=7&amp;number=0&amp;sourceID=14","0")</f>
        <v>0</v>
      </c>
    </row>
    <row r="3722" spans="1:7">
      <c r="A3722" s="3">
        <v>10</v>
      </c>
      <c r="B3722" s="3">
        <v>5</v>
      </c>
      <c r="C3722" s="3">
        <v>174</v>
      </c>
      <c r="D3722" s="3">
        <v>73</v>
      </c>
      <c r="E3722" s="3">
        <v>-484.965</v>
      </c>
      <c r="F3722" s="4" t="str">
        <f>HYPERLINK("http://141.218.60.56/~jnz1568/getInfo.php?workbook=10_05.xlsx&amp;sheet=A0&amp;row=3722&amp;col=6&amp;number=149000&amp;sourceID=14","149000")</f>
        <v>149000</v>
      </c>
      <c r="G3722" s="4" t="str">
        <f>HYPERLINK("http://141.218.60.56/~jnz1568/getInfo.php?workbook=10_05.xlsx&amp;sheet=A0&amp;row=3722&amp;col=7&amp;number=0&amp;sourceID=14","0")</f>
        <v>0</v>
      </c>
    </row>
    <row r="3723" spans="1:7">
      <c r="A3723" s="3">
        <v>10</v>
      </c>
      <c r="B3723" s="3">
        <v>5</v>
      </c>
      <c r="C3723" s="3">
        <v>78</v>
      </c>
      <c r="D3723" s="3">
        <v>74</v>
      </c>
      <c r="E3723" s="3">
        <v>-5508.135</v>
      </c>
      <c r="F3723" s="4" t="str">
        <f>HYPERLINK("http://141.218.60.56/~jnz1568/getInfo.php?workbook=10_05.xlsx&amp;sheet=A0&amp;row=3723&amp;col=6&amp;number=2190000&amp;sourceID=14","2190000")</f>
        <v>2190000</v>
      </c>
      <c r="G3723" s="4" t="str">
        <f>HYPERLINK("http://141.218.60.56/~jnz1568/getInfo.php?workbook=10_05.xlsx&amp;sheet=A0&amp;row=3723&amp;col=7&amp;number=0&amp;sourceID=14","0")</f>
        <v>0</v>
      </c>
    </row>
    <row r="3724" spans="1:7">
      <c r="A3724" s="3">
        <v>10</v>
      </c>
      <c r="B3724" s="3">
        <v>5</v>
      </c>
      <c r="C3724" s="3">
        <v>80</v>
      </c>
      <c r="D3724" s="3">
        <v>74</v>
      </c>
      <c r="E3724" s="3">
        <v>3846.161</v>
      </c>
      <c r="F3724" s="4" t="str">
        <f>HYPERLINK("http://141.218.60.56/~jnz1568/getInfo.php?workbook=10_05.xlsx&amp;sheet=A0&amp;row=3724&amp;col=6&amp;number=9780&amp;sourceID=14","9780")</f>
        <v>9780</v>
      </c>
      <c r="G3724" s="4" t="str">
        <f>HYPERLINK("http://141.218.60.56/~jnz1568/getInfo.php?workbook=10_05.xlsx&amp;sheet=A0&amp;row=3724&amp;col=7&amp;number=0&amp;sourceID=14","0")</f>
        <v>0</v>
      </c>
    </row>
    <row r="3725" spans="1:7">
      <c r="A3725" s="3">
        <v>10</v>
      </c>
      <c r="B3725" s="3">
        <v>5</v>
      </c>
      <c r="C3725" s="3">
        <v>81</v>
      </c>
      <c r="D3725" s="3">
        <v>74</v>
      </c>
      <c r="E3725" s="3">
        <v>3846.161</v>
      </c>
      <c r="F3725" s="4" t="str">
        <f>HYPERLINK("http://141.218.60.56/~jnz1568/getInfo.php?workbook=10_05.xlsx&amp;sheet=A0&amp;row=3725&amp;col=6&amp;number=20500&amp;sourceID=14","20500")</f>
        <v>20500</v>
      </c>
      <c r="G3725" s="4" t="str">
        <f>HYPERLINK("http://141.218.60.56/~jnz1568/getInfo.php?workbook=10_05.xlsx&amp;sheet=A0&amp;row=3725&amp;col=7&amp;number=0&amp;sourceID=14","0")</f>
        <v>0</v>
      </c>
    </row>
    <row r="3726" spans="1:7">
      <c r="A3726" s="3">
        <v>10</v>
      </c>
      <c r="B3726" s="3">
        <v>5</v>
      </c>
      <c r="C3726" s="3">
        <v>99</v>
      </c>
      <c r="D3726" s="3">
        <v>74</v>
      </c>
      <c r="E3726" s="3">
        <v>-1442.442</v>
      </c>
      <c r="F3726" s="4" t="str">
        <f>HYPERLINK("http://141.218.60.56/~jnz1568/getInfo.php?workbook=10_05.xlsx&amp;sheet=A0&amp;row=3726&amp;col=6&amp;number=1210&amp;sourceID=14","1210")</f>
        <v>1210</v>
      </c>
      <c r="G3726" s="4" t="str">
        <f>HYPERLINK("http://141.218.60.56/~jnz1568/getInfo.php?workbook=10_05.xlsx&amp;sheet=A0&amp;row=3726&amp;col=7&amp;number=0&amp;sourceID=14","0")</f>
        <v>0</v>
      </c>
    </row>
    <row r="3727" spans="1:7">
      <c r="A3727" s="3">
        <v>10</v>
      </c>
      <c r="B3727" s="3">
        <v>5</v>
      </c>
      <c r="C3727" s="3">
        <v>100</v>
      </c>
      <c r="D3727" s="3">
        <v>74</v>
      </c>
      <c r="E3727" s="3">
        <v>-1436.991</v>
      </c>
      <c r="F3727" s="4" t="str">
        <f>HYPERLINK("http://141.218.60.56/~jnz1568/getInfo.php?workbook=10_05.xlsx&amp;sheet=A0&amp;row=3727&amp;col=6&amp;number=5500&amp;sourceID=14","5500")</f>
        <v>5500</v>
      </c>
      <c r="G3727" s="4" t="str">
        <f>HYPERLINK("http://141.218.60.56/~jnz1568/getInfo.php?workbook=10_05.xlsx&amp;sheet=A0&amp;row=3727&amp;col=7&amp;number=0&amp;sourceID=14","0")</f>
        <v>0</v>
      </c>
    </row>
    <row r="3728" spans="1:7">
      <c r="A3728" s="3">
        <v>10</v>
      </c>
      <c r="B3728" s="3">
        <v>5</v>
      </c>
      <c r="C3728" s="3">
        <v>102</v>
      </c>
      <c r="D3728" s="3">
        <v>74</v>
      </c>
      <c r="E3728" s="3">
        <v>-1429.268</v>
      </c>
      <c r="F3728" s="4" t="str">
        <f>HYPERLINK("http://141.218.60.56/~jnz1568/getInfo.php?workbook=10_05.xlsx&amp;sheet=A0&amp;row=3728&amp;col=6&amp;number=3.44&amp;sourceID=14","3.44")</f>
        <v>3.44</v>
      </c>
      <c r="G3728" s="4" t="str">
        <f>HYPERLINK("http://141.218.60.56/~jnz1568/getInfo.php?workbook=10_05.xlsx&amp;sheet=A0&amp;row=3728&amp;col=7&amp;number=0&amp;sourceID=14","0")</f>
        <v>0</v>
      </c>
    </row>
    <row r="3729" spans="1:7">
      <c r="A3729" s="3">
        <v>10</v>
      </c>
      <c r="B3729" s="3">
        <v>5</v>
      </c>
      <c r="C3729" s="3">
        <v>106</v>
      </c>
      <c r="D3729" s="3">
        <v>74</v>
      </c>
      <c r="E3729" s="3">
        <v>-1325.717</v>
      </c>
      <c r="F3729" s="4" t="str">
        <f>HYPERLINK("http://141.218.60.56/~jnz1568/getInfo.php?workbook=10_05.xlsx&amp;sheet=A0&amp;row=3729&amp;col=6&amp;number=55000&amp;sourceID=14","55000")</f>
        <v>55000</v>
      </c>
      <c r="G3729" s="4" t="str">
        <f>HYPERLINK("http://141.218.60.56/~jnz1568/getInfo.php?workbook=10_05.xlsx&amp;sheet=A0&amp;row=3729&amp;col=7&amp;number=0&amp;sourceID=14","0")</f>
        <v>0</v>
      </c>
    </row>
    <row r="3730" spans="1:7">
      <c r="A3730" s="3">
        <v>10</v>
      </c>
      <c r="B3730" s="3">
        <v>5</v>
      </c>
      <c r="C3730" s="3">
        <v>107</v>
      </c>
      <c r="D3730" s="3">
        <v>74</v>
      </c>
      <c r="E3730" s="3">
        <v>-1320.849</v>
      </c>
      <c r="F3730" s="4" t="str">
        <f>HYPERLINK("http://141.218.60.56/~jnz1568/getInfo.php?workbook=10_05.xlsx&amp;sheet=A0&amp;row=3730&amp;col=6&amp;number=4170&amp;sourceID=14","4170")</f>
        <v>4170</v>
      </c>
      <c r="G3730" s="4" t="str">
        <f>HYPERLINK("http://141.218.60.56/~jnz1568/getInfo.php?workbook=10_05.xlsx&amp;sheet=A0&amp;row=3730&amp;col=7&amp;number=0&amp;sourceID=14","0")</f>
        <v>0</v>
      </c>
    </row>
    <row r="3731" spans="1:7">
      <c r="A3731" s="3">
        <v>10</v>
      </c>
      <c r="B3731" s="3">
        <v>5</v>
      </c>
      <c r="C3731" s="3">
        <v>108</v>
      </c>
      <c r="D3731" s="3">
        <v>74</v>
      </c>
      <c r="E3731" s="3">
        <v>-1315.827</v>
      </c>
      <c r="F3731" s="4" t="str">
        <f>HYPERLINK("http://141.218.60.56/~jnz1568/getInfo.php?workbook=10_05.xlsx&amp;sheet=A0&amp;row=3731&amp;col=6&amp;number=29200&amp;sourceID=14","29200")</f>
        <v>29200</v>
      </c>
      <c r="G3731" s="4" t="str">
        <f>HYPERLINK("http://141.218.60.56/~jnz1568/getInfo.php?workbook=10_05.xlsx&amp;sheet=A0&amp;row=3731&amp;col=7&amp;number=0&amp;sourceID=14","0")</f>
        <v>0</v>
      </c>
    </row>
    <row r="3732" spans="1:7">
      <c r="A3732" s="3">
        <v>10</v>
      </c>
      <c r="B3732" s="3">
        <v>5</v>
      </c>
      <c r="C3732" s="3">
        <v>109</v>
      </c>
      <c r="D3732" s="3">
        <v>74</v>
      </c>
      <c r="E3732" s="3">
        <v>-1308.68</v>
      </c>
      <c r="F3732" s="4" t="str">
        <f>HYPERLINK("http://141.218.60.56/~jnz1568/getInfo.php?workbook=10_05.xlsx&amp;sheet=A0&amp;row=3732&amp;col=6&amp;number=444000&amp;sourceID=14","444000")</f>
        <v>444000</v>
      </c>
      <c r="G3732" s="4" t="str">
        <f>HYPERLINK("http://141.218.60.56/~jnz1568/getInfo.php?workbook=10_05.xlsx&amp;sheet=A0&amp;row=3732&amp;col=7&amp;number=0&amp;sourceID=14","0")</f>
        <v>0</v>
      </c>
    </row>
    <row r="3733" spans="1:7">
      <c r="A3733" s="3">
        <v>10</v>
      </c>
      <c r="B3733" s="3">
        <v>5</v>
      </c>
      <c r="C3733" s="3">
        <v>115</v>
      </c>
      <c r="D3733" s="3">
        <v>74</v>
      </c>
      <c r="E3733" s="3">
        <v>-1191.997</v>
      </c>
      <c r="F3733" s="4" t="str">
        <f>HYPERLINK("http://141.218.60.56/~jnz1568/getInfo.php?workbook=10_05.xlsx&amp;sheet=A0&amp;row=3733&amp;col=6&amp;number=1240000&amp;sourceID=14","1240000")</f>
        <v>1240000</v>
      </c>
      <c r="G3733" s="4" t="str">
        <f>HYPERLINK("http://141.218.60.56/~jnz1568/getInfo.php?workbook=10_05.xlsx&amp;sheet=A0&amp;row=3733&amp;col=7&amp;number=0&amp;sourceID=14","0")</f>
        <v>0</v>
      </c>
    </row>
    <row r="3734" spans="1:7">
      <c r="A3734" s="3">
        <v>10</v>
      </c>
      <c r="B3734" s="3">
        <v>5</v>
      </c>
      <c r="C3734" s="3">
        <v>116</v>
      </c>
      <c r="D3734" s="3">
        <v>74</v>
      </c>
      <c r="E3734" s="3">
        <v>-1179.484</v>
      </c>
      <c r="F3734" s="4" t="str">
        <f>HYPERLINK("http://141.218.60.56/~jnz1568/getInfo.php?workbook=10_05.xlsx&amp;sheet=A0&amp;row=3734&amp;col=6&amp;number=17000000&amp;sourceID=14","17000000")</f>
        <v>17000000</v>
      </c>
      <c r="G3734" s="4" t="str">
        <f>HYPERLINK("http://141.218.60.56/~jnz1568/getInfo.php?workbook=10_05.xlsx&amp;sheet=A0&amp;row=3734&amp;col=7&amp;number=0&amp;sourceID=14","0")</f>
        <v>0</v>
      </c>
    </row>
    <row r="3735" spans="1:7">
      <c r="A3735" s="3">
        <v>10</v>
      </c>
      <c r="B3735" s="3">
        <v>5</v>
      </c>
      <c r="C3735" s="3">
        <v>117</v>
      </c>
      <c r="D3735" s="3">
        <v>74</v>
      </c>
      <c r="E3735" s="3">
        <v>-1176.376</v>
      </c>
      <c r="F3735" s="4" t="str">
        <f>HYPERLINK("http://141.218.60.56/~jnz1568/getInfo.php?workbook=10_05.xlsx&amp;sheet=A0&amp;row=3735&amp;col=6&amp;number=96800&amp;sourceID=14","96800")</f>
        <v>96800</v>
      </c>
      <c r="G3735" s="4" t="str">
        <f>HYPERLINK("http://141.218.60.56/~jnz1568/getInfo.php?workbook=10_05.xlsx&amp;sheet=A0&amp;row=3735&amp;col=7&amp;number=0&amp;sourceID=14","0")</f>
        <v>0</v>
      </c>
    </row>
    <row r="3736" spans="1:7">
      <c r="A3736" s="3">
        <v>10</v>
      </c>
      <c r="B3736" s="3">
        <v>5</v>
      </c>
      <c r="C3736" s="3">
        <v>118</v>
      </c>
      <c r="D3736" s="3">
        <v>74</v>
      </c>
      <c r="E3736" s="3">
        <v>-1175.256</v>
      </c>
      <c r="F3736" s="4" t="str">
        <f>HYPERLINK("http://141.218.60.56/~jnz1568/getInfo.php?workbook=10_05.xlsx&amp;sheet=A0&amp;row=3736&amp;col=6&amp;number=108&amp;sourceID=14","108")</f>
        <v>108</v>
      </c>
      <c r="G3736" s="4" t="str">
        <f>HYPERLINK("http://141.218.60.56/~jnz1568/getInfo.php?workbook=10_05.xlsx&amp;sheet=A0&amp;row=3736&amp;col=7&amp;number=0&amp;sourceID=14","0")</f>
        <v>0</v>
      </c>
    </row>
    <row r="3737" spans="1:7">
      <c r="A3737" s="3">
        <v>10</v>
      </c>
      <c r="B3737" s="3">
        <v>5</v>
      </c>
      <c r="C3737" s="3">
        <v>121</v>
      </c>
      <c r="D3737" s="3">
        <v>74</v>
      </c>
      <c r="E3737" s="3">
        <v>-1129.652</v>
      </c>
      <c r="F3737" s="4" t="str">
        <f>HYPERLINK("http://141.218.60.56/~jnz1568/getInfo.php?workbook=10_05.xlsx&amp;sheet=A0&amp;row=3737&amp;col=6&amp;number=140000&amp;sourceID=14","140000")</f>
        <v>140000</v>
      </c>
      <c r="G3737" s="4" t="str">
        <f>HYPERLINK("http://141.218.60.56/~jnz1568/getInfo.php?workbook=10_05.xlsx&amp;sheet=A0&amp;row=3737&amp;col=7&amp;number=0&amp;sourceID=14","0")</f>
        <v>0</v>
      </c>
    </row>
    <row r="3738" spans="1:7">
      <c r="A3738" s="3">
        <v>10</v>
      </c>
      <c r="B3738" s="3">
        <v>5</v>
      </c>
      <c r="C3738" s="3">
        <v>122</v>
      </c>
      <c r="D3738" s="3">
        <v>74</v>
      </c>
      <c r="E3738" s="3">
        <v>-1124.95</v>
      </c>
      <c r="F3738" s="4" t="str">
        <f>HYPERLINK("http://141.218.60.56/~jnz1568/getInfo.php?workbook=10_05.xlsx&amp;sheet=A0&amp;row=3738&amp;col=6&amp;number=64200&amp;sourceID=14","64200")</f>
        <v>64200</v>
      </c>
      <c r="G3738" s="4" t="str">
        <f>HYPERLINK("http://141.218.60.56/~jnz1568/getInfo.php?workbook=10_05.xlsx&amp;sheet=A0&amp;row=3738&amp;col=7&amp;number=0&amp;sourceID=14","0")</f>
        <v>0</v>
      </c>
    </row>
    <row r="3739" spans="1:7">
      <c r="A3739" s="3">
        <v>10</v>
      </c>
      <c r="B3739" s="3">
        <v>5</v>
      </c>
      <c r="C3739" s="3">
        <v>123</v>
      </c>
      <c r="D3739" s="3">
        <v>74</v>
      </c>
      <c r="E3739" s="3">
        <v>-1121.242</v>
      </c>
      <c r="F3739" s="4" t="str">
        <f>HYPERLINK("http://141.218.60.56/~jnz1568/getInfo.php?workbook=10_05.xlsx&amp;sheet=A0&amp;row=3739&amp;col=6&amp;number=644000&amp;sourceID=14","644000")</f>
        <v>644000</v>
      </c>
      <c r="G3739" s="4" t="str">
        <f>HYPERLINK("http://141.218.60.56/~jnz1568/getInfo.php?workbook=10_05.xlsx&amp;sheet=A0&amp;row=3739&amp;col=7&amp;number=0&amp;sourceID=14","0")</f>
        <v>0</v>
      </c>
    </row>
    <row r="3740" spans="1:7">
      <c r="A3740" s="3">
        <v>10</v>
      </c>
      <c r="B3740" s="3">
        <v>5</v>
      </c>
      <c r="C3740" s="3">
        <v>124</v>
      </c>
      <c r="D3740" s="3">
        <v>74</v>
      </c>
      <c r="E3740" s="3">
        <v>-1118.17</v>
      </c>
      <c r="F3740" s="4" t="str">
        <f>HYPERLINK("http://141.218.60.56/~jnz1568/getInfo.php?workbook=10_05.xlsx&amp;sheet=A0&amp;row=3740&amp;col=6&amp;number=34200&amp;sourceID=14","34200")</f>
        <v>34200</v>
      </c>
      <c r="G3740" s="4" t="str">
        <f>HYPERLINK("http://141.218.60.56/~jnz1568/getInfo.php?workbook=10_05.xlsx&amp;sheet=A0&amp;row=3740&amp;col=7&amp;number=0&amp;sourceID=14","0")</f>
        <v>0</v>
      </c>
    </row>
    <row r="3741" spans="1:7">
      <c r="A3741" s="3">
        <v>10</v>
      </c>
      <c r="B3741" s="3">
        <v>5</v>
      </c>
      <c r="C3741" s="3">
        <v>126</v>
      </c>
      <c r="D3741" s="3">
        <v>74</v>
      </c>
      <c r="E3741" s="3">
        <v>-1103.804</v>
      </c>
      <c r="F3741" s="4" t="str">
        <f>HYPERLINK("http://141.218.60.56/~jnz1568/getInfo.php?workbook=10_05.xlsx&amp;sheet=A0&amp;row=3741&amp;col=6&amp;number=20700000&amp;sourceID=14","20700000")</f>
        <v>20700000</v>
      </c>
      <c r="G3741" s="4" t="str">
        <f>HYPERLINK("http://141.218.60.56/~jnz1568/getInfo.php?workbook=10_05.xlsx&amp;sheet=A0&amp;row=3741&amp;col=7&amp;number=0&amp;sourceID=14","0")</f>
        <v>0</v>
      </c>
    </row>
    <row r="3742" spans="1:7">
      <c r="A3742" s="3">
        <v>10</v>
      </c>
      <c r="B3742" s="3">
        <v>5</v>
      </c>
      <c r="C3742" s="3">
        <v>129</v>
      </c>
      <c r="D3742" s="3">
        <v>74</v>
      </c>
      <c r="E3742" s="3">
        <v>1070.551</v>
      </c>
      <c r="F3742" s="4" t="str">
        <f>HYPERLINK("http://141.218.60.56/~jnz1568/getInfo.php?workbook=10_05.xlsx&amp;sheet=A0&amp;row=3742&amp;col=6&amp;number=921000&amp;sourceID=14","921000")</f>
        <v>921000</v>
      </c>
      <c r="G3742" s="4" t="str">
        <f>HYPERLINK("http://141.218.60.56/~jnz1568/getInfo.php?workbook=10_05.xlsx&amp;sheet=A0&amp;row=3742&amp;col=7&amp;number=0&amp;sourceID=14","0")</f>
        <v>0</v>
      </c>
    </row>
    <row r="3743" spans="1:7">
      <c r="A3743" s="3">
        <v>10</v>
      </c>
      <c r="B3743" s="3">
        <v>5</v>
      </c>
      <c r="C3743" s="3">
        <v>130</v>
      </c>
      <c r="D3743" s="3">
        <v>74</v>
      </c>
      <c r="E3743" s="3">
        <v>1070.551</v>
      </c>
      <c r="F3743" s="4" t="str">
        <f>HYPERLINK("http://141.218.60.56/~jnz1568/getInfo.php?workbook=10_05.xlsx&amp;sheet=A0&amp;row=3743&amp;col=6&amp;number=13800000&amp;sourceID=14","13800000")</f>
        <v>13800000</v>
      </c>
      <c r="G3743" s="4" t="str">
        <f>HYPERLINK("http://141.218.60.56/~jnz1568/getInfo.php?workbook=10_05.xlsx&amp;sheet=A0&amp;row=3743&amp;col=7&amp;number=0&amp;sourceID=14","0")</f>
        <v>0</v>
      </c>
    </row>
    <row r="3744" spans="1:7">
      <c r="A3744" s="3">
        <v>10</v>
      </c>
      <c r="B3744" s="3">
        <v>5</v>
      </c>
      <c r="C3744" s="3">
        <v>132</v>
      </c>
      <c r="D3744" s="3">
        <v>74</v>
      </c>
      <c r="E3744" s="3">
        <v>-1062.701</v>
      </c>
      <c r="F3744" s="4" t="str">
        <f>HYPERLINK("http://141.218.60.56/~jnz1568/getInfo.php?workbook=10_05.xlsx&amp;sheet=A0&amp;row=3744&amp;col=6&amp;number=16600&amp;sourceID=14","16600")</f>
        <v>16600</v>
      </c>
      <c r="G3744" s="4" t="str">
        <f>HYPERLINK("http://141.218.60.56/~jnz1568/getInfo.php?workbook=10_05.xlsx&amp;sheet=A0&amp;row=3744&amp;col=7&amp;number=0&amp;sourceID=14","0")</f>
        <v>0</v>
      </c>
    </row>
    <row r="3745" spans="1:7">
      <c r="A3745" s="3">
        <v>10</v>
      </c>
      <c r="B3745" s="3">
        <v>5</v>
      </c>
      <c r="C3745" s="3">
        <v>133</v>
      </c>
      <c r="D3745" s="3">
        <v>74</v>
      </c>
      <c r="E3745" s="3">
        <v>-1060.357</v>
      </c>
      <c r="F3745" s="4" t="str">
        <f>HYPERLINK("http://141.218.60.56/~jnz1568/getInfo.php?workbook=10_05.xlsx&amp;sheet=A0&amp;row=3745&amp;col=6&amp;number=4060000&amp;sourceID=14","4060000")</f>
        <v>4060000</v>
      </c>
      <c r="G3745" s="4" t="str">
        <f>HYPERLINK("http://141.218.60.56/~jnz1568/getInfo.php?workbook=10_05.xlsx&amp;sheet=A0&amp;row=3745&amp;col=7&amp;number=0&amp;sourceID=14","0")</f>
        <v>0</v>
      </c>
    </row>
    <row r="3746" spans="1:7">
      <c r="A3746" s="3">
        <v>10</v>
      </c>
      <c r="B3746" s="3">
        <v>5</v>
      </c>
      <c r="C3746" s="3">
        <v>138</v>
      </c>
      <c r="D3746" s="3">
        <v>74</v>
      </c>
      <c r="E3746" s="3">
        <v>-1025.98</v>
      </c>
      <c r="F3746" s="4" t="str">
        <f>HYPERLINK("http://141.218.60.56/~jnz1568/getInfo.php?workbook=10_05.xlsx&amp;sheet=A0&amp;row=3746&amp;col=6&amp;number=318000&amp;sourceID=14","318000")</f>
        <v>318000</v>
      </c>
      <c r="G3746" s="4" t="str">
        <f>HYPERLINK("http://141.218.60.56/~jnz1568/getInfo.php?workbook=10_05.xlsx&amp;sheet=A0&amp;row=3746&amp;col=7&amp;number=0&amp;sourceID=14","0")</f>
        <v>0</v>
      </c>
    </row>
    <row r="3747" spans="1:7">
      <c r="A3747" s="3">
        <v>10</v>
      </c>
      <c r="B3747" s="3">
        <v>5</v>
      </c>
      <c r="C3747" s="3">
        <v>150</v>
      </c>
      <c r="D3747" s="3">
        <v>74</v>
      </c>
      <c r="E3747" s="3">
        <v>-942.66</v>
      </c>
      <c r="F3747" s="4" t="str">
        <f>HYPERLINK("http://141.218.60.56/~jnz1568/getInfo.php?workbook=10_05.xlsx&amp;sheet=A0&amp;row=3747&amp;col=6&amp;number=78100000&amp;sourceID=14","78100000")</f>
        <v>78100000</v>
      </c>
      <c r="G3747" s="4" t="str">
        <f>HYPERLINK("http://141.218.60.56/~jnz1568/getInfo.php?workbook=10_05.xlsx&amp;sheet=A0&amp;row=3747&amp;col=7&amp;number=0&amp;sourceID=14","0")</f>
        <v>0</v>
      </c>
    </row>
    <row r="3748" spans="1:7">
      <c r="A3748" s="3">
        <v>10</v>
      </c>
      <c r="B3748" s="3">
        <v>5</v>
      </c>
      <c r="C3748" s="3">
        <v>151</v>
      </c>
      <c r="D3748" s="3">
        <v>74</v>
      </c>
      <c r="E3748" s="3">
        <v>-942.464</v>
      </c>
      <c r="F3748" s="4" t="str">
        <f>HYPERLINK("http://141.218.60.56/~jnz1568/getInfo.php?workbook=10_05.xlsx&amp;sheet=A0&amp;row=3748&amp;col=6&amp;number=240000000&amp;sourceID=14","240000000")</f>
        <v>240000000</v>
      </c>
      <c r="G3748" s="4" t="str">
        <f>HYPERLINK("http://141.218.60.56/~jnz1568/getInfo.php?workbook=10_05.xlsx&amp;sheet=A0&amp;row=3748&amp;col=7&amp;number=0&amp;sourceID=14","0")</f>
        <v>0</v>
      </c>
    </row>
    <row r="3749" spans="1:7">
      <c r="A3749" s="3">
        <v>10</v>
      </c>
      <c r="B3749" s="3">
        <v>5</v>
      </c>
      <c r="C3749" s="3">
        <v>154</v>
      </c>
      <c r="D3749" s="3">
        <v>74</v>
      </c>
      <c r="E3749" s="3">
        <v>914.246</v>
      </c>
      <c r="F3749" s="4" t="str">
        <f>HYPERLINK("http://141.218.60.56/~jnz1568/getInfo.php?workbook=10_05.xlsx&amp;sheet=A0&amp;row=3749&amp;col=6&amp;number=287000000&amp;sourceID=14","287000000")</f>
        <v>287000000</v>
      </c>
      <c r="G3749" s="4" t="str">
        <f>HYPERLINK("http://141.218.60.56/~jnz1568/getInfo.php?workbook=10_05.xlsx&amp;sheet=A0&amp;row=3749&amp;col=7&amp;number=0&amp;sourceID=14","0")</f>
        <v>0</v>
      </c>
    </row>
    <row r="3750" spans="1:7">
      <c r="A3750" s="3">
        <v>10</v>
      </c>
      <c r="B3750" s="3">
        <v>5</v>
      </c>
      <c r="C3750" s="3">
        <v>155</v>
      </c>
      <c r="D3750" s="3">
        <v>74</v>
      </c>
      <c r="E3750" s="3">
        <v>914.246</v>
      </c>
      <c r="F3750" s="4" t="str">
        <f>HYPERLINK("http://141.218.60.56/~jnz1568/getInfo.php?workbook=10_05.xlsx&amp;sheet=A0&amp;row=3750&amp;col=6&amp;number=549000000&amp;sourceID=14","549000000")</f>
        <v>549000000</v>
      </c>
      <c r="G3750" s="4" t="str">
        <f>HYPERLINK("http://141.218.60.56/~jnz1568/getInfo.php?workbook=10_05.xlsx&amp;sheet=A0&amp;row=3750&amp;col=7&amp;number=0&amp;sourceID=14","0")</f>
        <v>0</v>
      </c>
    </row>
    <row r="3751" spans="1:7">
      <c r="A3751" s="3">
        <v>10</v>
      </c>
      <c r="B3751" s="3">
        <v>5</v>
      </c>
      <c r="C3751" s="3">
        <v>156</v>
      </c>
      <c r="D3751" s="3">
        <v>74</v>
      </c>
      <c r="E3751" s="3">
        <v>-907.418</v>
      </c>
      <c r="F3751" s="4" t="str">
        <f>HYPERLINK("http://141.218.60.56/~jnz1568/getInfo.php?workbook=10_05.xlsx&amp;sheet=A0&amp;row=3751&amp;col=6&amp;number=8000000&amp;sourceID=14","8000000")</f>
        <v>8000000</v>
      </c>
      <c r="G3751" s="4" t="str">
        <f>HYPERLINK("http://141.218.60.56/~jnz1568/getInfo.php?workbook=10_05.xlsx&amp;sheet=A0&amp;row=3751&amp;col=7&amp;number=0&amp;sourceID=14","0")</f>
        <v>0</v>
      </c>
    </row>
    <row r="3752" spans="1:7">
      <c r="A3752" s="3">
        <v>10</v>
      </c>
      <c r="B3752" s="3">
        <v>5</v>
      </c>
      <c r="C3752" s="3">
        <v>157</v>
      </c>
      <c r="D3752" s="3">
        <v>74</v>
      </c>
      <c r="E3752" s="3">
        <v>-905.946</v>
      </c>
      <c r="F3752" s="4" t="str">
        <f>HYPERLINK("http://141.218.60.56/~jnz1568/getInfo.php?workbook=10_05.xlsx&amp;sheet=A0&amp;row=3752&amp;col=6&amp;number=111000000&amp;sourceID=14","111000000")</f>
        <v>111000000</v>
      </c>
      <c r="G3752" s="4" t="str">
        <f>HYPERLINK("http://141.218.60.56/~jnz1568/getInfo.php?workbook=10_05.xlsx&amp;sheet=A0&amp;row=3752&amp;col=7&amp;number=0&amp;sourceID=14","0")</f>
        <v>0</v>
      </c>
    </row>
    <row r="3753" spans="1:7">
      <c r="A3753" s="3">
        <v>10</v>
      </c>
      <c r="B3753" s="3">
        <v>5</v>
      </c>
      <c r="C3753" s="3">
        <v>162</v>
      </c>
      <c r="D3753" s="3">
        <v>74</v>
      </c>
      <c r="E3753" s="3">
        <v>890.712</v>
      </c>
      <c r="F3753" s="4" t="str">
        <f>HYPERLINK("http://141.218.60.56/~jnz1568/getInfo.php?workbook=10_05.xlsx&amp;sheet=A0&amp;row=3753&amp;col=6&amp;number=418000000&amp;sourceID=14","418000000")</f>
        <v>418000000</v>
      </c>
      <c r="G3753" s="4" t="str">
        <f>HYPERLINK("http://141.218.60.56/~jnz1568/getInfo.php?workbook=10_05.xlsx&amp;sheet=A0&amp;row=3753&amp;col=7&amp;number=0&amp;sourceID=14","0")</f>
        <v>0</v>
      </c>
    </row>
    <row r="3754" spans="1:7">
      <c r="A3754" s="3">
        <v>10</v>
      </c>
      <c r="B3754" s="3">
        <v>5</v>
      </c>
      <c r="C3754" s="3">
        <v>168</v>
      </c>
      <c r="D3754" s="3">
        <v>74</v>
      </c>
      <c r="E3754" s="3">
        <v>-519.527</v>
      </c>
      <c r="F3754" s="4" t="str">
        <f>HYPERLINK("http://141.218.60.56/~jnz1568/getInfo.php?workbook=10_05.xlsx&amp;sheet=A0&amp;row=3754&amp;col=6&amp;number=828000000&amp;sourceID=14","828000000")</f>
        <v>828000000</v>
      </c>
      <c r="G3754" s="4" t="str">
        <f>HYPERLINK("http://141.218.60.56/~jnz1568/getInfo.php?workbook=10_05.xlsx&amp;sheet=A0&amp;row=3754&amp;col=7&amp;number=0&amp;sourceID=14","0")</f>
        <v>0</v>
      </c>
    </row>
    <row r="3755" spans="1:7">
      <c r="A3755" s="3">
        <v>10</v>
      </c>
      <c r="B3755" s="3">
        <v>5</v>
      </c>
      <c r="C3755" s="3">
        <v>169</v>
      </c>
      <c r="D3755" s="3">
        <v>74</v>
      </c>
      <c r="E3755" s="3">
        <v>-519.398</v>
      </c>
      <c r="F3755" s="4" t="str">
        <f>HYPERLINK("http://141.218.60.56/~jnz1568/getInfo.php?workbook=10_05.xlsx&amp;sheet=A0&amp;row=3755&amp;col=6&amp;number=88900000&amp;sourceID=14","88900000")</f>
        <v>88900000</v>
      </c>
      <c r="G3755" s="4" t="str">
        <f>HYPERLINK("http://141.218.60.56/~jnz1568/getInfo.php?workbook=10_05.xlsx&amp;sheet=A0&amp;row=3755&amp;col=7&amp;number=0&amp;sourceID=14","0")</f>
        <v>0</v>
      </c>
    </row>
    <row r="3756" spans="1:7">
      <c r="A3756" s="3">
        <v>10</v>
      </c>
      <c r="B3756" s="3">
        <v>5</v>
      </c>
      <c r="C3756" s="3">
        <v>171</v>
      </c>
      <c r="D3756" s="3">
        <v>74</v>
      </c>
      <c r="E3756" s="3">
        <v>-495.058</v>
      </c>
      <c r="F3756" s="4" t="str">
        <f>HYPERLINK("http://141.218.60.56/~jnz1568/getInfo.php?workbook=10_05.xlsx&amp;sheet=A0&amp;row=3756&amp;col=6&amp;number=772000000&amp;sourceID=14","772000000")</f>
        <v>772000000</v>
      </c>
      <c r="G3756" s="4" t="str">
        <f>HYPERLINK("http://141.218.60.56/~jnz1568/getInfo.php?workbook=10_05.xlsx&amp;sheet=A0&amp;row=3756&amp;col=7&amp;number=0&amp;sourceID=14","0")</f>
        <v>0</v>
      </c>
    </row>
    <row r="3757" spans="1:7">
      <c r="A3757" s="3">
        <v>10</v>
      </c>
      <c r="B3757" s="3">
        <v>5</v>
      </c>
      <c r="C3757" s="3">
        <v>172</v>
      </c>
      <c r="D3757" s="3">
        <v>74</v>
      </c>
      <c r="E3757" s="3">
        <v>-490.324</v>
      </c>
      <c r="F3757" s="4" t="str">
        <f>HYPERLINK("http://141.218.60.56/~jnz1568/getInfo.php?workbook=10_05.xlsx&amp;sheet=A0&amp;row=3757&amp;col=6&amp;number=148000000&amp;sourceID=14","148000000")</f>
        <v>148000000</v>
      </c>
      <c r="G3757" s="4" t="str">
        <f>HYPERLINK("http://141.218.60.56/~jnz1568/getInfo.php?workbook=10_05.xlsx&amp;sheet=A0&amp;row=3757&amp;col=7&amp;number=0&amp;sourceID=14","0")</f>
        <v>0</v>
      </c>
    </row>
    <row r="3758" spans="1:7">
      <c r="A3758" s="3">
        <v>10</v>
      </c>
      <c r="B3758" s="3">
        <v>5</v>
      </c>
      <c r="C3758" s="3">
        <v>173</v>
      </c>
      <c r="D3758" s="3">
        <v>74</v>
      </c>
      <c r="E3758" s="3">
        <v>-490.269</v>
      </c>
      <c r="F3758" s="4" t="str">
        <f>HYPERLINK("http://141.218.60.56/~jnz1568/getInfo.php?workbook=10_05.xlsx&amp;sheet=A0&amp;row=3758&amp;col=6&amp;number=1250000000&amp;sourceID=14","1250000000")</f>
        <v>1250000000</v>
      </c>
      <c r="G3758" s="4" t="str">
        <f>HYPERLINK("http://141.218.60.56/~jnz1568/getInfo.php?workbook=10_05.xlsx&amp;sheet=A0&amp;row=3758&amp;col=7&amp;number=0&amp;sourceID=14","0")</f>
        <v>0</v>
      </c>
    </row>
    <row r="3759" spans="1:7">
      <c r="A3759" s="3">
        <v>10</v>
      </c>
      <c r="B3759" s="3">
        <v>5</v>
      </c>
      <c r="C3759" s="3">
        <v>77</v>
      </c>
      <c r="D3759" s="3">
        <v>75</v>
      </c>
      <c r="E3759" s="3">
        <v>-6543.23</v>
      </c>
      <c r="F3759" s="4" t="str">
        <f>HYPERLINK("http://141.218.60.56/~jnz1568/getInfo.php?workbook=10_05.xlsx&amp;sheet=A0&amp;row=3759&amp;col=6&amp;number=214000&amp;sourceID=14","214000")</f>
        <v>214000</v>
      </c>
      <c r="G3759" s="4" t="str">
        <f>HYPERLINK("http://141.218.60.56/~jnz1568/getInfo.php?workbook=10_05.xlsx&amp;sheet=A0&amp;row=3759&amp;col=7&amp;number=0&amp;sourceID=14","0")</f>
        <v>0</v>
      </c>
    </row>
    <row r="3760" spans="1:7">
      <c r="A3760" s="3">
        <v>10</v>
      </c>
      <c r="B3760" s="3">
        <v>5</v>
      </c>
      <c r="C3760" s="3">
        <v>78</v>
      </c>
      <c r="D3760" s="3">
        <v>75</v>
      </c>
      <c r="E3760" s="3">
        <v>-6205.795</v>
      </c>
      <c r="F3760" s="4" t="str">
        <f>HYPERLINK("http://141.218.60.56/~jnz1568/getInfo.php?workbook=10_05.xlsx&amp;sheet=A0&amp;row=3760&amp;col=6&amp;number=204000&amp;sourceID=14","204000")</f>
        <v>204000</v>
      </c>
      <c r="G3760" s="4" t="str">
        <f>HYPERLINK("http://141.218.60.56/~jnz1568/getInfo.php?workbook=10_05.xlsx&amp;sheet=A0&amp;row=3760&amp;col=7&amp;number=0&amp;sourceID=14","0")</f>
        <v>0</v>
      </c>
    </row>
    <row r="3761" spans="1:7">
      <c r="A3761" s="3">
        <v>10</v>
      </c>
      <c r="B3761" s="3">
        <v>5</v>
      </c>
      <c r="C3761" s="3">
        <v>80</v>
      </c>
      <c r="D3761" s="3">
        <v>75</v>
      </c>
      <c r="E3761" s="3">
        <v>4184.108</v>
      </c>
      <c r="F3761" s="4" t="str">
        <f>HYPERLINK("http://141.218.60.56/~jnz1568/getInfo.php?workbook=10_05.xlsx&amp;sheet=A0&amp;row=3761&amp;col=6&amp;number=35400&amp;sourceID=14","35400")</f>
        <v>35400</v>
      </c>
      <c r="G3761" s="4" t="str">
        <f>HYPERLINK("http://141.218.60.56/~jnz1568/getInfo.php?workbook=10_05.xlsx&amp;sheet=A0&amp;row=3761&amp;col=7&amp;number=0&amp;sourceID=14","0")</f>
        <v>0</v>
      </c>
    </row>
    <row r="3762" spans="1:7">
      <c r="A3762" s="3">
        <v>10</v>
      </c>
      <c r="B3762" s="3">
        <v>5</v>
      </c>
      <c r="C3762" s="3">
        <v>99</v>
      </c>
      <c r="D3762" s="3">
        <v>75</v>
      </c>
      <c r="E3762" s="3">
        <v>-1486.196</v>
      </c>
      <c r="F3762" s="4" t="str">
        <f>HYPERLINK("http://141.218.60.56/~jnz1568/getInfo.php?workbook=10_05.xlsx&amp;sheet=A0&amp;row=3762&amp;col=6&amp;number=94500&amp;sourceID=14","94500")</f>
        <v>94500</v>
      </c>
      <c r="G3762" s="4" t="str">
        <f>HYPERLINK("http://141.218.60.56/~jnz1568/getInfo.php?workbook=10_05.xlsx&amp;sheet=A0&amp;row=3762&amp;col=7&amp;number=0&amp;sourceID=14","0")</f>
        <v>0</v>
      </c>
    </row>
    <row r="3763" spans="1:7">
      <c r="A3763" s="3">
        <v>10</v>
      </c>
      <c r="B3763" s="3">
        <v>5</v>
      </c>
      <c r="C3763" s="3">
        <v>105</v>
      </c>
      <c r="D3763" s="3">
        <v>75</v>
      </c>
      <c r="E3763" s="3">
        <v>-1364.911</v>
      </c>
      <c r="F3763" s="4" t="str">
        <f>HYPERLINK("http://141.218.60.56/~jnz1568/getInfo.php?workbook=10_05.xlsx&amp;sheet=A0&amp;row=3763&amp;col=6&amp;number=1050&amp;sourceID=14","1050")</f>
        <v>1050</v>
      </c>
      <c r="G3763" s="4" t="str">
        <f>HYPERLINK("http://141.218.60.56/~jnz1568/getInfo.php?workbook=10_05.xlsx&amp;sheet=A0&amp;row=3763&amp;col=7&amp;number=0&amp;sourceID=14","0")</f>
        <v>0</v>
      </c>
    </row>
    <row r="3764" spans="1:7">
      <c r="A3764" s="3">
        <v>10</v>
      </c>
      <c r="B3764" s="3">
        <v>5</v>
      </c>
      <c r="C3764" s="3">
        <v>106</v>
      </c>
      <c r="D3764" s="3">
        <v>75</v>
      </c>
      <c r="E3764" s="3">
        <v>-1362.586</v>
      </c>
      <c r="F3764" s="4" t="str">
        <f>HYPERLINK("http://141.218.60.56/~jnz1568/getInfo.php?workbook=10_05.xlsx&amp;sheet=A0&amp;row=3764&amp;col=6&amp;number=518000&amp;sourceID=14","518000")</f>
        <v>518000</v>
      </c>
      <c r="G3764" s="4" t="str">
        <f>HYPERLINK("http://141.218.60.56/~jnz1568/getInfo.php?workbook=10_05.xlsx&amp;sheet=A0&amp;row=3764&amp;col=7&amp;number=0&amp;sourceID=14","0")</f>
        <v>0</v>
      </c>
    </row>
    <row r="3765" spans="1:7">
      <c r="A3765" s="3">
        <v>10</v>
      </c>
      <c r="B3765" s="3">
        <v>5</v>
      </c>
      <c r="C3765" s="3">
        <v>109</v>
      </c>
      <c r="D3765" s="3">
        <v>75</v>
      </c>
      <c r="E3765" s="3">
        <v>-1344.595</v>
      </c>
      <c r="F3765" s="4" t="str">
        <f>HYPERLINK("http://141.218.60.56/~jnz1568/getInfo.php?workbook=10_05.xlsx&amp;sheet=A0&amp;row=3765&amp;col=6&amp;number=6820000&amp;sourceID=14","6820000")</f>
        <v>6820000</v>
      </c>
      <c r="G3765" s="4" t="str">
        <f>HYPERLINK("http://141.218.60.56/~jnz1568/getInfo.php?workbook=10_05.xlsx&amp;sheet=A0&amp;row=3765&amp;col=7&amp;number=0&amp;sourceID=14","0")</f>
        <v>0</v>
      </c>
    </row>
    <row r="3766" spans="1:7">
      <c r="A3766" s="3">
        <v>10</v>
      </c>
      <c r="B3766" s="3">
        <v>5</v>
      </c>
      <c r="C3766" s="3">
        <v>111</v>
      </c>
      <c r="D3766" s="3">
        <v>75</v>
      </c>
      <c r="E3766" s="3">
        <v>-1333.869</v>
      </c>
      <c r="F3766" s="4" t="str">
        <f>HYPERLINK("http://141.218.60.56/~jnz1568/getInfo.php?workbook=10_05.xlsx&amp;sheet=A0&amp;row=3766&amp;col=6&amp;number=8690&amp;sourceID=14","8690")</f>
        <v>8690</v>
      </c>
      <c r="G3766" s="4" t="str">
        <f>HYPERLINK("http://141.218.60.56/~jnz1568/getInfo.php?workbook=10_05.xlsx&amp;sheet=A0&amp;row=3766&amp;col=7&amp;number=0&amp;sourceID=14","0")</f>
        <v>0</v>
      </c>
    </row>
    <row r="3767" spans="1:7">
      <c r="A3767" s="3">
        <v>10</v>
      </c>
      <c r="B3767" s="3">
        <v>5</v>
      </c>
      <c r="C3767" s="3">
        <v>118</v>
      </c>
      <c r="D3767" s="3">
        <v>75</v>
      </c>
      <c r="E3767" s="3">
        <v>-1204.14</v>
      </c>
      <c r="F3767" s="4" t="str">
        <f>HYPERLINK("http://141.218.60.56/~jnz1568/getInfo.php?workbook=10_05.xlsx&amp;sheet=A0&amp;row=3767&amp;col=6&amp;number=6700&amp;sourceID=14","6700")</f>
        <v>6700</v>
      </c>
      <c r="G3767" s="4" t="str">
        <f>HYPERLINK("http://141.218.60.56/~jnz1568/getInfo.php?workbook=10_05.xlsx&amp;sheet=A0&amp;row=3767&amp;col=7&amp;number=0&amp;sourceID=14","0")</f>
        <v>0</v>
      </c>
    </row>
    <row r="3768" spans="1:7">
      <c r="A3768" s="3">
        <v>10</v>
      </c>
      <c r="B3768" s="3">
        <v>5</v>
      </c>
      <c r="C3768" s="3">
        <v>119</v>
      </c>
      <c r="D3768" s="3">
        <v>75</v>
      </c>
      <c r="E3768" s="3">
        <v>-1203.415</v>
      </c>
      <c r="F3768" s="4" t="str">
        <f>HYPERLINK("http://141.218.60.56/~jnz1568/getInfo.php?workbook=10_05.xlsx&amp;sheet=A0&amp;row=3768&amp;col=6&amp;number=23100&amp;sourceID=14","23100")</f>
        <v>23100</v>
      </c>
      <c r="G3768" s="4" t="str">
        <f>HYPERLINK("http://141.218.60.56/~jnz1568/getInfo.php?workbook=10_05.xlsx&amp;sheet=A0&amp;row=3768&amp;col=7&amp;number=0&amp;sourceID=14","0")</f>
        <v>0</v>
      </c>
    </row>
    <row r="3769" spans="1:7">
      <c r="A3769" s="3">
        <v>10</v>
      </c>
      <c r="B3769" s="3">
        <v>5</v>
      </c>
      <c r="C3769" s="3">
        <v>120</v>
      </c>
      <c r="D3769" s="3">
        <v>75</v>
      </c>
      <c r="E3769" s="3">
        <v>-1159.315</v>
      </c>
      <c r="F3769" s="4" t="str">
        <f>HYPERLINK("http://141.218.60.56/~jnz1568/getInfo.php?workbook=10_05.xlsx&amp;sheet=A0&amp;row=3769&amp;col=6&amp;number=27000&amp;sourceID=14","27000")</f>
        <v>27000</v>
      </c>
      <c r="G3769" s="4" t="str">
        <f>HYPERLINK("http://141.218.60.56/~jnz1568/getInfo.php?workbook=10_05.xlsx&amp;sheet=A0&amp;row=3769&amp;col=7&amp;number=0&amp;sourceID=14","0")</f>
        <v>0</v>
      </c>
    </row>
    <row r="3770" spans="1:7">
      <c r="A3770" s="3">
        <v>10</v>
      </c>
      <c r="B3770" s="3">
        <v>5</v>
      </c>
      <c r="C3770" s="3">
        <v>121</v>
      </c>
      <c r="D3770" s="3">
        <v>75</v>
      </c>
      <c r="E3770" s="3">
        <v>-1156.312</v>
      </c>
      <c r="F3770" s="4" t="str">
        <f>HYPERLINK("http://141.218.60.56/~jnz1568/getInfo.php?workbook=10_05.xlsx&amp;sheet=A0&amp;row=3770&amp;col=6&amp;number=705&amp;sourceID=14","705")</f>
        <v>705</v>
      </c>
      <c r="G3770" s="4" t="str">
        <f>HYPERLINK("http://141.218.60.56/~jnz1568/getInfo.php?workbook=10_05.xlsx&amp;sheet=A0&amp;row=3770&amp;col=7&amp;number=0&amp;sourceID=14","0")</f>
        <v>0</v>
      </c>
    </row>
    <row r="3771" spans="1:7">
      <c r="A3771" s="3">
        <v>10</v>
      </c>
      <c r="B3771" s="3">
        <v>5</v>
      </c>
      <c r="C3771" s="3">
        <v>123</v>
      </c>
      <c r="D3771" s="3">
        <v>75</v>
      </c>
      <c r="E3771" s="3">
        <v>-1147.502</v>
      </c>
      <c r="F3771" s="4" t="str">
        <f>HYPERLINK("http://141.218.60.56/~jnz1568/getInfo.php?workbook=10_05.xlsx&amp;sheet=A0&amp;row=3771&amp;col=6&amp;number=6380&amp;sourceID=14","6380")</f>
        <v>6380</v>
      </c>
      <c r="G3771" s="4" t="str">
        <f>HYPERLINK("http://141.218.60.56/~jnz1568/getInfo.php?workbook=10_05.xlsx&amp;sheet=A0&amp;row=3771&amp;col=7&amp;number=0&amp;sourceID=14","0")</f>
        <v>0</v>
      </c>
    </row>
    <row r="3772" spans="1:7">
      <c r="A3772" s="3">
        <v>10</v>
      </c>
      <c r="B3772" s="3">
        <v>5</v>
      </c>
      <c r="C3772" s="3">
        <v>125</v>
      </c>
      <c r="D3772" s="3">
        <v>75</v>
      </c>
      <c r="E3772" s="3">
        <v>-1132.761</v>
      </c>
      <c r="F3772" s="4" t="str">
        <f>HYPERLINK("http://141.218.60.56/~jnz1568/getInfo.php?workbook=10_05.xlsx&amp;sheet=A0&amp;row=3772&amp;col=6&amp;number=774000&amp;sourceID=14","774000")</f>
        <v>774000</v>
      </c>
      <c r="G3772" s="4" t="str">
        <f>HYPERLINK("http://141.218.60.56/~jnz1568/getInfo.php?workbook=10_05.xlsx&amp;sheet=A0&amp;row=3772&amp;col=7&amp;number=0&amp;sourceID=14","0")</f>
        <v>0</v>
      </c>
    </row>
    <row r="3773" spans="1:7">
      <c r="A3773" s="3">
        <v>10</v>
      </c>
      <c r="B3773" s="3">
        <v>5</v>
      </c>
      <c r="C3773" s="3">
        <v>126</v>
      </c>
      <c r="D3773" s="3">
        <v>75</v>
      </c>
      <c r="E3773" s="3">
        <v>-1129.244</v>
      </c>
      <c r="F3773" s="4" t="str">
        <f>HYPERLINK("http://141.218.60.56/~jnz1568/getInfo.php?workbook=10_05.xlsx&amp;sheet=A0&amp;row=3773&amp;col=6&amp;number=94600&amp;sourceID=14","94600")</f>
        <v>94600</v>
      </c>
      <c r="G3773" s="4" t="str">
        <f>HYPERLINK("http://141.218.60.56/~jnz1568/getInfo.php?workbook=10_05.xlsx&amp;sheet=A0&amp;row=3773&amp;col=7&amp;number=0&amp;sourceID=14","0")</f>
        <v>0</v>
      </c>
    </row>
    <row r="3774" spans="1:7">
      <c r="A3774" s="3">
        <v>10</v>
      </c>
      <c r="B3774" s="3">
        <v>5</v>
      </c>
      <c r="C3774" s="3">
        <v>129</v>
      </c>
      <c r="D3774" s="3">
        <v>75</v>
      </c>
      <c r="E3774" s="3">
        <v>1095.172</v>
      </c>
      <c r="F3774" s="4" t="str">
        <f>HYPERLINK("http://141.218.60.56/~jnz1568/getInfo.php?workbook=10_05.xlsx&amp;sheet=A0&amp;row=3774&amp;col=6&amp;number=836000&amp;sourceID=14","836000")</f>
        <v>836000</v>
      </c>
      <c r="G3774" s="4" t="str">
        <f>HYPERLINK("http://141.218.60.56/~jnz1568/getInfo.php?workbook=10_05.xlsx&amp;sheet=A0&amp;row=3774&amp;col=7&amp;number=0&amp;sourceID=14","0")</f>
        <v>0</v>
      </c>
    </row>
    <row r="3775" spans="1:7">
      <c r="A3775" s="3">
        <v>10</v>
      </c>
      <c r="B3775" s="3">
        <v>5</v>
      </c>
      <c r="C3775" s="3">
        <v>131</v>
      </c>
      <c r="D3775" s="3">
        <v>75</v>
      </c>
      <c r="E3775" s="3">
        <v>-1087.999</v>
      </c>
      <c r="F3775" s="4" t="str">
        <f>HYPERLINK("http://141.218.60.56/~jnz1568/getInfo.php?workbook=10_05.xlsx&amp;sheet=A0&amp;row=3775&amp;col=6&amp;number=45300&amp;sourceID=14","45300")</f>
        <v>45300</v>
      </c>
      <c r="G3775" s="4" t="str">
        <f>HYPERLINK("http://141.218.60.56/~jnz1568/getInfo.php?workbook=10_05.xlsx&amp;sheet=A0&amp;row=3775&amp;col=7&amp;number=0&amp;sourceID=14","0")</f>
        <v>0</v>
      </c>
    </row>
    <row r="3776" spans="1:7">
      <c r="A3776" s="3">
        <v>10</v>
      </c>
      <c r="B3776" s="3">
        <v>5</v>
      </c>
      <c r="C3776" s="3">
        <v>132</v>
      </c>
      <c r="D3776" s="3">
        <v>75</v>
      </c>
      <c r="E3776" s="3">
        <v>-1086.262</v>
      </c>
      <c r="F3776" s="4" t="str">
        <f>HYPERLINK("http://141.218.60.56/~jnz1568/getInfo.php?workbook=10_05.xlsx&amp;sheet=A0&amp;row=3776&amp;col=6&amp;number=2070&amp;sourceID=14","2070")</f>
        <v>2070</v>
      </c>
      <c r="G3776" s="4" t="str">
        <f>HYPERLINK("http://141.218.60.56/~jnz1568/getInfo.php?workbook=10_05.xlsx&amp;sheet=A0&amp;row=3776&amp;col=7&amp;number=0&amp;sourceID=14","0")</f>
        <v>0</v>
      </c>
    </row>
    <row r="3777" spans="1:7">
      <c r="A3777" s="3">
        <v>10</v>
      </c>
      <c r="B3777" s="3">
        <v>5</v>
      </c>
      <c r="C3777" s="3">
        <v>140</v>
      </c>
      <c r="D3777" s="3">
        <v>75</v>
      </c>
      <c r="E3777" s="3">
        <v>-1029.815</v>
      </c>
      <c r="F3777" s="4" t="str">
        <f>HYPERLINK("http://141.218.60.56/~jnz1568/getInfo.php?workbook=10_05.xlsx&amp;sheet=A0&amp;row=3777&amp;col=6&amp;number=122000&amp;sourceID=14","122000")</f>
        <v>122000</v>
      </c>
      <c r="G3777" s="4" t="str">
        <f>HYPERLINK("http://141.218.60.56/~jnz1568/getInfo.php?workbook=10_05.xlsx&amp;sheet=A0&amp;row=3777&amp;col=7&amp;number=0&amp;sourceID=14","0")</f>
        <v>0</v>
      </c>
    </row>
    <row r="3778" spans="1:7">
      <c r="A3778" s="3">
        <v>10</v>
      </c>
      <c r="B3778" s="3">
        <v>5</v>
      </c>
      <c r="C3778" s="3">
        <v>150</v>
      </c>
      <c r="D3778" s="3">
        <v>75</v>
      </c>
      <c r="E3778" s="3">
        <v>-961.152</v>
      </c>
      <c r="F3778" s="4" t="str">
        <f>HYPERLINK("http://141.218.60.56/~jnz1568/getInfo.php?workbook=10_05.xlsx&amp;sheet=A0&amp;row=3778&amp;col=6&amp;number=121000000&amp;sourceID=14","121000000")</f>
        <v>121000000</v>
      </c>
      <c r="G3778" s="4" t="str">
        <f>HYPERLINK("http://141.218.60.56/~jnz1568/getInfo.php?workbook=10_05.xlsx&amp;sheet=A0&amp;row=3778&amp;col=7&amp;number=0&amp;sourceID=14","0")</f>
        <v>0</v>
      </c>
    </row>
    <row r="3779" spans="1:7">
      <c r="A3779" s="3">
        <v>10</v>
      </c>
      <c r="B3779" s="3">
        <v>5</v>
      </c>
      <c r="C3779" s="3">
        <v>156</v>
      </c>
      <c r="D3779" s="3">
        <v>75</v>
      </c>
      <c r="E3779" s="3">
        <v>-924.541</v>
      </c>
      <c r="F3779" s="4" t="str">
        <f>HYPERLINK("http://141.218.60.56/~jnz1568/getInfo.php?workbook=10_05.xlsx&amp;sheet=A0&amp;row=3779&amp;col=6&amp;number=25400000&amp;sourceID=14","25400000")</f>
        <v>25400000</v>
      </c>
      <c r="G3779" s="4" t="str">
        <f>HYPERLINK("http://141.218.60.56/~jnz1568/getInfo.php?workbook=10_05.xlsx&amp;sheet=A0&amp;row=3779&amp;col=7&amp;number=0&amp;sourceID=14","0")</f>
        <v>0</v>
      </c>
    </row>
    <row r="3780" spans="1:7">
      <c r="A3780" s="3">
        <v>10</v>
      </c>
      <c r="B3780" s="3">
        <v>5</v>
      </c>
      <c r="C3780" s="3">
        <v>160</v>
      </c>
      <c r="D3780" s="3">
        <v>75</v>
      </c>
      <c r="E3780" s="3">
        <v>-912.352</v>
      </c>
      <c r="F3780" s="4" t="str">
        <f>HYPERLINK("http://141.218.60.56/~jnz1568/getInfo.php?workbook=10_05.xlsx&amp;sheet=A0&amp;row=3780&amp;col=6&amp;number=89900000&amp;sourceID=14","89900000")</f>
        <v>89900000</v>
      </c>
      <c r="G3780" s="4" t="str">
        <f>HYPERLINK("http://141.218.60.56/~jnz1568/getInfo.php?workbook=10_05.xlsx&amp;sheet=A0&amp;row=3780&amp;col=7&amp;number=0&amp;sourceID=14","0")</f>
        <v>0</v>
      </c>
    </row>
    <row r="3781" spans="1:7">
      <c r="A3781" s="3">
        <v>10</v>
      </c>
      <c r="B3781" s="3">
        <v>5</v>
      </c>
      <c r="C3781" s="3">
        <v>161</v>
      </c>
      <c r="D3781" s="3">
        <v>75</v>
      </c>
      <c r="E3781" s="3">
        <v>910.168</v>
      </c>
      <c r="F3781" s="4" t="str">
        <f>HYPERLINK("http://141.218.60.56/~jnz1568/getInfo.php?workbook=10_05.xlsx&amp;sheet=A0&amp;row=3781&amp;col=6&amp;number=728000000&amp;sourceID=14","728000000")</f>
        <v>728000000</v>
      </c>
      <c r="G3781" s="4" t="str">
        <f>HYPERLINK("http://141.218.60.56/~jnz1568/getInfo.php?workbook=10_05.xlsx&amp;sheet=A0&amp;row=3781&amp;col=7&amp;number=0&amp;sourceID=14","0")</f>
        <v>0</v>
      </c>
    </row>
    <row r="3782" spans="1:7">
      <c r="A3782" s="3">
        <v>10</v>
      </c>
      <c r="B3782" s="3">
        <v>5</v>
      </c>
      <c r="C3782" s="3">
        <v>162</v>
      </c>
      <c r="D3782" s="3">
        <v>75</v>
      </c>
      <c r="E3782" s="3">
        <v>907.69</v>
      </c>
      <c r="F3782" s="4" t="str">
        <f>HYPERLINK("http://141.218.60.56/~jnz1568/getInfo.php?workbook=10_05.xlsx&amp;sheet=A0&amp;row=3782&amp;col=6&amp;number=145000000&amp;sourceID=14","145000000")</f>
        <v>145000000</v>
      </c>
      <c r="G3782" s="4" t="str">
        <f>HYPERLINK("http://141.218.60.56/~jnz1568/getInfo.php?workbook=10_05.xlsx&amp;sheet=A0&amp;row=3782&amp;col=7&amp;number=0&amp;sourceID=14","0")</f>
        <v>0</v>
      </c>
    </row>
    <row r="3783" spans="1:7">
      <c r="A3783" s="3">
        <v>10</v>
      </c>
      <c r="B3783" s="3">
        <v>5</v>
      </c>
      <c r="C3783" s="3">
        <v>163</v>
      </c>
      <c r="D3783" s="3">
        <v>75</v>
      </c>
      <c r="E3783" s="3">
        <v>-807.932</v>
      </c>
      <c r="F3783" s="4" t="str">
        <f>HYPERLINK("http://141.218.60.56/~jnz1568/getInfo.php?workbook=10_05.xlsx&amp;sheet=A0&amp;row=3783&amp;col=6&amp;number=508000000&amp;sourceID=14","508000000")</f>
        <v>508000000</v>
      </c>
      <c r="G3783" s="4" t="str">
        <f>HYPERLINK("http://141.218.60.56/~jnz1568/getInfo.php?workbook=10_05.xlsx&amp;sheet=A0&amp;row=3783&amp;col=7&amp;number=0&amp;sourceID=14","0")</f>
        <v>0</v>
      </c>
    </row>
    <row r="3784" spans="1:7">
      <c r="A3784" s="3">
        <v>10</v>
      </c>
      <c r="B3784" s="3">
        <v>5</v>
      </c>
      <c r="C3784" s="3">
        <v>169</v>
      </c>
      <c r="D3784" s="3">
        <v>75</v>
      </c>
      <c r="E3784" s="3">
        <v>-524.963</v>
      </c>
      <c r="F3784" s="4" t="str">
        <f>HYPERLINK("http://141.218.60.56/~jnz1568/getInfo.php?workbook=10_05.xlsx&amp;sheet=A0&amp;row=3784&amp;col=6&amp;number=375000000&amp;sourceID=14","375000000")</f>
        <v>375000000</v>
      </c>
      <c r="G3784" s="4" t="str">
        <f>HYPERLINK("http://141.218.60.56/~jnz1568/getInfo.php?workbook=10_05.xlsx&amp;sheet=A0&amp;row=3784&amp;col=7&amp;number=0&amp;sourceID=14","0")</f>
        <v>0</v>
      </c>
    </row>
    <row r="3785" spans="1:7">
      <c r="A3785" s="3">
        <v>10</v>
      </c>
      <c r="B3785" s="3">
        <v>5</v>
      </c>
      <c r="C3785" s="3">
        <v>170</v>
      </c>
      <c r="D3785" s="3">
        <v>75</v>
      </c>
      <c r="E3785" s="3">
        <v>-500.349</v>
      </c>
      <c r="F3785" s="4" t="str">
        <f>HYPERLINK("http://141.218.60.56/~jnz1568/getInfo.php?workbook=10_05.xlsx&amp;sheet=A0&amp;row=3785&amp;col=6&amp;number=15800000&amp;sourceID=14","15800000")</f>
        <v>15800000</v>
      </c>
      <c r="G3785" s="4" t="str">
        <f>HYPERLINK("http://141.218.60.56/~jnz1568/getInfo.php?workbook=10_05.xlsx&amp;sheet=A0&amp;row=3785&amp;col=7&amp;number=0&amp;sourceID=14","0")</f>
        <v>0</v>
      </c>
    </row>
    <row r="3786" spans="1:7">
      <c r="A3786" s="3">
        <v>10</v>
      </c>
      <c r="B3786" s="3">
        <v>5</v>
      </c>
      <c r="C3786" s="3">
        <v>171</v>
      </c>
      <c r="D3786" s="3">
        <v>75</v>
      </c>
      <c r="E3786" s="3">
        <v>-500.111</v>
      </c>
      <c r="F3786" s="4" t="str">
        <f>HYPERLINK("http://141.218.60.56/~jnz1568/getInfo.php?workbook=10_05.xlsx&amp;sheet=A0&amp;row=3786&amp;col=6&amp;number=1140000&amp;sourceID=14","1140000")</f>
        <v>1140000</v>
      </c>
      <c r="G3786" s="4" t="str">
        <f>HYPERLINK("http://141.218.60.56/~jnz1568/getInfo.php?workbook=10_05.xlsx&amp;sheet=A0&amp;row=3786&amp;col=7&amp;number=0&amp;sourceID=14","0")</f>
        <v>0</v>
      </c>
    </row>
    <row r="3787" spans="1:7">
      <c r="A3787" s="3">
        <v>10</v>
      </c>
      <c r="B3787" s="3">
        <v>5</v>
      </c>
      <c r="C3787" s="3">
        <v>172</v>
      </c>
      <c r="D3787" s="3">
        <v>75</v>
      </c>
      <c r="E3787" s="3">
        <v>-495.281</v>
      </c>
      <c r="F3787" s="4" t="str">
        <f>HYPERLINK("http://141.218.60.56/~jnz1568/getInfo.php?workbook=10_05.xlsx&amp;sheet=A0&amp;row=3787&amp;col=6&amp;number=290000000&amp;sourceID=14","290000000")</f>
        <v>290000000</v>
      </c>
      <c r="G3787" s="4" t="str">
        <f>HYPERLINK("http://141.218.60.56/~jnz1568/getInfo.php?workbook=10_05.xlsx&amp;sheet=A0&amp;row=3787&amp;col=7&amp;number=0&amp;sourceID=14","0")</f>
        <v>0</v>
      </c>
    </row>
    <row r="3788" spans="1:7">
      <c r="A3788" s="3">
        <v>10</v>
      </c>
      <c r="B3788" s="3">
        <v>5</v>
      </c>
      <c r="C3788" s="3">
        <v>174</v>
      </c>
      <c r="D3788" s="3">
        <v>75</v>
      </c>
      <c r="E3788" s="3">
        <v>-490.103</v>
      </c>
      <c r="F3788" s="4" t="str">
        <f>HYPERLINK("http://141.218.60.56/~jnz1568/getInfo.php?workbook=10_05.xlsx&amp;sheet=A0&amp;row=3788&amp;col=6&amp;number=264000000&amp;sourceID=14","264000000")</f>
        <v>264000000</v>
      </c>
      <c r="G3788" s="4" t="str">
        <f>HYPERLINK("http://141.218.60.56/~jnz1568/getInfo.php?workbook=10_05.xlsx&amp;sheet=A0&amp;row=3788&amp;col=7&amp;number=0&amp;sourceID=14","0")</f>
        <v>0</v>
      </c>
    </row>
    <row r="3789" spans="1:7">
      <c r="A3789" s="3">
        <v>10</v>
      </c>
      <c r="B3789" s="3">
        <v>5</v>
      </c>
      <c r="C3789" s="3">
        <v>77</v>
      </c>
      <c r="D3789" s="3">
        <v>76</v>
      </c>
      <c r="E3789" s="3">
        <v>-6576.364</v>
      </c>
      <c r="F3789" s="4" t="str">
        <f>HYPERLINK("http://141.218.60.56/~jnz1568/getInfo.php?workbook=10_05.xlsx&amp;sheet=A0&amp;row=3789&amp;col=6&amp;number=168000&amp;sourceID=14","168000")</f>
        <v>168000</v>
      </c>
      <c r="G3789" s="4" t="str">
        <f>HYPERLINK("http://141.218.60.56/~jnz1568/getInfo.php?workbook=10_05.xlsx&amp;sheet=A0&amp;row=3789&amp;col=7&amp;number=0&amp;sourceID=14","0")</f>
        <v>0</v>
      </c>
    </row>
    <row r="3790" spans="1:7">
      <c r="A3790" s="3">
        <v>10</v>
      </c>
      <c r="B3790" s="3">
        <v>5</v>
      </c>
      <c r="C3790" s="3">
        <v>78</v>
      </c>
      <c r="D3790" s="3">
        <v>76</v>
      </c>
      <c r="E3790" s="3">
        <v>-6235.592</v>
      </c>
      <c r="F3790" s="4" t="str">
        <f>HYPERLINK("http://141.218.60.56/~jnz1568/getInfo.php?workbook=10_05.xlsx&amp;sheet=A0&amp;row=3790&amp;col=6&amp;number=492000&amp;sourceID=14","492000")</f>
        <v>492000</v>
      </c>
      <c r="G3790" s="4" t="str">
        <f>HYPERLINK("http://141.218.60.56/~jnz1568/getInfo.php?workbook=10_05.xlsx&amp;sheet=A0&amp;row=3790&amp;col=7&amp;number=0&amp;sourceID=14","0")</f>
        <v>0</v>
      </c>
    </row>
    <row r="3791" spans="1:7">
      <c r="A3791" s="3">
        <v>10</v>
      </c>
      <c r="B3791" s="3">
        <v>5</v>
      </c>
      <c r="C3791" s="3">
        <v>80</v>
      </c>
      <c r="D3791" s="3">
        <v>76</v>
      </c>
      <c r="E3791" s="3">
        <v>4184.108</v>
      </c>
      <c r="F3791" s="4" t="str">
        <f>HYPERLINK("http://141.218.60.56/~jnz1568/getInfo.php?workbook=10_05.xlsx&amp;sheet=A0&amp;row=3791&amp;col=6&amp;number=13000&amp;sourceID=14","13000")</f>
        <v>13000</v>
      </c>
      <c r="G3791" s="4" t="str">
        <f>HYPERLINK("http://141.218.60.56/~jnz1568/getInfo.php?workbook=10_05.xlsx&amp;sheet=A0&amp;row=3791&amp;col=7&amp;number=0&amp;sourceID=14","0")</f>
        <v>0</v>
      </c>
    </row>
    <row r="3792" spans="1:7">
      <c r="A3792" s="3">
        <v>10</v>
      </c>
      <c r="B3792" s="3">
        <v>5</v>
      </c>
      <c r="C3792" s="3">
        <v>81</v>
      </c>
      <c r="D3792" s="3">
        <v>76</v>
      </c>
      <c r="E3792" s="3">
        <v>4184.108</v>
      </c>
      <c r="F3792" s="4" t="str">
        <f>HYPERLINK("http://141.218.60.56/~jnz1568/getInfo.php?workbook=10_05.xlsx&amp;sheet=A0&amp;row=3792&amp;col=6&amp;number=51200&amp;sourceID=14","51200")</f>
        <v>51200</v>
      </c>
      <c r="G3792" s="4" t="str">
        <f>HYPERLINK("http://141.218.60.56/~jnz1568/getInfo.php?workbook=10_05.xlsx&amp;sheet=A0&amp;row=3792&amp;col=7&amp;number=0&amp;sourceID=14","0")</f>
        <v>0</v>
      </c>
    </row>
    <row r="3793" spans="1:7">
      <c r="A3793" s="3">
        <v>10</v>
      </c>
      <c r="B3793" s="3">
        <v>5</v>
      </c>
      <c r="C3793" s="3">
        <v>99</v>
      </c>
      <c r="D3793" s="3">
        <v>76</v>
      </c>
      <c r="E3793" s="3">
        <v>-1487.899</v>
      </c>
      <c r="F3793" s="4" t="str">
        <f>HYPERLINK("http://141.218.60.56/~jnz1568/getInfo.php?workbook=10_05.xlsx&amp;sheet=A0&amp;row=3793&amp;col=6&amp;number=20300&amp;sourceID=14","20300")</f>
        <v>20300</v>
      </c>
      <c r="G3793" s="4" t="str">
        <f>HYPERLINK("http://141.218.60.56/~jnz1568/getInfo.php?workbook=10_05.xlsx&amp;sheet=A0&amp;row=3793&amp;col=7&amp;number=0&amp;sourceID=14","0")</f>
        <v>0</v>
      </c>
    </row>
    <row r="3794" spans="1:7">
      <c r="A3794" s="3">
        <v>10</v>
      </c>
      <c r="B3794" s="3">
        <v>5</v>
      </c>
      <c r="C3794" s="3">
        <v>100</v>
      </c>
      <c r="D3794" s="3">
        <v>76</v>
      </c>
      <c r="E3794" s="3">
        <v>-1482.099</v>
      </c>
      <c r="F3794" s="4" t="str">
        <f>HYPERLINK("http://141.218.60.56/~jnz1568/getInfo.php?workbook=10_05.xlsx&amp;sheet=A0&amp;row=3794&amp;col=6&amp;number=54000&amp;sourceID=14","54000")</f>
        <v>54000</v>
      </c>
      <c r="G3794" s="4" t="str">
        <f>HYPERLINK("http://141.218.60.56/~jnz1568/getInfo.php?workbook=10_05.xlsx&amp;sheet=A0&amp;row=3794&amp;col=7&amp;number=0&amp;sourceID=14","0")</f>
        <v>0</v>
      </c>
    </row>
    <row r="3795" spans="1:7">
      <c r="A3795" s="3">
        <v>10</v>
      </c>
      <c r="B3795" s="3">
        <v>5</v>
      </c>
      <c r="C3795" s="3">
        <v>105</v>
      </c>
      <c r="D3795" s="3">
        <v>76</v>
      </c>
      <c r="E3795" s="3">
        <v>-1366.347</v>
      </c>
      <c r="F3795" s="4" t="str">
        <f>HYPERLINK("http://141.218.60.56/~jnz1568/getInfo.php?workbook=10_05.xlsx&amp;sheet=A0&amp;row=3795&amp;col=6&amp;number=82800&amp;sourceID=14","82800")</f>
        <v>82800</v>
      </c>
      <c r="G3795" s="4" t="str">
        <f>HYPERLINK("http://141.218.60.56/~jnz1568/getInfo.php?workbook=10_05.xlsx&amp;sheet=A0&amp;row=3795&amp;col=7&amp;number=0&amp;sourceID=14","0")</f>
        <v>0</v>
      </c>
    </row>
    <row r="3796" spans="1:7">
      <c r="A3796" s="3">
        <v>10</v>
      </c>
      <c r="B3796" s="3">
        <v>5</v>
      </c>
      <c r="C3796" s="3">
        <v>106</v>
      </c>
      <c r="D3796" s="3">
        <v>76</v>
      </c>
      <c r="E3796" s="3">
        <v>-1364.017</v>
      </c>
      <c r="F3796" s="4" t="str">
        <f>HYPERLINK("http://141.218.60.56/~jnz1568/getInfo.php?workbook=10_05.xlsx&amp;sheet=A0&amp;row=3796&amp;col=6&amp;number=444000&amp;sourceID=14","444000")</f>
        <v>444000</v>
      </c>
      <c r="G3796" s="4" t="str">
        <f>HYPERLINK("http://141.218.60.56/~jnz1568/getInfo.php?workbook=10_05.xlsx&amp;sheet=A0&amp;row=3796&amp;col=7&amp;number=0&amp;sourceID=14","0")</f>
        <v>0</v>
      </c>
    </row>
    <row r="3797" spans="1:7">
      <c r="A3797" s="3">
        <v>10</v>
      </c>
      <c r="B3797" s="3">
        <v>5</v>
      </c>
      <c r="C3797" s="3">
        <v>107</v>
      </c>
      <c r="D3797" s="3">
        <v>76</v>
      </c>
      <c r="E3797" s="3">
        <v>-1358.864</v>
      </c>
      <c r="F3797" s="4" t="str">
        <f>HYPERLINK("http://141.218.60.56/~jnz1568/getInfo.php?workbook=10_05.xlsx&amp;sheet=A0&amp;row=3797&amp;col=6&amp;number=20000&amp;sourceID=14","20000")</f>
        <v>20000</v>
      </c>
      <c r="G3797" s="4" t="str">
        <f>HYPERLINK("http://141.218.60.56/~jnz1568/getInfo.php?workbook=10_05.xlsx&amp;sheet=A0&amp;row=3797&amp;col=7&amp;number=0&amp;sourceID=14","0")</f>
        <v>0</v>
      </c>
    </row>
    <row r="3798" spans="1:7">
      <c r="A3798" s="3">
        <v>10</v>
      </c>
      <c r="B3798" s="3">
        <v>5</v>
      </c>
      <c r="C3798" s="3">
        <v>109</v>
      </c>
      <c r="D3798" s="3">
        <v>76</v>
      </c>
      <c r="E3798" s="3">
        <v>-1345.988</v>
      </c>
      <c r="F3798" s="4" t="str">
        <f>HYPERLINK("http://141.218.60.56/~jnz1568/getInfo.php?workbook=10_05.xlsx&amp;sheet=A0&amp;row=3798&amp;col=6&amp;number=4340000&amp;sourceID=14","4340000")</f>
        <v>4340000</v>
      </c>
      <c r="G3798" s="4" t="str">
        <f>HYPERLINK("http://141.218.60.56/~jnz1568/getInfo.php?workbook=10_05.xlsx&amp;sheet=A0&amp;row=3798&amp;col=7&amp;number=0&amp;sourceID=14","0")</f>
        <v>0</v>
      </c>
    </row>
    <row r="3799" spans="1:7">
      <c r="A3799" s="3">
        <v>10</v>
      </c>
      <c r="B3799" s="3">
        <v>5</v>
      </c>
      <c r="C3799" s="3">
        <v>111</v>
      </c>
      <c r="D3799" s="3">
        <v>76</v>
      </c>
      <c r="E3799" s="3">
        <v>-1335.241</v>
      </c>
      <c r="F3799" s="4" t="str">
        <f>HYPERLINK("http://141.218.60.56/~jnz1568/getInfo.php?workbook=10_05.xlsx&amp;sheet=A0&amp;row=3799&amp;col=6&amp;number=1440000&amp;sourceID=14","1440000")</f>
        <v>1440000</v>
      </c>
      <c r="G3799" s="4" t="str">
        <f>HYPERLINK("http://141.218.60.56/~jnz1568/getInfo.php?workbook=10_05.xlsx&amp;sheet=A0&amp;row=3799&amp;col=7&amp;number=0&amp;sourceID=14","0")</f>
        <v>0</v>
      </c>
    </row>
    <row r="3800" spans="1:7">
      <c r="A3800" s="3">
        <v>10</v>
      </c>
      <c r="B3800" s="3">
        <v>5</v>
      </c>
      <c r="C3800" s="3">
        <v>115</v>
      </c>
      <c r="D3800" s="3">
        <v>76</v>
      </c>
      <c r="E3800" s="3">
        <v>-1222.87</v>
      </c>
      <c r="F3800" s="4" t="str">
        <f>HYPERLINK("http://141.218.60.56/~jnz1568/getInfo.php?workbook=10_05.xlsx&amp;sheet=A0&amp;row=3800&amp;col=6&amp;number=8210&amp;sourceID=14","8210")</f>
        <v>8210</v>
      </c>
      <c r="G3800" s="4" t="str">
        <f>HYPERLINK("http://141.218.60.56/~jnz1568/getInfo.php?workbook=10_05.xlsx&amp;sheet=A0&amp;row=3800&amp;col=7&amp;number=0&amp;sourceID=14","0")</f>
        <v>0</v>
      </c>
    </row>
    <row r="3801" spans="1:7">
      <c r="A3801" s="3">
        <v>10</v>
      </c>
      <c r="B3801" s="3">
        <v>5</v>
      </c>
      <c r="C3801" s="3">
        <v>117</v>
      </c>
      <c r="D3801" s="3">
        <v>76</v>
      </c>
      <c r="E3801" s="3">
        <v>-1206.435</v>
      </c>
      <c r="F3801" s="4" t="str">
        <f>HYPERLINK("http://141.218.60.56/~jnz1568/getInfo.php?workbook=10_05.xlsx&amp;sheet=A0&amp;row=3801&amp;col=6&amp;number=15700&amp;sourceID=14","15700")</f>
        <v>15700</v>
      </c>
      <c r="G3801" s="4" t="str">
        <f>HYPERLINK("http://141.218.60.56/~jnz1568/getInfo.php?workbook=10_05.xlsx&amp;sheet=A0&amp;row=3801&amp;col=7&amp;number=0&amp;sourceID=14","0")</f>
        <v>0</v>
      </c>
    </row>
    <row r="3802" spans="1:7">
      <c r="A3802" s="3">
        <v>10</v>
      </c>
      <c r="B3802" s="3">
        <v>5</v>
      </c>
      <c r="C3802" s="3">
        <v>118</v>
      </c>
      <c r="D3802" s="3">
        <v>76</v>
      </c>
      <c r="E3802" s="3">
        <v>-1205.257</v>
      </c>
      <c r="F3802" s="4" t="str">
        <f>HYPERLINK("http://141.218.60.56/~jnz1568/getInfo.php?workbook=10_05.xlsx&amp;sheet=A0&amp;row=3802&amp;col=6&amp;number=36400&amp;sourceID=14","36400")</f>
        <v>36400</v>
      </c>
      <c r="G3802" s="4" t="str">
        <f>HYPERLINK("http://141.218.60.56/~jnz1568/getInfo.php?workbook=10_05.xlsx&amp;sheet=A0&amp;row=3802&amp;col=7&amp;number=0&amp;sourceID=14","0")</f>
        <v>0</v>
      </c>
    </row>
    <row r="3803" spans="1:7">
      <c r="A3803" s="3">
        <v>10</v>
      </c>
      <c r="B3803" s="3">
        <v>5</v>
      </c>
      <c r="C3803" s="3">
        <v>119</v>
      </c>
      <c r="D3803" s="3">
        <v>76</v>
      </c>
      <c r="E3803" s="3">
        <v>-1204.531</v>
      </c>
      <c r="F3803" s="4" t="str">
        <f>HYPERLINK("http://141.218.60.56/~jnz1568/getInfo.php?workbook=10_05.xlsx&amp;sheet=A0&amp;row=3803&amp;col=6&amp;number=6200&amp;sourceID=14","6200")</f>
        <v>6200</v>
      </c>
      <c r="G3803" s="4" t="str">
        <f>HYPERLINK("http://141.218.60.56/~jnz1568/getInfo.php?workbook=10_05.xlsx&amp;sheet=A0&amp;row=3803&amp;col=7&amp;number=0&amp;sourceID=14","0")</f>
        <v>0</v>
      </c>
    </row>
    <row r="3804" spans="1:7">
      <c r="A3804" s="3">
        <v>10</v>
      </c>
      <c r="B3804" s="3">
        <v>5</v>
      </c>
      <c r="C3804" s="3">
        <v>120</v>
      </c>
      <c r="D3804" s="3">
        <v>76</v>
      </c>
      <c r="E3804" s="3">
        <v>-1160.351</v>
      </c>
      <c r="F3804" s="4" t="str">
        <f>HYPERLINK("http://141.218.60.56/~jnz1568/getInfo.php?workbook=10_05.xlsx&amp;sheet=A0&amp;row=3804&amp;col=6&amp;number=2110&amp;sourceID=14","2110")</f>
        <v>2110</v>
      </c>
      <c r="G3804" s="4" t="str">
        <f>HYPERLINK("http://141.218.60.56/~jnz1568/getInfo.php?workbook=10_05.xlsx&amp;sheet=A0&amp;row=3804&amp;col=7&amp;number=0&amp;sourceID=14","0")</f>
        <v>0</v>
      </c>
    </row>
    <row r="3805" spans="1:7">
      <c r="A3805" s="3">
        <v>10</v>
      </c>
      <c r="B3805" s="3">
        <v>5</v>
      </c>
      <c r="C3805" s="3">
        <v>121</v>
      </c>
      <c r="D3805" s="3">
        <v>76</v>
      </c>
      <c r="E3805" s="3">
        <v>-1157.343</v>
      </c>
      <c r="F3805" s="4" t="str">
        <f>HYPERLINK("http://141.218.60.56/~jnz1568/getInfo.php?workbook=10_05.xlsx&amp;sheet=A0&amp;row=3805&amp;col=6&amp;number=3120&amp;sourceID=14","3120")</f>
        <v>3120</v>
      </c>
      <c r="G3805" s="4" t="str">
        <f>HYPERLINK("http://141.218.60.56/~jnz1568/getInfo.php?workbook=10_05.xlsx&amp;sheet=A0&amp;row=3805&amp;col=7&amp;number=0&amp;sourceID=14","0")</f>
        <v>0</v>
      </c>
    </row>
    <row r="3806" spans="1:7">
      <c r="A3806" s="3">
        <v>10</v>
      </c>
      <c r="B3806" s="3">
        <v>5</v>
      </c>
      <c r="C3806" s="3">
        <v>122</v>
      </c>
      <c r="D3806" s="3">
        <v>76</v>
      </c>
      <c r="E3806" s="3">
        <v>-1152.408</v>
      </c>
      <c r="F3806" s="4" t="str">
        <f>HYPERLINK("http://141.218.60.56/~jnz1568/getInfo.php?workbook=10_05.xlsx&amp;sheet=A0&amp;row=3806&amp;col=6&amp;number=2780&amp;sourceID=14","2780")</f>
        <v>2780</v>
      </c>
      <c r="G3806" s="4" t="str">
        <f>HYPERLINK("http://141.218.60.56/~jnz1568/getInfo.php?workbook=10_05.xlsx&amp;sheet=A0&amp;row=3806&amp;col=7&amp;number=0&amp;sourceID=14","0")</f>
        <v>0</v>
      </c>
    </row>
    <row r="3807" spans="1:7">
      <c r="A3807" s="3">
        <v>10</v>
      </c>
      <c r="B3807" s="3">
        <v>5</v>
      </c>
      <c r="C3807" s="3">
        <v>123</v>
      </c>
      <c r="D3807" s="3">
        <v>76</v>
      </c>
      <c r="E3807" s="3">
        <v>-1148.517</v>
      </c>
      <c r="F3807" s="4" t="str">
        <f>HYPERLINK("http://141.218.60.56/~jnz1568/getInfo.php?workbook=10_05.xlsx&amp;sheet=A0&amp;row=3807&amp;col=6&amp;number=5140&amp;sourceID=14","5140")</f>
        <v>5140</v>
      </c>
      <c r="G3807" s="4" t="str">
        <f>HYPERLINK("http://141.218.60.56/~jnz1568/getInfo.php?workbook=10_05.xlsx&amp;sheet=A0&amp;row=3807&amp;col=7&amp;number=0&amp;sourceID=14","0")</f>
        <v>0</v>
      </c>
    </row>
    <row r="3808" spans="1:7">
      <c r="A3808" s="3">
        <v>10</v>
      </c>
      <c r="B3808" s="3">
        <v>5</v>
      </c>
      <c r="C3808" s="3">
        <v>125</v>
      </c>
      <c r="D3808" s="3">
        <v>76</v>
      </c>
      <c r="E3808" s="3">
        <v>-1133.75</v>
      </c>
      <c r="F3808" s="4" t="str">
        <f>HYPERLINK("http://141.218.60.56/~jnz1568/getInfo.php?workbook=10_05.xlsx&amp;sheet=A0&amp;row=3808&amp;col=6&amp;number=39000&amp;sourceID=14","39000")</f>
        <v>39000</v>
      </c>
      <c r="G3808" s="4" t="str">
        <f>HYPERLINK("http://141.218.60.56/~jnz1568/getInfo.php?workbook=10_05.xlsx&amp;sheet=A0&amp;row=3808&amp;col=7&amp;number=0&amp;sourceID=14","0")</f>
        <v>0</v>
      </c>
    </row>
    <row r="3809" spans="1:7">
      <c r="A3809" s="3">
        <v>10</v>
      </c>
      <c r="B3809" s="3">
        <v>5</v>
      </c>
      <c r="C3809" s="3">
        <v>126</v>
      </c>
      <c r="D3809" s="3">
        <v>76</v>
      </c>
      <c r="E3809" s="3">
        <v>-1130.227</v>
      </c>
      <c r="F3809" s="4" t="str">
        <f>HYPERLINK("http://141.218.60.56/~jnz1568/getInfo.php?workbook=10_05.xlsx&amp;sheet=A0&amp;row=3809&amp;col=6&amp;number=186000&amp;sourceID=14","186000")</f>
        <v>186000</v>
      </c>
      <c r="G3809" s="4" t="str">
        <f>HYPERLINK("http://141.218.60.56/~jnz1568/getInfo.php?workbook=10_05.xlsx&amp;sheet=A0&amp;row=3809&amp;col=7&amp;number=0&amp;sourceID=14","0")</f>
        <v>0</v>
      </c>
    </row>
    <row r="3810" spans="1:7">
      <c r="A3810" s="3">
        <v>10</v>
      </c>
      <c r="B3810" s="3">
        <v>5</v>
      </c>
      <c r="C3810" s="3">
        <v>129</v>
      </c>
      <c r="D3810" s="3">
        <v>76</v>
      </c>
      <c r="E3810" s="3">
        <v>1095.172</v>
      </c>
      <c r="F3810" s="4" t="str">
        <f>HYPERLINK("http://141.218.60.56/~jnz1568/getInfo.php?workbook=10_05.xlsx&amp;sheet=A0&amp;row=3810&amp;col=6&amp;number=48700&amp;sourceID=14","48700")</f>
        <v>48700</v>
      </c>
      <c r="G3810" s="4" t="str">
        <f>HYPERLINK("http://141.218.60.56/~jnz1568/getInfo.php?workbook=10_05.xlsx&amp;sheet=A0&amp;row=3810&amp;col=7&amp;number=0&amp;sourceID=14","0")</f>
        <v>0</v>
      </c>
    </row>
    <row r="3811" spans="1:7">
      <c r="A3811" s="3">
        <v>10</v>
      </c>
      <c r="B3811" s="3">
        <v>5</v>
      </c>
      <c r="C3811" s="3">
        <v>130</v>
      </c>
      <c r="D3811" s="3">
        <v>76</v>
      </c>
      <c r="E3811" s="3">
        <v>1095.172</v>
      </c>
      <c r="F3811" s="4" t="str">
        <f>HYPERLINK("http://141.218.60.56/~jnz1568/getInfo.php?workbook=10_05.xlsx&amp;sheet=A0&amp;row=3811&amp;col=6&amp;number=852000&amp;sourceID=14","852000")</f>
        <v>852000</v>
      </c>
      <c r="G3811" s="4" t="str">
        <f>HYPERLINK("http://141.218.60.56/~jnz1568/getInfo.php?workbook=10_05.xlsx&amp;sheet=A0&amp;row=3811&amp;col=7&amp;number=0&amp;sourceID=14","0")</f>
        <v>0</v>
      </c>
    </row>
    <row r="3812" spans="1:7">
      <c r="A3812" s="3">
        <v>10</v>
      </c>
      <c r="B3812" s="3">
        <v>5</v>
      </c>
      <c r="C3812" s="3">
        <v>131</v>
      </c>
      <c r="D3812" s="3">
        <v>76</v>
      </c>
      <c r="E3812" s="3">
        <v>-1088.911</v>
      </c>
      <c r="F3812" s="4" t="str">
        <f>HYPERLINK("http://141.218.60.56/~jnz1568/getInfo.php?workbook=10_05.xlsx&amp;sheet=A0&amp;row=3812&amp;col=6&amp;number=5870&amp;sourceID=14","5870")</f>
        <v>5870</v>
      </c>
      <c r="G3812" s="4" t="str">
        <f>HYPERLINK("http://141.218.60.56/~jnz1568/getInfo.php?workbook=10_05.xlsx&amp;sheet=A0&amp;row=3812&amp;col=7&amp;number=0&amp;sourceID=14","0")</f>
        <v>0</v>
      </c>
    </row>
    <row r="3813" spans="1:7">
      <c r="A3813" s="3">
        <v>10</v>
      </c>
      <c r="B3813" s="3">
        <v>5</v>
      </c>
      <c r="C3813" s="3">
        <v>132</v>
      </c>
      <c r="D3813" s="3">
        <v>76</v>
      </c>
      <c r="E3813" s="3">
        <v>-1087.171</v>
      </c>
      <c r="F3813" s="4" t="str">
        <f>HYPERLINK("http://141.218.60.56/~jnz1568/getInfo.php?workbook=10_05.xlsx&amp;sheet=A0&amp;row=3813&amp;col=6&amp;number=27900&amp;sourceID=14","27900")</f>
        <v>27900</v>
      </c>
      <c r="G3813" s="4" t="str">
        <f>HYPERLINK("http://141.218.60.56/~jnz1568/getInfo.php?workbook=10_05.xlsx&amp;sheet=A0&amp;row=3813&amp;col=7&amp;number=0&amp;sourceID=14","0")</f>
        <v>0</v>
      </c>
    </row>
    <row r="3814" spans="1:7">
      <c r="A3814" s="3">
        <v>10</v>
      </c>
      <c r="B3814" s="3">
        <v>5</v>
      </c>
      <c r="C3814" s="3">
        <v>133</v>
      </c>
      <c r="D3814" s="3">
        <v>76</v>
      </c>
      <c r="E3814" s="3">
        <v>-1084.718</v>
      </c>
      <c r="F3814" s="4" t="str">
        <f>HYPERLINK("http://141.218.60.56/~jnz1568/getInfo.php?workbook=10_05.xlsx&amp;sheet=A0&amp;row=3814&amp;col=6&amp;number=126000&amp;sourceID=14","126000")</f>
        <v>126000</v>
      </c>
      <c r="G3814" s="4" t="str">
        <f>HYPERLINK("http://141.218.60.56/~jnz1568/getInfo.php?workbook=10_05.xlsx&amp;sheet=A0&amp;row=3814&amp;col=7&amp;number=0&amp;sourceID=14","0")</f>
        <v>0</v>
      </c>
    </row>
    <row r="3815" spans="1:7">
      <c r="A3815" s="3">
        <v>10</v>
      </c>
      <c r="B3815" s="3">
        <v>5</v>
      </c>
      <c r="C3815" s="3">
        <v>140</v>
      </c>
      <c r="D3815" s="3">
        <v>76</v>
      </c>
      <c r="E3815" s="3">
        <v>-1030.632</v>
      </c>
      <c r="F3815" s="4" t="str">
        <f>HYPERLINK("http://141.218.60.56/~jnz1568/getInfo.php?workbook=10_05.xlsx&amp;sheet=A0&amp;row=3815&amp;col=6&amp;number=192000&amp;sourceID=14","192000")</f>
        <v>192000</v>
      </c>
      <c r="G3815" s="4" t="str">
        <f>HYPERLINK("http://141.218.60.56/~jnz1568/getInfo.php?workbook=10_05.xlsx&amp;sheet=A0&amp;row=3815&amp;col=7&amp;number=0&amp;sourceID=14","0")</f>
        <v>0</v>
      </c>
    </row>
    <row r="3816" spans="1:7">
      <c r="A3816" s="3">
        <v>10</v>
      </c>
      <c r="B3816" s="3">
        <v>5</v>
      </c>
      <c r="C3816" s="3">
        <v>150</v>
      </c>
      <c r="D3816" s="3">
        <v>76</v>
      </c>
      <c r="E3816" s="3">
        <v>-961.864</v>
      </c>
      <c r="F3816" s="4" t="str">
        <f>HYPERLINK("http://141.218.60.56/~jnz1568/getInfo.php?workbook=10_05.xlsx&amp;sheet=A0&amp;row=3816&amp;col=6&amp;number=22800000&amp;sourceID=14","22800000")</f>
        <v>22800000</v>
      </c>
      <c r="G3816" s="4" t="str">
        <f>HYPERLINK("http://141.218.60.56/~jnz1568/getInfo.php?workbook=10_05.xlsx&amp;sheet=A0&amp;row=3816&amp;col=7&amp;number=0&amp;sourceID=14","0")</f>
        <v>0</v>
      </c>
    </row>
    <row r="3817" spans="1:7">
      <c r="A3817" s="3">
        <v>10</v>
      </c>
      <c r="B3817" s="3">
        <v>5</v>
      </c>
      <c r="C3817" s="3">
        <v>151</v>
      </c>
      <c r="D3817" s="3">
        <v>76</v>
      </c>
      <c r="E3817" s="3">
        <v>-961.66</v>
      </c>
      <c r="F3817" s="4" t="str">
        <f>HYPERLINK("http://141.218.60.56/~jnz1568/getInfo.php?workbook=10_05.xlsx&amp;sheet=A0&amp;row=3817&amp;col=6&amp;number=67700000&amp;sourceID=14","67700000")</f>
        <v>67700000</v>
      </c>
      <c r="G3817" s="4" t="str">
        <f>HYPERLINK("http://141.218.60.56/~jnz1568/getInfo.php?workbook=10_05.xlsx&amp;sheet=A0&amp;row=3817&amp;col=7&amp;number=0&amp;sourceID=14","0")</f>
        <v>0</v>
      </c>
    </row>
    <row r="3818" spans="1:7">
      <c r="A3818" s="3">
        <v>10</v>
      </c>
      <c r="B3818" s="3">
        <v>5</v>
      </c>
      <c r="C3818" s="3">
        <v>155</v>
      </c>
      <c r="D3818" s="3">
        <v>76</v>
      </c>
      <c r="E3818" s="3">
        <v>932.142</v>
      </c>
      <c r="F3818" s="4" t="str">
        <f>HYPERLINK("http://141.218.60.56/~jnz1568/getInfo.php?workbook=10_05.xlsx&amp;sheet=A0&amp;row=3818&amp;col=6&amp;number=81100000&amp;sourceID=14","81100000")</f>
        <v>81100000</v>
      </c>
      <c r="G3818" s="4" t="str">
        <f>HYPERLINK("http://141.218.60.56/~jnz1568/getInfo.php?workbook=10_05.xlsx&amp;sheet=A0&amp;row=3818&amp;col=7&amp;number=0&amp;sourceID=14","0")</f>
        <v>0</v>
      </c>
    </row>
    <row r="3819" spans="1:7">
      <c r="A3819" s="3">
        <v>10</v>
      </c>
      <c r="B3819" s="3">
        <v>5</v>
      </c>
      <c r="C3819" s="3">
        <v>156</v>
      </c>
      <c r="D3819" s="3">
        <v>76</v>
      </c>
      <c r="E3819" s="3">
        <v>-925.199</v>
      </c>
      <c r="F3819" s="4" t="str">
        <f>HYPERLINK("http://141.218.60.56/~jnz1568/getInfo.php?workbook=10_05.xlsx&amp;sheet=A0&amp;row=3819&amp;col=6&amp;number=3080000&amp;sourceID=14","3080000")</f>
        <v>3080000</v>
      </c>
      <c r="G3819" s="4" t="str">
        <f>HYPERLINK("http://141.218.60.56/~jnz1568/getInfo.php?workbook=10_05.xlsx&amp;sheet=A0&amp;row=3819&amp;col=7&amp;number=0&amp;sourceID=14","0")</f>
        <v>0</v>
      </c>
    </row>
    <row r="3820" spans="1:7">
      <c r="A3820" s="3">
        <v>10</v>
      </c>
      <c r="B3820" s="3">
        <v>5</v>
      </c>
      <c r="C3820" s="3">
        <v>157</v>
      </c>
      <c r="D3820" s="3">
        <v>76</v>
      </c>
      <c r="E3820" s="3">
        <v>-923.67</v>
      </c>
      <c r="F3820" s="4" t="str">
        <f>HYPERLINK("http://141.218.60.56/~jnz1568/getInfo.php?workbook=10_05.xlsx&amp;sheet=A0&amp;row=3820&amp;col=6&amp;number=32700000&amp;sourceID=14","32700000")</f>
        <v>32700000</v>
      </c>
      <c r="G3820" s="4" t="str">
        <f>HYPERLINK("http://141.218.60.56/~jnz1568/getInfo.php?workbook=10_05.xlsx&amp;sheet=A0&amp;row=3820&amp;col=7&amp;number=0&amp;sourceID=14","0")</f>
        <v>0</v>
      </c>
    </row>
    <row r="3821" spans="1:7">
      <c r="A3821" s="3">
        <v>10</v>
      </c>
      <c r="B3821" s="3">
        <v>5</v>
      </c>
      <c r="C3821" s="3">
        <v>160</v>
      </c>
      <c r="D3821" s="3">
        <v>76</v>
      </c>
      <c r="E3821" s="3">
        <v>-912.994</v>
      </c>
      <c r="F3821" s="4" t="str">
        <f>HYPERLINK("http://141.218.60.56/~jnz1568/getInfo.php?workbook=10_05.xlsx&amp;sheet=A0&amp;row=3821&amp;col=6&amp;number=185000000&amp;sourceID=14","185000000")</f>
        <v>185000000</v>
      </c>
      <c r="G3821" s="4" t="str">
        <f>HYPERLINK("http://141.218.60.56/~jnz1568/getInfo.php?workbook=10_05.xlsx&amp;sheet=A0&amp;row=3821&amp;col=7&amp;number=0&amp;sourceID=14","0")</f>
        <v>0</v>
      </c>
    </row>
    <row r="3822" spans="1:7">
      <c r="A3822" s="3">
        <v>10</v>
      </c>
      <c r="B3822" s="3">
        <v>5</v>
      </c>
      <c r="C3822" s="3">
        <v>161</v>
      </c>
      <c r="D3822" s="3">
        <v>76</v>
      </c>
      <c r="E3822" s="3">
        <v>910.168</v>
      </c>
      <c r="F3822" s="4" t="str">
        <f>HYPERLINK("http://141.218.60.56/~jnz1568/getInfo.php?workbook=10_05.xlsx&amp;sheet=A0&amp;row=3822&amp;col=6&amp;number=347000000&amp;sourceID=14","347000000")</f>
        <v>347000000</v>
      </c>
      <c r="G3822" s="4" t="str">
        <f>HYPERLINK("http://141.218.60.56/~jnz1568/getInfo.php?workbook=10_05.xlsx&amp;sheet=A0&amp;row=3822&amp;col=7&amp;number=0&amp;sourceID=14","0")</f>
        <v>0</v>
      </c>
    </row>
    <row r="3823" spans="1:7">
      <c r="A3823" s="3">
        <v>10</v>
      </c>
      <c r="B3823" s="3">
        <v>5</v>
      </c>
      <c r="C3823" s="3">
        <v>162</v>
      </c>
      <c r="D3823" s="3">
        <v>76</v>
      </c>
      <c r="E3823" s="3">
        <v>907.69</v>
      </c>
      <c r="F3823" s="4" t="str">
        <f>HYPERLINK("http://141.218.60.56/~jnz1568/getInfo.php?workbook=10_05.xlsx&amp;sheet=A0&amp;row=3823&amp;col=6&amp;number=865000000&amp;sourceID=14","865000000")</f>
        <v>865000000</v>
      </c>
      <c r="G3823" s="4" t="str">
        <f>HYPERLINK("http://141.218.60.56/~jnz1568/getInfo.php?workbook=10_05.xlsx&amp;sheet=A0&amp;row=3823&amp;col=7&amp;number=0&amp;sourceID=14","0")</f>
        <v>0</v>
      </c>
    </row>
    <row r="3824" spans="1:7">
      <c r="A3824" s="3">
        <v>10</v>
      </c>
      <c r="B3824" s="3">
        <v>5</v>
      </c>
      <c r="C3824" s="3">
        <v>163</v>
      </c>
      <c r="D3824" s="3">
        <v>76</v>
      </c>
      <c r="E3824" s="3">
        <v>-808.435</v>
      </c>
      <c r="F3824" s="4" t="str">
        <f>HYPERLINK("http://141.218.60.56/~jnz1568/getInfo.php?workbook=10_05.xlsx&amp;sheet=A0&amp;row=3824&amp;col=6&amp;number=1000000000&amp;sourceID=14","1000000000")</f>
        <v>1000000000</v>
      </c>
      <c r="G3824" s="4" t="str">
        <f>HYPERLINK("http://141.218.60.56/~jnz1568/getInfo.php?workbook=10_05.xlsx&amp;sheet=A0&amp;row=3824&amp;col=7&amp;number=0&amp;sourceID=14","0")</f>
        <v>0</v>
      </c>
    </row>
    <row r="3825" spans="1:7">
      <c r="A3825" s="3">
        <v>10</v>
      </c>
      <c r="B3825" s="3">
        <v>5</v>
      </c>
      <c r="C3825" s="3">
        <v>168</v>
      </c>
      <c r="D3825" s="3">
        <v>76</v>
      </c>
      <c r="E3825" s="3">
        <v>-525.308</v>
      </c>
      <c r="F3825" s="4" t="str">
        <f>HYPERLINK("http://141.218.60.56/~jnz1568/getInfo.php?workbook=10_05.xlsx&amp;sheet=A0&amp;row=3825&amp;col=6&amp;number=457000000&amp;sourceID=14","457000000")</f>
        <v>457000000</v>
      </c>
      <c r="G3825" s="4" t="str">
        <f>HYPERLINK("http://141.218.60.56/~jnz1568/getInfo.php?workbook=10_05.xlsx&amp;sheet=A0&amp;row=3825&amp;col=7&amp;number=0&amp;sourceID=14","0")</f>
        <v>0</v>
      </c>
    </row>
    <row r="3826" spans="1:7">
      <c r="A3826" s="3">
        <v>10</v>
      </c>
      <c r="B3826" s="3">
        <v>5</v>
      </c>
      <c r="C3826" s="3">
        <v>169</v>
      </c>
      <c r="D3826" s="3">
        <v>76</v>
      </c>
      <c r="E3826" s="3">
        <v>-525.175</v>
      </c>
      <c r="F3826" s="4" t="str">
        <f>HYPERLINK("http://141.218.60.56/~jnz1568/getInfo.php?workbook=10_05.xlsx&amp;sheet=A0&amp;row=3826&amp;col=6&amp;number=75700000&amp;sourceID=14","75700000")</f>
        <v>75700000</v>
      </c>
      <c r="G3826" s="4" t="str">
        <f>HYPERLINK("http://141.218.60.56/~jnz1568/getInfo.php?workbook=10_05.xlsx&amp;sheet=A0&amp;row=3826&amp;col=7&amp;number=0&amp;sourceID=14","0")</f>
        <v>0</v>
      </c>
    </row>
    <row r="3827" spans="1:7">
      <c r="A3827" s="3">
        <v>10</v>
      </c>
      <c r="B3827" s="3">
        <v>5</v>
      </c>
      <c r="C3827" s="3">
        <v>170</v>
      </c>
      <c r="D3827" s="3">
        <v>76</v>
      </c>
      <c r="E3827" s="3">
        <v>-500.542</v>
      </c>
      <c r="F3827" s="4" t="str">
        <f>HYPERLINK("http://141.218.60.56/~jnz1568/getInfo.php?workbook=10_05.xlsx&amp;sheet=A0&amp;row=3827&amp;col=6&amp;number=4230000&amp;sourceID=14","4230000")</f>
        <v>4230000</v>
      </c>
      <c r="G3827" s="4" t="str">
        <f>HYPERLINK("http://141.218.60.56/~jnz1568/getInfo.php?workbook=10_05.xlsx&amp;sheet=A0&amp;row=3827&amp;col=7&amp;number=0&amp;sourceID=14","0")</f>
        <v>0</v>
      </c>
    </row>
    <row r="3828" spans="1:7">
      <c r="A3828" s="3">
        <v>10</v>
      </c>
      <c r="B3828" s="3">
        <v>5</v>
      </c>
      <c r="C3828" s="3">
        <v>171</v>
      </c>
      <c r="D3828" s="3">
        <v>76</v>
      </c>
      <c r="E3828" s="3">
        <v>-500.304</v>
      </c>
      <c r="F3828" s="4" t="str">
        <f>HYPERLINK("http://141.218.60.56/~jnz1568/getInfo.php?workbook=10_05.xlsx&amp;sheet=A0&amp;row=3828&amp;col=6&amp;number=15800000&amp;sourceID=14","15800000")</f>
        <v>15800000</v>
      </c>
      <c r="G3828" s="4" t="str">
        <f>HYPERLINK("http://141.218.60.56/~jnz1568/getInfo.php?workbook=10_05.xlsx&amp;sheet=A0&amp;row=3828&amp;col=7&amp;number=0&amp;sourceID=14","0")</f>
        <v>0</v>
      </c>
    </row>
    <row r="3829" spans="1:7">
      <c r="A3829" s="3">
        <v>10</v>
      </c>
      <c r="B3829" s="3">
        <v>5</v>
      </c>
      <c r="C3829" s="3">
        <v>172</v>
      </c>
      <c r="D3829" s="3">
        <v>76</v>
      </c>
      <c r="E3829" s="3">
        <v>-495.47</v>
      </c>
      <c r="F3829" s="4" t="str">
        <f>HYPERLINK("http://141.218.60.56/~jnz1568/getInfo.php?workbook=10_05.xlsx&amp;sheet=A0&amp;row=3829&amp;col=6&amp;number=57800000&amp;sourceID=14","57800000")</f>
        <v>57800000</v>
      </c>
      <c r="G3829" s="4" t="str">
        <f>HYPERLINK("http://141.218.60.56/~jnz1568/getInfo.php?workbook=10_05.xlsx&amp;sheet=A0&amp;row=3829&amp;col=7&amp;number=0&amp;sourceID=14","0")</f>
        <v>0</v>
      </c>
    </row>
    <row r="3830" spans="1:7">
      <c r="A3830" s="3">
        <v>10</v>
      </c>
      <c r="B3830" s="3">
        <v>5</v>
      </c>
      <c r="C3830" s="3">
        <v>173</v>
      </c>
      <c r="D3830" s="3">
        <v>76</v>
      </c>
      <c r="E3830" s="3">
        <v>-495.413</v>
      </c>
      <c r="F3830" s="4" t="str">
        <f>HYPERLINK("http://141.218.60.56/~jnz1568/getInfo.php?workbook=10_05.xlsx&amp;sheet=A0&amp;row=3830&amp;col=6&amp;number=344000000&amp;sourceID=14","344000000")</f>
        <v>344000000</v>
      </c>
      <c r="G3830" s="4" t="str">
        <f>HYPERLINK("http://141.218.60.56/~jnz1568/getInfo.php?workbook=10_05.xlsx&amp;sheet=A0&amp;row=3830&amp;col=7&amp;number=0&amp;sourceID=14","0")</f>
        <v>0</v>
      </c>
    </row>
    <row r="3831" spans="1:7">
      <c r="A3831" s="3">
        <v>10</v>
      </c>
      <c r="B3831" s="3">
        <v>5</v>
      </c>
      <c r="C3831" s="3">
        <v>174</v>
      </c>
      <c r="D3831" s="3">
        <v>76</v>
      </c>
      <c r="E3831" s="3">
        <v>-490.288</v>
      </c>
      <c r="F3831" s="4" t="str">
        <f>HYPERLINK("http://141.218.60.56/~jnz1568/getInfo.php?workbook=10_05.xlsx&amp;sheet=A0&amp;row=3831&amp;col=6&amp;number=539000000&amp;sourceID=14","539000000")</f>
        <v>539000000</v>
      </c>
      <c r="G3831" s="4" t="str">
        <f>HYPERLINK("http://141.218.60.56/~jnz1568/getInfo.php?workbook=10_05.xlsx&amp;sheet=A0&amp;row=3831&amp;col=7&amp;number=0&amp;sourceID=14","0")</f>
        <v>0</v>
      </c>
    </row>
    <row r="3832" spans="1:7">
      <c r="A3832" s="3">
        <v>10</v>
      </c>
      <c r="B3832" s="3">
        <v>5</v>
      </c>
      <c r="C3832" s="3">
        <v>79</v>
      </c>
      <c r="D3832" s="3">
        <v>77</v>
      </c>
      <c r="E3832" s="3">
        <v>-13473.482</v>
      </c>
      <c r="F3832" s="4" t="str">
        <f>HYPERLINK("http://141.218.60.56/~jnz1568/getInfo.php?workbook=10_05.xlsx&amp;sheet=A0&amp;row=3832&amp;col=6&amp;number=250000&amp;sourceID=14","250000")</f>
        <v>250000</v>
      </c>
      <c r="G3832" s="4" t="str">
        <f>HYPERLINK("http://141.218.60.56/~jnz1568/getInfo.php?workbook=10_05.xlsx&amp;sheet=A0&amp;row=3832&amp;col=7&amp;number=0&amp;sourceID=14","0")</f>
        <v>0</v>
      </c>
    </row>
    <row r="3833" spans="1:7">
      <c r="A3833" s="3">
        <v>10</v>
      </c>
      <c r="B3833" s="3">
        <v>5</v>
      </c>
      <c r="C3833" s="3">
        <v>82</v>
      </c>
      <c r="D3833" s="3">
        <v>77</v>
      </c>
      <c r="E3833" s="3">
        <v>-7317.444</v>
      </c>
      <c r="F3833" s="4" t="str">
        <f>HYPERLINK("http://141.218.60.56/~jnz1568/getInfo.php?workbook=10_05.xlsx&amp;sheet=A0&amp;row=3833&amp;col=6&amp;number=10.5&amp;sourceID=14","10.5")</f>
        <v>10.5</v>
      </c>
      <c r="G3833" s="4" t="str">
        <f>HYPERLINK("http://141.218.60.56/~jnz1568/getInfo.php?workbook=10_05.xlsx&amp;sheet=A0&amp;row=3833&amp;col=7&amp;number=0&amp;sourceID=14","0")</f>
        <v>0</v>
      </c>
    </row>
    <row r="3834" spans="1:7">
      <c r="A3834" s="3">
        <v>10</v>
      </c>
      <c r="B3834" s="3">
        <v>5</v>
      </c>
      <c r="C3834" s="3">
        <v>83</v>
      </c>
      <c r="D3834" s="3">
        <v>77</v>
      </c>
      <c r="E3834" s="3">
        <v>-7173.614</v>
      </c>
      <c r="F3834" s="4" t="str">
        <f>HYPERLINK("http://141.218.60.56/~jnz1568/getInfo.php?workbook=10_05.xlsx&amp;sheet=A0&amp;row=3834&amp;col=6&amp;number=202&amp;sourceID=14","202")</f>
        <v>202</v>
      </c>
      <c r="G3834" s="4" t="str">
        <f>HYPERLINK("http://141.218.60.56/~jnz1568/getInfo.php?workbook=10_05.xlsx&amp;sheet=A0&amp;row=3834&amp;col=7&amp;number=0&amp;sourceID=14","0")</f>
        <v>0</v>
      </c>
    </row>
    <row r="3835" spans="1:7">
      <c r="A3835" s="3">
        <v>10</v>
      </c>
      <c r="B3835" s="3">
        <v>5</v>
      </c>
      <c r="C3835" s="3">
        <v>88</v>
      </c>
      <c r="D3835" s="3">
        <v>77</v>
      </c>
      <c r="E3835" s="3">
        <v>-5669.587</v>
      </c>
      <c r="F3835" s="4" t="str">
        <f>HYPERLINK("http://141.218.60.56/~jnz1568/getInfo.php?workbook=10_05.xlsx&amp;sheet=A0&amp;row=3835&amp;col=6&amp;number=7920&amp;sourceID=14","7920")</f>
        <v>7920</v>
      </c>
      <c r="G3835" s="4" t="str">
        <f>HYPERLINK("http://141.218.60.56/~jnz1568/getInfo.php?workbook=10_05.xlsx&amp;sheet=A0&amp;row=3835&amp;col=7&amp;number=0&amp;sourceID=14","0")</f>
        <v>0</v>
      </c>
    </row>
    <row r="3836" spans="1:7">
      <c r="A3836" s="3">
        <v>10</v>
      </c>
      <c r="B3836" s="3">
        <v>5</v>
      </c>
      <c r="C3836" s="3">
        <v>89</v>
      </c>
      <c r="D3836" s="3">
        <v>77</v>
      </c>
      <c r="E3836" s="3">
        <v>-5552.173</v>
      </c>
      <c r="F3836" s="4" t="str">
        <f>HYPERLINK("http://141.218.60.56/~jnz1568/getInfo.php?workbook=10_05.xlsx&amp;sheet=A0&amp;row=3836&amp;col=6&amp;number=3490&amp;sourceID=14","3490")</f>
        <v>3490</v>
      </c>
      <c r="G3836" s="4" t="str">
        <f>HYPERLINK("http://141.218.60.56/~jnz1568/getInfo.php?workbook=10_05.xlsx&amp;sheet=A0&amp;row=3836&amp;col=7&amp;number=0&amp;sourceID=14","0")</f>
        <v>0</v>
      </c>
    </row>
    <row r="3837" spans="1:7">
      <c r="A3837" s="3">
        <v>10</v>
      </c>
      <c r="B3837" s="3">
        <v>5</v>
      </c>
      <c r="C3837" s="3">
        <v>91</v>
      </c>
      <c r="D3837" s="3">
        <v>77</v>
      </c>
      <c r="E3837" s="3">
        <v>-3779.154</v>
      </c>
      <c r="F3837" s="4" t="str">
        <f>HYPERLINK("http://141.218.60.56/~jnz1568/getInfo.php?workbook=10_05.xlsx&amp;sheet=A0&amp;row=3837&amp;col=6&amp;number=21400000&amp;sourceID=14","21400000")</f>
        <v>21400000</v>
      </c>
      <c r="G3837" s="4" t="str">
        <f>HYPERLINK("http://141.218.60.56/~jnz1568/getInfo.php?workbook=10_05.xlsx&amp;sheet=A0&amp;row=3837&amp;col=7&amp;number=0&amp;sourceID=14","0")</f>
        <v>0</v>
      </c>
    </row>
    <row r="3838" spans="1:7">
      <c r="A3838" s="3">
        <v>10</v>
      </c>
      <c r="B3838" s="3">
        <v>5</v>
      </c>
      <c r="C3838" s="3">
        <v>93</v>
      </c>
      <c r="D3838" s="3">
        <v>77</v>
      </c>
      <c r="E3838" s="3">
        <v>-2852.828</v>
      </c>
      <c r="F3838" s="4" t="str">
        <f>HYPERLINK("http://141.218.60.56/~jnz1568/getInfo.php?workbook=10_05.xlsx&amp;sheet=A0&amp;row=3838&amp;col=6&amp;number=56900000&amp;sourceID=14","56900000")</f>
        <v>56900000</v>
      </c>
      <c r="G3838" s="4" t="str">
        <f>HYPERLINK("http://141.218.60.56/~jnz1568/getInfo.php?workbook=10_05.xlsx&amp;sheet=A0&amp;row=3838&amp;col=7&amp;number=0&amp;sourceID=14","0")</f>
        <v>0</v>
      </c>
    </row>
    <row r="3839" spans="1:7">
      <c r="A3839" s="3">
        <v>10</v>
      </c>
      <c r="B3839" s="3">
        <v>5</v>
      </c>
      <c r="C3839" s="3">
        <v>94</v>
      </c>
      <c r="D3839" s="3">
        <v>77</v>
      </c>
      <c r="E3839" s="3">
        <v>-2840.349</v>
      </c>
      <c r="F3839" s="4" t="str">
        <f>HYPERLINK("http://141.218.60.56/~jnz1568/getInfo.php?workbook=10_05.xlsx&amp;sheet=A0&amp;row=3839&amp;col=6&amp;number=14900000&amp;sourceID=14","14900000")</f>
        <v>14900000</v>
      </c>
      <c r="G3839" s="4" t="str">
        <f>HYPERLINK("http://141.218.60.56/~jnz1568/getInfo.php?workbook=10_05.xlsx&amp;sheet=A0&amp;row=3839&amp;col=7&amp;number=0&amp;sourceID=14","0")</f>
        <v>0</v>
      </c>
    </row>
    <row r="3840" spans="1:7">
      <c r="A3840" s="3">
        <v>10</v>
      </c>
      <c r="B3840" s="3">
        <v>5</v>
      </c>
      <c r="C3840" s="3">
        <v>95</v>
      </c>
      <c r="D3840" s="3">
        <v>77</v>
      </c>
      <c r="E3840" s="3">
        <v>-2597.475</v>
      </c>
      <c r="F3840" s="4" t="str">
        <f>HYPERLINK("http://141.218.60.56/~jnz1568/getInfo.php?workbook=10_05.xlsx&amp;sheet=A0&amp;row=3840&amp;col=6&amp;number=4710&amp;sourceID=14","4710")</f>
        <v>4710</v>
      </c>
      <c r="G3840" s="4" t="str">
        <f>HYPERLINK("http://141.218.60.56/~jnz1568/getInfo.php?workbook=10_05.xlsx&amp;sheet=A0&amp;row=3840&amp;col=7&amp;number=0&amp;sourceID=14","0")</f>
        <v>0</v>
      </c>
    </row>
    <row r="3841" spans="1:7">
      <c r="A3841" s="3">
        <v>10</v>
      </c>
      <c r="B3841" s="3">
        <v>5</v>
      </c>
      <c r="C3841" s="3">
        <v>98</v>
      </c>
      <c r="D3841" s="3">
        <v>77</v>
      </c>
      <c r="E3841" s="3">
        <v>-1927.083</v>
      </c>
      <c r="F3841" s="4" t="str">
        <f>HYPERLINK("http://141.218.60.56/~jnz1568/getInfo.php?workbook=10_05.xlsx&amp;sheet=A0&amp;row=3841&amp;col=6&amp;number=435&amp;sourceID=14","435")</f>
        <v>435</v>
      </c>
      <c r="G3841" s="4" t="str">
        <f>HYPERLINK("http://141.218.60.56/~jnz1568/getInfo.php?workbook=10_05.xlsx&amp;sheet=A0&amp;row=3841&amp;col=7&amp;number=0&amp;sourceID=14","0")</f>
        <v>0</v>
      </c>
    </row>
    <row r="3842" spans="1:7">
      <c r="A3842" s="3">
        <v>10</v>
      </c>
      <c r="B3842" s="3">
        <v>5</v>
      </c>
      <c r="C3842" s="3">
        <v>101</v>
      </c>
      <c r="D3842" s="3">
        <v>77</v>
      </c>
      <c r="E3842" s="3">
        <v>-1911.282</v>
      </c>
      <c r="F3842" s="4" t="str">
        <f>HYPERLINK("http://141.218.60.56/~jnz1568/getInfo.php?workbook=10_05.xlsx&amp;sheet=A0&amp;row=3842&amp;col=6&amp;number=4370&amp;sourceID=14","4370")</f>
        <v>4370</v>
      </c>
      <c r="G3842" s="4" t="str">
        <f>HYPERLINK("http://141.218.60.56/~jnz1568/getInfo.php?workbook=10_05.xlsx&amp;sheet=A0&amp;row=3842&amp;col=7&amp;number=0&amp;sourceID=14","0")</f>
        <v>0</v>
      </c>
    </row>
    <row r="3843" spans="1:7">
      <c r="A3843" s="3">
        <v>10</v>
      </c>
      <c r="B3843" s="3">
        <v>5</v>
      </c>
      <c r="C3843" s="3">
        <v>110</v>
      </c>
      <c r="D3843" s="3">
        <v>77</v>
      </c>
      <c r="E3843" s="3">
        <v>-1684.355</v>
      </c>
      <c r="F3843" s="4" t="str">
        <f>HYPERLINK("http://141.218.60.56/~jnz1568/getInfo.php?workbook=10_05.xlsx&amp;sheet=A0&amp;row=3843&amp;col=6&amp;number=15700000&amp;sourceID=14","15700000")</f>
        <v>15700000</v>
      </c>
      <c r="G3843" s="4" t="str">
        <f>HYPERLINK("http://141.218.60.56/~jnz1568/getInfo.php?workbook=10_05.xlsx&amp;sheet=A0&amp;row=3843&amp;col=7&amp;number=0&amp;sourceID=14","0")</f>
        <v>0</v>
      </c>
    </row>
    <row r="3844" spans="1:7">
      <c r="A3844" s="3">
        <v>10</v>
      </c>
      <c r="B3844" s="3">
        <v>5</v>
      </c>
      <c r="C3844" s="3">
        <v>112</v>
      </c>
      <c r="D3844" s="3">
        <v>77</v>
      </c>
      <c r="E3844" s="3">
        <v>-1665.948</v>
      </c>
      <c r="F3844" s="4" t="str">
        <f>HYPERLINK("http://141.218.60.56/~jnz1568/getInfo.php?workbook=10_05.xlsx&amp;sheet=A0&amp;row=3844&amp;col=6&amp;number=4510000&amp;sourceID=14","4510000")</f>
        <v>4510000</v>
      </c>
      <c r="G3844" s="4" t="str">
        <f>HYPERLINK("http://141.218.60.56/~jnz1568/getInfo.php?workbook=10_05.xlsx&amp;sheet=A0&amp;row=3844&amp;col=7&amp;number=0&amp;sourceID=14","0")</f>
        <v>0</v>
      </c>
    </row>
    <row r="3845" spans="1:7">
      <c r="A3845" s="3">
        <v>10</v>
      </c>
      <c r="B3845" s="3">
        <v>5</v>
      </c>
      <c r="C3845" s="3">
        <v>114</v>
      </c>
      <c r="D3845" s="3">
        <v>77</v>
      </c>
      <c r="E3845" s="3">
        <v>-1643.307</v>
      </c>
      <c r="F3845" s="4" t="str">
        <f>HYPERLINK("http://141.218.60.56/~jnz1568/getInfo.php?workbook=10_05.xlsx&amp;sheet=A0&amp;row=3845&amp;col=6&amp;number=171000000&amp;sourceID=14","171000000")</f>
        <v>171000000</v>
      </c>
      <c r="G3845" s="4" t="str">
        <f>HYPERLINK("http://141.218.60.56/~jnz1568/getInfo.php?workbook=10_05.xlsx&amp;sheet=A0&amp;row=3845&amp;col=7&amp;number=0&amp;sourceID=14","0")</f>
        <v>0</v>
      </c>
    </row>
    <row r="3846" spans="1:7">
      <c r="A3846" s="3">
        <v>10</v>
      </c>
      <c r="B3846" s="3">
        <v>5</v>
      </c>
      <c r="C3846" s="3">
        <v>127</v>
      </c>
      <c r="D3846" s="3">
        <v>77</v>
      </c>
      <c r="E3846" s="3">
        <v>-1362.27</v>
      </c>
      <c r="F3846" s="4" t="str">
        <f>HYPERLINK("http://141.218.60.56/~jnz1568/getInfo.php?workbook=10_05.xlsx&amp;sheet=A0&amp;row=3846&amp;col=6&amp;number=173000000&amp;sourceID=14","173000000")</f>
        <v>173000000</v>
      </c>
      <c r="G3846" s="4" t="str">
        <f>HYPERLINK("http://141.218.60.56/~jnz1568/getInfo.php?workbook=10_05.xlsx&amp;sheet=A0&amp;row=3846&amp;col=7&amp;number=0&amp;sourceID=14","0")</f>
        <v>0</v>
      </c>
    </row>
    <row r="3847" spans="1:7">
      <c r="A3847" s="3">
        <v>10</v>
      </c>
      <c r="B3847" s="3">
        <v>5</v>
      </c>
      <c r="C3847" s="3">
        <v>128</v>
      </c>
      <c r="D3847" s="3">
        <v>77</v>
      </c>
      <c r="E3847" s="3">
        <v>-1353.989</v>
      </c>
      <c r="F3847" s="4" t="str">
        <f>HYPERLINK("http://141.218.60.56/~jnz1568/getInfo.php?workbook=10_05.xlsx&amp;sheet=A0&amp;row=3847&amp;col=6&amp;number=36100000&amp;sourceID=14","36100000")</f>
        <v>36100000</v>
      </c>
      <c r="G3847" s="4" t="str">
        <f>HYPERLINK("http://141.218.60.56/~jnz1568/getInfo.php?workbook=10_05.xlsx&amp;sheet=A0&amp;row=3847&amp;col=7&amp;number=0&amp;sourceID=14","0")</f>
        <v>0</v>
      </c>
    </row>
    <row r="3848" spans="1:7">
      <c r="A3848" s="3">
        <v>10</v>
      </c>
      <c r="B3848" s="3">
        <v>5</v>
      </c>
      <c r="C3848" s="3">
        <v>134</v>
      </c>
      <c r="D3848" s="3">
        <v>77</v>
      </c>
      <c r="E3848" s="3">
        <v>-1276.587</v>
      </c>
      <c r="F3848" s="4" t="str">
        <f>HYPERLINK("http://141.218.60.56/~jnz1568/getInfo.php?workbook=10_05.xlsx&amp;sheet=A0&amp;row=3848&amp;col=6&amp;number=330000&amp;sourceID=14","330000")</f>
        <v>330000</v>
      </c>
      <c r="G3848" s="4" t="str">
        <f>HYPERLINK("http://141.218.60.56/~jnz1568/getInfo.php?workbook=10_05.xlsx&amp;sheet=A0&amp;row=3848&amp;col=7&amp;number=0&amp;sourceID=14","0")</f>
        <v>0</v>
      </c>
    </row>
    <row r="3849" spans="1:7">
      <c r="A3849" s="3">
        <v>10</v>
      </c>
      <c r="B3849" s="3">
        <v>5</v>
      </c>
      <c r="C3849" s="3">
        <v>141</v>
      </c>
      <c r="D3849" s="3">
        <v>77</v>
      </c>
      <c r="E3849" s="3">
        <v>-1204.227</v>
      </c>
      <c r="F3849" s="4" t="str">
        <f>HYPERLINK("http://141.218.60.56/~jnz1568/getInfo.php?workbook=10_05.xlsx&amp;sheet=A0&amp;row=3849&amp;col=6&amp;number=221000&amp;sourceID=14","221000")</f>
        <v>221000</v>
      </c>
      <c r="G3849" s="4" t="str">
        <f>HYPERLINK("http://141.218.60.56/~jnz1568/getInfo.php?workbook=10_05.xlsx&amp;sheet=A0&amp;row=3849&amp;col=7&amp;number=0&amp;sourceID=14","0")</f>
        <v>0</v>
      </c>
    </row>
    <row r="3850" spans="1:7">
      <c r="A3850" s="3">
        <v>10</v>
      </c>
      <c r="B3850" s="3">
        <v>5</v>
      </c>
      <c r="C3850" s="3">
        <v>142</v>
      </c>
      <c r="D3850" s="3">
        <v>77</v>
      </c>
      <c r="E3850" s="3">
        <v>-1203.589</v>
      </c>
      <c r="F3850" s="4" t="str">
        <f>HYPERLINK("http://141.218.60.56/~jnz1568/getInfo.php?workbook=10_05.xlsx&amp;sheet=A0&amp;row=3850&amp;col=6&amp;number=249000&amp;sourceID=14","249000")</f>
        <v>249000</v>
      </c>
      <c r="G3850" s="4" t="str">
        <f>HYPERLINK("http://141.218.60.56/~jnz1568/getInfo.php?workbook=10_05.xlsx&amp;sheet=A0&amp;row=3850&amp;col=7&amp;number=0&amp;sourceID=14","0")</f>
        <v>0</v>
      </c>
    </row>
    <row r="3851" spans="1:7">
      <c r="A3851" s="3">
        <v>10</v>
      </c>
      <c r="B3851" s="3">
        <v>5</v>
      </c>
      <c r="C3851" s="3">
        <v>145</v>
      </c>
      <c r="D3851" s="3">
        <v>77</v>
      </c>
      <c r="E3851" s="3">
        <v>-1184.345</v>
      </c>
      <c r="F3851" s="4" t="str">
        <f>HYPERLINK("http://141.218.60.56/~jnz1568/getInfo.php?workbook=10_05.xlsx&amp;sheet=A0&amp;row=3851&amp;col=6&amp;number=124000000&amp;sourceID=14","124000000")</f>
        <v>124000000</v>
      </c>
      <c r="G3851" s="4" t="str">
        <f>HYPERLINK("http://141.218.60.56/~jnz1568/getInfo.php?workbook=10_05.xlsx&amp;sheet=A0&amp;row=3851&amp;col=7&amp;number=0&amp;sourceID=14","0")</f>
        <v>0</v>
      </c>
    </row>
    <row r="3852" spans="1:7">
      <c r="A3852" s="3">
        <v>10</v>
      </c>
      <c r="B3852" s="3">
        <v>5</v>
      </c>
      <c r="C3852" s="3">
        <v>148</v>
      </c>
      <c r="D3852" s="3">
        <v>77</v>
      </c>
      <c r="E3852" s="3">
        <v>-1174.58</v>
      </c>
      <c r="F3852" s="4" t="str">
        <f>HYPERLINK("http://141.218.60.56/~jnz1568/getInfo.php?workbook=10_05.xlsx&amp;sheet=A0&amp;row=3852&amp;col=6&amp;number=57800000&amp;sourceID=14","57800000")</f>
        <v>57800000</v>
      </c>
      <c r="G3852" s="4" t="str">
        <f>HYPERLINK("http://141.218.60.56/~jnz1568/getInfo.php?workbook=10_05.xlsx&amp;sheet=A0&amp;row=3852&amp;col=7&amp;number=0&amp;sourceID=14","0")</f>
        <v>0</v>
      </c>
    </row>
    <row r="3853" spans="1:7">
      <c r="A3853" s="3">
        <v>10</v>
      </c>
      <c r="B3853" s="3">
        <v>5</v>
      </c>
      <c r="C3853" s="3">
        <v>149</v>
      </c>
      <c r="D3853" s="3">
        <v>77</v>
      </c>
      <c r="E3853" s="3">
        <v>-1173.215</v>
      </c>
      <c r="F3853" s="4" t="str">
        <f>HYPERLINK("http://141.218.60.56/~jnz1568/getInfo.php?workbook=10_05.xlsx&amp;sheet=A0&amp;row=3853&amp;col=6&amp;number=13800&amp;sourceID=14","13800")</f>
        <v>13800</v>
      </c>
      <c r="G3853" s="4" t="str">
        <f>HYPERLINK("http://141.218.60.56/~jnz1568/getInfo.php?workbook=10_05.xlsx&amp;sheet=A0&amp;row=3853&amp;col=7&amp;number=0&amp;sourceID=14","0")</f>
        <v>0</v>
      </c>
    </row>
    <row r="3854" spans="1:7">
      <c r="A3854" s="3">
        <v>10</v>
      </c>
      <c r="B3854" s="3">
        <v>5</v>
      </c>
      <c r="C3854" s="3">
        <v>158</v>
      </c>
      <c r="D3854" s="3">
        <v>77</v>
      </c>
      <c r="E3854" s="3">
        <v>-1073.055</v>
      </c>
      <c r="F3854" s="4" t="str">
        <f>HYPERLINK("http://141.218.60.56/~jnz1568/getInfo.php?workbook=10_05.xlsx&amp;sheet=A0&amp;row=3854&amp;col=6&amp;number=23200000&amp;sourceID=14","23200000")</f>
        <v>23200000</v>
      </c>
      <c r="G3854" s="4" t="str">
        <f>HYPERLINK("http://141.218.60.56/~jnz1568/getInfo.php?workbook=10_05.xlsx&amp;sheet=A0&amp;row=3854&amp;col=7&amp;number=0&amp;sourceID=14","0")</f>
        <v>0</v>
      </c>
    </row>
    <row r="3855" spans="1:7">
      <c r="A3855" s="3">
        <v>10</v>
      </c>
      <c r="B3855" s="3">
        <v>5</v>
      </c>
      <c r="C3855" s="3">
        <v>159</v>
      </c>
      <c r="D3855" s="3">
        <v>77</v>
      </c>
      <c r="E3855" s="3">
        <v>-1068.15</v>
      </c>
      <c r="F3855" s="4" t="str">
        <f>HYPERLINK("http://141.218.60.56/~jnz1568/getInfo.php?workbook=10_05.xlsx&amp;sheet=A0&amp;row=3855&amp;col=6&amp;number=121000000&amp;sourceID=14","121000000")</f>
        <v>121000000</v>
      </c>
      <c r="G3855" s="4" t="str">
        <f>HYPERLINK("http://141.218.60.56/~jnz1568/getInfo.php?workbook=10_05.xlsx&amp;sheet=A0&amp;row=3855&amp;col=7&amp;number=0&amp;sourceID=14","0")</f>
        <v>0</v>
      </c>
    </row>
    <row r="3856" spans="1:7">
      <c r="A3856" s="3">
        <v>10</v>
      </c>
      <c r="B3856" s="3">
        <v>5</v>
      </c>
      <c r="C3856" s="3">
        <v>164</v>
      </c>
      <c r="D3856" s="3">
        <v>77</v>
      </c>
      <c r="E3856" s="3">
        <v>-715.585</v>
      </c>
      <c r="F3856" s="4" t="str">
        <f>HYPERLINK("http://141.218.60.56/~jnz1568/getInfo.php?workbook=10_05.xlsx&amp;sheet=A0&amp;row=3856&amp;col=6&amp;number=177000000&amp;sourceID=14","177000000")</f>
        <v>177000000</v>
      </c>
      <c r="G3856" s="4" t="str">
        <f>HYPERLINK("http://141.218.60.56/~jnz1568/getInfo.php?workbook=10_05.xlsx&amp;sheet=A0&amp;row=3856&amp;col=7&amp;number=0&amp;sourceID=14","0")</f>
        <v>0</v>
      </c>
    </row>
    <row r="3857" spans="1:7">
      <c r="A3857" s="3">
        <v>10</v>
      </c>
      <c r="B3857" s="3">
        <v>5</v>
      </c>
      <c r="C3857" s="3">
        <v>165</v>
      </c>
      <c r="D3857" s="3">
        <v>77</v>
      </c>
      <c r="E3857" s="3">
        <v>-714.884</v>
      </c>
      <c r="F3857" s="4" t="str">
        <f>HYPERLINK("http://141.218.60.56/~jnz1568/getInfo.php?workbook=10_05.xlsx&amp;sheet=A0&amp;row=3857&amp;col=6&amp;number=45200000&amp;sourceID=14","45200000")</f>
        <v>45200000</v>
      </c>
      <c r="G3857" s="4" t="str">
        <f>HYPERLINK("http://141.218.60.56/~jnz1568/getInfo.php?workbook=10_05.xlsx&amp;sheet=A0&amp;row=3857&amp;col=7&amp;number=0&amp;sourceID=14","0")</f>
        <v>0</v>
      </c>
    </row>
    <row r="3858" spans="1:7">
      <c r="A3858" s="3">
        <v>10</v>
      </c>
      <c r="B3858" s="3">
        <v>5</v>
      </c>
      <c r="C3858" s="3">
        <v>166</v>
      </c>
      <c r="D3858" s="3">
        <v>77</v>
      </c>
      <c r="E3858" s="3">
        <v>-598.936</v>
      </c>
      <c r="F3858" s="4" t="str">
        <f>HYPERLINK("http://141.218.60.56/~jnz1568/getInfo.php?workbook=10_05.xlsx&amp;sheet=A0&amp;row=3858&amp;col=6&amp;number=219000000&amp;sourceID=14","219000000")</f>
        <v>219000000</v>
      </c>
      <c r="G3858" s="4" t="str">
        <f>HYPERLINK("http://141.218.60.56/~jnz1568/getInfo.php?workbook=10_05.xlsx&amp;sheet=A0&amp;row=3858&amp;col=7&amp;number=0&amp;sourceID=14","0")</f>
        <v>0</v>
      </c>
    </row>
    <row r="3859" spans="1:7">
      <c r="A3859" s="3">
        <v>10</v>
      </c>
      <c r="B3859" s="3">
        <v>5</v>
      </c>
      <c r="C3859" s="3">
        <v>167</v>
      </c>
      <c r="D3859" s="3">
        <v>77</v>
      </c>
      <c r="E3859" s="3">
        <v>-598.786</v>
      </c>
      <c r="F3859" s="4" t="str">
        <f>HYPERLINK("http://141.218.60.56/~jnz1568/getInfo.php?workbook=10_05.xlsx&amp;sheet=A0&amp;row=3859&amp;col=6&amp;number=54400000&amp;sourceID=14","54400000")</f>
        <v>54400000</v>
      </c>
      <c r="G3859" s="4" t="str">
        <f>HYPERLINK("http://141.218.60.56/~jnz1568/getInfo.php?workbook=10_05.xlsx&amp;sheet=A0&amp;row=3859&amp;col=7&amp;number=0&amp;sourceID=14","0")</f>
        <v>0</v>
      </c>
    </row>
    <row r="3860" spans="1:7">
      <c r="A3860" s="3">
        <v>10</v>
      </c>
      <c r="B3860" s="3">
        <v>5</v>
      </c>
      <c r="C3860" s="3">
        <v>177</v>
      </c>
      <c r="D3860" s="3">
        <v>77</v>
      </c>
      <c r="E3860" s="3">
        <v>-501.576</v>
      </c>
      <c r="F3860" s="4" t="str">
        <f>HYPERLINK("http://141.218.60.56/~jnz1568/getInfo.php?workbook=10_05.xlsx&amp;sheet=A0&amp;row=3860&amp;col=6&amp;number=708000000&amp;sourceID=14","708000000")</f>
        <v>708000000</v>
      </c>
      <c r="G3860" s="4" t="str">
        <f>HYPERLINK("http://141.218.60.56/~jnz1568/getInfo.php?workbook=10_05.xlsx&amp;sheet=A0&amp;row=3860&amp;col=7&amp;number=0&amp;sourceID=14","0")</f>
        <v>0</v>
      </c>
    </row>
    <row r="3861" spans="1:7">
      <c r="A3861" s="3">
        <v>10</v>
      </c>
      <c r="B3861" s="3">
        <v>5</v>
      </c>
      <c r="C3861" s="3">
        <v>179</v>
      </c>
      <c r="D3861" s="3">
        <v>77</v>
      </c>
      <c r="E3861" s="3">
        <v>-491.481</v>
      </c>
      <c r="F3861" s="4" t="str">
        <f>HYPERLINK("http://141.218.60.56/~jnz1568/getInfo.php?workbook=10_05.xlsx&amp;sheet=A0&amp;row=3861&amp;col=6&amp;number=263000000&amp;sourceID=14","263000000")</f>
        <v>263000000</v>
      </c>
      <c r="G3861" s="4" t="str">
        <f>HYPERLINK("http://141.218.60.56/~jnz1568/getInfo.php?workbook=10_05.xlsx&amp;sheet=A0&amp;row=3861&amp;col=7&amp;number=0&amp;sourceID=14","0")</f>
        <v>0</v>
      </c>
    </row>
    <row r="3862" spans="1:7">
      <c r="A3862" s="3">
        <v>10</v>
      </c>
      <c r="B3862" s="3">
        <v>5</v>
      </c>
      <c r="C3862" s="3">
        <v>180</v>
      </c>
      <c r="D3862" s="3">
        <v>77</v>
      </c>
      <c r="E3862" s="3">
        <v>-491.392</v>
      </c>
      <c r="F3862" s="4" t="str">
        <f>HYPERLINK("http://141.218.60.56/~jnz1568/getInfo.php?workbook=10_05.xlsx&amp;sheet=A0&amp;row=3862&amp;col=6&amp;number=71200000&amp;sourceID=14","71200000")</f>
        <v>71200000</v>
      </c>
      <c r="G3862" s="4" t="str">
        <f>HYPERLINK("http://141.218.60.56/~jnz1568/getInfo.php?workbook=10_05.xlsx&amp;sheet=A0&amp;row=3862&amp;col=7&amp;number=0&amp;sourceID=14","0")</f>
        <v>0</v>
      </c>
    </row>
    <row r="3863" spans="1:7">
      <c r="A3863" s="3">
        <v>10</v>
      </c>
      <c r="B3863" s="3">
        <v>5</v>
      </c>
      <c r="C3863" s="3">
        <v>79</v>
      </c>
      <c r="D3863" s="3">
        <v>78</v>
      </c>
      <c r="E3863" s="3">
        <v>-15172.232</v>
      </c>
      <c r="F3863" s="4" t="str">
        <f>HYPERLINK("http://141.218.60.56/~jnz1568/getInfo.php?workbook=10_05.xlsx&amp;sheet=A0&amp;row=3863&amp;col=6&amp;number=291000&amp;sourceID=14","291000")</f>
        <v>291000</v>
      </c>
      <c r="G3863" s="4" t="str">
        <f>HYPERLINK("http://141.218.60.56/~jnz1568/getInfo.php?workbook=10_05.xlsx&amp;sheet=A0&amp;row=3863&amp;col=7&amp;number=0&amp;sourceID=14","0")</f>
        <v>0</v>
      </c>
    </row>
    <row r="3864" spans="1:7">
      <c r="A3864" s="3">
        <v>10</v>
      </c>
      <c r="B3864" s="3">
        <v>5</v>
      </c>
      <c r="C3864" s="3">
        <v>82</v>
      </c>
      <c r="D3864" s="3">
        <v>78</v>
      </c>
      <c r="E3864" s="3">
        <v>-7791.21</v>
      </c>
      <c r="F3864" s="4" t="str">
        <f>HYPERLINK("http://141.218.60.56/~jnz1568/getInfo.php?workbook=10_05.xlsx&amp;sheet=A0&amp;row=3864&amp;col=6&amp;number=96.2&amp;sourceID=14","96.2")</f>
        <v>96.2</v>
      </c>
      <c r="G3864" s="4" t="str">
        <f>HYPERLINK("http://141.218.60.56/~jnz1568/getInfo.php?workbook=10_05.xlsx&amp;sheet=A0&amp;row=3864&amp;col=7&amp;number=0&amp;sourceID=14","0")</f>
        <v>0</v>
      </c>
    </row>
    <row r="3865" spans="1:7">
      <c r="A3865" s="3">
        <v>10</v>
      </c>
      <c r="B3865" s="3">
        <v>5</v>
      </c>
      <c r="C3865" s="3">
        <v>83</v>
      </c>
      <c r="D3865" s="3">
        <v>78</v>
      </c>
      <c r="E3865" s="3">
        <v>-7628.361</v>
      </c>
      <c r="F3865" s="4" t="str">
        <f>HYPERLINK("http://141.218.60.56/~jnz1568/getInfo.php?workbook=10_05.xlsx&amp;sheet=A0&amp;row=3865&amp;col=6&amp;number=1.87&amp;sourceID=14","1.87")</f>
        <v>1.87</v>
      </c>
      <c r="G3865" s="4" t="str">
        <f>HYPERLINK("http://141.218.60.56/~jnz1568/getInfo.php?workbook=10_05.xlsx&amp;sheet=A0&amp;row=3865&amp;col=7&amp;number=0&amp;sourceID=14","0")</f>
        <v>0</v>
      </c>
    </row>
    <row r="3866" spans="1:7">
      <c r="A3866" s="3">
        <v>10</v>
      </c>
      <c r="B3866" s="3">
        <v>5</v>
      </c>
      <c r="C3866" s="3">
        <v>84</v>
      </c>
      <c r="D3866" s="3">
        <v>78</v>
      </c>
      <c r="E3866" s="3">
        <v>-7369.21</v>
      </c>
      <c r="F3866" s="4" t="str">
        <f>HYPERLINK("http://141.218.60.56/~jnz1568/getInfo.php?workbook=10_05.xlsx&amp;sheet=A0&amp;row=3866&amp;col=6&amp;number=160&amp;sourceID=14","160")</f>
        <v>160</v>
      </c>
      <c r="G3866" s="4" t="str">
        <f>HYPERLINK("http://141.218.60.56/~jnz1568/getInfo.php?workbook=10_05.xlsx&amp;sheet=A0&amp;row=3866&amp;col=7&amp;number=0&amp;sourceID=14","0")</f>
        <v>0</v>
      </c>
    </row>
    <row r="3867" spans="1:7">
      <c r="A3867" s="3">
        <v>10</v>
      </c>
      <c r="B3867" s="3">
        <v>5</v>
      </c>
      <c r="C3867" s="3">
        <v>86</v>
      </c>
      <c r="D3867" s="3">
        <v>78</v>
      </c>
      <c r="E3867" s="3">
        <v>-6863.431</v>
      </c>
      <c r="F3867" s="4" t="str">
        <f>HYPERLINK("http://141.218.60.56/~jnz1568/getInfo.php?workbook=10_05.xlsx&amp;sheet=A0&amp;row=3867&amp;col=6&amp;number=590&amp;sourceID=14","590")</f>
        <v>590</v>
      </c>
      <c r="G3867" s="4" t="str">
        <f>HYPERLINK("http://141.218.60.56/~jnz1568/getInfo.php?workbook=10_05.xlsx&amp;sheet=A0&amp;row=3867&amp;col=7&amp;number=0&amp;sourceID=14","0")</f>
        <v>0</v>
      </c>
    </row>
    <row r="3868" spans="1:7">
      <c r="A3868" s="3">
        <v>10</v>
      </c>
      <c r="B3868" s="3">
        <v>5</v>
      </c>
      <c r="C3868" s="3">
        <v>88</v>
      </c>
      <c r="D3868" s="3">
        <v>78</v>
      </c>
      <c r="E3868" s="3">
        <v>-5949.913</v>
      </c>
      <c r="F3868" s="4" t="str">
        <f>HYPERLINK("http://141.218.60.56/~jnz1568/getInfo.php?workbook=10_05.xlsx&amp;sheet=A0&amp;row=3868&amp;col=6&amp;number=9100&amp;sourceID=14","9100")</f>
        <v>9100</v>
      </c>
      <c r="G3868" s="4" t="str">
        <f>HYPERLINK("http://141.218.60.56/~jnz1568/getInfo.php?workbook=10_05.xlsx&amp;sheet=A0&amp;row=3868&amp;col=7&amp;number=0&amp;sourceID=14","0")</f>
        <v>0</v>
      </c>
    </row>
    <row r="3869" spans="1:7">
      <c r="A3869" s="3">
        <v>10</v>
      </c>
      <c r="B3869" s="3">
        <v>5</v>
      </c>
      <c r="C3869" s="3">
        <v>89</v>
      </c>
      <c r="D3869" s="3">
        <v>78</v>
      </c>
      <c r="E3869" s="3">
        <v>-5820.732</v>
      </c>
      <c r="F3869" s="4" t="str">
        <f>HYPERLINK("http://141.218.60.56/~jnz1568/getInfo.php?workbook=10_05.xlsx&amp;sheet=A0&amp;row=3869&amp;col=6&amp;number=70.3&amp;sourceID=14","70.3")</f>
        <v>70.3</v>
      </c>
      <c r="G3869" s="4" t="str">
        <f>HYPERLINK("http://141.218.60.56/~jnz1568/getInfo.php?workbook=10_05.xlsx&amp;sheet=A0&amp;row=3869&amp;col=7&amp;number=0&amp;sourceID=14","0")</f>
        <v>0</v>
      </c>
    </row>
    <row r="3870" spans="1:7">
      <c r="A3870" s="3">
        <v>10</v>
      </c>
      <c r="B3870" s="3">
        <v>5</v>
      </c>
      <c r="C3870" s="3">
        <v>90</v>
      </c>
      <c r="D3870" s="3">
        <v>78</v>
      </c>
      <c r="E3870" s="3">
        <v>-5633.496</v>
      </c>
      <c r="F3870" s="4" t="str">
        <f>HYPERLINK("http://141.218.60.56/~jnz1568/getInfo.php?workbook=10_05.xlsx&amp;sheet=A0&amp;row=3870&amp;col=6&amp;number=16200&amp;sourceID=14","16200")</f>
        <v>16200</v>
      </c>
      <c r="G3870" s="4" t="str">
        <f>HYPERLINK("http://141.218.60.56/~jnz1568/getInfo.php?workbook=10_05.xlsx&amp;sheet=A0&amp;row=3870&amp;col=7&amp;number=0&amp;sourceID=14","0")</f>
        <v>0</v>
      </c>
    </row>
    <row r="3871" spans="1:7">
      <c r="A3871" s="3">
        <v>10</v>
      </c>
      <c r="B3871" s="3">
        <v>5</v>
      </c>
      <c r="C3871" s="3">
        <v>91</v>
      </c>
      <c r="D3871" s="3">
        <v>78</v>
      </c>
      <c r="E3871" s="3">
        <v>-3901.685</v>
      </c>
      <c r="F3871" s="4" t="str">
        <f>HYPERLINK("http://141.218.60.56/~jnz1568/getInfo.php?workbook=10_05.xlsx&amp;sheet=A0&amp;row=3871&amp;col=6&amp;number=4020000&amp;sourceID=14","4020000")</f>
        <v>4020000</v>
      </c>
      <c r="G3871" s="4" t="str">
        <f>HYPERLINK("http://141.218.60.56/~jnz1568/getInfo.php?workbook=10_05.xlsx&amp;sheet=A0&amp;row=3871&amp;col=7&amp;number=0&amp;sourceID=14","0")</f>
        <v>0</v>
      </c>
    </row>
    <row r="3872" spans="1:7">
      <c r="A3872" s="3">
        <v>10</v>
      </c>
      <c r="B3872" s="3">
        <v>5</v>
      </c>
      <c r="C3872" s="3">
        <v>92</v>
      </c>
      <c r="D3872" s="3">
        <v>78</v>
      </c>
      <c r="E3872" s="3">
        <v>-3778.725</v>
      </c>
      <c r="F3872" s="4" t="str">
        <f>HYPERLINK("http://141.218.60.56/~jnz1568/getInfo.php?workbook=10_05.xlsx&amp;sheet=A0&amp;row=3872&amp;col=6&amp;number=25500000&amp;sourceID=14","25500000")</f>
        <v>25500000</v>
      </c>
      <c r="G3872" s="4" t="str">
        <f>HYPERLINK("http://141.218.60.56/~jnz1568/getInfo.php?workbook=10_05.xlsx&amp;sheet=A0&amp;row=3872&amp;col=7&amp;number=0&amp;sourceID=14","0")</f>
        <v>0</v>
      </c>
    </row>
    <row r="3873" spans="1:7">
      <c r="A3873" s="3">
        <v>10</v>
      </c>
      <c r="B3873" s="3">
        <v>5</v>
      </c>
      <c r="C3873" s="3">
        <v>93</v>
      </c>
      <c r="D3873" s="3">
        <v>78</v>
      </c>
      <c r="E3873" s="3">
        <v>-2922.102</v>
      </c>
      <c r="F3873" s="4" t="str">
        <f>HYPERLINK("http://141.218.60.56/~jnz1568/getInfo.php?workbook=10_05.xlsx&amp;sheet=A0&amp;row=3873&amp;col=6&amp;number=27900000&amp;sourceID=14","27900000")</f>
        <v>27900000</v>
      </c>
      <c r="G3873" s="4" t="str">
        <f>HYPERLINK("http://141.218.60.56/~jnz1568/getInfo.php?workbook=10_05.xlsx&amp;sheet=A0&amp;row=3873&amp;col=7&amp;number=0&amp;sourceID=14","0")</f>
        <v>0</v>
      </c>
    </row>
    <row r="3874" spans="1:7">
      <c r="A3874" s="3">
        <v>10</v>
      </c>
      <c r="B3874" s="3">
        <v>5</v>
      </c>
      <c r="C3874" s="3">
        <v>94</v>
      </c>
      <c r="D3874" s="3">
        <v>78</v>
      </c>
      <c r="E3874" s="3">
        <v>-2909.012</v>
      </c>
      <c r="F3874" s="4" t="str">
        <f>HYPERLINK("http://141.218.60.56/~jnz1568/getInfo.php?workbook=10_05.xlsx&amp;sheet=A0&amp;row=3874&amp;col=6&amp;number=67900000&amp;sourceID=14","67900000")</f>
        <v>67900000</v>
      </c>
      <c r="G3874" s="4" t="str">
        <f>HYPERLINK("http://141.218.60.56/~jnz1568/getInfo.php?workbook=10_05.xlsx&amp;sheet=A0&amp;row=3874&amp;col=7&amp;number=0&amp;sourceID=14","0")</f>
        <v>0</v>
      </c>
    </row>
    <row r="3875" spans="1:7">
      <c r="A3875" s="3">
        <v>10</v>
      </c>
      <c r="B3875" s="3">
        <v>5</v>
      </c>
      <c r="C3875" s="3">
        <v>95</v>
      </c>
      <c r="D3875" s="3">
        <v>78</v>
      </c>
      <c r="E3875" s="3">
        <v>-2654.778</v>
      </c>
      <c r="F3875" s="4" t="str">
        <f>HYPERLINK("http://141.218.60.56/~jnz1568/getInfo.php?workbook=10_05.xlsx&amp;sheet=A0&amp;row=3875&amp;col=6&amp;number=22400&amp;sourceID=14","22400")</f>
        <v>22400</v>
      </c>
      <c r="G3875" s="4" t="str">
        <f>HYPERLINK("http://141.218.60.56/~jnz1568/getInfo.php?workbook=10_05.xlsx&amp;sheet=A0&amp;row=3875&amp;col=7&amp;number=0&amp;sourceID=14","0")</f>
        <v>0</v>
      </c>
    </row>
    <row r="3876" spans="1:7">
      <c r="A3876" s="3">
        <v>10</v>
      </c>
      <c r="B3876" s="3">
        <v>5</v>
      </c>
      <c r="C3876" s="3">
        <v>96</v>
      </c>
      <c r="D3876" s="3">
        <v>78</v>
      </c>
      <c r="E3876" s="3">
        <v>-2108.152</v>
      </c>
      <c r="F3876" s="4" t="str">
        <f>HYPERLINK("http://141.218.60.56/~jnz1568/getInfo.php?workbook=10_05.xlsx&amp;sheet=A0&amp;row=3876&amp;col=6&amp;number=136000&amp;sourceID=14","136000")</f>
        <v>136000</v>
      </c>
      <c r="G3876" s="4" t="str">
        <f>HYPERLINK("http://141.218.60.56/~jnz1568/getInfo.php?workbook=10_05.xlsx&amp;sheet=A0&amp;row=3876&amp;col=7&amp;number=0&amp;sourceID=14","0")</f>
        <v>0</v>
      </c>
    </row>
    <row r="3877" spans="1:7">
      <c r="A3877" s="3">
        <v>10</v>
      </c>
      <c r="B3877" s="3">
        <v>5</v>
      </c>
      <c r="C3877" s="3">
        <v>98</v>
      </c>
      <c r="D3877" s="3">
        <v>78</v>
      </c>
      <c r="E3877" s="3">
        <v>-1958.445</v>
      </c>
      <c r="F3877" s="4" t="str">
        <f>HYPERLINK("http://141.218.60.56/~jnz1568/getInfo.php?workbook=10_05.xlsx&amp;sheet=A0&amp;row=3877&amp;col=6&amp;number=5140&amp;sourceID=14","5140")</f>
        <v>5140</v>
      </c>
      <c r="G3877" s="4" t="str">
        <f>HYPERLINK("http://141.218.60.56/~jnz1568/getInfo.php?workbook=10_05.xlsx&amp;sheet=A0&amp;row=3877&amp;col=7&amp;number=0&amp;sourceID=14","0")</f>
        <v>0</v>
      </c>
    </row>
    <row r="3878" spans="1:7">
      <c r="A3878" s="3">
        <v>10</v>
      </c>
      <c r="B3878" s="3">
        <v>5</v>
      </c>
      <c r="C3878" s="3">
        <v>101</v>
      </c>
      <c r="D3878" s="3">
        <v>78</v>
      </c>
      <c r="E3878" s="3">
        <v>-1942.128</v>
      </c>
      <c r="F3878" s="4" t="str">
        <f>HYPERLINK("http://141.218.60.56/~jnz1568/getInfo.php?workbook=10_05.xlsx&amp;sheet=A0&amp;row=3878&amp;col=6&amp;number=451&amp;sourceID=14","451")</f>
        <v>451</v>
      </c>
      <c r="G3878" s="4" t="str">
        <f>HYPERLINK("http://141.218.60.56/~jnz1568/getInfo.php?workbook=10_05.xlsx&amp;sheet=A0&amp;row=3878&amp;col=7&amp;number=0&amp;sourceID=14","0")</f>
        <v>0</v>
      </c>
    </row>
    <row r="3879" spans="1:7">
      <c r="A3879" s="3">
        <v>10</v>
      </c>
      <c r="B3879" s="3">
        <v>5</v>
      </c>
      <c r="C3879" s="3">
        <v>103</v>
      </c>
      <c r="D3879" s="3">
        <v>78</v>
      </c>
      <c r="E3879" s="3">
        <v>-1914.539</v>
      </c>
      <c r="F3879" s="4" t="str">
        <f>HYPERLINK("http://141.218.60.56/~jnz1568/getInfo.php?workbook=10_05.xlsx&amp;sheet=A0&amp;row=3879&amp;col=6&amp;number=16800&amp;sourceID=14","16800")</f>
        <v>16800</v>
      </c>
      <c r="G3879" s="4" t="str">
        <f>HYPERLINK("http://141.218.60.56/~jnz1568/getInfo.php?workbook=10_05.xlsx&amp;sheet=A0&amp;row=3879&amp;col=7&amp;number=0&amp;sourceID=14","0")</f>
        <v>0</v>
      </c>
    </row>
    <row r="3880" spans="1:7">
      <c r="A3880" s="3">
        <v>10</v>
      </c>
      <c r="B3880" s="3">
        <v>5</v>
      </c>
      <c r="C3880" s="3">
        <v>110</v>
      </c>
      <c r="D3880" s="3">
        <v>78</v>
      </c>
      <c r="E3880" s="3">
        <v>-1708.266</v>
      </c>
      <c r="F3880" s="4" t="str">
        <f>HYPERLINK("http://141.218.60.56/~jnz1568/getInfo.php?workbook=10_05.xlsx&amp;sheet=A0&amp;row=3880&amp;col=6&amp;number=8970000&amp;sourceID=14","8970000")</f>
        <v>8970000</v>
      </c>
      <c r="G3880" s="4" t="str">
        <f>HYPERLINK("http://141.218.60.56/~jnz1568/getInfo.php?workbook=10_05.xlsx&amp;sheet=A0&amp;row=3880&amp;col=7&amp;number=0&amp;sourceID=14","0")</f>
        <v>0</v>
      </c>
    </row>
    <row r="3881" spans="1:7">
      <c r="A3881" s="3">
        <v>10</v>
      </c>
      <c r="B3881" s="3">
        <v>5</v>
      </c>
      <c r="C3881" s="3">
        <v>112</v>
      </c>
      <c r="D3881" s="3">
        <v>78</v>
      </c>
      <c r="E3881" s="3">
        <v>-1689.335</v>
      </c>
      <c r="F3881" s="4" t="str">
        <f>HYPERLINK("http://141.218.60.56/~jnz1568/getInfo.php?workbook=10_05.xlsx&amp;sheet=A0&amp;row=3881&amp;col=6&amp;number=21600000&amp;sourceID=14","21600000")</f>
        <v>21600000</v>
      </c>
      <c r="G3881" s="4" t="str">
        <f>HYPERLINK("http://141.218.60.56/~jnz1568/getInfo.php?workbook=10_05.xlsx&amp;sheet=A0&amp;row=3881&amp;col=7&amp;number=0&amp;sourceID=14","0")</f>
        <v>0</v>
      </c>
    </row>
    <row r="3882" spans="1:7">
      <c r="A3882" s="3">
        <v>10</v>
      </c>
      <c r="B3882" s="3">
        <v>5</v>
      </c>
      <c r="C3882" s="3">
        <v>113</v>
      </c>
      <c r="D3882" s="3">
        <v>78</v>
      </c>
      <c r="E3882" s="3">
        <v>-1668.199</v>
      </c>
      <c r="F3882" s="4" t="str">
        <f>HYPERLINK("http://141.218.60.56/~jnz1568/getInfo.php?workbook=10_05.xlsx&amp;sheet=A0&amp;row=3882&amp;col=6&amp;number=198000000&amp;sourceID=14","198000000")</f>
        <v>198000000</v>
      </c>
      <c r="G3882" s="4" t="str">
        <f>HYPERLINK("http://141.218.60.56/~jnz1568/getInfo.php?workbook=10_05.xlsx&amp;sheet=A0&amp;row=3882&amp;col=7&amp;number=0&amp;sourceID=14","0")</f>
        <v>0</v>
      </c>
    </row>
    <row r="3883" spans="1:7">
      <c r="A3883" s="3">
        <v>10</v>
      </c>
      <c r="B3883" s="3">
        <v>5</v>
      </c>
      <c r="C3883" s="3">
        <v>114</v>
      </c>
      <c r="D3883" s="3">
        <v>78</v>
      </c>
      <c r="E3883" s="3">
        <v>-1666.059</v>
      </c>
      <c r="F3883" s="4" t="str">
        <f>HYPERLINK("http://141.218.60.56/~jnz1568/getInfo.php?workbook=10_05.xlsx&amp;sheet=A0&amp;row=3883&amp;col=6&amp;number=25700000&amp;sourceID=14","25700000")</f>
        <v>25700000</v>
      </c>
      <c r="G3883" s="4" t="str">
        <f>HYPERLINK("http://141.218.60.56/~jnz1568/getInfo.php?workbook=10_05.xlsx&amp;sheet=A0&amp;row=3883&amp;col=7&amp;number=0&amp;sourceID=14","0")</f>
        <v>0</v>
      </c>
    </row>
    <row r="3884" spans="1:7">
      <c r="A3884" s="3">
        <v>10</v>
      </c>
      <c r="B3884" s="3">
        <v>5</v>
      </c>
      <c r="C3884" s="3">
        <v>127</v>
      </c>
      <c r="D3884" s="3">
        <v>78</v>
      </c>
      <c r="E3884" s="3">
        <v>-1377.868</v>
      </c>
      <c r="F3884" s="4" t="str">
        <f>HYPERLINK("http://141.218.60.56/~jnz1568/getInfo.php?workbook=10_05.xlsx&amp;sheet=A0&amp;row=3884&amp;col=6&amp;number=94100000&amp;sourceID=14","94100000")</f>
        <v>94100000</v>
      </c>
      <c r="G3884" s="4" t="str">
        <f>HYPERLINK("http://141.218.60.56/~jnz1568/getInfo.php?workbook=10_05.xlsx&amp;sheet=A0&amp;row=3884&amp;col=7&amp;number=0&amp;sourceID=14","0")</f>
        <v>0</v>
      </c>
    </row>
    <row r="3885" spans="1:7">
      <c r="A3885" s="3">
        <v>10</v>
      </c>
      <c r="B3885" s="3">
        <v>5</v>
      </c>
      <c r="C3885" s="3">
        <v>128</v>
      </c>
      <c r="D3885" s="3">
        <v>78</v>
      </c>
      <c r="E3885" s="3">
        <v>-1369.397</v>
      </c>
      <c r="F3885" s="4" t="str">
        <f>HYPERLINK("http://141.218.60.56/~jnz1568/getInfo.php?workbook=10_05.xlsx&amp;sheet=A0&amp;row=3885&amp;col=6&amp;number=215000000&amp;sourceID=14","215000000")</f>
        <v>215000000</v>
      </c>
      <c r="G3885" s="4" t="str">
        <f>HYPERLINK("http://141.218.60.56/~jnz1568/getInfo.php?workbook=10_05.xlsx&amp;sheet=A0&amp;row=3885&amp;col=7&amp;number=0&amp;sourceID=14","0")</f>
        <v>0</v>
      </c>
    </row>
    <row r="3886" spans="1:7">
      <c r="A3886" s="3">
        <v>10</v>
      </c>
      <c r="B3886" s="3">
        <v>5</v>
      </c>
      <c r="C3886" s="3">
        <v>134</v>
      </c>
      <c r="D3886" s="3">
        <v>78</v>
      </c>
      <c r="E3886" s="3">
        <v>-1290.275</v>
      </c>
      <c r="F3886" s="4" t="str">
        <f>HYPERLINK("http://141.218.60.56/~jnz1568/getInfo.php?workbook=10_05.xlsx&amp;sheet=A0&amp;row=3886&amp;col=6&amp;number=52600&amp;sourceID=14","52600")</f>
        <v>52600</v>
      </c>
      <c r="G3886" s="4" t="str">
        <f>HYPERLINK("http://141.218.60.56/~jnz1568/getInfo.php?workbook=10_05.xlsx&amp;sheet=A0&amp;row=3886&amp;col=7&amp;number=0&amp;sourceID=14","0")</f>
        <v>0</v>
      </c>
    </row>
    <row r="3887" spans="1:7">
      <c r="A3887" s="3">
        <v>10</v>
      </c>
      <c r="B3887" s="3">
        <v>5</v>
      </c>
      <c r="C3887" s="3">
        <v>135</v>
      </c>
      <c r="D3887" s="3">
        <v>78</v>
      </c>
      <c r="E3887" s="3">
        <v>-1286.275</v>
      </c>
      <c r="F3887" s="4" t="str">
        <f>HYPERLINK("http://141.218.60.56/~jnz1568/getInfo.php?workbook=10_05.xlsx&amp;sheet=A0&amp;row=3887&amp;col=6&amp;number=146000&amp;sourceID=14","146000")</f>
        <v>146000</v>
      </c>
      <c r="G3887" s="4" t="str">
        <f>HYPERLINK("http://141.218.60.56/~jnz1568/getInfo.php?workbook=10_05.xlsx&amp;sheet=A0&amp;row=3887&amp;col=7&amp;number=0&amp;sourceID=14","0")</f>
        <v>0</v>
      </c>
    </row>
    <row r="3888" spans="1:7">
      <c r="A3888" s="3">
        <v>10</v>
      </c>
      <c r="B3888" s="3">
        <v>5</v>
      </c>
      <c r="C3888" s="3">
        <v>141</v>
      </c>
      <c r="D3888" s="3">
        <v>78</v>
      </c>
      <c r="E3888" s="3">
        <v>-1216.399</v>
      </c>
      <c r="F3888" s="4" t="str">
        <f>HYPERLINK("http://141.218.60.56/~jnz1568/getInfo.php?workbook=10_05.xlsx&amp;sheet=A0&amp;row=3888&amp;col=6&amp;number=115000&amp;sourceID=14","115000")</f>
        <v>115000</v>
      </c>
      <c r="G3888" s="4" t="str">
        <f>HYPERLINK("http://141.218.60.56/~jnz1568/getInfo.php?workbook=10_05.xlsx&amp;sheet=A0&amp;row=3888&amp;col=7&amp;number=0&amp;sourceID=14","0")</f>
        <v>0</v>
      </c>
    </row>
    <row r="3889" spans="1:7">
      <c r="A3889" s="3">
        <v>10</v>
      </c>
      <c r="B3889" s="3">
        <v>5</v>
      </c>
      <c r="C3889" s="3">
        <v>142</v>
      </c>
      <c r="D3889" s="3">
        <v>78</v>
      </c>
      <c r="E3889" s="3">
        <v>-1215.749</v>
      </c>
      <c r="F3889" s="4" t="str">
        <f>HYPERLINK("http://141.218.60.56/~jnz1568/getInfo.php?workbook=10_05.xlsx&amp;sheet=A0&amp;row=3889&amp;col=6&amp;number=648000&amp;sourceID=14","648000")</f>
        <v>648000</v>
      </c>
      <c r="G3889" s="4" t="str">
        <f>HYPERLINK("http://141.218.60.56/~jnz1568/getInfo.php?workbook=10_05.xlsx&amp;sheet=A0&amp;row=3889&amp;col=7&amp;number=0&amp;sourceID=14","0")</f>
        <v>0</v>
      </c>
    </row>
    <row r="3890" spans="1:7">
      <c r="A3890" s="3">
        <v>10</v>
      </c>
      <c r="B3890" s="3">
        <v>5</v>
      </c>
      <c r="C3890" s="3">
        <v>143</v>
      </c>
      <c r="D3890" s="3">
        <v>78</v>
      </c>
      <c r="E3890" s="3">
        <v>-1212.021</v>
      </c>
      <c r="F3890" s="4" t="str">
        <f>HYPERLINK("http://141.218.60.56/~jnz1568/getInfo.php?workbook=10_05.xlsx&amp;sheet=A0&amp;row=3890&amp;col=6&amp;number=1950000&amp;sourceID=14","1950000")</f>
        <v>1950000</v>
      </c>
      <c r="G3890" s="4" t="str">
        <f>HYPERLINK("http://141.218.60.56/~jnz1568/getInfo.php?workbook=10_05.xlsx&amp;sheet=A0&amp;row=3890&amp;col=7&amp;number=0&amp;sourceID=14","0")</f>
        <v>0</v>
      </c>
    </row>
    <row r="3891" spans="1:7">
      <c r="A3891" s="3">
        <v>10</v>
      </c>
      <c r="B3891" s="3">
        <v>5</v>
      </c>
      <c r="C3891" s="3">
        <v>145</v>
      </c>
      <c r="D3891" s="3">
        <v>78</v>
      </c>
      <c r="E3891" s="3">
        <v>-1196.117</v>
      </c>
      <c r="F3891" s="4" t="str">
        <f>HYPERLINK("http://141.218.60.56/~jnz1568/getInfo.php?workbook=10_05.xlsx&amp;sheet=A0&amp;row=3891&amp;col=6&amp;number=16600000&amp;sourceID=14","16600000")</f>
        <v>16600000</v>
      </c>
      <c r="G3891" s="4" t="str">
        <f>HYPERLINK("http://141.218.60.56/~jnz1568/getInfo.php?workbook=10_05.xlsx&amp;sheet=A0&amp;row=3891&amp;col=7&amp;number=0&amp;sourceID=14","0")</f>
        <v>0</v>
      </c>
    </row>
    <row r="3892" spans="1:7">
      <c r="A3892" s="3">
        <v>10</v>
      </c>
      <c r="B3892" s="3">
        <v>5</v>
      </c>
      <c r="C3892" s="3">
        <v>146</v>
      </c>
      <c r="D3892" s="3">
        <v>78</v>
      </c>
      <c r="E3892" s="3">
        <v>-1192.665</v>
      </c>
      <c r="F3892" s="4" t="str">
        <f>HYPERLINK("http://141.218.60.56/~jnz1568/getInfo.php?workbook=10_05.xlsx&amp;sheet=A0&amp;row=3892&amp;col=6&amp;number=184000000&amp;sourceID=14","184000000")</f>
        <v>184000000</v>
      </c>
      <c r="G3892" s="4" t="str">
        <f>HYPERLINK("http://141.218.60.56/~jnz1568/getInfo.php?workbook=10_05.xlsx&amp;sheet=A0&amp;row=3892&amp;col=7&amp;number=0&amp;sourceID=14","0")</f>
        <v>0</v>
      </c>
    </row>
    <row r="3893" spans="1:7">
      <c r="A3893" s="3">
        <v>10</v>
      </c>
      <c r="B3893" s="3">
        <v>5</v>
      </c>
      <c r="C3893" s="3">
        <v>147</v>
      </c>
      <c r="D3893" s="3">
        <v>78</v>
      </c>
      <c r="E3893" s="3">
        <v>-1187.538</v>
      </c>
      <c r="F3893" s="4" t="str">
        <f>HYPERLINK("http://141.218.60.56/~jnz1568/getInfo.php?workbook=10_05.xlsx&amp;sheet=A0&amp;row=3893&amp;col=6&amp;number=20800000&amp;sourceID=14","20800000")</f>
        <v>20800000</v>
      </c>
      <c r="G3893" s="4" t="str">
        <f>HYPERLINK("http://141.218.60.56/~jnz1568/getInfo.php?workbook=10_05.xlsx&amp;sheet=A0&amp;row=3893&amp;col=7&amp;number=0&amp;sourceID=14","0")</f>
        <v>0</v>
      </c>
    </row>
    <row r="3894" spans="1:7">
      <c r="A3894" s="3">
        <v>10</v>
      </c>
      <c r="B3894" s="3">
        <v>5</v>
      </c>
      <c r="C3894" s="3">
        <v>148</v>
      </c>
      <c r="D3894" s="3">
        <v>78</v>
      </c>
      <c r="E3894" s="3">
        <v>-1186.157</v>
      </c>
      <c r="F3894" s="4" t="str">
        <f>HYPERLINK("http://141.218.60.56/~jnz1568/getInfo.php?workbook=10_05.xlsx&amp;sheet=A0&amp;row=3894&amp;col=6&amp;number=9730000&amp;sourceID=14","9730000")</f>
        <v>9730000</v>
      </c>
      <c r="G3894" s="4" t="str">
        <f>HYPERLINK("http://141.218.60.56/~jnz1568/getInfo.php?workbook=10_05.xlsx&amp;sheet=A0&amp;row=3894&amp;col=7&amp;number=0&amp;sourceID=14","0")</f>
        <v>0</v>
      </c>
    </row>
    <row r="3895" spans="1:7">
      <c r="A3895" s="3">
        <v>10</v>
      </c>
      <c r="B3895" s="3">
        <v>5</v>
      </c>
      <c r="C3895" s="3">
        <v>149</v>
      </c>
      <c r="D3895" s="3">
        <v>78</v>
      </c>
      <c r="E3895" s="3">
        <v>-1184.766</v>
      </c>
      <c r="F3895" s="4" t="str">
        <f>HYPERLINK("http://141.218.60.56/~jnz1568/getInfo.php?workbook=10_05.xlsx&amp;sheet=A0&amp;row=3895&amp;col=6&amp;number=7900&amp;sourceID=14","7900")</f>
        <v>7900</v>
      </c>
      <c r="G3895" s="4" t="str">
        <f>HYPERLINK("http://141.218.60.56/~jnz1568/getInfo.php?workbook=10_05.xlsx&amp;sheet=A0&amp;row=3895&amp;col=7&amp;number=0&amp;sourceID=14","0")</f>
        <v>0</v>
      </c>
    </row>
    <row r="3896" spans="1:7">
      <c r="A3896" s="3">
        <v>10</v>
      </c>
      <c r="B3896" s="3">
        <v>5</v>
      </c>
      <c r="C3896" s="3">
        <v>152</v>
      </c>
      <c r="D3896" s="3">
        <v>78</v>
      </c>
      <c r="E3896" s="3">
        <v>-1113.948</v>
      </c>
      <c r="F3896" s="4" t="str">
        <f>HYPERLINK("http://141.218.60.56/~jnz1568/getInfo.php?workbook=10_05.xlsx&amp;sheet=A0&amp;row=3896&amp;col=6&amp;number=230000&amp;sourceID=14","230000")</f>
        <v>230000</v>
      </c>
      <c r="G3896" s="4" t="str">
        <f>HYPERLINK("http://141.218.60.56/~jnz1568/getInfo.php?workbook=10_05.xlsx&amp;sheet=A0&amp;row=3896&amp;col=7&amp;number=0&amp;sourceID=14","0")</f>
        <v>0</v>
      </c>
    </row>
    <row r="3897" spans="1:7">
      <c r="A3897" s="3">
        <v>10</v>
      </c>
      <c r="B3897" s="3">
        <v>5</v>
      </c>
      <c r="C3897" s="3">
        <v>158</v>
      </c>
      <c r="D3897" s="3">
        <v>78</v>
      </c>
      <c r="E3897" s="3">
        <v>-1082.71</v>
      </c>
      <c r="F3897" s="4" t="str">
        <f>HYPERLINK("http://141.218.60.56/~jnz1568/getInfo.php?workbook=10_05.xlsx&amp;sheet=A0&amp;row=3897&amp;col=6&amp;number=157000000&amp;sourceID=14","157000000")</f>
        <v>157000000</v>
      </c>
      <c r="G3897" s="4" t="str">
        <f>HYPERLINK("http://141.218.60.56/~jnz1568/getInfo.php?workbook=10_05.xlsx&amp;sheet=A0&amp;row=3897&amp;col=7&amp;number=0&amp;sourceID=14","0")</f>
        <v>0</v>
      </c>
    </row>
    <row r="3898" spans="1:7">
      <c r="A3898" s="3">
        <v>10</v>
      </c>
      <c r="B3898" s="3">
        <v>5</v>
      </c>
      <c r="C3898" s="3">
        <v>159</v>
      </c>
      <c r="D3898" s="3">
        <v>78</v>
      </c>
      <c r="E3898" s="3">
        <v>-1077.716</v>
      </c>
      <c r="F3898" s="4" t="str">
        <f>HYPERLINK("http://141.218.60.56/~jnz1568/getInfo.php?workbook=10_05.xlsx&amp;sheet=A0&amp;row=3898&amp;col=6&amp;number=60000000&amp;sourceID=14","60000000")</f>
        <v>60000000</v>
      </c>
      <c r="G3898" s="4" t="str">
        <f>HYPERLINK("http://141.218.60.56/~jnz1568/getInfo.php?workbook=10_05.xlsx&amp;sheet=A0&amp;row=3898&amp;col=7&amp;number=0&amp;sourceID=14","0")</f>
        <v>0</v>
      </c>
    </row>
    <row r="3899" spans="1:7">
      <c r="A3899" s="3">
        <v>10</v>
      </c>
      <c r="B3899" s="3">
        <v>5</v>
      </c>
      <c r="C3899" s="3">
        <v>164</v>
      </c>
      <c r="D3899" s="3">
        <v>78</v>
      </c>
      <c r="E3899" s="3">
        <v>-719.866</v>
      </c>
      <c r="F3899" s="4" t="str">
        <f>HYPERLINK("http://141.218.60.56/~jnz1568/getInfo.php?workbook=10_05.xlsx&amp;sheet=A0&amp;row=3899&amp;col=6&amp;number=80400000&amp;sourceID=14","80400000")</f>
        <v>80400000</v>
      </c>
      <c r="G3899" s="4" t="str">
        <f>HYPERLINK("http://141.218.60.56/~jnz1568/getInfo.php?workbook=10_05.xlsx&amp;sheet=A0&amp;row=3899&amp;col=7&amp;number=0&amp;sourceID=14","0")</f>
        <v>0</v>
      </c>
    </row>
    <row r="3900" spans="1:7">
      <c r="A3900" s="3">
        <v>10</v>
      </c>
      <c r="B3900" s="3">
        <v>5</v>
      </c>
      <c r="C3900" s="3">
        <v>165</v>
      </c>
      <c r="D3900" s="3">
        <v>78</v>
      </c>
      <c r="E3900" s="3">
        <v>-719.157</v>
      </c>
      <c r="F3900" s="4" t="str">
        <f>HYPERLINK("http://141.218.60.56/~jnz1568/getInfo.php?workbook=10_05.xlsx&amp;sheet=A0&amp;row=3900&amp;col=6&amp;number=224000000&amp;sourceID=14","224000000")</f>
        <v>224000000</v>
      </c>
      <c r="G3900" s="4" t="str">
        <f>HYPERLINK("http://141.218.60.56/~jnz1568/getInfo.php?workbook=10_05.xlsx&amp;sheet=A0&amp;row=3900&amp;col=7&amp;number=0&amp;sourceID=14","0")</f>
        <v>0</v>
      </c>
    </row>
    <row r="3901" spans="1:7">
      <c r="A3901" s="3">
        <v>10</v>
      </c>
      <c r="B3901" s="3">
        <v>5</v>
      </c>
      <c r="C3901" s="3">
        <v>166</v>
      </c>
      <c r="D3901" s="3">
        <v>78</v>
      </c>
      <c r="E3901" s="3">
        <v>-601.932</v>
      </c>
      <c r="F3901" s="4" t="str">
        <f>HYPERLINK("http://141.218.60.56/~jnz1568/getInfo.php?workbook=10_05.xlsx&amp;sheet=A0&amp;row=3901&amp;col=6&amp;number=108000000&amp;sourceID=14","108000000")</f>
        <v>108000000</v>
      </c>
      <c r="G3901" s="4" t="str">
        <f>HYPERLINK("http://141.218.60.56/~jnz1568/getInfo.php?workbook=10_05.xlsx&amp;sheet=A0&amp;row=3901&amp;col=7&amp;number=0&amp;sourceID=14","0")</f>
        <v>0</v>
      </c>
    </row>
    <row r="3902" spans="1:7">
      <c r="A3902" s="3">
        <v>10</v>
      </c>
      <c r="B3902" s="3">
        <v>5</v>
      </c>
      <c r="C3902" s="3">
        <v>167</v>
      </c>
      <c r="D3902" s="3">
        <v>78</v>
      </c>
      <c r="E3902" s="3">
        <v>-601.78</v>
      </c>
      <c r="F3902" s="4" t="str">
        <f>HYPERLINK("http://141.218.60.56/~jnz1568/getInfo.php?workbook=10_05.xlsx&amp;sheet=A0&amp;row=3902&amp;col=6&amp;number=267000000&amp;sourceID=14","267000000")</f>
        <v>267000000</v>
      </c>
      <c r="G3902" s="4" t="str">
        <f>HYPERLINK("http://141.218.60.56/~jnz1568/getInfo.php?workbook=10_05.xlsx&amp;sheet=A0&amp;row=3902&amp;col=7&amp;number=0&amp;sourceID=14","0")</f>
        <v>0</v>
      </c>
    </row>
    <row r="3903" spans="1:7">
      <c r="A3903" s="3">
        <v>10</v>
      </c>
      <c r="B3903" s="3">
        <v>5</v>
      </c>
      <c r="C3903" s="3">
        <v>176</v>
      </c>
      <c r="D3903" s="3">
        <v>78</v>
      </c>
      <c r="E3903" s="3">
        <v>-505.946</v>
      </c>
      <c r="F3903" s="4" t="str">
        <f>HYPERLINK("http://141.218.60.56/~jnz1568/getInfo.php?workbook=10_05.xlsx&amp;sheet=A0&amp;row=3903&amp;col=6&amp;number=139000&amp;sourceID=14","139000")</f>
        <v>139000</v>
      </c>
      <c r="G3903" s="4" t="str">
        <f>HYPERLINK("http://141.218.60.56/~jnz1568/getInfo.php?workbook=10_05.xlsx&amp;sheet=A0&amp;row=3903&amp;col=7&amp;number=0&amp;sourceID=14","0")</f>
        <v>0</v>
      </c>
    </row>
    <row r="3904" spans="1:7">
      <c r="A3904" s="3">
        <v>10</v>
      </c>
      <c r="B3904" s="3">
        <v>5</v>
      </c>
      <c r="C3904" s="3">
        <v>177</v>
      </c>
      <c r="D3904" s="3">
        <v>78</v>
      </c>
      <c r="E3904" s="3">
        <v>-503.675</v>
      </c>
      <c r="F3904" s="4" t="str">
        <f>HYPERLINK("http://141.218.60.56/~jnz1568/getInfo.php?workbook=10_05.xlsx&amp;sheet=A0&amp;row=3904&amp;col=6&amp;number=133000000&amp;sourceID=14","133000000")</f>
        <v>133000000</v>
      </c>
      <c r="G3904" s="4" t="str">
        <f>HYPERLINK("http://141.218.60.56/~jnz1568/getInfo.php?workbook=10_05.xlsx&amp;sheet=A0&amp;row=3904&amp;col=7&amp;number=0&amp;sourceID=14","0")</f>
        <v>0</v>
      </c>
    </row>
    <row r="3905" spans="1:7">
      <c r="A3905" s="3">
        <v>10</v>
      </c>
      <c r="B3905" s="3">
        <v>5</v>
      </c>
      <c r="C3905" s="3">
        <v>178</v>
      </c>
      <c r="D3905" s="3">
        <v>78</v>
      </c>
      <c r="E3905" s="3">
        <v>-503.564</v>
      </c>
      <c r="F3905" s="4" t="str">
        <f>HYPERLINK("http://141.218.60.56/~jnz1568/getInfo.php?workbook=10_05.xlsx&amp;sheet=A0&amp;row=3905&amp;col=6&amp;number=844000000&amp;sourceID=14","844000000")</f>
        <v>844000000</v>
      </c>
      <c r="G3905" s="4" t="str">
        <f>HYPERLINK("http://141.218.60.56/~jnz1568/getInfo.php?workbook=10_05.xlsx&amp;sheet=A0&amp;row=3905&amp;col=7&amp;number=0&amp;sourceID=14","0")</f>
        <v>0</v>
      </c>
    </row>
    <row r="3906" spans="1:7">
      <c r="A3906" s="3">
        <v>10</v>
      </c>
      <c r="B3906" s="3">
        <v>5</v>
      </c>
      <c r="C3906" s="3">
        <v>179</v>
      </c>
      <c r="D3906" s="3">
        <v>78</v>
      </c>
      <c r="E3906" s="3">
        <v>-493.497</v>
      </c>
      <c r="F3906" s="4" t="str">
        <f>HYPERLINK("http://141.218.60.56/~jnz1568/getInfo.php?workbook=10_05.xlsx&amp;sheet=A0&amp;row=3906&amp;col=6&amp;number=132000000&amp;sourceID=14","132000000")</f>
        <v>132000000</v>
      </c>
      <c r="G3906" s="4" t="str">
        <f>HYPERLINK("http://141.218.60.56/~jnz1568/getInfo.php?workbook=10_05.xlsx&amp;sheet=A0&amp;row=3906&amp;col=7&amp;number=0&amp;sourceID=14","0")</f>
        <v>0</v>
      </c>
    </row>
    <row r="3907" spans="1:7">
      <c r="A3907" s="3">
        <v>10</v>
      </c>
      <c r="B3907" s="3">
        <v>5</v>
      </c>
      <c r="C3907" s="3">
        <v>180</v>
      </c>
      <c r="D3907" s="3">
        <v>78</v>
      </c>
      <c r="E3907" s="3">
        <v>-493.407</v>
      </c>
      <c r="F3907" s="4" t="str">
        <f>HYPERLINK("http://141.218.60.56/~jnz1568/getInfo.php?workbook=10_05.xlsx&amp;sheet=A0&amp;row=3907&amp;col=6&amp;number=336000000&amp;sourceID=14","336000000")</f>
        <v>336000000</v>
      </c>
      <c r="G3907" s="4" t="str">
        <f>HYPERLINK("http://141.218.60.56/~jnz1568/getInfo.php?workbook=10_05.xlsx&amp;sheet=A0&amp;row=3907&amp;col=7&amp;number=0&amp;sourceID=14","0")</f>
        <v>0</v>
      </c>
    </row>
    <row r="3908" spans="1:7">
      <c r="A3908" s="3">
        <v>10</v>
      </c>
      <c r="B3908" s="3">
        <v>5</v>
      </c>
      <c r="C3908" s="3">
        <v>80</v>
      </c>
      <c r="D3908" s="3">
        <v>79</v>
      </c>
      <c r="E3908" s="3">
        <v>-82101.957</v>
      </c>
      <c r="F3908" s="4" t="str">
        <f>HYPERLINK("http://141.218.60.56/~jnz1568/getInfo.php?workbook=10_05.xlsx&amp;sheet=A0&amp;row=3908&amp;col=6&amp;number=0.458&amp;sourceID=14","0.458")</f>
        <v>0.458</v>
      </c>
      <c r="G3908" s="4" t="str">
        <f>HYPERLINK("http://141.218.60.56/~jnz1568/getInfo.php?workbook=10_05.xlsx&amp;sheet=A0&amp;row=3908&amp;col=7&amp;number=0&amp;sourceID=14","0")</f>
        <v>0</v>
      </c>
    </row>
    <row r="3909" spans="1:7">
      <c r="A3909" s="3">
        <v>10</v>
      </c>
      <c r="B3909" s="3">
        <v>5</v>
      </c>
      <c r="C3909" s="3">
        <v>99</v>
      </c>
      <c r="D3909" s="3">
        <v>79</v>
      </c>
      <c r="E3909" s="3">
        <v>-2243.112</v>
      </c>
      <c r="F3909" s="4" t="str">
        <f>HYPERLINK("http://141.218.60.56/~jnz1568/getInfo.php?workbook=10_05.xlsx&amp;sheet=A0&amp;row=3909&amp;col=6&amp;number=5180&amp;sourceID=14","5180")</f>
        <v>5180</v>
      </c>
      <c r="G3909" s="4" t="str">
        <f>HYPERLINK("http://141.218.60.56/~jnz1568/getInfo.php?workbook=10_05.xlsx&amp;sheet=A0&amp;row=3909&amp;col=7&amp;number=0&amp;sourceID=14","0")</f>
        <v>0</v>
      </c>
    </row>
    <row r="3910" spans="1:7">
      <c r="A3910" s="3">
        <v>10</v>
      </c>
      <c r="B3910" s="3">
        <v>5</v>
      </c>
      <c r="C3910" s="3">
        <v>105</v>
      </c>
      <c r="D3910" s="3">
        <v>79</v>
      </c>
      <c r="E3910" s="3">
        <v>-1977.852</v>
      </c>
      <c r="F3910" s="4" t="str">
        <f>HYPERLINK("http://141.218.60.56/~jnz1568/getInfo.php?workbook=10_05.xlsx&amp;sheet=A0&amp;row=3910&amp;col=6&amp;number=9230000&amp;sourceID=14","9230000")</f>
        <v>9230000</v>
      </c>
      <c r="G3910" s="4" t="str">
        <f>HYPERLINK("http://141.218.60.56/~jnz1568/getInfo.php?workbook=10_05.xlsx&amp;sheet=A0&amp;row=3910&amp;col=7&amp;number=0&amp;sourceID=14","0")</f>
        <v>0</v>
      </c>
    </row>
    <row r="3911" spans="1:7">
      <c r="A3911" s="3">
        <v>10</v>
      </c>
      <c r="B3911" s="3">
        <v>5</v>
      </c>
      <c r="C3911" s="3">
        <v>106</v>
      </c>
      <c r="D3911" s="3">
        <v>79</v>
      </c>
      <c r="E3911" s="3">
        <v>-1972.974</v>
      </c>
      <c r="F3911" s="4" t="str">
        <f>HYPERLINK("http://141.218.60.56/~jnz1568/getInfo.php?workbook=10_05.xlsx&amp;sheet=A0&amp;row=3911&amp;col=6&amp;number=13400000&amp;sourceID=14","13400000")</f>
        <v>13400000</v>
      </c>
      <c r="G3911" s="4" t="str">
        <f>HYPERLINK("http://141.218.60.56/~jnz1568/getInfo.php?workbook=10_05.xlsx&amp;sheet=A0&amp;row=3911&amp;col=7&amp;number=0&amp;sourceID=14","0")</f>
        <v>0</v>
      </c>
    </row>
    <row r="3912" spans="1:7">
      <c r="A3912" s="3">
        <v>10</v>
      </c>
      <c r="B3912" s="3">
        <v>5</v>
      </c>
      <c r="C3912" s="3">
        <v>109</v>
      </c>
      <c r="D3912" s="3">
        <v>79</v>
      </c>
      <c r="E3912" s="3">
        <v>-1935.475</v>
      </c>
      <c r="F3912" s="4" t="str">
        <f>HYPERLINK("http://141.218.60.56/~jnz1568/getInfo.php?workbook=10_05.xlsx&amp;sheet=A0&amp;row=3912&amp;col=6&amp;number=132000000&amp;sourceID=14","132000000")</f>
        <v>132000000</v>
      </c>
      <c r="G3912" s="4" t="str">
        <f>HYPERLINK("http://141.218.60.56/~jnz1568/getInfo.php?workbook=10_05.xlsx&amp;sheet=A0&amp;row=3912&amp;col=7&amp;number=0&amp;sourceID=14","0")</f>
        <v>0</v>
      </c>
    </row>
    <row r="3913" spans="1:7">
      <c r="A3913" s="3">
        <v>10</v>
      </c>
      <c r="B3913" s="3">
        <v>5</v>
      </c>
      <c r="C3913" s="3">
        <v>111</v>
      </c>
      <c r="D3913" s="3">
        <v>79</v>
      </c>
      <c r="E3913" s="3">
        <v>-1913.33</v>
      </c>
      <c r="F3913" s="4" t="str">
        <f>HYPERLINK("http://141.218.60.56/~jnz1568/getInfo.php?workbook=10_05.xlsx&amp;sheet=A0&amp;row=3913&amp;col=6&amp;number=136000000&amp;sourceID=14","136000000")</f>
        <v>136000000</v>
      </c>
      <c r="G3913" s="4" t="str">
        <f>HYPERLINK("http://141.218.60.56/~jnz1568/getInfo.php?workbook=10_05.xlsx&amp;sheet=A0&amp;row=3913&amp;col=7&amp;number=0&amp;sourceID=14","0")</f>
        <v>0</v>
      </c>
    </row>
    <row r="3914" spans="1:7">
      <c r="A3914" s="3">
        <v>10</v>
      </c>
      <c r="B3914" s="3">
        <v>5</v>
      </c>
      <c r="C3914" s="3">
        <v>118</v>
      </c>
      <c r="D3914" s="3">
        <v>79</v>
      </c>
      <c r="E3914" s="3">
        <v>-1657.224</v>
      </c>
      <c r="F3914" s="4" t="str">
        <f>HYPERLINK("http://141.218.60.56/~jnz1568/getInfo.php?workbook=10_05.xlsx&amp;sheet=A0&amp;row=3914&amp;col=6&amp;number=142000&amp;sourceID=14","142000")</f>
        <v>142000</v>
      </c>
      <c r="G3914" s="4" t="str">
        <f>HYPERLINK("http://141.218.60.56/~jnz1568/getInfo.php?workbook=10_05.xlsx&amp;sheet=A0&amp;row=3914&amp;col=7&amp;number=0&amp;sourceID=14","0")</f>
        <v>0</v>
      </c>
    </row>
    <row r="3915" spans="1:7">
      <c r="A3915" s="3">
        <v>10</v>
      </c>
      <c r="B3915" s="3">
        <v>5</v>
      </c>
      <c r="C3915" s="3">
        <v>119</v>
      </c>
      <c r="D3915" s="3">
        <v>79</v>
      </c>
      <c r="E3915" s="3">
        <v>-1655.852</v>
      </c>
      <c r="F3915" s="4" t="str">
        <f>HYPERLINK("http://141.218.60.56/~jnz1568/getInfo.php?workbook=10_05.xlsx&amp;sheet=A0&amp;row=3915&amp;col=6&amp;number=48700&amp;sourceID=14","48700")</f>
        <v>48700</v>
      </c>
      <c r="G3915" s="4" t="str">
        <f>HYPERLINK("http://141.218.60.56/~jnz1568/getInfo.php?workbook=10_05.xlsx&amp;sheet=A0&amp;row=3915&amp;col=7&amp;number=0&amp;sourceID=14","0")</f>
        <v>0</v>
      </c>
    </row>
    <row r="3916" spans="1:7">
      <c r="A3916" s="3">
        <v>10</v>
      </c>
      <c r="B3916" s="3">
        <v>5</v>
      </c>
      <c r="C3916" s="3">
        <v>120</v>
      </c>
      <c r="D3916" s="3">
        <v>79</v>
      </c>
      <c r="E3916" s="3">
        <v>-1573.493</v>
      </c>
      <c r="F3916" s="4" t="str">
        <f>HYPERLINK("http://141.218.60.56/~jnz1568/getInfo.php?workbook=10_05.xlsx&amp;sheet=A0&amp;row=3916&amp;col=6&amp;number=298000&amp;sourceID=14","298000")</f>
        <v>298000</v>
      </c>
      <c r="G3916" s="4" t="str">
        <f>HYPERLINK("http://141.218.60.56/~jnz1568/getInfo.php?workbook=10_05.xlsx&amp;sheet=A0&amp;row=3916&amp;col=7&amp;number=0&amp;sourceID=14","0")</f>
        <v>0</v>
      </c>
    </row>
    <row r="3917" spans="1:7">
      <c r="A3917" s="3">
        <v>10</v>
      </c>
      <c r="B3917" s="3">
        <v>5</v>
      </c>
      <c r="C3917" s="3">
        <v>121</v>
      </c>
      <c r="D3917" s="3">
        <v>79</v>
      </c>
      <c r="E3917" s="3">
        <v>-1567.966</v>
      </c>
      <c r="F3917" s="4" t="str">
        <f>HYPERLINK("http://141.218.60.56/~jnz1568/getInfo.php?workbook=10_05.xlsx&amp;sheet=A0&amp;row=3917&amp;col=6&amp;number=108000&amp;sourceID=14","108000")</f>
        <v>108000</v>
      </c>
      <c r="G3917" s="4" t="str">
        <f>HYPERLINK("http://141.218.60.56/~jnz1568/getInfo.php?workbook=10_05.xlsx&amp;sheet=A0&amp;row=3917&amp;col=7&amp;number=0&amp;sourceID=14","0")</f>
        <v>0</v>
      </c>
    </row>
    <row r="3918" spans="1:7">
      <c r="A3918" s="3">
        <v>10</v>
      </c>
      <c r="B3918" s="3">
        <v>5</v>
      </c>
      <c r="C3918" s="3">
        <v>123</v>
      </c>
      <c r="D3918" s="3">
        <v>79</v>
      </c>
      <c r="E3918" s="3">
        <v>-1551.81</v>
      </c>
      <c r="F3918" s="4" t="str">
        <f>HYPERLINK("http://141.218.60.56/~jnz1568/getInfo.php?workbook=10_05.xlsx&amp;sheet=A0&amp;row=3918&amp;col=6&amp;number=543000&amp;sourceID=14","543000")</f>
        <v>543000</v>
      </c>
      <c r="G3918" s="4" t="str">
        <f>HYPERLINK("http://141.218.60.56/~jnz1568/getInfo.php?workbook=10_05.xlsx&amp;sheet=A0&amp;row=3918&amp;col=7&amp;number=0&amp;sourceID=14","0")</f>
        <v>0</v>
      </c>
    </row>
    <row r="3919" spans="1:7">
      <c r="A3919" s="3">
        <v>10</v>
      </c>
      <c r="B3919" s="3">
        <v>5</v>
      </c>
      <c r="C3919" s="3">
        <v>125</v>
      </c>
      <c r="D3919" s="3">
        <v>79</v>
      </c>
      <c r="E3919" s="3">
        <v>-1524.974</v>
      </c>
      <c r="F3919" s="4" t="str">
        <f>HYPERLINK("http://141.218.60.56/~jnz1568/getInfo.php?workbook=10_05.xlsx&amp;sheet=A0&amp;row=3919&amp;col=6&amp;number=13800000&amp;sourceID=14","13800000")</f>
        <v>13800000</v>
      </c>
      <c r="G3919" s="4" t="str">
        <f>HYPERLINK("http://141.218.60.56/~jnz1568/getInfo.php?workbook=10_05.xlsx&amp;sheet=A0&amp;row=3919&amp;col=7&amp;number=0&amp;sourceID=14","0")</f>
        <v>0</v>
      </c>
    </row>
    <row r="3920" spans="1:7">
      <c r="A3920" s="3">
        <v>10</v>
      </c>
      <c r="B3920" s="3">
        <v>5</v>
      </c>
      <c r="C3920" s="3">
        <v>126</v>
      </c>
      <c r="D3920" s="3">
        <v>79</v>
      </c>
      <c r="E3920" s="3">
        <v>-1518.606</v>
      </c>
      <c r="F3920" s="4" t="str">
        <f>HYPERLINK("http://141.218.60.56/~jnz1568/getInfo.php?workbook=10_05.xlsx&amp;sheet=A0&amp;row=3920&amp;col=6&amp;number=10500000&amp;sourceID=14","10500000")</f>
        <v>10500000</v>
      </c>
      <c r="G3920" s="4" t="str">
        <f>HYPERLINK("http://141.218.60.56/~jnz1568/getInfo.php?workbook=10_05.xlsx&amp;sheet=A0&amp;row=3920&amp;col=7&amp;number=0&amp;sourceID=14","0")</f>
        <v>0</v>
      </c>
    </row>
    <row r="3921" spans="1:7">
      <c r="A3921" s="3">
        <v>10</v>
      </c>
      <c r="B3921" s="3">
        <v>5</v>
      </c>
      <c r="C3921" s="3">
        <v>129</v>
      </c>
      <c r="D3921" s="3">
        <v>79</v>
      </c>
      <c r="E3921" s="3">
        <v>-1464.132</v>
      </c>
      <c r="F3921" s="4" t="str">
        <f>HYPERLINK("http://141.218.60.56/~jnz1568/getInfo.php?workbook=10_05.xlsx&amp;sheet=A0&amp;row=3921&amp;col=6&amp;number=184000&amp;sourceID=14","184000")</f>
        <v>184000</v>
      </c>
      <c r="G3921" s="4" t="str">
        <f>HYPERLINK("http://141.218.60.56/~jnz1568/getInfo.php?workbook=10_05.xlsx&amp;sheet=A0&amp;row=3921&amp;col=7&amp;number=0&amp;sourceID=14","0")</f>
        <v>0</v>
      </c>
    </row>
    <row r="3922" spans="1:7">
      <c r="A3922" s="3">
        <v>10</v>
      </c>
      <c r="B3922" s="3">
        <v>5</v>
      </c>
      <c r="C3922" s="3">
        <v>131</v>
      </c>
      <c r="D3922" s="3">
        <v>79</v>
      </c>
      <c r="E3922" s="3">
        <v>-1444.943</v>
      </c>
      <c r="F3922" s="4" t="str">
        <f>HYPERLINK("http://141.218.60.56/~jnz1568/getInfo.php?workbook=10_05.xlsx&amp;sheet=A0&amp;row=3922&amp;col=6&amp;number=6840&amp;sourceID=14","6840")</f>
        <v>6840</v>
      </c>
      <c r="G3922" s="4" t="str">
        <f>HYPERLINK("http://141.218.60.56/~jnz1568/getInfo.php?workbook=10_05.xlsx&amp;sheet=A0&amp;row=3922&amp;col=7&amp;number=0&amp;sourceID=14","0")</f>
        <v>0</v>
      </c>
    </row>
    <row r="3923" spans="1:7">
      <c r="A3923" s="3">
        <v>10</v>
      </c>
      <c r="B3923" s="3">
        <v>5</v>
      </c>
      <c r="C3923" s="3">
        <v>132</v>
      </c>
      <c r="D3923" s="3">
        <v>79</v>
      </c>
      <c r="E3923" s="3">
        <v>-1441.881</v>
      </c>
      <c r="F3923" s="4" t="str">
        <f>HYPERLINK("http://141.218.60.56/~jnz1568/getInfo.php?workbook=10_05.xlsx&amp;sheet=A0&amp;row=3923&amp;col=6&amp;number=17600&amp;sourceID=14","17600")</f>
        <v>17600</v>
      </c>
      <c r="G3923" s="4" t="str">
        <f>HYPERLINK("http://141.218.60.56/~jnz1568/getInfo.php?workbook=10_05.xlsx&amp;sheet=A0&amp;row=3923&amp;col=7&amp;number=0&amp;sourceID=14","0")</f>
        <v>0</v>
      </c>
    </row>
    <row r="3924" spans="1:7">
      <c r="A3924" s="3">
        <v>10</v>
      </c>
      <c r="B3924" s="3">
        <v>5</v>
      </c>
      <c r="C3924" s="3">
        <v>140</v>
      </c>
      <c r="D3924" s="3">
        <v>79</v>
      </c>
      <c r="E3924" s="3">
        <v>-1344.088</v>
      </c>
      <c r="F3924" s="4" t="str">
        <f>HYPERLINK("http://141.218.60.56/~jnz1568/getInfo.php?workbook=10_05.xlsx&amp;sheet=A0&amp;row=3924&amp;col=6&amp;number=1240&amp;sourceID=14","1240")</f>
        <v>1240</v>
      </c>
      <c r="G3924" s="4" t="str">
        <f>HYPERLINK("http://141.218.60.56/~jnz1568/getInfo.php?workbook=10_05.xlsx&amp;sheet=A0&amp;row=3924&amp;col=7&amp;number=0&amp;sourceID=14","0")</f>
        <v>0</v>
      </c>
    </row>
    <row r="3925" spans="1:7">
      <c r="A3925" s="3">
        <v>10</v>
      </c>
      <c r="B3925" s="3">
        <v>5</v>
      </c>
      <c r="C3925" s="3">
        <v>150</v>
      </c>
      <c r="D3925" s="3">
        <v>79</v>
      </c>
      <c r="E3925" s="3">
        <v>-1229.455</v>
      </c>
      <c r="F3925" s="4" t="str">
        <f>HYPERLINK("http://141.218.60.56/~jnz1568/getInfo.php?workbook=10_05.xlsx&amp;sheet=A0&amp;row=3925&amp;col=6&amp;number=427000&amp;sourceID=14","427000")</f>
        <v>427000</v>
      </c>
      <c r="G3925" s="4" t="str">
        <f>HYPERLINK("http://141.218.60.56/~jnz1568/getInfo.php?workbook=10_05.xlsx&amp;sheet=A0&amp;row=3925&amp;col=7&amp;number=0&amp;sourceID=14","0")</f>
        <v>0</v>
      </c>
    </row>
    <row r="3926" spans="1:7">
      <c r="A3926" s="3">
        <v>10</v>
      </c>
      <c r="B3926" s="3">
        <v>5</v>
      </c>
      <c r="C3926" s="3">
        <v>156</v>
      </c>
      <c r="D3926" s="3">
        <v>79</v>
      </c>
      <c r="E3926" s="3">
        <v>-1170.181</v>
      </c>
      <c r="F3926" s="4" t="str">
        <f>HYPERLINK("http://141.218.60.56/~jnz1568/getInfo.php?workbook=10_05.xlsx&amp;sheet=A0&amp;row=3926&amp;col=6&amp;number=253000&amp;sourceID=14","253000")</f>
        <v>253000</v>
      </c>
      <c r="G3926" s="4" t="str">
        <f>HYPERLINK("http://141.218.60.56/~jnz1568/getInfo.php?workbook=10_05.xlsx&amp;sheet=A0&amp;row=3926&amp;col=7&amp;number=0&amp;sourceID=14","0")</f>
        <v>0</v>
      </c>
    </row>
    <row r="3927" spans="1:7">
      <c r="A3927" s="3">
        <v>10</v>
      </c>
      <c r="B3927" s="3">
        <v>5</v>
      </c>
      <c r="C3927" s="3">
        <v>160</v>
      </c>
      <c r="D3927" s="3">
        <v>79</v>
      </c>
      <c r="E3927" s="3">
        <v>-1150.724</v>
      </c>
      <c r="F3927" s="4" t="str">
        <f>HYPERLINK("http://141.218.60.56/~jnz1568/getInfo.php?workbook=10_05.xlsx&amp;sheet=A0&amp;row=3927&amp;col=6&amp;number=287000&amp;sourceID=14","287000")</f>
        <v>287000</v>
      </c>
      <c r="G3927" s="4" t="str">
        <f>HYPERLINK("http://141.218.60.56/~jnz1568/getInfo.php?workbook=10_05.xlsx&amp;sheet=A0&amp;row=3927&amp;col=7&amp;number=0&amp;sourceID=14","0")</f>
        <v>0</v>
      </c>
    </row>
    <row r="3928" spans="1:7">
      <c r="A3928" s="3">
        <v>10</v>
      </c>
      <c r="B3928" s="3">
        <v>5</v>
      </c>
      <c r="C3928" s="3">
        <v>161</v>
      </c>
      <c r="D3928" s="3">
        <v>79</v>
      </c>
      <c r="E3928" s="3">
        <v>-1146.541</v>
      </c>
      <c r="F3928" s="4" t="str">
        <f>HYPERLINK("http://141.218.60.56/~jnz1568/getInfo.php?workbook=10_05.xlsx&amp;sheet=A0&amp;row=3928&amp;col=6&amp;number=36800000&amp;sourceID=14","36800000")</f>
        <v>36800000</v>
      </c>
      <c r="G3928" s="4" t="str">
        <f>HYPERLINK("http://141.218.60.56/~jnz1568/getInfo.php?workbook=10_05.xlsx&amp;sheet=A0&amp;row=3928&amp;col=7&amp;number=0&amp;sourceID=14","0")</f>
        <v>0</v>
      </c>
    </row>
    <row r="3929" spans="1:7">
      <c r="A3929" s="3">
        <v>10</v>
      </c>
      <c r="B3929" s="3">
        <v>5</v>
      </c>
      <c r="C3929" s="3">
        <v>162</v>
      </c>
      <c r="D3929" s="3">
        <v>79</v>
      </c>
      <c r="E3929" s="3">
        <v>-1142.663</v>
      </c>
      <c r="F3929" s="4" t="str">
        <f>HYPERLINK("http://141.218.60.56/~jnz1568/getInfo.php?workbook=10_05.xlsx&amp;sheet=A0&amp;row=3929&amp;col=6&amp;number=68500000&amp;sourceID=14","68500000")</f>
        <v>68500000</v>
      </c>
      <c r="G3929" s="4" t="str">
        <f>HYPERLINK("http://141.218.60.56/~jnz1568/getInfo.php?workbook=10_05.xlsx&amp;sheet=A0&amp;row=3929&amp;col=7&amp;number=0&amp;sourceID=14","0")</f>
        <v>0</v>
      </c>
    </row>
    <row r="3930" spans="1:7">
      <c r="A3930" s="3">
        <v>10</v>
      </c>
      <c r="B3930" s="3">
        <v>5</v>
      </c>
      <c r="C3930" s="3">
        <v>163</v>
      </c>
      <c r="D3930" s="3">
        <v>79</v>
      </c>
      <c r="E3930" s="3">
        <v>-989.435</v>
      </c>
      <c r="F3930" s="4" t="str">
        <f>HYPERLINK("http://141.218.60.56/~jnz1568/getInfo.php?workbook=10_05.xlsx&amp;sheet=A0&amp;row=3930&amp;col=6&amp;number=2310000&amp;sourceID=14","2310000")</f>
        <v>2310000</v>
      </c>
      <c r="G3930" s="4" t="str">
        <f>HYPERLINK("http://141.218.60.56/~jnz1568/getInfo.php?workbook=10_05.xlsx&amp;sheet=A0&amp;row=3930&amp;col=7&amp;number=0&amp;sourceID=14","0")</f>
        <v>0</v>
      </c>
    </row>
    <row r="3931" spans="1:7">
      <c r="A3931" s="3">
        <v>10</v>
      </c>
      <c r="B3931" s="3">
        <v>5</v>
      </c>
      <c r="C3931" s="3">
        <v>169</v>
      </c>
      <c r="D3931" s="3">
        <v>79</v>
      </c>
      <c r="E3931" s="3">
        <v>-596.002</v>
      </c>
      <c r="F3931" s="4" t="str">
        <f>HYPERLINK("http://141.218.60.56/~jnz1568/getInfo.php?workbook=10_05.xlsx&amp;sheet=A0&amp;row=3931&amp;col=6&amp;number=2380000&amp;sourceID=14","2380000")</f>
        <v>2380000</v>
      </c>
      <c r="G3931" s="4" t="str">
        <f>HYPERLINK("http://141.218.60.56/~jnz1568/getInfo.php?workbook=10_05.xlsx&amp;sheet=A0&amp;row=3931&amp;col=7&amp;number=0&amp;sourceID=14","0")</f>
        <v>0</v>
      </c>
    </row>
    <row r="3932" spans="1:7">
      <c r="A3932" s="3">
        <v>10</v>
      </c>
      <c r="B3932" s="3">
        <v>5</v>
      </c>
      <c r="C3932" s="3">
        <v>170</v>
      </c>
      <c r="D3932" s="3">
        <v>79</v>
      </c>
      <c r="E3932" s="3">
        <v>-564.475</v>
      </c>
      <c r="F3932" s="4" t="str">
        <f>HYPERLINK("http://141.218.60.56/~jnz1568/getInfo.php?workbook=10_05.xlsx&amp;sheet=A0&amp;row=3932&amp;col=6&amp;number=6160000&amp;sourceID=14","6160000")</f>
        <v>6160000</v>
      </c>
      <c r="G3932" s="4" t="str">
        <f>HYPERLINK("http://141.218.60.56/~jnz1568/getInfo.php?workbook=10_05.xlsx&amp;sheet=A0&amp;row=3932&amp;col=7&amp;number=0&amp;sourceID=14","0")</f>
        <v>0</v>
      </c>
    </row>
    <row r="3933" spans="1:7">
      <c r="A3933" s="3">
        <v>10</v>
      </c>
      <c r="B3933" s="3">
        <v>5</v>
      </c>
      <c r="C3933" s="3">
        <v>171</v>
      </c>
      <c r="D3933" s="3">
        <v>79</v>
      </c>
      <c r="E3933" s="3">
        <v>-564.173</v>
      </c>
      <c r="F3933" s="4" t="str">
        <f>HYPERLINK("http://141.218.60.56/~jnz1568/getInfo.php?workbook=10_05.xlsx&amp;sheet=A0&amp;row=3933&amp;col=6&amp;number=7310000&amp;sourceID=14","7310000")</f>
        <v>7310000</v>
      </c>
      <c r="G3933" s="4" t="str">
        <f>HYPERLINK("http://141.218.60.56/~jnz1568/getInfo.php?workbook=10_05.xlsx&amp;sheet=A0&amp;row=3933&amp;col=7&amp;number=0&amp;sourceID=14","0")</f>
        <v>0</v>
      </c>
    </row>
    <row r="3934" spans="1:7">
      <c r="A3934" s="3">
        <v>10</v>
      </c>
      <c r="B3934" s="3">
        <v>5</v>
      </c>
      <c r="C3934" s="3">
        <v>172</v>
      </c>
      <c r="D3934" s="3">
        <v>79</v>
      </c>
      <c r="E3934" s="3">
        <v>-558.034</v>
      </c>
      <c r="F3934" s="4" t="str">
        <f>HYPERLINK("http://141.218.60.56/~jnz1568/getInfo.php?workbook=10_05.xlsx&amp;sheet=A0&amp;row=3934&amp;col=6&amp;number=1710000&amp;sourceID=14","1710000")</f>
        <v>1710000</v>
      </c>
      <c r="G3934" s="4" t="str">
        <f>HYPERLINK("http://141.218.60.56/~jnz1568/getInfo.php?workbook=10_05.xlsx&amp;sheet=A0&amp;row=3934&amp;col=7&amp;number=0&amp;sourceID=14","0")</f>
        <v>0</v>
      </c>
    </row>
    <row r="3935" spans="1:7">
      <c r="A3935" s="3">
        <v>10</v>
      </c>
      <c r="B3935" s="3">
        <v>5</v>
      </c>
      <c r="C3935" s="3">
        <v>174</v>
      </c>
      <c r="D3935" s="3">
        <v>79</v>
      </c>
      <c r="E3935" s="3">
        <v>-551.47</v>
      </c>
      <c r="F3935" s="4" t="str">
        <f>HYPERLINK("http://141.218.60.56/~jnz1568/getInfo.php?workbook=10_05.xlsx&amp;sheet=A0&amp;row=3935&amp;col=6&amp;number=1480000&amp;sourceID=14","1480000")</f>
        <v>1480000</v>
      </c>
      <c r="G3935" s="4" t="str">
        <f>HYPERLINK("http://141.218.60.56/~jnz1568/getInfo.php?workbook=10_05.xlsx&amp;sheet=A0&amp;row=3935&amp;col=7&amp;number=0&amp;sourceID=14","0")</f>
        <v>0</v>
      </c>
    </row>
    <row r="3936" spans="1:7">
      <c r="A3936" s="3">
        <v>10</v>
      </c>
      <c r="B3936" s="3">
        <v>5</v>
      </c>
      <c r="C3936" s="3">
        <v>82</v>
      </c>
      <c r="D3936" s="3">
        <v>80</v>
      </c>
      <c r="E3936" s="3">
        <v>17182.162</v>
      </c>
      <c r="F3936" s="4" t="str">
        <f>HYPERLINK("http://141.218.60.56/~jnz1568/getInfo.php?workbook=10_05.xlsx&amp;sheet=A0&amp;row=3936&amp;col=6&amp;number=2.57&amp;sourceID=14","2.57")</f>
        <v>2.57</v>
      </c>
      <c r="G3936" s="4" t="str">
        <f>HYPERLINK("http://141.218.60.56/~jnz1568/getInfo.php?workbook=10_05.xlsx&amp;sheet=A0&amp;row=3936&amp;col=7&amp;number=0&amp;sourceID=14","0")</f>
        <v>0</v>
      </c>
    </row>
    <row r="3937" spans="1:7">
      <c r="A3937" s="3">
        <v>10</v>
      </c>
      <c r="B3937" s="3">
        <v>5</v>
      </c>
      <c r="C3937" s="3">
        <v>83</v>
      </c>
      <c r="D3937" s="3">
        <v>80</v>
      </c>
      <c r="E3937" s="3">
        <v>17182.162</v>
      </c>
      <c r="F3937" s="4" t="str">
        <f>HYPERLINK("http://141.218.60.56/~jnz1568/getInfo.php?workbook=10_05.xlsx&amp;sheet=A0&amp;row=3937&amp;col=6&amp;number=0.554&amp;sourceID=14","0.554")</f>
        <v>0.554</v>
      </c>
      <c r="G3937" s="4" t="str">
        <f>HYPERLINK("http://141.218.60.56/~jnz1568/getInfo.php?workbook=10_05.xlsx&amp;sheet=A0&amp;row=3937&amp;col=7&amp;number=0&amp;sourceID=14","0")</f>
        <v>0</v>
      </c>
    </row>
    <row r="3938" spans="1:7">
      <c r="A3938" s="3">
        <v>10</v>
      </c>
      <c r="B3938" s="3">
        <v>5</v>
      </c>
      <c r="C3938" s="3">
        <v>84</v>
      </c>
      <c r="D3938" s="3">
        <v>80</v>
      </c>
      <c r="E3938" s="3">
        <v>17182.162</v>
      </c>
      <c r="F3938" s="4" t="str">
        <f>HYPERLINK("http://141.218.60.56/~jnz1568/getInfo.php?workbook=10_05.xlsx&amp;sheet=A0&amp;row=3938&amp;col=6&amp;number=19.9&amp;sourceID=14","19.9")</f>
        <v>19.9</v>
      </c>
      <c r="G3938" s="4" t="str">
        <f>HYPERLINK("http://141.218.60.56/~jnz1568/getInfo.php?workbook=10_05.xlsx&amp;sheet=A0&amp;row=3938&amp;col=7&amp;number=0&amp;sourceID=14","0")</f>
        <v>0</v>
      </c>
    </row>
    <row r="3939" spans="1:7">
      <c r="A3939" s="3">
        <v>10</v>
      </c>
      <c r="B3939" s="3">
        <v>5</v>
      </c>
      <c r="C3939" s="3">
        <v>86</v>
      </c>
      <c r="D3939" s="3">
        <v>80</v>
      </c>
      <c r="E3939" s="3">
        <v>-14790.739</v>
      </c>
      <c r="F3939" s="4" t="str">
        <f>HYPERLINK("http://141.218.60.56/~jnz1568/getInfo.php?workbook=10_05.xlsx&amp;sheet=A0&amp;row=3939&amp;col=6&amp;number=14400&amp;sourceID=14","14400")</f>
        <v>14400</v>
      </c>
      <c r="G3939" s="4" t="str">
        <f>HYPERLINK("http://141.218.60.56/~jnz1568/getInfo.php?workbook=10_05.xlsx&amp;sheet=A0&amp;row=3939&amp;col=7&amp;number=0&amp;sourceID=14","0")</f>
        <v>0</v>
      </c>
    </row>
    <row r="3940" spans="1:7">
      <c r="A3940" s="3">
        <v>10</v>
      </c>
      <c r="B3940" s="3">
        <v>5</v>
      </c>
      <c r="C3940" s="3">
        <v>88</v>
      </c>
      <c r="D3940" s="3">
        <v>80</v>
      </c>
      <c r="E3940" s="3">
        <v>11148.293</v>
      </c>
      <c r="F3940" s="4" t="str">
        <f>HYPERLINK("http://141.218.60.56/~jnz1568/getInfo.php?workbook=10_05.xlsx&amp;sheet=A0&amp;row=3940&amp;col=6&amp;number=1.75&amp;sourceID=14","1.75")</f>
        <v>1.75</v>
      </c>
      <c r="G3940" s="4" t="str">
        <f>HYPERLINK("http://141.218.60.56/~jnz1568/getInfo.php?workbook=10_05.xlsx&amp;sheet=A0&amp;row=3940&amp;col=7&amp;number=0&amp;sourceID=14","0")</f>
        <v>0</v>
      </c>
    </row>
    <row r="3941" spans="1:7">
      <c r="A3941" s="3">
        <v>10</v>
      </c>
      <c r="B3941" s="3">
        <v>5</v>
      </c>
      <c r="C3941" s="3">
        <v>89</v>
      </c>
      <c r="D3941" s="3">
        <v>80</v>
      </c>
      <c r="E3941" s="3">
        <v>10706.658</v>
      </c>
      <c r="F3941" s="4" t="str">
        <f>HYPERLINK("http://141.218.60.56/~jnz1568/getInfo.php?workbook=10_05.xlsx&amp;sheet=A0&amp;row=3941&amp;col=6&amp;number=134&amp;sourceID=14","134")</f>
        <v>134</v>
      </c>
      <c r="G3941" s="4" t="str">
        <f>HYPERLINK("http://141.218.60.56/~jnz1568/getInfo.php?workbook=10_05.xlsx&amp;sheet=A0&amp;row=3941&amp;col=7&amp;number=0&amp;sourceID=14","0")</f>
        <v>0</v>
      </c>
    </row>
    <row r="3942" spans="1:7">
      <c r="A3942" s="3">
        <v>10</v>
      </c>
      <c r="B3942" s="3">
        <v>5</v>
      </c>
      <c r="C3942" s="3">
        <v>90</v>
      </c>
      <c r="D3942" s="3">
        <v>80</v>
      </c>
      <c r="E3942" s="3">
        <v>10090.836</v>
      </c>
      <c r="F3942" s="4" t="str">
        <f>HYPERLINK("http://141.218.60.56/~jnz1568/getInfo.php?workbook=10_05.xlsx&amp;sheet=A0&amp;row=3942&amp;col=6&amp;number=71.2&amp;sourceID=14","71.2")</f>
        <v>71.2</v>
      </c>
      <c r="G3942" s="4" t="str">
        <f>HYPERLINK("http://141.218.60.56/~jnz1568/getInfo.php?workbook=10_05.xlsx&amp;sheet=A0&amp;row=3942&amp;col=7&amp;number=0&amp;sourceID=14","0")</f>
        <v>0</v>
      </c>
    </row>
    <row r="3943" spans="1:7">
      <c r="A3943" s="3">
        <v>10</v>
      </c>
      <c r="B3943" s="3">
        <v>5</v>
      </c>
      <c r="C3943" s="3">
        <v>91</v>
      </c>
      <c r="D3943" s="3">
        <v>80</v>
      </c>
      <c r="E3943" s="3">
        <v>-5611.368</v>
      </c>
      <c r="F3943" s="4" t="str">
        <f>HYPERLINK("http://141.218.60.56/~jnz1568/getInfo.php?workbook=10_05.xlsx&amp;sheet=A0&amp;row=3943&amp;col=6&amp;number=1830000&amp;sourceID=14","1830000")</f>
        <v>1830000</v>
      </c>
      <c r="G3943" s="4" t="str">
        <f>HYPERLINK("http://141.218.60.56/~jnz1568/getInfo.php?workbook=10_05.xlsx&amp;sheet=A0&amp;row=3943&amp;col=7&amp;number=0&amp;sourceID=14","0")</f>
        <v>0</v>
      </c>
    </row>
    <row r="3944" spans="1:7">
      <c r="A3944" s="3">
        <v>10</v>
      </c>
      <c r="B3944" s="3">
        <v>5</v>
      </c>
      <c r="C3944" s="3">
        <v>92</v>
      </c>
      <c r="D3944" s="3">
        <v>80</v>
      </c>
      <c r="E3944" s="3">
        <v>-5360.503</v>
      </c>
      <c r="F3944" s="4" t="str">
        <f>HYPERLINK("http://141.218.60.56/~jnz1568/getInfo.php?workbook=10_05.xlsx&amp;sheet=A0&amp;row=3944&amp;col=6&amp;number=183000&amp;sourceID=14","183000")</f>
        <v>183000</v>
      </c>
      <c r="G3944" s="4" t="str">
        <f>HYPERLINK("http://141.218.60.56/~jnz1568/getInfo.php?workbook=10_05.xlsx&amp;sheet=A0&amp;row=3944&amp;col=7&amp;number=0&amp;sourceID=14","0")</f>
        <v>0</v>
      </c>
    </row>
    <row r="3945" spans="1:7">
      <c r="A3945" s="3">
        <v>10</v>
      </c>
      <c r="B3945" s="3">
        <v>5</v>
      </c>
      <c r="C3945" s="3">
        <v>93</v>
      </c>
      <c r="D3945" s="3">
        <v>80</v>
      </c>
      <c r="E3945" s="3">
        <v>-3786.021</v>
      </c>
      <c r="F3945" s="4" t="str">
        <f>HYPERLINK("http://141.218.60.56/~jnz1568/getInfo.php?workbook=10_05.xlsx&amp;sheet=A0&amp;row=3945&amp;col=6&amp;number=2020000&amp;sourceID=14","2020000")</f>
        <v>2020000</v>
      </c>
      <c r="G3945" s="4" t="str">
        <f>HYPERLINK("http://141.218.60.56/~jnz1568/getInfo.php?workbook=10_05.xlsx&amp;sheet=A0&amp;row=3945&amp;col=7&amp;number=0&amp;sourceID=14","0")</f>
        <v>0</v>
      </c>
    </row>
    <row r="3946" spans="1:7">
      <c r="A3946" s="3">
        <v>10</v>
      </c>
      <c r="B3946" s="3">
        <v>5</v>
      </c>
      <c r="C3946" s="3">
        <v>94</v>
      </c>
      <c r="D3946" s="3">
        <v>80</v>
      </c>
      <c r="E3946" s="3">
        <v>-3764.075</v>
      </c>
      <c r="F3946" s="4" t="str">
        <f>HYPERLINK("http://141.218.60.56/~jnz1568/getInfo.php?workbook=10_05.xlsx&amp;sheet=A0&amp;row=3946&amp;col=6&amp;number=152000&amp;sourceID=14","152000")</f>
        <v>152000</v>
      </c>
      <c r="G3946" s="4" t="str">
        <f>HYPERLINK("http://141.218.60.56/~jnz1568/getInfo.php?workbook=10_05.xlsx&amp;sheet=A0&amp;row=3946&amp;col=7&amp;number=0&amp;sourceID=14","0")</f>
        <v>0</v>
      </c>
    </row>
    <row r="3947" spans="1:7">
      <c r="A3947" s="3">
        <v>10</v>
      </c>
      <c r="B3947" s="3">
        <v>5</v>
      </c>
      <c r="C3947" s="3">
        <v>95</v>
      </c>
      <c r="D3947" s="3">
        <v>80</v>
      </c>
      <c r="E3947" s="3">
        <v>3729.958</v>
      </c>
      <c r="F3947" s="4" t="str">
        <f>HYPERLINK("http://141.218.60.56/~jnz1568/getInfo.php?workbook=10_05.xlsx&amp;sheet=A0&amp;row=3947&amp;col=6&amp;number=194&amp;sourceID=14","194")</f>
        <v>194</v>
      </c>
      <c r="G3947" s="4" t="str">
        <f>HYPERLINK("http://141.218.60.56/~jnz1568/getInfo.php?workbook=10_05.xlsx&amp;sheet=A0&amp;row=3947&amp;col=7&amp;number=0&amp;sourceID=14","0")</f>
        <v>0</v>
      </c>
    </row>
    <row r="3948" spans="1:7">
      <c r="A3948" s="3">
        <v>10</v>
      </c>
      <c r="B3948" s="3">
        <v>5</v>
      </c>
      <c r="C3948" s="3">
        <v>96</v>
      </c>
      <c r="D3948" s="3">
        <v>80</v>
      </c>
      <c r="E3948" s="3">
        <v>2525.257</v>
      </c>
      <c r="F3948" s="4" t="str">
        <f>HYPERLINK("http://141.218.60.56/~jnz1568/getInfo.php?workbook=10_05.xlsx&amp;sheet=A0&amp;row=3948&amp;col=6&amp;number=148000000&amp;sourceID=14","148000000")</f>
        <v>148000000</v>
      </c>
      <c r="G3948" s="4" t="str">
        <f>HYPERLINK("http://141.218.60.56/~jnz1568/getInfo.php?workbook=10_05.xlsx&amp;sheet=A0&amp;row=3948&amp;col=7&amp;number=0&amp;sourceID=14","0")</f>
        <v>0</v>
      </c>
    </row>
    <row r="3949" spans="1:7">
      <c r="A3949" s="3">
        <v>10</v>
      </c>
      <c r="B3949" s="3">
        <v>5</v>
      </c>
      <c r="C3949" s="3">
        <v>98</v>
      </c>
      <c r="D3949" s="3">
        <v>80</v>
      </c>
      <c r="E3949" s="3">
        <v>-2312.036</v>
      </c>
      <c r="F3949" s="4" t="str">
        <f>HYPERLINK("http://141.218.60.56/~jnz1568/getInfo.php?workbook=10_05.xlsx&amp;sheet=A0&amp;row=3949&amp;col=6&amp;number=51300&amp;sourceID=14","51300")</f>
        <v>51300</v>
      </c>
      <c r="G3949" s="4" t="str">
        <f>HYPERLINK("http://141.218.60.56/~jnz1568/getInfo.php?workbook=10_05.xlsx&amp;sheet=A0&amp;row=3949&amp;col=7&amp;number=0&amp;sourceID=14","0")</f>
        <v>0</v>
      </c>
    </row>
    <row r="3950" spans="1:7">
      <c r="A3950" s="3">
        <v>10</v>
      </c>
      <c r="B3950" s="3">
        <v>5</v>
      </c>
      <c r="C3950" s="3">
        <v>101</v>
      </c>
      <c r="D3950" s="3">
        <v>80</v>
      </c>
      <c r="E3950" s="3">
        <v>-2289.329</v>
      </c>
      <c r="F3950" s="4" t="str">
        <f>HYPERLINK("http://141.218.60.56/~jnz1568/getInfo.php?workbook=10_05.xlsx&amp;sheet=A0&amp;row=3950&amp;col=6&amp;number=14300&amp;sourceID=14","14300")</f>
        <v>14300</v>
      </c>
      <c r="G3950" s="4" t="str">
        <f>HYPERLINK("http://141.218.60.56/~jnz1568/getInfo.php?workbook=10_05.xlsx&amp;sheet=A0&amp;row=3950&amp;col=7&amp;number=0&amp;sourceID=14","0")</f>
        <v>0</v>
      </c>
    </row>
    <row r="3951" spans="1:7">
      <c r="A3951" s="3">
        <v>10</v>
      </c>
      <c r="B3951" s="3">
        <v>5</v>
      </c>
      <c r="C3951" s="3">
        <v>103</v>
      </c>
      <c r="D3951" s="3">
        <v>80</v>
      </c>
      <c r="E3951" s="3">
        <v>-2251.09</v>
      </c>
      <c r="F3951" s="4" t="str">
        <f>HYPERLINK("http://141.218.60.56/~jnz1568/getInfo.php?workbook=10_05.xlsx&amp;sheet=A0&amp;row=3951&amp;col=6&amp;number=3.89&amp;sourceID=14","3.89")</f>
        <v>3.89</v>
      </c>
      <c r="G3951" s="4" t="str">
        <f>HYPERLINK("http://141.218.60.56/~jnz1568/getInfo.php?workbook=10_05.xlsx&amp;sheet=A0&amp;row=3951&amp;col=7&amp;number=0&amp;sourceID=14","0")</f>
        <v>0</v>
      </c>
    </row>
    <row r="3952" spans="1:7">
      <c r="A3952" s="3">
        <v>10</v>
      </c>
      <c r="B3952" s="3">
        <v>5</v>
      </c>
      <c r="C3952" s="3">
        <v>110</v>
      </c>
      <c r="D3952" s="3">
        <v>80</v>
      </c>
      <c r="E3952" s="3">
        <v>-1971.224</v>
      </c>
      <c r="F3952" s="4" t="str">
        <f>HYPERLINK("http://141.218.60.56/~jnz1568/getInfo.php?workbook=10_05.xlsx&amp;sheet=A0&amp;row=3952&amp;col=6&amp;number=142000000&amp;sourceID=14","142000000")</f>
        <v>142000000</v>
      </c>
      <c r="G3952" s="4" t="str">
        <f>HYPERLINK("http://141.218.60.56/~jnz1568/getInfo.php?workbook=10_05.xlsx&amp;sheet=A0&amp;row=3952&amp;col=7&amp;number=0&amp;sourceID=14","0")</f>
        <v>0</v>
      </c>
    </row>
    <row r="3953" spans="1:7">
      <c r="A3953" s="3">
        <v>10</v>
      </c>
      <c r="B3953" s="3">
        <v>5</v>
      </c>
      <c r="C3953" s="3">
        <v>112</v>
      </c>
      <c r="D3953" s="3">
        <v>80</v>
      </c>
      <c r="E3953" s="3">
        <v>-1946.059</v>
      </c>
      <c r="F3953" s="4" t="str">
        <f>HYPERLINK("http://141.218.60.56/~jnz1568/getInfo.php?workbook=10_05.xlsx&amp;sheet=A0&amp;row=3953&amp;col=6&amp;number=16300000&amp;sourceID=14","16300000")</f>
        <v>16300000</v>
      </c>
      <c r="G3953" s="4" t="str">
        <f>HYPERLINK("http://141.218.60.56/~jnz1568/getInfo.php?workbook=10_05.xlsx&amp;sheet=A0&amp;row=3953&amp;col=7&amp;number=0&amp;sourceID=14","0")</f>
        <v>0</v>
      </c>
    </row>
    <row r="3954" spans="1:7">
      <c r="A3954" s="3">
        <v>10</v>
      </c>
      <c r="B3954" s="3">
        <v>5</v>
      </c>
      <c r="C3954" s="3">
        <v>113</v>
      </c>
      <c r="D3954" s="3">
        <v>80</v>
      </c>
      <c r="E3954" s="3">
        <v>1918.285</v>
      </c>
      <c r="F3954" s="4" t="str">
        <f>HYPERLINK("http://141.218.60.56/~jnz1568/getInfo.php?workbook=10_05.xlsx&amp;sheet=A0&amp;row=3954&amp;col=6&amp;number=12800000&amp;sourceID=14","12800000")</f>
        <v>12800000</v>
      </c>
      <c r="G3954" s="4" t="str">
        <f>HYPERLINK("http://141.218.60.56/~jnz1568/getInfo.php?workbook=10_05.xlsx&amp;sheet=A0&amp;row=3954&amp;col=7&amp;number=0&amp;sourceID=14","0")</f>
        <v>0</v>
      </c>
    </row>
    <row r="3955" spans="1:7">
      <c r="A3955" s="3">
        <v>10</v>
      </c>
      <c r="B3955" s="3">
        <v>5</v>
      </c>
      <c r="C3955" s="3">
        <v>114</v>
      </c>
      <c r="D3955" s="3">
        <v>80</v>
      </c>
      <c r="E3955" s="3">
        <v>1918.285</v>
      </c>
      <c r="F3955" s="4" t="str">
        <f>HYPERLINK("http://141.218.60.56/~jnz1568/getInfo.php?workbook=10_05.xlsx&amp;sheet=A0&amp;row=3955&amp;col=6&amp;number=229000000&amp;sourceID=14","229000000")</f>
        <v>229000000</v>
      </c>
      <c r="G3955" s="4" t="str">
        <f>HYPERLINK("http://141.218.60.56/~jnz1568/getInfo.php?workbook=10_05.xlsx&amp;sheet=A0&amp;row=3955&amp;col=7&amp;number=0&amp;sourceID=14","0")</f>
        <v>0</v>
      </c>
    </row>
    <row r="3956" spans="1:7">
      <c r="A3956" s="3">
        <v>10</v>
      </c>
      <c r="B3956" s="3">
        <v>5</v>
      </c>
      <c r="C3956" s="3">
        <v>127</v>
      </c>
      <c r="D3956" s="3">
        <v>80</v>
      </c>
      <c r="E3956" s="3">
        <v>-1543.999</v>
      </c>
      <c r="F3956" s="4" t="str">
        <f>HYPERLINK("http://141.218.60.56/~jnz1568/getInfo.php?workbook=10_05.xlsx&amp;sheet=A0&amp;row=3956&amp;col=6&amp;number=433000000&amp;sourceID=14","433000000")</f>
        <v>433000000</v>
      </c>
      <c r="G3956" s="4" t="str">
        <f>HYPERLINK("http://141.218.60.56/~jnz1568/getInfo.php?workbook=10_05.xlsx&amp;sheet=A0&amp;row=3956&amp;col=7&amp;number=0&amp;sourceID=14","0")</f>
        <v>0</v>
      </c>
    </row>
    <row r="3957" spans="1:7">
      <c r="A3957" s="3">
        <v>10</v>
      </c>
      <c r="B3957" s="3">
        <v>5</v>
      </c>
      <c r="C3957" s="3">
        <v>128</v>
      </c>
      <c r="D3957" s="3">
        <v>80</v>
      </c>
      <c r="E3957" s="3">
        <v>-1533.369</v>
      </c>
      <c r="F3957" s="4" t="str">
        <f>HYPERLINK("http://141.218.60.56/~jnz1568/getInfo.php?workbook=10_05.xlsx&amp;sheet=A0&amp;row=3957&amp;col=6&amp;number=57900000&amp;sourceID=14","57900000")</f>
        <v>57900000</v>
      </c>
      <c r="G3957" s="4" t="str">
        <f>HYPERLINK("http://141.218.60.56/~jnz1568/getInfo.php?workbook=10_05.xlsx&amp;sheet=A0&amp;row=3957&amp;col=7&amp;number=0&amp;sourceID=14","0")</f>
        <v>0</v>
      </c>
    </row>
    <row r="3958" spans="1:7">
      <c r="A3958" s="3">
        <v>10</v>
      </c>
      <c r="B3958" s="3">
        <v>5</v>
      </c>
      <c r="C3958" s="3">
        <v>134</v>
      </c>
      <c r="D3958" s="3">
        <v>80</v>
      </c>
      <c r="E3958" s="3">
        <v>-1434.846</v>
      </c>
      <c r="F3958" s="4" t="str">
        <f>HYPERLINK("http://141.218.60.56/~jnz1568/getInfo.php?workbook=10_05.xlsx&amp;sheet=A0&amp;row=3958&amp;col=6&amp;number=55200&amp;sourceID=14","55200")</f>
        <v>55200</v>
      </c>
      <c r="G3958" s="4" t="str">
        <f>HYPERLINK("http://141.218.60.56/~jnz1568/getInfo.php?workbook=10_05.xlsx&amp;sheet=A0&amp;row=3958&amp;col=7&amp;number=0&amp;sourceID=14","0")</f>
        <v>0</v>
      </c>
    </row>
    <row r="3959" spans="1:7">
      <c r="A3959" s="3">
        <v>10</v>
      </c>
      <c r="B3959" s="3">
        <v>5</v>
      </c>
      <c r="C3959" s="3">
        <v>135</v>
      </c>
      <c r="D3959" s="3">
        <v>80</v>
      </c>
      <c r="E3959" s="3">
        <v>-1429.902</v>
      </c>
      <c r="F3959" s="4" t="str">
        <f>HYPERLINK("http://141.218.60.56/~jnz1568/getInfo.php?workbook=10_05.xlsx&amp;sheet=A0&amp;row=3959&amp;col=6&amp;number=17100&amp;sourceID=14","17100")</f>
        <v>17100</v>
      </c>
      <c r="G3959" s="4" t="str">
        <f>HYPERLINK("http://141.218.60.56/~jnz1568/getInfo.php?workbook=10_05.xlsx&amp;sheet=A0&amp;row=3959&amp;col=7&amp;number=0&amp;sourceID=14","0")</f>
        <v>0</v>
      </c>
    </row>
    <row r="3960" spans="1:7">
      <c r="A3960" s="3">
        <v>10</v>
      </c>
      <c r="B3960" s="3">
        <v>5</v>
      </c>
      <c r="C3960" s="3">
        <v>141</v>
      </c>
      <c r="D3960" s="3">
        <v>80</v>
      </c>
      <c r="E3960" s="3">
        <v>-1344.07</v>
      </c>
      <c r="F3960" s="4" t="str">
        <f>HYPERLINK("http://141.218.60.56/~jnz1568/getInfo.php?workbook=10_05.xlsx&amp;sheet=A0&amp;row=3960&amp;col=6&amp;number=119000&amp;sourceID=14","119000")</f>
        <v>119000</v>
      </c>
      <c r="G3960" s="4" t="str">
        <f>HYPERLINK("http://141.218.60.56/~jnz1568/getInfo.php?workbook=10_05.xlsx&amp;sheet=A0&amp;row=3960&amp;col=7&amp;number=0&amp;sourceID=14","0")</f>
        <v>0</v>
      </c>
    </row>
    <row r="3961" spans="1:7">
      <c r="A3961" s="3">
        <v>10</v>
      </c>
      <c r="B3961" s="3">
        <v>5</v>
      </c>
      <c r="C3961" s="3">
        <v>142</v>
      </c>
      <c r="D3961" s="3">
        <v>80</v>
      </c>
      <c r="E3961" s="3">
        <v>1343.727</v>
      </c>
      <c r="F3961" s="4" t="str">
        <f>HYPERLINK("http://141.218.60.56/~jnz1568/getInfo.php?workbook=10_05.xlsx&amp;sheet=A0&amp;row=3961&amp;col=6&amp;number=186000&amp;sourceID=14","186000")</f>
        <v>186000</v>
      </c>
      <c r="G3961" s="4" t="str">
        <f>HYPERLINK("http://141.218.60.56/~jnz1568/getInfo.php?workbook=10_05.xlsx&amp;sheet=A0&amp;row=3961&amp;col=7&amp;number=0&amp;sourceID=14","0")</f>
        <v>0</v>
      </c>
    </row>
    <row r="3962" spans="1:7">
      <c r="A3962" s="3">
        <v>10</v>
      </c>
      <c r="B3962" s="3">
        <v>5</v>
      </c>
      <c r="C3962" s="3">
        <v>143</v>
      </c>
      <c r="D3962" s="3">
        <v>80</v>
      </c>
      <c r="E3962" s="3">
        <v>1339.228</v>
      </c>
      <c r="F3962" s="4" t="str">
        <f>HYPERLINK("http://141.218.60.56/~jnz1568/getInfo.php?workbook=10_05.xlsx&amp;sheet=A0&amp;row=3962&amp;col=6&amp;number=44500&amp;sourceID=14","44500")</f>
        <v>44500</v>
      </c>
      <c r="G3962" s="4" t="str">
        <f>HYPERLINK("http://141.218.60.56/~jnz1568/getInfo.php?workbook=10_05.xlsx&amp;sheet=A0&amp;row=3962&amp;col=7&amp;number=0&amp;sourceID=14","0")</f>
        <v>0</v>
      </c>
    </row>
    <row r="3963" spans="1:7">
      <c r="A3963" s="3">
        <v>10</v>
      </c>
      <c r="B3963" s="3">
        <v>5</v>
      </c>
      <c r="C3963" s="3">
        <v>145</v>
      </c>
      <c r="D3963" s="3">
        <v>80</v>
      </c>
      <c r="E3963" s="3">
        <v>1319.612</v>
      </c>
      <c r="F3963" s="4" t="str">
        <f>HYPERLINK("http://141.218.60.56/~jnz1568/getInfo.php?workbook=10_05.xlsx&amp;sheet=A0&amp;row=3963&amp;col=6&amp;number=15100000&amp;sourceID=14","15100000")</f>
        <v>15100000</v>
      </c>
      <c r="G3963" s="4" t="str">
        <f>HYPERLINK("http://141.218.60.56/~jnz1568/getInfo.php?workbook=10_05.xlsx&amp;sheet=A0&amp;row=3963&amp;col=7&amp;number=0&amp;sourceID=14","0")</f>
        <v>0</v>
      </c>
    </row>
    <row r="3964" spans="1:7">
      <c r="A3964" s="3">
        <v>10</v>
      </c>
      <c r="B3964" s="3">
        <v>5</v>
      </c>
      <c r="C3964" s="3">
        <v>146</v>
      </c>
      <c r="D3964" s="3">
        <v>80</v>
      </c>
      <c r="E3964" s="3">
        <v>1319.612</v>
      </c>
      <c r="F3964" s="4" t="str">
        <f>HYPERLINK("http://141.218.60.56/~jnz1568/getInfo.php?workbook=10_05.xlsx&amp;sheet=A0&amp;row=3964&amp;col=6&amp;number=1830000&amp;sourceID=14","1830000")</f>
        <v>1830000</v>
      </c>
      <c r="G3964" s="4" t="str">
        <f>HYPERLINK("http://141.218.60.56/~jnz1568/getInfo.php?workbook=10_05.xlsx&amp;sheet=A0&amp;row=3964&amp;col=7&amp;number=0&amp;sourceID=14","0")</f>
        <v>0</v>
      </c>
    </row>
    <row r="3965" spans="1:7">
      <c r="A3965" s="3">
        <v>10</v>
      </c>
      <c r="B3965" s="3">
        <v>5</v>
      </c>
      <c r="C3965" s="3">
        <v>147</v>
      </c>
      <c r="D3965" s="3">
        <v>80</v>
      </c>
      <c r="E3965" s="3">
        <v>1309.417</v>
      </c>
      <c r="F3965" s="4" t="str">
        <f>HYPERLINK("http://141.218.60.56/~jnz1568/getInfo.php?workbook=10_05.xlsx&amp;sheet=A0&amp;row=3965&amp;col=6&amp;number=164000&amp;sourceID=14","164000")</f>
        <v>164000</v>
      </c>
      <c r="G3965" s="4" t="str">
        <f>HYPERLINK("http://141.218.60.56/~jnz1568/getInfo.php?workbook=10_05.xlsx&amp;sheet=A0&amp;row=3965&amp;col=7&amp;number=0&amp;sourceID=14","0")</f>
        <v>0</v>
      </c>
    </row>
    <row r="3966" spans="1:7">
      <c r="A3966" s="3">
        <v>10</v>
      </c>
      <c r="B3966" s="3">
        <v>5</v>
      </c>
      <c r="C3966" s="3">
        <v>148</v>
      </c>
      <c r="D3966" s="3">
        <v>80</v>
      </c>
      <c r="E3966" s="3">
        <v>1307.705</v>
      </c>
      <c r="F3966" s="4" t="str">
        <f>HYPERLINK("http://141.218.60.56/~jnz1568/getInfo.php?workbook=10_05.xlsx&amp;sheet=A0&amp;row=3966&amp;col=6&amp;number=7760000&amp;sourceID=14","7760000")</f>
        <v>7760000</v>
      </c>
      <c r="G3966" s="4" t="str">
        <f>HYPERLINK("http://141.218.60.56/~jnz1568/getInfo.php?workbook=10_05.xlsx&amp;sheet=A0&amp;row=3966&amp;col=7&amp;number=0&amp;sourceID=14","0")</f>
        <v>0</v>
      </c>
    </row>
    <row r="3967" spans="1:7">
      <c r="A3967" s="3">
        <v>10</v>
      </c>
      <c r="B3967" s="3">
        <v>5</v>
      </c>
      <c r="C3967" s="3">
        <v>149</v>
      </c>
      <c r="D3967" s="3">
        <v>80</v>
      </c>
      <c r="E3967" s="3">
        <v>1305.997</v>
      </c>
      <c r="F3967" s="4" t="str">
        <f>HYPERLINK("http://141.218.60.56/~jnz1568/getInfo.php?workbook=10_05.xlsx&amp;sheet=A0&amp;row=3967&amp;col=6&amp;number=6870&amp;sourceID=14","6870")</f>
        <v>6870</v>
      </c>
      <c r="G3967" s="4" t="str">
        <f>HYPERLINK("http://141.218.60.56/~jnz1568/getInfo.php?workbook=10_05.xlsx&amp;sheet=A0&amp;row=3967&amp;col=7&amp;number=0&amp;sourceID=14","0")</f>
        <v>0</v>
      </c>
    </row>
    <row r="3968" spans="1:7">
      <c r="A3968" s="3">
        <v>10</v>
      </c>
      <c r="B3968" s="3">
        <v>5</v>
      </c>
      <c r="C3968" s="3">
        <v>152</v>
      </c>
      <c r="D3968" s="3">
        <v>80</v>
      </c>
      <c r="E3968" s="3">
        <v>1220.556</v>
      </c>
      <c r="F3968" s="4" t="str">
        <f>HYPERLINK("http://141.218.60.56/~jnz1568/getInfo.php?workbook=10_05.xlsx&amp;sheet=A0&amp;row=3968&amp;col=6&amp;number=114000000&amp;sourceID=14","114000000")</f>
        <v>114000000</v>
      </c>
      <c r="G3968" s="4" t="str">
        <f>HYPERLINK("http://141.218.60.56/~jnz1568/getInfo.php?workbook=10_05.xlsx&amp;sheet=A0&amp;row=3968&amp;col=7&amp;number=0&amp;sourceID=14","0")</f>
        <v>0</v>
      </c>
    </row>
    <row r="3969" spans="1:7">
      <c r="A3969" s="3">
        <v>10</v>
      </c>
      <c r="B3969" s="3">
        <v>5</v>
      </c>
      <c r="C3969" s="3">
        <v>158</v>
      </c>
      <c r="D3969" s="3">
        <v>80</v>
      </c>
      <c r="E3969" s="3">
        <v>-1182.706</v>
      </c>
      <c r="F3969" s="4" t="str">
        <f>HYPERLINK("http://141.218.60.56/~jnz1568/getInfo.php?workbook=10_05.xlsx&amp;sheet=A0&amp;row=3969&amp;col=6&amp;number=1070000&amp;sourceID=14","1070000")</f>
        <v>1070000</v>
      </c>
      <c r="G3969" s="4" t="str">
        <f>HYPERLINK("http://141.218.60.56/~jnz1568/getInfo.php?workbook=10_05.xlsx&amp;sheet=A0&amp;row=3969&amp;col=7&amp;number=0&amp;sourceID=14","0")</f>
        <v>0</v>
      </c>
    </row>
    <row r="3970" spans="1:7">
      <c r="A3970" s="3">
        <v>10</v>
      </c>
      <c r="B3970" s="3">
        <v>5</v>
      </c>
      <c r="C3970" s="3">
        <v>159</v>
      </c>
      <c r="D3970" s="3">
        <v>80</v>
      </c>
      <c r="E3970" s="3">
        <v>-1176.75</v>
      </c>
      <c r="F3970" s="4" t="str">
        <f>HYPERLINK("http://141.218.60.56/~jnz1568/getInfo.php?workbook=10_05.xlsx&amp;sheet=A0&amp;row=3970&amp;col=6&amp;number=1120000&amp;sourceID=14","1120000")</f>
        <v>1120000</v>
      </c>
      <c r="G3970" s="4" t="str">
        <f>HYPERLINK("http://141.218.60.56/~jnz1568/getInfo.php?workbook=10_05.xlsx&amp;sheet=A0&amp;row=3970&amp;col=7&amp;number=0&amp;sourceID=14","0")</f>
        <v>0</v>
      </c>
    </row>
    <row r="3971" spans="1:7">
      <c r="A3971" s="3">
        <v>10</v>
      </c>
      <c r="B3971" s="3">
        <v>5</v>
      </c>
      <c r="C3971" s="3">
        <v>164</v>
      </c>
      <c r="D3971" s="3">
        <v>80</v>
      </c>
      <c r="E3971" s="3">
        <v>-762.743</v>
      </c>
      <c r="F3971" s="4" t="str">
        <f>HYPERLINK("http://141.218.60.56/~jnz1568/getInfo.php?workbook=10_05.xlsx&amp;sheet=A0&amp;row=3971&amp;col=6&amp;number=202000000&amp;sourceID=14","202000000")</f>
        <v>202000000</v>
      </c>
      <c r="G3971" s="4" t="str">
        <f>HYPERLINK("http://141.218.60.56/~jnz1568/getInfo.php?workbook=10_05.xlsx&amp;sheet=A0&amp;row=3971&amp;col=7&amp;number=0&amp;sourceID=14","0")</f>
        <v>0</v>
      </c>
    </row>
    <row r="3972" spans="1:7">
      <c r="A3972" s="3">
        <v>10</v>
      </c>
      <c r="B3972" s="3">
        <v>5</v>
      </c>
      <c r="C3972" s="3">
        <v>165</v>
      </c>
      <c r="D3972" s="3">
        <v>80</v>
      </c>
      <c r="E3972" s="3">
        <v>-761.947</v>
      </c>
      <c r="F3972" s="4" t="str">
        <f>HYPERLINK("http://141.218.60.56/~jnz1568/getInfo.php?workbook=10_05.xlsx&amp;sheet=A0&amp;row=3972&amp;col=6&amp;number=16100000&amp;sourceID=14","16100000")</f>
        <v>16100000</v>
      </c>
      <c r="G3972" s="4" t="str">
        <f>HYPERLINK("http://141.218.60.56/~jnz1568/getInfo.php?workbook=10_05.xlsx&amp;sheet=A0&amp;row=3972&amp;col=7&amp;number=0&amp;sourceID=14","0")</f>
        <v>0</v>
      </c>
    </row>
    <row r="3973" spans="1:7">
      <c r="A3973" s="3">
        <v>10</v>
      </c>
      <c r="B3973" s="3">
        <v>5</v>
      </c>
      <c r="C3973" s="3">
        <v>166</v>
      </c>
      <c r="D3973" s="3">
        <v>80</v>
      </c>
      <c r="E3973" s="3">
        <v>-631.621</v>
      </c>
      <c r="F3973" s="4" t="str">
        <f>HYPERLINK("http://141.218.60.56/~jnz1568/getInfo.php?workbook=10_05.xlsx&amp;sheet=A0&amp;row=3973&amp;col=6&amp;number=2510000&amp;sourceID=14","2510000")</f>
        <v>2510000</v>
      </c>
      <c r="G3973" s="4" t="str">
        <f>HYPERLINK("http://141.218.60.56/~jnz1568/getInfo.php?workbook=10_05.xlsx&amp;sheet=A0&amp;row=3973&amp;col=7&amp;number=0&amp;sourceID=14","0")</f>
        <v>0</v>
      </c>
    </row>
    <row r="3974" spans="1:7">
      <c r="A3974" s="3">
        <v>10</v>
      </c>
      <c r="B3974" s="3">
        <v>5</v>
      </c>
      <c r="C3974" s="3">
        <v>167</v>
      </c>
      <c r="D3974" s="3">
        <v>80</v>
      </c>
      <c r="E3974" s="3">
        <v>-631.454</v>
      </c>
      <c r="F3974" s="4" t="str">
        <f>HYPERLINK("http://141.218.60.56/~jnz1568/getInfo.php?workbook=10_05.xlsx&amp;sheet=A0&amp;row=3974&amp;col=6&amp;number=11600&amp;sourceID=14","11600")</f>
        <v>11600</v>
      </c>
      <c r="G3974" s="4" t="str">
        <f>HYPERLINK("http://141.218.60.56/~jnz1568/getInfo.php?workbook=10_05.xlsx&amp;sheet=A0&amp;row=3974&amp;col=7&amp;number=0&amp;sourceID=14","0")</f>
        <v>0</v>
      </c>
    </row>
    <row r="3975" spans="1:7">
      <c r="A3975" s="3">
        <v>10</v>
      </c>
      <c r="B3975" s="3">
        <v>5</v>
      </c>
      <c r="C3975" s="3">
        <v>176</v>
      </c>
      <c r="D3975" s="3">
        <v>80</v>
      </c>
      <c r="E3975" s="3">
        <v>-526.758</v>
      </c>
      <c r="F3975" s="4" t="str">
        <f>HYPERLINK("http://141.218.60.56/~jnz1568/getInfo.php?workbook=10_05.xlsx&amp;sheet=A0&amp;row=3975&amp;col=6&amp;number=255000000&amp;sourceID=14","255000000")</f>
        <v>255000000</v>
      </c>
      <c r="G3975" s="4" t="str">
        <f>HYPERLINK("http://141.218.60.56/~jnz1568/getInfo.php?workbook=10_05.xlsx&amp;sheet=A0&amp;row=3975&amp;col=7&amp;number=0&amp;sourceID=14","0")</f>
        <v>0</v>
      </c>
    </row>
    <row r="3976" spans="1:7">
      <c r="A3976" s="3">
        <v>10</v>
      </c>
      <c r="B3976" s="3">
        <v>5</v>
      </c>
      <c r="C3976" s="3">
        <v>177</v>
      </c>
      <c r="D3976" s="3">
        <v>80</v>
      </c>
      <c r="E3976" s="3">
        <v>-524.297</v>
      </c>
      <c r="F3976" s="4" t="str">
        <f>HYPERLINK("http://141.218.60.56/~jnz1568/getInfo.php?workbook=10_05.xlsx&amp;sheet=A0&amp;row=3976&amp;col=6&amp;number=84100000&amp;sourceID=14","84100000")</f>
        <v>84100000</v>
      </c>
      <c r="G3976" s="4" t="str">
        <f>HYPERLINK("http://141.218.60.56/~jnz1568/getInfo.php?workbook=10_05.xlsx&amp;sheet=A0&amp;row=3976&amp;col=7&amp;number=0&amp;sourceID=14","0")</f>
        <v>0</v>
      </c>
    </row>
    <row r="3977" spans="1:7">
      <c r="A3977" s="3">
        <v>10</v>
      </c>
      <c r="B3977" s="3">
        <v>5</v>
      </c>
      <c r="C3977" s="3">
        <v>178</v>
      </c>
      <c r="D3977" s="3">
        <v>80</v>
      </c>
      <c r="E3977" s="3">
        <v>-524.176</v>
      </c>
      <c r="F3977" s="4" t="str">
        <f>HYPERLINK("http://141.218.60.56/~jnz1568/getInfo.php?workbook=10_05.xlsx&amp;sheet=A0&amp;row=3977&amp;col=6&amp;number=3520000&amp;sourceID=14","3520000")</f>
        <v>3520000</v>
      </c>
      <c r="G3977" s="4" t="str">
        <f>HYPERLINK("http://141.218.60.56/~jnz1568/getInfo.php?workbook=10_05.xlsx&amp;sheet=A0&amp;row=3977&amp;col=7&amp;number=0&amp;sourceID=14","0")</f>
        <v>0</v>
      </c>
    </row>
    <row r="3978" spans="1:7">
      <c r="A3978" s="3">
        <v>10</v>
      </c>
      <c r="B3978" s="3">
        <v>5</v>
      </c>
      <c r="C3978" s="3">
        <v>179</v>
      </c>
      <c r="D3978" s="3">
        <v>80</v>
      </c>
      <c r="E3978" s="3">
        <v>-513.277</v>
      </c>
      <c r="F3978" s="4" t="str">
        <f>HYPERLINK("http://141.218.60.56/~jnz1568/getInfo.php?workbook=10_05.xlsx&amp;sheet=A0&amp;row=3978&amp;col=6&amp;number=6070000&amp;sourceID=14","6070000")</f>
        <v>6070000</v>
      </c>
      <c r="G3978" s="4" t="str">
        <f>HYPERLINK("http://141.218.60.56/~jnz1568/getInfo.php?workbook=10_05.xlsx&amp;sheet=A0&amp;row=3978&amp;col=7&amp;number=0&amp;sourceID=14","0")</f>
        <v>0</v>
      </c>
    </row>
    <row r="3979" spans="1:7">
      <c r="A3979" s="3">
        <v>10</v>
      </c>
      <c r="B3979" s="3">
        <v>5</v>
      </c>
      <c r="C3979" s="3">
        <v>180</v>
      </c>
      <c r="D3979" s="3">
        <v>80</v>
      </c>
      <c r="E3979" s="3">
        <v>-513.179</v>
      </c>
      <c r="F3979" s="4" t="str">
        <f>HYPERLINK("http://141.218.60.56/~jnz1568/getInfo.php?workbook=10_05.xlsx&amp;sheet=A0&amp;row=3979&amp;col=6&amp;number=85100&amp;sourceID=14","85100")</f>
        <v>85100</v>
      </c>
      <c r="G3979" s="4" t="str">
        <f>HYPERLINK("http://141.218.60.56/~jnz1568/getInfo.php?workbook=10_05.xlsx&amp;sheet=A0&amp;row=3979&amp;col=7&amp;number=0&amp;sourceID=14","0")</f>
        <v>0</v>
      </c>
    </row>
    <row r="3980" spans="1:7">
      <c r="A3980" s="3">
        <v>10</v>
      </c>
      <c r="B3980" s="3">
        <v>5</v>
      </c>
      <c r="C3980" s="3">
        <v>83</v>
      </c>
      <c r="D3980" s="3">
        <v>81</v>
      </c>
      <c r="E3980" s="3">
        <v>17182.162</v>
      </c>
      <c r="F3980" s="4" t="str">
        <f>HYPERLINK("http://141.218.60.56/~jnz1568/getInfo.php?workbook=10_05.xlsx&amp;sheet=A0&amp;row=3980&amp;col=6&amp;number=1.08&amp;sourceID=14","1.08")</f>
        <v>1.08</v>
      </c>
      <c r="G3980" s="4" t="str">
        <f>HYPERLINK("http://141.218.60.56/~jnz1568/getInfo.php?workbook=10_05.xlsx&amp;sheet=A0&amp;row=3980&amp;col=7&amp;number=0&amp;sourceID=14","0")</f>
        <v>0</v>
      </c>
    </row>
    <row r="3981" spans="1:7">
      <c r="A3981" s="3">
        <v>10</v>
      </c>
      <c r="B3981" s="3">
        <v>5</v>
      </c>
      <c r="C3981" s="3">
        <v>84</v>
      </c>
      <c r="D3981" s="3">
        <v>81</v>
      </c>
      <c r="E3981" s="3">
        <v>17182.162</v>
      </c>
      <c r="F3981" s="4" t="str">
        <f>HYPERLINK("http://141.218.60.56/~jnz1568/getInfo.php?workbook=10_05.xlsx&amp;sheet=A0&amp;row=3981&amp;col=6&amp;number=3.82&amp;sourceID=14","3.82")</f>
        <v>3.82</v>
      </c>
      <c r="G3981" s="4" t="str">
        <f>HYPERLINK("http://141.218.60.56/~jnz1568/getInfo.php?workbook=10_05.xlsx&amp;sheet=A0&amp;row=3981&amp;col=7&amp;number=0&amp;sourceID=14","0")</f>
        <v>0</v>
      </c>
    </row>
    <row r="3982" spans="1:7">
      <c r="A3982" s="3">
        <v>10</v>
      </c>
      <c r="B3982" s="3">
        <v>5</v>
      </c>
      <c r="C3982" s="3">
        <v>85</v>
      </c>
      <c r="D3982" s="3">
        <v>81</v>
      </c>
      <c r="E3982" s="3">
        <v>17182.162</v>
      </c>
      <c r="F3982" s="4" t="str">
        <f>HYPERLINK("http://141.218.60.56/~jnz1568/getInfo.php?workbook=10_05.xlsx&amp;sheet=A0&amp;row=3982&amp;col=6&amp;number=59.2&amp;sourceID=14","59.2")</f>
        <v>59.2</v>
      </c>
      <c r="G3982" s="4" t="str">
        <f>HYPERLINK("http://141.218.60.56/~jnz1568/getInfo.php?workbook=10_05.xlsx&amp;sheet=A0&amp;row=3982&amp;col=7&amp;number=0&amp;sourceID=14","0")</f>
        <v>0</v>
      </c>
    </row>
    <row r="3983" spans="1:7">
      <c r="A3983" s="3">
        <v>10</v>
      </c>
      <c r="B3983" s="3">
        <v>5</v>
      </c>
      <c r="C3983" s="3">
        <v>86</v>
      </c>
      <c r="D3983" s="3">
        <v>81</v>
      </c>
      <c r="E3983" s="3">
        <v>-14885.41</v>
      </c>
      <c r="F3983" s="4" t="str">
        <f>HYPERLINK("http://141.218.60.56/~jnz1568/getInfo.php?workbook=10_05.xlsx&amp;sheet=A0&amp;row=3983&amp;col=6&amp;number=1150&amp;sourceID=14","1150")</f>
        <v>1150</v>
      </c>
      <c r="G3983" s="4" t="str">
        <f>HYPERLINK("http://141.218.60.56/~jnz1568/getInfo.php?workbook=10_05.xlsx&amp;sheet=A0&amp;row=3983&amp;col=7&amp;number=0&amp;sourceID=14","0")</f>
        <v>0</v>
      </c>
    </row>
    <row r="3984" spans="1:7">
      <c r="A3984" s="3">
        <v>10</v>
      </c>
      <c r="B3984" s="3">
        <v>5</v>
      </c>
      <c r="C3984" s="3">
        <v>87</v>
      </c>
      <c r="D3984" s="3">
        <v>81</v>
      </c>
      <c r="E3984" s="3">
        <v>-14854.454</v>
      </c>
      <c r="F3984" s="4" t="str">
        <f>HYPERLINK("http://141.218.60.56/~jnz1568/getInfo.php?workbook=10_05.xlsx&amp;sheet=A0&amp;row=3984&amp;col=6&amp;number=15000&amp;sourceID=14","15000")</f>
        <v>15000</v>
      </c>
      <c r="G3984" s="4" t="str">
        <f>HYPERLINK("http://141.218.60.56/~jnz1568/getInfo.php?workbook=10_05.xlsx&amp;sheet=A0&amp;row=3984&amp;col=7&amp;number=0&amp;sourceID=14","0")</f>
        <v>0</v>
      </c>
    </row>
    <row r="3985" spans="1:7">
      <c r="A3985" s="3">
        <v>10</v>
      </c>
      <c r="B3985" s="3">
        <v>5</v>
      </c>
      <c r="C3985" s="3">
        <v>89</v>
      </c>
      <c r="D3985" s="3">
        <v>81</v>
      </c>
      <c r="E3985" s="3">
        <v>10706.658</v>
      </c>
      <c r="F3985" s="4" t="str">
        <f>HYPERLINK("http://141.218.60.56/~jnz1568/getInfo.php?workbook=10_05.xlsx&amp;sheet=A0&amp;row=3985&amp;col=6&amp;number=5.03&amp;sourceID=14","5.03")</f>
        <v>5.03</v>
      </c>
      <c r="G3985" s="4" t="str">
        <f>HYPERLINK("http://141.218.60.56/~jnz1568/getInfo.php?workbook=10_05.xlsx&amp;sheet=A0&amp;row=3985&amp;col=7&amp;number=0&amp;sourceID=14","0")</f>
        <v>0</v>
      </c>
    </row>
    <row r="3986" spans="1:7">
      <c r="A3986" s="3">
        <v>10</v>
      </c>
      <c r="B3986" s="3">
        <v>5</v>
      </c>
      <c r="C3986" s="3">
        <v>90</v>
      </c>
      <c r="D3986" s="3">
        <v>81</v>
      </c>
      <c r="E3986" s="3">
        <v>10090.836</v>
      </c>
      <c r="F3986" s="4" t="str">
        <f>HYPERLINK("http://141.218.60.56/~jnz1568/getInfo.php?workbook=10_05.xlsx&amp;sheet=A0&amp;row=3986&amp;col=6&amp;number=813&amp;sourceID=14","813")</f>
        <v>813</v>
      </c>
      <c r="G3986" s="4" t="str">
        <f>HYPERLINK("http://141.218.60.56/~jnz1568/getInfo.php?workbook=10_05.xlsx&amp;sheet=A0&amp;row=3986&amp;col=7&amp;number=0&amp;sourceID=14","0")</f>
        <v>0</v>
      </c>
    </row>
    <row r="3987" spans="1:7">
      <c r="A3987" s="3">
        <v>10</v>
      </c>
      <c r="B3987" s="3">
        <v>5</v>
      </c>
      <c r="C3987" s="3">
        <v>91</v>
      </c>
      <c r="D3987" s="3">
        <v>81</v>
      </c>
      <c r="E3987" s="3">
        <v>-5624.94</v>
      </c>
      <c r="F3987" s="4" t="str">
        <f>HYPERLINK("http://141.218.60.56/~jnz1568/getInfo.php?workbook=10_05.xlsx&amp;sheet=A0&amp;row=3987&amp;col=6&amp;number=213000&amp;sourceID=14","213000")</f>
        <v>213000</v>
      </c>
      <c r="G3987" s="4" t="str">
        <f>HYPERLINK("http://141.218.60.56/~jnz1568/getInfo.php?workbook=10_05.xlsx&amp;sheet=A0&amp;row=3987&amp;col=7&amp;number=0&amp;sourceID=14","0")</f>
        <v>0</v>
      </c>
    </row>
    <row r="3988" spans="1:7">
      <c r="A3988" s="3">
        <v>10</v>
      </c>
      <c r="B3988" s="3">
        <v>5</v>
      </c>
      <c r="C3988" s="3">
        <v>92</v>
      </c>
      <c r="D3988" s="3">
        <v>81</v>
      </c>
      <c r="E3988" s="3">
        <v>-5372.888</v>
      </c>
      <c r="F3988" s="4" t="str">
        <f>HYPERLINK("http://141.218.60.56/~jnz1568/getInfo.php?workbook=10_05.xlsx&amp;sheet=A0&amp;row=3988&amp;col=6&amp;number=2320000&amp;sourceID=14","2320000")</f>
        <v>2320000</v>
      </c>
      <c r="G3988" s="4" t="str">
        <f>HYPERLINK("http://141.218.60.56/~jnz1568/getInfo.php?workbook=10_05.xlsx&amp;sheet=A0&amp;row=3988&amp;col=7&amp;number=0&amp;sourceID=14","0")</f>
        <v>0</v>
      </c>
    </row>
    <row r="3989" spans="1:7">
      <c r="A3989" s="3">
        <v>10</v>
      </c>
      <c r="B3989" s="3">
        <v>5</v>
      </c>
      <c r="C3989" s="3">
        <v>94</v>
      </c>
      <c r="D3989" s="3">
        <v>81</v>
      </c>
      <c r="E3989" s="3">
        <v>-3770.177</v>
      </c>
      <c r="F3989" s="4" t="str">
        <f>HYPERLINK("http://141.218.60.56/~jnz1568/getInfo.php?workbook=10_05.xlsx&amp;sheet=A0&amp;row=3989&amp;col=6&amp;number=1890000&amp;sourceID=14","1890000")</f>
        <v>1890000</v>
      </c>
      <c r="G3989" s="4" t="str">
        <f>HYPERLINK("http://141.218.60.56/~jnz1568/getInfo.php?workbook=10_05.xlsx&amp;sheet=A0&amp;row=3989&amp;col=7&amp;number=0&amp;sourceID=14","0")</f>
        <v>0</v>
      </c>
    </row>
    <row r="3990" spans="1:7">
      <c r="A3990" s="3">
        <v>10</v>
      </c>
      <c r="B3990" s="3">
        <v>5</v>
      </c>
      <c r="C3990" s="3">
        <v>95</v>
      </c>
      <c r="D3990" s="3">
        <v>81</v>
      </c>
      <c r="E3990" s="3">
        <v>3729.958</v>
      </c>
      <c r="F3990" s="4" t="str">
        <f>HYPERLINK("http://141.218.60.56/~jnz1568/getInfo.php?workbook=10_05.xlsx&amp;sheet=A0&amp;row=3990&amp;col=6&amp;number=2020&amp;sourceID=14","2020")</f>
        <v>2020</v>
      </c>
      <c r="G3990" s="4" t="str">
        <f>HYPERLINK("http://141.218.60.56/~jnz1568/getInfo.php?workbook=10_05.xlsx&amp;sheet=A0&amp;row=3990&amp;col=7&amp;number=0&amp;sourceID=14","0")</f>
        <v>0</v>
      </c>
    </row>
    <row r="3991" spans="1:7">
      <c r="A3991" s="3">
        <v>10</v>
      </c>
      <c r="B3991" s="3">
        <v>5</v>
      </c>
      <c r="C3991" s="3">
        <v>96</v>
      </c>
      <c r="D3991" s="3">
        <v>81</v>
      </c>
      <c r="E3991" s="3">
        <v>2525.257</v>
      </c>
      <c r="F3991" s="4" t="str">
        <f>HYPERLINK("http://141.218.60.56/~jnz1568/getInfo.php?workbook=10_05.xlsx&amp;sheet=A0&amp;row=3991&amp;col=6&amp;number=9040000&amp;sourceID=14","9040000")</f>
        <v>9040000</v>
      </c>
      <c r="G3991" s="4" t="str">
        <f>HYPERLINK("http://141.218.60.56/~jnz1568/getInfo.php?workbook=10_05.xlsx&amp;sheet=A0&amp;row=3991&amp;col=7&amp;number=0&amp;sourceID=14","0")</f>
        <v>0</v>
      </c>
    </row>
    <row r="3992" spans="1:7">
      <c r="A3992" s="3">
        <v>10</v>
      </c>
      <c r="B3992" s="3">
        <v>5</v>
      </c>
      <c r="C3992" s="3">
        <v>97</v>
      </c>
      <c r="D3992" s="3">
        <v>81</v>
      </c>
      <c r="E3992" s="3">
        <v>2503.76</v>
      </c>
      <c r="F3992" s="4" t="str">
        <f>HYPERLINK("http://141.218.60.56/~jnz1568/getInfo.php?workbook=10_05.xlsx&amp;sheet=A0&amp;row=3992&amp;col=6&amp;number=161000000&amp;sourceID=14","161000000")</f>
        <v>161000000</v>
      </c>
      <c r="G3992" s="4" t="str">
        <f>HYPERLINK("http://141.218.60.56/~jnz1568/getInfo.php?workbook=10_05.xlsx&amp;sheet=A0&amp;row=3992&amp;col=7&amp;number=0&amp;sourceID=14","0")</f>
        <v>0</v>
      </c>
    </row>
    <row r="3993" spans="1:7">
      <c r="A3993" s="3">
        <v>10</v>
      </c>
      <c r="B3993" s="3">
        <v>5</v>
      </c>
      <c r="C3993" s="3">
        <v>101</v>
      </c>
      <c r="D3993" s="3">
        <v>81</v>
      </c>
      <c r="E3993" s="3">
        <v>-2291.585</v>
      </c>
      <c r="F3993" s="4" t="str">
        <f>HYPERLINK("http://141.218.60.56/~jnz1568/getInfo.php?workbook=10_05.xlsx&amp;sheet=A0&amp;row=3993&amp;col=6&amp;number=115000&amp;sourceID=14","115000")</f>
        <v>115000</v>
      </c>
      <c r="G3993" s="4" t="str">
        <f>HYPERLINK("http://141.218.60.56/~jnz1568/getInfo.php?workbook=10_05.xlsx&amp;sheet=A0&amp;row=3993&amp;col=7&amp;number=0&amp;sourceID=14","0")</f>
        <v>0</v>
      </c>
    </row>
    <row r="3994" spans="1:7">
      <c r="A3994" s="3">
        <v>10</v>
      </c>
      <c r="B3994" s="3">
        <v>5</v>
      </c>
      <c r="C3994" s="3">
        <v>103</v>
      </c>
      <c r="D3994" s="3">
        <v>81</v>
      </c>
      <c r="E3994" s="3">
        <v>-2253.271</v>
      </c>
      <c r="F3994" s="4" t="str">
        <f>HYPERLINK("http://141.218.60.56/~jnz1568/getInfo.php?workbook=10_05.xlsx&amp;sheet=A0&amp;row=3994&amp;col=6&amp;number=1.56&amp;sourceID=14","1.56")</f>
        <v>1.56</v>
      </c>
      <c r="G3994" s="4" t="str">
        <f>HYPERLINK("http://141.218.60.56/~jnz1568/getInfo.php?workbook=10_05.xlsx&amp;sheet=A0&amp;row=3994&amp;col=7&amp;number=0&amp;sourceID=14","0")</f>
        <v>0</v>
      </c>
    </row>
    <row r="3995" spans="1:7">
      <c r="A3995" s="3">
        <v>10</v>
      </c>
      <c r="B3995" s="3">
        <v>5</v>
      </c>
      <c r="C3995" s="3">
        <v>112</v>
      </c>
      <c r="D3995" s="3">
        <v>81</v>
      </c>
      <c r="E3995" s="3">
        <v>-1947.689</v>
      </c>
      <c r="F3995" s="4" t="str">
        <f>HYPERLINK("http://141.218.60.56/~jnz1568/getInfo.php?workbook=10_05.xlsx&amp;sheet=A0&amp;row=3995&amp;col=6&amp;number=134000000&amp;sourceID=14","134000000")</f>
        <v>134000000</v>
      </c>
      <c r="G3995" s="4" t="str">
        <f>HYPERLINK("http://141.218.60.56/~jnz1568/getInfo.php?workbook=10_05.xlsx&amp;sheet=A0&amp;row=3995&amp;col=7&amp;number=0&amp;sourceID=14","0")</f>
        <v>0</v>
      </c>
    </row>
    <row r="3996" spans="1:7">
      <c r="A3996" s="3">
        <v>10</v>
      </c>
      <c r="B3996" s="3">
        <v>5</v>
      </c>
      <c r="C3996" s="3">
        <v>113</v>
      </c>
      <c r="D3996" s="3">
        <v>81</v>
      </c>
      <c r="E3996" s="3">
        <v>1918.285</v>
      </c>
      <c r="F3996" s="4" t="str">
        <f>HYPERLINK("http://141.218.60.56/~jnz1568/getInfo.php?workbook=10_05.xlsx&amp;sheet=A0&amp;row=3996&amp;col=6&amp;number=240000000&amp;sourceID=14","240000000")</f>
        <v>240000000</v>
      </c>
      <c r="G3996" s="4" t="str">
        <f>HYPERLINK("http://141.218.60.56/~jnz1568/getInfo.php?workbook=10_05.xlsx&amp;sheet=A0&amp;row=3996&amp;col=7&amp;number=0&amp;sourceID=14","0")</f>
        <v>0</v>
      </c>
    </row>
    <row r="3997" spans="1:7">
      <c r="A3997" s="3">
        <v>10</v>
      </c>
      <c r="B3997" s="3">
        <v>5</v>
      </c>
      <c r="C3997" s="3">
        <v>114</v>
      </c>
      <c r="D3997" s="3">
        <v>81</v>
      </c>
      <c r="E3997" s="3">
        <v>1918.285</v>
      </c>
      <c r="F3997" s="4" t="str">
        <f>HYPERLINK("http://141.218.60.56/~jnz1568/getInfo.php?workbook=10_05.xlsx&amp;sheet=A0&amp;row=3997&amp;col=6&amp;number=31000000&amp;sourceID=14","31000000")</f>
        <v>31000000</v>
      </c>
      <c r="G3997" s="4" t="str">
        <f>HYPERLINK("http://141.218.60.56/~jnz1568/getInfo.php?workbook=10_05.xlsx&amp;sheet=A0&amp;row=3997&amp;col=7&amp;number=0&amp;sourceID=14","0")</f>
        <v>0</v>
      </c>
    </row>
    <row r="3998" spans="1:7">
      <c r="A3998" s="3">
        <v>10</v>
      </c>
      <c r="B3998" s="3">
        <v>5</v>
      </c>
      <c r="C3998" s="3">
        <v>128</v>
      </c>
      <c r="D3998" s="3">
        <v>81</v>
      </c>
      <c r="E3998" s="3">
        <v>-1534.381</v>
      </c>
      <c r="F3998" s="4" t="str">
        <f>HYPERLINK("http://141.218.60.56/~jnz1568/getInfo.php?workbook=10_05.xlsx&amp;sheet=A0&amp;row=3998&amp;col=6&amp;number=387000000&amp;sourceID=14","387000000")</f>
        <v>387000000</v>
      </c>
      <c r="G3998" s="4" t="str">
        <f>HYPERLINK("http://141.218.60.56/~jnz1568/getInfo.php?workbook=10_05.xlsx&amp;sheet=A0&amp;row=3998&amp;col=7&amp;number=0&amp;sourceID=14","0")</f>
        <v>0</v>
      </c>
    </row>
    <row r="3999" spans="1:7">
      <c r="A3999" s="3">
        <v>10</v>
      </c>
      <c r="B3999" s="3">
        <v>5</v>
      </c>
      <c r="C3999" s="3">
        <v>134</v>
      </c>
      <c r="D3999" s="3">
        <v>81</v>
      </c>
      <c r="E3999" s="3">
        <v>-1435.732</v>
      </c>
      <c r="F3999" s="4" t="str">
        <f>HYPERLINK("http://141.218.60.56/~jnz1568/getInfo.php?workbook=10_05.xlsx&amp;sheet=A0&amp;row=3999&amp;col=6&amp;number=4830&amp;sourceID=14","4830")</f>
        <v>4830</v>
      </c>
      <c r="G3999" s="4" t="str">
        <f>HYPERLINK("http://141.218.60.56/~jnz1568/getInfo.php?workbook=10_05.xlsx&amp;sheet=A0&amp;row=3999&amp;col=7&amp;number=0&amp;sourceID=14","0")</f>
        <v>0</v>
      </c>
    </row>
    <row r="4000" spans="1:7">
      <c r="A4000" s="3">
        <v>10</v>
      </c>
      <c r="B4000" s="3">
        <v>5</v>
      </c>
      <c r="C4000" s="3">
        <v>135</v>
      </c>
      <c r="D4000" s="3">
        <v>81</v>
      </c>
      <c r="E4000" s="3">
        <v>-1430.782</v>
      </c>
      <c r="F4000" s="4" t="str">
        <f>HYPERLINK("http://141.218.60.56/~jnz1568/getInfo.php?workbook=10_05.xlsx&amp;sheet=A0&amp;row=4000&amp;col=6&amp;number=34200&amp;sourceID=14","34200")</f>
        <v>34200</v>
      </c>
      <c r="G4000" s="4" t="str">
        <f>HYPERLINK("http://141.218.60.56/~jnz1568/getInfo.php?workbook=10_05.xlsx&amp;sheet=A0&amp;row=4000&amp;col=7&amp;number=0&amp;sourceID=14","0")</f>
        <v>0</v>
      </c>
    </row>
    <row r="4001" spans="1:7">
      <c r="A4001" s="3">
        <v>10</v>
      </c>
      <c r="B4001" s="3">
        <v>5</v>
      </c>
      <c r="C4001" s="3">
        <v>136</v>
      </c>
      <c r="D4001" s="3">
        <v>81</v>
      </c>
      <c r="E4001" s="3">
        <v>-1423.409</v>
      </c>
      <c r="F4001" s="4" t="str">
        <f>HYPERLINK("http://141.218.60.56/~jnz1568/getInfo.php?workbook=10_05.xlsx&amp;sheet=A0&amp;row=4001&amp;col=6&amp;number=41200&amp;sourceID=14","41200")</f>
        <v>41200</v>
      </c>
      <c r="G4001" s="4" t="str">
        <f>HYPERLINK("http://141.218.60.56/~jnz1568/getInfo.php?workbook=10_05.xlsx&amp;sheet=A0&amp;row=4001&amp;col=7&amp;number=0&amp;sourceID=14","0")</f>
        <v>0</v>
      </c>
    </row>
    <row r="4002" spans="1:7">
      <c r="A4002" s="3">
        <v>10</v>
      </c>
      <c r="B4002" s="3">
        <v>5</v>
      </c>
      <c r="C4002" s="3">
        <v>142</v>
      </c>
      <c r="D4002" s="3">
        <v>81</v>
      </c>
      <c r="E4002" s="3">
        <v>1343.727</v>
      </c>
      <c r="F4002" s="4" t="str">
        <f>HYPERLINK("http://141.218.60.56/~jnz1568/getInfo.php?workbook=10_05.xlsx&amp;sheet=A0&amp;row=4002&amp;col=6&amp;number=94200&amp;sourceID=14","94200")</f>
        <v>94200</v>
      </c>
      <c r="G4002" s="4" t="str">
        <f>HYPERLINK("http://141.218.60.56/~jnz1568/getInfo.php?workbook=10_05.xlsx&amp;sheet=A0&amp;row=4002&amp;col=7&amp;number=0&amp;sourceID=14","0")</f>
        <v>0</v>
      </c>
    </row>
    <row r="4003" spans="1:7">
      <c r="A4003" s="3">
        <v>10</v>
      </c>
      <c r="B4003" s="3">
        <v>5</v>
      </c>
      <c r="C4003" s="3">
        <v>143</v>
      </c>
      <c r="D4003" s="3">
        <v>81</v>
      </c>
      <c r="E4003" s="3">
        <v>1339.228</v>
      </c>
      <c r="F4003" s="4" t="str">
        <f>HYPERLINK("http://141.218.60.56/~jnz1568/getInfo.php?workbook=10_05.xlsx&amp;sheet=A0&amp;row=4003&amp;col=6&amp;number=202000&amp;sourceID=14","202000")</f>
        <v>202000</v>
      </c>
      <c r="G4003" s="4" t="str">
        <f>HYPERLINK("http://141.218.60.56/~jnz1568/getInfo.php?workbook=10_05.xlsx&amp;sheet=A0&amp;row=4003&amp;col=7&amp;number=0&amp;sourceID=14","0")</f>
        <v>0</v>
      </c>
    </row>
    <row r="4004" spans="1:7">
      <c r="A4004" s="3">
        <v>10</v>
      </c>
      <c r="B4004" s="3">
        <v>5</v>
      </c>
      <c r="C4004" s="3">
        <v>144</v>
      </c>
      <c r="D4004" s="3">
        <v>81</v>
      </c>
      <c r="E4004" s="3">
        <v>1335.651</v>
      </c>
      <c r="F4004" s="4" t="str">
        <f>HYPERLINK("http://141.218.60.56/~jnz1568/getInfo.php?workbook=10_05.xlsx&amp;sheet=A0&amp;row=4004&amp;col=6&amp;number=39400&amp;sourceID=14","39400")</f>
        <v>39400</v>
      </c>
      <c r="G4004" s="4" t="str">
        <f>HYPERLINK("http://141.218.60.56/~jnz1568/getInfo.php?workbook=10_05.xlsx&amp;sheet=A0&amp;row=4004&amp;col=7&amp;number=0&amp;sourceID=14","0")</f>
        <v>0</v>
      </c>
    </row>
    <row r="4005" spans="1:7">
      <c r="A4005" s="3">
        <v>10</v>
      </c>
      <c r="B4005" s="3">
        <v>5</v>
      </c>
      <c r="C4005" s="3">
        <v>145</v>
      </c>
      <c r="D4005" s="3">
        <v>81</v>
      </c>
      <c r="E4005" s="3">
        <v>1319.612</v>
      </c>
      <c r="F4005" s="4" t="str">
        <f>HYPERLINK("http://141.218.60.56/~jnz1568/getInfo.php?workbook=10_05.xlsx&amp;sheet=A0&amp;row=4005&amp;col=6&amp;number=2170000&amp;sourceID=14","2170000")</f>
        <v>2170000</v>
      </c>
      <c r="G4005" s="4" t="str">
        <f>HYPERLINK("http://141.218.60.56/~jnz1568/getInfo.php?workbook=10_05.xlsx&amp;sheet=A0&amp;row=4005&amp;col=7&amp;number=0&amp;sourceID=14","0")</f>
        <v>0</v>
      </c>
    </row>
    <row r="4006" spans="1:7">
      <c r="A4006" s="3">
        <v>10</v>
      </c>
      <c r="B4006" s="3">
        <v>5</v>
      </c>
      <c r="C4006" s="3">
        <v>146</v>
      </c>
      <c r="D4006" s="3">
        <v>81</v>
      </c>
      <c r="E4006" s="3">
        <v>1319.612</v>
      </c>
      <c r="F4006" s="4" t="str">
        <f>HYPERLINK("http://141.218.60.56/~jnz1568/getInfo.php?workbook=10_05.xlsx&amp;sheet=A0&amp;row=4006&amp;col=6&amp;number=18600000&amp;sourceID=14","18600000")</f>
        <v>18600000</v>
      </c>
      <c r="G4006" s="4" t="str">
        <f>HYPERLINK("http://141.218.60.56/~jnz1568/getInfo.php?workbook=10_05.xlsx&amp;sheet=A0&amp;row=4006&amp;col=7&amp;number=0&amp;sourceID=14","0")</f>
        <v>0</v>
      </c>
    </row>
    <row r="4007" spans="1:7">
      <c r="A4007" s="3">
        <v>10</v>
      </c>
      <c r="B4007" s="3">
        <v>5</v>
      </c>
      <c r="C4007" s="3">
        <v>147</v>
      </c>
      <c r="D4007" s="3">
        <v>81</v>
      </c>
      <c r="E4007" s="3">
        <v>1309.417</v>
      </c>
      <c r="F4007" s="4" t="str">
        <f>HYPERLINK("http://141.218.60.56/~jnz1568/getInfo.php?workbook=10_05.xlsx&amp;sheet=A0&amp;row=4007&amp;col=6&amp;number=2220000&amp;sourceID=14","2220000")</f>
        <v>2220000</v>
      </c>
      <c r="G4007" s="4" t="str">
        <f>HYPERLINK("http://141.218.60.56/~jnz1568/getInfo.php?workbook=10_05.xlsx&amp;sheet=A0&amp;row=4007&amp;col=7&amp;number=0&amp;sourceID=14","0")</f>
        <v>0</v>
      </c>
    </row>
    <row r="4008" spans="1:7">
      <c r="A4008" s="3">
        <v>10</v>
      </c>
      <c r="B4008" s="3">
        <v>5</v>
      </c>
      <c r="C4008" s="3">
        <v>148</v>
      </c>
      <c r="D4008" s="3">
        <v>81</v>
      </c>
      <c r="E4008" s="3">
        <v>1307.705</v>
      </c>
      <c r="F4008" s="4" t="str">
        <f>HYPERLINK("http://141.218.60.56/~jnz1568/getInfo.php?workbook=10_05.xlsx&amp;sheet=A0&amp;row=4008&amp;col=6&amp;number=703000&amp;sourceID=14","703000")</f>
        <v>703000</v>
      </c>
      <c r="G4008" s="4" t="str">
        <f>HYPERLINK("http://141.218.60.56/~jnz1568/getInfo.php?workbook=10_05.xlsx&amp;sheet=A0&amp;row=4008&amp;col=7&amp;number=0&amp;sourceID=14","0")</f>
        <v>0</v>
      </c>
    </row>
    <row r="4009" spans="1:7">
      <c r="A4009" s="3">
        <v>10</v>
      </c>
      <c r="B4009" s="3">
        <v>5</v>
      </c>
      <c r="C4009" s="3">
        <v>152</v>
      </c>
      <c r="D4009" s="3">
        <v>81</v>
      </c>
      <c r="E4009" s="3">
        <v>1220.556</v>
      </c>
      <c r="F4009" s="4" t="str">
        <f>HYPERLINK("http://141.218.60.56/~jnz1568/getInfo.php?workbook=10_05.xlsx&amp;sheet=A0&amp;row=4009&amp;col=6&amp;number=9520000&amp;sourceID=14","9520000")</f>
        <v>9520000</v>
      </c>
      <c r="G4009" s="4" t="str">
        <f>HYPERLINK("http://141.218.60.56/~jnz1568/getInfo.php?workbook=10_05.xlsx&amp;sheet=A0&amp;row=4009&amp;col=7&amp;number=0&amp;sourceID=14","0")</f>
        <v>0</v>
      </c>
    </row>
    <row r="4010" spans="1:7">
      <c r="A4010" s="3">
        <v>10</v>
      </c>
      <c r="B4010" s="3">
        <v>5</v>
      </c>
      <c r="C4010" s="3">
        <v>153</v>
      </c>
      <c r="D4010" s="3">
        <v>81</v>
      </c>
      <c r="E4010" s="3">
        <v>1208.754</v>
      </c>
      <c r="F4010" s="4" t="str">
        <f>HYPERLINK("http://141.218.60.56/~jnz1568/getInfo.php?workbook=10_05.xlsx&amp;sheet=A0&amp;row=4010&amp;col=6&amp;number=124000000&amp;sourceID=14","124000000")</f>
        <v>124000000</v>
      </c>
      <c r="G4010" s="4" t="str">
        <f>HYPERLINK("http://141.218.60.56/~jnz1568/getInfo.php?workbook=10_05.xlsx&amp;sheet=A0&amp;row=4010&amp;col=7&amp;number=0&amp;sourceID=14","0")</f>
        <v>0</v>
      </c>
    </row>
    <row r="4011" spans="1:7">
      <c r="A4011" s="3">
        <v>10</v>
      </c>
      <c r="B4011" s="3">
        <v>5</v>
      </c>
      <c r="C4011" s="3">
        <v>158</v>
      </c>
      <c r="D4011" s="3">
        <v>81</v>
      </c>
      <c r="E4011" s="3">
        <v>-1183.308</v>
      </c>
      <c r="F4011" s="4" t="str">
        <f>HYPERLINK("http://141.218.60.56/~jnz1568/getInfo.php?workbook=10_05.xlsx&amp;sheet=A0&amp;row=4011&amp;col=6&amp;number=1560000&amp;sourceID=14","1560000")</f>
        <v>1560000</v>
      </c>
      <c r="G4011" s="4" t="str">
        <f>HYPERLINK("http://141.218.60.56/~jnz1568/getInfo.php?workbook=10_05.xlsx&amp;sheet=A0&amp;row=4011&amp;col=7&amp;number=0&amp;sourceID=14","0")</f>
        <v>0</v>
      </c>
    </row>
    <row r="4012" spans="1:7">
      <c r="A4012" s="3">
        <v>10</v>
      </c>
      <c r="B4012" s="3">
        <v>5</v>
      </c>
      <c r="C4012" s="3">
        <v>165</v>
      </c>
      <c r="D4012" s="3">
        <v>81</v>
      </c>
      <c r="E4012" s="3">
        <v>-762.197</v>
      </c>
      <c r="F4012" s="4" t="str">
        <f>HYPERLINK("http://141.218.60.56/~jnz1568/getInfo.php?workbook=10_05.xlsx&amp;sheet=A0&amp;row=4012&amp;col=6&amp;number=183000000&amp;sourceID=14","183000000")</f>
        <v>183000000</v>
      </c>
      <c r="G4012" s="4" t="str">
        <f>HYPERLINK("http://141.218.60.56/~jnz1568/getInfo.php?workbook=10_05.xlsx&amp;sheet=A0&amp;row=4012&amp;col=7&amp;number=0&amp;sourceID=14","0")</f>
        <v>0</v>
      </c>
    </row>
    <row r="4013" spans="1:7">
      <c r="A4013" s="3">
        <v>10</v>
      </c>
      <c r="B4013" s="3">
        <v>5</v>
      </c>
      <c r="C4013" s="3">
        <v>167</v>
      </c>
      <c r="D4013" s="3">
        <v>81</v>
      </c>
      <c r="E4013" s="3">
        <v>-631.625</v>
      </c>
      <c r="F4013" s="4" t="str">
        <f>HYPERLINK("http://141.218.60.56/~jnz1568/getInfo.php?workbook=10_05.xlsx&amp;sheet=A0&amp;row=4013&amp;col=6&amp;number=1720000&amp;sourceID=14","1720000")</f>
        <v>1720000</v>
      </c>
      <c r="G4013" s="4" t="str">
        <f>HYPERLINK("http://141.218.60.56/~jnz1568/getInfo.php?workbook=10_05.xlsx&amp;sheet=A0&amp;row=4013&amp;col=7&amp;number=0&amp;sourceID=14","0")</f>
        <v>0</v>
      </c>
    </row>
    <row r="4014" spans="1:7">
      <c r="A4014" s="3">
        <v>10</v>
      </c>
      <c r="B4014" s="3">
        <v>5</v>
      </c>
      <c r="C4014" s="3">
        <v>175</v>
      </c>
      <c r="D4014" s="3">
        <v>81</v>
      </c>
      <c r="E4014" s="3">
        <v>-526.88</v>
      </c>
      <c r="F4014" s="4" t="str">
        <f>HYPERLINK("http://141.218.60.56/~jnz1568/getInfo.php?workbook=10_05.xlsx&amp;sheet=A0&amp;row=4014&amp;col=6&amp;number=281000000&amp;sourceID=14","281000000")</f>
        <v>281000000</v>
      </c>
      <c r="G4014" s="4" t="str">
        <f>HYPERLINK("http://141.218.60.56/~jnz1568/getInfo.php?workbook=10_05.xlsx&amp;sheet=A0&amp;row=4014&amp;col=7&amp;number=0&amp;sourceID=14","0")</f>
        <v>0</v>
      </c>
    </row>
    <row r="4015" spans="1:7">
      <c r="A4015" s="3">
        <v>10</v>
      </c>
      <c r="B4015" s="3">
        <v>5</v>
      </c>
      <c r="C4015" s="3">
        <v>176</v>
      </c>
      <c r="D4015" s="3">
        <v>81</v>
      </c>
      <c r="E4015" s="3">
        <v>-526.877</v>
      </c>
      <c r="F4015" s="4" t="str">
        <f>HYPERLINK("http://141.218.60.56/~jnz1568/getInfo.php?workbook=10_05.xlsx&amp;sheet=A0&amp;row=4015&amp;col=6&amp;number=19000000&amp;sourceID=14","19000000")</f>
        <v>19000000</v>
      </c>
      <c r="G4015" s="4" t="str">
        <f>HYPERLINK("http://141.218.60.56/~jnz1568/getInfo.php?workbook=10_05.xlsx&amp;sheet=A0&amp;row=4015&amp;col=7&amp;number=0&amp;sourceID=14","0")</f>
        <v>0</v>
      </c>
    </row>
    <row r="4016" spans="1:7">
      <c r="A4016" s="3">
        <v>10</v>
      </c>
      <c r="B4016" s="3">
        <v>5</v>
      </c>
      <c r="C4016" s="3">
        <v>177</v>
      </c>
      <c r="D4016" s="3">
        <v>81</v>
      </c>
      <c r="E4016" s="3">
        <v>-524.415</v>
      </c>
      <c r="F4016" s="4" t="str">
        <f>HYPERLINK("http://141.218.60.56/~jnz1568/getInfo.php?workbook=10_05.xlsx&amp;sheet=A0&amp;row=4016&amp;col=6&amp;number=8850000&amp;sourceID=14","8850000")</f>
        <v>8850000</v>
      </c>
      <c r="G4016" s="4" t="str">
        <f>HYPERLINK("http://141.218.60.56/~jnz1568/getInfo.php?workbook=10_05.xlsx&amp;sheet=A0&amp;row=4016&amp;col=7&amp;number=0&amp;sourceID=14","0")</f>
        <v>0</v>
      </c>
    </row>
    <row r="4017" spans="1:7">
      <c r="A4017" s="3">
        <v>10</v>
      </c>
      <c r="B4017" s="3">
        <v>5</v>
      </c>
      <c r="C4017" s="3">
        <v>178</v>
      </c>
      <c r="D4017" s="3">
        <v>81</v>
      </c>
      <c r="E4017" s="3">
        <v>-524.294</v>
      </c>
      <c r="F4017" s="4" t="str">
        <f>HYPERLINK("http://141.218.60.56/~jnz1568/getInfo.php?workbook=10_05.xlsx&amp;sheet=A0&amp;row=4017&amp;col=6&amp;number=83100000&amp;sourceID=14","83100000")</f>
        <v>83100000</v>
      </c>
      <c r="G4017" s="4" t="str">
        <f>HYPERLINK("http://141.218.60.56/~jnz1568/getInfo.php?workbook=10_05.xlsx&amp;sheet=A0&amp;row=4017&amp;col=7&amp;number=0&amp;sourceID=14","0")</f>
        <v>0</v>
      </c>
    </row>
    <row r="4018" spans="1:7">
      <c r="A4018" s="3">
        <v>10</v>
      </c>
      <c r="B4018" s="3">
        <v>5</v>
      </c>
      <c r="C4018" s="3">
        <v>180</v>
      </c>
      <c r="D4018" s="3">
        <v>81</v>
      </c>
      <c r="E4018" s="3">
        <v>-513.293</v>
      </c>
      <c r="F4018" s="4" t="str">
        <f>HYPERLINK("http://141.218.60.56/~jnz1568/getInfo.php?workbook=10_05.xlsx&amp;sheet=A0&amp;row=4018&amp;col=6&amp;number=4490000&amp;sourceID=14","4490000")</f>
        <v>4490000</v>
      </c>
      <c r="G4018" s="4" t="str">
        <f>HYPERLINK("http://141.218.60.56/~jnz1568/getInfo.php?workbook=10_05.xlsx&amp;sheet=A0&amp;row=4018&amp;col=7&amp;number=0&amp;sourceID=14","0")</f>
        <v>0</v>
      </c>
    </row>
    <row r="4019" spans="1:7">
      <c r="A4019" s="3">
        <v>10</v>
      </c>
      <c r="B4019" s="3">
        <v>5</v>
      </c>
      <c r="C4019" s="3">
        <v>99</v>
      </c>
      <c r="D4019" s="3">
        <v>82</v>
      </c>
      <c r="E4019" s="3">
        <v>-2608.451</v>
      </c>
      <c r="F4019" s="4" t="str">
        <f>HYPERLINK("http://141.218.60.56/~jnz1568/getInfo.php?workbook=10_05.xlsx&amp;sheet=A0&amp;row=4019&amp;col=6&amp;number=87200000&amp;sourceID=14","87200000")</f>
        <v>87200000</v>
      </c>
      <c r="G4019" s="4" t="str">
        <f>HYPERLINK("http://141.218.60.56/~jnz1568/getInfo.php?workbook=10_05.xlsx&amp;sheet=A0&amp;row=4019&amp;col=7&amp;number=0&amp;sourceID=14","0")</f>
        <v>0</v>
      </c>
    </row>
    <row r="4020" spans="1:7">
      <c r="A4020" s="3">
        <v>10</v>
      </c>
      <c r="B4020" s="3">
        <v>5</v>
      </c>
      <c r="C4020" s="3">
        <v>105</v>
      </c>
      <c r="D4020" s="3">
        <v>82</v>
      </c>
      <c r="E4020" s="3">
        <v>-2256.525</v>
      </c>
      <c r="F4020" s="4" t="str">
        <f>HYPERLINK("http://141.218.60.56/~jnz1568/getInfo.php?workbook=10_05.xlsx&amp;sheet=A0&amp;row=4020&amp;col=6&amp;number=19700000&amp;sourceID=14","19700000")</f>
        <v>19700000</v>
      </c>
      <c r="G4020" s="4" t="str">
        <f>HYPERLINK("http://141.218.60.56/~jnz1568/getInfo.php?workbook=10_05.xlsx&amp;sheet=A0&amp;row=4020&amp;col=7&amp;number=0&amp;sourceID=14","0")</f>
        <v>0</v>
      </c>
    </row>
    <row r="4021" spans="1:7">
      <c r="A4021" s="3">
        <v>10</v>
      </c>
      <c r="B4021" s="3">
        <v>5</v>
      </c>
      <c r="C4021" s="3">
        <v>106</v>
      </c>
      <c r="D4021" s="3">
        <v>82</v>
      </c>
      <c r="E4021" s="3">
        <v>-2250.179</v>
      </c>
      <c r="F4021" s="4" t="str">
        <f>HYPERLINK("http://141.218.60.56/~jnz1568/getInfo.php?workbook=10_05.xlsx&amp;sheet=A0&amp;row=4021&amp;col=6&amp;number=9570000&amp;sourceID=14","9570000")</f>
        <v>9570000</v>
      </c>
      <c r="G4021" s="4" t="str">
        <f>HYPERLINK("http://141.218.60.56/~jnz1568/getInfo.php?workbook=10_05.xlsx&amp;sheet=A0&amp;row=4021&amp;col=7&amp;number=0&amp;sourceID=14","0")</f>
        <v>0</v>
      </c>
    </row>
    <row r="4022" spans="1:7">
      <c r="A4022" s="3">
        <v>10</v>
      </c>
      <c r="B4022" s="3">
        <v>5</v>
      </c>
      <c r="C4022" s="3">
        <v>109</v>
      </c>
      <c r="D4022" s="3">
        <v>82</v>
      </c>
      <c r="E4022" s="3">
        <v>-2201.532</v>
      </c>
      <c r="F4022" s="4" t="str">
        <f>HYPERLINK("http://141.218.60.56/~jnz1568/getInfo.php?workbook=10_05.xlsx&amp;sheet=A0&amp;row=4022&amp;col=6&amp;number=836000&amp;sourceID=14","836000")</f>
        <v>836000</v>
      </c>
      <c r="G4022" s="4" t="str">
        <f>HYPERLINK("http://141.218.60.56/~jnz1568/getInfo.php?workbook=10_05.xlsx&amp;sheet=A0&amp;row=4022&amp;col=7&amp;number=0&amp;sourceID=14","0")</f>
        <v>0</v>
      </c>
    </row>
    <row r="4023" spans="1:7">
      <c r="A4023" s="3">
        <v>10</v>
      </c>
      <c r="B4023" s="3">
        <v>5</v>
      </c>
      <c r="C4023" s="3">
        <v>111</v>
      </c>
      <c r="D4023" s="3">
        <v>82</v>
      </c>
      <c r="E4023" s="3">
        <v>-2172.925</v>
      </c>
      <c r="F4023" s="4" t="str">
        <f>HYPERLINK("http://141.218.60.56/~jnz1568/getInfo.php?workbook=10_05.xlsx&amp;sheet=A0&amp;row=4023&amp;col=6&amp;number=763000&amp;sourceID=14","763000")</f>
        <v>763000</v>
      </c>
      <c r="G4023" s="4" t="str">
        <f>HYPERLINK("http://141.218.60.56/~jnz1568/getInfo.php?workbook=10_05.xlsx&amp;sheet=A0&amp;row=4023&amp;col=7&amp;number=0&amp;sourceID=14","0")</f>
        <v>0</v>
      </c>
    </row>
    <row r="4024" spans="1:7">
      <c r="A4024" s="3">
        <v>10</v>
      </c>
      <c r="B4024" s="3">
        <v>5</v>
      </c>
      <c r="C4024" s="3">
        <v>118</v>
      </c>
      <c r="D4024" s="3">
        <v>82</v>
      </c>
      <c r="E4024" s="3">
        <v>-1848.501</v>
      </c>
      <c r="F4024" s="4" t="str">
        <f>HYPERLINK("http://141.218.60.56/~jnz1568/getInfo.php?workbook=10_05.xlsx&amp;sheet=A0&amp;row=4024&amp;col=6&amp;number=25700&amp;sourceID=14","25700")</f>
        <v>25700</v>
      </c>
      <c r="G4024" s="4" t="str">
        <f>HYPERLINK("http://141.218.60.56/~jnz1568/getInfo.php?workbook=10_05.xlsx&amp;sheet=A0&amp;row=4024&amp;col=7&amp;number=0&amp;sourceID=14","0")</f>
        <v>0</v>
      </c>
    </row>
    <row r="4025" spans="1:7">
      <c r="A4025" s="3">
        <v>10</v>
      </c>
      <c r="B4025" s="3">
        <v>5</v>
      </c>
      <c r="C4025" s="3">
        <v>119</v>
      </c>
      <c r="D4025" s="3">
        <v>82</v>
      </c>
      <c r="E4025" s="3">
        <v>-1846.794</v>
      </c>
      <c r="F4025" s="4" t="str">
        <f>HYPERLINK("http://141.218.60.56/~jnz1568/getInfo.php?workbook=10_05.xlsx&amp;sheet=A0&amp;row=4025&amp;col=6&amp;number=956000&amp;sourceID=14","956000")</f>
        <v>956000</v>
      </c>
      <c r="G4025" s="4" t="str">
        <f>HYPERLINK("http://141.218.60.56/~jnz1568/getInfo.php?workbook=10_05.xlsx&amp;sheet=A0&amp;row=4025&amp;col=7&amp;number=0&amp;sourceID=14","0")</f>
        <v>0</v>
      </c>
    </row>
    <row r="4026" spans="1:7">
      <c r="A4026" s="3">
        <v>10</v>
      </c>
      <c r="B4026" s="3">
        <v>5</v>
      </c>
      <c r="C4026" s="3">
        <v>120</v>
      </c>
      <c r="D4026" s="3">
        <v>82</v>
      </c>
      <c r="E4026" s="3">
        <v>-1744.93</v>
      </c>
      <c r="F4026" s="4" t="str">
        <f>HYPERLINK("http://141.218.60.56/~jnz1568/getInfo.php?workbook=10_05.xlsx&amp;sheet=A0&amp;row=4026&amp;col=6&amp;number=9390000&amp;sourceID=14","9390000")</f>
        <v>9390000</v>
      </c>
      <c r="G4026" s="4" t="str">
        <f>HYPERLINK("http://141.218.60.56/~jnz1568/getInfo.php?workbook=10_05.xlsx&amp;sheet=A0&amp;row=4026&amp;col=7&amp;number=0&amp;sourceID=14","0")</f>
        <v>0</v>
      </c>
    </row>
    <row r="4027" spans="1:7">
      <c r="A4027" s="3">
        <v>10</v>
      </c>
      <c r="B4027" s="3">
        <v>5</v>
      </c>
      <c r="C4027" s="3">
        <v>121</v>
      </c>
      <c r="D4027" s="3">
        <v>82</v>
      </c>
      <c r="E4027" s="3">
        <v>-1738.136</v>
      </c>
      <c r="F4027" s="4" t="str">
        <f>HYPERLINK("http://141.218.60.56/~jnz1568/getInfo.php?workbook=10_05.xlsx&amp;sheet=A0&amp;row=4027&amp;col=6&amp;number=4620000&amp;sourceID=14","4620000")</f>
        <v>4620000</v>
      </c>
      <c r="G4027" s="4" t="str">
        <f>HYPERLINK("http://141.218.60.56/~jnz1568/getInfo.php?workbook=10_05.xlsx&amp;sheet=A0&amp;row=4027&amp;col=7&amp;number=0&amp;sourceID=14","0")</f>
        <v>0</v>
      </c>
    </row>
    <row r="4028" spans="1:7">
      <c r="A4028" s="3">
        <v>10</v>
      </c>
      <c r="B4028" s="3">
        <v>5</v>
      </c>
      <c r="C4028" s="3">
        <v>123</v>
      </c>
      <c r="D4028" s="3">
        <v>82</v>
      </c>
      <c r="E4028" s="3">
        <v>-1718.305</v>
      </c>
      <c r="F4028" s="4" t="str">
        <f>HYPERLINK("http://141.218.60.56/~jnz1568/getInfo.php?workbook=10_05.xlsx&amp;sheet=A0&amp;row=4028&amp;col=6&amp;number=25&amp;sourceID=14","25")</f>
        <v>25</v>
      </c>
      <c r="G4028" s="4" t="str">
        <f>HYPERLINK("http://141.218.60.56/~jnz1568/getInfo.php?workbook=10_05.xlsx&amp;sheet=A0&amp;row=4028&amp;col=7&amp;number=0&amp;sourceID=14","0")</f>
        <v>0</v>
      </c>
    </row>
    <row r="4029" spans="1:7">
      <c r="A4029" s="3">
        <v>10</v>
      </c>
      <c r="B4029" s="3">
        <v>5</v>
      </c>
      <c r="C4029" s="3">
        <v>125</v>
      </c>
      <c r="D4029" s="3">
        <v>82</v>
      </c>
      <c r="E4029" s="3">
        <v>-1685.463</v>
      </c>
      <c r="F4029" s="4" t="str">
        <f>HYPERLINK("http://141.218.60.56/~jnz1568/getInfo.php?workbook=10_05.xlsx&amp;sheet=A0&amp;row=4029&amp;col=6&amp;number=253000&amp;sourceID=14","253000")</f>
        <v>253000</v>
      </c>
      <c r="G4029" s="4" t="str">
        <f>HYPERLINK("http://141.218.60.56/~jnz1568/getInfo.php?workbook=10_05.xlsx&amp;sheet=A0&amp;row=4029&amp;col=7&amp;number=0&amp;sourceID=14","0")</f>
        <v>0</v>
      </c>
    </row>
    <row r="4030" spans="1:7">
      <c r="A4030" s="3">
        <v>10</v>
      </c>
      <c r="B4030" s="3">
        <v>5</v>
      </c>
      <c r="C4030" s="3">
        <v>126</v>
      </c>
      <c r="D4030" s="3">
        <v>82</v>
      </c>
      <c r="E4030" s="3">
        <v>-1677.687</v>
      </c>
      <c r="F4030" s="4" t="str">
        <f>HYPERLINK("http://141.218.60.56/~jnz1568/getInfo.php?workbook=10_05.xlsx&amp;sheet=A0&amp;row=4030&amp;col=6&amp;number=69000&amp;sourceID=14","69000")</f>
        <v>69000</v>
      </c>
      <c r="G4030" s="4" t="str">
        <f>HYPERLINK("http://141.218.60.56/~jnz1568/getInfo.php?workbook=10_05.xlsx&amp;sheet=A0&amp;row=4030&amp;col=7&amp;number=0&amp;sourceID=14","0")</f>
        <v>0</v>
      </c>
    </row>
    <row r="4031" spans="1:7">
      <c r="A4031" s="3">
        <v>10</v>
      </c>
      <c r="B4031" s="3">
        <v>5</v>
      </c>
      <c r="C4031" s="3">
        <v>129</v>
      </c>
      <c r="D4031" s="3">
        <v>82</v>
      </c>
      <c r="E4031" s="3">
        <v>1623.643</v>
      </c>
      <c r="F4031" s="4" t="str">
        <f>HYPERLINK("http://141.218.60.56/~jnz1568/getInfo.php?workbook=10_05.xlsx&amp;sheet=A0&amp;row=4031&amp;col=6&amp;number=12300&amp;sourceID=14","12300")</f>
        <v>12300</v>
      </c>
      <c r="G4031" s="4" t="str">
        <f>HYPERLINK("http://141.218.60.56/~jnz1568/getInfo.php?workbook=10_05.xlsx&amp;sheet=A0&amp;row=4031&amp;col=7&amp;number=0&amp;sourceID=14","0")</f>
        <v>0</v>
      </c>
    </row>
    <row r="4032" spans="1:7">
      <c r="A4032" s="3">
        <v>10</v>
      </c>
      <c r="B4032" s="3">
        <v>5</v>
      </c>
      <c r="C4032" s="3">
        <v>131</v>
      </c>
      <c r="D4032" s="3">
        <v>82</v>
      </c>
      <c r="E4032" s="3">
        <v>-1588.237</v>
      </c>
      <c r="F4032" s="4" t="str">
        <f>HYPERLINK("http://141.218.60.56/~jnz1568/getInfo.php?workbook=10_05.xlsx&amp;sheet=A0&amp;row=4032&amp;col=6&amp;number=59800&amp;sourceID=14","59800")</f>
        <v>59800</v>
      </c>
      <c r="G4032" s="4" t="str">
        <f>HYPERLINK("http://141.218.60.56/~jnz1568/getInfo.php?workbook=10_05.xlsx&amp;sheet=A0&amp;row=4032&amp;col=7&amp;number=0&amp;sourceID=14","0")</f>
        <v>0</v>
      </c>
    </row>
    <row r="4033" spans="1:7">
      <c r="A4033" s="3">
        <v>10</v>
      </c>
      <c r="B4033" s="3">
        <v>5</v>
      </c>
      <c r="C4033" s="3">
        <v>132</v>
      </c>
      <c r="D4033" s="3">
        <v>82</v>
      </c>
      <c r="E4033" s="3">
        <v>-1584.538</v>
      </c>
      <c r="F4033" s="4" t="str">
        <f>HYPERLINK("http://141.218.60.56/~jnz1568/getInfo.php?workbook=10_05.xlsx&amp;sheet=A0&amp;row=4033&amp;col=6&amp;number=259&amp;sourceID=14","259")</f>
        <v>259</v>
      </c>
      <c r="G4033" s="4" t="str">
        <f>HYPERLINK("http://141.218.60.56/~jnz1568/getInfo.php?workbook=10_05.xlsx&amp;sheet=A0&amp;row=4033&amp;col=7&amp;number=0&amp;sourceID=14","0")</f>
        <v>0</v>
      </c>
    </row>
    <row r="4034" spans="1:7">
      <c r="A4034" s="3">
        <v>10</v>
      </c>
      <c r="B4034" s="3">
        <v>5</v>
      </c>
      <c r="C4034" s="3">
        <v>140</v>
      </c>
      <c r="D4034" s="3">
        <v>82</v>
      </c>
      <c r="E4034" s="3">
        <v>-1467.225</v>
      </c>
      <c r="F4034" s="4" t="str">
        <f>HYPERLINK("http://141.218.60.56/~jnz1568/getInfo.php?workbook=10_05.xlsx&amp;sheet=A0&amp;row=4034&amp;col=6&amp;number=12500&amp;sourceID=14","12500")</f>
        <v>12500</v>
      </c>
      <c r="G4034" s="4" t="str">
        <f>HYPERLINK("http://141.218.60.56/~jnz1568/getInfo.php?workbook=10_05.xlsx&amp;sheet=A0&amp;row=4034&amp;col=7&amp;number=0&amp;sourceID=14","0")</f>
        <v>0</v>
      </c>
    </row>
    <row r="4035" spans="1:7">
      <c r="A4035" s="3">
        <v>10</v>
      </c>
      <c r="B4035" s="3">
        <v>5</v>
      </c>
      <c r="C4035" s="3">
        <v>150</v>
      </c>
      <c r="D4035" s="3">
        <v>82</v>
      </c>
      <c r="E4035" s="3">
        <v>-1331.684</v>
      </c>
      <c r="F4035" s="4" t="str">
        <f>HYPERLINK("http://141.218.60.56/~jnz1568/getInfo.php?workbook=10_05.xlsx&amp;sheet=A0&amp;row=4035&amp;col=6&amp;number=7780&amp;sourceID=14","7780")</f>
        <v>7780</v>
      </c>
      <c r="G4035" s="4" t="str">
        <f>HYPERLINK("http://141.218.60.56/~jnz1568/getInfo.php?workbook=10_05.xlsx&amp;sheet=A0&amp;row=4035&amp;col=7&amp;number=0&amp;sourceID=14","0")</f>
        <v>0</v>
      </c>
    </row>
    <row r="4036" spans="1:7">
      <c r="A4036" s="3">
        <v>10</v>
      </c>
      <c r="B4036" s="3">
        <v>5</v>
      </c>
      <c r="C4036" s="3">
        <v>156</v>
      </c>
      <c r="D4036" s="3">
        <v>82</v>
      </c>
      <c r="E4036" s="3">
        <v>-1262.421</v>
      </c>
      <c r="F4036" s="4" t="str">
        <f>HYPERLINK("http://141.218.60.56/~jnz1568/getInfo.php?workbook=10_05.xlsx&amp;sheet=A0&amp;row=4036&amp;col=6&amp;number=18300&amp;sourceID=14","18300")</f>
        <v>18300</v>
      </c>
      <c r="G4036" s="4" t="str">
        <f>HYPERLINK("http://141.218.60.56/~jnz1568/getInfo.php?workbook=10_05.xlsx&amp;sheet=A0&amp;row=4036&amp;col=7&amp;number=0&amp;sourceID=14","0")</f>
        <v>0</v>
      </c>
    </row>
    <row r="4037" spans="1:7">
      <c r="A4037" s="3">
        <v>10</v>
      </c>
      <c r="B4037" s="3">
        <v>5</v>
      </c>
      <c r="C4037" s="3">
        <v>160</v>
      </c>
      <c r="D4037" s="3">
        <v>82</v>
      </c>
      <c r="E4037" s="3">
        <v>-1239.805</v>
      </c>
      <c r="F4037" s="4" t="str">
        <f>HYPERLINK("http://141.218.60.56/~jnz1568/getInfo.php?workbook=10_05.xlsx&amp;sheet=A0&amp;row=4037&amp;col=6&amp;number=5010&amp;sourceID=14","5010")</f>
        <v>5010</v>
      </c>
      <c r="G4037" s="4" t="str">
        <f>HYPERLINK("http://141.218.60.56/~jnz1568/getInfo.php?workbook=10_05.xlsx&amp;sheet=A0&amp;row=4037&amp;col=7&amp;number=0&amp;sourceID=14","0")</f>
        <v>0</v>
      </c>
    </row>
    <row r="4038" spans="1:7">
      <c r="A4038" s="3">
        <v>10</v>
      </c>
      <c r="B4038" s="3">
        <v>5</v>
      </c>
      <c r="C4038" s="3">
        <v>161</v>
      </c>
      <c r="D4038" s="3">
        <v>82</v>
      </c>
      <c r="E4038" s="3">
        <v>1247.663</v>
      </c>
      <c r="F4038" s="4" t="str">
        <f>HYPERLINK("http://141.218.60.56/~jnz1568/getInfo.php?workbook=10_05.xlsx&amp;sheet=A0&amp;row=4038&amp;col=6&amp;number=115000&amp;sourceID=14","115000")</f>
        <v>115000</v>
      </c>
      <c r="G4038" s="4" t="str">
        <f>HYPERLINK("http://141.218.60.56/~jnz1568/getInfo.php?workbook=10_05.xlsx&amp;sheet=A0&amp;row=4038&amp;col=7&amp;number=0&amp;sourceID=14","0")</f>
        <v>0</v>
      </c>
    </row>
    <row r="4039" spans="1:7">
      <c r="A4039" s="3">
        <v>10</v>
      </c>
      <c r="B4039" s="3">
        <v>5</v>
      </c>
      <c r="C4039" s="3">
        <v>162</v>
      </c>
      <c r="D4039" s="3">
        <v>82</v>
      </c>
      <c r="E4039" s="3">
        <v>1243.01</v>
      </c>
      <c r="F4039" s="4" t="str">
        <f>HYPERLINK("http://141.218.60.56/~jnz1568/getInfo.php?workbook=10_05.xlsx&amp;sheet=A0&amp;row=4039&amp;col=6&amp;number=41900&amp;sourceID=14","41900")</f>
        <v>41900</v>
      </c>
      <c r="G4039" s="4" t="str">
        <f>HYPERLINK("http://141.218.60.56/~jnz1568/getInfo.php?workbook=10_05.xlsx&amp;sheet=A0&amp;row=4039&amp;col=7&amp;number=0&amp;sourceID=14","0")</f>
        <v>0</v>
      </c>
    </row>
    <row r="4040" spans="1:7">
      <c r="A4040" s="3">
        <v>10</v>
      </c>
      <c r="B4040" s="3">
        <v>5</v>
      </c>
      <c r="C4040" s="3">
        <v>163</v>
      </c>
      <c r="D4040" s="3">
        <v>82</v>
      </c>
      <c r="E4040" s="3">
        <v>-1054.587</v>
      </c>
      <c r="F4040" s="4" t="str">
        <f>HYPERLINK("http://141.218.60.56/~jnz1568/getInfo.php?workbook=10_05.xlsx&amp;sheet=A0&amp;row=4040&amp;col=6&amp;number=13600&amp;sourceID=14","13600")</f>
        <v>13600</v>
      </c>
      <c r="G4040" s="4" t="str">
        <f>HYPERLINK("http://141.218.60.56/~jnz1568/getInfo.php?workbook=10_05.xlsx&amp;sheet=A0&amp;row=4040&amp;col=7&amp;number=0&amp;sourceID=14","0")</f>
        <v>0</v>
      </c>
    </row>
    <row r="4041" spans="1:7">
      <c r="A4041" s="3">
        <v>10</v>
      </c>
      <c r="B4041" s="3">
        <v>5</v>
      </c>
      <c r="C4041" s="3">
        <v>169</v>
      </c>
      <c r="D4041" s="3">
        <v>82</v>
      </c>
      <c r="E4041" s="3">
        <v>-619.039</v>
      </c>
      <c r="F4041" s="4" t="str">
        <f>HYPERLINK("http://141.218.60.56/~jnz1568/getInfo.php?workbook=10_05.xlsx&amp;sheet=A0&amp;row=4041&amp;col=6&amp;number=32800&amp;sourceID=14","32800")</f>
        <v>32800</v>
      </c>
      <c r="G4041" s="4" t="str">
        <f>HYPERLINK("http://141.218.60.56/~jnz1568/getInfo.php?workbook=10_05.xlsx&amp;sheet=A0&amp;row=4041&amp;col=7&amp;number=0&amp;sourceID=14","0")</f>
        <v>0</v>
      </c>
    </row>
    <row r="4042" spans="1:7">
      <c r="A4042" s="3">
        <v>10</v>
      </c>
      <c r="B4042" s="3">
        <v>5</v>
      </c>
      <c r="C4042" s="3">
        <v>170</v>
      </c>
      <c r="D4042" s="3">
        <v>82</v>
      </c>
      <c r="E4042" s="3">
        <v>-585.098</v>
      </c>
      <c r="F4042" s="4" t="str">
        <f>HYPERLINK("http://141.218.60.56/~jnz1568/getInfo.php?workbook=10_05.xlsx&amp;sheet=A0&amp;row=4042&amp;col=6&amp;number=6290&amp;sourceID=14","6290")</f>
        <v>6290</v>
      </c>
      <c r="G4042" s="4" t="str">
        <f>HYPERLINK("http://141.218.60.56/~jnz1568/getInfo.php?workbook=10_05.xlsx&amp;sheet=A0&amp;row=4042&amp;col=7&amp;number=0&amp;sourceID=14","0")</f>
        <v>0</v>
      </c>
    </row>
    <row r="4043" spans="1:7">
      <c r="A4043" s="3">
        <v>10</v>
      </c>
      <c r="B4043" s="3">
        <v>5</v>
      </c>
      <c r="C4043" s="3">
        <v>171</v>
      </c>
      <c r="D4043" s="3">
        <v>82</v>
      </c>
      <c r="E4043" s="3">
        <v>-584.772</v>
      </c>
      <c r="F4043" s="4" t="str">
        <f>HYPERLINK("http://141.218.60.56/~jnz1568/getInfo.php?workbook=10_05.xlsx&amp;sheet=A0&amp;row=4043&amp;col=6&amp;number=2000&amp;sourceID=14","2000")</f>
        <v>2000</v>
      </c>
      <c r="G4043" s="4" t="str">
        <f>HYPERLINK("http://141.218.60.56/~jnz1568/getInfo.php?workbook=10_05.xlsx&amp;sheet=A0&amp;row=4043&amp;col=7&amp;number=0&amp;sourceID=14","0")</f>
        <v>0</v>
      </c>
    </row>
    <row r="4044" spans="1:7">
      <c r="A4044" s="3">
        <v>10</v>
      </c>
      <c r="B4044" s="3">
        <v>5</v>
      </c>
      <c r="C4044" s="3">
        <v>172</v>
      </c>
      <c r="D4044" s="3">
        <v>82</v>
      </c>
      <c r="E4044" s="3">
        <v>-578.179</v>
      </c>
      <c r="F4044" s="4" t="str">
        <f>HYPERLINK("http://141.218.60.56/~jnz1568/getInfo.php?workbook=10_05.xlsx&amp;sheet=A0&amp;row=4044&amp;col=6&amp;number=40000&amp;sourceID=14","40000")</f>
        <v>40000</v>
      </c>
      <c r="G4044" s="4" t="str">
        <f>HYPERLINK("http://141.218.60.56/~jnz1568/getInfo.php?workbook=10_05.xlsx&amp;sheet=A0&amp;row=4044&amp;col=7&amp;number=0&amp;sourceID=14","0")</f>
        <v>0</v>
      </c>
    </row>
    <row r="4045" spans="1:7">
      <c r="A4045" s="3">
        <v>10</v>
      </c>
      <c r="B4045" s="3">
        <v>5</v>
      </c>
      <c r="C4045" s="3">
        <v>174</v>
      </c>
      <c r="D4045" s="3">
        <v>82</v>
      </c>
      <c r="E4045" s="3">
        <v>-571.136</v>
      </c>
      <c r="F4045" s="4" t="str">
        <f>HYPERLINK("http://141.218.60.56/~jnz1568/getInfo.php?workbook=10_05.xlsx&amp;sheet=A0&amp;row=4045&amp;col=6&amp;number=24400&amp;sourceID=14","24400")</f>
        <v>24400</v>
      </c>
      <c r="G4045" s="4" t="str">
        <f>HYPERLINK("http://141.218.60.56/~jnz1568/getInfo.php?workbook=10_05.xlsx&amp;sheet=A0&amp;row=4045&amp;col=7&amp;number=0&amp;sourceID=14","0")</f>
        <v>0</v>
      </c>
    </row>
    <row r="4046" spans="1:7">
      <c r="A4046" s="3">
        <v>10</v>
      </c>
      <c r="B4046" s="3">
        <v>5</v>
      </c>
      <c r="C4046" s="3">
        <v>99</v>
      </c>
      <c r="D4046" s="3">
        <v>83</v>
      </c>
      <c r="E4046" s="3">
        <v>-2627.228</v>
      </c>
      <c r="F4046" s="4" t="str">
        <f>HYPERLINK("http://141.218.60.56/~jnz1568/getInfo.php?workbook=10_05.xlsx&amp;sheet=A0&amp;row=4046&amp;col=6&amp;number=32000000&amp;sourceID=14","32000000")</f>
        <v>32000000</v>
      </c>
      <c r="G4046" s="4" t="str">
        <f>HYPERLINK("http://141.218.60.56/~jnz1568/getInfo.php?workbook=10_05.xlsx&amp;sheet=A0&amp;row=4046&amp;col=7&amp;number=0&amp;sourceID=14","0")</f>
        <v>0</v>
      </c>
    </row>
    <row r="4047" spans="1:7">
      <c r="A4047" s="3">
        <v>10</v>
      </c>
      <c r="B4047" s="3">
        <v>5</v>
      </c>
      <c r="C4047" s="3">
        <v>100</v>
      </c>
      <c r="D4047" s="3">
        <v>83</v>
      </c>
      <c r="E4047" s="3">
        <v>-2609.2</v>
      </c>
      <c r="F4047" s="4" t="str">
        <f>HYPERLINK("http://141.218.60.56/~jnz1568/getInfo.php?workbook=10_05.xlsx&amp;sheet=A0&amp;row=4047&amp;col=6&amp;number=93700000&amp;sourceID=14","93700000")</f>
        <v>93700000</v>
      </c>
      <c r="G4047" s="4" t="str">
        <f>HYPERLINK("http://141.218.60.56/~jnz1568/getInfo.php?workbook=10_05.xlsx&amp;sheet=A0&amp;row=4047&amp;col=7&amp;number=0&amp;sourceID=14","0")</f>
        <v>0</v>
      </c>
    </row>
    <row r="4048" spans="1:7">
      <c r="A4048" s="3">
        <v>10</v>
      </c>
      <c r="B4048" s="3">
        <v>5</v>
      </c>
      <c r="C4048" s="3">
        <v>105</v>
      </c>
      <c r="D4048" s="3">
        <v>83</v>
      </c>
      <c r="E4048" s="3">
        <v>-2270.564</v>
      </c>
      <c r="F4048" s="4" t="str">
        <f>HYPERLINK("http://141.218.60.56/~jnz1568/getInfo.php?workbook=10_05.xlsx&amp;sheet=A0&amp;row=4048&amp;col=6&amp;number=19900000&amp;sourceID=14","19900000")</f>
        <v>19900000</v>
      </c>
      <c r="G4048" s="4" t="str">
        <f>HYPERLINK("http://141.218.60.56/~jnz1568/getInfo.php?workbook=10_05.xlsx&amp;sheet=A0&amp;row=4048&amp;col=7&amp;number=0&amp;sourceID=14","0")</f>
        <v>0</v>
      </c>
    </row>
    <row r="4049" spans="1:7">
      <c r="A4049" s="3">
        <v>10</v>
      </c>
      <c r="B4049" s="3">
        <v>5</v>
      </c>
      <c r="C4049" s="3">
        <v>106</v>
      </c>
      <c r="D4049" s="3">
        <v>83</v>
      </c>
      <c r="E4049" s="3">
        <v>-2264.138</v>
      </c>
      <c r="F4049" s="4" t="str">
        <f>HYPERLINK("http://141.218.60.56/~jnz1568/getInfo.php?workbook=10_05.xlsx&amp;sheet=A0&amp;row=4049&amp;col=6&amp;number=15900000&amp;sourceID=14","15900000")</f>
        <v>15900000</v>
      </c>
      <c r="G4049" s="4" t="str">
        <f>HYPERLINK("http://141.218.60.56/~jnz1568/getInfo.php?workbook=10_05.xlsx&amp;sheet=A0&amp;row=4049&amp;col=7&amp;number=0&amp;sourceID=14","0")</f>
        <v>0</v>
      </c>
    </row>
    <row r="4050" spans="1:7">
      <c r="A4050" s="3">
        <v>10</v>
      </c>
      <c r="B4050" s="3">
        <v>5</v>
      </c>
      <c r="C4050" s="3">
        <v>107</v>
      </c>
      <c r="D4050" s="3">
        <v>83</v>
      </c>
      <c r="E4050" s="3">
        <v>-2249.976</v>
      </c>
      <c r="F4050" s="4" t="str">
        <f>HYPERLINK("http://141.218.60.56/~jnz1568/getInfo.php?workbook=10_05.xlsx&amp;sheet=A0&amp;row=4050&amp;col=6&amp;number=10200000&amp;sourceID=14","10200000")</f>
        <v>10200000</v>
      </c>
      <c r="G4050" s="4" t="str">
        <f>HYPERLINK("http://141.218.60.56/~jnz1568/getInfo.php?workbook=10_05.xlsx&amp;sheet=A0&amp;row=4050&amp;col=7&amp;number=0&amp;sourceID=14","0")</f>
        <v>0</v>
      </c>
    </row>
    <row r="4051" spans="1:7">
      <c r="A4051" s="3">
        <v>10</v>
      </c>
      <c r="B4051" s="3">
        <v>5</v>
      </c>
      <c r="C4051" s="3">
        <v>109</v>
      </c>
      <c r="D4051" s="3">
        <v>83</v>
      </c>
      <c r="E4051" s="3">
        <v>-2214.893</v>
      </c>
      <c r="F4051" s="4" t="str">
        <f>HYPERLINK("http://141.218.60.56/~jnz1568/getInfo.php?workbook=10_05.xlsx&amp;sheet=A0&amp;row=4051&amp;col=6&amp;number=1130000&amp;sourceID=14","1130000")</f>
        <v>1130000</v>
      </c>
      <c r="G4051" s="4" t="str">
        <f>HYPERLINK("http://141.218.60.56/~jnz1568/getInfo.php?workbook=10_05.xlsx&amp;sheet=A0&amp;row=4051&amp;col=7&amp;number=0&amp;sourceID=14","0")</f>
        <v>0</v>
      </c>
    </row>
    <row r="4052" spans="1:7">
      <c r="A4052" s="3">
        <v>10</v>
      </c>
      <c r="B4052" s="3">
        <v>5</v>
      </c>
      <c r="C4052" s="3">
        <v>111</v>
      </c>
      <c r="D4052" s="3">
        <v>83</v>
      </c>
      <c r="E4052" s="3">
        <v>-2185.94</v>
      </c>
      <c r="F4052" s="4" t="str">
        <f>HYPERLINK("http://141.218.60.56/~jnz1568/getInfo.php?workbook=10_05.xlsx&amp;sheet=A0&amp;row=4052&amp;col=6&amp;number=973000&amp;sourceID=14","973000")</f>
        <v>973000</v>
      </c>
      <c r="G4052" s="4" t="str">
        <f>HYPERLINK("http://141.218.60.56/~jnz1568/getInfo.php?workbook=10_05.xlsx&amp;sheet=A0&amp;row=4052&amp;col=7&amp;number=0&amp;sourceID=14","0")</f>
        <v>0</v>
      </c>
    </row>
    <row r="4053" spans="1:7">
      <c r="A4053" s="3">
        <v>10</v>
      </c>
      <c r="B4053" s="3">
        <v>5</v>
      </c>
      <c r="C4053" s="3">
        <v>115</v>
      </c>
      <c r="D4053" s="3">
        <v>83</v>
      </c>
      <c r="E4053" s="3">
        <v>-1900.097</v>
      </c>
      <c r="F4053" s="4" t="str">
        <f>HYPERLINK("http://141.218.60.56/~jnz1568/getInfo.php?workbook=10_05.xlsx&amp;sheet=A0&amp;row=4053&amp;col=6&amp;number=6990&amp;sourceID=14","6990")</f>
        <v>6990</v>
      </c>
      <c r="G4053" s="4" t="str">
        <f>HYPERLINK("http://141.218.60.56/~jnz1568/getInfo.php?workbook=10_05.xlsx&amp;sheet=A0&amp;row=4053&amp;col=7&amp;number=0&amp;sourceID=14","0")</f>
        <v>0</v>
      </c>
    </row>
    <row r="4054" spans="1:7">
      <c r="A4054" s="3">
        <v>10</v>
      </c>
      <c r="B4054" s="3">
        <v>5</v>
      </c>
      <c r="C4054" s="3">
        <v>117</v>
      </c>
      <c r="D4054" s="3">
        <v>83</v>
      </c>
      <c r="E4054" s="3">
        <v>-1860.711</v>
      </c>
      <c r="F4054" s="4" t="str">
        <f>HYPERLINK("http://141.218.60.56/~jnz1568/getInfo.php?workbook=10_05.xlsx&amp;sheet=A0&amp;row=4054&amp;col=6&amp;number=175&amp;sourceID=14","175")</f>
        <v>175</v>
      </c>
      <c r="G4054" s="4" t="str">
        <f>HYPERLINK("http://141.218.60.56/~jnz1568/getInfo.php?workbook=10_05.xlsx&amp;sheet=A0&amp;row=4054&amp;col=7&amp;number=0&amp;sourceID=14","0")</f>
        <v>0</v>
      </c>
    </row>
    <row r="4055" spans="1:7">
      <c r="A4055" s="3">
        <v>10</v>
      </c>
      <c r="B4055" s="3">
        <v>5</v>
      </c>
      <c r="C4055" s="3">
        <v>118</v>
      </c>
      <c r="D4055" s="3">
        <v>83</v>
      </c>
      <c r="E4055" s="3">
        <v>-1857.911</v>
      </c>
      <c r="F4055" s="4" t="str">
        <f>HYPERLINK("http://141.218.60.56/~jnz1568/getInfo.php?workbook=10_05.xlsx&amp;sheet=A0&amp;row=4055&amp;col=6&amp;number=271000&amp;sourceID=14","271000")</f>
        <v>271000</v>
      </c>
      <c r="G4055" s="4" t="str">
        <f>HYPERLINK("http://141.218.60.56/~jnz1568/getInfo.php?workbook=10_05.xlsx&amp;sheet=A0&amp;row=4055&amp;col=7&amp;number=0&amp;sourceID=14","0")</f>
        <v>0</v>
      </c>
    </row>
    <row r="4056" spans="1:7">
      <c r="A4056" s="3">
        <v>10</v>
      </c>
      <c r="B4056" s="3">
        <v>5</v>
      </c>
      <c r="C4056" s="3">
        <v>119</v>
      </c>
      <c r="D4056" s="3">
        <v>83</v>
      </c>
      <c r="E4056" s="3">
        <v>-1856.186</v>
      </c>
      <c r="F4056" s="4" t="str">
        <f>HYPERLINK("http://141.218.60.56/~jnz1568/getInfo.php?workbook=10_05.xlsx&amp;sheet=A0&amp;row=4056&amp;col=6&amp;number=1350000&amp;sourceID=14","1350000")</f>
        <v>1350000</v>
      </c>
      <c r="G4056" s="4" t="str">
        <f>HYPERLINK("http://141.218.60.56/~jnz1568/getInfo.php?workbook=10_05.xlsx&amp;sheet=A0&amp;row=4056&amp;col=7&amp;number=0&amp;sourceID=14","0")</f>
        <v>0</v>
      </c>
    </row>
    <row r="4057" spans="1:7">
      <c r="A4057" s="3">
        <v>10</v>
      </c>
      <c r="B4057" s="3">
        <v>5</v>
      </c>
      <c r="C4057" s="3">
        <v>120</v>
      </c>
      <c r="D4057" s="3">
        <v>83</v>
      </c>
      <c r="E4057" s="3">
        <v>-1753.313</v>
      </c>
      <c r="F4057" s="4" t="str">
        <f>HYPERLINK("http://141.218.60.56/~jnz1568/getInfo.php?workbook=10_05.xlsx&amp;sheet=A0&amp;row=4057&amp;col=6&amp;number=9180000&amp;sourceID=14","9180000")</f>
        <v>9180000</v>
      </c>
      <c r="G4057" s="4" t="str">
        <f>HYPERLINK("http://141.218.60.56/~jnz1568/getInfo.php?workbook=10_05.xlsx&amp;sheet=A0&amp;row=4057&amp;col=7&amp;number=0&amp;sourceID=14","0")</f>
        <v>0</v>
      </c>
    </row>
    <row r="4058" spans="1:7">
      <c r="A4058" s="3">
        <v>10</v>
      </c>
      <c r="B4058" s="3">
        <v>5</v>
      </c>
      <c r="C4058" s="3">
        <v>121</v>
      </c>
      <c r="D4058" s="3">
        <v>83</v>
      </c>
      <c r="E4058" s="3">
        <v>-1746.454</v>
      </c>
      <c r="F4058" s="4" t="str">
        <f>HYPERLINK("http://141.218.60.56/~jnz1568/getInfo.php?workbook=10_05.xlsx&amp;sheet=A0&amp;row=4058&amp;col=6&amp;number=7640000&amp;sourceID=14","7640000")</f>
        <v>7640000</v>
      </c>
      <c r="G4058" s="4" t="str">
        <f>HYPERLINK("http://141.218.60.56/~jnz1568/getInfo.php?workbook=10_05.xlsx&amp;sheet=A0&amp;row=4058&amp;col=7&amp;number=0&amp;sourceID=14","0")</f>
        <v>0</v>
      </c>
    </row>
    <row r="4059" spans="1:7">
      <c r="A4059" s="3">
        <v>10</v>
      </c>
      <c r="B4059" s="3">
        <v>5</v>
      </c>
      <c r="C4059" s="3">
        <v>122</v>
      </c>
      <c r="D4059" s="3">
        <v>83</v>
      </c>
      <c r="E4059" s="3">
        <v>-1735.241</v>
      </c>
      <c r="F4059" s="4" t="str">
        <f>HYPERLINK("http://141.218.60.56/~jnz1568/getInfo.php?workbook=10_05.xlsx&amp;sheet=A0&amp;row=4059&amp;col=6&amp;number=4220000&amp;sourceID=14","4220000")</f>
        <v>4220000</v>
      </c>
      <c r="G4059" s="4" t="str">
        <f>HYPERLINK("http://141.218.60.56/~jnz1568/getInfo.php?workbook=10_05.xlsx&amp;sheet=A0&amp;row=4059&amp;col=7&amp;number=0&amp;sourceID=14","0")</f>
        <v>0</v>
      </c>
    </row>
    <row r="4060" spans="1:7">
      <c r="A4060" s="3">
        <v>10</v>
      </c>
      <c r="B4060" s="3">
        <v>5</v>
      </c>
      <c r="C4060" s="3">
        <v>123</v>
      </c>
      <c r="D4060" s="3">
        <v>83</v>
      </c>
      <c r="E4060" s="3">
        <v>-1726.433</v>
      </c>
      <c r="F4060" s="4" t="str">
        <f>HYPERLINK("http://141.218.60.56/~jnz1568/getInfo.php?workbook=10_05.xlsx&amp;sheet=A0&amp;row=4060&amp;col=6&amp;number=6260&amp;sourceID=14","6260")</f>
        <v>6260</v>
      </c>
      <c r="G4060" s="4" t="str">
        <f>HYPERLINK("http://141.218.60.56/~jnz1568/getInfo.php?workbook=10_05.xlsx&amp;sheet=A0&amp;row=4060&amp;col=7&amp;number=0&amp;sourceID=14","0")</f>
        <v>0</v>
      </c>
    </row>
    <row r="4061" spans="1:7">
      <c r="A4061" s="3">
        <v>10</v>
      </c>
      <c r="B4061" s="3">
        <v>5</v>
      </c>
      <c r="C4061" s="3">
        <v>125</v>
      </c>
      <c r="D4061" s="3">
        <v>83</v>
      </c>
      <c r="E4061" s="3">
        <v>-1693.282</v>
      </c>
      <c r="F4061" s="4" t="str">
        <f>HYPERLINK("http://141.218.60.56/~jnz1568/getInfo.php?workbook=10_05.xlsx&amp;sheet=A0&amp;row=4061&amp;col=6&amp;number=263000&amp;sourceID=14","263000")</f>
        <v>263000</v>
      </c>
      <c r="G4061" s="4" t="str">
        <f>HYPERLINK("http://141.218.60.56/~jnz1568/getInfo.php?workbook=10_05.xlsx&amp;sheet=A0&amp;row=4061&amp;col=7&amp;number=0&amp;sourceID=14","0")</f>
        <v>0</v>
      </c>
    </row>
    <row r="4062" spans="1:7">
      <c r="A4062" s="3">
        <v>10</v>
      </c>
      <c r="B4062" s="3">
        <v>5</v>
      </c>
      <c r="C4062" s="3">
        <v>126</v>
      </c>
      <c r="D4062" s="3">
        <v>83</v>
      </c>
      <c r="E4062" s="3">
        <v>-1685.434</v>
      </c>
      <c r="F4062" s="4" t="str">
        <f>HYPERLINK("http://141.218.60.56/~jnz1568/getInfo.php?workbook=10_05.xlsx&amp;sheet=A0&amp;row=4062&amp;col=6&amp;number=97000&amp;sourceID=14","97000")</f>
        <v>97000</v>
      </c>
      <c r="G4062" s="4" t="str">
        <f>HYPERLINK("http://141.218.60.56/~jnz1568/getInfo.php?workbook=10_05.xlsx&amp;sheet=A0&amp;row=4062&amp;col=7&amp;number=0&amp;sourceID=14","0")</f>
        <v>0</v>
      </c>
    </row>
    <row r="4063" spans="1:7">
      <c r="A4063" s="3">
        <v>10</v>
      </c>
      <c r="B4063" s="3">
        <v>5</v>
      </c>
      <c r="C4063" s="3">
        <v>129</v>
      </c>
      <c r="D4063" s="3">
        <v>83</v>
      </c>
      <c r="E4063" s="3">
        <v>1623.643</v>
      </c>
      <c r="F4063" s="4" t="str">
        <f>HYPERLINK("http://141.218.60.56/~jnz1568/getInfo.php?workbook=10_05.xlsx&amp;sheet=A0&amp;row=4063&amp;col=6&amp;number=9480&amp;sourceID=14","9480")</f>
        <v>9480</v>
      </c>
      <c r="G4063" s="4" t="str">
        <f>HYPERLINK("http://141.218.60.56/~jnz1568/getInfo.php?workbook=10_05.xlsx&amp;sheet=A0&amp;row=4063&amp;col=7&amp;number=0&amp;sourceID=14","0")</f>
        <v>0</v>
      </c>
    </row>
    <row r="4064" spans="1:7">
      <c r="A4064" s="3">
        <v>10</v>
      </c>
      <c r="B4064" s="3">
        <v>5</v>
      </c>
      <c r="C4064" s="3">
        <v>130</v>
      </c>
      <c r="D4064" s="3">
        <v>83</v>
      </c>
      <c r="E4064" s="3">
        <v>1623.643</v>
      </c>
      <c r="F4064" s="4" t="str">
        <f>HYPERLINK("http://141.218.60.56/~jnz1568/getInfo.php?workbook=10_05.xlsx&amp;sheet=A0&amp;row=4064&amp;col=6&amp;number=4210&amp;sourceID=14","4210")</f>
        <v>4210</v>
      </c>
      <c r="G4064" s="4" t="str">
        <f>HYPERLINK("http://141.218.60.56/~jnz1568/getInfo.php?workbook=10_05.xlsx&amp;sheet=A0&amp;row=4064&amp;col=7&amp;number=0&amp;sourceID=14","0")</f>
        <v>0</v>
      </c>
    </row>
    <row r="4065" spans="1:7">
      <c r="A4065" s="3">
        <v>10</v>
      </c>
      <c r="B4065" s="3">
        <v>5</v>
      </c>
      <c r="C4065" s="3">
        <v>131</v>
      </c>
      <c r="D4065" s="3">
        <v>83</v>
      </c>
      <c r="E4065" s="3">
        <v>-1595.179</v>
      </c>
      <c r="F4065" s="4" t="str">
        <f>HYPERLINK("http://141.218.60.56/~jnz1568/getInfo.php?workbook=10_05.xlsx&amp;sheet=A0&amp;row=4065&amp;col=6&amp;number=166000&amp;sourceID=14","166000")</f>
        <v>166000</v>
      </c>
      <c r="G4065" s="4" t="str">
        <f>HYPERLINK("http://141.218.60.56/~jnz1568/getInfo.php?workbook=10_05.xlsx&amp;sheet=A0&amp;row=4065&amp;col=7&amp;number=0&amp;sourceID=14","0")</f>
        <v>0</v>
      </c>
    </row>
    <row r="4066" spans="1:7">
      <c r="A4066" s="3">
        <v>10</v>
      </c>
      <c r="B4066" s="3">
        <v>5</v>
      </c>
      <c r="C4066" s="3">
        <v>132</v>
      </c>
      <c r="D4066" s="3">
        <v>83</v>
      </c>
      <c r="E4066" s="3">
        <v>-1591.447</v>
      </c>
      <c r="F4066" s="4" t="str">
        <f>HYPERLINK("http://141.218.60.56/~jnz1568/getInfo.php?workbook=10_05.xlsx&amp;sheet=A0&amp;row=4066&amp;col=6&amp;number=38700&amp;sourceID=14","38700")</f>
        <v>38700</v>
      </c>
      <c r="G4066" s="4" t="str">
        <f>HYPERLINK("http://141.218.60.56/~jnz1568/getInfo.php?workbook=10_05.xlsx&amp;sheet=A0&amp;row=4066&amp;col=7&amp;number=0&amp;sourceID=14","0")</f>
        <v>0</v>
      </c>
    </row>
    <row r="4067" spans="1:7">
      <c r="A4067" s="3">
        <v>10</v>
      </c>
      <c r="B4067" s="3">
        <v>5</v>
      </c>
      <c r="C4067" s="3">
        <v>133</v>
      </c>
      <c r="D4067" s="3">
        <v>83</v>
      </c>
      <c r="E4067" s="3">
        <v>-1586.197</v>
      </c>
      <c r="F4067" s="4" t="str">
        <f>HYPERLINK("http://141.218.60.56/~jnz1568/getInfo.php?workbook=10_05.xlsx&amp;sheet=A0&amp;row=4067&amp;col=6&amp;number=4090&amp;sourceID=14","4090")</f>
        <v>4090</v>
      </c>
      <c r="G4067" s="4" t="str">
        <f>HYPERLINK("http://141.218.60.56/~jnz1568/getInfo.php?workbook=10_05.xlsx&amp;sheet=A0&amp;row=4067&amp;col=7&amp;number=0&amp;sourceID=14","0")</f>
        <v>0</v>
      </c>
    </row>
    <row r="4068" spans="1:7">
      <c r="A4068" s="3">
        <v>10</v>
      </c>
      <c r="B4068" s="3">
        <v>5</v>
      </c>
      <c r="C4068" s="3">
        <v>140</v>
      </c>
      <c r="D4068" s="3">
        <v>83</v>
      </c>
      <c r="E4068" s="3">
        <v>-1473.147</v>
      </c>
      <c r="F4068" s="4" t="str">
        <f>HYPERLINK("http://141.218.60.56/~jnz1568/getInfo.php?workbook=10_05.xlsx&amp;sheet=A0&amp;row=4068&amp;col=6&amp;number=15800&amp;sourceID=14","15800")</f>
        <v>15800</v>
      </c>
      <c r="G4068" s="4" t="str">
        <f>HYPERLINK("http://141.218.60.56/~jnz1568/getInfo.php?workbook=10_05.xlsx&amp;sheet=A0&amp;row=4068&amp;col=7&amp;number=0&amp;sourceID=14","0")</f>
        <v>0</v>
      </c>
    </row>
    <row r="4069" spans="1:7">
      <c r="A4069" s="3">
        <v>10</v>
      </c>
      <c r="B4069" s="3">
        <v>5</v>
      </c>
      <c r="C4069" s="3">
        <v>150</v>
      </c>
      <c r="D4069" s="3">
        <v>83</v>
      </c>
      <c r="E4069" s="3">
        <v>-1336.561</v>
      </c>
      <c r="F4069" s="4" t="str">
        <f>HYPERLINK("http://141.218.60.56/~jnz1568/getInfo.php?workbook=10_05.xlsx&amp;sheet=A0&amp;row=4069&amp;col=6&amp;number=10300&amp;sourceID=14","10300")</f>
        <v>10300</v>
      </c>
      <c r="G4069" s="4" t="str">
        <f>HYPERLINK("http://141.218.60.56/~jnz1568/getInfo.php?workbook=10_05.xlsx&amp;sheet=A0&amp;row=4069&amp;col=7&amp;number=0&amp;sourceID=14","0")</f>
        <v>0</v>
      </c>
    </row>
    <row r="4070" spans="1:7">
      <c r="A4070" s="3">
        <v>10</v>
      </c>
      <c r="B4070" s="3">
        <v>5</v>
      </c>
      <c r="C4070" s="3">
        <v>151</v>
      </c>
      <c r="D4070" s="3">
        <v>83</v>
      </c>
      <c r="E4070" s="3">
        <v>-1336.168</v>
      </c>
      <c r="F4070" s="4" t="str">
        <f>HYPERLINK("http://141.218.60.56/~jnz1568/getInfo.php?workbook=10_05.xlsx&amp;sheet=A0&amp;row=4070&amp;col=6&amp;number=740&amp;sourceID=14","740")</f>
        <v>740</v>
      </c>
      <c r="G4070" s="4" t="str">
        <f>HYPERLINK("http://141.218.60.56/~jnz1568/getInfo.php?workbook=10_05.xlsx&amp;sheet=A0&amp;row=4070&amp;col=7&amp;number=0&amp;sourceID=14","0")</f>
        <v>0</v>
      </c>
    </row>
    <row r="4071" spans="1:7">
      <c r="A4071" s="3">
        <v>10</v>
      </c>
      <c r="B4071" s="3">
        <v>5</v>
      </c>
      <c r="C4071" s="3">
        <v>155</v>
      </c>
      <c r="D4071" s="3">
        <v>83</v>
      </c>
      <c r="E4071" s="3">
        <v>1289.327</v>
      </c>
      <c r="F4071" s="4" t="str">
        <f>HYPERLINK("http://141.218.60.56/~jnz1568/getInfo.php?workbook=10_05.xlsx&amp;sheet=A0&amp;row=4071&amp;col=6&amp;number=2450&amp;sourceID=14","2450")</f>
        <v>2450</v>
      </c>
      <c r="G4071" s="4" t="str">
        <f>HYPERLINK("http://141.218.60.56/~jnz1568/getInfo.php?workbook=10_05.xlsx&amp;sheet=A0&amp;row=4071&amp;col=7&amp;number=0&amp;sourceID=14","0")</f>
        <v>0</v>
      </c>
    </row>
    <row r="4072" spans="1:7">
      <c r="A4072" s="3">
        <v>10</v>
      </c>
      <c r="B4072" s="3">
        <v>5</v>
      </c>
      <c r="C4072" s="3">
        <v>156</v>
      </c>
      <c r="D4072" s="3">
        <v>83</v>
      </c>
      <c r="E4072" s="3">
        <v>-1266.803</v>
      </c>
      <c r="F4072" s="4" t="str">
        <f>HYPERLINK("http://141.218.60.56/~jnz1568/getInfo.php?workbook=10_05.xlsx&amp;sheet=A0&amp;row=4072&amp;col=6&amp;number=325&amp;sourceID=14","325")</f>
        <v>325</v>
      </c>
      <c r="G4072" s="4" t="str">
        <f>HYPERLINK("http://141.218.60.56/~jnz1568/getInfo.php?workbook=10_05.xlsx&amp;sheet=A0&amp;row=4072&amp;col=7&amp;number=0&amp;sourceID=14","0")</f>
        <v>0</v>
      </c>
    </row>
    <row r="4073" spans="1:7">
      <c r="A4073" s="3">
        <v>10</v>
      </c>
      <c r="B4073" s="3">
        <v>5</v>
      </c>
      <c r="C4073" s="3">
        <v>157</v>
      </c>
      <c r="D4073" s="3">
        <v>83</v>
      </c>
      <c r="E4073" s="3">
        <v>-1263.937</v>
      </c>
      <c r="F4073" s="4" t="str">
        <f>HYPERLINK("http://141.218.60.56/~jnz1568/getInfo.php?workbook=10_05.xlsx&amp;sheet=A0&amp;row=4073&amp;col=6&amp;number=14500&amp;sourceID=14","14500")</f>
        <v>14500</v>
      </c>
      <c r="G4073" s="4" t="str">
        <f>HYPERLINK("http://141.218.60.56/~jnz1568/getInfo.php?workbook=10_05.xlsx&amp;sheet=A0&amp;row=4073&amp;col=7&amp;number=0&amp;sourceID=14","0")</f>
        <v>0</v>
      </c>
    </row>
    <row r="4074" spans="1:7">
      <c r="A4074" s="3">
        <v>10</v>
      </c>
      <c r="B4074" s="3">
        <v>5</v>
      </c>
      <c r="C4074" s="3">
        <v>160</v>
      </c>
      <c r="D4074" s="3">
        <v>83</v>
      </c>
      <c r="E4074" s="3">
        <v>-1244.031</v>
      </c>
      <c r="F4074" s="4" t="str">
        <f>HYPERLINK("http://141.218.60.56/~jnz1568/getInfo.php?workbook=10_05.xlsx&amp;sheet=A0&amp;row=4074&amp;col=6&amp;number=5110&amp;sourceID=14","5110")</f>
        <v>5110</v>
      </c>
      <c r="G4074" s="4" t="str">
        <f>HYPERLINK("http://141.218.60.56/~jnz1568/getInfo.php?workbook=10_05.xlsx&amp;sheet=A0&amp;row=4074&amp;col=7&amp;number=0&amp;sourceID=14","0")</f>
        <v>0</v>
      </c>
    </row>
    <row r="4075" spans="1:7">
      <c r="A4075" s="3">
        <v>10</v>
      </c>
      <c r="B4075" s="3">
        <v>5</v>
      </c>
      <c r="C4075" s="3">
        <v>161</v>
      </c>
      <c r="D4075" s="3">
        <v>83</v>
      </c>
      <c r="E4075" s="3">
        <v>1247.663</v>
      </c>
      <c r="F4075" s="4" t="str">
        <f>HYPERLINK("http://141.218.60.56/~jnz1568/getInfo.php?workbook=10_05.xlsx&amp;sheet=A0&amp;row=4075&amp;col=6&amp;number=58600&amp;sourceID=14","58600")</f>
        <v>58600</v>
      </c>
      <c r="G4075" s="4" t="str">
        <f>HYPERLINK("http://141.218.60.56/~jnz1568/getInfo.php?workbook=10_05.xlsx&amp;sheet=A0&amp;row=4075&amp;col=7&amp;number=0&amp;sourceID=14","0")</f>
        <v>0</v>
      </c>
    </row>
    <row r="4076" spans="1:7">
      <c r="A4076" s="3">
        <v>10</v>
      </c>
      <c r="B4076" s="3">
        <v>5</v>
      </c>
      <c r="C4076" s="3">
        <v>162</v>
      </c>
      <c r="D4076" s="3">
        <v>83</v>
      </c>
      <c r="E4076" s="3">
        <v>1243.01</v>
      </c>
      <c r="F4076" s="4" t="str">
        <f>HYPERLINK("http://141.218.60.56/~jnz1568/getInfo.php?workbook=10_05.xlsx&amp;sheet=A0&amp;row=4076&amp;col=6&amp;number=69400&amp;sourceID=14","69400")</f>
        <v>69400</v>
      </c>
      <c r="G4076" s="4" t="str">
        <f>HYPERLINK("http://141.218.60.56/~jnz1568/getInfo.php?workbook=10_05.xlsx&amp;sheet=A0&amp;row=4076&amp;col=7&amp;number=0&amp;sourceID=14","0")</f>
        <v>0</v>
      </c>
    </row>
    <row r="4077" spans="1:7">
      <c r="A4077" s="3">
        <v>10</v>
      </c>
      <c r="B4077" s="3">
        <v>5</v>
      </c>
      <c r="C4077" s="3">
        <v>163</v>
      </c>
      <c r="D4077" s="3">
        <v>83</v>
      </c>
      <c r="E4077" s="3">
        <v>-1057.643</v>
      </c>
      <c r="F4077" s="4" t="str">
        <f>HYPERLINK("http://141.218.60.56/~jnz1568/getInfo.php?workbook=10_05.xlsx&amp;sheet=A0&amp;row=4077&amp;col=6&amp;number=12500&amp;sourceID=14","12500")</f>
        <v>12500</v>
      </c>
      <c r="G4077" s="4" t="str">
        <f>HYPERLINK("http://141.218.60.56/~jnz1568/getInfo.php?workbook=10_05.xlsx&amp;sheet=A0&amp;row=4077&amp;col=7&amp;number=0&amp;sourceID=14","0")</f>
        <v>0</v>
      </c>
    </row>
    <row r="4078" spans="1:7">
      <c r="A4078" s="3">
        <v>10</v>
      </c>
      <c r="B4078" s="3">
        <v>5</v>
      </c>
      <c r="C4078" s="3">
        <v>168</v>
      </c>
      <c r="D4078" s="3">
        <v>83</v>
      </c>
      <c r="E4078" s="3">
        <v>-620.275</v>
      </c>
      <c r="F4078" s="4" t="str">
        <f>HYPERLINK("http://141.218.60.56/~jnz1568/getInfo.php?workbook=10_05.xlsx&amp;sheet=A0&amp;row=4078&amp;col=6&amp;number=25500&amp;sourceID=14","25500")</f>
        <v>25500</v>
      </c>
      <c r="G4078" s="4" t="str">
        <f>HYPERLINK("http://141.218.60.56/~jnz1568/getInfo.php?workbook=10_05.xlsx&amp;sheet=A0&amp;row=4078&amp;col=7&amp;number=0&amp;sourceID=14","0")</f>
        <v>0</v>
      </c>
    </row>
    <row r="4079" spans="1:7">
      <c r="A4079" s="3">
        <v>10</v>
      </c>
      <c r="B4079" s="3">
        <v>5</v>
      </c>
      <c r="C4079" s="3">
        <v>169</v>
      </c>
      <c r="D4079" s="3">
        <v>83</v>
      </c>
      <c r="E4079" s="3">
        <v>-620.091</v>
      </c>
      <c r="F4079" s="4" t="str">
        <f>HYPERLINK("http://141.218.60.56/~jnz1568/getInfo.php?workbook=10_05.xlsx&amp;sheet=A0&amp;row=4079&amp;col=6&amp;number=93.9&amp;sourceID=14","93.9")</f>
        <v>93.9</v>
      </c>
      <c r="G4079" s="4" t="str">
        <f>HYPERLINK("http://141.218.60.56/~jnz1568/getInfo.php?workbook=10_05.xlsx&amp;sheet=A0&amp;row=4079&amp;col=7&amp;number=0&amp;sourceID=14","0")</f>
        <v>0</v>
      </c>
    </row>
    <row r="4080" spans="1:7">
      <c r="A4080" s="3">
        <v>10</v>
      </c>
      <c r="B4080" s="3">
        <v>5</v>
      </c>
      <c r="C4080" s="3">
        <v>170</v>
      </c>
      <c r="D4080" s="3">
        <v>83</v>
      </c>
      <c r="E4080" s="3">
        <v>-586.037</v>
      </c>
      <c r="F4080" s="4" t="str">
        <f>HYPERLINK("http://141.218.60.56/~jnz1568/getInfo.php?workbook=10_05.xlsx&amp;sheet=A0&amp;row=4080&amp;col=6&amp;number=125&amp;sourceID=14","125")</f>
        <v>125</v>
      </c>
      <c r="G4080" s="4" t="str">
        <f>HYPERLINK("http://141.218.60.56/~jnz1568/getInfo.php?workbook=10_05.xlsx&amp;sheet=A0&amp;row=4080&amp;col=7&amp;number=0&amp;sourceID=14","0")</f>
        <v>0</v>
      </c>
    </row>
    <row r="4081" spans="1:7">
      <c r="A4081" s="3">
        <v>10</v>
      </c>
      <c r="B4081" s="3">
        <v>5</v>
      </c>
      <c r="C4081" s="3">
        <v>171</v>
      </c>
      <c r="D4081" s="3">
        <v>83</v>
      </c>
      <c r="E4081" s="3">
        <v>-585.711</v>
      </c>
      <c r="F4081" s="4" t="str">
        <f>HYPERLINK("http://141.218.60.56/~jnz1568/getInfo.php?workbook=10_05.xlsx&amp;sheet=A0&amp;row=4081&amp;col=6&amp;number=4920&amp;sourceID=14","4920")</f>
        <v>4920</v>
      </c>
      <c r="G4081" s="4" t="str">
        <f>HYPERLINK("http://141.218.60.56/~jnz1568/getInfo.php?workbook=10_05.xlsx&amp;sheet=A0&amp;row=4081&amp;col=7&amp;number=0&amp;sourceID=14","0")</f>
        <v>0</v>
      </c>
    </row>
    <row r="4082" spans="1:7">
      <c r="A4082" s="3">
        <v>10</v>
      </c>
      <c r="B4082" s="3">
        <v>5</v>
      </c>
      <c r="C4082" s="3">
        <v>172</v>
      </c>
      <c r="D4082" s="3">
        <v>83</v>
      </c>
      <c r="E4082" s="3">
        <v>-579.097</v>
      </c>
      <c r="F4082" s="4" t="str">
        <f>HYPERLINK("http://141.218.60.56/~jnz1568/getInfo.php?workbook=10_05.xlsx&amp;sheet=A0&amp;row=4082&amp;col=6&amp;number=178&amp;sourceID=14","178")</f>
        <v>178</v>
      </c>
      <c r="G4082" s="4" t="str">
        <f>HYPERLINK("http://141.218.60.56/~jnz1568/getInfo.php?workbook=10_05.xlsx&amp;sheet=A0&amp;row=4082&amp;col=7&amp;number=0&amp;sourceID=14","0")</f>
        <v>0</v>
      </c>
    </row>
    <row r="4083" spans="1:7">
      <c r="A4083" s="3">
        <v>10</v>
      </c>
      <c r="B4083" s="3">
        <v>5</v>
      </c>
      <c r="C4083" s="3">
        <v>173</v>
      </c>
      <c r="D4083" s="3">
        <v>83</v>
      </c>
      <c r="E4083" s="3">
        <v>-579.02</v>
      </c>
      <c r="F4083" s="4" t="str">
        <f>HYPERLINK("http://141.218.60.56/~jnz1568/getInfo.php?workbook=10_05.xlsx&amp;sheet=A0&amp;row=4083&amp;col=6&amp;number=27100&amp;sourceID=14","27100")</f>
        <v>27100</v>
      </c>
      <c r="G4083" s="4" t="str">
        <f>HYPERLINK("http://141.218.60.56/~jnz1568/getInfo.php?workbook=10_05.xlsx&amp;sheet=A0&amp;row=4083&amp;col=7&amp;number=0&amp;sourceID=14","0")</f>
        <v>0</v>
      </c>
    </row>
    <row r="4084" spans="1:7">
      <c r="A4084" s="3">
        <v>10</v>
      </c>
      <c r="B4084" s="3">
        <v>5</v>
      </c>
      <c r="C4084" s="3">
        <v>174</v>
      </c>
      <c r="D4084" s="3">
        <v>83</v>
      </c>
      <c r="E4084" s="3">
        <v>-572.031</v>
      </c>
      <c r="F4084" s="4" t="str">
        <f>HYPERLINK("http://141.218.60.56/~jnz1568/getInfo.php?workbook=10_05.xlsx&amp;sheet=A0&amp;row=4084&amp;col=6&amp;number=23600&amp;sourceID=14","23600")</f>
        <v>23600</v>
      </c>
      <c r="G4084" s="4" t="str">
        <f>HYPERLINK("http://141.218.60.56/~jnz1568/getInfo.php?workbook=10_05.xlsx&amp;sheet=A0&amp;row=4084&amp;col=7&amp;number=0&amp;sourceID=14","0")</f>
        <v>0</v>
      </c>
    </row>
    <row r="4085" spans="1:7">
      <c r="A4085" s="3">
        <v>10</v>
      </c>
      <c r="B4085" s="3">
        <v>5</v>
      </c>
      <c r="C4085" s="3">
        <v>99</v>
      </c>
      <c r="D4085" s="3">
        <v>84</v>
      </c>
      <c r="E4085" s="3">
        <v>-2659.438</v>
      </c>
      <c r="F4085" s="4" t="str">
        <f>HYPERLINK("http://141.218.60.56/~jnz1568/getInfo.php?workbook=10_05.xlsx&amp;sheet=A0&amp;row=4085&amp;col=6&amp;number=1950000&amp;sourceID=14","1950000")</f>
        <v>1950000</v>
      </c>
      <c r="G4085" s="4" t="str">
        <f>HYPERLINK("http://141.218.60.56/~jnz1568/getInfo.php?workbook=10_05.xlsx&amp;sheet=A0&amp;row=4085&amp;col=7&amp;number=0&amp;sourceID=14","0")</f>
        <v>0</v>
      </c>
    </row>
    <row r="4086" spans="1:7">
      <c r="A4086" s="3">
        <v>10</v>
      </c>
      <c r="B4086" s="3">
        <v>5</v>
      </c>
      <c r="C4086" s="3">
        <v>100</v>
      </c>
      <c r="D4086" s="3">
        <v>84</v>
      </c>
      <c r="E4086" s="3">
        <v>-2640.966</v>
      </c>
      <c r="F4086" s="4" t="str">
        <f>HYPERLINK("http://141.218.60.56/~jnz1568/getInfo.php?workbook=10_05.xlsx&amp;sheet=A0&amp;row=4086&amp;col=6&amp;number=26300000&amp;sourceID=14","26300000")</f>
        <v>26300000</v>
      </c>
      <c r="G4086" s="4" t="str">
        <f>HYPERLINK("http://141.218.60.56/~jnz1568/getInfo.php?workbook=10_05.xlsx&amp;sheet=A0&amp;row=4086&amp;col=7&amp;number=0&amp;sourceID=14","0")</f>
        <v>0</v>
      </c>
    </row>
    <row r="4087" spans="1:7">
      <c r="A4087" s="3">
        <v>10</v>
      </c>
      <c r="B4087" s="3">
        <v>5</v>
      </c>
      <c r="C4087" s="3">
        <v>102</v>
      </c>
      <c r="D4087" s="3">
        <v>84</v>
      </c>
      <c r="E4087" s="3">
        <v>-2614.999</v>
      </c>
      <c r="F4087" s="4" t="str">
        <f>HYPERLINK("http://141.218.60.56/~jnz1568/getInfo.php?workbook=10_05.xlsx&amp;sheet=A0&amp;row=4087&amp;col=6&amp;number=106000000&amp;sourceID=14","106000000")</f>
        <v>106000000</v>
      </c>
      <c r="G4087" s="4" t="str">
        <f>HYPERLINK("http://141.218.60.56/~jnz1568/getInfo.php?workbook=10_05.xlsx&amp;sheet=A0&amp;row=4087&amp;col=7&amp;number=0&amp;sourceID=14","0")</f>
        <v>0</v>
      </c>
    </row>
    <row r="4088" spans="1:7">
      <c r="A4088" s="3">
        <v>10</v>
      </c>
      <c r="B4088" s="3">
        <v>5</v>
      </c>
      <c r="C4088" s="3">
        <v>106</v>
      </c>
      <c r="D4088" s="3">
        <v>84</v>
      </c>
      <c r="E4088" s="3">
        <v>-2288.02</v>
      </c>
      <c r="F4088" s="4" t="str">
        <f>HYPERLINK("http://141.218.60.56/~jnz1568/getInfo.php?workbook=10_05.xlsx&amp;sheet=A0&amp;row=4088&amp;col=6&amp;number=14000000&amp;sourceID=14","14000000")</f>
        <v>14000000</v>
      </c>
      <c r="G4088" s="4" t="str">
        <f>HYPERLINK("http://141.218.60.56/~jnz1568/getInfo.php?workbook=10_05.xlsx&amp;sheet=A0&amp;row=4088&amp;col=7&amp;number=0&amp;sourceID=14","0")</f>
        <v>0</v>
      </c>
    </row>
    <row r="4089" spans="1:7">
      <c r="A4089" s="3">
        <v>10</v>
      </c>
      <c r="B4089" s="3">
        <v>5</v>
      </c>
      <c r="C4089" s="3">
        <v>107</v>
      </c>
      <c r="D4089" s="3">
        <v>84</v>
      </c>
      <c r="E4089" s="3">
        <v>-2273.558</v>
      </c>
      <c r="F4089" s="4" t="str">
        <f>HYPERLINK("http://141.218.60.56/~jnz1568/getInfo.php?workbook=10_05.xlsx&amp;sheet=A0&amp;row=4089&amp;col=6&amp;number=26000000&amp;sourceID=14","26000000")</f>
        <v>26000000</v>
      </c>
      <c r="G4089" s="4" t="str">
        <f>HYPERLINK("http://141.218.60.56/~jnz1568/getInfo.php?workbook=10_05.xlsx&amp;sheet=A0&amp;row=4089&amp;col=7&amp;number=0&amp;sourceID=14","0")</f>
        <v>0</v>
      </c>
    </row>
    <row r="4090" spans="1:7">
      <c r="A4090" s="3">
        <v>10</v>
      </c>
      <c r="B4090" s="3">
        <v>5</v>
      </c>
      <c r="C4090" s="3">
        <v>108</v>
      </c>
      <c r="D4090" s="3">
        <v>84</v>
      </c>
      <c r="E4090" s="3">
        <v>-2258.717</v>
      </c>
      <c r="F4090" s="4" t="str">
        <f>HYPERLINK("http://141.218.60.56/~jnz1568/getInfo.php?workbook=10_05.xlsx&amp;sheet=A0&amp;row=4090&amp;col=6&amp;number=6580000&amp;sourceID=14","6580000")</f>
        <v>6580000</v>
      </c>
      <c r="G4090" s="4" t="str">
        <f>HYPERLINK("http://141.218.60.56/~jnz1568/getInfo.php?workbook=10_05.xlsx&amp;sheet=A0&amp;row=4090&amp;col=7&amp;number=0&amp;sourceID=14","0")</f>
        <v>0</v>
      </c>
    </row>
    <row r="4091" spans="1:7">
      <c r="A4091" s="3">
        <v>10</v>
      </c>
      <c r="B4091" s="3">
        <v>5</v>
      </c>
      <c r="C4091" s="3">
        <v>109</v>
      </c>
      <c r="D4091" s="3">
        <v>84</v>
      </c>
      <c r="E4091" s="3">
        <v>-2237.741</v>
      </c>
      <c r="F4091" s="4" t="str">
        <f>HYPERLINK("http://141.218.60.56/~jnz1568/getInfo.php?workbook=10_05.xlsx&amp;sheet=A0&amp;row=4091&amp;col=6&amp;number=1250000&amp;sourceID=14","1250000")</f>
        <v>1250000</v>
      </c>
      <c r="G4091" s="4" t="str">
        <f>HYPERLINK("http://141.218.60.56/~jnz1568/getInfo.php?workbook=10_05.xlsx&amp;sheet=A0&amp;row=4091&amp;col=7&amp;number=0&amp;sourceID=14","0")</f>
        <v>0</v>
      </c>
    </row>
    <row r="4092" spans="1:7">
      <c r="A4092" s="3">
        <v>10</v>
      </c>
      <c r="B4092" s="3">
        <v>5</v>
      </c>
      <c r="C4092" s="3">
        <v>115</v>
      </c>
      <c r="D4092" s="3">
        <v>84</v>
      </c>
      <c r="E4092" s="3">
        <v>-1916.887</v>
      </c>
      <c r="F4092" s="4" t="str">
        <f>HYPERLINK("http://141.218.60.56/~jnz1568/getInfo.php?workbook=10_05.xlsx&amp;sheet=A0&amp;row=4092&amp;col=6&amp;number=28800&amp;sourceID=14","28800")</f>
        <v>28800</v>
      </c>
      <c r="G4092" s="4" t="str">
        <f>HYPERLINK("http://141.218.60.56/~jnz1568/getInfo.php?workbook=10_05.xlsx&amp;sheet=A0&amp;row=4092&amp;col=7&amp;number=0&amp;sourceID=14","0")</f>
        <v>0</v>
      </c>
    </row>
    <row r="4093" spans="1:7">
      <c r="A4093" s="3">
        <v>10</v>
      </c>
      <c r="B4093" s="3">
        <v>5</v>
      </c>
      <c r="C4093" s="3">
        <v>116</v>
      </c>
      <c r="D4093" s="3">
        <v>84</v>
      </c>
      <c r="E4093" s="3">
        <v>-1884.733</v>
      </c>
      <c r="F4093" s="4" t="str">
        <f>HYPERLINK("http://141.218.60.56/~jnz1568/getInfo.php?workbook=10_05.xlsx&amp;sheet=A0&amp;row=4093&amp;col=6&amp;number=15800&amp;sourceID=14","15800")</f>
        <v>15800</v>
      </c>
      <c r="G4093" s="4" t="str">
        <f>HYPERLINK("http://141.218.60.56/~jnz1568/getInfo.php?workbook=10_05.xlsx&amp;sheet=A0&amp;row=4093&amp;col=7&amp;number=0&amp;sourceID=14","0")</f>
        <v>0</v>
      </c>
    </row>
    <row r="4094" spans="1:7">
      <c r="A4094" s="3">
        <v>10</v>
      </c>
      <c r="B4094" s="3">
        <v>5</v>
      </c>
      <c r="C4094" s="3">
        <v>117</v>
      </c>
      <c r="D4094" s="3">
        <v>84</v>
      </c>
      <c r="E4094" s="3">
        <v>-1876.81</v>
      </c>
      <c r="F4094" s="4" t="str">
        <f>HYPERLINK("http://141.218.60.56/~jnz1568/getInfo.php?workbook=10_05.xlsx&amp;sheet=A0&amp;row=4094&amp;col=6&amp;number=7870&amp;sourceID=14","7870")</f>
        <v>7870</v>
      </c>
      <c r="G4094" s="4" t="str">
        <f>HYPERLINK("http://141.218.60.56/~jnz1568/getInfo.php?workbook=10_05.xlsx&amp;sheet=A0&amp;row=4094&amp;col=7&amp;number=0&amp;sourceID=14","0")</f>
        <v>0</v>
      </c>
    </row>
    <row r="4095" spans="1:7">
      <c r="A4095" s="3">
        <v>10</v>
      </c>
      <c r="B4095" s="3">
        <v>5</v>
      </c>
      <c r="C4095" s="3">
        <v>118</v>
      </c>
      <c r="D4095" s="3">
        <v>84</v>
      </c>
      <c r="E4095" s="3">
        <v>-1873.961</v>
      </c>
      <c r="F4095" s="4" t="str">
        <f>HYPERLINK("http://141.218.60.56/~jnz1568/getInfo.php?workbook=10_05.xlsx&amp;sheet=A0&amp;row=4095&amp;col=6&amp;number=1140000&amp;sourceID=14","1140000")</f>
        <v>1140000</v>
      </c>
      <c r="G4095" s="4" t="str">
        <f>HYPERLINK("http://141.218.60.56/~jnz1568/getInfo.php?workbook=10_05.xlsx&amp;sheet=A0&amp;row=4095&amp;col=7&amp;number=0&amp;sourceID=14","0")</f>
        <v>0</v>
      </c>
    </row>
    <row r="4096" spans="1:7">
      <c r="A4096" s="3">
        <v>10</v>
      </c>
      <c r="B4096" s="3">
        <v>5</v>
      </c>
      <c r="C4096" s="3">
        <v>121</v>
      </c>
      <c r="D4096" s="3">
        <v>84</v>
      </c>
      <c r="E4096" s="3">
        <v>-1760.629</v>
      </c>
      <c r="F4096" s="4" t="str">
        <f>HYPERLINK("http://141.218.60.56/~jnz1568/getInfo.php?workbook=10_05.xlsx&amp;sheet=A0&amp;row=4096&amp;col=6&amp;number=6310000&amp;sourceID=14","6310000")</f>
        <v>6310000</v>
      </c>
      <c r="G4096" s="4" t="str">
        <f>HYPERLINK("http://141.218.60.56/~jnz1568/getInfo.php?workbook=10_05.xlsx&amp;sheet=A0&amp;row=4096&amp;col=7&amp;number=0&amp;sourceID=14","0")</f>
        <v>0</v>
      </c>
    </row>
    <row r="4097" spans="1:7">
      <c r="A4097" s="3">
        <v>10</v>
      </c>
      <c r="B4097" s="3">
        <v>5</v>
      </c>
      <c r="C4097" s="3">
        <v>122</v>
      </c>
      <c r="D4097" s="3">
        <v>84</v>
      </c>
      <c r="E4097" s="3">
        <v>-1749.234</v>
      </c>
      <c r="F4097" s="4" t="str">
        <f>HYPERLINK("http://141.218.60.56/~jnz1568/getInfo.php?workbook=10_05.xlsx&amp;sheet=A0&amp;row=4097&amp;col=6&amp;number=10900000&amp;sourceID=14","10900000")</f>
        <v>10900000</v>
      </c>
      <c r="G4097" s="4" t="str">
        <f>HYPERLINK("http://141.218.60.56/~jnz1568/getInfo.php?workbook=10_05.xlsx&amp;sheet=A0&amp;row=4097&amp;col=7&amp;number=0&amp;sourceID=14","0")</f>
        <v>0</v>
      </c>
    </row>
    <row r="4098" spans="1:7">
      <c r="A4098" s="3">
        <v>10</v>
      </c>
      <c r="B4098" s="3">
        <v>5</v>
      </c>
      <c r="C4098" s="3">
        <v>123</v>
      </c>
      <c r="D4098" s="3">
        <v>84</v>
      </c>
      <c r="E4098" s="3">
        <v>-1740.284</v>
      </c>
      <c r="F4098" s="4" t="str">
        <f>HYPERLINK("http://141.218.60.56/~jnz1568/getInfo.php?workbook=10_05.xlsx&amp;sheet=A0&amp;row=4098&amp;col=6&amp;number=92400&amp;sourceID=14","92400")</f>
        <v>92400</v>
      </c>
      <c r="G4098" s="4" t="str">
        <f>HYPERLINK("http://141.218.60.56/~jnz1568/getInfo.php?workbook=10_05.xlsx&amp;sheet=A0&amp;row=4098&amp;col=7&amp;number=0&amp;sourceID=14","0")</f>
        <v>0</v>
      </c>
    </row>
    <row r="4099" spans="1:7">
      <c r="A4099" s="3">
        <v>10</v>
      </c>
      <c r="B4099" s="3">
        <v>5</v>
      </c>
      <c r="C4099" s="3">
        <v>124</v>
      </c>
      <c r="D4099" s="3">
        <v>84</v>
      </c>
      <c r="E4099" s="3">
        <v>-1732.895</v>
      </c>
      <c r="F4099" s="4" t="str">
        <f>HYPERLINK("http://141.218.60.56/~jnz1568/getInfo.php?workbook=10_05.xlsx&amp;sheet=A0&amp;row=4099&amp;col=6&amp;number=2460000&amp;sourceID=14","2460000")</f>
        <v>2460000</v>
      </c>
      <c r="G4099" s="4" t="str">
        <f>HYPERLINK("http://141.218.60.56/~jnz1568/getInfo.php?workbook=10_05.xlsx&amp;sheet=A0&amp;row=4099&amp;col=7&amp;number=0&amp;sourceID=14","0")</f>
        <v>0</v>
      </c>
    </row>
    <row r="4100" spans="1:7">
      <c r="A4100" s="3">
        <v>10</v>
      </c>
      <c r="B4100" s="3">
        <v>5</v>
      </c>
      <c r="C4100" s="3">
        <v>126</v>
      </c>
      <c r="D4100" s="3">
        <v>84</v>
      </c>
      <c r="E4100" s="3">
        <v>-1698.632</v>
      </c>
      <c r="F4100" s="4" t="str">
        <f>HYPERLINK("http://141.218.60.56/~jnz1568/getInfo.php?workbook=10_05.xlsx&amp;sheet=A0&amp;row=4100&amp;col=6&amp;number=51900&amp;sourceID=14","51900")</f>
        <v>51900</v>
      </c>
      <c r="G4100" s="4" t="str">
        <f>HYPERLINK("http://141.218.60.56/~jnz1568/getInfo.php?workbook=10_05.xlsx&amp;sheet=A0&amp;row=4100&amp;col=7&amp;number=0&amp;sourceID=14","0")</f>
        <v>0</v>
      </c>
    </row>
    <row r="4101" spans="1:7">
      <c r="A4101" s="3">
        <v>10</v>
      </c>
      <c r="B4101" s="3">
        <v>5</v>
      </c>
      <c r="C4101" s="3">
        <v>129</v>
      </c>
      <c r="D4101" s="3">
        <v>84</v>
      </c>
      <c r="E4101" s="3">
        <v>1623.643</v>
      </c>
      <c r="F4101" s="4" t="str">
        <f>HYPERLINK("http://141.218.60.56/~jnz1568/getInfo.php?workbook=10_05.xlsx&amp;sheet=A0&amp;row=4101&amp;col=6&amp;number=17000&amp;sourceID=14","17000")</f>
        <v>17000</v>
      </c>
      <c r="G4101" s="4" t="str">
        <f>HYPERLINK("http://141.218.60.56/~jnz1568/getInfo.php?workbook=10_05.xlsx&amp;sheet=A0&amp;row=4101&amp;col=7&amp;number=0&amp;sourceID=14","0")</f>
        <v>0</v>
      </c>
    </row>
    <row r="4102" spans="1:7">
      <c r="A4102" s="3">
        <v>10</v>
      </c>
      <c r="B4102" s="3">
        <v>5</v>
      </c>
      <c r="C4102" s="3">
        <v>130</v>
      </c>
      <c r="D4102" s="3">
        <v>84</v>
      </c>
      <c r="E4102" s="3">
        <v>1623.643</v>
      </c>
      <c r="F4102" s="4" t="str">
        <f>HYPERLINK("http://141.218.60.56/~jnz1568/getInfo.php?workbook=10_05.xlsx&amp;sheet=A0&amp;row=4102&amp;col=6&amp;number=12&amp;sourceID=14","12")</f>
        <v>12</v>
      </c>
      <c r="G4102" s="4" t="str">
        <f>HYPERLINK("http://141.218.60.56/~jnz1568/getInfo.php?workbook=10_05.xlsx&amp;sheet=A0&amp;row=4102&amp;col=7&amp;number=0&amp;sourceID=14","0")</f>
        <v>0</v>
      </c>
    </row>
    <row r="4103" spans="1:7">
      <c r="A4103" s="3">
        <v>10</v>
      </c>
      <c r="B4103" s="3">
        <v>5</v>
      </c>
      <c r="C4103" s="3">
        <v>132</v>
      </c>
      <c r="D4103" s="3">
        <v>84</v>
      </c>
      <c r="E4103" s="3">
        <v>-1603.209</v>
      </c>
      <c r="F4103" s="4" t="str">
        <f>HYPERLINK("http://141.218.60.56/~jnz1568/getInfo.php?workbook=10_05.xlsx&amp;sheet=A0&amp;row=4103&amp;col=6&amp;number=334000&amp;sourceID=14","334000")</f>
        <v>334000</v>
      </c>
      <c r="G4103" s="4" t="str">
        <f>HYPERLINK("http://141.218.60.56/~jnz1568/getInfo.php?workbook=10_05.xlsx&amp;sheet=A0&amp;row=4103&amp;col=7&amp;number=0&amp;sourceID=14","0")</f>
        <v>0</v>
      </c>
    </row>
    <row r="4104" spans="1:7">
      <c r="A4104" s="3">
        <v>10</v>
      </c>
      <c r="B4104" s="3">
        <v>5</v>
      </c>
      <c r="C4104" s="3">
        <v>133</v>
      </c>
      <c r="D4104" s="3">
        <v>84</v>
      </c>
      <c r="E4104" s="3">
        <v>-1597.881</v>
      </c>
      <c r="F4104" s="4" t="str">
        <f>HYPERLINK("http://141.218.60.56/~jnz1568/getInfo.php?workbook=10_05.xlsx&amp;sheet=A0&amp;row=4104&amp;col=6&amp;number=10800&amp;sourceID=14","10800")</f>
        <v>10800</v>
      </c>
      <c r="G4104" s="4" t="str">
        <f>HYPERLINK("http://141.218.60.56/~jnz1568/getInfo.php?workbook=10_05.xlsx&amp;sheet=A0&amp;row=4104&amp;col=7&amp;number=0&amp;sourceID=14","0")</f>
        <v>0</v>
      </c>
    </row>
    <row r="4105" spans="1:7">
      <c r="A4105" s="3">
        <v>10</v>
      </c>
      <c r="B4105" s="3">
        <v>5</v>
      </c>
      <c r="C4105" s="3">
        <v>138</v>
      </c>
      <c r="D4105" s="3">
        <v>84</v>
      </c>
      <c r="E4105" s="3">
        <v>-1521.077</v>
      </c>
      <c r="F4105" s="4" t="str">
        <f>HYPERLINK("http://141.218.60.56/~jnz1568/getInfo.php?workbook=10_05.xlsx&amp;sheet=A0&amp;row=4105&amp;col=6&amp;number=3310&amp;sourceID=14","3310")</f>
        <v>3310</v>
      </c>
      <c r="G4105" s="4" t="str">
        <f>HYPERLINK("http://141.218.60.56/~jnz1568/getInfo.php?workbook=10_05.xlsx&amp;sheet=A0&amp;row=4105&amp;col=7&amp;number=0&amp;sourceID=14","0")</f>
        <v>0</v>
      </c>
    </row>
    <row r="4106" spans="1:7">
      <c r="A4106" s="3">
        <v>10</v>
      </c>
      <c r="B4106" s="3">
        <v>5</v>
      </c>
      <c r="C4106" s="3">
        <v>150</v>
      </c>
      <c r="D4106" s="3">
        <v>84</v>
      </c>
      <c r="E4106" s="3">
        <v>-1344.848</v>
      </c>
      <c r="F4106" s="4" t="str">
        <f>HYPERLINK("http://141.218.60.56/~jnz1568/getInfo.php?workbook=10_05.xlsx&amp;sheet=A0&amp;row=4106&amp;col=6&amp;number=1420&amp;sourceID=14","1420")</f>
        <v>1420</v>
      </c>
      <c r="G4106" s="4" t="str">
        <f>HYPERLINK("http://141.218.60.56/~jnz1568/getInfo.php?workbook=10_05.xlsx&amp;sheet=A0&amp;row=4106&amp;col=7&amp;number=0&amp;sourceID=14","0")</f>
        <v>0</v>
      </c>
    </row>
    <row r="4107" spans="1:7">
      <c r="A4107" s="3">
        <v>10</v>
      </c>
      <c r="B4107" s="3">
        <v>5</v>
      </c>
      <c r="C4107" s="3">
        <v>151</v>
      </c>
      <c r="D4107" s="3">
        <v>84</v>
      </c>
      <c r="E4107" s="3">
        <v>-1344.45</v>
      </c>
      <c r="F4107" s="4" t="str">
        <f>HYPERLINK("http://141.218.60.56/~jnz1568/getInfo.php?workbook=10_05.xlsx&amp;sheet=A0&amp;row=4107&amp;col=6&amp;number=120000&amp;sourceID=14","120000")</f>
        <v>120000</v>
      </c>
      <c r="G4107" s="4" t="str">
        <f>HYPERLINK("http://141.218.60.56/~jnz1568/getInfo.php?workbook=10_05.xlsx&amp;sheet=A0&amp;row=4107&amp;col=7&amp;number=0&amp;sourceID=14","0")</f>
        <v>0</v>
      </c>
    </row>
    <row r="4108" spans="1:7">
      <c r="A4108" s="3">
        <v>10</v>
      </c>
      <c r="B4108" s="3">
        <v>5</v>
      </c>
      <c r="C4108" s="3">
        <v>154</v>
      </c>
      <c r="D4108" s="3">
        <v>84</v>
      </c>
      <c r="E4108" s="3">
        <v>1289.327</v>
      </c>
      <c r="F4108" s="4" t="str">
        <f>HYPERLINK("http://141.218.60.56/~jnz1568/getInfo.php?workbook=10_05.xlsx&amp;sheet=A0&amp;row=4108&amp;col=6&amp;number=8730&amp;sourceID=14","8730")</f>
        <v>8730</v>
      </c>
      <c r="G4108" s="4" t="str">
        <f>HYPERLINK("http://141.218.60.56/~jnz1568/getInfo.php?workbook=10_05.xlsx&amp;sheet=A0&amp;row=4108&amp;col=7&amp;number=0&amp;sourceID=14","0")</f>
        <v>0</v>
      </c>
    </row>
    <row r="4109" spans="1:7">
      <c r="A4109" s="3">
        <v>10</v>
      </c>
      <c r="B4109" s="3">
        <v>5</v>
      </c>
      <c r="C4109" s="3">
        <v>155</v>
      </c>
      <c r="D4109" s="3">
        <v>84</v>
      </c>
      <c r="E4109" s="3">
        <v>1289.327</v>
      </c>
      <c r="F4109" s="4" t="str">
        <f>HYPERLINK("http://141.218.60.56/~jnz1568/getInfo.php?workbook=10_05.xlsx&amp;sheet=A0&amp;row=4109&amp;col=6&amp;number=32500&amp;sourceID=14","32500")</f>
        <v>32500</v>
      </c>
      <c r="G4109" s="4" t="str">
        <f>HYPERLINK("http://141.218.60.56/~jnz1568/getInfo.php?workbook=10_05.xlsx&amp;sheet=A0&amp;row=4109&amp;col=7&amp;number=0&amp;sourceID=14","0")</f>
        <v>0</v>
      </c>
    </row>
    <row r="4110" spans="1:7">
      <c r="A4110" s="3">
        <v>10</v>
      </c>
      <c r="B4110" s="3">
        <v>5</v>
      </c>
      <c r="C4110" s="3">
        <v>156</v>
      </c>
      <c r="D4110" s="3">
        <v>84</v>
      </c>
      <c r="E4110" s="3">
        <v>-1274.245</v>
      </c>
      <c r="F4110" s="4" t="str">
        <f>HYPERLINK("http://141.218.60.56/~jnz1568/getInfo.php?workbook=10_05.xlsx&amp;sheet=A0&amp;row=4110&amp;col=6&amp;number=9750&amp;sourceID=14","9750")</f>
        <v>9750</v>
      </c>
      <c r="G4110" s="4" t="str">
        <f>HYPERLINK("http://141.218.60.56/~jnz1568/getInfo.php?workbook=10_05.xlsx&amp;sheet=A0&amp;row=4110&amp;col=7&amp;number=0&amp;sourceID=14","0")</f>
        <v>0</v>
      </c>
    </row>
    <row r="4111" spans="1:7">
      <c r="A4111" s="3">
        <v>10</v>
      </c>
      <c r="B4111" s="3">
        <v>5</v>
      </c>
      <c r="C4111" s="3">
        <v>157</v>
      </c>
      <c r="D4111" s="3">
        <v>84</v>
      </c>
      <c r="E4111" s="3">
        <v>-1271.345</v>
      </c>
      <c r="F4111" s="4" t="str">
        <f>HYPERLINK("http://141.218.60.56/~jnz1568/getInfo.php?workbook=10_05.xlsx&amp;sheet=A0&amp;row=4111&amp;col=6&amp;number=2060&amp;sourceID=14","2060")</f>
        <v>2060</v>
      </c>
      <c r="G4111" s="4" t="str">
        <f>HYPERLINK("http://141.218.60.56/~jnz1568/getInfo.php?workbook=10_05.xlsx&amp;sheet=A0&amp;row=4111&amp;col=7&amp;number=0&amp;sourceID=14","0")</f>
        <v>0</v>
      </c>
    </row>
    <row r="4112" spans="1:7">
      <c r="A4112" s="3">
        <v>10</v>
      </c>
      <c r="B4112" s="3">
        <v>5</v>
      </c>
      <c r="C4112" s="3">
        <v>162</v>
      </c>
      <c r="D4112" s="3">
        <v>84</v>
      </c>
      <c r="E4112" s="3">
        <v>1243.01</v>
      </c>
      <c r="F4112" s="4" t="str">
        <f>HYPERLINK("http://141.218.60.56/~jnz1568/getInfo.php?workbook=10_05.xlsx&amp;sheet=A0&amp;row=4112&amp;col=6&amp;number=4150&amp;sourceID=14","4150")</f>
        <v>4150</v>
      </c>
      <c r="G4112" s="4" t="str">
        <f>HYPERLINK("http://141.218.60.56/~jnz1568/getInfo.php?workbook=10_05.xlsx&amp;sheet=A0&amp;row=4112&amp;col=7&amp;number=0&amp;sourceID=14","0")</f>
        <v>0</v>
      </c>
    </row>
    <row r="4113" spans="1:7">
      <c r="A4113" s="3">
        <v>10</v>
      </c>
      <c r="B4113" s="3">
        <v>5</v>
      </c>
      <c r="C4113" s="3">
        <v>168</v>
      </c>
      <c r="D4113" s="3">
        <v>84</v>
      </c>
      <c r="E4113" s="3">
        <v>-622.054</v>
      </c>
      <c r="F4113" s="4" t="str">
        <f>HYPERLINK("http://141.218.60.56/~jnz1568/getInfo.php?workbook=10_05.xlsx&amp;sheet=A0&amp;row=4113&amp;col=6&amp;number=218000&amp;sourceID=14","218000")</f>
        <v>218000</v>
      </c>
      <c r="G4113" s="4" t="str">
        <f>HYPERLINK("http://141.218.60.56/~jnz1568/getInfo.php?workbook=10_05.xlsx&amp;sheet=A0&amp;row=4113&amp;col=7&amp;number=0&amp;sourceID=14","0")</f>
        <v>0</v>
      </c>
    </row>
    <row r="4114" spans="1:7">
      <c r="A4114" s="3">
        <v>10</v>
      </c>
      <c r="B4114" s="3">
        <v>5</v>
      </c>
      <c r="C4114" s="3">
        <v>169</v>
      </c>
      <c r="D4114" s="3">
        <v>84</v>
      </c>
      <c r="E4114" s="3">
        <v>-621.868</v>
      </c>
      <c r="F4114" s="4" t="str">
        <f>HYPERLINK("http://141.218.60.56/~jnz1568/getInfo.php?workbook=10_05.xlsx&amp;sheet=A0&amp;row=4114&amp;col=6&amp;number=6380000&amp;sourceID=14","6380000")</f>
        <v>6380000</v>
      </c>
      <c r="G4114" s="4" t="str">
        <f>HYPERLINK("http://141.218.60.56/~jnz1568/getInfo.php?workbook=10_05.xlsx&amp;sheet=A0&amp;row=4114&amp;col=7&amp;number=0&amp;sourceID=14","0")</f>
        <v>0</v>
      </c>
    </row>
    <row r="4115" spans="1:7">
      <c r="A4115" s="3">
        <v>10</v>
      </c>
      <c r="B4115" s="3">
        <v>5</v>
      </c>
      <c r="C4115" s="3">
        <v>171</v>
      </c>
      <c r="D4115" s="3">
        <v>84</v>
      </c>
      <c r="E4115" s="3">
        <v>-587.297</v>
      </c>
      <c r="F4115" s="4" t="str">
        <f>HYPERLINK("http://141.218.60.56/~jnz1568/getInfo.php?workbook=10_05.xlsx&amp;sheet=A0&amp;row=4115&amp;col=6&amp;number=3820&amp;sourceID=14","3820")</f>
        <v>3820</v>
      </c>
      <c r="G4115" s="4" t="str">
        <f>HYPERLINK("http://141.218.60.56/~jnz1568/getInfo.php?workbook=10_05.xlsx&amp;sheet=A0&amp;row=4115&amp;col=7&amp;number=0&amp;sourceID=14","0")</f>
        <v>0</v>
      </c>
    </row>
    <row r="4116" spans="1:7">
      <c r="A4116" s="3">
        <v>10</v>
      </c>
      <c r="B4116" s="3">
        <v>5</v>
      </c>
      <c r="C4116" s="3">
        <v>172</v>
      </c>
      <c r="D4116" s="3">
        <v>84</v>
      </c>
      <c r="E4116" s="3">
        <v>-580.647</v>
      </c>
      <c r="F4116" s="4" t="str">
        <f>HYPERLINK("http://141.218.60.56/~jnz1568/getInfo.php?workbook=10_05.xlsx&amp;sheet=A0&amp;row=4116&amp;col=6&amp;number=966000&amp;sourceID=14","966000")</f>
        <v>966000</v>
      </c>
      <c r="G4116" s="4" t="str">
        <f>HYPERLINK("http://141.218.60.56/~jnz1568/getInfo.php?workbook=10_05.xlsx&amp;sheet=A0&amp;row=4116&amp;col=7&amp;number=0&amp;sourceID=14","0")</f>
        <v>0</v>
      </c>
    </row>
    <row r="4117" spans="1:7">
      <c r="A4117" s="3">
        <v>10</v>
      </c>
      <c r="B4117" s="3">
        <v>5</v>
      </c>
      <c r="C4117" s="3">
        <v>173</v>
      </c>
      <c r="D4117" s="3">
        <v>84</v>
      </c>
      <c r="E4117" s="3">
        <v>-580.569</v>
      </c>
      <c r="F4117" s="4" t="str">
        <f>HYPERLINK("http://141.218.60.56/~jnz1568/getInfo.php?workbook=10_05.xlsx&amp;sheet=A0&amp;row=4117&amp;col=6&amp;number=23700&amp;sourceID=14","23700")</f>
        <v>23700</v>
      </c>
      <c r="G4117" s="4" t="str">
        <f>HYPERLINK("http://141.218.60.56/~jnz1568/getInfo.php?workbook=10_05.xlsx&amp;sheet=A0&amp;row=4117&amp;col=7&amp;number=0&amp;sourceID=14","0")</f>
        <v>0</v>
      </c>
    </row>
    <row r="4118" spans="1:7">
      <c r="A4118" s="3">
        <v>10</v>
      </c>
      <c r="B4118" s="3">
        <v>5</v>
      </c>
      <c r="C4118" s="3">
        <v>100</v>
      </c>
      <c r="D4118" s="3">
        <v>85</v>
      </c>
      <c r="E4118" s="3">
        <v>-2687.671</v>
      </c>
      <c r="F4118" s="4" t="str">
        <f>HYPERLINK("http://141.218.60.56/~jnz1568/getInfo.php?workbook=10_05.xlsx&amp;sheet=A0&amp;row=4118&amp;col=6&amp;number=813000&amp;sourceID=14","813000")</f>
        <v>813000</v>
      </c>
      <c r="G4118" s="4" t="str">
        <f>HYPERLINK("http://141.218.60.56/~jnz1568/getInfo.php?workbook=10_05.xlsx&amp;sheet=A0&amp;row=4118&amp;col=7&amp;number=0&amp;sourceID=14","0")</f>
        <v>0</v>
      </c>
    </row>
    <row r="4119" spans="1:7">
      <c r="A4119" s="3">
        <v>10</v>
      </c>
      <c r="B4119" s="3">
        <v>5</v>
      </c>
      <c r="C4119" s="3">
        <v>102</v>
      </c>
      <c r="D4119" s="3">
        <v>85</v>
      </c>
      <c r="E4119" s="3">
        <v>-2660.782</v>
      </c>
      <c r="F4119" s="4" t="str">
        <f>HYPERLINK("http://141.218.60.56/~jnz1568/getInfo.php?workbook=10_05.xlsx&amp;sheet=A0&amp;row=4119&amp;col=6&amp;number=14200000&amp;sourceID=14","14200000")</f>
        <v>14200000</v>
      </c>
      <c r="G4119" s="4" t="str">
        <f>HYPERLINK("http://141.218.60.56/~jnz1568/getInfo.php?workbook=10_05.xlsx&amp;sheet=A0&amp;row=4119&amp;col=7&amp;number=0&amp;sourceID=14","0")</f>
        <v>0</v>
      </c>
    </row>
    <row r="4120" spans="1:7">
      <c r="A4120" s="3">
        <v>10</v>
      </c>
      <c r="B4120" s="3">
        <v>5</v>
      </c>
      <c r="C4120" s="3">
        <v>104</v>
      </c>
      <c r="D4120" s="3">
        <v>85</v>
      </c>
      <c r="E4120" s="3">
        <v>-2626.055</v>
      </c>
      <c r="F4120" s="4" t="str">
        <f>HYPERLINK("http://141.218.60.56/~jnz1568/getInfo.php?workbook=10_05.xlsx&amp;sheet=A0&amp;row=4120&amp;col=6&amp;number=119000000&amp;sourceID=14","119000000")</f>
        <v>119000000</v>
      </c>
      <c r="G4120" s="4" t="str">
        <f>HYPERLINK("http://141.218.60.56/~jnz1568/getInfo.php?workbook=10_05.xlsx&amp;sheet=A0&amp;row=4120&amp;col=7&amp;number=0&amp;sourceID=14","0")</f>
        <v>0</v>
      </c>
    </row>
    <row r="4121" spans="1:7">
      <c r="A4121" s="3">
        <v>10</v>
      </c>
      <c r="B4121" s="3">
        <v>5</v>
      </c>
      <c r="C4121" s="3">
        <v>107</v>
      </c>
      <c r="D4121" s="3">
        <v>85</v>
      </c>
      <c r="E4121" s="3">
        <v>-2308.087</v>
      </c>
      <c r="F4121" s="4" t="str">
        <f>HYPERLINK("http://141.218.60.56/~jnz1568/getInfo.php?workbook=10_05.xlsx&amp;sheet=A0&amp;row=4121&amp;col=6&amp;number=8840000&amp;sourceID=14","8840000")</f>
        <v>8840000</v>
      </c>
      <c r="G4121" s="4" t="str">
        <f>HYPERLINK("http://141.218.60.56/~jnz1568/getInfo.php?workbook=10_05.xlsx&amp;sheet=A0&amp;row=4121&amp;col=7&amp;number=0&amp;sourceID=14","0")</f>
        <v>0</v>
      </c>
    </row>
    <row r="4122" spans="1:7">
      <c r="A4122" s="3">
        <v>10</v>
      </c>
      <c r="B4122" s="3">
        <v>5</v>
      </c>
      <c r="C4122" s="3">
        <v>108</v>
      </c>
      <c r="D4122" s="3">
        <v>85</v>
      </c>
      <c r="E4122" s="3">
        <v>-2292.793</v>
      </c>
      <c r="F4122" s="4" t="str">
        <f>HYPERLINK("http://141.218.60.56/~jnz1568/getInfo.php?workbook=10_05.xlsx&amp;sheet=A0&amp;row=4122&amp;col=6&amp;number=41500000&amp;sourceID=14","41500000")</f>
        <v>41500000</v>
      </c>
      <c r="G4122" s="4" t="str">
        <f>HYPERLINK("http://141.218.60.56/~jnz1568/getInfo.php?workbook=10_05.xlsx&amp;sheet=A0&amp;row=4122&amp;col=7&amp;number=0&amp;sourceID=14","0")</f>
        <v>0</v>
      </c>
    </row>
    <row r="4123" spans="1:7">
      <c r="A4123" s="3">
        <v>10</v>
      </c>
      <c r="B4123" s="3">
        <v>5</v>
      </c>
      <c r="C4123" s="3">
        <v>115</v>
      </c>
      <c r="D4123" s="3">
        <v>85</v>
      </c>
      <c r="E4123" s="3">
        <v>-1941.374</v>
      </c>
      <c r="F4123" s="4" t="str">
        <f>HYPERLINK("http://141.218.60.56/~jnz1568/getInfo.php?workbook=10_05.xlsx&amp;sheet=A0&amp;row=4123&amp;col=6&amp;number=5830&amp;sourceID=14","5830")</f>
        <v>5830</v>
      </c>
      <c r="G4123" s="4" t="str">
        <f>HYPERLINK("http://141.218.60.56/~jnz1568/getInfo.php?workbook=10_05.xlsx&amp;sheet=A0&amp;row=4123&amp;col=7&amp;number=0&amp;sourceID=14","0")</f>
        <v>0</v>
      </c>
    </row>
    <row r="4124" spans="1:7">
      <c r="A4124" s="3">
        <v>10</v>
      </c>
      <c r="B4124" s="3">
        <v>5</v>
      </c>
      <c r="C4124" s="3">
        <v>116</v>
      </c>
      <c r="D4124" s="3">
        <v>85</v>
      </c>
      <c r="E4124" s="3">
        <v>-1908.4</v>
      </c>
      <c r="F4124" s="4" t="str">
        <f>HYPERLINK("http://141.218.60.56/~jnz1568/getInfo.php?workbook=10_05.xlsx&amp;sheet=A0&amp;row=4124&amp;col=6&amp;number=106000&amp;sourceID=14","106000")</f>
        <v>106000</v>
      </c>
      <c r="G4124" s="4" t="str">
        <f>HYPERLINK("http://141.218.60.56/~jnz1568/getInfo.php?workbook=10_05.xlsx&amp;sheet=A0&amp;row=4124&amp;col=7&amp;number=0&amp;sourceID=14","0")</f>
        <v>0</v>
      </c>
    </row>
    <row r="4125" spans="1:7">
      <c r="A4125" s="3">
        <v>10</v>
      </c>
      <c r="B4125" s="3">
        <v>5</v>
      </c>
      <c r="C4125" s="3">
        <v>117</v>
      </c>
      <c r="D4125" s="3">
        <v>85</v>
      </c>
      <c r="E4125" s="3">
        <v>-1900.277</v>
      </c>
      <c r="F4125" s="4" t="str">
        <f>HYPERLINK("http://141.218.60.56/~jnz1568/getInfo.php?workbook=10_05.xlsx&amp;sheet=A0&amp;row=4125&amp;col=6&amp;number=488000&amp;sourceID=14","488000")</f>
        <v>488000</v>
      </c>
      <c r="G4125" s="4" t="str">
        <f>HYPERLINK("http://141.218.60.56/~jnz1568/getInfo.php?workbook=10_05.xlsx&amp;sheet=A0&amp;row=4125&amp;col=7&amp;number=0&amp;sourceID=14","0")</f>
        <v>0</v>
      </c>
    </row>
    <row r="4126" spans="1:7">
      <c r="A4126" s="3">
        <v>10</v>
      </c>
      <c r="B4126" s="3">
        <v>5</v>
      </c>
      <c r="C4126" s="3">
        <v>122</v>
      </c>
      <c r="D4126" s="3">
        <v>85</v>
      </c>
      <c r="E4126" s="3">
        <v>-1769.602</v>
      </c>
      <c r="F4126" s="4" t="str">
        <f>HYPERLINK("http://141.218.60.56/~jnz1568/getInfo.php?workbook=10_05.xlsx&amp;sheet=A0&amp;row=4126&amp;col=6&amp;number=3320000&amp;sourceID=14","3320000")</f>
        <v>3320000</v>
      </c>
      <c r="G4126" s="4" t="str">
        <f>HYPERLINK("http://141.218.60.56/~jnz1568/getInfo.php?workbook=10_05.xlsx&amp;sheet=A0&amp;row=4126&amp;col=7&amp;number=0&amp;sourceID=14","0")</f>
        <v>0</v>
      </c>
    </row>
    <row r="4127" spans="1:7">
      <c r="A4127" s="3">
        <v>10</v>
      </c>
      <c r="B4127" s="3">
        <v>5</v>
      </c>
      <c r="C4127" s="3">
        <v>124</v>
      </c>
      <c r="D4127" s="3">
        <v>85</v>
      </c>
      <c r="E4127" s="3">
        <v>-1752.882</v>
      </c>
      <c r="F4127" s="4" t="str">
        <f>HYPERLINK("http://141.218.60.56/~jnz1568/getInfo.php?workbook=10_05.xlsx&amp;sheet=A0&amp;row=4127&amp;col=6&amp;number=15600000&amp;sourceID=14","15600000")</f>
        <v>15600000</v>
      </c>
      <c r="G4127" s="4" t="str">
        <f>HYPERLINK("http://141.218.60.56/~jnz1568/getInfo.php?workbook=10_05.xlsx&amp;sheet=A0&amp;row=4127&amp;col=7&amp;number=0&amp;sourceID=14","0")</f>
        <v>0</v>
      </c>
    </row>
    <row r="4128" spans="1:7">
      <c r="A4128" s="3">
        <v>10</v>
      </c>
      <c r="B4128" s="3">
        <v>5</v>
      </c>
      <c r="C4128" s="3">
        <v>130</v>
      </c>
      <c r="D4128" s="3">
        <v>85</v>
      </c>
      <c r="E4128" s="3">
        <v>1623.643</v>
      </c>
      <c r="F4128" s="4" t="str">
        <f>HYPERLINK("http://141.218.60.56/~jnz1568/getInfo.php?workbook=10_05.xlsx&amp;sheet=A0&amp;row=4128&amp;col=6&amp;number=175000&amp;sourceID=14","175000")</f>
        <v>175000</v>
      </c>
      <c r="G4128" s="4" t="str">
        <f>HYPERLINK("http://141.218.60.56/~jnz1568/getInfo.php?workbook=10_05.xlsx&amp;sheet=A0&amp;row=4128&amp;col=7&amp;number=0&amp;sourceID=14","0")</f>
        <v>0</v>
      </c>
    </row>
    <row r="4129" spans="1:7">
      <c r="A4129" s="3">
        <v>10</v>
      </c>
      <c r="B4129" s="3">
        <v>5</v>
      </c>
      <c r="C4129" s="3">
        <v>133</v>
      </c>
      <c r="D4129" s="3">
        <v>85</v>
      </c>
      <c r="E4129" s="3">
        <v>-1614.86</v>
      </c>
      <c r="F4129" s="4" t="str">
        <f>HYPERLINK("http://141.218.60.56/~jnz1568/getInfo.php?workbook=10_05.xlsx&amp;sheet=A0&amp;row=4129&amp;col=6&amp;number=360000&amp;sourceID=14","360000")</f>
        <v>360000</v>
      </c>
      <c r="G4129" s="4" t="str">
        <f>HYPERLINK("http://141.218.60.56/~jnz1568/getInfo.php?workbook=10_05.xlsx&amp;sheet=A0&amp;row=4129&amp;col=7&amp;number=0&amp;sourceID=14","0")</f>
        <v>0</v>
      </c>
    </row>
    <row r="4130" spans="1:7">
      <c r="A4130" s="3">
        <v>10</v>
      </c>
      <c r="B4130" s="3">
        <v>5</v>
      </c>
      <c r="C4130" s="3">
        <v>138</v>
      </c>
      <c r="D4130" s="3">
        <v>85</v>
      </c>
      <c r="E4130" s="3">
        <v>-1536.455</v>
      </c>
      <c r="F4130" s="4" t="str">
        <f>HYPERLINK("http://141.218.60.56/~jnz1568/getInfo.php?workbook=10_05.xlsx&amp;sheet=A0&amp;row=4130&amp;col=6&amp;number=1450&amp;sourceID=14","1450")</f>
        <v>1450</v>
      </c>
      <c r="G4130" s="4" t="str">
        <f>HYPERLINK("http://141.218.60.56/~jnz1568/getInfo.php?workbook=10_05.xlsx&amp;sheet=A0&amp;row=4130&amp;col=7&amp;number=0&amp;sourceID=14","0")</f>
        <v>0</v>
      </c>
    </row>
    <row r="4131" spans="1:7">
      <c r="A4131" s="3">
        <v>10</v>
      </c>
      <c r="B4131" s="3">
        <v>5</v>
      </c>
      <c r="C4131" s="3">
        <v>139</v>
      </c>
      <c r="D4131" s="3">
        <v>85</v>
      </c>
      <c r="E4131" s="3">
        <v>-1533.604</v>
      </c>
      <c r="F4131" s="4" t="str">
        <f>HYPERLINK("http://141.218.60.56/~jnz1568/getInfo.php?workbook=10_05.xlsx&amp;sheet=A0&amp;row=4131&amp;col=6&amp;number=9930&amp;sourceID=14","9930")</f>
        <v>9930</v>
      </c>
      <c r="G4131" s="4" t="str">
        <f>HYPERLINK("http://141.218.60.56/~jnz1568/getInfo.php?workbook=10_05.xlsx&amp;sheet=A0&amp;row=4131&amp;col=7&amp;number=0&amp;sourceID=14","0")</f>
        <v>0</v>
      </c>
    </row>
    <row r="4132" spans="1:7">
      <c r="A4132" s="3">
        <v>10</v>
      </c>
      <c r="B4132" s="3">
        <v>5</v>
      </c>
      <c r="C4132" s="3">
        <v>151</v>
      </c>
      <c r="D4132" s="3">
        <v>85</v>
      </c>
      <c r="E4132" s="3">
        <v>-1356.45</v>
      </c>
      <c r="F4132" s="4" t="str">
        <f>HYPERLINK("http://141.218.60.56/~jnz1568/getInfo.php?workbook=10_05.xlsx&amp;sheet=A0&amp;row=4132&amp;col=6&amp;number=0.547&amp;sourceID=14","0.547")</f>
        <v>0.547</v>
      </c>
      <c r="G4132" s="4" t="str">
        <f>HYPERLINK("http://141.218.60.56/~jnz1568/getInfo.php?workbook=10_05.xlsx&amp;sheet=A0&amp;row=4132&amp;col=7&amp;number=0&amp;sourceID=14","0")</f>
        <v>0</v>
      </c>
    </row>
    <row r="4133" spans="1:7">
      <c r="A4133" s="3">
        <v>10</v>
      </c>
      <c r="B4133" s="3">
        <v>5</v>
      </c>
      <c r="C4133" s="3">
        <v>154</v>
      </c>
      <c r="D4133" s="3">
        <v>85</v>
      </c>
      <c r="E4133" s="3">
        <v>1289.327</v>
      </c>
      <c r="F4133" s="4" t="str">
        <f>HYPERLINK("http://141.218.60.56/~jnz1568/getInfo.php?workbook=10_05.xlsx&amp;sheet=A0&amp;row=4133&amp;col=6&amp;number=311000&amp;sourceID=14","311000")</f>
        <v>311000</v>
      </c>
      <c r="G4133" s="4" t="str">
        <f>HYPERLINK("http://141.218.60.56/~jnz1568/getInfo.php?workbook=10_05.xlsx&amp;sheet=A0&amp;row=4133&amp;col=7&amp;number=0&amp;sourceID=14","0")</f>
        <v>0</v>
      </c>
    </row>
    <row r="4134" spans="1:7">
      <c r="A4134" s="3">
        <v>10</v>
      </c>
      <c r="B4134" s="3">
        <v>5</v>
      </c>
      <c r="C4134" s="3">
        <v>155</v>
      </c>
      <c r="D4134" s="3">
        <v>85</v>
      </c>
      <c r="E4134" s="3">
        <v>1289.327</v>
      </c>
      <c r="F4134" s="4" t="str">
        <f>HYPERLINK("http://141.218.60.56/~jnz1568/getInfo.php?workbook=10_05.xlsx&amp;sheet=A0&amp;row=4134&amp;col=6&amp;number=38900&amp;sourceID=14","38900")</f>
        <v>38900</v>
      </c>
      <c r="G4134" s="4" t="str">
        <f>HYPERLINK("http://141.218.60.56/~jnz1568/getInfo.php?workbook=10_05.xlsx&amp;sheet=A0&amp;row=4134&amp;col=7&amp;number=0&amp;sourceID=14","0")</f>
        <v>0</v>
      </c>
    </row>
    <row r="4135" spans="1:7">
      <c r="A4135" s="3">
        <v>10</v>
      </c>
      <c r="B4135" s="3">
        <v>5</v>
      </c>
      <c r="C4135" s="3">
        <v>157</v>
      </c>
      <c r="D4135" s="3">
        <v>85</v>
      </c>
      <c r="E4135" s="3">
        <v>-1282.07</v>
      </c>
      <c r="F4135" s="4" t="str">
        <f>HYPERLINK("http://141.218.60.56/~jnz1568/getInfo.php?workbook=10_05.xlsx&amp;sheet=A0&amp;row=4135&amp;col=6&amp;number=7080&amp;sourceID=14","7080")</f>
        <v>7080</v>
      </c>
      <c r="G4135" s="4" t="str">
        <f>HYPERLINK("http://141.218.60.56/~jnz1568/getInfo.php?workbook=10_05.xlsx&amp;sheet=A0&amp;row=4135&amp;col=7&amp;number=0&amp;sourceID=14","0")</f>
        <v>0</v>
      </c>
    </row>
    <row r="4136" spans="1:7">
      <c r="A4136" s="3">
        <v>10</v>
      </c>
      <c r="B4136" s="3">
        <v>5</v>
      </c>
      <c r="C4136" s="3">
        <v>168</v>
      </c>
      <c r="D4136" s="3">
        <v>85</v>
      </c>
      <c r="E4136" s="3">
        <v>-624.611</v>
      </c>
      <c r="F4136" s="4" t="str">
        <f>HYPERLINK("http://141.218.60.56/~jnz1568/getInfo.php?workbook=10_05.xlsx&amp;sheet=A0&amp;row=4136&amp;col=6&amp;number=12100000&amp;sourceID=14","12100000")</f>
        <v>12100000</v>
      </c>
      <c r="G4136" s="4" t="str">
        <f>HYPERLINK("http://141.218.60.56/~jnz1568/getInfo.php?workbook=10_05.xlsx&amp;sheet=A0&amp;row=4136&amp;col=7&amp;number=0&amp;sourceID=14","0")</f>
        <v>0</v>
      </c>
    </row>
    <row r="4137" spans="1:7">
      <c r="A4137" s="3">
        <v>10</v>
      </c>
      <c r="B4137" s="3">
        <v>5</v>
      </c>
      <c r="C4137" s="3">
        <v>173</v>
      </c>
      <c r="D4137" s="3">
        <v>85</v>
      </c>
      <c r="E4137" s="3">
        <v>-582.796</v>
      </c>
      <c r="F4137" s="4" t="str">
        <f>HYPERLINK("http://141.218.60.56/~jnz1568/getInfo.php?workbook=10_05.xlsx&amp;sheet=A0&amp;row=4137&amp;col=6&amp;number=1840000&amp;sourceID=14","1840000")</f>
        <v>1840000</v>
      </c>
      <c r="G4137" s="4" t="str">
        <f>HYPERLINK("http://141.218.60.56/~jnz1568/getInfo.php?workbook=10_05.xlsx&amp;sheet=A0&amp;row=4137&amp;col=7&amp;number=0&amp;sourceID=14","0")</f>
        <v>0</v>
      </c>
    </row>
    <row r="4138" spans="1:7">
      <c r="A4138" s="3">
        <v>10</v>
      </c>
      <c r="B4138" s="3">
        <v>5</v>
      </c>
      <c r="C4138" s="3">
        <v>99</v>
      </c>
      <c r="D4138" s="3">
        <v>86</v>
      </c>
      <c r="E4138" s="3">
        <v>-2732.096</v>
      </c>
      <c r="F4138" s="4" t="str">
        <f>HYPERLINK("http://141.218.60.56/~jnz1568/getInfo.php?workbook=10_05.xlsx&amp;sheet=A0&amp;row=4138&amp;col=6&amp;number=11600&amp;sourceID=14","11600")</f>
        <v>11600</v>
      </c>
      <c r="G4138" s="4" t="str">
        <f>HYPERLINK("http://141.218.60.56/~jnz1568/getInfo.php?workbook=10_05.xlsx&amp;sheet=A0&amp;row=4138&amp;col=7&amp;number=0&amp;sourceID=14","0")</f>
        <v>0</v>
      </c>
    </row>
    <row r="4139" spans="1:7">
      <c r="A4139" s="3">
        <v>10</v>
      </c>
      <c r="B4139" s="3">
        <v>5</v>
      </c>
      <c r="C4139" s="3">
        <v>100</v>
      </c>
      <c r="D4139" s="3">
        <v>86</v>
      </c>
      <c r="E4139" s="3">
        <v>-2712.605</v>
      </c>
      <c r="F4139" s="4" t="str">
        <f>HYPERLINK("http://141.218.60.56/~jnz1568/getInfo.php?workbook=10_05.xlsx&amp;sheet=A0&amp;row=4139&amp;col=6&amp;number=54900&amp;sourceID=14","54900")</f>
        <v>54900</v>
      </c>
      <c r="G4139" s="4" t="str">
        <f>HYPERLINK("http://141.218.60.56/~jnz1568/getInfo.php?workbook=10_05.xlsx&amp;sheet=A0&amp;row=4139&amp;col=7&amp;number=0&amp;sourceID=14","0")</f>
        <v>0</v>
      </c>
    </row>
    <row r="4140" spans="1:7">
      <c r="A4140" s="3">
        <v>10</v>
      </c>
      <c r="B4140" s="3">
        <v>5</v>
      </c>
      <c r="C4140" s="3">
        <v>102</v>
      </c>
      <c r="D4140" s="3">
        <v>86</v>
      </c>
      <c r="E4140" s="3">
        <v>-2685.217</v>
      </c>
      <c r="F4140" s="4" t="str">
        <f>HYPERLINK("http://141.218.60.56/~jnz1568/getInfo.php?workbook=10_05.xlsx&amp;sheet=A0&amp;row=4140&amp;col=6&amp;number=217000&amp;sourceID=14","217000")</f>
        <v>217000</v>
      </c>
      <c r="G4140" s="4" t="str">
        <f>HYPERLINK("http://141.218.60.56/~jnz1568/getInfo.php?workbook=10_05.xlsx&amp;sheet=A0&amp;row=4140&amp;col=7&amp;number=0&amp;sourceID=14","0")</f>
        <v>0</v>
      </c>
    </row>
    <row r="4141" spans="1:7">
      <c r="A4141" s="3">
        <v>10</v>
      </c>
      <c r="B4141" s="3">
        <v>5</v>
      </c>
      <c r="C4141" s="3">
        <v>106</v>
      </c>
      <c r="D4141" s="3">
        <v>86</v>
      </c>
      <c r="E4141" s="3">
        <v>-2341.596</v>
      </c>
      <c r="F4141" s="4" t="str">
        <f>HYPERLINK("http://141.218.60.56/~jnz1568/getInfo.php?workbook=10_05.xlsx&amp;sheet=A0&amp;row=4141&amp;col=6&amp;number=19400&amp;sourceID=14","19400")</f>
        <v>19400</v>
      </c>
      <c r="G4141" s="4" t="str">
        <f>HYPERLINK("http://141.218.60.56/~jnz1568/getInfo.php?workbook=10_05.xlsx&amp;sheet=A0&amp;row=4141&amp;col=7&amp;number=0&amp;sourceID=14","0")</f>
        <v>0</v>
      </c>
    </row>
    <row r="4142" spans="1:7">
      <c r="A4142" s="3">
        <v>10</v>
      </c>
      <c r="B4142" s="3">
        <v>5</v>
      </c>
      <c r="C4142" s="3">
        <v>107</v>
      </c>
      <c r="D4142" s="3">
        <v>86</v>
      </c>
      <c r="E4142" s="3">
        <v>-2326.451</v>
      </c>
      <c r="F4142" s="4" t="str">
        <f>HYPERLINK("http://141.218.60.56/~jnz1568/getInfo.php?workbook=10_05.xlsx&amp;sheet=A0&amp;row=4142&amp;col=6&amp;number=88200&amp;sourceID=14","88200")</f>
        <v>88200</v>
      </c>
      <c r="G4142" s="4" t="str">
        <f>HYPERLINK("http://141.218.60.56/~jnz1568/getInfo.php?workbook=10_05.xlsx&amp;sheet=A0&amp;row=4142&amp;col=7&amp;number=0&amp;sourceID=14","0")</f>
        <v>0</v>
      </c>
    </row>
    <row r="4143" spans="1:7">
      <c r="A4143" s="3">
        <v>10</v>
      </c>
      <c r="B4143" s="3">
        <v>5</v>
      </c>
      <c r="C4143" s="3">
        <v>108</v>
      </c>
      <c r="D4143" s="3">
        <v>86</v>
      </c>
      <c r="E4143" s="3">
        <v>-2310.914</v>
      </c>
      <c r="F4143" s="4" t="str">
        <f>HYPERLINK("http://141.218.60.56/~jnz1568/getInfo.php?workbook=10_05.xlsx&amp;sheet=A0&amp;row=4143&amp;col=6&amp;number=14200&amp;sourceID=14","14200")</f>
        <v>14200</v>
      </c>
      <c r="G4143" s="4" t="str">
        <f>HYPERLINK("http://141.218.60.56/~jnz1568/getInfo.php?workbook=10_05.xlsx&amp;sheet=A0&amp;row=4143&amp;col=7&amp;number=0&amp;sourceID=14","0")</f>
        <v>0</v>
      </c>
    </row>
    <row r="4144" spans="1:7">
      <c r="A4144" s="3">
        <v>10</v>
      </c>
      <c r="B4144" s="3">
        <v>5</v>
      </c>
      <c r="C4144" s="3">
        <v>109</v>
      </c>
      <c r="D4144" s="3">
        <v>86</v>
      </c>
      <c r="E4144" s="3">
        <v>-2288.962</v>
      </c>
      <c r="F4144" s="4" t="str">
        <f>HYPERLINK("http://141.218.60.56/~jnz1568/getInfo.php?workbook=10_05.xlsx&amp;sheet=A0&amp;row=4144&amp;col=6&amp;number=4490&amp;sourceID=14","4490")</f>
        <v>4490</v>
      </c>
      <c r="G4144" s="4" t="str">
        <f>HYPERLINK("http://141.218.60.56/~jnz1568/getInfo.php?workbook=10_05.xlsx&amp;sheet=A0&amp;row=4144&amp;col=7&amp;number=0&amp;sourceID=14","0")</f>
        <v>0</v>
      </c>
    </row>
    <row r="4145" spans="1:7">
      <c r="A4145" s="3">
        <v>10</v>
      </c>
      <c r="B4145" s="3">
        <v>5</v>
      </c>
      <c r="C4145" s="3">
        <v>115</v>
      </c>
      <c r="D4145" s="3">
        <v>86</v>
      </c>
      <c r="E4145" s="3">
        <v>-1954.35</v>
      </c>
      <c r="F4145" s="4" t="str">
        <f>HYPERLINK("http://141.218.60.56/~jnz1568/getInfo.php?workbook=10_05.xlsx&amp;sheet=A0&amp;row=4145&amp;col=6&amp;number=4380000&amp;sourceID=14","4380000")</f>
        <v>4380000</v>
      </c>
      <c r="G4145" s="4" t="str">
        <f>HYPERLINK("http://141.218.60.56/~jnz1568/getInfo.php?workbook=10_05.xlsx&amp;sheet=A0&amp;row=4145&amp;col=7&amp;number=0&amp;sourceID=14","0")</f>
        <v>0</v>
      </c>
    </row>
    <row r="4146" spans="1:7">
      <c r="A4146" s="3">
        <v>10</v>
      </c>
      <c r="B4146" s="3">
        <v>5</v>
      </c>
      <c r="C4146" s="3">
        <v>116</v>
      </c>
      <c r="D4146" s="3">
        <v>86</v>
      </c>
      <c r="E4146" s="3">
        <v>-1920.938</v>
      </c>
      <c r="F4146" s="4" t="str">
        <f>HYPERLINK("http://141.218.60.56/~jnz1568/getInfo.php?workbook=10_05.xlsx&amp;sheet=A0&amp;row=4146&amp;col=6&amp;number=75500&amp;sourceID=14","75500")</f>
        <v>75500</v>
      </c>
      <c r="G4146" s="4" t="str">
        <f>HYPERLINK("http://141.218.60.56/~jnz1568/getInfo.php?workbook=10_05.xlsx&amp;sheet=A0&amp;row=4146&amp;col=7&amp;number=0&amp;sourceID=14","0")</f>
        <v>0</v>
      </c>
    </row>
    <row r="4147" spans="1:7">
      <c r="A4147" s="3">
        <v>10</v>
      </c>
      <c r="B4147" s="3">
        <v>5</v>
      </c>
      <c r="C4147" s="3">
        <v>117</v>
      </c>
      <c r="D4147" s="3">
        <v>86</v>
      </c>
      <c r="E4147" s="3">
        <v>-1912.708</v>
      </c>
      <c r="F4147" s="4" t="str">
        <f>HYPERLINK("http://141.218.60.56/~jnz1568/getInfo.php?workbook=10_05.xlsx&amp;sheet=A0&amp;row=4147&amp;col=6&amp;number=2.63&amp;sourceID=14","2.63")</f>
        <v>2.63</v>
      </c>
      <c r="G4147" s="4" t="str">
        <f>HYPERLINK("http://141.218.60.56/~jnz1568/getInfo.php?workbook=10_05.xlsx&amp;sheet=A0&amp;row=4147&amp;col=7&amp;number=0&amp;sourceID=14","0")</f>
        <v>0</v>
      </c>
    </row>
    <row r="4148" spans="1:7">
      <c r="A4148" s="3">
        <v>10</v>
      </c>
      <c r="B4148" s="3">
        <v>5</v>
      </c>
      <c r="C4148" s="3">
        <v>118</v>
      </c>
      <c r="D4148" s="3">
        <v>86</v>
      </c>
      <c r="E4148" s="3">
        <v>-1909.749</v>
      </c>
      <c r="F4148" s="4" t="str">
        <f>HYPERLINK("http://141.218.60.56/~jnz1568/getInfo.php?workbook=10_05.xlsx&amp;sheet=A0&amp;row=4148&amp;col=6&amp;number=311&amp;sourceID=14","311")</f>
        <v>311</v>
      </c>
      <c r="G4148" s="4" t="str">
        <f>HYPERLINK("http://141.218.60.56/~jnz1568/getInfo.php?workbook=10_05.xlsx&amp;sheet=A0&amp;row=4148&amp;col=7&amp;number=0&amp;sourceID=14","0")</f>
        <v>0</v>
      </c>
    </row>
    <row r="4149" spans="1:7">
      <c r="A4149" s="3">
        <v>10</v>
      </c>
      <c r="B4149" s="3">
        <v>5</v>
      </c>
      <c r="C4149" s="3">
        <v>121</v>
      </c>
      <c r="D4149" s="3">
        <v>86</v>
      </c>
      <c r="E4149" s="3">
        <v>-1792.182</v>
      </c>
      <c r="F4149" s="4" t="str">
        <f>HYPERLINK("http://141.218.60.56/~jnz1568/getInfo.php?workbook=10_05.xlsx&amp;sheet=A0&amp;row=4149&amp;col=6&amp;number=16000&amp;sourceID=14","16000")</f>
        <v>16000</v>
      </c>
      <c r="G4149" s="4" t="str">
        <f>HYPERLINK("http://141.218.60.56/~jnz1568/getInfo.php?workbook=10_05.xlsx&amp;sheet=A0&amp;row=4149&amp;col=7&amp;number=0&amp;sourceID=14","0")</f>
        <v>0</v>
      </c>
    </row>
    <row r="4150" spans="1:7">
      <c r="A4150" s="3">
        <v>10</v>
      </c>
      <c r="B4150" s="3">
        <v>5</v>
      </c>
      <c r="C4150" s="3">
        <v>122</v>
      </c>
      <c r="D4150" s="3">
        <v>86</v>
      </c>
      <c r="E4150" s="3">
        <v>-1780.376</v>
      </c>
      <c r="F4150" s="4" t="str">
        <f>HYPERLINK("http://141.218.60.56/~jnz1568/getInfo.php?workbook=10_05.xlsx&amp;sheet=A0&amp;row=4150&amp;col=6&amp;number=12500&amp;sourceID=14","12500")</f>
        <v>12500</v>
      </c>
      <c r="G4150" s="4" t="str">
        <f>HYPERLINK("http://141.218.60.56/~jnz1568/getInfo.php?workbook=10_05.xlsx&amp;sheet=A0&amp;row=4150&amp;col=7&amp;number=0&amp;sourceID=14","0")</f>
        <v>0</v>
      </c>
    </row>
    <row r="4151" spans="1:7">
      <c r="A4151" s="3">
        <v>10</v>
      </c>
      <c r="B4151" s="3">
        <v>5</v>
      </c>
      <c r="C4151" s="3">
        <v>123</v>
      </c>
      <c r="D4151" s="3">
        <v>86</v>
      </c>
      <c r="E4151" s="3">
        <v>-1771.106</v>
      </c>
      <c r="F4151" s="4" t="str">
        <f>HYPERLINK("http://141.218.60.56/~jnz1568/getInfo.php?workbook=10_05.xlsx&amp;sheet=A0&amp;row=4151&amp;col=6&amp;number=288&amp;sourceID=14","288")</f>
        <v>288</v>
      </c>
      <c r="G4151" s="4" t="str">
        <f>HYPERLINK("http://141.218.60.56/~jnz1568/getInfo.php?workbook=10_05.xlsx&amp;sheet=A0&amp;row=4151&amp;col=7&amp;number=0&amp;sourceID=14","0")</f>
        <v>0</v>
      </c>
    </row>
    <row r="4152" spans="1:7">
      <c r="A4152" s="3">
        <v>10</v>
      </c>
      <c r="B4152" s="3">
        <v>5</v>
      </c>
      <c r="C4152" s="3">
        <v>124</v>
      </c>
      <c r="D4152" s="3">
        <v>86</v>
      </c>
      <c r="E4152" s="3">
        <v>-1763.454</v>
      </c>
      <c r="F4152" s="4" t="str">
        <f>HYPERLINK("http://141.218.60.56/~jnz1568/getInfo.php?workbook=10_05.xlsx&amp;sheet=A0&amp;row=4152&amp;col=6&amp;number=3640&amp;sourceID=14","3640")</f>
        <v>3640</v>
      </c>
      <c r="G4152" s="4" t="str">
        <f>HYPERLINK("http://141.218.60.56/~jnz1568/getInfo.php?workbook=10_05.xlsx&amp;sheet=A0&amp;row=4152&amp;col=7&amp;number=0&amp;sourceID=14","0")</f>
        <v>0</v>
      </c>
    </row>
    <row r="4153" spans="1:7">
      <c r="A4153" s="3">
        <v>10</v>
      </c>
      <c r="B4153" s="3">
        <v>5</v>
      </c>
      <c r="C4153" s="3">
        <v>126</v>
      </c>
      <c r="D4153" s="3">
        <v>86</v>
      </c>
      <c r="E4153" s="3">
        <v>-1727.984</v>
      </c>
      <c r="F4153" s="4" t="str">
        <f>HYPERLINK("http://141.218.60.56/~jnz1568/getInfo.php?workbook=10_05.xlsx&amp;sheet=A0&amp;row=4153&amp;col=6&amp;number=9150&amp;sourceID=14","9150")</f>
        <v>9150</v>
      </c>
      <c r="G4153" s="4" t="str">
        <f>HYPERLINK("http://141.218.60.56/~jnz1568/getInfo.php?workbook=10_05.xlsx&amp;sheet=A0&amp;row=4153&amp;col=7&amp;number=0&amp;sourceID=14","0")</f>
        <v>0</v>
      </c>
    </row>
    <row r="4154" spans="1:7">
      <c r="A4154" s="3">
        <v>10</v>
      </c>
      <c r="B4154" s="3">
        <v>5</v>
      </c>
      <c r="C4154" s="3">
        <v>129</v>
      </c>
      <c r="D4154" s="3">
        <v>86</v>
      </c>
      <c r="E4154" s="3">
        <v>-1657.801</v>
      </c>
      <c r="F4154" s="4" t="str">
        <f>HYPERLINK("http://141.218.60.56/~jnz1568/getInfo.php?workbook=10_05.xlsx&amp;sheet=A0&amp;row=4154&amp;col=6&amp;number=838000&amp;sourceID=14","838000")</f>
        <v>838000</v>
      </c>
      <c r="G4154" s="4" t="str">
        <f>HYPERLINK("http://141.218.60.56/~jnz1568/getInfo.php?workbook=10_05.xlsx&amp;sheet=A0&amp;row=4154&amp;col=7&amp;number=0&amp;sourceID=14","0")</f>
        <v>0</v>
      </c>
    </row>
    <row r="4155" spans="1:7">
      <c r="A4155" s="3">
        <v>10</v>
      </c>
      <c r="B4155" s="3">
        <v>5</v>
      </c>
      <c r="C4155" s="3">
        <v>130</v>
      </c>
      <c r="D4155" s="3">
        <v>86</v>
      </c>
      <c r="E4155" s="3">
        <v>-1641.365</v>
      </c>
      <c r="F4155" s="4" t="str">
        <f>HYPERLINK("http://141.218.60.56/~jnz1568/getInfo.php?workbook=10_05.xlsx&amp;sheet=A0&amp;row=4155&amp;col=6&amp;number=14600&amp;sourceID=14","14600")</f>
        <v>14600</v>
      </c>
      <c r="G4155" s="4" t="str">
        <f>HYPERLINK("http://141.218.60.56/~jnz1568/getInfo.php?workbook=10_05.xlsx&amp;sheet=A0&amp;row=4155&amp;col=7&amp;number=0&amp;sourceID=14","0")</f>
        <v>0</v>
      </c>
    </row>
    <row r="4156" spans="1:7">
      <c r="A4156" s="3">
        <v>10</v>
      </c>
      <c r="B4156" s="3">
        <v>5</v>
      </c>
      <c r="C4156" s="3">
        <v>132</v>
      </c>
      <c r="D4156" s="3">
        <v>86</v>
      </c>
      <c r="E4156" s="3">
        <v>-1629.331</v>
      </c>
      <c r="F4156" s="4" t="str">
        <f>HYPERLINK("http://141.218.60.56/~jnz1568/getInfo.php?workbook=10_05.xlsx&amp;sheet=A0&amp;row=4156&amp;col=6&amp;number=6590&amp;sourceID=14","6590")</f>
        <v>6590</v>
      </c>
      <c r="G4156" s="4" t="str">
        <f>HYPERLINK("http://141.218.60.56/~jnz1568/getInfo.php?workbook=10_05.xlsx&amp;sheet=A0&amp;row=4156&amp;col=7&amp;number=0&amp;sourceID=14","0")</f>
        <v>0</v>
      </c>
    </row>
    <row r="4157" spans="1:7">
      <c r="A4157" s="3">
        <v>10</v>
      </c>
      <c r="B4157" s="3">
        <v>5</v>
      </c>
      <c r="C4157" s="3">
        <v>133</v>
      </c>
      <c r="D4157" s="3">
        <v>86</v>
      </c>
      <c r="E4157" s="3">
        <v>-1623.828</v>
      </c>
      <c r="F4157" s="4" t="str">
        <f>HYPERLINK("http://141.218.60.56/~jnz1568/getInfo.php?workbook=10_05.xlsx&amp;sheet=A0&amp;row=4157&amp;col=6&amp;number=4070&amp;sourceID=14","4070")</f>
        <v>4070</v>
      </c>
      <c r="G4157" s="4" t="str">
        <f>HYPERLINK("http://141.218.60.56/~jnz1568/getInfo.php?workbook=10_05.xlsx&amp;sheet=A0&amp;row=4157&amp;col=7&amp;number=0&amp;sourceID=14","0")</f>
        <v>0</v>
      </c>
    </row>
    <row r="4158" spans="1:7">
      <c r="A4158" s="3">
        <v>10</v>
      </c>
      <c r="B4158" s="3">
        <v>5</v>
      </c>
      <c r="C4158" s="3">
        <v>138</v>
      </c>
      <c r="D4158" s="3">
        <v>86</v>
      </c>
      <c r="E4158" s="3">
        <v>-1544.571</v>
      </c>
      <c r="F4158" s="4" t="str">
        <f>HYPERLINK("http://141.218.60.56/~jnz1568/getInfo.php?workbook=10_05.xlsx&amp;sheet=A0&amp;row=4158&amp;col=6&amp;number=721000&amp;sourceID=14","721000")</f>
        <v>721000</v>
      </c>
      <c r="G4158" s="4" t="str">
        <f>HYPERLINK("http://141.218.60.56/~jnz1568/getInfo.php?workbook=10_05.xlsx&amp;sheet=A0&amp;row=4158&amp;col=7&amp;number=0&amp;sourceID=14","0")</f>
        <v>0</v>
      </c>
    </row>
    <row r="4159" spans="1:7">
      <c r="A4159" s="3">
        <v>10</v>
      </c>
      <c r="B4159" s="3">
        <v>5</v>
      </c>
      <c r="C4159" s="3">
        <v>150</v>
      </c>
      <c r="D4159" s="3">
        <v>86</v>
      </c>
      <c r="E4159" s="3">
        <v>-1363.18</v>
      </c>
      <c r="F4159" s="4" t="str">
        <f>HYPERLINK("http://141.218.60.56/~jnz1568/getInfo.php?workbook=10_05.xlsx&amp;sheet=A0&amp;row=4159&amp;col=6&amp;number=74700&amp;sourceID=14","74700")</f>
        <v>74700</v>
      </c>
      <c r="G4159" s="4" t="str">
        <f>HYPERLINK("http://141.218.60.56/~jnz1568/getInfo.php?workbook=10_05.xlsx&amp;sheet=A0&amp;row=4159&amp;col=7&amp;number=0&amp;sourceID=14","0")</f>
        <v>0</v>
      </c>
    </row>
    <row r="4160" spans="1:7">
      <c r="A4160" s="3">
        <v>10</v>
      </c>
      <c r="B4160" s="3">
        <v>5</v>
      </c>
      <c r="C4160" s="3">
        <v>151</v>
      </c>
      <c r="D4160" s="3">
        <v>86</v>
      </c>
      <c r="E4160" s="3">
        <v>-1362.772</v>
      </c>
      <c r="F4160" s="4" t="str">
        <f>HYPERLINK("http://141.218.60.56/~jnz1568/getInfo.php?workbook=10_05.xlsx&amp;sheet=A0&amp;row=4160&amp;col=6&amp;number=28000000&amp;sourceID=14","28000000")</f>
        <v>28000000</v>
      </c>
      <c r="G4160" s="4" t="str">
        <f>HYPERLINK("http://141.218.60.56/~jnz1568/getInfo.php?workbook=10_05.xlsx&amp;sheet=A0&amp;row=4160&amp;col=7&amp;number=0&amp;sourceID=14","0")</f>
        <v>0</v>
      </c>
    </row>
    <row r="4161" spans="1:7">
      <c r="A4161" s="3">
        <v>10</v>
      </c>
      <c r="B4161" s="3">
        <v>5</v>
      </c>
      <c r="C4161" s="3">
        <v>154</v>
      </c>
      <c r="D4161" s="3">
        <v>86</v>
      </c>
      <c r="E4161" s="3">
        <v>-1307.636</v>
      </c>
      <c r="F4161" s="4" t="str">
        <f>HYPERLINK("http://141.218.60.56/~jnz1568/getInfo.php?workbook=10_05.xlsx&amp;sheet=A0&amp;row=4161&amp;col=6&amp;number=2400000&amp;sourceID=14","2400000")</f>
        <v>2400000</v>
      </c>
      <c r="G4161" s="4" t="str">
        <f>HYPERLINK("http://141.218.60.56/~jnz1568/getInfo.php?workbook=10_05.xlsx&amp;sheet=A0&amp;row=4161&amp;col=7&amp;number=0&amp;sourceID=14","0")</f>
        <v>0</v>
      </c>
    </row>
    <row r="4162" spans="1:7">
      <c r="A4162" s="3">
        <v>10</v>
      </c>
      <c r="B4162" s="3">
        <v>5</v>
      </c>
      <c r="C4162" s="3">
        <v>155</v>
      </c>
      <c r="D4162" s="3">
        <v>86</v>
      </c>
      <c r="E4162" s="3">
        <v>-1300.173</v>
      </c>
      <c r="F4162" s="4" t="str">
        <f>HYPERLINK("http://141.218.60.56/~jnz1568/getInfo.php?workbook=10_05.xlsx&amp;sheet=A0&amp;row=4162&amp;col=6&amp;number=25700000&amp;sourceID=14","25700000")</f>
        <v>25700000</v>
      </c>
      <c r="G4162" s="4" t="str">
        <f>HYPERLINK("http://141.218.60.56/~jnz1568/getInfo.php?workbook=10_05.xlsx&amp;sheet=A0&amp;row=4162&amp;col=7&amp;number=0&amp;sourceID=14","0")</f>
        <v>0</v>
      </c>
    </row>
    <row r="4163" spans="1:7">
      <c r="A4163" s="3">
        <v>10</v>
      </c>
      <c r="B4163" s="3">
        <v>5</v>
      </c>
      <c r="C4163" s="3">
        <v>156</v>
      </c>
      <c r="D4163" s="3">
        <v>86</v>
      </c>
      <c r="E4163" s="3">
        <v>-1290.691</v>
      </c>
      <c r="F4163" s="4" t="str">
        <f>HYPERLINK("http://141.218.60.56/~jnz1568/getInfo.php?workbook=10_05.xlsx&amp;sheet=A0&amp;row=4163&amp;col=6&amp;number=1870000&amp;sourceID=14","1870000")</f>
        <v>1870000</v>
      </c>
      <c r="G4163" s="4" t="str">
        <f>HYPERLINK("http://141.218.60.56/~jnz1568/getInfo.php?workbook=10_05.xlsx&amp;sheet=A0&amp;row=4163&amp;col=7&amp;number=0&amp;sourceID=14","0")</f>
        <v>0</v>
      </c>
    </row>
    <row r="4164" spans="1:7">
      <c r="A4164" s="3">
        <v>10</v>
      </c>
      <c r="B4164" s="3">
        <v>5</v>
      </c>
      <c r="C4164" s="3">
        <v>157</v>
      </c>
      <c r="D4164" s="3">
        <v>86</v>
      </c>
      <c r="E4164" s="3">
        <v>-1287.716</v>
      </c>
      <c r="F4164" s="4" t="str">
        <f>HYPERLINK("http://141.218.60.56/~jnz1568/getInfo.php?workbook=10_05.xlsx&amp;sheet=A0&amp;row=4164&amp;col=6&amp;number=446000&amp;sourceID=14","446000")</f>
        <v>446000</v>
      </c>
      <c r="G4164" s="4" t="str">
        <f>HYPERLINK("http://141.218.60.56/~jnz1568/getInfo.php?workbook=10_05.xlsx&amp;sheet=A0&amp;row=4164&amp;col=7&amp;number=0&amp;sourceID=14","0")</f>
        <v>0</v>
      </c>
    </row>
    <row r="4165" spans="1:7">
      <c r="A4165" s="3">
        <v>10</v>
      </c>
      <c r="B4165" s="3">
        <v>5</v>
      </c>
      <c r="C4165" s="3">
        <v>162</v>
      </c>
      <c r="D4165" s="3">
        <v>86</v>
      </c>
      <c r="E4165" s="3">
        <v>-1257.295</v>
      </c>
      <c r="F4165" s="4" t="str">
        <f>HYPERLINK("http://141.218.60.56/~jnz1568/getInfo.php?workbook=10_05.xlsx&amp;sheet=A0&amp;row=4165&amp;col=6&amp;number=10800&amp;sourceID=14","10800")</f>
        <v>10800</v>
      </c>
      <c r="G4165" s="4" t="str">
        <f>HYPERLINK("http://141.218.60.56/~jnz1568/getInfo.php?workbook=10_05.xlsx&amp;sheet=A0&amp;row=4165&amp;col=7&amp;number=0&amp;sourceID=14","0")</f>
        <v>0</v>
      </c>
    </row>
    <row r="4166" spans="1:7">
      <c r="A4166" s="3">
        <v>10</v>
      </c>
      <c r="B4166" s="3">
        <v>5</v>
      </c>
      <c r="C4166" s="3">
        <v>168</v>
      </c>
      <c r="D4166" s="3">
        <v>86</v>
      </c>
      <c r="E4166" s="3">
        <v>-625.948</v>
      </c>
      <c r="F4166" s="4" t="str">
        <f>HYPERLINK("http://141.218.60.56/~jnz1568/getInfo.php?workbook=10_05.xlsx&amp;sheet=A0&amp;row=4166&amp;col=6&amp;number=114000000&amp;sourceID=14","114000000")</f>
        <v>114000000</v>
      </c>
      <c r="G4166" s="4" t="str">
        <f>HYPERLINK("http://141.218.60.56/~jnz1568/getInfo.php?workbook=10_05.xlsx&amp;sheet=A0&amp;row=4166&amp;col=7&amp;number=0&amp;sourceID=14","0")</f>
        <v>0</v>
      </c>
    </row>
    <row r="4167" spans="1:7">
      <c r="A4167" s="3">
        <v>10</v>
      </c>
      <c r="B4167" s="3">
        <v>5</v>
      </c>
      <c r="C4167" s="3">
        <v>169</v>
      </c>
      <c r="D4167" s="3">
        <v>86</v>
      </c>
      <c r="E4167" s="3">
        <v>-625.76</v>
      </c>
      <c r="F4167" s="4" t="str">
        <f>HYPERLINK("http://141.218.60.56/~jnz1568/getInfo.php?workbook=10_05.xlsx&amp;sheet=A0&amp;row=4167&amp;col=6&amp;number=2350000000&amp;sourceID=14","2350000000")</f>
        <v>2350000000</v>
      </c>
      <c r="G4167" s="4" t="str">
        <f>HYPERLINK("http://141.218.60.56/~jnz1568/getInfo.php?workbook=10_05.xlsx&amp;sheet=A0&amp;row=4167&amp;col=7&amp;number=0&amp;sourceID=14","0")</f>
        <v>0</v>
      </c>
    </row>
    <row r="4168" spans="1:7">
      <c r="A4168" s="3">
        <v>10</v>
      </c>
      <c r="B4168" s="3">
        <v>5</v>
      </c>
      <c r="C4168" s="3">
        <v>171</v>
      </c>
      <c r="D4168" s="3">
        <v>86</v>
      </c>
      <c r="E4168" s="3">
        <v>-590.766</v>
      </c>
      <c r="F4168" s="4" t="str">
        <f>HYPERLINK("http://141.218.60.56/~jnz1568/getInfo.php?workbook=10_05.xlsx&amp;sheet=A0&amp;row=4168&amp;col=6&amp;number=262000&amp;sourceID=14","262000")</f>
        <v>262000</v>
      </c>
      <c r="G4168" s="4" t="str">
        <f>HYPERLINK("http://141.218.60.56/~jnz1568/getInfo.php?workbook=10_05.xlsx&amp;sheet=A0&amp;row=4168&amp;col=7&amp;number=0&amp;sourceID=14","0")</f>
        <v>0</v>
      </c>
    </row>
    <row r="4169" spans="1:7">
      <c r="A4169" s="3">
        <v>10</v>
      </c>
      <c r="B4169" s="3">
        <v>5</v>
      </c>
      <c r="C4169" s="3">
        <v>172</v>
      </c>
      <c r="D4169" s="3">
        <v>86</v>
      </c>
      <c r="E4169" s="3">
        <v>-584.038</v>
      </c>
      <c r="F4169" s="4" t="str">
        <f>HYPERLINK("http://141.218.60.56/~jnz1568/getInfo.php?workbook=10_05.xlsx&amp;sheet=A0&amp;row=4169&amp;col=6&amp;number=318000000&amp;sourceID=14","318000000")</f>
        <v>318000000</v>
      </c>
      <c r="G4169" s="4" t="str">
        <f>HYPERLINK("http://141.218.60.56/~jnz1568/getInfo.php?workbook=10_05.xlsx&amp;sheet=A0&amp;row=4169&amp;col=7&amp;number=0&amp;sourceID=14","0")</f>
        <v>0</v>
      </c>
    </row>
    <row r="4170" spans="1:7">
      <c r="A4170" s="3">
        <v>10</v>
      </c>
      <c r="B4170" s="3">
        <v>5</v>
      </c>
      <c r="C4170" s="3">
        <v>173</v>
      </c>
      <c r="D4170" s="3">
        <v>86</v>
      </c>
      <c r="E4170" s="3">
        <v>-583.96</v>
      </c>
      <c r="F4170" s="4" t="str">
        <f>HYPERLINK("http://141.218.60.56/~jnz1568/getInfo.php?workbook=10_05.xlsx&amp;sheet=A0&amp;row=4170&amp;col=6&amp;number=15300000&amp;sourceID=14","15300000")</f>
        <v>15300000</v>
      </c>
      <c r="G4170" s="4" t="str">
        <f>HYPERLINK("http://141.218.60.56/~jnz1568/getInfo.php?workbook=10_05.xlsx&amp;sheet=A0&amp;row=4170&amp;col=7&amp;number=0&amp;sourceID=14","0")</f>
        <v>0</v>
      </c>
    </row>
    <row r="4171" spans="1:7">
      <c r="A4171" s="3">
        <v>10</v>
      </c>
      <c r="B4171" s="3">
        <v>5</v>
      </c>
      <c r="C4171" s="3">
        <v>100</v>
      </c>
      <c r="D4171" s="3">
        <v>87</v>
      </c>
      <c r="E4171" s="3">
        <v>-2713.636</v>
      </c>
      <c r="F4171" s="4" t="str">
        <f>HYPERLINK("http://141.218.60.56/~jnz1568/getInfo.php?workbook=10_05.xlsx&amp;sheet=A0&amp;row=4171&amp;col=6&amp;number=8070&amp;sourceID=14","8070")</f>
        <v>8070</v>
      </c>
      <c r="G4171" s="4" t="str">
        <f>HYPERLINK("http://141.218.60.56/~jnz1568/getInfo.php?workbook=10_05.xlsx&amp;sheet=A0&amp;row=4171&amp;col=7&amp;number=0&amp;sourceID=14","0")</f>
        <v>0</v>
      </c>
    </row>
    <row r="4172" spans="1:7">
      <c r="A4172" s="3">
        <v>10</v>
      </c>
      <c r="B4172" s="3">
        <v>5</v>
      </c>
      <c r="C4172" s="3">
        <v>102</v>
      </c>
      <c r="D4172" s="3">
        <v>87</v>
      </c>
      <c r="E4172" s="3">
        <v>-2686.227</v>
      </c>
      <c r="F4172" s="4" t="str">
        <f>HYPERLINK("http://141.218.60.56/~jnz1568/getInfo.php?workbook=10_05.xlsx&amp;sheet=A0&amp;row=4172&amp;col=6&amp;number=63200&amp;sourceID=14","63200")</f>
        <v>63200</v>
      </c>
      <c r="G4172" s="4" t="str">
        <f>HYPERLINK("http://141.218.60.56/~jnz1568/getInfo.php?workbook=10_05.xlsx&amp;sheet=A0&amp;row=4172&amp;col=7&amp;number=0&amp;sourceID=14","0")</f>
        <v>0</v>
      </c>
    </row>
    <row r="4173" spans="1:7">
      <c r="A4173" s="3">
        <v>10</v>
      </c>
      <c r="B4173" s="3">
        <v>5</v>
      </c>
      <c r="C4173" s="3">
        <v>104</v>
      </c>
      <c r="D4173" s="3">
        <v>87</v>
      </c>
      <c r="E4173" s="3">
        <v>-2650.837</v>
      </c>
      <c r="F4173" s="4" t="str">
        <f>HYPERLINK("http://141.218.60.56/~jnz1568/getInfo.php?workbook=10_05.xlsx&amp;sheet=A0&amp;row=4173&amp;col=6&amp;number=493000&amp;sourceID=14","493000")</f>
        <v>493000</v>
      </c>
      <c r="G4173" s="4" t="str">
        <f>HYPERLINK("http://141.218.60.56/~jnz1568/getInfo.php?workbook=10_05.xlsx&amp;sheet=A0&amp;row=4173&amp;col=7&amp;number=0&amp;sourceID=14","0")</f>
        <v>0</v>
      </c>
    </row>
    <row r="4174" spans="1:7">
      <c r="A4174" s="3">
        <v>10</v>
      </c>
      <c r="B4174" s="3">
        <v>5</v>
      </c>
      <c r="C4174" s="3">
        <v>107</v>
      </c>
      <c r="D4174" s="3">
        <v>87</v>
      </c>
      <c r="E4174" s="3">
        <v>-2327.209</v>
      </c>
      <c r="F4174" s="4" t="str">
        <f>HYPERLINK("http://141.218.60.56/~jnz1568/getInfo.php?workbook=10_05.xlsx&amp;sheet=A0&amp;row=4174&amp;col=6&amp;number=27000&amp;sourceID=14","27000")</f>
        <v>27000</v>
      </c>
      <c r="G4174" s="4" t="str">
        <f>HYPERLINK("http://141.218.60.56/~jnz1568/getInfo.php?workbook=10_05.xlsx&amp;sheet=A0&amp;row=4174&amp;col=7&amp;number=0&amp;sourceID=14","0")</f>
        <v>0</v>
      </c>
    </row>
    <row r="4175" spans="1:7">
      <c r="A4175" s="3">
        <v>10</v>
      </c>
      <c r="B4175" s="3">
        <v>5</v>
      </c>
      <c r="C4175" s="3">
        <v>108</v>
      </c>
      <c r="D4175" s="3">
        <v>87</v>
      </c>
      <c r="E4175" s="3">
        <v>-2311.662</v>
      </c>
      <c r="F4175" s="4" t="str">
        <f>HYPERLINK("http://141.218.60.56/~jnz1568/getInfo.php?workbook=10_05.xlsx&amp;sheet=A0&amp;row=4175&amp;col=6&amp;number=264000&amp;sourceID=14","264000")</f>
        <v>264000</v>
      </c>
      <c r="G4175" s="4" t="str">
        <f>HYPERLINK("http://141.218.60.56/~jnz1568/getInfo.php?workbook=10_05.xlsx&amp;sheet=A0&amp;row=4175&amp;col=7&amp;number=0&amp;sourceID=14","0")</f>
        <v>0</v>
      </c>
    </row>
    <row r="4176" spans="1:7">
      <c r="A4176" s="3">
        <v>10</v>
      </c>
      <c r="B4176" s="3">
        <v>5</v>
      </c>
      <c r="C4176" s="3">
        <v>115</v>
      </c>
      <c r="D4176" s="3">
        <v>87</v>
      </c>
      <c r="E4176" s="3">
        <v>-1954.885</v>
      </c>
      <c r="F4176" s="4" t="str">
        <f>HYPERLINK("http://141.218.60.56/~jnz1568/getInfo.php?workbook=10_05.xlsx&amp;sheet=A0&amp;row=4176&amp;col=6&amp;number=164000&amp;sourceID=14","164000")</f>
        <v>164000</v>
      </c>
      <c r="G4176" s="4" t="str">
        <f>HYPERLINK("http://141.218.60.56/~jnz1568/getInfo.php?workbook=10_05.xlsx&amp;sheet=A0&amp;row=4176&amp;col=7&amp;number=0&amp;sourceID=14","0")</f>
        <v>0</v>
      </c>
    </row>
    <row r="4177" spans="1:7">
      <c r="A4177" s="3">
        <v>10</v>
      </c>
      <c r="B4177" s="3">
        <v>5</v>
      </c>
      <c r="C4177" s="3">
        <v>116</v>
      </c>
      <c r="D4177" s="3">
        <v>87</v>
      </c>
      <c r="E4177" s="3">
        <v>-1921.455</v>
      </c>
      <c r="F4177" s="4" t="str">
        <f>HYPERLINK("http://141.218.60.56/~jnz1568/getInfo.php?workbook=10_05.xlsx&amp;sheet=A0&amp;row=4177&amp;col=6&amp;number=4460000&amp;sourceID=14","4460000")</f>
        <v>4460000</v>
      </c>
      <c r="G4177" s="4" t="str">
        <f>HYPERLINK("http://141.218.60.56/~jnz1568/getInfo.php?workbook=10_05.xlsx&amp;sheet=A0&amp;row=4177&amp;col=7&amp;number=0&amp;sourceID=14","0")</f>
        <v>0</v>
      </c>
    </row>
    <row r="4178" spans="1:7">
      <c r="A4178" s="3">
        <v>10</v>
      </c>
      <c r="B4178" s="3">
        <v>5</v>
      </c>
      <c r="C4178" s="3">
        <v>117</v>
      </c>
      <c r="D4178" s="3">
        <v>87</v>
      </c>
      <c r="E4178" s="3">
        <v>-1913.22</v>
      </c>
      <c r="F4178" s="4" t="str">
        <f>HYPERLINK("http://141.218.60.56/~jnz1568/getInfo.php?workbook=10_05.xlsx&amp;sheet=A0&amp;row=4178&amp;col=6&amp;number=29.7&amp;sourceID=14","29.7")</f>
        <v>29.7</v>
      </c>
      <c r="G4178" s="4" t="str">
        <f>HYPERLINK("http://141.218.60.56/~jnz1568/getInfo.php?workbook=10_05.xlsx&amp;sheet=A0&amp;row=4178&amp;col=7&amp;number=0&amp;sourceID=14","0")</f>
        <v>0</v>
      </c>
    </row>
    <row r="4179" spans="1:7">
      <c r="A4179" s="3">
        <v>10</v>
      </c>
      <c r="B4179" s="3">
        <v>5</v>
      </c>
      <c r="C4179" s="3">
        <v>122</v>
      </c>
      <c r="D4179" s="3">
        <v>87</v>
      </c>
      <c r="E4179" s="3">
        <v>-1780.82</v>
      </c>
      <c r="F4179" s="4" t="str">
        <f>HYPERLINK("http://141.218.60.56/~jnz1568/getInfo.php?workbook=10_05.xlsx&amp;sheet=A0&amp;row=4179&amp;col=6&amp;number=16200&amp;sourceID=14","16200")</f>
        <v>16200</v>
      </c>
      <c r="G4179" s="4" t="str">
        <f>HYPERLINK("http://141.218.60.56/~jnz1568/getInfo.php?workbook=10_05.xlsx&amp;sheet=A0&amp;row=4179&amp;col=7&amp;number=0&amp;sourceID=14","0")</f>
        <v>0</v>
      </c>
    </row>
    <row r="4180" spans="1:7">
      <c r="A4180" s="3">
        <v>10</v>
      </c>
      <c r="B4180" s="3">
        <v>5</v>
      </c>
      <c r="C4180" s="3">
        <v>124</v>
      </c>
      <c r="D4180" s="3">
        <v>87</v>
      </c>
      <c r="E4180" s="3">
        <v>-1763.889</v>
      </c>
      <c r="F4180" s="4" t="str">
        <f>HYPERLINK("http://141.218.60.56/~jnz1568/getInfo.php?workbook=10_05.xlsx&amp;sheet=A0&amp;row=4180&amp;col=6&amp;number=27900&amp;sourceID=14","27900")</f>
        <v>27900</v>
      </c>
      <c r="G4180" s="4" t="str">
        <f>HYPERLINK("http://141.218.60.56/~jnz1568/getInfo.php?workbook=10_05.xlsx&amp;sheet=A0&amp;row=4180&amp;col=7&amp;number=0&amp;sourceID=14","0")</f>
        <v>0</v>
      </c>
    </row>
    <row r="4181" spans="1:7">
      <c r="A4181" s="3">
        <v>10</v>
      </c>
      <c r="B4181" s="3">
        <v>5</v>
      </c>
      <c r="C4181" s="3">
        <v>130</v>
      </c>
      <c r="D4181" s="3">
        <v>87</v>
      </c>
      <c r="E4181" s="3">
        <v>-1641.743</v>
      </c>
      <c r="F4181" s="4" t="str">
        <f>HYPERLINK("http://141.218.60.56/~jnz1568/getInfo.php?workbook=10_05.xlsx&amp;sheet=A0&amp;row=4181&amp;col=6&amp;number=648000&amp;sourceID=14","648000")</f>
        <v>648000</v>
      </c>
      <c r="G4181" s="4" t="str">
        <f>HYPERLINK("http://141.218.60.56/~jnz1568/getInfo.php?workbook=10_05.xlsx&amp;sheet=A0&amp;row=4181&amp;col=7&amp;number=0&amp;sourceID=14","0")</f>
        <v>0</v>
      </c>
    </row>
    <row r="4182" spans="1:7">
      <c r="A4182" s="3">
        <v>10</v>
      </c>
      <c r="B4182" s="3">
        <v>5</v>
      </c>
      <c r="C4182" s="3">
        <v>133</v>
      </c>
      <c r="D4182" s="3">
        <v>87</v>
      </c>
      <c r="E4182" s="3">
        <v>-1624.197</v>
      </c>
      <c r="F4182" s="4" t="str">
        <f>HYPERLINK("http://141.218.60.56/~jnz1568/getInfo.php?workbook=10_05.xlsx&amp;sheet=A0&amp;row=4182&amp;col=6&amp;number=213000&amp;sourceID=14","213000")</f>
        <v>213000</v>
      </c>
      <c r="G4182" s="4" t="str">
        <f>HYPERLINK("http://141.218.60.56/~jnz1568/getInfo.php?workbook=10_05.xlsx&amp;sheet=A0&amp;row=4182&amp;col=7&amp;number=0&amp;sourceID=14","0")</f>
        <v>0</v>
      </c>
    </row>
    <row r="4183" spans="1:7">
      <c r="A4183" s="3">
        <v>10</v>
      </c>
      <c r="B4183" s="3">
        <v>5</v>
      </c>
      <c r="C4183" s="3">
        <v>138</v>
      </c>
      <c r="D4183" s="3">
        <v>87</v>
      </c>
      <c r="E4183" s="3">
        <v>-1544.905</v>
      </c>
      <c r="F4183" s="4" t="str">
        <f>HYPERLINK("http://141.218.60.56/~jnz1568/getInfo.php?workbook=10_05.xlsx&amp;sheet=A0&amp;row=4183&amp;col=6&amp;number=168000&amp;sourceID=14","168000")</f>
        <v>168000</v>
      </c>
      <c r="G4183" s="4" t="str">
        <f>HYPERLINK("http://141.218.60.56/~jnz1568/getInfo.php?workbook=10_05.xlsx&amp;sheet=A0&amp;row=4183&amp;col=7&amp;number=0&amp;sourceID=14","0")</f>
        <v>0</v>
      </c>
    </row>
    <row r="4184" spans="1:7">
      <c r="A4184" s="3">
        <v>10</v>
      </c>
      <c r="B4184" s="3">
        <v>5</v>
      </c>
      <c r="C4184" s="3">
        <v>139</v>
      </c>
      <c r="D4184" s="3">
        <v>87</v>
      </c>
      <c r="E4184" s="3">
        <v>-1542.023</v>
      </c>
      <c r="F4184" s="4" t="str">
        <f>HYPERLINK("http://141.218.60.56/~jnz1568/getInfo.php?workbook=10_05.xlsx&amp;sheet=A0&amp;row=4184&amp;col=6&amp;number=890000&amp;sourceID=14","890000")</f>
        <v>890000</v>
      </c>
      <c r="G4184" s="4" t="str">
        <f>HYPERLINK("http://141.218.60.56/~jnz1568/getInfo.php?workbook=10_05.xlsx&amp;sheet=A0&amp;row=4184&amp;col=7&amp;number=0&amp;sourceID=14","0")</f>
        <v>0</v>
      </c>
    </row>
    <row r="4185" spans="1:7">
      <c r="A4185" s="3">
        <v>10</v>
      </c>
      <c r="B4185" s="3">
        <v>5</v>
      </c>
      <c r="C4185" s="3">
        <v>151</v>
      </c>
      <c r="D4185" s="3">
        <v>87</v>
      </c>
      <c r="E4185" s="3">
        <v>-1363.032</v>
      </c>
      <c r="F4185" s="4" t="str">
        <f>HYPERLINK("http://141.218.60.56/~jnz1568/getInfo.php?workbook=10_05.xlsx&amp;sheet=A0&amp;row=4185&amp;col=6&amp;number=1110000&amp;sourceID=14","1110000")</f>
        <v>1110000</v>
      </c>
      <c r="G4185" s="4" t="str">
        <f>HYPERLINK("http://141.218.60.56/~jnz1568/getInfo.php?workbook=10_05.xlsx&amp;sheet=A0&amp;row=4185&amp;col=7&amp;number=0&amp;sourceID=14","0")</f>
        <v>0</v>
      </c>
    </row>
    <row r="4186" spans="1:7">
      <c r="A4186" s="3">
        <v>10</v>
      </c>
      <c r="B4186" s="3">
        <v>5</v>
      </c>
      <c r="C4186" s="3">
        <v>154</v>
      </c>
      <c r="D4186" s="3">
        <v>87</v>
      </c>
      <c r="E4186" s="3">
        <v>-1307.876</v>
      </c>
      <c r="F4186" s="4" t="str">
        <f>HYPERLINK("http://141.218.60.56/~jnz1568/getInfo.php?workbook=10_05.xlsx&amp;sheet=A0&amp;row=4186&amp;col=6&amp;number=57500000&amp;sourceID=14","57500000")</f>
        <v>57500000</v>
      </c>
      <c r="G4186" s="4" t="str">
        <f>HYPERLINK("http://141.218.60.56/~jnz1568/getInfo.php?workbook=10_05.xlsx&amp;sheet=A0&amp;row=4186&amp;col=7&amp;number=0&amp;sourceID=14","0")</f>
        <v>0</v>
      </c>
    </row>
    <row r="4187" spans="1:7">
      <c r="A4187" s="3">
        <v>10</v>
      </c>
      <c r="B4187" s="3">
        <v>5</v>
      </c>
      <c r="C4187" s="3">
        <v>155</v>
      </c>
      <c r="D4187" s="3">
        <v>87</v>
      </c>
      <c r="E4187" s="3">
        <v>-1300.409</v>
      </c>
      <c r="F4187" s="4" t="str">
        <f>HYPERLINK("http://141.218.60.56/~jnz1568/getInfo.php?workbook=10_05.xlsx&amp;sheet=A0&amp;row=4187&amp;col=6&amp;number=2210000&amp;sourceID=14","2210000")</f>
        <v>2210000</v>
      </c>
      <c r="G4187" s="4" t="str">
        <f>HYPERLINK("http://141.218.60.56/~jnz1568/getInfo.php?workbook=10_05.xlsx&amp;sheet=A0&amp;row=4187&amp;col=7&amp;number=0&amp;sourceID=14","0")</f>
        <v>0</v>
      </c>
    </row>
    <row r="4188" spans="1:7">
      <c r="A4188" s="3">
        <v>10</v>
      </c>
      <c r="B4188" s="3">
        <v>5</v>
      </c>
      <c r="C4188" s="3">
        <v>157</v>
      </c>
      <c r="D4188" s="3">
        <v>87</v>
      </c>
      <c r="E4188" s="3">
        <v>-1287.948</v>
      </c>
      <c r="F4188" s="4" t="str">
        <f>HYPERLINK("http://141.218.60.56/~jnz1568/getInfo.php?workbook=10_05.xlsx&amp;sheet=A0&amp;row=4188&amp;col=6&amp;number=1320000&amp;sourceID=14","1320000")</f>
        <v>1320000</v>
      </c>
      <c r="G4188" s="4" t="str">
        <f>HYPERLINK("http://141.218.60.56/~jnz1568/getInfo.php?workbook=10_05.xlsx&amp;sheet=A0&amp;row=4188&amp;col=7&amp;number=0&amp;sourceID=14","0")</f>
        <v>0</v>
      </c>
    </row>
    <row r="4189" spans="1:7">
      <c r="A4189" s="3">
        <v>10</v>
      </c>
      <c r="B4189" s="3">
        <v>5</v>
      </c>
      <c r="C4189" s="3">
        <v>168</v>
      </c>
      <c r="D4189" s="3">
        <v>87</v>
      </c>
      <c r="E4189" s="3">
        <v>-626.003</v>
      </c>
      <c r="F4189" s="4" t="str">
        <f>HYPERLINK("http://141.218.60.56/~jnz1568/getInfo.php?workbook=10_05.xlsx&amp;sheet=A0&amp;row=4189&amp;col=6&amp;number=2250000000&amp;sourceID=14","2250000000")</f>
        <v>2250000000</v>
      </c>
      <c r="G4189" s="4" t="str">
        <f>HYPERLINK("http://141.218.60.56/~jnz1568/getInfo.php?workbook=10_05.xlsx&amp;sheet=A0&amp;row=4189&amp;col=7&amp;number=0&amp;sourceID=14","0")</f>
        <v>0</v>
      </c>
    </row>
    <row r="4190" spans="1:7">
      <c r="A4190" s="3">
        <v>10</v>
      </c>
      <c r="B4190" s="3">
        <v>5</v>
      </c>
      <c r="C4190" s="3">
        <v>173</v>
      </c>
      <c r="D4190" s="3">
        <v>87</v>
      </c>
      <c r="E4190" s="3">
        <v>-584.007</v>
      </c>
      <c r="F4190" s="4" t="str">
        <f>HYPERLINK("http://141.218.60.56/~jnz1568/getInfo.php?workbook=10_05.xlsx&amp;sheet=A0&amp;row=4190&amp;col=6&amp;number=294000000&amp;sourceID=14","294000000")</f>
        <v>294000000</v>
      </c>
      <c r="G4190" s="4" t="str">
        <f>HYPERLINK("http://141.218.60.56/~jnz1568/getInfo.php?workbook=10_05.xlsx&amp;sheet=A0&amp;row=4190&amp;col=7&amp;number=0&amp;sourceID=14","0")</f>
        <v>0</v>
      </c>
    </row>
    <row r="4191" spans="1:7">
      <c r="A4191" s="3">
        <v>10</v>
      </c>
      <c r="B4191" s="3">
        <v>5</v>
      </c>
      <c r="C4191" s="3">
        <v>99</v>
      </c>
      <c r="D4191" s="3">
        <v>88</v>
      </c>
      <c r="E4191" s="3">
        <v>-2909.943</v>
      </c>
      <c r="F4191" s="4" t="str">
        <f>HYPERLINK("http://141.218.60.56/~jnz1568/getInfo.php?workbook=10_05.xlsx&amp;sheet=A0&amp;row=4191&amp;col=6&amp;number=247&amp;sourceID=14","247")</f>
        <v>247</v>
      </c>
      <c r="G4191" s="4" t="str">
        <f>HYPERLINK("http://141.218.60.56/~jnz1568/getInfo.php?workbook=10_05.xlsx&amp;sheet=A0&amp;row=4191&amp;col=7&amp;number=0&amp;sourceID=14","0")</f>
        <v>0</v>
      </c>
    </row>
    <row r="4192" spans="1:7">
      <c r="A4192" s="3">
        <v>10</v>
      </c>
      <c r="B4192" s="3">
        <v>5</v>
      </c>
      <c r="C4192" s="3">
        <v>105</v>
      </c>
      <c r="D4192" s="3">
        <v>88</v>
      </c>
      <c r="E4192" s="3">
        <v>-2478.688</v>
      </c>
      <c r="F4192" s="4" t="str">
        <f>HYPERLINK("http://141.218.60.56/~jnz1568/getInfo.php?workbook=10_05.xlsx&amp;sheet=A0&amp;row=4192&amp;col=6&amp;number=106000000&amp;sourceID=14","106000000")</f>
        <v>106000000</v>
      </c>
      <c r="G4192" s="4" t="str">
        <f>HYPERLINK("http://141.218.60.56/~jnz1568/getInfo.php?workbook=10_05.xlsx&amp;sheet=A0&amp;row=4192&amp;col=7&amp;number=0&amp;sourceID=14","0")</f>
        <v>0</v>
      </c>
    </row>
    <row r="4193" spans="1:7">
      <c r="A4193" s="3">
        <v>10</v>
      </c>
      <c r="B4193" s="3">
        <v>5</v>
      </c>
      <c r="C4193" s="3">
        <v>106</v>
      </c>
      <c r="D4193" s="3">
        <v>88</v>
      </c>
      <c r="E4193" s="3">
        <v>-2471.032</v>
      </c>
      <c r="F4193" s="4" t="str">
        <f>HYPERLINK("http://141.218.60.56/~jnz1568/getInfo.php?workbook=10_05.xlsx&amp;sheet=A0&amp;row=4193&amp;col=6&amp;number=51600000&amp;sourceID=14","51600000")</f>
        <v>51600000</v>
      </c>
      <c r="G4193" s="4" t="str">
        <f>HYPERLINK("http://141.218.60.56/~jnz1568/getInfo.php?workbook=10_05.xlsx&amp;sheet=A0&amp;row=4193&amp;col=7&amp;number=0&amp;sourceID=14","0")</f>
        <v>0</v>
      </c>
    </row>
    <row r="4194" spans="1:7">
      <c r="A4194" s="3">
        <v>10</v>
      </c>
      <c r="B4194" s="3">
        <v>5</v>
      </c>
      <c r="C4194" s="3">
        <v>109</v>
      </c>
      <c r="D4194" s="3">
        <v>88</v>
      </c>
      <c r="E4194" s="3">
        <v>-2412.491</v>
      </c>
      <c r="F4194" s="4" t="str">
        <f>HYPERLINK("http://141.218.60.56/~jnz1568/getInfo.php?workbook=10_05.xlsx&amp;sheet=A0&amp;row=4194&amp;col=6&amp;number=6360000&amp;sourceID=14","6360000")</f>
        <v>6360000</v>
      </c>
      <c r="G4194" s="4" t="str">
        <f>HYPERLINK("http://141.218.60.56/~jnz1568/getInfo.php?workbook=10_05.xlsx&amp;sheet=A0&amp;row=4194&amp;col=7&amp;number=0&amp;sourceID=14","0")</f>
        <v>0</v>
      </c>
    </row>
    <row r="4195" spans="1:7">
      <c r="A4195" s="3">
        <v>10</v>
      </c>
      <c r="B4195" s="3">
        <v>5</v>
      </c>
      <c r="C4195" s="3">
        <v>111</v>
      </c>
      <c r="D4195" s="3">
        <v>88</v>
      </c>
      <c r="E4195" s="3">
        <v>-2378.182</v>
      </c>
      <c r="F4195" s="4" t="str">
        <f>HYPERLINK("http://141.218.60.56/~jnz1568/getInfo.php?workbook=10_05.xlsx&amp;sheet=A0&amp;row=4195&amp;col=6&amp;number=7660000&amp;sourceID=14","7660000")</f>
        <v>7660000</v>
      </c>
      <c r="G4195" s="4" t="str">
        <f>HYPERLINK("http://141.218.60.56/~jnz1568/getInfo.php?workbook=10_05.xlsx&amp;sheet=A0&amp;row=4195&amp;col=7&amp;number=0&amp;sourceID=14","0")</f>
        <v>0</v>
      </c>
    </row>
    <row r="4196" spans="1:7">
      <c r="A4196" s="3">
        <v>10</v>
      </c>
      <c r="B4196" s="3">
        <v>5</v>
      </c>
      <c r="C4196" s="3">
        <v>118</v>
      </c>
      <c r="D4196" s="3">
        <v>88</v>
      </c>
      <c r="E4196" s="3">
        <v>-1994.976</v>
      </c>
      <c r="F4196" s="4" t="str">
        <f>HYPERLINK("http://141.218.60.56/~jnz1568/getInfo.php?workbook=10_05.xlsx&amp;sheet=A0&amp;row=4196&amp;col=6&amp;number=72500000&amp;sourceID=14","72500000")</f>
        <v>72500000</v>
      </c>
      <c r="G4196" s="4" t="str">
        <f>HYPERLINK("http://141.218.60.56/~jnz1568/getInfo.php?workbook=10_05.xlsx&amp;sheet=A0&amp;row=4196&amp;col=7&amp;number=0&amp;sourceID=14","0")</f>
        <v>0</v>
      </c>
    </row>
    <row r="4197" spans="1:7">
      <c r="A4197" s="3">
        <v>10</v>
      </c>
      <c r="B4197" s="3">
        <v>5</v>
      </c>
      <c r="C4197" s="3">
        <v>119</v>
      </c>
      <c r="D4197" s="3">
        <v>88</v>
      </c>
      <c r="E4197" s="3">
        <v>-1992.988</v>
      </c>
      <c r="F4197" s="4" t="str">
        <f>HYPERLINK("http://141.218.60.56/~jnz1568/getInfo.php?workbook=10_05.xlsx&amp;sheet=A0&amp;row=4197&amp;col=6&amp;number=27400000&amp;sourceID=14","27400000")</f>
        <v>27400000</v>
      </c>
      <c r="G4197" s="4" t="str">
        <f>HYPERLINK("http://141.218.60.56/~jnz1568/getInfo.php?workbook=10_05.xlsx&amp;sheet=A0&amp;row=4197&amp;col=7&amp;number=0&amp;sourceID=14","0")</f>
        <v>0</v>
      </c>
    </row>
    <row r="4198" spans="1:7">
      <c r="A4198" s="3">
        <v>10</v>
      </c>
      <c r="B4198" s="3">
        <v>5</v>
      </c>
      <c r="C4198" s="3">
        <v>120</v>
      </c>
      <c r="D4198" s="3">
        <v>88</v>
      </c>
      <c r="E4198" s="3">
        <v>-1874.875</v>
      </c>
      <c r="F4198" s="4" t="str">
        <f>HYPERLINK("http://141.218.60.56/~jnz1568/getInfo.php?workbook=10_05.xlsx&amp;sheet=A0&amp;row=4198&amp;col=6&amp;number=1430000&amp;sourceID=14","1430000")</f>
        <v>1430000</v>
      </c>
      <c r="G4198" s="4" t="str">
        <f>HYPERLINK("http://141.218.60.56/~jnz1568/getInfo.php?workbook=10_05.xlsx&amp;sheet=A0&amp;row=4198&amp;col=7&amp;number=0&amp;sourceID=14","0")</f>
        <v>0</v>
      </c>
    </row>
    <row r="4199" spans="1:7">
      <c r="A4199" s="3">
        <v>10</v>
      </c>
      <c r="B4199" s="3">
        <v>5</v>
      </c>
      <c r="C4199" s="3">
        <v>121</v>
      </c>
      <c r="D4199" s="3">
        <v>88</v>
      </c>
      <c r="E4199" s="3">
        <v>-1867.034</v>
      </c>
      <c r="F4199" s="4" t="str">
        <f>HYPERLINK("http://141.218.60.56/~jnz1568/getInfo.php?workbook=10_05.xlsx&amp;sheet=A0&amp;row=4199&amp;col=6&amp;number=544000&amp;sourceID=14","544000")</f>
        <v>544000</v>
      </c>
      <c r="G4199" s="4" t="str">
        <f>HYPERLINK("http://141.218.60.56/~jnz1568/getInfo.php?workbook=10_05.xlsx&amp;sheet=A0&amp;row=4199&amp;col=7&amp;number=0&amp;sourceID=14","0")</f>
        <v>0</v>
      </c>
    </row>
    <row r="4200" spans="1:7">
      <c r="A4200" s="3">
        <v>10</v>
      </c>
      <c r="B4200" s="3">
        <v>5</v>
      </c>
      <c r="C4200" s="3">
        <v>123</v>
      </c>
      <c r="D4200" s="3">
        <v>88</v>
      </c>
      <c r="E4200" s="3">
        <v>-1844.171</v>
      </c>
      <c r="F4200" s="4" t="str">
        <f>HYPERLINK("http://141.218.60.56/~jnz1568/getInfo.php?workbook=10_05.xlsx&amp;sheet=A0&amp;row=4200&amp;col=6&amp;number=2870000&amp;sourceID=14","2870000")</f>
        <v>2870000</v>
      </c>
      <c r="G4200" s="4" t="str">
        <f>HYPERLINK("http://141.218.60.56/~jnz1568/getInfo.php?workbook=10_05.xlsx&amp;sheet=A0&amp;row=4200&amp;col=7&amp;number=0&amp;sourceID=14","0")</f>
        <v>0</v>
      </c>
    </row>
    <row r="4201" spans="1:7">
      <c r="A4201" s="3">
        <v>10</v>
      </c>
      <c r="B4201" s="3">
        <v>5</v>
      </c>
      <c r="C4201" s="3">
        <v>125</v>
      </c>
      <c r="D4201" s="3">
        <v>88</v>
      </c>
      <c r="E4201" s="3">
        <v>-1806.394</v>
      </c>
      <c r="F4201" s="4" t="str">
        <f>HYPERLINK("http://141.218.60.56/~jnz1568/getInfo.php?workbook=10_05.xlsx&amp;sheet=A0&amp;row=4201&amp;col=6&amp;number=156000&amp;sourceID=14","156000")</f>
        <v>156000</v>
      </c>
      <c r="G4201" s="4" t="str">
        <f>HYPERLINK("http://141.218.60.56/~jnz1568/getInfo.php?workbook=10_05.xlsx&amp;sheet=A0&amp;row=4201&amp;col=7&amp;number=0&amp;sourceID=14","0")</f>
        <v>0</v>
      </c>
    </row>
    <row r="4202" spans="1:7">
      <c r="A4202" s="3">
        <v>10</v>
      </c>
      <c r="B4202" s="3">
        <v>5</v>
      </c>
      <c r="C4202" s="3">
        <v>126</v>
      </c>
      <c r="D4202" s="3">
        <v>88</v>
      </c>
      <c r="E4202" s="3">
        <v>-1797.465</v>
      </c>
      <c r="F4202" s="4" t="str">
        <f>HYPERLINK("http://141.218.60.56/~jnz1568/getInfo.php?workbook=10_05.xlsx&amp;sheet=A0&amp;row=4202&amp;col=6&amp;number=477000&amp;sourceID=14","477000")</f>
        <v>477000</v>
      </c>
      <c r="G4202" s="4" t="str">
        <f>HYPERLINK("http://141.218.60.56/~jnz1568/getInfo.php?workbook=10_05.xlsx&amp;sheet=A0&amp;row=4202&amp;col=7&amp;number=0&amp;sourceID=14","0")</f>
        <v>0</v>
      </c>
    </row>
    <row r="4203" spans="1:7">
      <c r="A4203" s="3">
        <v>10</v>
      </c>
      <c r="B4203" s="3">
        <v>5</v>
      </c>
      <c r="C4203" s="3">
        <v>129</v>
      </c>
      <c r="D4203" s="3">
        <v>88</v>
      </c>
      <c r="E4203" s="3">
        <v>1711.16</v>
      </c>
      <c r="F4203" s="4" t="str">
        <f>HYPERLINK("http://141.218.60.56/~jnz1568/getInfo.php?workbook=10_05.xlsx&amp;sheet=A0&amp;row=4203&amp;col=6&amp;number=210&amp;sourceID=14","210")</f>
        <v>210</v>
      </c>
      <c r="G4203" s="4" t="str">
        <f>HYPERLINK("http://141.218.60.56/~jnz1568/getInfo.php?workbook=10_05.xlsx&amp;sheet=A0&amp;row=4203&amp;col=7&amp;number=0&amp;sourceID=14","0")</f>
        <v>0</v>
      </c>
    </row>
    <row r="4204" spans="1:7">
      <c r="A4204" s="3">
        <v>10</v>
      </c>
      <c r="B4204" s="3">
        <v>5</v>
      </c>
      <c r="C4204" s="3">
        <v>131</v>
      </c>
      <c r="D4204" s="3">
        <v>88</v>
      </c>
      <c r="E4204" s="3">
        <v>-1695.177</v>
      </c>
      <c r="F4204" s="4" t="str">
        <f>HYPERLINK("http://141.218.60.56/~jnz1568/getInfo.php?workbook=10_05.xlsx&amp;sheet=A0&amp;row=4204&amp;col=6&amp;number=628000&amp;sourceID=14","628000")</f>
        <v>628000</v>
      </c>
      <c r="G4204" s="4" t="str">
        <f>HYPERLINK("http://141.218.60.56/~jnz1568/getInfo.php?workbook=10_05.xlsx&amp;sheet=A0&amp;row=4204&amp;col=7&amp;number=0&amp;sourceID=14","0")</f>
        <v>0</v>
      </c>
    </row>
    <row r="4205" spans="1:7">
      <c r="A4205" s="3">
        <v>10</v>
      </c>
      <c r="B4205" s="3">
        <v>5</v>
      </c>
      <c r="C4205" s="3">
        <v>132</v>
      </c>
      <c r="D4205" s="3">
        <v>88</v>
      </c>
      <c r="E4205" s="3">
        <v>-1690.963</v>
      </c>
      <c r="F4205" s="4" t="str">
        <f>HYPERLINK("http://141.218.60.56/~jnz1568/getInfo.php?workbook=10_05.xlsx&amp;sheet=A0&amp;row=4205&amp;col=6&amp;number=1430000&amp;sourceID=14","1430000")</f>
        <v>1430000</v>
      </c>
      <c r="G4205" s="4" t="str">
        <f>HYPERLINK("http://141.218.60.56/~jnz1568/getInfo.php?workbook=10_05.xlsx&amp;sheet=A0&amp;row=4205&amp;col=7&amp;number=0&amp;sourceID=14","0")</f>
        <v>0</v>
      </c>
    </row>
    <row r="4206" spans="1:7">
      <c r="A4206" s="3">
        <v>10</v>
      </c>
      <c r="B4206" s="3">
        <v>5</v>
      </c>
      <c r="C4206" s="3">
        <v>140</v>
      </c>
      <c r="D4206" s="3">
        <v>88</v>
      </c>
      <c r="E4206" s="3">
        <v>-1558.024</v>
      </c>
      <c r="F4206" s="4" t="str">
        <f>HYPERLINK("http://141.218.60.56/~jnz1568/getInfo.php?workbook=10_05.xlsx&amp;sheet=A0&amp;row=4206&amp;col=6&amp;number=834&amp;sourceID=14","834")</f>
        <v>834</v>
      </c>
      <c r="G4206" s="4" t="str">
        <f>HYPERLINK("http://141.218.60.56/~jnz1568/getInfo.php?workbook=10_05.xlsx&amp;sheet=A0&amp;row=4206&amp;col=7&amp;number=0&amp;sourceID=14","0")</f>
        <v>0</v>
      </c>
    </row>
    <row r="4207" spans="1:7">
      <c r="A4207" s="3">
        <v>10</v>
      </c>
      <c r="B4207" s="3">
        <v>5</v>
      </c>
      <c r="C4207" s="3">
        <v>150</v>
      </c>
      <c r="D4207" s="3">
        <v>88</v>
      </c>
      <c r="E4207" s="3">
        <v>-1406.057</v>
      </c>
      <c r="F4207" s="4" t="str">
        <f>HYPERLINK("http://141.218.60.56/~jnz1568/getInfo.php?workbook=10_05.xlsx&amp;sheet=A0&amp;row=4207&amp;col=6&amp;number=3290&amp;sourceID=14","3290")</f>
        <v>3290</v>
      </c>
      <c r="G4207" s="4" t="str">
        <f>HYPERLINK("http://141.218.60.56/~jnz1568/getInfo.php?workbook=10_05.xlsx&amp;sheet=A0&amp;row=4207&amp;col=7&amp;number=0&amp;sourceID=14","0")</f>
        <v>0</v>
      </c>
    </row>
    <row r="4208" spans="1:7">
      <c r="A4208" s="3">
        <v>10</v>
      </c>
      <c r="B4208" s="3">
        <v>5</v>
      </c>
      <c r="C4208" s="3">
        <v>156</v>
      </c>
      <c r="D4208" s="3">
        <v>88</v>
      </c>
      <c r="E4208" s="3">
        <v>-1329.065</v>
      </c>
      <c r="F4208" s="4" t="str">
        <f>HYPERLINK("http://141.218.60.56/~jnz1568/getInfo.php?workbook=10_05.xlsx&amp;sheet=A0&amp;row=4208&amp;col=6&amp;number=10200&amp;sourceID=14","10200")</f>
        <v>10200</v>
      </c>
      <c r="G4208" s="4" t="str">
        <f>HYPERLINK("http://141.218.60.56/~jnz1568/getInfo.php?workbook=10_05.xlsx&amp;sheet=A0&amp;row=4208&amp;col=7&amp;number=0&amp;sourceID=14","0")</f>
        <v>0</v>
      </c>
    </row>
    <row r="4209" spans="1:7">
      <c r="A4209" s="3">
        <v>10</v>
      </c>
      <c r="B4209" s="3">
        <v>5</v>
      </c>
      <c r="C4209" s="3">
        <v>160</v>
      </c>
      <c r="D4209" s="3">
        <v>88</v>
      </c>
      <c r="E4209" s="3">
        <v>-1304.021</v>
      </c>
      <c r="F4209" s="4" t="str">
        <f>HYPERLINK("http://141.218.60.56/~jnz1568/getInfo.php?workbook=10_05.xlsx&amp;sheet=A0&amp;row=4209&amp;col=6&amp;number=7.78&amp;sourceID=14","7.78")</f>
        <v>7.78</v>
      </c>
      <c r="G4209" s="4" t="str">
        <f>HYPERLINK("http://141.218.60.56/~jnz1568/getInfo.php?workbook=10_05.xlsx&amp;sheet=A0&amp;row=4209&amp;col=7&amp;number=0&amp;sourceID=14","0")</f>
        <v>0</v>
      </c>
    </row>
    <row r="4210" spans="1:7">
      <c r="A4210" s="3">
        <v>10</v>
      </c>
      <c r="B4210" s="3">
        <v>5</v>
      </c>
      <c r="C4210" s="3">
        <v>161</v>
      </c>
      <c r="D4210" s="3">
        <v>88</v>
      </c>
      <c r="E4210" s="3">
        <v>1298.704</v>
      </c>
      <c r="F4210" s="4" t="str">
        <f>HYPERLINK("http://141.218.60.56/~jnz1568/getInfo.php?workbook=10_05.xlsx&amp;sheet=A0&amp;row=4210&amp;col=6&amp;number=48300&amp;sourceID=14","48300")</f>
        <v>48300</v>
      </c>
      <c r="G4210" s="4" t="str">
        <f>HYPERLINK("http://141.218.60.56/~jnz1568/getInfo.php?workbook=10_05.xlsx&amp;sheet=A0&amp;row=4210&amp;col=7&amp;number=0&amp;sourceID=14","0")</f>
        <v>0</v>
      </c>
    </row>
    <row r="4211" spans="1:7">
      <c r="A4211" s="3">
        <v>10</v>
      </c>
      <c r="B4211" s="3">
        <v>5</v>
      </c>
      <c r="C4211" s="3">
        <v>162</v>
      </c>
      <c r="D4211" s="3">
        <v>88</v>
      </c>
      <c r="E4211" s="3">
        <v>1293.663</v>
      </c>
      <c r="F4211" s="4" t="str">
        <f>HYPERLINK("http://141.218.60.56/~jnz1568/getInfo.php?workbook=10_05.xlsx&amp;sheet=A0&amp;row=4211&amp;col=6&amp;number=72900&amp;sourceID=14","72900")</f>
        <v>72900</v>
      </c>
      <c r="G4211" s="4" t="str">
        <f>HYPERLINK("http://141.218.60.56/~jnz1568/getInfo.php?workbook=10_05.xlsx&amp;sheet=A0&amp;row=4211&amp;col=7&amp;number=0&amp;sourceID=14","0")</f>
        <v>0</v>
      </c>
    </row>
    <row r="4212" spans="1:7">
      <c r="A4212" s="3">
        <v>10</v>
      </c>
      <c r="B4212" s="3">
        <v>5</v>
      </c>
      <c r="C4212" s="3">
        <v>163</v>
      </c>
      <c r="D4212" s="3">
        <v>88</v>
      </c>
      <c r="E4212" s="3">
        <v>-1100.693</v>
      </c>
      <c r="F4212" s="4" t="str">
        <f>HYPERLINK("http://141.218.60.56/~jnz1568/getInfo.php?workbook=10_05.xlsx&amp;sheet=A0&amp;row=4212&amp;col=6&amp;number=17800&amp;sourceID=14","17800")</f>
        <v>17800</v>
      </c>
      <c r="G4212" s="4" t="str">
        <f>HYPERLINK("http://141.218.60.56/~jnz1568/getInfo.php?workbook=10_05.xlsx&amp;sheet=A0&amp;row=4212&amp;col=7&amp;number=0&amp;sourceID=14","0")</f>
        <v>0</v>
      </c>
    </row>
    <row r="4213" spans="1:7">
      <c r="A4213" s="3">
        <v>10</v>
      </c>
      <c r="B4213" s="3">
        <v>5</v>
      </c>
      <c r="C4213" s="3">
        <v>169</v>
      </c>
      <c r="D4213" s="3">
        <v>88</v>
      </c>
      <c r="E4213" s="3">
        <v>-634.644</v>
      </c>
      <c r="F4213" s="4" t="str">
        <f>HYPERLINK("http://141.218.60.56/~jnz1568/getInfo.php?workbook=10_05.xlsx&amp;sheet=A0&amp;row=4213&amp;col=6&amp;number=15200&amp;sourceID=14","15200")</f>
        <v>15200</v>
      </c>
      <c r="G4213" s="4" t="str">
        <f>HYPERLINK("http://141.218.60.56/~jnz1568/getInfo.php?workbook=10_05.xlsx&amp;sheet=A0&amp;row=4213&amp;col=7&amp;number=0&amp;sourceID=14","0")</f>
        <v>0</v>
      </c>
    </row>
    <row r="4214" spans="1:7">
      <c r="A4214" s="3">
        <v>10</v>
      </c>
      <c r="B4214" s="3">
        <v>5</v>
      </c>
      <c r="C4214" s="3">
        <v>170</v>
      </c>
      <c r="D4214" s="3">
        <v>88</v>
      </c>
      <c r="E4214" s="3">
        <v>-599.019</v>
      </c>
      <c r="F4214" s="4" t="str">
        <f>HYPERLINK("http://141.218.60.56/~jnz1568/getInfo.php?workbook=10_05.xlsx&amp;sheet=A0&amp;row=4214&amp;col=6&amp;number=15100&amp;sourceID=14","15100")</f>
        <v>15100</v>
      </c>
      <c r="G4214" s="4" t="str">
        <f>HYPERLINK("http://141.218.60.56/~jnz1568/getInfo.php?workbook=10_05.xlsx&amp;sheet=A0&amp;row=4214&amp;col=7&amp;number=0&amp;sourceID=14","0")</f>
        <v>0</v>
      </c>
    </row>
    <row r="4215" spans="1:7">
      <c r="A4215" s="3">
        <v>10</v>
      </c>
      <c r="B4215" s="3">
        <v>5</v>
      </c>
      <c r="C4215" s="3">
        <v>171</v>
      </c>
      <c r="D4215" s="3">
        <v>88</v>
      </c>
      <c r="E4215" s="3">
        <v>-598.678</v>
      </c>
      <c r="F4215" s="4" t="str">
        <f>HYPERLINK("http://141.218.60.56/~jnz1568/getInfo.php?workbook=10_05.xlsx&amp;sheet=A0&amp;row=4215&amp;col=6&amp;number=1920&amp;sourceID=14","1920")</f>
        <v>1920</v>
      </c>
      <c r="G4215" s="4" t="str">
        <f>HYPERLINK("http://141.218.60.56/~jnz1568/getInfo.php?workbook=10_05.xlsx&amp;sheet=A0&amp;row=4215&amp;col=7&amp;number=0&amp;sourceID=14","0")</f>
        <v>0</v>
      </c>
    </row>
    <row r="4216" spans="1:7">
      <c r="A4216" s="3">
        <v>10</v>
      </c>
      <c r="B4216" s="3">
        <v>5</v>
      </c>
      <c r="C4216" s="3">
        <v>172</v>
      </c>
      <c r="D4216" s="3">
        <v>88</v>
      </c>
      <c r="E4216" s="3">
        <v>-591.77</v>
      </c>
      <c r="F4216" s="4" t="str">
        <f>HYPERLINK("http://141.218.60.56/~jnz1568/getInfo.php?workbook=10_05.xlsx&amp;sheet=A0&amp;row=4216&amp;col=6&amp;number=2060&amp;sourceID=14","2060")</f>
        <v>2060</v>
      </c>
      <c r="G4216" s="4" t="str">
        <f>HYPERLINK("http://141.218.60.56/~jnz1568/getInfo.php?workbook=10_05.xlsx&amp;sheet=A0&amp;row=4216&amp;col=7&amp;number=0&amp;sourceID=14","0")</f>
        <v>0</v>
      </c>
    </row>
    <row r="4217" spans="1:7">
      <c r="A4217" s="3">
        <v>10</v>
      </c>
      <c r="B4217" s="3">
        <v>5</v>
      </c>
      <c r="C4217" s="3">
        <v>174</v>
      </c>
      <c r="D4217" s="3">
        <v>88</v>
      </c>
      <c r="E4217" s="3">
        <v>-584.393</v>
      </c>
      <c r="F4217" s="4" t="str">
        <f>HYPERLINK("http://141.218.60.56/~jnz1568/getInfo.php?workbook=10_05.xlsx&amp;sheet=A0&amp;row=4217&amp;col=6&amp;number=533&amp;sourceID=14","533")</f>
        <v>533</v>
      </c>
      <c r="G4217" s="4" t="str">
        <f>HYPERLINK("http://141.218.60.56/~jnz1568/getInfo.php?workbook=10_05.xlsx&amp;sheet=A0&amp;row=4217&amp;col=7&amp;number=0&amp;sourceID=14","0")</f>
        <v>0</v>
      </c>
    </row>
    <row r="4218" spans="1:7">
      <c r="A4218" s="3">
        <v>10</v>
      </c>
      <c r="B4218" s="3">
        <v>5</v>
      </c>
      <c r="C4218" s="3">
        <v>99</v>
      </c>
      <c r="D4218" s="3">
        <v>89</v>
      </c>
      <c r="E4218" s="3">
        <v>-2941.874</v>
      </c>
      <c r="F4218" s="4" t="str">
        <f>HYPERLINK("http://141.218.60.56/~jnz1568/getInfo.php?workbook=10_05.xlsx&amp;sheet=A0&amp;row=4218&amp;col=6&amp;number=297&amp;sourceID=14","297")</f>
        <v>297</v>
      </c>
      <c r="G4218" s="4" t="str">
        <f>HYPERLINK("http://141.218.60.56/~jnz1568/getInfo.php?workbook=10_05.xlsx&amp;sheet=A0&amp;row=4218&amp;col=7&amp;number=0&amp;sourceID=14","0")</f>
        <v>0</v>
      </c>
    </row>
    <row r="4219" spans="1:7">
      <c r="A4219" s="3">
        <v>10</v>
      </c>
      <c r="B4219" s="3">
        <v>5</v>
      </c>
      <c r="C4219" s="3">
        <v>100</v>
      </c>
      <c r="D4219" s="3">
        <v>89</v>
      </c>
      <c r="E4219" s="3">
        <v>-2919.287</v>
      </c>
      <c r="F4219" s="4" t="str">
        <f>HYPERLINK("http://141.218.60.56/~jnz1568/getInfo.php?workbook=10_05.xlsx&amp;sheet=A0&amp;row=4219&amp;col=6&amp;number=748&amp;sourceID=14","748")</f>
        <v>748</v>
      </c>
      <c r="G4219" s="4" t="str">
        <f>HYPERLINK("http://141.218.60.56/~jnz1568/getInfo.php?workbook=10_05.xlsx&amp;sheet=A0&amp;row=4219&amp;col=7&amp;number=0&amp;sourceID=14","0")</f>
        <v>0</v>
      </c>
    </row>
    <row r="4220" spans="1:7">
      <c r="A4220" s="3">
        <v>10</v>
      </c>
      <c r="B4220" s="3">
        <v>5</v>
      </c>
      <c r="C4220" s="3">
        <v>105</v>
      </c>
      <c r="D4220" s="3">
        <v>89</v>
      </c>
      <c r="E4220" s="3">
        <v>-2501.818</v>
      </c>
      <c r="F4220" s="4" t="str">
        <f>HYPERLINK("http://141.218.60.56/~jnz1568/getInfo.php?workbook=10_05.xlsx&amp;sheet=A0&amp;row=4220&amp;col=6&amp;number=20100000&amp;sourceID=14","20100000")</f>
        <v>20100000</v>
      </c>
      <c r="G4220" s="4" t="str">
        <f>HYPERLINK("http://141.218.60.56/~jnz1568/getInfo.php?workbook=10_05.xlsx&amp;sheet=A0&amp;row=4220&amp;col=7&amp;number=0&amp;sourceID=14","0")</f>
        <v>0</v>
      </c>
    </row>
    <row r="4221" spans="1:7">
      <c r="A4221" s="3">
        <v>10</v>
      </c>
      <c r="B4221" s="3">
        <v>5</v>
      </c>
      <c r="C4221" s="3">
        <v>106</v>
      </c>
      <c r="D4221" s="3">
        <v>89</v>
      </c>
      <c r="E4221" s="3">
        <v>-2494.019</v>
      </c>
      <c r="F4221" s="4" t="str">
        <f>HYPERLINK("http://141.218.60.56/~jnz1568/getInfo.php?workbook=10_05.xlsx&amp;sheet=A0&amp;row=4221&amp;col=6&amp;number=63500000&amp;sourceID=14","63500000")</f>
        <v>63500000</v>
      </c>
      <c r="G4221" s="4" t="str">
        <f>HYPERLINK("http://141.218.60.56/~jnz1568/getInfo.php?workbook=10_05.xlsx&amp;sheet=A0&amp;row=4221&amp;col=7&amp;number=0&amp;sourceID=14","0")</f>
        <v>0</v>
      </c>
    </row>
    <row r="4222" spans="1:7">
      <c r="A4222" s="3">
        <v>10</v>
      </c>
      <c r="B4222" s="3">
        <v>5</v>
      </c>
      <c r="C4222" s="3">
        <v>107</v>
      </c>
      <c r="D4222" s="3">
        <v>89</v>
      </c>
      <c r="E4222" s="3">
        <v>-2476.846</v>
      </c>
      <c r="F4222" s="4" t="str">
        <f>HYPERLINK("http://141.218.60.56/~jnz1568/getInfo.php?workbook=10_05.xlsx&amp;sheet=A0&amp;row=4222&amp;col=6&amp;number=93800000&amp;sourceID=14","93800000")</f>
        <v>93800000</v>
      </c>
      <c r="G4222" s="4" t="str">
        <f>HYPERLINK("http://141.218.60.56/~jnz1568/getInfo.php?workbook=10_05.xlsx&amp;sheet=A0&amp;row=4222&amp;col=7&amp;number=0&amp;sourceID=14","0")</f>
        <v>0</v>
      </c>
    </row>
    <row r="4223" spans="1:7">
      <c r="A4223" s="3">
        <v>10</v>
      </c>
      <c r="B4223" s="3">
        <v>5</v>
      </c>
      <c r="C4223" s="3">
        <v>109</v>
      </c>
      <c r="D4223" s="3">
        <v>89</v>
      </c>
      <c r="E4223" s="3">
        <v>-2434.398</v>
      </c>
      <c r="F4223" s="4" t="str">
        <f>HYPERLINK("http://141.218.60.56/~jnz1568/getInfo.php?workbook=10_05.xlsx&amp;sheet=A0&amp;row=4223&amp;col=6&amp;number=5560000&amp;sourceID=14","5560000")</f>
        <v>5560000</v>
      </c>
      <c r="G4223" s="4" t="str">
        <f>HYPERLINK("http://141.218.60.56/~jnz1568/getInfo.php?workbook=10_05.xlsx&amp;sheet=A0&amp;row=4223&amp;col=7&amp;number=0&amp;sourceID=14","0")</f>
        <v>0</v>
      </c>
    </row>
    <row r="4224" spans="1:7">
      <c r="A4224" s="3">
        <v>10</v>
      </c>
      <c r="B4224" s="3">
        <v>5</v>
      </c>
      <c r="C4224" s="3">
        <v>111</v>
      </c>
      <c r="D4224" s="3">
        <v>89</v>
      </c>
      <c r="E4224" s="3">
        <v>-2399.467</v>
      </c>
      <c r="F4224" s="4" t="str">
        <f>HYPERLINK("http://141.218.60.56/~jnz1568/getInfo.php?workbook=10_05.xlsx&amp;sheet=A0&amp;row=4224&amp;col=6&amp;number=1160000&amp;sourceID=14","1160000")</f>
        <v>1160000</v>
      </c>
      <c r="G4224" s="4" t="str">
        <f>HYPERLINK("http://141.218.60.56/~jnz1568/getInfo.php?workbook=10_05.xlsx&amp;sheet=A0&amp;row=4224&amp;col=7&amp;number=0&amp;sourceID=14","0")</f>
        <v>0</v>
      </c>
    </row>
    <row r="4225" spans="1:7">
      <c r="A4225" s="3">
        <v>10</v>
      </c>
      <c r="B4225" s="3">
        <v>5</v>
      </c>
      <c r="C4225" s="3">
        <v>115</v>
      </c>
      <c r="D4225" s="3">
        <v>89</v>
      </c>
      <c r="E4225" s="3">
        <v>-2059.397</v>
      </c>
      <c r="F4225" s="4" t="str">
        <f>HYPERLINK("http://141.218.60.56/~jnz1568/getInfo.php?workbook=10_05.xlsx&amp;sheet=A0&amp;row=4225&amp;col=6&amp;number=5090&amp;sourceID=14","5090")</f>
        <v>5090</v>
      </c>
      <c r="G4225" s="4" t="str">
        <f>HYPERLINK("http://141.218.60.56/~jnz1568/getInfo.php?workbook=10_05.xlsx&amp;sheet=A0&amp;row=4225&amp;col=7&amp;number=0&amp;sourceID=14","0")</f>
        <v>0</v>
      </c>
    </row>
    <row r="4226" spans="1:7">
      <c r="A4226" s="3">
        <v>10</v>
      </c>
      <c r="B4226" s="3">
        <v>5</v>
      </c>
      <c r="C4226" s="3">
        <v>117</v>
      </c>
      <c r="D4226" s="3">
        <v>89</v>
      </c>
      <c r="E4226" s="3">
        <v>-2013.21</v>
      </c>
      <c r="F4226" s="4" t="str">
        <f>HYPERLINK("http://141.218.60.56/~jnz1568/getInfo.php?workbook=10_05.xlsx&amp;sheet=A0&amp;row=4226&amp;col=6&amp;number=48700000&amp;sourceID=14","48700000")</f>
        <v>48700000</v>
      </c>
      <c r="G4226" s="4" t="str">
        <f>HYPERLINK("http://141.218.60.56/~jnz1568/getInfo.php?workbook=10_05.xlsx&amp;sheet=A0&amp;row=4226&amp;col=7&amp;number=0&amp;sourceID=14","0")</f>
        <v>0</v>
      </c>
    </row>
    <row r="4227" spans="1:7">
      <c r="A4227" s="3">
        <v>10</v>
      </c>
      <c r="B4227" s="3">
        <v>5</v>
      </c>
      <c r="C4227" s="3">
        <v>118</v>
      </c>
      <c r="D4227" s="3">
        <v>89</v>
      </c>
      <c r="E4227" s="3">
        <v>-2009.933</v>
      </c>
      <c r="F4227" s="4" t="str">
        <f>HYPERLINK("http://141.218.60.56/~jnz1568/getInfo.php?workbook=10_05.xlsx&amp;sheet=A0&amp;row=4227&amp;col=6&amp;number=28400000&amp;sourceID=14","28400000")</f>
        <v>28400000</v>
      </c>
      <c r="G4227" s="4" t="str">
        <f>HYPERLINK("http://141.218.60.56/~jnz1568/getInfo.php?workbook=10_05.xlsx&amp;sheet=A0&amp;row=4227&amp;col=7&amp;number=0&amp;sourceID=14","0")</f>
        <v>0</v>
      </c>
    </row>
    <row r="4228" spans="1:7">
      <c r="A4228" s="3">
        <v>10</v>
      </c>
      <c r="B4228" s="3">
        <v>5</v>
      </c>
      <c r="C4228" s="3">
        <v>119</v>
      </c>
      <c r="D4228" s="3">
        <v>89</v>
      </c>
      <c r="E4228" s="3">
        <v>-2007.915</v>
      </c>
      <c r="F4228" s="4" t="str">
        <f>HYPERLINK("http://141.218.60.56/~jnz1568/getInfo.php?workbook=10_05.xlsx&amp;sheet=A0&amp;row=4228&amp;col=6&amp;number=147000000&amp;sourceID=14","147000000")</f>
        <v>147000000</v>
      </c>
      <c r="G4228" s="4" t="str">
        <f>HYPERLINK("http://141.218.60.56/~jnz1568/getInfo.php?workbook=10_05.xlsx&amp;sheet=A0&amp;row=4228&amp;col=7&amp;number=0&amp;sourceID=14","0")</f>
        <v>0</v>
      </c>
    </row>
    <row r="4229" spans="1:7">
      <c r="A4229" s="3">
        <v>10</v>
      </c>
      <c r="B4229" s="3">
        <v>5</v>
      </c>
      <c r="C4229" s="3">
        <v>120</v>
      </c>
      <c r="D4229" s="3">
        <v>89</v>
      </c>
      <c r="E4229" s="3">
        <v>-1888.078</v>
      </c>
      <c r="F4229" s="4" t="str">
        <f>HYPERLINK("http://141.218.60.56/~jnz1568/getInfo.php?workbook=10_05.xlsx&amp;sheet=A0&amp;row=4229&amp;col=6&amp;number=409000&amp;sourceID=14","409000")</f>
        <v>409000</v>
      </c>
      <c r="G4229" s="4" t="str">
        <f>HYPERLINK("http://141.218.60.56/~jnz1568/getInfo.php?workbook=10_05.xlsx&amp;sheet=A0&amp;row=4229&amp;col=7&amp;number=0&amp;sourceID=14","0")</f>
        <v>0</v>
      </c>
    </row>
    <row r="4230" spans="1:7">
      <c r="A4230" s="3">
        <v>10</v>
      </c>
      <c r="B4230" s="3">
        <v>5</v>
      </c>
      <c r="C4230" s="3">
        <v>121</v>
      </c>
      <c r="D4230" s="3">
        <v>89</v>
      </c>
      <c r="E4230" s="3">
        <v>-1880.127</v>
      </c>
      <c r="F4230" s="4" t="str">
        <f>HYPERLINK("http://141.218.60.56/~jnz1568/getInfo.php?workbook=10_05.xlsx&amp;sheet=A0&amp;row=4230&amp;col=6&amp;number=903000&amp;sourceID=14","903000")</f>
        <v>903000</v>
      </c>
      <c r="G4230" s="4" t="str">
        <f>HYPERLINK("http://141.218.60.56/~jnz1568/getInfo.php?workbook=10_05.xlsx&amp;sheet=A0&amp;row=4230&amp;col=7&amp;number=0&amp;sourceID=14","0")</f>
        <v>0</v>
      </c>
    </row>
    <row r="4231" spans="1:7">
      <c r="A4231" s="3">
        <v>10</v>
      </c>
      <c r="B4231" s="3">
        <v>5</v>
      </c>
      <c r="C4231" s="3">
        <v>122</v>
      </c>
      <c r="D4231" s="3">
        <v>89</v>
      </c>
      <c r="E4231" s="3">
        <v>-1867.138</v>
      </c>
      <c r="F4231" s="4" t="str">
        <f>HYPERLINK("http://141.218.60.56/~jnz1568/getInfo.php?workbook=10_05.xlsx&amp;sheet=A0&amp;row=4231&amp;col=6&amp;number=701000&amp;sourceID=14","701000")</f>
        <v>701000</v>
      </c>
      <c r="G4231" s="4" t="str">
        <f>HYPERLINK("http://141.218.60.56/~jnz1568/getInfo.php?workbook=10_05.xlsx&amp;sheet=A0&amp;row=4231&amp;col=7&amp;number=0&amp;sourceID=14","0")</f>
        <v>0</v>
      </c>
    </row>
    <row r="4232" spans="1:7">
      <c r="A4232" s="3">
        <v>10</v>
      </c>
      <c r="B4232" s="3">
        <v>5</v>
      </c>
      <c r="C4232" s="3">
        <v>123</v>
      </c>
      <c r="D4232" s="3">
        <v>89</v>
      </c>
      <c r="E4232" s="3">
        <v>-1856.945</v>
      </c>
      <c r="F4232" s="4" t="str">
        <f>HYPERLINK("http://141.218.60.56/~jnz1568/getInfo.php?workbook=10_05.xlsx&amp;sheet=A0&amp;row=4232&amp;col=6&amp;number=8850000&amp;sourceID=14","8850000")</f>
        <v>8850000</v>
      </c>
      <c r="G4232" s="4" t="str">
        <f>HYPERLINK("http://141.218.60.56/~jnz1568/getInfo.php?workbook=10_05.xlsx&amp;sheet=A0&amp;row=4232&amp;col=7&amp;number=0&amp;sourceID=14","0")</f>
        <v>0</v>
      </c>
    </row>
    <row r="4233" spans="1:7">
      <c r="A4233" s="3">
        <v>10</v>
      </c>
      <c r="B4233" s="3">
        <v>5</v>
      </c>
      <c r="C4233" s="3">
        <v>125</v>
      </c>
      <c r="D4233" s="3">
        <v>89</v>
      </c>
      <c r="E4233" s="3">
        <v>-1818.648</v>
      </c>
      <c r="F4233" s="4" t="str">
        <f>HYPERLINK("http://141.218.60.56/~jnz1568/getInfo.php?workbook=10_05.xlsx&amp;sheet=A0&amp;row=4233&amp;col=6&amp;number=15600&amp;sourceID=14","15600")</f>
        <v>15600</v>
      </c>
      <c r="G4233" s="4" t="str">
        <f>HYPERLINK("http://141.218.60.56/~jnz1568/getInfo.php?workbook=10_05.xlsx&amp;sheet=A0&amp;row=4233&amp;col=7&amp;number=0&amp;sourceID=14","0")</f>
        <v>0</v>
      </c>
    </row>
    <row r="4234" spans="1:7">
      <c r="A4234" s="3">
        <v>10</v>
      </c>
      <c r="B4234" s="3">
        <v>5</v>
      </c>
      <c r="C4234" s="3">
        <v>126</v>
      </c>
      <c r="D4234" s="3">
        <v>89</v>
      </c>
      <c r="E4234" s="3">
        <v>-1809.598</v>
      </c>
      <c r="F4234" s="4" t="str">
        <f>HYPERLINK("http://141.218.60.56/~jnz1568/getInfo.php?workbook=10_05.xlsx&amp;sheet=A0&amp;row=4234&amp;col=6&amp;number=265000&amp;sourceID=14","265000")</f>
        <v>265000</v>
      </c>
      <c r="G4234" s="4" t="str">
        <f>HYPERLINK("http://141.218.60.56/~jnz1568/getInfo.php?workbook=10_05.xlsx&amp;sheet=A0&amp;row=4234&amp;col=7&amp;number=0&amp;sourceID=14","0")</f>
        <v>0</v>
      </c>
    </row>
    <row r="4235" spans="1:7">
      <c r="A4235" s="3">
        <v>10</v>
      </c>
      <c r="B4235" s="3">
        <v>5</v>
      </c>
      <c r="C4235" s="3">
        <v>129</v>
      </c>
      <c r="D4235" s="3">
        <v>89</v>
      </c>
      <c r="E4235" s="3">
        <v>1722.063</v>
      </c>
      <c r="F4235" s="4" t="str">
        <f>HYPERLINK("http://141.218.60.56/~jnz1568/getInfo.php?workbook=10_05.xlsx&amp;sheet=A0&amp;row=4235&amp;col=6&amp;number=32.7&amp;sourceID=14","32.7")</f>
        <v>32.7</v>
      </c>
      <c r="G4235" s="4" t="str">
        <f>HYPERLINK("http://141.218.60.56/~jnz1568/getInfo.php?workbook=10_05.xlsx&amp;sheet=A0&amp;row=4235&amp;col=7&amp;number=0&amp;sourceID=14","0")</f>
        <v>0</v>
      </c>
    </row>
    <row r="4236" spans="1:7">
      <c r="A4236" s="3">
        <v>10</v>
      </c>
      <c r="B4236" s="3">
        <v>5</v>
      </c>
      <c r="C4236" s="3">
        <v>130</v>
      </c>
      <c r="D4236" s="3">
        <v>89</v>
      </c>
      <c r="E4236" s="3">
        <v>1722.063</v>
      </c>
      <c r="F4236" s="4" t="str">
        <f>HYPERLINK("http://141.218.60.56/~jnz1568/getInfo.php?workbook=10_05.xlsx&amp;sheet=A0&amp;row=4236&amp;col=6&amp;number=65900&amp;sourceID=14","65900")</f>
        <v>65900</v>
      </c>
      <c r="G4236" s="4" t="str">
        <f>HYPERLINK("http://141.218.60.56/~jnz1568/getInfo.php?workbook=10_05.xlsx&amp;sheet=A0&amp;row=4236&amp;col=7&amp;number=0&amp;sourceID=14","0")</f>
        <v>0</v>
      </c>
    </row>
    <row r="4237" spans="1:7">
      <c r="A4237" s="3">
        <v>10</v>
      </c>
      <c r="B4237" s="3">
        <v>5</v>
      </c>
      <c r="C4237" s="3">
        <v>131</v>
      </c>
      <c r="D4237" s="3">
        <v>89</v>
      </c>
      <c r="E4237" s="3">
        <v>-1705.964</v>
      </c>
      <c r="F4237" s="4" t="str">
        <f>HYPERLINK("http://141.218.60.56/~jnz1568/getInfo.php?workbook=10_05.xlsx&amp;sheet=A0&amp;row=4237&amp;col=6&amp;number=3570000&amp;sourceID=14","3570000")</f>
        <v>3570000</v>
      </c>
      <c r="G4237" s="4" t="str">
        <f>HYPERLINK("http://141.218.60.56/~jnz1568/getInfo.php?workbook=10_05.xlsx&amp;sheet=A0&amp;row=4237&amp;col=7&amp;number=0&amp;sourceID=14","0")</f>
        <v>0</v>
      </c>
    </row>
    <row r="4238" spans="1:7">
      <c r="A4238" s="3">
        <v>10</v>
      </c>
      <c r="B4238" s="3">
        <v>5</v>
      </c>
      <c r="C4238" s="3">
        <v>132</v>
      </c>
      <c r="D4238" s="3">
        <v>89</v>
      </c>
      <c r="E4238" s="3">
        <v>-1701.696</v>
      </c>
      <c r="F4238" s="4" t="str">
        <f>HYPERLINK("http://141.218.60.56/~jnz1568/getInfo.php?workbook=10_05.xlsx&amp;sheet=A0&amp;row=4238&amp;col=6&amp;number=767000&amp;sourceID=14","767000")</f>
        <v>767000</v>
      </c>
      <c r="G4238" s="4" t="str">
        <f>HYPERLINK("http://141.218.60.56/~jnz1568/getInfo.php?workbook=10_05.xlsx&amp;sheet=A0&amp;row=4238&amp;col=7&amp;number=0&amp;sourceID=14","0")</f>
        <v>0</v>
      </c>
    </row>
    <row r="4239" spans="1:7">
      <c r="A4239" s="3">
        <v>10</v>
      </c>
      <c r="B4239" s="3">
        <v>5</v>
      </c>
      <c r="C4239" s="3">
        <v>133</v>
      </c>
      <c r="D4239" s="3">
        <v>89</v>
      </c>
      <c r="E4239" s="3">
        <v>-1695.694</v>
      </c>
      <c r="F4239" s="4" t="str">
        <f>HYPERLINK("http://141.218.60.56/~jnz1568/getInfo.php?workbook=10_05.xlsx&amp;sheet=A0&amp;row=4239&amp;col=6&amp;number=340000&amp;sourceID=14","340000")</f>
        <v>340000</v>
      </c>
      <c r="G4239" s="4" t="str">
        <f>HYPERLINK("http://141.218.60.56/~jnz1568/getInfo.php?workbook=10_05.xlsx&amp;sheet=A0&amp;row=4239&amp;col=7&amp;number=0&amp;sourceID=14","0")</f>
        <v>0</v>
      </c>
    </row>
    <row r="4240" spans="1:7">
      <c r="A4240" s="3">
        <v>10</v>
      </c>
      <c r="B4240" s="3">
        <v>5</v>
      </c>
      <c r="C4240" s="3">
        <v>140</v>
      </c>
      <c r="D4240" s="3">
        <v>89</v>
      </c>
      <c r="E4240" s="3">
        <v>-1567.131</v>
      </c>
      <c r="F4240" s="4" t="str">
        <f>HYPERLINK("http://141.218.60.56/~jnz1568/getInfo.php?workbook=10_05.xlsx&amp;sheet=A0&amp;row=4240&amp;col=6&amp;number=4080&amp;sourceID=14","4080")</f>
        <v>4080</v>
      </c>
      <c r="G4240" s="4" t="str">
        <f>HYPERLINK("http://141.218.60.56/~jnz1568/getInfo.php?workbook=10_05.xlsx&amp;sheet=A0&amp;row=4240&amp;col=7&amp;number=0&amp;sourceID=14","0")</f>
        <v>0</v>
      </c>
    </row>
    <row r="4241" spans="1:7">
      <c r="A4241" s="3">
        <v>10</v>
      </c>
      <c r="B4241" s="3">
        <v>5</v>
      </c>
      <c r="C4241" s="3">
        <v>150</v>
      </c>
      <c r="D4241" s="3">
        <v>89</v>
      </c>
      <c r="E4241" s="3">
        <v>-1413.47</v>
      </c>
      <c r="F4241" s="4" t="str">
        <f>HYPERLINK("http://141.218.60.56/~jnz1568/getInfo.php?workbook=10_05.xlsx&amp;sheet=A0&amp;row=4241&amp;col=6&amp;number=45400&amp;sourceID=14","45400")</f>
        <v>45400</v>
      </c>
      <c r="G4241" s="4" t="str">
        <f>HYPERLINK("http://141.218.60.56/~jnz1568/getInfo.php?workbook=10_05.xlsx&amp;sheet=A0&amp;row=4241&amp;col=7&amp;number=0&amp;sourceID=14","0")</f>
        <v>0</v>
      </c>
    </row>
    <row r="4242" spans="1:7">
      <c r="A4242" s="3">
        <v>10</v>
      </c>
      <c r="B4242" s="3">
        <v>5</v>
      </c>
      <c r="C4242" s="3">
        <v>151</v>
      </c>
      <c r="D4242" s="3">
        <v>89</v>
      </c>
      <c r="E4242" s="3">
        <v>-1413.031</v>
      </c>
      <c r="F4242" s="4" t="str">
        <f>HYPERLINK("http://141.218.60.56/~jnz1568/getInfo.php?workbook=10_05.xlsx&amp;sheet=A0&amp;row=4242&amp;col=6&amp;number=1140&amp;sourceID=14","1140")</f>
        <v>1140</v>
      </c>
      <c r="G4242" s="4" t="str">
        <f>HYPERLINK("http://141.218.60.56/~jnz1568/getInfo.php?workbook=10_05.xlsx&amp;sheet=A0&amp;row=4242&amp;col=7&amp;number=0&amp;sourceID=14","0")</f>
        <v>0</v>
      </c>
    </row>
    <row r="4243" spans="1:7">
      <c r="A4243" s="3">
        <v>10</v>
      </c>
      <c r="B4243" s="3">
        <v>5</v>
      </c>
      <c r="C4243" s="3">
        <v>155</v>
      </c>
      <c r="D4243" s="3">
        <v>89</v>
      </c>
      <c r="E4243" s="3">
        <v>1350.624</v>
      </c>
      <c r="F4243" s="4" t="str">
        <f>HYPERLINK("http://141.218.60.56/~jnz1568/getInfo.php?workbook=10_05.xlsx&amp;sheet=A0&amp;row=4243&amp;col=6&amp;number=10500&amp;sourceID=14","10500")</f>
        <v>10500</v>
      </c>
      <c r="G4243" s="4" t="str">
        <f>HYPERLINK("http://141.218.60.56/~jnz1568/getInfo.php?workbook=10_05.xlsx&amp;sheet=A0&amp;row=4243&amp;col=7&amp;number=0&amp;sourceID=14","0")</f>
        <v>0</v>
      </c>
    </row>
    <row r="4244" spans="1:7">
      <c r="A4244" s="3">
        <v>10</v>
      </c>
      <c r="B4244" s="3">
        <v>5</v>
      </c>
      <c r="C4244" s="3">
        <v>156</v>
      </c>
      <c r="D4244" s="3">
        <v>89</v>
      </c>
      <c r="E4244" s="3">
        <v>-1335.687</v>
      </c>
      <c r="F4244" s="4" t="str">
        <f>HYPERLINK("http://141.218.60.56/~jnz1568/getInfo.php?workbook=10_05.xlsx&amp;sheet=A0&amp;row=4244&amp;col=6&amp;number=40900&amp;sourceID=14","40900")</f>
        <v>40900</v>
      </c>
      <c r="G4244" s="4" t="str">
        <f>HYPERLINK("http://141.218.60.56/~jnz1568/getInfo.php?workbook=10_05.xlsx&amp;sheet=A0&amp;row=4244&amp;col=7&amp;number=0&amp;sourceID=14","0")</f>
        <v>0</v>
      </c>
    </row>
    <row r="4245" spans="1:7">
      <c r="A4245" s="3">
        <v>10</v>
      </c>
      <c r="B4245" s="3">
        <v>5</v>
      </c>
      <c r="C4245" s="3">
        <v>157</v>
      </c>
      <c r="D4245" s="3">
        <v>89</v>
      </c>
      <c r="E4245" s="3">
        <v>-1332.501</v>
      </c>
      <c r="F4245" s="4" t="str">
        <f>HYPERLINK("http://141.218.60.56/~jnz1568/getInfo.php?workbook=10_05.xlsx&amp;sheet=A0&amp;row=4245&amp;col=6&amp;number=55600&amp;sourceID=14","55600")</f>
        <v>55600</v>
      </c>
      <c r="G4245" s="4" t="str">
        <f>HYPERLINK("http://141.218.60.56/~jnz1568/getInfo.php?workbook=10_05.xlsx&amp;sheet=A0&amp;row=4245&amp;col=7&amp;number=0&amp;sourceID=14","0")</f>
        <v>0</v>
      </c>
    </row>
    <row r="4246" spans="1:7">
      <c r="A4246" s="3">
        <v>10</v>
      </c>
      <c r="B4246" s="3">
        <v>5</v>
      </c>
      <c r="C4246" s="3">
        <v>160</v>
      </c>
      <c r="D4246" s="3">
        <v>89</v>
      </c>
      <c r="E4246" s="3">
        <v>-1310.395</v>
      </c>
      <c r="F4246" s="4" t="str">
        <f>HYPERLINK("http://141.218.60.56/~jnz1568/getInfo.php?workbook=10_05.xlsx&amp;sheet=A0&amp;row=4246&amp;col=6&amp;number=229&amp;sourceID=14","229")</f>
        <v>229</v>
      </c>
      <c r="G4246" s="4" t="str">
        <f>HYPERLINK("http://141.218.60.56/~jnz1568/getInfo.php?workbook=10_05.xlsx&amp;sheet=A0&amp;row=4246&amp;col=7&amp;number=0&amp;sourceID=14","0")</f>
        <v>0</v>
      </c>
    </row>
    <row r="4247" spans="1:7">
      <c r="A4247" s="3">
        <v>10</v>
      </c>
      <c r="B4247" s="3">
        <v>5</v>
      </c>
      <c r="C4247" s="3">
        <v>161</v>
      </c>
      <c r="D4247" s="3">
        <v>89</v>
      </c>
      <c r="E4247" s="3">
        <v>1304.974</v>
      </c>
      <c r="F4247" s="4" t="str">
        <f>HYPERLINK("http://141.218.60.56/~jnz1568/getInfo.php?workbook=10_05.xlsx&amp;sheet=A0&amp;row=4247&amp;col=6&amp;number=49600&amp;sourceID=14","49600")</f>
        <v>49600</v>
      </c>
      <c r="G4247" s="4" t="str">
        <f>HYPERLINK("http://141.218.60.56/~jnz1568/getInfo.php?workbook=10_05.xlsx&amp;sheet=A0&amp;row=4247&amp;col=7&amp;number=0&amp;sourceID=14","0")</f>
        <v>0</v>
      </c>
    </row>
    <row r="4248" spans="1:7">
      <c r="A4248" s="3">
        <v>10</v>
      </c>
      <c r="B4248" s="3">
        <v>5</v>
      </c>
      <c r="C4248" s="3">
        <v>162</v>
      </c>
      <c r="D4248" s="3">
        <v>89</v>
      </c>
      <c r="E4248" s="3">
        <v>1299.885</v>
      </c>
      <c r="F4248" s="4" t="str">
        <f>HYPERLINK("http://141.218.60.56/~jnz1568/getInfo.php?workbook=10_05.xlsx&amp;sheet=A0&amp;row=4248&amp;col=6&amp;number=27900&amp;sourceID=14","27900")</f>
        <v>27900</v>
      </c>
      <c r="G4248" s="4" t="str">
        <f>HYPERLINK("http://141.218.60.56/~jnz1568/getInfo.php?workbook=10_05.xlsx&amp;sheet=A0&amp;row=4248&amp;col=7&amp;number=0&amp;sourceID=14","0")</f>
        <v>0</v>
      </c>
    </row>
    <row r="4249" spans="1:7">
      <c r="A4249" s="3">
        <v>10</v>
      </c>
      <c r="B4249" s="3">
        <v>5</v>
      </c>
      <c r="C4249" s="3">
        <v>163</v>
      </c>
      <c r="D4249" s="3">
        <v>89</v>
      </c>
      <c r="E4249" s="3">
        <v>-1105.231</v>
      </c>
      <c r="F4249" s="4" t="str">
        <f>HYPERLINK("http://141.218.60.56/~jnz1568/getInfo.php?workbook=10_05.xlsx&amp;sheet=A0&amp;row=4249&amp;col=6&amp;number=89700&amp;sourceID=14","89700")</f>
        <v>89700</v>
      </c>
      <c r="G4249" s="4" t="str">
        <f>HYPERLINK("http://141.218.60.56/~jnz1568/getInfo.php?workbook=10_05.xlsx&amp;sheet=A0&amp;row=4249&amp;col=7&amp;number=0&amp;sourceID=14","0")</f>
        <v>0</v>
      </c>
    </row>
    <row r="4250" spans="1:7">
      <c r="A4250" s="3">
        <v>10</v>
      </c>
      <c r="B4250" s="3">
        <v>5</v>
      </c>
      <c r="C4250" s="3">
        <v>168</v>
      </c>
      <c r="D4250" s="3">
        <v>89</v>
      </c>
      <c r="E4250" s="3">
        <v>-636.344</v>
      </c>
      <c r="F4250" s="4" t="str">
        <f>HYPERLINK("http://141.218.60.56/~jnz1568/getInfo.php?workbook=10_05.xlsx&amp;sheet=A0&amp;row=4250&amp;col=6&amp;number=43100&amp;sourceID=14","43100")</f>
        <v>43100</v>
      </c>
      <c r="G4250" s="4" t="str">
        <f>HYPERLINK("http://141.218.60.56/~jnz1568/getInfo.php?workbook=10_05.xlsx&amp;sheet=A0&amp;row=4250&amp;col=7&amp;number=0&amp;sourceID=14","0")</f>
        <v>0</v>
      </c>
    </row>
    <row r="4251" spans="1:7">
      <c r="A4251" s="3">
        <v>10</v>
      </c>
      <c r="B4251" s="3">
        <v>5</v>
      </c>
      <c r="C4251" s="3">
        <v>169</v>
      </c>
      <c r="D4251" s="3">
        <v>89</v>
      </c>
      <c r="E4251" s="3">
        <v>-636.15</v>
      </c>
      <c r="F4251" s="4" t="str">
        <f>HYPERLINK("http://141.218.60.56/~jnz1568/getInfo.php?workbook=10_05.xlsx&amp;sheet=A0&amp;row=4251&amp;col=6&amp;number=9070&amp;sourceID=14","9070")</f>
        <v>9070</v>
      </c>
      <c r="G4251" s="4" t="str">
        <f>HYPERLINK("http://141.218.60.56/~jnz1568/getInfo.php?workbook=10_05.xlsx&amp;sheet=A0&amp;row=4251&amp;col=7&amp;number=0&amp;sourceID=14","0")</f>
        <v>0</v>
      </c>
    </row>
    <row r="4252" spans="1:7">
      <c r="A4252" s="3">
        <v>10</v>
      </c>
      <c r="B4252" s="3">
        <v>5</v>
      </c>
      <c r="C4252" s="3">
        <v>170</v>
      </c>
      <c r="D4252" s="3">
        <v>89</v>
      </c>
      <c r="E4252" s="3">
        <v>-600.36</v>
      </c>
      <c r="F4252" s="4" t="str">
        <f>HYPERLINK("http://141.218.60.56/~jnz1568/getInfo.php?workbook=10_05.xlsx&amp;sheet=A0&amp;row=4252&amp;col=6&amp;number=45700&amp;sourceID=14","45700")</f>
        <v>45700</v>
      </c>
      <c r="G4252" s="4" t="str">
        <f>HYPERLINK("http://141.218.60.56/~jnz1568/getInfo.php?workbook=10_05.xlsx&amp;sheet=A0&amp;row=4252&amp;col=7&amp;number=0&amp;sourceID=14","0")</f>
        <v>0</v>
      </c>
    </row>
    <row r="4253" spans="1:7">
      <c r="A4253" s="3">
        <v>10</v>
      </c>
      <c r="B4253" s="3">
        <v>5</v>
      </c>
      <c r="C4253" s="3">
        <v>171</v>
      </c>
      <c r="D4253" s="3">
        <v>89</v>
      </c>
      <c r="E4253" s="3">
        <v>-600.018</v>
      </c>
      <c r="F4253" s="4" t="str">
        <f>HYPERLINK("http://141.218.60.56/~jnz1568/getInfo.php?workbook=10_05.xlsx&amp;sheet=A0&amp;row=4253&amp;col=6&amp;number=1100&amp;sourceID=14","1100")</f>
        <v>1100</v>
      </c>
      <c r="G4253" s="4" t="str">
        <f>HYPERLINK("http://141.218.60.56/~jnz1568/getInfo.php?workbook=10_05.xlsx&amp;sheet=A0&amp;row=4253&amp;col=7&amp;number=0&amp;sourceID=14","0")</f>
        <v>0</v>
      </c>
    </row>
    <row r="4254" spans="1:7">
      <c r="A4254" s="3">
        <v>10</v>
      </c>
      <c r="B4254" s="3">
        <v>5</v>
      </c>
      <c r="C4254" s="3">
        <v>172</v>
      </c>
      <c r="D4254" s="3">
        <v>89</v>
      </c>
      <c r="E4254" s="3">
        <v>-593.079</v>
      </c>
      <c r="F4254" s="4" t="str">
        <f>HYPERLINK("http://141.218.60.56/~jnz1568/getInfo.php?workbook=10_05.xlsx&amp;sheet=A0&amp;row=4254&amp;col=6&amp;number=6150&amp;sourceID=14","6150")</f>
        <v>6150</v>
      </c>
      <c r="G4254" s="4" t="str">
        <f>HYPERLINK("http://141.218.60.56/~jnz1568/getInfo.php?workbook=10_05.xlsx&amp;sheet=A0&amp;row=4254&amp;col=7&amp;number=0&amp;sourceID=14","0")</f>
        <v>0</v>
      </c>
    </row>
    <row r="4255" spans="1:7">
      <c r="A4255" s="3">
        <v>10</v>
      </c>
      <c r="B4255" s="3">
        <v>5</v>
      </c>
      <c r="C4255" s="3">
        <v>173</v>
      </c>
      <c r="D4255" s="3">
        <v>89</v>
      </c>
      <c r="E4255" s="3">
        <v>-592.998</v>
      </c>
      <c r="F4255" s="4" t="str">
        <f>HYPERLINK("http://141.218.60.56/~jnz1568/getInfo.php?workbook=10_05.xlsx&amp;sheet=A0&amp;row=4255&amp;col=6&amp;number=4740&amp;sourceID=14","4740")</f>
        <v>4740</v>
      </c>
      <c r="G4255" s="4" t="str">
        <f>HYPERLINK("http://141.218.60.56/~jnz1568/getInfo.php?workbook=10_05.xlsx&amp;sheet=A0&amp;row=4255&amp;col=7&amp;number=0&amp;sourceID=14","0")</f>
        <v>0</v>
      </c>
    </row>
    <row r="4256" spans="1:7">
      <c r="A4256" s="3">
        <v>10</v>
      </c>
      <c r="B4256" s="3">
        <v>5</v>
      </c>
      <c r="C4256" s="3">
        <v>174</v>
      </c>
      <c r="D4256" s="3">
        <v>89</v>
      </c>
      <c r="E4256" s="3">
        <v>-585.67</v>
      </c>
      <c r="F4256" s="4" t="str">
        <f>HYPERLINK("http://141.218.60.56/~jnz1568/getInfo.php?workbook=10_05.xlsx&amp;sheet=A0&amp;row=4256&amp;col=6&amp;number=2870&amp;sourceID=14","2870")</f>
        <v>2870</v>
      </c>
      <c r="G4256" s="4" t="str">
        <f>HYPERLINK("http://141.218.60.56/~jnz1568/getInfo.php?workbook=10_05.xlsx&amp;sheet=A0&amp;row=4256&amp;col=7&amp;number=0&amp;sourceID=14","0")</f>
        <v>0</v>
      </c>
    </row>
    <row r="4257" spans="1:7">
      <c r="A4257" s="3">
        <v>10</v>
      </c>
      <c r="B4257" s="3">
        <v>5</v>
      </c>
      <c r="C4257" s="3">
        <v>99</v>
      </c>
      <c r="D4257" s="3">
        <v>90</v>
      </c>
      <c r="E4257" s="3">
        <v>-2992.136</v>
      </c>
      <c r="F4257" s="4" t="str">
        <f>HYPERLINK("http://141.218.60.56/~jnz1568/getInfo.php?workbook=10_05.xlsx&amp;sheet=A0&amp;row=4257&amp;col=6&amp;number=29.9&amp;sourceID=14","29.9")</f>
        <v>29.9</v>
      </c>
      <c r="G4257" s="4" t="str">
        <f>HYPERLINK("http://141.218.60.56/~jnz1568/getInfo.php?workbook=10_05.xlsx&amp;sheet=A0&amp;row=4257&amp;col=7&amp;number=0&amp;sourceID=14","0")</f>
        <v>0</v>
      </c>
    </row>
    <row r="4258" spans="1:7">
      <c r="A4258" s="3">
        <v>10</v>
      </c>
      <c r="B4258" s="3">
        <v>5</v>
      </c>
      <c r="C4258" s="3">
        <v>100</v>
      </c>
      <c r="D4258" s="3">
        <v>90</v>
      </c>
      <c r="E4258" s="3">
        <v>-2968.774</v>
      </c>
      <c r="F4258" s="4" t="str">
        <f>HYPERLINK("http://141.218.60.56/~jnz1568/getInfo.php?workbook=10_05.xlsx&amp;sheet=A0&amp;row=4258&amp;col=6&amp;number=325&amp;sourceID=14","325")</f>
        <v>325</v>
      </c>
      <c r="G4258" s="4" t="str">
        <f>HYPERLINK("http://141.218.60.56/~jnz1568/getInfo.php?workbook=10_05.xlsx&amp;sheet=A0&amp;row=4258&amp;col=7&amp;number=0&amp;sourceID=14","0")</f>
        <v>0</v>
      </c>
    </row>
    <row r="4259" spans="1:7">
      <c r="A4259" s="3">
        <v>10</v>
      </c>
      <c r="B4259" s="3">
        <v>5</v>
      </c>
      <c r="C4259" s="3">
        <v>102</v>
      </c>
      <c r="D4259" s="3">
        <v>90</v>
      </c>
      <c r="E4259" s="3">
        <v>-2936.001</v>
      </c>
      <c r="F4259" s="4" t="str">
        <f>HYPERLINK("http://141.218.60.56/~jnz1568/getInfo.php?workbook=10_05.xlsx&amp;sheet=A0&amp;row=4259&amp;col=6&amp;number=1180&amp;sourceID=14","1180")</f>
        <v>1180</v>
      </c>
      <c r="G4259" s="4" t="str">
        <f>HYPERLINK("http://141.218.60.56/~jnz1568/getInfo.php?workbook=10_05.xlsx&amp;sheet=A0&amp;row=4259&amp;col=7&amp;number=0&amp;sourceID=14","0")</f>
        <v>0</v>
      </c>
    </row>
    <row r="4260" spans="1:7">
      <c r="A4260" s="3">
        <v>10</v>
      </c>
      <c r="B4260" s="3">
        <v>5</v>
      </c>
      <c r="C4260" s="3">
        <v>106</v>
      </c>
      <c r="D4260" s="3">
        <v>90</v>
      </c>
      <c r="E4260" s="3">
        <v>-2530.049</v>
      </c>
      <c r="F4260" s="4" t="str">
        <f>HYPERLINK("http://141.218.60.56/~jnz1568/getInfo.php?workbook=10_05.xlsx&amp;sheet=A0&amp;row=4260&amp;col=6&amp;number=5230000&amp;sourceID=14","5230000")</f>
        <v>5230000</v>
      </c>
      <c r="G4260" s="4" t="str">
        <f>HYPERLINK("http://141.218.60.56/~jnz1568/getInfo.php?workbook=10_05.xlsx&amp;sheet=A0&amp;row=4260&amp;col=7&amp;number=0&amp;sourceID=14","0")</f>
        <v>0</v>
      </c>
    </row>
    <row r="4261" spans="1:7">
      <c r="A4261" s="3">
        <v>10</v>
      </c>
      <c r="B4261" s="3">
        <v>5</v>
      </c>
      <c r="C4261" s="3">
        <v>107</v>
      </c>
      <c r="D4261" s="3">
        <v>90</v>
      </c>
      <c r="E4261" s="3">
        <v>-2512.378</v>
      </c>
      <c r="F4261" s="4" t="str">
        <f>HYPERLINK("http://141.218.60.56/~jnz1568/getInfo.php?workbook=10_05.xlsx&amp;sheet=A0&amp;row=4261&amp;col=6&amp;number=35600000&amp;sourceID=14","35600000")</f>
        <v>35600000</v>
      </c>
      <c r="G4261" s="4" t="str">
        <f>HYPERLINK("http://141.218.60.56/~jnz1568/getInfo.php?workbook=10_05.xlsx&amp;sheet=A0&amp;row=4261&amp;col=7&amp;number=0&amp;sourceID=14","0")</f>
        <v>0</v>
      </c>
    </row>
    <row r="4262" spans="1:7">
      <c r="A4262" s="3">
        <v>10</v>
      </c>
      <c r="B4262" s="3">
        <v>5</v>
      </c>
      <c r="C4262" s="3">
        <v>108</v>
      </c>
      <c r="D4262" s="3">
        <v>90</v>
      </c>
      <c r="E4262" s="3">
        <v>-2494.268</v>
      </c>
      <c r="F4262" s="4" t="str">
        <f>HYPERLINK("http://141.218.60.56/~jnz1568/getInfo.php?workbook=10_05.xlsx&amp;sheet=A0&amp;row=4262&amp;col=6&amp;number=125000000&amp;sourceID=14","125000000")</f>
        <v>125000000</v>
      </c>
      <c r="G4262" s="4" t="str">
        <f>HYPERLINK("http://141.218.60.56/~jnz1568/getInfo.php?workbook=10_05.xlsx&amp;sheet=A0&amp;row=4262&amp;col=7&amp;number=0&amp;sourceID=14","0")</f>
        <v>0</v>
      </c>
    </row>
    <row r="4263" spans="1:7">
      <c r="A4263" s="3">
        <v>10</v>
      </c>
      <c r="B4263" s="3">
        <v>5</v>
      </c>
      <c r="C4263" s="3">
        <v>109</v>
      </c>
      <c r="D4263" s="3">
        <v>90</v>
      </c>
      <c r="E4263" s="3">
        <v>-2468.714</v>
      </c>
      <c r="F4263" s="4" t="str">
        <f>HYPERLINK("http://141.218.60.56/~jnz1568/getInfo.php?workbook=10_05.xlsx&amp;sheet=A0&amp;row=4263&amp;col=6&amp;number=574000&amp;sourceID=14","574000")</f>
        <v>574000</v>
      </c>
      <c r="G4263" s="4" t="str">
        <f>HYPERLINK("http://141.218.60.56/~jnz1568/getInfo.php?workbook=10_05.xlsx&amp;sheet=A0&amp;row=4263&amp;col=7&amp;number=0&amp;sourceID=14","0")</f>
        <v>0</v>
      </c>
    </row>
    <row r="4264" spans="1:7">
      <c r="A4264" s="3">
        <v>10</v>
      </c>
      <c r="B4264" s="3">
        <v>5</v>
      </c>
      <c r="C4264" s="3">
        <v>115</v>
      </c>
      <c r="D4264" s="3">
        <v>90</v>
      </c>
      <c r="E4264" s="3">
        <v>-2083.902</v>
      </c>
      <c r="F4264" s="4" t="str">
        <f>HYPERLINK("http://141.218.60.56/~jnz1568/getInfo.php?workbook=10_05.xlsx&amp;sheet=A0&amp;row=4264&amp;col=6&amp;number=11100&amp;sourceID=14","11100")</f>
        <v>11100</v>
      </c>
      <c r="G4264" s="4" t="str">
        <f>HYPERLINK("http://141.218.60.56/~jnz1568/getInfo.php?workbook=10_05.xlsx&amp;sheet=A0&amp;row=4264&amp;col=7&amp;number=0&amp;sourceID=14","0")</f>
        <v>0</v>
      </c>
    </row>
    <row r="4265" spans="1:7">
      <c r="A4265" s="3">
        <v>10</v>
      </c>
      <c r="B4265" s="3">
        <v>5</v>
      </c>
      <c r="C4265" s="3">
        <v>116</v>
      </c>
      <c r="D4265" s="3">
        <v>90</v>
      </c>
      <c r="E4265" s="3">
        <v>-2045.956</v>
      </c>
      <c r="F4265" s="4" t="str">
        <f>HYPERLINK("http://141.218.60.56/~jnz1568/getInfo.php?workbook=10_05.xlsx&amp;sheet=A0&amp;row=4265&amp;col=6&amp;number=67800&amp;sourceID=14","67800")</f>
        <v>67800</v>
      </c>
      <c r="G4265" s="4" t="str">
        <f>HYPERLINK("http://141.218.60.56/~jnz1568/getInfo.php?workbook=10_05.xlsx&amp;sheet=A0&amp;row=4265&amp;col=7&amp;number=0&amp;sourceID=14","0")</f>
        <v>0</v>
      </c>
    </row>
    <row r="4266" spans="1:7">
      <c r="A4266" s="3">
        <v>10</v>
      </c>
      <c r="B4266" s="3">
        <v>5</v>
      </c>
      <c r="C4266" s="3">
        <v>117</v>
      </c>
      <c r="D4266" s="3">
        <v>90</v>
      </c>
      <c r="E4266" s="3">
        <v>-2036.622</v>
      </c>
      <c r="F4266" s="4" t="str">
        <f>HYPERLINK("http://141.218.60.56/~jnz1568/getInfo.php?workbook=10_05.xlsx&amp;sheet=A0&amp;row=4266&amp;col=6&amp;number=130000000&amp;sourceID=14","130000000")</f>
        <v>130000000</v>
      </c>
      <c r="G4266" s="4" t="str">
        <f>HYPERLINK("http://141.218.60.56/~jnz1568/getInfo.php?workbook=10_05.xlsx&amp;sheet=A0&amp;row=4266&amp;col=7&amp;number=0&amp;sourceID=14","0")</f>
        <v>0</v>
      </c>
    </row>
    <row r="4267" spans="1:7">
      <c r="A4267" s="3">
        <v>10</v>
      </c>
      <c r="B4267" s="3">
        <v>5</v>
      </c>
      <c r="C4267" s="3">
        <v>118</v>
      </c>
      <c r="D4267" s="3">
        <v>90</v>
      </c>
      <c r="E4267" s="3">
        <v>-2033.268</v>
      </c>
      <c r="F4267" s="4" t="str">
        <f>HYPERLINK("http://141.218.60.56/~jnz1568/getInfo.php?workbook=10_05.xlsx&amp;sheet=A0&amp;row=4267&amp;col=6&amp;number=75000000&amp;sourceID=14","75000000")</f>
        <v>75000000</v>
      </c>
      <c r="G4267" s="4" t="str">
        <f>HYPERLINK("http://141.218.60.56/~jnz1568/getInfo.php?workbook=10_05.xlsx&amp;sheet=A0&amp;row=4267&amp;col=7&amp;number=0&amp;sourceID=14","0")</f>
        <v>0</v>
      </c>
    </row>
    <row r="4268" spans="1:7">
      <c r="A4268" s="3">
        <v>10</v>
      </c>
      <c r="B4268" s="3">
        <v>5</v>
      </c>
      <c r="C4268" s="3">
        <v>121</v>
      </c>
      <c r="D4268" s="3">
        <v>90</v>
      </c>
      <c r="E4268" s="3">
        <v>-1900.53</v>
      </c>
      <c r="F4268" s="4" t="str">
        <f>HYPERLINK("http://141.218.60.56/~jnz1568/getInfo.php?workbook=10_05.xlsx&amp;sheet=A0&amp;row=4268&amp;col=6&amp;number=198000&amp;sourceID=14","198000")</f>
        <v>198000</v>
      </c>
      <c r="G4268" s="4" t="str">
        <f>HYPERLINK("http://141.218.60.56/~jnz1568/getInfo.php?workbook=10_05.xlsx&amp;sheet=A0&amp;row=4268&amp;col=7&amp;number=0&amp;sourceID=14","0")</f>
        <v>0</v>
      </c>
    </row>
    <row r="4269" spans="1:7">
      <c r="A4269" s="3">
        <v>10</v>
      </c>
      <c r="B4269" s="3">
        <v>5</v>
      </c>
      <c r="C4269" s="3">
        <v>122</v>
      </c>
      <c r="D4269" s="3">
        <v>90</v>
      </c>
      <c r="E4269" s="3">
        <v>-1887.259</v>
      </c>
      <c r="F4269" s="4" t="str">
        <f>HYPERLINK("http://141.218.60.56/~jnz1568/getInfo.php?workbook=10_05.xlsx&amp;sheet=A0&amp;row=4269&amp;col=6&amp;number=559000&amp;sourceID=14","559000")</f>
        <v>559000</v>
      </c>
      <c r="G4269" s="4" t="str">
        <f>HYPERLINK("http://141.218.60.56/~jnz1568/getInfo.php?workbook=10_05.xlsx&amp;sheet=A0&amp;row=4269&amp;col=7&amp;number=0&amp;sourceID=14","0")</f>
        <v>0</v>
      </c>
    </row>
    <row r="4270" spans="1:7">
      <c r="A4270" s="3">
        <v>10</v>
      </c>
      <c r="B4270" s="3">
        <v>5</v>
      </c>
      <c r="C4270" s="3">
        <v>123</v>
      </c>
      <c r="D4270" s="3">
        <v>90</v>
      </c>
      <c r="E4270" s="3">
        <v>-1876.845</v>
      </c>
      <c r="F4270" s="4" t="str">
        <f>HYPERLINK("http://141.218.60.56/~jnz1568/getInfo.php?workbook=10_05.xlsx&amp;sheet=A0&amp;row=4270&amp;col=6&amp;number=22100000&amp;sourceID=14","22100000")</f>
        <v>22100000</v>
      </c>
      <c r="G4270" s="4" t="str">
        <f>HYPERLINK("http://141.218.60.56/~jnz1568/getInfo.php?workbook=10_05.xlsx&amp;sheet=A0&amp;row=4270&amp;col=7&amp;number=0&amp;sourceID=14","0")</f>
        <v>0</v>
      </c>
    </row>
    <row r="4271" spans="1:7">
      <c r="A4271" s="3">
        <v>10</v>
      </c>
      <c r="B4271" s="3">
        <v>5</v>
      </c>
      <c r="C4271" s="3">
        <v>124</v>
      </c>
      <c r="D4271" s="3">
        <v>90</v>
      </c>
      <c r="E4271" s="3">
        <v>-1868.254</v>
      </c>
      <c r="F4271" s="4" t="str">
        <f>HYPERLINK("http://141.218.60.56/~jnz1568/getInfo.php?workbook=10_05.xlsx&amp;sheet=A0&amp;row=4271&amp;col=6&amp;number=758000&amp;sourceID=14","758000")</f>
        <v>758000</v>
      </c>
      <c r="G4271" s="4" t="str">
        <f>HYPERLINK("http://141.218.60.56/~jnz1568/getInfo.php?workbook=10_05.xlsx&amp;sheet=A0&amp;row=4271&amp;col=7&amp;number=0&amp;sourceID=14","0")</f>
        <v>0</v>
      </c>
    </row>
    <row r="4272" spans="1:7">
      <c r="A4272" s="3">
        <v>10</v>
      </c>
      <c r="B4272" s="3">
        <v>5</v>
      </c>
      <c r="C4272" s="3">
        <v>126</v>
      </c>
      <c r="D4272" s="3">
        <v>90</v>
      </c>
      <c r="E4272" s="3">
        <v>-1828.491</v>
      </c>
      <c r="F4272" s="4" t="str">
        <f>HYPERLINK("http://141.218.60.56/~jnz1568/getInfo.php?workbook=10_05.xlsx&amp;sheet=A0&amp;row=4272&amp;col=6&amp;number=253000&amp;sourceID=14","253000")</f>
        <v>253000</v>
      </c>
      <c r="G4272" s="4" t="str">
        <f>HYPERLINK("http://141.218.60.56/~jnz1568/getInfo.php?workbook=10_05.xlsx&amp;sheet=A0&amp;row=4272&amp;col=7&amp;number=0&amp;sourceID=14","0")</f>
        <v>0</v>
      </c>
    </row>
    <row r="4273" spans="1:7">
      <c r="A4273" s="3">
        <v>10</v>
      </c>
      <c r="B4273" s="3">
        <v>5</v>
      </c>
      <c r="C4273" s="3">
        <v>129</v>
      </c>
      <c r="D4273" s="3">
        <v>90</v>
      </c>
      <c r="E4273" s="3">
        <v>1739.134</v>
      </c>
      <c r="F4273" s="4" t="str">
        <f>HYPERLINK("http://141.218.60.56/~jnz1568/getInfo.php?workbook=10_05.xlsx&amp;sheet=A0&amp;row=4273&amp;col=6&amp;number=1650&amp;sourceID=14","1650")</f>
        <v>1650</v>
      </c>
      <c r="G4273" s="4" t="str">
        <f>HYPERLINK("http://141.218.60.56/~jnz1568/getInfo.php?workbook=10_05.xlsx&amp;sheet=A0&amp;row=4273&amp;col=7&amp;number=0&amp;sourceID=14","0")</f>
        <v>0</v>
      </c>
    </row>
    <row r="4274" spans="1:7">
      <c r="A4274" s="3">
        <v>10</v>
      </c>
      <c r="B4274" s="3">
        <v>5</v>
      </c>
      <c r="C4274" s="3">
        <v>130</v>
      </c>
      <c r="D4274" s="3">
        <v>90</v>
      </c>
      <c r="E4274" s="3">
        <v>1739.134</v>
      </c>
      <c r="F4274" s="4" t="str">
        <f>HYPERLINK("http://141.218.60.56/~jnz1568/getInfo.php?workbook=10_05.xlsx&amp;sheet=A0&amp;row=4274&amp;col=6&amp;number=188000&amp;sourceID=14","188000")</f>
        <v>188000</v>
      </c>
      <c r="G4274" s="4" t="str">
        <f>HYPERLINK("http://141.218.60.56/~jnz1568/getInfo.php?workbook=10_05.xlsx&amp;sheet=A0&amp;row=4274&amp;col=7&amp;number=0&amp;sourceID=14","0")</f>
        <v>0</v>
      </c>
    </row>
    <row r="4275" spans="1:7">
      <c r="A4275" s="3">
        <v>10</v>
      </c>
      <c r="B4275" s="3">
        <v>5</v>
      </c>
      <c r="C4275" s="3">
        <v>132</v>
      </c>
      <c r="D4275" s="3">
        <v>90</v>
      </c>
      <c r="E4275" s="3">
        <v>-1718.393</v>
      </c>
      <c r="F4275" s="4" t="str">
        <f>HYPERLINK("http://141.218.60.56/~jnz1568/getInfo.php?workbook=10_05.xlsx&amp;sheet=A0&amp;row=4275&amp;col=6&amp;number=864000&amp;sourceID=14","864000")</f>
        <v>864000</v>
      </c>
      <c r="G4275" s="4" t="str">
        <f>HYPERLINK("http://141.218.60.56/~jnz1568/getInfo.php?workbook=10_05.xlsx&amp;sheet=A0&amp;row=4275&amp;col=7&amp;number=0&amp;sourceID=14","0")</f>
        <v>0</v>
      </c>
    </row>
    <row r="4276" spans="1:7">
      <c r="A4276" s="3">
        <v>10</v>
      </c>
      <c r="B4276" s="3">
        <v>5</v>
      </c>
      <c r="C4276" s="3">
        <v>133</v>
      </c>
      <c r="D4276" s="3">
        <v>90</v>
      </c>
      <c r="E4276" s="3">
        <v>-1712.273</v>
      </c>
      <c r="F4276" s="4" t="str">
        <f>HYPERLINK("http://141.218.60.56/~jnz1568/getInfo.php?workbook=10_05.xlsx&amp;sheet=A0&amp;row=4276&amp;col=6&amp;number=1050000&amp;sourceID=14","1050000")</f>
        <v>1050000</v>
      </c>
      <c r="G4276" s="4" t="str">
        <f>HYPERLINK("http://141.218.60.56/~jnz1568/getInfo.php?workbook=10_05.xlsx&amp;sheet=A0&amp;row=4276&amp;col=7&amp;number=0&amp;sourceID=14","0")</f>
        <v>0</v>
      </c>
    </row>
    <row r="4277" spans="1:7">
      <c r="A4277" s="3">
        <v>10</v>
      </c>
      <c r="B4277" s="3">
        <v>5</v>
      </c>
      <c r="C4277" s="3">
        <v>138</v>
      </c>
      <c r="D4277" s="3">
        <v>90</v>
      </c>
      <c r="E4277" s="3">
        <v>-1624.382</v>
      </c>
      <c r="F4277" s="4" t="str">
        <f>HYPERLINK("http://141.218.60.56/~jnz1568/getInfo.php?workbook=10_05.xlsx&amp;sheet=A0&amp;row=4277&amp;col=6&amp;number=116&amp;sourceID=14","116")</f>
        <v>116</v>
      </c>
      <c r="G4277" s="4" t="str">
        <f>HYPERLINK("http://141.218.60.56/~jnz1568/getInfo.php?workbook=10_05.xlsx&amp;sheet=A0&amp;row=4277&amp;col=7&amp;number=0&amp;sourceID=14","0")</f>
        <v>0</v>
      </c>
    </row>
    <row r="4278" spans="1:7">
      <c r="A4278" s="3">
        <v>10</v>
      </c>
      <c r="B4278" s="3">
        <v>5</v>
      </c>
      <c r="C4278" s="3">
        <v>150</v>
      </c>
      <c r="D4278" s="3">
        <v>90</v>
      </c>
      <c r="E4278" s="3">
        <v>-1424.971</v>
      </c>
      <c r="F4278" s="4" t="str">
        <f>HYPERLINK("http://141.218.60.56/~jnz1568/getInfo.php?workbook=10_05.xlsx&amp;sheet=A0&amp;row=4278&amp;col=6&amp;number=20500&amp;sourceID=14","20500")</f>
        <v>20500</v>
      </c>
      <c r="G4278" s="4" t="str">
        <f>HYPERLINK("http://141.218.60.56/~jnz1568/getInfo.php?workbook=10_05.xlsx&amp;sheet=A0&amp;row=4278&amp;col=7&amp;number=0&amp;sourceID=14","0")</f>
        <v>0</v>
      </c>
    </row>
    <row r="4279" spans="1:7">
      <c r="A4279" s="3">
        <v>10</v>
      </c>
      <c r="B4279" s="3">
        <v>5</v>
      </c>
      <c r="C4279" s="3">
        <v>151</v>
      </c>
      <c r="D4279" s="3">
        <v>90</v>
      </c>
      <c r="E4279" s="3">
        <v>-1424.524</v>
      </c>
      <c r="F4279" s="4" t="str">
        <f>HYPERLINK("http://141.218.60.56/~jnz1568/getInfo.php?workbook=10_05.xlsx&amp;sheet=A0&amp;row=4279&amp;col=6&amp;number=48200&amp;sourceID=14","48200")</f>
        <v>48200</v>
      </c>
      <c r="G4279" s="4" t="str">
        <f>HYPERLINK("http://141.218.60.56/~jnz1568/getInfo.php?workbook=10_05.xlsx&amp;sheet=A0&amp;row=4279&amp;col=7&amp;number=0&amp;sourceID=14","0")</f>
        <v>0</v>
      </c>
    </row>
    <row r="4280" spans="1:7">
      <c r="A4280" s="3">
        <v>10</v>
      </c>
      <c r="B4280" s="3">
        <v>5</v>
      </c>
      <c r="C4280" s="3">
        <v>154</v>
      </c>
      <c r="D4280" s="3">
        <v>90</v>
      </c>
      <c r="E4280" s="3">
        <v>1361.102</v>
      </c>
      <c r="F4280" s="4" t="str">
        <f>HYPERLINK("http://141.218.60.56/~jnz1568/getInfo.php?workbook=10_05.xlsx&amp;sheet=A0&amp;row=4280&amp;col=6&amp;number=61800&amp;sourceID=14","61800")</f>
        <v>61800</v>
      </c>
      <c r="G4280" s="4" t="str">
        <f>HYPERLINK("http://141.218.60.56/~jnz1568/getInfo.php?workbook=10_05.xlsx&amp;sheet=A0&amp;row=4280&amp;col=7&amp;number=0&amp;sourceID=14","0")</f>
        <v>0</v>
      </c>
    </row>
    <row r="4281" spans="1:7">
      <c r="A4281" s="3">
        <v>10</v>
      </c>
      <c r="B4281" s="3">
        <v>5</v>
      </c>
      <c r="C4281" s="3">
        <v>155</v>
      </c>
      <c r="D4281" s="3">
        <v>90</v>
      </c>
      <c r="E4281" s="3">
        <v>1361.102</v>
      </c>
      <c r="F4281" s="4" t="str">
        <f>HYPERLINK("http://141.218.60.56/~jnz1568/getInfo.php?workbook=10_05.xlsx&amp;sheet=A0&amp;row=4281&amp;col=6&amp;number=155000&amp;sourceID=14","155000")</f>
        <v>155000</v>
      </c>
      <c r="G4281" s="4" t="str">
        <f>HYPERLINK("http://141.218.60.56/~jnz1568/getInfo.php?workbook=10_05.xlsx&amp;sheet=A0&amp;row=4281&amp;col=7&amp;number=0&amp;sourceID=14","0")</f>
        <v>0</v>
      </c>
    </row>
    <row r="4282" spans="1:7">
      <c r="A4282" s="3">
        <v>10</v>
      </c>
      <c r="B4282" s="3">
        <v>5</v>
      </c>
      <c r="C4282" s="3">
        <v>156</v>
      </c>
      <c r="D4282" s="3">
        <v>90</v>
      </c>
      <c r="E4282" s="3">
        <v>-1345.952</v>
      </c>
      <c r="F4282" s="4" t="str">
        <f>HYPERLINK("http://141.218.60.56/~jnz1568/getInfo.php?workbook=10_05.xlsx&amp;sheet=A0&amp;row=4282&amp;col=6&amp;number=36000&amp;sourceID=14","36000")</f>
        <v>36000</v>
      </c>
      <c r="G4282" s="4" t="str">
        <f>HYPERLINK("http://141.218.60.56/~jnz1568/getInfo.php?workbook=10_05.xlsx&amp;sheet=A0&amp;row=4282&amp;col=7&amp;number=0&amp;sourceID=14","0")</f>
        <v>0</v>
      </c>
    </row>
    <row r="4283" spans="1:7">
      <c r="A4283" s="3">
        <v>10</v>
      </c>
      <c r="B4283" s="3">
        <v>5</v>
      </c>
      <c r="C4283" s="3">
        <v>157</v>
      </c>
      <c r="D4283" s="3">
        <v>90</v>
      </c>
      <c r="E4283" s="3">
        <v>-1342.717</v>
      </c>
      <c r="F4283" s="4" t="str">
        <f>HYPERLINK("http://141.218.60.56/~jnz1568/getInfo.php?workbook=10_05.xlsx&amp;sheet=A0&amp;row=4283&amp;col=6&amp;number=342000&amp;sourceID=14","342000")</f>
        <v>342000</v>
      </c>
      <c r="G4283" s="4" t="str">
        <f>HYPERLINK("http://141.218.60.56/~jnz1568/getInfo.php?workbook=10_05.xlsx&amp;sheet=A0&amp;row=4283&amp;col=7&amp;number=0&amp;sourceID=14","0")</f>
        <v>0</v>
      </c>
    </row>
    <row r="4284" spans="1:7">
      <c r="A4284" s="3">
        <v>10</v>
      </c>
      <c r="B4284" s="3">
        <v>5</v>
      </c>
      <c r="C4284" s="3">
        <v>162</v>
      </c>
      <c r="D4284" s="3">
        <v>90</v>
      </c>
      <c r="E4284" s="3">
        <v>1309.589</v>
      </c>
      <c r="F4284" s="4" t="str">
        <f>HYPERLINK("http://141.218.60.56/~jnz1568/getInfo.php?workbook=10_05.xlsx&amp;sheet=A0&amp;row=4284&amp;col=6&amp;number=356000&amp;sourceID=14","356000")</f>
        <v>356000</v>
      </c>
      <c r="G4284" s="4" t="str">
        <f>HYPERLINK("http://141.218.60.56/~jnz1568/getInfo.php?workbook=10_05.xlsx&amp;sheet=A0&amp;row=4284&amp;col=7&amp;number=0&amp;sourceID=14","0")</f>
        <v>0</v>
      </c>
    </row>
    <row r="4285" spans="1:7">
      <c r="A4285" s="3">
        <v>10</v>
      </c>
      <c r="B4285" s="3">
        <v>5</v>
      </c>
      <c r="C4285" s="3">
        <v>168</v>
      </c>
      <c r="D4285" s="3">
        <v>90</v>
      </c>
      <c r="E4285" s="3">
        <v>-638.665</v>
      </c>
      <c r="F4285" s="4" t="str">
        <f>HYPERLINK("http://141.218.60.56/~jnz1568/getInfo.php?workbook=10_05.xlsx&amp;sheet=A0&amp;row=4285&amp;col=6&amp;number=18.4&amp;sourceID=14","18.4")</f>
        <v>18.4</v>
      </c>
      <c r="G4285" s="4" t="str">
        <f>HYPERLINK("http://141.218.60.56/~jnz1568/getInfo.php?workbook=10_05.xlsx&amp;sheet=A0&amp;row=4285&amp;col=7&amp;number=0&amp;sourceID=14","0")</f>
        <v>0</v>
      </c>
    </row>
    <row r="4286" spans="1:7">
      <c r="A4286" s="3">
        <v>10</v>
      </c>
      <c r="B4286" s="3">
        <v>5</v>
      </c>
      <c r="C4286" s="3">
        <v>169</v>
      </c>
      <c r="D4286" s="3">
        <v>90</v>
      </c>
      <c r="E4286" s="3">
        <v>-638.469</v>
      </c>
      <c r="F4286" s="4" t="str">
        <f>HYPERLINK("http://141.218.60.56/~jnz1568/getInfo.php?workbook=10_05.xlsx&amp;sheet=A0&amp;row=4286&amp;col=6&amp;number=12200&amp;sourceID=14","12200")</f>
        <v>12200</v>
      </c>
      <c r="G4286" s="4" t="str">
        <f>HYPERLINK("http://141.218.60.56/~jnz1568/getInfo.php?workbook=10_05.xlsx&amp;sheet=A0&amp;row=4286&amp;col=7&amp;number=0&amp;sourceID=14","0")</f>
        <v>0</v>
      </c>
    </row>
    <row r="4287" spans="1:7">
      <c r="A4287" s="3">
        <v>10</v>
      </c>
      <c r="B4287" s="3">
        <v>5</v>
      </c>
      <c r="C4287" s="3">
        <v>171</v>
      </c>
      <c r="D4287" s="3">
        <v>90</v>
      </c>
      <c r="E4287" s="3">
        <v>-602.081</v>
      </c>
      <c r="F4287" s="4" t="str">
        <f>HYPERLINK("http://141.218.60.56/~jnz1568/getInfo.php?workbook=10_05.xlsx&amp;sheet=A0&amp;row=4287&amp;col=6&amp;number=113000&amp;sourceID=14","113000")</f>
        <v>113000</v>
      </c>
      <c r="G4287" s="4" t="str">
        <f>HYPERLINK("http://141.218.60.56/~jnz1568/getInfo.php?workbook=10_05.xlsx&amp;sheet=A0&amp;row=4287&amp;col=7&amp;number=0&amp;sourceID=14","0")</f>
        <v>0</v>
      </c>
    </row>
    <row r="4288" spans="1:7">
      <c r="A4288" s="3">
        <v>10</v>
      </c>
      <c r="B4288" s="3">
        <v>5</v>
      </c>
      <c r="C4288" s="3">
        <v>172</v>
      </c>
      <c r="D4288" s="3">
        <v>90</v>
      </c>
      <c r="E4288" s="3">
        <v>-595.094</v>
      </c>
      <c r="F4288" s="4" t="str">
        <f>HYPERLINK("http://141.218.60.56/~jnz1568/getInfo.php?workbook=10_05.xlsx&amp;sheet=A0&amp;row=4288&amp;col=6&amp;number=6790&amp;sourceID=14","6790")</f>
        <v>6790</v>
      </c>
      <c r="G4288" s="4" t="str">
        <f>HYPERLINK("http://141.218.60.56/~jnz1568/getInfo.php?workbook=10_05.xlsx&amp;sheet=A0&amp;row=4288&amp;col=7&amp;number=0&amp;sourceID=14","0")</f>
        <v>0</v>
      </c>
    </row>
    <row r="4289" spans="1:7">
      <c r="A4289" s="3">
        <v>10</v>
      </c>
      <c r="B4289" s="3">
        <v>5</v>
      </c>
      <c r="C4289" s="3">
        <v>173</v>
      </c>
      <c r="D4289" s="3">
        <v>90</v>
      </c>
      <c r="E4289" s="3">
        <v>-595.013</v>
      </c>
      <c r="F4289" s="4" t="str">
        <f>HYPERLINK("http://141.218.60.56/~jnz1568/getInfo.php?workbook=10_05.xlsx&amp;sheet=A0&amp;row=4289&amp;col=6&amp;number=8580&amp;sourceID=14","8580")</f>
        <v>8580</v>
      </c>
      <c r="G4289" s="4" t="str">
        <f>HYPERLINK("http://141.218.60.56/~jnz1568/getInfo.php?workbook=10_05.xlsx&amp;sheet=A0&amp;row=4289&amp;col=7&amp;number=0&amp;sourceID=14","0")</f>
        <v>0</v>
      </c>
    </row>
    <row r="4290" spans="1:7">
      <c r="A4290" s="3">
        <v>10</v>
      </c>
      <c r="B4290" s="3">
        <v>5</v>
      </c>
      <c r="C4290" s="3">
        <v>99</v>
      </c>
      <c r="D4290" s="3">
        <v>91</v>
      </c>
      <c r="E4290" s="3">
        <v>-3915.127</v>
      </c>
      <c r="F4290" s="4" t="str">
        <f>HYPERLINK("http://141.218.60.56/~jnz1568/getInfo.php?workbook=10_05.xlsx&amp;sheet=A0&amp;row=4290&amp;col=6&amp;number=319&amp;sourceID=14","319")</f>
        <v>319</v>
      </c>
      <c r="G4290" s="4" t="str">
        <f>HYPERLINK("http://141.218.60.56/~jnz1568/getInfo.php?workbook=10_05.xlsx&amp;sheet=A0&amp;row=4290&amp;col=7&amp;number=0&amp;sourceID=14","0")</f>
        <v>0</v>
      </c>
    </row>
    <row r="4291" spans="1:7">
      <c r="A4291" s="3">
        <v>10</v>
      </c>
      <c r="B4291" s="3">
        <v>5</v>
      </c>
      <c r="C4291" s="3">
        <v>100</v>
      </c>
      <c r="D4291" s="3">
        <v>91</v>
      </c>
      <c r="E4291" s="3">
        <v>-3875.225</v>
      </c>
      <c r="F4291" s="4" t="str">
        <f>HYPERLINK("http://141.218.60.56/~jnz1568/getInfo.php?workbook=10_05.xlsx&amp;sheet=A0&amp;row=4291&amp;col=6&amp;number=121&amp;sourceID=14","121")</f>
        <v>121</v>
      </c>
      <c r="G4291" s="4" t="str">
        <f>HYPERLINK("http://141.218.60.56/~jnz1568/getInfo.php?workbook=10_05.xlsx&amp;sheet=A0&amp;row=4291&amp;col=7&amp;number=0&amp;sourceID=14","0")</f>
        <v>0</v>
      </c>
    </row>
    <row r="4292" spans="1:7">
      <c r="A4292" s="3">
        <v>10</v>
      </c>
      <c r="B4292" s="3">
        <v>5</v>
      </c>
      <c r="C4292" s="3">
        <v>105</v>
      </c>
      <c r="D4292" s="3">
        <v>91</v>
      </c>
      <c r="E4292" s="3">
        <v>-3172.494</v>
      </c>
      <c r="F4292" s="4" t="str">
        <f>HYPERLINK("http://141.218.60.56/~jnz1568/getInfo.php?workbook=10_05.xlsx&amp;sheet=A0&amp;row=4292&amp;col=6&amp;number=20700&amp;sourceID=14","20700")</f>
        <v>20700</v>
      </c>
      <c r="G4292" s="4" t="str">
        <f>HYPERLINK("http://141.218.60.56/~jnz1568/getInfo.php?workbook=10_05.xlsx&amp;sheet=A0&amp;row=4292&amp;col=7&amp;number=0&amp;sourceID=14","0")</f>
        <v>0</v>
      </c>
    </row>
    <row r="4293" spans="1:7">
      <c r="A4293" s="3">
        <v>10</v>
      </c>
      <c r="B4293" s="3">
        <v>5</v>
      </c>
      <c r="C4293" s="3">
        <v>106</v>
      </c>
      <c r="D4293" s="3">
        <v>91</v>
      </c>
      <c r="E4293" s="3">
        <v>-3159.963</v>
      </c>
      <c r="F4293" s="4" t="str">
        <f>HYPERLINK("http://141.218.60.56/~jnz1568/getInfo.php?workbook=10_05.xlsx&amp;sheet=A0&amp;row=4293&amp;col=6&amp;number=12000&amp;sourceID=14","12000")</f>
        <v>12000</v>
      </c>
      <c r="G4293" s="4" t="str">
        <f>HYPERLINK("http://141.218.60.56/~jnz1568/getInfo.php?workbook=10_05.xlsx&amp;sheet=A0&amp;row=4293&amp;col=7&amp;number=0&amp;sourceID=14","0")</f>
        <v>0</v>
      </c>
    </row>
    <row r="4294" spans="1:7">
      <c r="A4294" s="3">
        <v>10</v>
      </c>
      <c r="B4294" s="3">
        <v>5</v>
      </c>
      <c r="C4294" s="3">
        <v>107</v>
      </c>
      <c r="D4294" s="3">
        <v>91</v>
      </c>
      <c r="E4294" s="3">
        <v>-3132.445</v>
      </c>
      <c r="F4294" s="4" t="str">
        <f>HYPERLINK("http://141.218.60.56/~jnz1568/getInfo.php?workbook=10_05.xlsx&amp;sheet=A0&amp;row=4294&amp;col=6&amp;number=9.01&amp;sourceID=14","9.01")</f>
        <v>9.01</v>
      </c>
      <c r="G4294" s="4" t="str">
        <f>HYPERLINK("http://141.218.60.56/~jnz1568/getInfo.php?workbook=10_05.xlsx&amp;sheet=A0&amp;row=4294&amp;col=7&amp;number=0&amp;sourceID=14","0")</f>
        <v>0</v>
      </c>
    </row>
    <row r="4295" spans="1:7">
      <c r="A4295" s="3">
        <v>10</v>
      </c>
      <c r="B4295" s="3">
        <v>5</v>
      </c>
      <c r="C4295" s="3">
        <v>109</v>
      </c>
      <c r="D4295" s="3">
        <v>91</v>
      </c>
      <c r="E4295" s="3">
        <v>-3064.858</v>
      </c>
      <c r="F4295" s="4" t="str">
        <f>HYPERLINK("http://141.218.60.56/~jnz1568/getInfo.php?workbook=10_05.xlsx&amp;sheet=A0&amp;row=4295&amp;col=6&amp;number=39200&amp;sourceID=14","39200")</f>
        <v>39200</v>
      </c>
      <c r="G4295" s="4" t="str">
        <f>HYPERLINK("http://141.218.60.56/~jnz1568/getInfo.php?workbook=10_05.xlsx&amp;sheet=A0&amp;row=4295&amp;col=7&amp;number=0&amp;sourceID=14","0")</f>
        <v>0</v>
      </c>
    </row>
    <row r="4296" spans="1:7">
      <c r="A4296" s="3">
        <v>10</v>
      </c>
      <c r="B4296" s="3">
        <v>5</v>
      </c>
      <c r="C4296" s="3">
        <v>111</v>
      </c>
      <c r="D4296" s="3">
        <v>91</v>
      </c>
      <c r="E4296" s="3">
        <v>-3009.697</v>
      </c>
      <c r="F4296" s="4" t="str">
        <f>HYPERLINK("http://141.218.60.56/~jnz1568/getInfo.php?workbook=10_05.xlsx&amp;sheet=A0&amp;row=4296&amp;col=6&amp;number=98000&amp;sourceID=14","98000")</f>
        <v>98000</v>
      </c>
      <c r="G4296" s="4" t="str">
        <f>HYPERLINK("http://141.218.60.56/~jnz1568/getInfo.php?workbook=10_05.xlsx&amp;sheet=A0&amp;row=4296&amp;col=7&amp;number=0&amp;sourceID=14","0")</f>
        <v>0</v>
      </c>
    </row>
    <row r="4297" spans="1:7">
      <c r="A4297" s="3">
        <v>10</v>
      </c>
      <c r="B4297" s="3">
        <v>5</v>
      </c>
      <c r="C4297" s="3">
        <v>115</v>
      </c>
      <c r="D4297" s="3">
        <v>91</v>
      </c>
      <c r="E4297" s="3">
        <v>-2493.273</v>
      </c>
      <c r="F4297" s="4" t="str">
        <f>HYPERLINK("http://141.218.60.56/~jnz1568/getInfo.php?workbook=10_05.xlsx&amp;sheet=A0&amp;row=4297&amp;col=6&amp;number=125000000&amp;sourceID=14","125000000")</f>
        <v>125000000</v>
      </c>
      <c r="G4297" s="4" t="str">
        <f>HYPERLINK("http://141.218.60.56/~jnz1568/getInfo.php?workbook=10_05.xlsx&amp;sheet=A0&amp;row=4297&amp;col=7&amp;number=0&amp;sourceID=14","0")</f>
        <v>0</v>
      </c>
    </row>
    <row r="4298" spans="1:7">
      <c r="A4298" s="3">
        <v>10</v>
      </c>
      <c r="B4298" s="3">
        <v>5</v>
      </c>
      <c r="C4298" s="3">
        <v>117</v>
      </c>
      <c r="D4298" s="3">
        <v>91</v>
      </c>
      <c r="E4298" s="3">
        <v>-2425.894</v>
      </c>
      <c r="F4298" s="4" t="str">
        <f>HYPERLINK("http://141.218.60.56/~jnz1568/getInfo.php?workbook=10_05.xlsx&amp;sheet=A0&amp;row=4298&amp;col=6&amp;number=5440&amp;sourceID=14","5440")</f>
        <v>5440</v>
      </c>
      <c r="G4298" s="4" t="str">
        <f>HYPERLINK("http://141.218.60.56/~jnz1568/getInfo.php?workbook=10_05.xlsx&amp;sheet=A0&amp;row=4298&amp;col=7&amp;number=0&amp;sourceID=14","0")</f>
        <v>0</v>
      </c>
    </row>
    <row r="4299" spans="1:7">
      <c r="A4299" s="3">
        <v>10</v>
      </c>
      <c r="B4299" s="3">
        <v>5</v>
      </c>
      <c r="C4299" s="3">
        <v>118</v>
      </c>
      <c r="D4299" s="3">
        <v>91</v>
      </c>
      <c r="E4299" s="3">
        <v>-2421.136</v>
      </c>
      <c r="F4299" s="4" t="str">
        <f>HYPERLINK("http://141.218.60.56/~jnz1568/getInfo.php?workbook=10_05.xlsx&amp;sheet=A0&amp;row=4299&amp;col=6&amp;number=4710&amp;sourceID=14","4710")</f>
        <v>4710</v>
      </c>
      <c r="G4299" s="4" t="str">
        <f>HYPERLINK("http://141.218.60.56/~jnz1568/getInfo.php?workbook=10_05.xlsx&amp;sheet=A0&amp;row=4299&amp;col=7&amp;number=0&amp;sourceID=14","0")</f>
        <v>0</v>
      </c>
    </row>
    <row r="4300" spans="1:7">
      <c r="A4300" s="3">
        <v>10</v>
      </c>
      <c r="B4300" s="3">
        <v>5</v>
      </c>
      <c r="C4300" s="3">
        <v>119</v>
      </c>
      <c r="D4300" s="3">
        <v>91</v>
      </c>
      <c r="E4300" s="3">
        <v>-2418.209</v>
      </c>
      <c r="F4300" s="4" t="str">
        <f>HYPERLINK("http://141.218.60.56/~jnz1568/getInfo.php?workbook=10_05.xlsx&amp;sheet=A0&amp;row=4300&amp;col=6&amp;number=69400&amp;sourceID=14","69400")</f>
        <v>69400</v>
      </c>
      <c r="G4300" s="4" t="str">
        <f>HYPERLINK("http://141.218.60.56/~jnz1568/getInfo.php?workbook=10_05.xlsx&amp;sheet=A0&amp;row=4300&amp;col=7&amp;number=0&amp;sourceID=14","0")</f>
        <v>0</v>
      </c>
    </row>
    <row r="4301" spans="1:7">
      <c r="A4301" s="3">
        <v>10</v>
      </c>
      <c r="B4301" s="3">
        <v>5</v>
      </c>
      <c r="C4301" s="3">
        <v>120</v>
      </c>
      <c r="D4301" s="3">
        <v>91</v>
      </c>
      <c r="E4301" s="3">
        <v>-2246.488</v>
      </c>
      <c r="F4301" s="4" t="str">
        <f>HYPERLINK("http://141.218.60.56/~jnz1568/getInfo.php?workbook=10_05.xlsx&amp;sheet=A0&amp;row=4301&amp;col=6&amp;number=213000&amp;sourceID=14","213000")</f>
        <v>213000</v>
      </c>
      <c r="G4301" s="4" t="str">
        <f>HYPERLINK("http://141.218.60.56/~jnz1568/getInfo.php?workbook=10_05.xlsx&amp;sheet=A0&amp;row=4301&amp;col=7&amp;number=0&amp;sourceID=14","0")</f>
        <v>0</v>
      </c>
    </row>
    <row r="4302" spans="1:7">
      <c r="A4302" s="3">
        <v>10</v>
      </c>
      <c r="B4302" s="3">
        <v>5</v>
      </c>
      <c r="C4302" s="3">
        <v>121</v>
      </c>
      <c r="D4302" s="3">
        <v>91</v>
      </c>
      <c r="E4302" s="3">
        <v>-2235.24</v>
      </c>
      <c r="F4302" s="4" t="str">
        <f>HYPERLINK("http://141.218.60.56/~jnz1568/getInfo.php?workbook=10_05.xlsx&amp;sheet=A0&amp;row=4302&amp;col=6&amp;number=587&amp;sourceID=14","587")</f>
        <v>587</v>
      </c>
      <c r="G4302" s="4" t="str">
        <f>HYPERLINK("http://141.218.60.56/~jnz1568/getInfo.php?workbook=10_05.xlsx&amp;sheet=A0&amp;row=4302&amp;col=7&amp;number=0&amp;sourceID=14","0")</f>
        <v>0</v>
      </c>
    </row>
    <row r="4303" spans="1:7">
      <c r="A4303" s="3">
        <v>10</v>
      </c>
      <c r="B4303" s="3">
        <v>5</v>
      </c>
      <c r="C4303" s="3">
        <v>122</v>
      </c>
      <c r="D4303" s="3">
        <v>91</v>
      </c>
      <c r="E4303" s="3">
        <v>-2216.906</v>
      </c>
      <c r="F4303" s="4" t="str">
        <f>HYPERLINK("http://141.218.60.56/~jnz1568/getInfo.php?workbook=10_05.xlsx&amp;sheet=A0&amp;row=4303&amp;col=6&amp;number=77800&amp;sourceID=14","77800")</f>
        <v>77800</v>
      </c>
      <c r="G4303" s="4" t="str">
        <f>HYPERLINK("http://141.218.60.56/~jnz1568/getInfo.php?workbook=10_05.xlsx&amp;sheet=A0&amp;row=4303&amp;col=7&amp;number=0&amp;sourceID=14","0")</f>
        <v>0</v>
      </c>
    </row>
    <row r="4304" spans="1:7">
      <c r="A4304" s="3">
        <v>10</v>
      </c>
      <c r="B4304" s="3">
        <v>5</v>
      </c>
      <c r="C4304" s="3">
        <v>123</v>
      </c>
      <c r="D4304" s="3">
        <v>91</v>
      </c>
      <c r="E4304" s="3">
        <v>-2202.55</v>
      </c>
      <c r="F4304" s="4" t="str">
        <f>HYPERLINK("http://141.218.60.56/~jnz1568/getInfo.php?workbook=10_05.xlsx&amp;sheet=A0&amp;row=4304&amp;col=6&amp;number=10900&amp;sourceID=14","10900")</f>
        <v>10900</v>
      </c>
      <c r="G4304" s="4" t="str">
        <f>HYPERLINK("http://141.218.60.56/~jnz1568/getInfo.php?workbook=10_05.xlsx&amp;sheet=A0&amp;row=4304&amp;col=7&amp;number=0&amp;sourceID=14","0")</f>
        <v>0</v>
      </c>
    </row>
    <row r="4305" spans="1:7">
      <c r="A4305" s="3">
        <v>10</v>
      </c>
      <c r="B4305" s="3">
        <v>5</v>
      </c>
      <c r="C4305" s="3">
        <v>125</v>
      </c>
      <c r="D4305" s="3">
        <v>91</v>
      </c>
      <c r="E4305" s="3">
        <v>-2148.878</v>
      </c>
      <c r="F4305" s="4" t="str">
        <f>HYPERLINK("http://141.218.60.56/~jnz1568/getInfo.php?workbook=10_05.xlsx&amp;sheet=A0&amp;row=4305&amp;col=6&amp;number=9160000&amp;sourceID=14","9160000")</f>
        <v>9160000</v>
      </c>
      <c r="G4305" s="4" t="str">
        <f>HYPERLINK("http://141.218.60.56/~jnz1568/getInfo.php?workbook=10_05.xlsx&amp;sheet=A0&amp;row=4305&amp;col=7&amp;number=0&amp;sourceID=14","0")</f>
        <v>0</v>
      </c>
    </row>
    <row r="4306" spans="1:7">
      <c r="A4306" s="3">
        <v>10</v>
      </c>
      <c r="B4306" s="3">
        <v>5</v>
      </c>
      <c r="C4306" s="3">
        <v>126</v>
      </c>
      <c r="D4306" s="3">
        <v>91</v>
      </c>
      <c r="E4306" s="3">
        <v>-2136.254</v>
      </c>
      <c r="F4306" s="4" t="str">
        <f>HYPERLINK("http://141.218.60.56/~jnz1568/getInfo.php?workbook=10_05.xlsx&amp;sheet=A0&amp;row=4306&amp;col=6&amp;number=1540000&amp;sourceID=14","1540000")</f>
        <v>1540000</v>
      </c>
      <c r="G4306" s="4" t="str">
        <f>HYPERLINK("http://141.218.60.56/~jnz1568/getInfo.php?workbook=10_05.xlsx&amp;sheet=A0&amp;row=4306&amp;col=7&amp;number=0&amp;sourceID=14","0")</f>
        <v>0</v>
      </c>
    </row>
    <row r="4307" spans="1:7">
      <c r="A4307" s="3">
        <v>10</v>
      </c>
      <c r="B4307" s="3">
        <v>5</v>
      </c>
      <c r="C4307" s="3">
        <v>129</v>
      </c>
      <c r="D4307" s="3">
        <v>91</v>
      </c>
      <c r="E4307" s="3">
        <v>-2030.007</v>
      </c>
      <c r="F4307" s="4" t="str">
        <f>HYPERLINK("http://141.218.60.56/~jnz1568/getInfo.php?workbook=10_05.xlsx&amp;sheet=A0&amp;row=4307&amp;col=6&amp;number=11300000&amp;sourceID=14","11300000")</f>
        <v>11300000</v>
      </c>
      <c r="G4307" s="4" t="str">
        <f>HYPERLINK("http://141.218.60.56/~jnz1568/getInfo.php?workbook=10_05.xlsx&amp;sheet=A0&amp;row=4307&amp;col=7&amp;number=0&amp;sourceID=14","0")</f>
        <v>0</v>
      </c>
    </row>
    <row r="4308" spans="1:7">
      <c r="A4308" s="3">
        <v>10</v>
      </c>
      <c r="B4308" s="3">
        <v>5</v>
      </c>
      <c r="C4308" s="3">
        <v>130</v>
      </c>
      <c r="D4308" s="3">
        <v>91</v>
      </c>
      <c r="E4308" s="3">
        <v>-2005.418</v>
      </c>
      <c r="F4308" s="4" t="str">
        <f>HYPERLINK("http://141.218.60.56/~jnz1568/getInfo.php?workbook=10_05.xlsx&amp;sheet=A0&amp;row=4308&amp;col=6&amp;number=833000&amp;sourceID=14","833000")</f>
        <v>833000</v>
      </c>
      <c r="G4308" s="4" t="str">
        <f>HYPERLINK("http://141.218.60.56/~jnz1568/getInfo.php?workbook=10_05.xlsx&amp;sheet=A0&amp;row=4308&amp;col=7&amp;number=0&amp;sourceID=14","0")</f>
        <v>0</v>
      </c>
    </row>
    <row r="4309" spans="1:7">
      <c r="A4309" s="3">
        <v>10</v>
      </c>
      <c r="B4309" s="3">
        <v>5</v>
      </c>
      <c r="C4309" s="3">
        <v>131</v>
      </c>
      <c r="D4309" s="3">
        <v>91</v>
      </c>
      <c r="E4309" s="3">
        <v>-1993.306</v>
      </c>
      <c r="F4309" s="4" t="str">
        <f>HYPERLINK("http://141.218.60.56/~jnz1568/getInfo.php?workbook=10_05.xlsx&amp;sheet=A0&amp;row=4309&amp;col=6&amp;number=821&amp;sourceID=14","821")</f>
        <v>821</v>
      </c>
      <c r="G4309" s="4" t="str">
        <f>HYPERLINK("http://141.218.60.56/~jnz1568/getInfo.php?workbook=10_05.xlsx&amp;sheet=A0&amp;row=4309&amp;col=7&amp;number=0&amp;sourceID=14","0")</f>
        <v>0</v>
      </c>
    </row>
    <row r="4310" spans="1:7">
      <c r="A4310" s="3">
        <v>10</v>
      </c>
      <c r="B4310" s="3">
        <v>5</v>
      </c>
      <c r="C4310" s="3">
        <v>132</v>
      </c>
      <c r="D4310" s="3">
        <v>91</v>
      </c>
      <c r="E4310" s="3">
        <v>-1987.483</v>
      </c>
      <c r="F4310" s="4" t="str">
        <f>HYPERLINK("http://141.218.60.56/~jnz1568/getInfo.php?workbook=10_05.xlsx&amp;sheet=A0&amp;row=4310&amp;col=6&amp;number=46800&amp;sourceID=14","46800")</f>
        <v>46800</v>
      </c>
      <c r="G4310" s="4" t="str">
        <f>HYPERLINK("http://141.218.60.56/~jnz1568/getInfo.php?workbook=10_05.xlsx&amp;sheet=A0&amp;row=4310&amp;col=7&amp;number=0&amp;sourceID=14","0")</f>
        <v>0</v>
      </c>
    </row>
    <row r="4311" spans="1:7">
      <c r="A4311" s="3">
        <v>10</v>
      </c>
      <c r="B4311" s="3">
        <v>5</v>
      </c>
      <c r="C4311" s="3">
        <v>133</v>
      </c>
      <c r="D4311" s="3">
        <v>91</v>
      </c>
      <c r="E4311" s="3">
        <v>-1979.3</v>
      </c>
      <c r="F4311" s="4" t="str">
        <f>HYPERLINK("http://141.218.60.56/~jnz1568/getInfo.php?workbook=10_05.xlsx&amp;sheet=A0&amp;row=4311&amp;col=6&amp;number=238000&amp;sourceID=14","238000")</f>
        <v>238000</v>
      </c>
      <c r="G4311" s="4" t="str">
        <f>HYPERLINK("http://141.218.60.56/~jnz1568/getInfo.php?workbook=10_05.xlsx&amp;sheet=A0&amp;row=4311&amp;col=7&amp;number=0&amp;sourceID=14","0")</f>
        <v>0</v>
      </c>
    </row>
    <row r="4312" spans="1:7">
      <c r="A4312" s="3">
        <v>10</v>
      </c>
      <c r="B4312" s="3">
        <v>5</v>
      </c>
      <c r="C4312" s="3">
        <v>140</v>
      </c>
      <c r="D4312" s="3">
        <v>91</v>
      </c>
      <c r="E4312" s="3">
        <v>-1806.329</v>
      </c>
      <c r="F4312" s="4" t="str">
        <f>HYPERLINK("http://141.218.60.56/~jnz1568/getInfo.php?workbook=10_05.xlsx&amp;sheet=A0&amp;row=4312&amp;col=6&amp;number=7620&amp;sourceID=14","7620")</f>
        <v>7620</v>
      </c>
      <c r="G4312" s="4" t="str">
        <f>HYPERLINK("http://141.218.60.56/~jnz1568/getInfo.php?workbook=10_05.xlsx&amp;sheet=A0&amp;row=4312&amp;col=7&amp;number=0&amp;sourceID=14","0")</f>
        <v>0</v>
      </c>
    </row>
    <row r="4313" spans="1:7">
      <c r="A4313" s="3">
        <v>10</v>
      </c>
      <c r="B4313" s="3">
        <v>5</v>
      </c>
      <c r="C4313" s="3">
        <v>150</v>
      </c>
      <c r="D4313" s="3">
        <v>91</v>
      </c>
      <c r="E4313" s="3">
        <v>-1605.191</v>
      </c>
      <c r="F4313" s="4" t="str">
        <f>HYPERLINK("http://141.218.60.56/~jnz1568/getInfo.php?workbook=10_05.xlsx&amp;sheet=A0&amp;row=4313&amp;col=6&amp;number=71800000&amp;sourceID=14","71800000")</f>
        <v>71800000</v>
      </c>
      <c r="G4313" s="4" t="str">
        <f>HYPERLINK("http://141.218.60.56/~jnz1568/getInfo.php?workbook=10_05.xlsx&amp;sheet=A0&amp;row=4313&amp;col=7&amp;number=0&amp;sourceID=14","0")</f>
        <v>0</v>
      </c>
    </row>
    <row r="4314" spans="1:7">
      <c r="A4314" s="3">
        <v>10</v>
      </c>
      <c r="B4314" s="3">
        <v>5</v>
      </c>
      <c r="C4314" s="3">
        <v>151</v>
      </c>
      <c r="D4314" s="3">
        <v>91</v>
      </c>
      <c r="E4314" s="3">
        <v>-1604.624</v>
      </c>
      <c r="F4314" s="4" t="str">
        <f>HYPERLINK("http://141.218.60.56/~jnz1568/getInfo.php?workbook=10_05.xlsx&amp;sheet=A0&amp;row=4314&amp;col=6&amp;number=16100000&amp;sourceID=14","16100000")</f>
        <v>16100000</v>
      </c>
      <c r="G4314" s="4" t="str">
        <f>HYPERLINK("http://141.218.60.56/~jnz1568/getInfo.php?workbook=10_05.xlsx&amp;sheet=A0&amp;row=4314&amp;col=7&amp;number=0&amp;sourceID=14","0")</f>
        <v>0</v>
      </c>
    </row>
    <row r="4315" spans="1:7">
      <c r="A4315" s="3">
        <v>10</v>
      </c>
      <c r="B4315" s="3">
        <v>5</v>
      </c>
      <c r="C4315" s="3">
        <v>155</v>
      </c>
      <c r="D4315" s="3">
        <v>91</v>
      </c>
      <c r="E4315" s="3">
        <v>-1518.536</v>
      </c>
      <c r="F4315" s="4" t="str">
        <f>HYPERLINK("http://141.218.60.56/~jnz1568/getInfo.php?workbook=10_05.xlsx&amp;sheet=A0&amp;row=4315&amp;col=6&amp;number=384000&amp;sourceID=14","384000")</f>
        <v>384000</v>
      </c>
      <c r="G4315" s="4" t="str">
        <f>HYPERLINK("http://141.218.60.56/~jnz1568/getInfo.php?workbook=10_05.xlsx&amp;sheet=A0&amp;row=4315&amp;col=7&amp;number=0&amp;sourceID=14","0")</f>
        <v>0</v>
      </c>
    </row>
    <row r="4316" spans="1:7">
      <c r="A4316" s="3">
        <v>10</v>
      </c>
      <c r="B4316" s="3">
        <v>5</v>
      </c>
      <c r="C4316" s="3">
        <v>156</v>
      </c>
      <c r="D4316" s="3">
        <v>91</v>
      </c>
      <c r="E4316" s="3">
        <v>-1505.619</v>
      </c>
      <c r="F4316" s="4" t="str">
        <f>HYPERLINK("http://141.218.60.56/~jnz1568/getInfo.php?workbook=10_05.xlsx&amp;sheet=A0&amp;row=4316&amp;col=6&amp;number=88000000&amp;sourceID=14","88000000")</f>
        <v>88000000</v>
      </c>
      <c r="G4316" s="4" t="str">
        <f>HYPERLINK("http://141.218.60.56/~jnz1568/getInfo.php?workbook=10_05.xlsx&amp;sheet=A0&amp;row=4316&amp;col=7&amp;number=0&amp;sourceID=14","0")</f>
        <v>0</v>
      </c>
    </row>
    <row r="4317" spans="1:7">
      <c r="A4317" s="3">
        <v>10</v>
      </c>
      <c r="B4317" s="3">
        <v>5</v>
      </c>
      <c r="C4317" s="3">
        <v>157</v>
      </c>
      <c r="D4317" s="3">
        <v>91</v>
      </c>
      <c r="E4317" s="3">
        <v>-1501.572</v>
      </c>
      <c r="F4317" s="4" t="str">
        <f>HYPERLINK("http://141.218.60.56/~jnz1568/getInfo.php?workbook=10_05.xlsx&amp;sheet=A0&amp;row=4317&amp;col=6&amp;number=7010000&amp;sourceID=14","7010000")</f>
        <v>7010000</v>
      </c>
      <c r="G4317" s="4" t="str">
        <f>HYPERLINK("http://141.218.60.56/~jnz1568/getInfo.php?workbook=10_05.xlsx&amp;sheet=A0&amp;row=4317&amp;col=7&amp;number=0&amp;sourceID=14","0")</f>
        <v>0</v>
      </c>
    </row>
    <row r="4318" spans="1:7">
      <c r="A4318" s="3">
        <v>10</v>
      </c>
      <c r="B4318" s="3">
        <v>5</v>
      </c>
      <c r="C4318" s="3">
        <v>160</v>
      </c>
      <c r="D4318" s="3">
        <v>91</v>
      </c>
      <c r="E4318" s="3">
        <v>-1473.56</v>
      </c>
      <c r="F4318" s="4" t="str">
        <f>HYPERLINK("http://141.218.60.56/~jnz1568/getInfo.php?workbook=10_05.xlsx&amp;sheet=A0&amp;row=4318&amp;col=6&amp;number=2350&amp;sourceID=14","2350")</f>
        <v>2350</v>
      </c>
      <c r="G4318" s="4" t="str">
        <f>HYPERLINK("http://141.218.60.56/~jnz1568/getInfo.php?workbook=10_05.xlsx&amp;sheet=A0&amp;row=4318&amp;col=7&amp;number=0&amp;sourceID=14","0")</f>
        <v>0</v>
      </c>
    </row>
    <row r="4319" spans="1:7">
      <c r="A4319" s="3">
        <v>10</v>
      </c>
      <c r="B4319" s="3">
        <v>5</v>
      </c>
      <c r="C4319" s="3">
        <v>161</v>
      </c>
      <c r="D4319" s="3">
        <v>91</v>
      </c>
      <c r="E4319" s="3">
        <v>-1466.708</v>
      </c>
      <c r="F4319" s="4" t="str">
        <f>HYPERLINK("http://141.218.60.56/~jnz1568/getInfo.php?workbook=10_05.xlsx&amp;sheet=A0&amp;row=4319&amp;col=6&amp;number=89800000&amp;sourceID=14","89800000")</f>
        <v>89800000</v>
      </c>
      <c r="G4319" s="4" t="str">
        <f>HYPERLINK("http://141.218.60.56/~jnz1568/getInfo.php?workbook=10_05.xlsx&amp;sheet=A0&amp;row=4319&amp;col=7&amp;number=0&amp;sourceID=14","0")</f>
        <v>0</v>
      </c>
    </row>
    <row r="4320" spans="1:7">
      <c r="A4320" s="3">
        <v>10</v>
      </c>
      <c r="B4320" s="3">
        <v>5</v>
      </c>
      <c r="C4320" s="3">
        <v>162</v>
      </c>
      <c r="D4320" s="3">
        <v>91</v>
      </c>
      <c r="E4320" s="3">
        <v>-1460.368</v>
      </c>
      <c r="F4320" s="4" t="str">
        <f>HYPERLINK("http://141.218.60.56/~jnz1568/getInfo.php?workbook=10_05.xlsx&amp;sheet=A0&amp;row=4320&amp;col=6&amp;number=8690000&amp;sourceID=14","8690000")</f>
        <v>8690000</v>
      </c>
      <c r="G4320" s="4" t="str">
        <f>HYPERLINK("http://141.218.60.56/~jnz1568/getInfo.php?workbook=10_05.xlsx&amp;sheet=A0&amp;row=4320&amp;col=7&amp;number=0&amp;sourceID=14","0")</f>
        <v>0</v>
      </c>
    </row>
    <row r="4321" spans="1:7">
      <c r="A4321" s="3">
        <v>10</v>
      </c>
      <c r="B4321" s="3">
        <v>5</v>
      </c>
      <c r="C4321" s="3">
        <v>163</v>
      </c>
      <c r="D4321" s="3">
        <v>91</v>
      </c>
      <c r="E4321" s="3">
        <v>-1219.083</v>
      </c>
      <c r="F4321" s="4" t="str">
        <f>HYPERLINK("http://141.218.60.56/~jnz1568/getInfo.php?workbook=10_05.xlsx&amp;sheet=A0&amp;row=4321&amp;col=6&amp;number=25500&amp;sourceID=14","25500")</f>
        <v>25500</v>
      </c>
      <c r="G4321" s="4" t="str">
        <f>HYPERLINK("http://141.218.60.56/~jnz1568/getInfo.php?workbook=10_05.xlsx&amp;sheet=A0&amp;row=4321&amp;col=7&amp;number=0&amp;sourceID=14","0")</f>
        <v>0</v>
      </c>
    </row>
    <row r="4322" spans="1:7">
      <c r="A4322" s="3">
        <v>10</v>
      </c>
      <c r="B4322" s="3">
        <v>5</v>
      </c>
      <c r="C4322" s="3">
        <v>168</v>
      </c>
      <c r="D4322" s="3">
        <v>91</v>
      </c>
      <c r="E4322" s="3">
        <v>-672.505</v>
      </c>
      <c r="F4322" s="4" t="str">
        <f>HYPERLINK("http://141.218.60.56/~jnz1568/getInfo.php?workbook=10_05.xlsx&amp;sheet=A0&amp;row=4322&amp;col=6&amp;number=246000&amp;sourceID=14","246000")</f>
        <v>246000</v>
      </c>
      <c r="G4322" s="4" t="str">
        <f>HYPERLINK("http://141.218.60.56/~jnz1568/getInfo.php?workbook=10_05.xlsx&amp;sheet=A0&amp;row=4322&amp;col=7&amp;number=0&amp;sourceID=14","0")</f>
        <v>0</v>
      </c>
    </row>
    <row r="4323" spans="1:7">
      <c r="A4323" s="3">
        <v>10</v>
      </c>
      <c r="B4323" s="3">
        <v>5</v>
      </c>
      <c r="C4323" s="3">
        <v>169</v>
      </c>
      <c r="D4323" s="3">
        <v>91</v>
      </c>
      <c r="E4323" s="3">
        <v>-672.288</v>
      </c>
      <c r="F4323" s="4" t="str">
        <f>HYPERLINK("http://141.218.60.56/~jnz1568/getInfo.php?workbook=10_05.xlsx&amp;sheet=A0&amp;row=4323&amp;col=6&amp;number=2900000&amp;sourceID=14","2900000")</f>
        <v>2900000</v>
      </c>
      <c r="G4323" s="4" t="str">
        <f>HYPERLINK("http://141.218.60.56/~jnz1568/getInfo.php?workbook=10_05.xlsx&amp;sheet=A0&amp;row=4323&amp;col=7&amp;number=0&amp;sourceID=14","0")</f>
        <v>0</v>
      </c>
    </row>
    <row r="4324" spans="1:7">
      <c r="A4324" s="3">
        <v>10</v>
      </c>
      <c r="B4324" s="3">
        <v>5</v>
      </c>
      <c r="C4324" s="3">
        <v>170</v>
      </c>
      <c r="D4324" s="3">
        <v>91</v>
      </c>
      <c r="E4324" s="3">
        <v>-632.444</v>
      </c>
      <c r="F4324" s="4" t="str">
        <f>HYPERLINK("http://141.218.60.56/~jnz1568/getInfo.php?workbook=10_05.xlsx&amp;sheet=A0&amp;row=4324&amp;col=6&amp;number=30900000&amp;sourceID=14","30900000")</f>
        <v>30900000</v>
      </c>
      <c r="G4324" s="4" t="str">
        <f>HYPERLINK("http://141.218.60.56/~jnz1568/getInfo.php?workbook=10_05.xlsx&amp;sheet=A0&amp;row=4324&amp;col=7&amp;number=0&amp;sourceID=14","0")</f>
        <v>0</v>
      </c>
    </row>
    <row r="4325" spans="1:7">
      <c r="A4325" s="3">
        <v>10</v>
      </c>
      <c r="B4325" s="3">
        <v>5</v>
      </c>
      <c r="C4325" s="3">
        <v>171</v>
      </c>
      <c r="D4325" s="3">
        <v>91</v>
      </c>
      <c r="E4325" s="3">
        <v>-632.064</v>
      </c>
      <c r="F4325" s="4" t="str">
        <f>HYPERLINK("http://141.218.60.56/~jnz1568/getInfo.php?workbook=10_05.xlsx&amp;sheet=A0&amp;row=4325&amp;col=6&amp;number=2990000&amp;sourceID=14","2990000")</f>
        <v>2990000</v>
      </c>
      <c r="G4325" s="4" t="str">
        <f>HYPERLINK("http://141.218.60.56/~jnz1568/getInfo.php?workbook=10_05.xlsx&amp;sheet=A0&amp;row=4325&amp;col=7&amp;number=0&amp;sourceID=14","0")</f>
        <v>0</v>
      </c>
    </row>
    <row r="4326" spans="1:7">
      <c r="A4326" s="3">
        <v>10</v>
      </c>
      <c r="B4326" s="3">
        <v>5</v>
      </c>
      <c r="C4326" s="3">
        <v>172</v>
      </c>
      <c r="D4326" s="3">
        <v>91</v>
      </c>
      <c r="E4326" s="3">
        <v>-624.369</v>
      </c>
      <c r="F4326" s="4" t="str">
        <f>HYPERLINK("http://141.218.60.56/~jnz1568/getInfo.php?workbook=10_05.xlsx&amp;sheet=A0&amp;row=4326&amp;col=6&amp;number=334000&amp;sourceID=14","334000")</f>
        <v>334000</v>
      </c>
      <c r="G4326" s="4" t="str">
        <f>HYPERLINK("http://141.218.60.56/~jnz1568/getInfo.php?workbook=10_05.xlsx&amp;sheet=A0&amp;row=4326&amp;col=7&amp;number=0&amp;sourceID=14","0")</f>
        <v>0</v>
      </c>
    </row>
    <row r="4327" spans="1:7">
      <c r="A4327" s="3">
        <v>10</v>
      </c>
      <c r="B4327" s="3">
        <v>5</v>
      </c>
      <c r="C4327" s="3">
        <v>173</v>
      </c>
      <c r="D4327" s="3">
        <v>91</v>
      </c>
      <c r="E4327" s="3">
        <v>-624.279</v>
      </c>
      <c r="F4327" s="4" t="str">
        <f>HYPERLINK("http://141.218.60.56/~jnz1568/getInfo.php?workbook=10_05.xlsx&amp;sheet=A0&amp;row=4327&amp;col=6&amp;number=35900&amp;sourceID=14","35900")</f>
        <v>35900</v>
      </c>
      <c r="G4327" s="4" t="str">
        <f>HYPERLINK("http://141.218.60.56/~jnz1568/getInfo.php?workbook=10_05.xlsx&amp;sheet=A0&amp;row=4327&amp;col=7&amp;number=0&amp;sourceID=14","0")</f>
        <v>0</v>
      </c>
    </row>
    <row r="4328" spans="1:7">
      <c r="A4328" s="3">
        <v>10</v>
      </c>
      <c r="B4328" s="3">
        <v>5</v>
      </c>
      <c r="C4328" s="3">
        <v>174</v>
      </c>
      <c r="D4328" s="3">
        <v>91</v>
      </c>
      <c r="E4328" s="3">
        <v>-616.163</v>
      </c>
      <c r="F4328" s="4" t="str">
        <f>HYPERLINK("http://141.218.60.56/~jnz1568/getInfo.php?workbook=10_05.xlsx&amp;sheet=A0&amp;row=4328&amp;col=6&amp;number=969&amp;sourceID=14","969")</f>
        <v>969</v>
      </c>
      <c r="G4328" s="4" t="str">
        <f>HYPERLINK("http://141.218.60.56/~jnz1568/getInfo.php?workbook=10_05.xlsx&amp;sheet=A0&amp;row=4328&amp;col=7&amp;number=0&amp;sourceID=14","0")</f>
        <v>0</v>
      </c>
    </row>
    <row r="4329" spans="1:7">
      <c r="A4329" s="3">
        <v>10</v>
      </c>
      <c r="B4329" s="3">
        <v>5</v>
      </c>
      <c r="C4329" s="3">
        <v>99</v>
      </c>
      <c r="D4329" s="3">
        <v>92</v>
      </c>
      <c r="E4329" s="3">
        <v>-4047.28</v>
      </c>
      <c r="F4329" s="4" t="str">
        <f>HYPERLINK("http://141.218.60.56/~jnz1568/getInfo.php?workbook=10_05.xlsx&amp;sheet=A0&amp;row=4329&amp;col=6&amp;number=28&amp;sourceID=14","28")</f>
        <v>28</v>
      </c>
      <c r="G4329" s="4" t="str">
        <f>HYPERLINK("http://141.218.60.56/~jnz1568/getInfo.php?workbook=10_05.xlsx&amp;sheet=A0&amp;row=4329&amp;col=7&amp;number=0&amp;sourceID=14","0")</f>
        <v>0</v>
      </c>
    </row>
    <row r="4330" spans="1:7">
      <c r="A4330" s="3">
        <v>10</v>
      </c>
      <c r="B4330" s="3">
        <v>5</v>
      </c>
      <c r="C4330" s="3">
        <v>100</v>
      </c>
      <c r="D4330" s="3">
        <v>92</v>
      </c>
      <c r="E4330" s="3">
        <v>-4004.653</v>
      </c>
      <c r="F4330" s="4" t="str">
        <f>HYPERLINK("http://141.218.60.56/~jnz1568/getInfo.php?workbook=10_05.xlsx&amp;sheet=A0&amp;row=4330&amp;col=6&amp;number=162&amp;sourceID=14","162")</f>
        <v>162</v>
      </c>
      <c r="G4330" s="4" t="str">
        <f>HYPERLINK("http://141.218.60.56/~jnz1568/getInfo.php?workbook=10_05.xlsx&amp;sheet=A0&amp;row=4330&amp;col=7&amp;number=0&amp;sourceID=14","0")</f>
        <v>0</v>
      </c>
    </row>
    <row r="4331" spans="1:7">
      <c r="A4331" s="3">
        <v>10</v>
      </c>
      <c r="B4331" s="3">
        <v>5</v>
      </c>
      <c r="C4331" s="3">
        <v>102</v>
      </c>
      <c r="D4331" s="3">
        <v>92</v>
      </c>
      <c r="E4331" s="3">
        <v>-3945.247</v>
      </c>
      <c r="F4331" s="4" t="str">
        <f>HYPERLINK("http://141.218.60.56/~jnz1568/getInfo.php?workbook=10_05.xlsx&amp;sheet=A0&amp;row=4331&amp;col=6&amp;number=172&amp;sourceID=14","172")</f>
        <v>172</v>
      </c>
      <c r="G4331" s="4" t="str">
        <f>HYPERLINK("http://141.218.60.56/~jnz1568/getInfo.php?workbook=10_05.xlsx&amp;sheet=A0&amp;row=4331&amp;col=7&amp;number=0&amp;sourceID=14","0")</f>
        <v>0</v>
      </c>
    </row>
    <row r="4332" spans="1:7">
      <c r="A4332" s="3">
        <v>10</v>
      </c>
      <c r="B4332" s="3">
        <v>5</v>
      </c>
      <c r="C4332" s="3">
        <v>106</v>
      </c>
      <c r="D4332" s="3">
        <v>92</v>
      </c>
      <c r="E4332" s="3">
        <v>-3245.495</v>
      </c>
      <c r="F4332" s="4" t="str">
        <f>HYPERLINK("http://141.218.60.56/~jnz1568/getInfo.php?workbook=10_05.xlsx&amp;sheet=A0&amp;row=4332&amp;col=6&amp;number=22000&amp;sourceID=14","22000")</f>
        <v>22000</v>
      </c>
      <c r="G4332" s="4" t="str">
        <f>HYPERLINK("http://141.218.60.56/~jnz1568/getInfo.php?workbook=10_05.xlsx&amp;sheet=A0&amp;row=4332&amp;col=7&amp;number=0&amp;sourceID=14","0")</f>
        <v>0</v>
      </c>
    </row>
    <row r="4333" spans="1:7">
      <c r="A4333" s="3">
        <v>10</v>
      </c>
      <c r="B4333" s="3">
        <v>5</v>
      </c>
      <c r="C4333" s="3">
        <v>107</v>
      </c>
      <c r="D4333" s="3">
        <v>92</v>
      </c>
      <c r="E4333" s="3">
        <v>-3216.474</v>
      </c>
      <c r="F4333" s="4" t="str">
        <f>HYPERLINK("http://141.218.60.56/~jnz1568/getInfo.php?workbook=10_05.xlsx&amp;sheet=A0&amp;row=4333&amp;col=6&amp;number=43200&amp;sourceID=14","43200")</f>
        <v>43200</v>
      </c>
      <c r="G4333" s="4" t="str">
        <f>HYPERLINK("http://141.218.60.56/~jnz1568/getInfo.php?workbook=10_05.xlsx&amp;sheet=A0&amp;row=4333&amp;col=7&amp;number=0&amp;sourceID=14","0")</f>
        <v>0</v>
      </c>
    </row>
    <row r="4334" spans="1:7">
      <c r="A4334" s="3">
        <v>10</v>
      </c>
      <c r="B4334" s="3">
        <v>5</v>
      </c>
      <c r="C4334" s="3">
        <v>108</v>
      </c>
      <c r="D4334" s="3">
        <v>92</v>
      </c>
      <c r="E4334" s="3">
        <v>-3186.851</v>
      </c>
      <c r="F4334" s="4" t="str">
        <f>HYPERLINK("http://141.218.60.56/~jnz1568/getInfo.php?workbook=10_05.xlsx&amp;sheet=A0&amp;row=4334&amp;col=6&amp;number=15400&amp;sourceID=14","15400")</f>
        <v>15400</v>
      </c>
      <c r="G4334" s="4" t="str">
        <f>HYPERLINK("http://141.218.60.56/~jnz1568/getInfo.php?workbook=10_05.xlsx&amp;sheet=A0&amp;row=4334&amp;col=7&amp;number=0&amp;sourceID=14","0")</f>
        <v>0</v>
      </c>
    </row>
    <row r="4335" spans="1:7">
      <c r="A4335" s="3">
        <v>10</v>
      </c>
      <c r="B4335" s="3">
        <v>5</v>
      </c>
      <c r="C4335" s="3">
        <v>109</v>
      </c>
      <c r="D4335" s="3">
        <v>92</v>
      </c>
      <c r="E4335" s="3">
        <v>-3145.253</v>
      </c>
      <c r="F4335" s="4" t="str">
        <f>HYPERLINK("http://141.218.60.56/~jnz1568/getInfo.php?workbook=10_05.xlsx&amp;sheet=A0&amp;row=4335&amp;col=6&amp;number=32600&amp;sourceID=14","32600")</f>
        <v>32600</v>
      </c>
      <c r="G4335" s="4" t="str">
        <f>HYPERLINK("http://141.218.60.56/~jnz1568/getInfo.php?workbook=10_05.xlsx&amp;sheet=A0&amp;row=4335&amp;col=7&amp;number=0&amp;sourceID=14","0")</f>
        <v>0</v>
      </c>
    </row>
    <row r="4336" spans="1:7">
      <c r="A4336" s="3">
        <v>10</v>
      </c>
      <c r="B4336" s="3">
        <v>5</v>
      </c>
      <c r="C4336" s="3">
        <v>115</v>
      </c>
      <c r="D4336" s="3">
        <v>92</v>
      </c>
      <c r="E4336" s="3">
        <v>-2546.218</v>
      </c>
      <c r="F4336" s="4" t="str">
        <f>HYPERLINK("http://141.218.60.56/~jnz1568/getInfo.php?workbook=10_05.xlsx&amp;sheet=A0&amp;row=4336&amp;col=6&amp;number=8460000&amp;sourceID=14","8460000")</f>
        <v>8460000</v>
      </c>
      <c r="G4336" s="4" t="str">
        <f>HYPERLINK("http://141.218.60.56/~jnz1568/getInfo.php?workbook=10_05.xlsx&amp;sheet=A0&amp;row=4336&amp;col=7&amp;number=0&amp;sourceID=14","0")</f>
        <v>0</v>
      </c>
    </row>
    <row r="4337" spans="1:7">
      <c r="A4337" s="3">
        <v>10</v>
      </c>
      <c r="B4337" s="3">
        <v>5</v>
      </c>
      <c r="C4337" s="3">
        <v>116</v>
      </c>
      <c r="D4337" s="3">
        <v>92</v>
      </c>
      <c r="E4337" s="3">
        <v>-2489.796</v>
      </c>
      <c r="F4337" s="4" t="str">
        <f>HYPERLINK("http://141.218.60.56/~jnz1568/getInfo.php?workbook=10_05.xlsx&amp;sheet=A0&amp;row=4337&amp;col=6&amp;number=134000000&amp;sourceID=14","134000000")</f>
        <v>134000000</v>
      </c>
      <c r="G4337" s="4" t="str">
        <f>HYPERLINK("http://141.218.60.56/~jnz1568/getInfo.php?workbook=10_05.xlsx&amp;sheet=A0&amp;row=4337&amp;col=7&amp;number=0&amp;sourceID=14","0")</f>
        <v>0</v>
      </c>
    </row>
    <row r="4338" spans="1:7">
      <c r="A4338" s="3">
        <v>10</v>
      </c>
      <c r="B4338" s="3">
        <v>5</v>
      </c>
      <c r="C4338" s="3">
        <v>117</v>
      </c>
      <c r="D4338" s="3">
        <v>92</v>
      </c>
      <c r="E4338" s="3">
        <v>-2475.988</v>
      </c>
      <c r="F4338" s="4" t="str">
        <f>HYPERLINK("http://141.218.60.56/~jnz1568/getInfo.php?workbook=10_05.xlsx&amp;sheet=A0&amp;row=4338&amp;col=6&amp;number=222000&amp;sourceID=14","222000")</f>
        <v>222000</v>
      </c>
      <c r="G4338" s="4" t="str">
        <f>HYPERLINK("http://141.218.60.56/~jnz1568/getInfo.php?workbook=10_05.xlsx&amp;sheet=A0&amp;row=4338&amp;col=7&amp;number=0&amp;sourceID=14","0")</f>
        <v>0</v>
      </c>
    </row>
    <row r="4339" spans="1:7">
      <c r="A4339" s="3">
        <v>10</v>
      </c>
      <c r="B4339" s="3">
        <v>5</v>
      </c>
      <c r="C4339" s="3">
        <v>118</v>
      </c>
      <c r="D4339" s="3">
        <v>92</v>
      </c>
      <c r="E4339" s="3">
        <v>-2471.032</v>
      </c>
      <c r="F4339" s="4" t="str">
        <f>HYPERLINK("http://141.218.60.56/~jnz1568/getInfo.php?workbook=10_05.xlsx&amp;sheet=A0&amp;row=4339&amp;col=6&amp;number=178000&amp;sourceID=14","178000")</f>
        <v>178000</v>
      </c>
      <c r="G4339" s="4" t="str">
        <f>HYPERLINK("http://141.218.60.56/~jnz1568/getInfo.php?workbook=10_05.xlsx&amp;sheet=A0&amp;row=4339&amp;col=7&amp;number=0&amp;sourceID=14","0")</f>
        <v>0</v>
      </c>
    </row>
    <row r="4340" spans="1:7">
      <c r="A4340" s="3">
        <v>10</v>
      </c>
      <c r="B4340" s="3">
        <v>5</v>
      </c>
      <c r="C4340" s="3">
        <v>121</v>
      </c>
      <c r="D4340" s="3">
        <v>92</v>
      </c>
      <c r="E4340" s="3">
        <v>-2277.701</v>
      </c>
      <c r="F4340" s="4" t="str">
        <f>HYPERLINK("http://141.218.60.56/~jnz1568/getInfo.php?workbook=10_05.xlsx&amp;sheet=A0&amp;row=4340&amp;col=6&amp;number=92700&amp;sourceID=14","92700")</f>
        <v>92700</v>
      </c>
      <c r="G4340" s="4" t="str">
        <f>HYPERLINK("http://141.218.60.56/~jnz1568/getInfo.php?workbook=10_05.xlsx&amp;sheet=A0&amp;row=4340&amp;col=7&amp;number=0&amp;sourceID=14","0")</f>
        <v>0</v>
      </c>
    </row>
    <row r="4341" spans="1:7">
      <c r="A4341" s="3">
        <v>10</v>
      </c>
      <c r="B4341" s="3">
        <v>5</v>
      </c>
      <c r="C4341" s="3">
        <v>122</v>
      </c>
      <c r="D4341" s="3">
        <v>92</v>
      </c>
      <c r="E4341" s="3">
        <v>-2258.666</v>
      </c>
      <c r="F4341" s="4" t="str">
        <f>HYPERLINK("http://141.218.60.56/~jnz1568/getInfo.php?workbook=10_05.xlsx&amp;sheet=A0&amp;row=4341&amp;col=6&amp;number=1350&amp;sourceID=14","1350")</f>
        <v>1350</v>
      </c>
      <c r="G4341" s="4" t="str">
        <f>HYPERLINK("http://141.218.60.56/~jnz1568/getInfo.php?workbook=10_05.xlsx&amp;sheet=A0&amp;row=4341&amp;col=7&amp;number=0&amp;sourceID=14","0")</f>
        <v>0</v>
      </c>
    </row>
    <row r="4342" spans="1:7">
      <c r="A4342" s="3">
        <v>10</v>
      </c>
      <c r="B4342" s="3">
        <v>5</v>
      </c>
      <c r="C4342" s="3">
        <v>123</v>
      </c>
      <c r="D4342" s="3">
        <v>92</v>
      </c>
      <c r="E4342" s="3">
        <v>-2243.766</v>
      </c>
      <c r="F4342" s="4" t="str">
        <f>HYPERLINK("http://141.218.60.56/~jnz1568/getInfo.php?workbook=10_05.xlsx&amp;sheet=A0&amp;row=4342&amp;col=6&amp;number=40500&amp;sourceID=14","40500")</f>
        <v>40500</v>
      </c>
      <c r="G4342" s="4" t="str">
        <f>HYPERLINK("http://141.218.60.56/~jnz1568/getInfo.php?workbook=10_05.xlsx&amp;sheet=A0&amp;row=4342&amp;col=7&amp;number=0&amp;sourceID=14","0")</f>
        <v>0</v>
      </c>
    </row>
    <row r="4343" spans="1:7">
      <c r="A4343" s="3">
        <v>10</v>
      </c>
      <c r="B4343" s="3">
        <v>5</v>
      </c>
      <c r="C4343" s="3">
        <v>124</v>
      </c>
      <c r="D4343" s="3">
        <v>92</v>
      </c>
      <c r="E4343" s="3">
        <v>-2231.499</v>
      </c>
      <c r="F4343" s="4" t="str">
        <f>HYPERLINK("http://141.218.60.56/~jnz1568/getInfo.php?workbook=10_05.xlsx&amp;sheet=A0&amp;row=4343&amp;col=6&amp;number=314000&amp;sourceID=14","314000")</f>
        <v>314000</v>
      </c>
      <c r="G4343" s="4" t="str">
        <f>HYPERLINK("http://141.218.60.56/~jnz1568/getInfo.php?workbook=10_05.xlsx&amp;sheet=A0&amp;row=4343&amp;col=7&amp;number=0&amp;sourceID=14","0")</f>
        <v>0</v>
      </c>
    </row>
    <row r="4344" spans="1:7">
      <c r="A4344" s="3">
        <v>10</v>
      </c>
      <c r="B4344" s="3">
        <v>5</v>
      </c>
      <c r="C4344" s="3">
        <v>126</v>
      </c>
      <c r="D4344" s="3">
        <v>92</v>
      </c>
      <c r="E4344" s="3">
        <v>-2175.005</v>
      </c>
      <c r="F4344" s="4" t="str">
        <f>HYPERLINK("http://141.218.60.56/~jnz1568/getInfo.php?workbook=10_05.xlsx&amp;sheet=A0&amp;row=4344&amp;col=6&amp;number=7770000&amp;sourceID=14","7770000")</f>
        <v>7770000</v>
      </c>
      <c r="G4344" s="4" t="str">
        <f>HYPERLINK("http://141.218.60.56/~jnz1568/getInfo.php?workbook=10_05.xlsx&amp;sheet=A0&amp;row=4344&amp;col=7&amp;number=0&amp;sourceID=14","0")</f>
        <v>0</v>
      </c>
    </row>
    <row r="4345" spans="1:7">
      <c r="A4345" s="3">
        <v>10</v>
      </c>
      <c r="B4345" s="3">
        <v>5</v>
      </c>
      <c r="C4345" s="3">
        <v>129</v>
      </c>
      <c r="D4345" s="3">
        <v>92</v>
      </c>
      <c r="E4345" s="3">
        <v>-2064.968</v>
      </c>
      <c r="F4345" s="4" t="str">
        <f>HYPERLINK("http://141.218.60.56/~jnz1568/getInfo.php?workbook=10_05.xlsx&amp;sheet=A0&amp;row=4345&amp;col=6&amp;number=1850000&amp;sourceID=14","1850000")</f>
        <v>1850000</v>
      </c>
      <c r="G4345" s="4" t="str">
        <f>HYPERLINK("http://141.218.60.56/~jnz1568/getInfo.php?workbook=10_05.xlsx&amp;sheet=A0&amp;row=4345&amp;col=7&amp;number=0&amp;sourceID=14","0")</f>
        <v>0</v>
      </c>
    </row>
    <row r="4346" spans="1:7">
      <c r="A4346" s="3">
        <v>10</v>
      </c>
      <c r="B4346" s="3">
        <v>5</v>
      </c>
      <c r="C4346" s="3">
        <v>130</v>
      </c>
      <c r="D4346" s="3">
        <v>92</v>
      </c>
      <c r="E4346" s="3">
        <v>-2039.53</v>
      </c>
      <c r="F4346" s="4" t="str">
        <f>HYPERLINK("http://141.218.60.56/~jnz1568/getInfo.php?workbook=10_05.xlsx&amp;sheet=A0&amp;row=4346&amp;col=6&amp;number=10100000&amp;sourceID=14","10100000")</f>
        <v>10100000</v>
      </c>
      <c r="G4346" s="4" t="str">
        <f>HYPERLINK("http://141.218.60.56/~jnz1568/getInfo.php?workbook=10_05.xlsx&amp;sheet=A0&amp;row=4346&amp;col=7&amp;number=0&amp;sourceID=14","0")</f>
        <v>0</v>
      </c>
    </row>
    <row r="4347" spans="1:7">
      <c r="A4347" s="3">
        <v>10</v>
      </c>
      <c r="B4347" s="3">
        <v>5</v>
      </c>
      <c r="C4347" s="3">
        <v>132</v>
      </c>
      <c r="D4347" s="3">
        <v>92</v>
      </c>
      <c r="E4347" s="3">
        <v>-2020.981</v>
      </c>
      <c r="F4347" s="4" t="str">
        <f>HYPERLINK("http://141.218.60.56/~jnz1568/getInfo.php?workbook=10_05.xlsx&amp;sheet=A0&amp;row=4347&amp;col=6&amp;number=2960&amp;sourceID=14","2960")</f>
        <v>2960</v>
      </c>
      <c r="G4347" s="4" t="str">
        <f>HYPERLINK("http://141.218.60.56/~jnz1568/getInfo.php?workbook=10_05.xlsx&amp;sheet=A0&amp;row=4347&amp;col=7&amp;number=0&amp;sourceID=14","0")</f>
        <v>0</v>
      </c>
    </row>
    <row r="4348" spans="1:7">
      <c r="A4348" s="3">
        <v>10</v>
      </c>
      <c r="B4348" s="3">
        <v>5</v>
      </c>
      <c r="C4348" s="3">
        <v>133</v>
      </c>
      <c r="D4348" s="3">
        <v>92</v>
      </c>
      <c r="E4348" s="3">
        <v>-2012.522</v>
      </c>
      <c r="F4348" s="4" t="str">
        <f>HYPERLINK("http://141.218.60.56/~jnz1568/getInfo.php?workbook=10_05.xlsx&amp;sheet=A0&amp;row=4348&amp;col=6&amp;number=2830000&amp;sourceID=14","2830000")</f>
        <v>2830000</v>
      </c>
      <c r="G4348" s="4" t="str">
        <f>HYPERLINK("http://141.218.60.56/~jnz1568/getInfo.php?workbook=10_05.xlsx&amp;sheet=A0&amp;row=4348&amp;col=7&amp;number=0&amp;sourceID=14","0")</f>
        <v>0</v>
      </c>
    </row>
    <row r="4349" spans="1:7">
      <c r="A4349" s="3">
        <v>10</v>
      </c>
      <c r="B4349" s="3">
        <v>5</v>
      </c>
      <c r="C4349" s="3">
        <v>138</v>
      </c>
      <c r="D4349" s="3">
        <v>92</v>
      </c>
      <c r="E4349" s="3">
        <v>-1892.187</v>
      </c>
      <c r="F4349" s="4" t="str">
        <f>HYPERLINK("http://141.218.60.56/~jnz1568/getInfo.php?workbook=10_05.xlsx&amp;sheet=A0&amp;row=4349&amp;col=6&amp;number=19900&amp;sourceID=14","19900")</f>
        <v>19900</v>
      </c>
      <c r="G4349" s="4" t="str">
        <f>HYPERLINK("http://141.218.60.56/~jnz1568/getInfo.php?workbook=10_05.xlsx&amp;sheet=A0&amp;row=4349&amp;col=7&amp;number=0&amp;sourceID=14","0")</f>
        <v>0</v>
      </c>
    </row>
    <row r="4350" spans="1:7">
      <c r="A4350" s="3">
        <v>10</v>
      </c>
      <c r="B4350" s="3">
        <v>5</v>
      </c>
      <c r="C4350" s="3">
        <v>150</v>
      </c>
      <c r="D4350" s="3">
        <v>92</v>
      </c>
      <c r="E4350" s="3">
        <v>-1626.972</v>
      </c>
      <c r="F4350" s="4" t="str">
        <f>HYPERLINK("http://141.218.60.56/~jnz1568/getInfo.php?workbook=10_05.xlsx&amp;sheet=A0&amp;row=4350&amp;col=6&amp;number=8840000&amp;sourceID=14","8840000")</f>
        <v>8840000</v>
      </c>
      <c r="G4350" s="4" t="str">
        <f>HYPERLINK("http://141.218.60.56/~jnz1568/getInfo.php?workbook=10_05.xlsx&amp;sheet=A0&amp;row=4350&amp;col=7&amp;number=0&amp;sourceID=14","0")</f>
        <v>0</v>
      </c>
    </row>
    <row r="4351" spans="1:7">
      <c r="A4351" s="3">
        <v>10</v>
      </c>
      <c r="B4351" s="3">
        <v>5</v>
      </c>
      <c r="C4351" s="3">
        <v>151</v>
      </c>
      <c r="D4351" s="3">
        <v>92</v>
      </c>
      <c r="E4351" s="3">
        <v>-1626.389</v>
      </c>
      <c r="F4351" s="4" t="str">
        <f>HYPERLINK("http://141.218.60.56/~jnz1568/getInfo.php?workbook=10_05.xlsx&amp;sheet=A0&amp;row=4351&amp;col=6&amp;number=26700000&amp;sourceID=14","26700000")</f>
        <v>26700000</v>
      </c>
      <c r="G4351" s="4" t="str">
        <f>HYPERLINK("http://141.218.60.56/~jnz1568/getInfo.php?workbook=10_05.xlsx&amp;sheet=A0&amp;row=4351&amp;col=7&amp;number=0&amp;sourceID=14","0")</f>
        <v>0</v>
      </c>
    </row>
    <row r="4352" spans="1:7">
      <c r="A4352" s="3">
        <v>10</v>
      </c>
      <c r="B4352" s="3">
        <v>5</v>
      </c>
      <c r="C4352" s="3">
        <v>154</v>
      </c>
      <c r="D4352" s="3">
        <v>92</v>
      </c>
      <c r="E4352" s="3">
        <v>-1548.47</v>
      </c>
      <c r="F4352" s="4" t="str">
        <f>HYPERLINK("http://141.218.60.56/~jnz1568/getInfo.php?workbook=10_05.xlsx&amp;sheet=A0&amp;row=4352&amp;col=6&amp;number=14400000&amp;sourceID=14","14400000")</f>
        <v>14400000</v>
      </c>
      <c r="G4352" s="4" t="str">
        <f>HYPERLINK("http://141.218.60.56/~jnz1568/getInfo.php?workbook=10_05.xlsx&amp;sheet=A0&amp;row=4352&amp;col=7&amp;number=0&amp;sourceID=14","0")</f>
        <v>0</v>
      </c>
    </row>
    <row r="4353" spans="1:7">
      <c r="A4353" s="3">
        <v>10</v>
      </c>
      <c r="B4353" s="3">
        <v>5</v>
      </c>
      <c r="C4353" s="3">
        <v>155</v>
      </c>
      <c r="D4353" s="3">
        <v>92</v>
      </c>
      <c r="E4353" s="3">
        <v>-1538.015</v>
      </c>
      <c r="F4353" s="4" t="str">
        <f>HYPERLINK("http://141.218.60.56/~jnz1568/getInfo.php?workbook=10_05.xlsx&amp;sheet=A0&amp;row=4353&amp;col=6&amp;number=62000000&amp;sourceID=14","62000000")</f>
        <v>62000000</v>
      </c>
      <c r="G4353" s="4" t="str">
        <f>HYPERLINK("http://141.218.60.56/~jnz1568/getInfo.php?workbook=10_05.xlsx&amp;sheet=A0&amp;row=4353&amp;col=7&amp;number=0&amp;sourceID=14","0")</f>
        <v>0</v>
      </c>
    </row>
    <row r="4354" spans="1:7">
      <c r="A4354" s="3">
        <v>10</v>
      </c>
      <c r="B4354" s="3">
        <v>5</v>
      </c>
      <c r="C4354" s="3">
        <v>156</v>
      </c>
      <c r="D4354" s="3">
        <v>92</v>
      </c>
      <c r="E4354" s="3">
        <v>-1524.765</v>
      </c>
      <c r="F4354" s="4" t="str">
        <f>HYPERLINK("http://141.218.60.56/~jnz1568/getInfo.php?workbook=10_05.xlsx&amp;sheet=A0&amp;row=4354&amp;col=6&amp;number=8290000&amp;sourceID=14","8290000")</f>
        <v>8290000</v>
      </c>
      <c r="G4354" s="4" t="str">
        <f>HYPERLINK("http://141.218.60.56/~jnz1568/getInfo.php?workbook=10_05.xlsx&amp;sheet=A0&amp;row=4354&amp;col=7&amp;number=0&amp;sourceID=14","0")</f>
        <v>0</v>
      </c>
    </row>
    <row r="4355" spans="1:7">
      <c r="A4355" s="3">
        <v>10</v>
      </c>
      <c r="B4355" s="3">
        <v>5</v>
      </c>
      <c r="C4355" s="3">
        <v>157</v>
      </c>
      <c r="D4355" s="3">
        <v>92</v>
      </c>
      <c r="E4355" s="3">
        <v>-1520.615</v>
      </c>
      <c r="F4355" s="4" t="str">
        <f>HYPERLINK("http://141.218.60.56/~jnz1568/getInfo.php?workbook=10_05.xlsx&amp;sheet=A0&amp;row=4355&amp;col=6&amp;number=79100000&amp;sourceID=14","79100000")</f>
        <v>79100000</v>
      </c>
      <c r="G4355" s="4" t="str">
        <f>HYPERLINK("http://141.218.60.56/~jnz1568/getInfo.php?workbook=10_05.xlsx&amp;sheet=A0&amp;row=4355&amp;col=7&amp;number=0&amp;sourceID=14","0")</f>
        <v>0</v>
      </c>
    </row>
    <row r="4356" spans="1:7">
      <c r="A4356" s="3">
        <v>10</v>
      </c>
      <c r="B4356" s="3">
        <v>5</v>
      </c>
      <c r="C4356" s="3">
        <v>162</v>
      </c>
      <c r="D4356" s="3">
        <v>92</v>
      </c>
      <c r="E4356" s="3">
        <v>-1478.374</v>
      </c>
      <c r="F4356" s="4" t="str">
        <f>HYPERLINK("http://141.218.60.56/~jnz1568/getInfo.php?workbook=10_05.xlsx&amp;sheet=A0&amp;row=4356&amp;col=6&amp;number=79400000&amp;sourceID=14","79400000")</f>
        <v>79400000</v>
      </c>
      <c r="G4356" s="4" t="str">
        <f>HYPERLINK("http://141.218.60.56/~jnz1568/getInfo.php?workbook=10_05.xlsx&amp;sheet=A0&amp;row=4356&amp;col=7&amp;number=0&amp;sourceID=14","0")</f>
        <v>0</v>
      </c>
    </row>
    <row r="4357" spans="1:7">
      <c r="A4357" s="3">
        <v>10</v>
      </c>
      <c r="B4357" s="3">
        <v>5</v>
      </c>
      <c r="C4357" s="3">
        <v>168</v>
      </c>
      <c r="D4357" s="3">
        <v>92</v>
      </c>
      <c r="E4357" s="3">
        <v>-676.298</v>
      </c>
      <c r="F4357" s="4" t="str">
        <f>HYPERLINK("http://141.218.60.56/~jnz1568/getInfo.php?workbook=10_05.xlsx&amp;sheet=A0&amp;row=4357&amp;col=6&amp;number=3560000&amp;sourceID=14","3560000")</f>
        <v>3560000</v>
      </c>
      <c r="G4357" s="4" t="str">
        <f>HYPERLINK("http://141.218.60.56/~jnz1568/getInfo.php?workbook=10_05.xlsx&amp;sheet=A0&amp;row=4357&amp;col=7&amp;number=0&amp;sourceID=14","0")</f>
        <v>0</v>
      </c>
    </row>
    <row r="4358" spans="1:7">
      <c r="A4358" s="3">
        <v>10</v>
      </c>
      <c r="B4358" s="3">
        <v>5</v>
      </c>
      <c r="C4358" s="3">
        <v>169</v>
      </c>
      <c r="D4358" s="3">
        <v>92</v>
      </c>
      <c r="E4358" s="3">
        <v>-676.079</v>
      </c>
      <c r="F4358" s="4" t="str">
        <f>HYPERLINK("http://141.218.60.56/~jnz1568/getInfo.php?workbook=10_05.xlsx&amp;sheet=A0&amp;row=4358&amp;col=6&amp;number=37900&amp;sourceID=14","37900")</f>
        <v>37900</v>
      </c>
      <c r="G4358" s="4" t="str">
        <f>HYPERLINK("http://141.218.60.56/~jnz1568/getInfo.php?workbook=10_05.xlsx&amp;sheet=A0&amp;row=4358&amp;col=7&amp;number=0&amp;sourceID=14","0")</f>
        <v>0</v>
      </c>
    </row>
    <row r="4359" spans="1:7">
      <c r="A4359" s="3">
        <v>10</v>
      </c>
      <c r="B4359" s="3">
        <v>5</v>
      </c>
      <c r="C4359" s="3">
        <v>171</v>
      </c>
      <c r="D4359" s="3">
        <v>92</v>
      </c>
      <c r="E4359" s="3">
        <v>-635.414</v>
      </c>
      <c r="F4359" s="4" t="str">
        <f>HYPERLINK("http://141.218.60.56/~jnz1568/getInfo.php?workbook=10_05.xlsx&amp;sheet=A0&amp;row=4359&amp;col=6&amp;number=26300000&amp;sourceID=14","26300000")</f>
        <v>26300000</v>
      </c>
      <c r="G4359" s="4" t="str">
        <f>HYPERLINK("http://141.218.60.56/~jnz1568/getInfo.php?workbook=10_05.xlsx&amp;sheet=A0&amp;row=4359&amp;col=7&amp;number=0&amp;sourceID=14","0")</f>
        <v>0</v>
      </c>
    </row>
    <row r="4360" spans="1:7">
      <c r="A4360" s="3">
        <v>10</v>
      </c>
      <c r="B4360" s="3">
        <v>5</v>
      </c>
      <c r="C4360" s="3">
        <v>172</v>
      </c>
      <c r="D4360" s="3">
        <v>92</v>
      </c>
      <c r="E4360" s="3">
        <v>-627.637</v>
      </c>
      <c r="F4360" s="4" t="str">
        <f>HYPERLINK("http://141.218.60.56/~jnz1568/getInfo.php?workbook=10_05.xlsx&amp;sheet=A0&amp;row=4360&amp;col=6&amp;number=421000&amp;sourceID=14","421000")</f>
        <v>421000</v>
      </c>
      <c r="G4360" s="4" t="str">
        <f>HYPERLINK("http://141.218.60.56/~jnz1568/getInfo.php?workbook=10_05.xlsx&amp;sheet=A0&amp;row=4360&amp;col=7&amp;number=0&amp;sourceID=14","0")</f>
        <v>0</v>
      </c>
    </row>
    <row r="4361" spans="1:7">
      <c r="A4361" s="3">
        <v>10</v>
      </c>
      <c r="B4361" s="3">
        <v>5</v>
      </c>
      <c r="C4361" s="3">
        <v>173</v>
      </c>
      <c r="D4361" s="3">
        <v>92</v>
      </c>
      <c r="E4361" s="3">
        <v>-627.547</v>
      </c>
      <c r="F4361" s="4" t="str">
        <f>HYPERLINK("http://141.218.60.56/~jnz1568/getInfo.php?workbook=10_05.xlsx&amp;sheet=A0&amp;row=4361&amp;col=6&amp;number=305000&amp;sourceID=14","305000")</f>
        <v>305000</v>
      </c>
      <c r="G4361" s="4" t="str">
        <f>HYPERLINK("http://141.218.60.56/~jnz1568/getInfo.php?workbook=10_05.xlsx&amp;sheet=A0&amp;row=4361&amp;col=7&amp;number=0&amp;sourceID=14","0")</f>
        <v>0</v>
      </c>
    </row>
    <row r="4362" spans="1:7">
      <c r="A4362" s="3">
        <v>10</v>
      </c>
      <c r="B4362" s="3">
        <v>5</v>
      </c>
      <c r="C4362" s="3">
        <v>99</v>
      </c>
      <c r="D4362" s="3">
        <v>93</v>
      </c>
      <c r="E4362" s="3">
        <v>-5899.716</v>
      </c>
      <c r="F4362" s="4" t="str">
        <f>HYPERLINK("http://141.218.60.56/~jnz1568/getInfo.php?workbook=10_05.xlsx&amp;sheet=A0&amp;row=4362&amp;col=6&amp;number=414&amp;sourceID=14","414")</f>
        <v>414</v>
      </c>
      <c r="G4362" s="4" t="str">
        <f>HYPERLINK("http://141.218.60.56/~jnz1568/getInfo.php?workbook=10_05.xlsx&amp;sheet=A0&amp;row=4362&amp;col=7&amp;number=0&amp;sourceID=14","0")</f>
        <v>0</v>
      </c>
    </row>
    <row r="4363" spans="1:7">
      <c r="A4363" s="3">
        <v>10</v>
      </c>
      <c r="B4363" s="3">
        <v>5</v>
      </c>
      <c r="C4363" s="3">
        <v>105</v>
      </c>
      <c r="D4363" s="3">
        <v>93</v>
      </c>
      <c r="E4363" s="3">
        <v>-4361.297</v>
      </c>
      <c r="F4363" s="4" t="str">
        <f>HYPERLINK("http://141.218.60.56/~jnz1568/getInfo.php?workbook=10_05.xlsx&amp;sheet=A0&amp;row=4363&amp;col=6&amp;number=542000&amp;sourceID=14","542000")</f>
        <v>542000</v>
      </c>
      <c r="G4363" s="4" t="str">
        <f>HYPERLINK("http://141.218.60.56/~jnz1568/getInfo.php?workbook=10_05.xlsx&amp;sheet=A0&amp;row=4363&amp;col=7&amp;number=0&amp;sourceID=14","0")</f>
        <v>0</v>
      </c>
    </row>
    <row r="4364" spans="1:7">
      <c r="A4364" s="3">
        <v>10</v>
      </c>
      <c r="B4364" s="3">
        <v>5</v>
      </c>
      <c r="C4364" s="3">
        <v>106</v>
      </c>
      <c r="D4364" s="3">
        <v>93</v>
      </c>
      <c r="E4364" s="3">
        <v>-4337.65</v>
      </c>
      <c r="F4364" s="4" t="str">
        <f>HYPERLINK("http://141.218.60.56/~jnz1568/getInfo.php?workbook=10_05.xlsx&amp;sheet=A0&amp;row=4364&amp;col=6&amp;number=208000&amp;sourceID=14","208000")</f>
        <v>208000</v>
      </c>
      <c r="G4364" s="4" t="str">
        <f>HYPERLINK("http://141.218.60.56/~jnz1568/getInfo.php?workbook=10_05.xlsx&amp;sheet=A0&amp;row=4364&amp;col=7&amp;number=0&amp;sourceID=14","0")</f>
        <v>0</v>
      </c>
    </row>
    <row r="4365" spans="1:7">
      <c r="A4365" s="3">
        <v>10</v>
      </c>
      <c r="B4365" s="3">
        <v>5</v>
      </c>
      <c r="C4365" s="3">
        <v>109</v>
      </c>
      <c r="D4365" s="3">
        <v>93</v>
      </c>
      <c r="E4365" s="3">
        <v>-4160.434</v>
      </c>
      <c r="F4365" s="4" t="str">
        <f>HYPERLINK("http://141.218.60.56/~jnz1568/getInfo.php?workbook=10_05.xlsx&amp;sheet=A0&amp;row=4365&amp;col=6&amp;number=3120000&amp;sourceID=14","3120000")</f>
        <v>3120000</v>
      </c>
      <c r="G4365" s="4" t="str">
        <f>HYPERLINK("http://141.218.60.56/~jnz1568/getInfo.php?workbook=10_05.xlsx&amp;sheet=A0&amp;row=4365&amp;col=7&amp;number=0&amp;sourceID=14","0")</f>
        <v>0</v>
      </c>
    </row>
    <row r="4366" spans="1:7">
      <c r="A4366" s="3">
        <v>10</v>
      </c>
      <c r="B4366" s="3">
        <v>5</v>
      </c>
      <c r="C4366" s="3">
        <v>111</v>
      </c>
      <c r="D4366" s="3">
        <v>93</v>
      </c>
      <c r="E4366" s="3">
        <v>-4059.438</v>
      </c>
      <c r="F4366" s="4" t="str">
        <f>HYPERLINK("http://141.218.60.56/~jnz1568/getInfo.php?workbook=10_05.xlsx&amp;sheet=A0&amp;row=4366&amp;col=6&amp;number=14100000&amp;sourceID=14","14100000")</f>
        <v>14100000</v>
      </c>
      <c r="G4366" s="4" t="str">
        <f>HYPERLINK("http://141.218.60.56/~jnz1568/getInfo.php?workbook=10_05.xlsx&amp;sheet=A0&amp;row=4366&amp;col=7&amp;number=0&amp;sourceID=14","0")</f>
        <v>0</v>
      </c>
    </row>
    <row r="4367" spans="1:7">
      <c r="A4367" s="3">
        <v>10</v>
      </c>
      <c r="B4367" s="3">
        <v>5</v>
      </c>
      <c r="C4367" s="3">
        <v>118</v>
      </c>
      <c r="D4367" s="3">
        <v>93</v>
      </c>
      <c r="E4367" s="3">
        <v>-3057.081</v>
      </c>
      <c r="F4367" s="4" t="str">
        <f>HYPERLINK("http://141.218.60.56/~jnz1568/getInfo.php?workbook=10_05.xlsx&amp;sheet=A0&amp;row=4367&amp;col=6&amp;number=8260&amp;sourceID=14","8260")</f>
        <v>8260</v>
      </c>
      <c r="G4367" s="4" t="str">
        <f>HYPERLINK("http://141.218.60.56/~jnz1568/getInfo.php?workbook=10_05.xlsx&amp;sheet=A0&amp;row=4367&amp;col=7&amp;number=0&amp;sourceID=14","0")</f>
        <v>0</v>
      </c>
    </row>
    <row r="4368" spans="1:7">
      <c r="A4368" s="3">
        <v>10</v>
      </c>
      <c r="B4368" s="3">
        <v>5</v>
      </c>
      <c r="C4368" s="3">
        <v>119</v>
      </c>
      <c r="D4368" s="3">
        <v>93</v>
      </c>
      <c r="E4368" s="3">
        <v>-3052.415</v>
      </c>
      <c r="F4368" s="4" t="str">
        <f>HYPERLINK("http://141.218.60.56/~jnz1568/getInfo.php?workbook=10_05.xlsx&amp;sheet=A0&amp;row=4368&amp;col=6&amp;number=295&amp;sourceID=14","295")</f>
        <v>295</v>
      </c>
      <c r="G4368" s="4" t="str">
        <f>HYPERLINK("http://141.218.60.56/~jnz1568/getInfo.php?workbook=10_05.xlsx&amp;sheet=A0&amp;row=4368&amp;col=7&amp;number=0&amp;sourceID=14","0")</f>
        <v>0</v>
      </c>
    </row>
    <row r="4369" spans="1:7">
      <c r="A4369" s="3">
        <v>10</v>
      </c>
      <c r="B4369" s="3">
        <v>5</v>
      </c>
      <c r="C4369" s="3">
        <v>120</v>
      </c>
      <c r="D4369" s="3">
        <v>93</v>
      </c>
      <c r="E4369" s="3">
        <v>-2783.814</v>
      </c>
      <c r="F4369" s="4" t="str">
        <f>HYPERLINK("http://141.218.60.56/~jnz1568/getInfo.php?workbook=10_05.xlsx&amp;sheet=A0&amp;row=4369&amp;col=6&amp;number=308000&amp;sourceID=14","308000")</f>
        <v>308000</v>
      </c>
      <c r="G4369" s="4" t="str">
        <f>HYPERLINK("http://141.218.60.56/~jnz1568/getInfo.php?workbook=10_05.xlsx&amp;sheet=A0&amp;row=4369&amp;col=7&amp;number=0&amp;sourceID=14","0")</f>
        <v>0</v>
      </c>
    </row>
    <row r="4370" spans="1:7">
      <c r="A4370" s="3">
        <v>10</v>
      </c>
      <c r="B4370" s="3">
        <v>5</v>
      </c>
      <c r="C4370" s="3">
        <v>121</v>
      </c>
      <c r="D4370" s="3">
        <v>93</v>
      </c>
      <c r="E4370" s="3">
        <v>-2766.563</v>
      </c>
      <c r="F4370" s="4" t="str">
        <f>HYPERLINK("http://141.218.60.56/~jnz1568/getInfo.php?workbook=10_05.xlsx&amp;sheet=A0&amp;row=4370&amp;col=6&amp;number=3080&amp;sourceID=14","3080")</f>
        <v>3080</v>
      </c>
      <c r="G4370" s="4" t="str">
        <f>HYPERLINK("http://141.218.60.56/~jnz1568/getInfo.php?workbook=10_05.xlsx&amp;sheet=A0&amp;row=4370&amp;col=7&amp;number=0&amp;sourceID=14","0")</f>
        <v>0</v>
      </c>
    </row>
    <row r="4371" spans="1:7">
      <c r="A4371" s="3">
        <v>10</v>
      </c>
      <c r="B4371" s="3">
        <v>5</v>
      </c>
      <c r="C4371" s="3">
        <v>123</v>
      </c>
      <c r="D4371" s="3">
        <v>93</v>
      </c>
      <c r="E4371" s="3">
        <v>-2716.658</v>
      </c>
      <c r="F4371" s="4" t="str">
        <f>HYPERLINK("http://141.218.60.56/~jnz1568/getInfo.php?workbook=10_05.xlsx&amp;sheet=A0&amp;row=4371&amp;col=6&amp;number=120000&amp;sourceID=14","120000")</f>
        <v>120000</v>
      </c>
      <c r="G4371" s="4" t="str">
        <f>HYPERLINK("http://141.218.60.56/~jnz1568/getInfo.php?workbook=10_05.xlsx&amp;sheet=A0&amp;row=4371&amp;col=7&amp;number=0&amp;sourceID=14","0")</f>
        <v>0</v>
      </c>
    </row>
    <row r="4372" spans="1:7">
      <c r="A4372" s="3">
        <v>10</v>
      </c>
      <c r="B4372" s="3">
        <v>5</v>
      </c>
      <c r="C4372" s="3">
        <v>125</v>
      </c>
      <c r="D4372" s="3">
        <v>93</v>
      </c>
      <c r="E4372" s="3">
        <v>-2635.468</v>
      </c>
      <c r="F4372" s="4" t="str">
        <f>HYPERLINK("http://141.218.60.56/~jnz1568/getInfo.php?workbook=10_05.xlsx&amp;sheet=A0&amp;row=4372&amp;col=6&amp;number=8380000&amp;sourceID=14","8380000")</f>
        <v>8380000</v>
      </c>
      <c r="G4372" s="4" t="str">
        <f>HYPERLINK("http://141.218.60.56/~jnz1568/getInfo.php?workbook=10_05.xlsx&amp;sheet=A0&amp;row=4372&amp;col=7&amp;number=0&amp;sourceID=14","0")</f>
        <v>0</v>
      </c>
    </row>
    <row r="4373" spans="1:7">
      <c r="A4373" s="3">
        <v>10</v>
      </c>
      <c r="B4373" s="3">
        <v>5</v>
      </c>
      <c r="C4373" s="3">
        <v>126</v>
      </c>
      <c r="D4373" s="3">
        <v>93</v>
      </c>
      <c r="E4373" s="3">
        <v>-2616.504</v>
      </c>
      <c r="F4373" s="4" t="str">
        <f>HYPERLINK("http://141.218.60.56/~jnz1568/getInfo.php?workbook=10_05.xlsx&amp;sheet=A0&amp;row=4373&amp;col=6&amp;number=5710000&amp;sourceID=14","5710000")</f>
        <v>5710000</v>
      </c>
      <c r="G4373" s="4" t="str">
        <f>HYPERLINK("http://141.218.60.56/~jnz1568/getInfo.php?workbook=10_05.xlsx&amp;sheet=A0&amp;row=4373&amp;col=7&amp;number=0&amp;sourceID=14","0")</f>
        <v>0</v>
      </c>
    </row>
    <row r="4374" spans="1:7">
      <c r="A4374" s="3">
        <v>10</v>
      </c>
      <c r="B4374" s="3">
        <v>5</v>
      </c>
      <c r="C4374" s="3">
        <v>129</v>
      </c>
      <c r="D4374" s="3">
        <v>93</v>
      </c>
      <c r="E4374" s="3">
        <v>-2458.88</v>
      </c>
      <c r="F4374" s="4" t="str">
        <f>HYPERLINK("http://141.218.60.56/~jnz1568/getInfo.php?workbook=10_05.xlsx&amp;sheet=A0&amp;row=4374&amp;col=6&amp;number=112000000&amp;sourceID=14","112000000")</f>
        <v>112000000</v>
      </c>
      <c r="G4374" s="4" t="str">
        <f>HYPERLINK("http://141.218.60.56/~jnz1568/getInfo.php?workbook=10_05.xlsx&amp;sheet=A0&amp;row=4374&amp;col=7&amp;number=0&amp;sourceID=14","0")</f>
        <v>0</v>
      </c>
    </row>
    <row r="4375" spans="1:7">
      <c r="A4375" s="3">
        <v>10</v>
      </c>
      <c r="B4375" s="3">
        <v>5</v>
      </c>
      <c r="C4375" s="3">
        <v>131</v>
      </c>
      <c r="D4375" s="3">
        <v>93</v>
      </c>
      <c r="E4375" s="3">
        <v>-2405.238</v>
      </c>
      <c r="F4375" s="4" t="str">
        <f>HYPERLINK("http://141.218.60.56/~jnz1568/getInfo.php?workbook=10_05.xlsx&amp;sheet=A0&amp;row=4375&amp;col=6&amp;number=92100&amp;sourceID=14","92100")</f>
        <v>92100</v>
      </c>
      <c r="G4375" s="4" t="str">
        <f>HYPERLINK("http://141.218.60.56/~jnz1568/getInfo.php?workbook=10_05.xlsx&amp;sheet=A0&amp;row=4375&amp;col=7&amp;number=0&amp;sourceID=14","0")</f>
        <v>0</v>
      </c>
    </row>
    <row r="4376" spans="1:7">
      <c r="A4376" s="3">
        <v>10</v>
      </c>
      <c r="B4376" s="3">
        <v>5</v>
      </c>
      <c r="C4376" s="3">
        <v>132</v>
      </c>
      <c r="D4376" s="3">
        <v>93</v>
      </c>
      <c r="E4376" s="3">
        <v>-2396.764</v>
      </c>
      <c r="F4376" s="4" t="str">
        <f>HYPERLINK("http://141.218.60.56/~jnz1568/getInfo.php?workbook=10_05.xlsx&amp;sheet=A0&amp;row=4376&amp;col=6&amp;number=299000&amp;sourceID=14","299000")</f>
        <v>299000</v>
      </c>
      <c r="G4376" s="4" t="str">
        <f>HYPERLINK("http://141.218.60.56/~jnz1568/getInfo.php?workbook=10_05.xlsx&amp;sheet=A0&amp;row=4376&amp;col=7&amp;number=0&amp;sourceID=14","0")</f>
        <v>0</v>
      </c>
    </row>
    <row r="4377" spans="1:7">
      <c r="A4377" s="3">
        <v>10</v>
      </c>
      <c r="B4377" s="3">
        <v>5</v>
      </c>
      <c r="C4377" s="3">
        <v>140</v>
      </c>
      <c r="D4377" s="3">
        <v>93</v>
      </c>
      <c r="E4377" s="3">
        <v>-2138.172</v>
      </c>
      <c r="F4377" s="4" t="str">
        <f>HYPERLINK("http://141.218.60.56/~jnz1568/getInfo.php?workbook=10_05.xlsx&amp;sheet=A0&amp;row=4377&amp;col=6&amp;number=29100000&amp;sourceID=14","29100000")</f>
        <v>29100000</v>
      </c>
      <c r="G4377" s="4" t="str">
        <f>HYPERLINK("http://141.218.60.56/~jnz1568/getInfo.php?workbook=10_05.xlsx&amp;sheet=A0&amp;row=4377&amp;col=7&amp;number=0&amp;sourceID=14","0")</f>
        <v>0</v>
      </c>
    </row>
    <row r="4378" spans="1:7">
      <c r="A4378" s="3">
        <v>10</v>
      </c>
      <c r="B4378" s="3">
        <v>5</v>
      </c>
      <c r="C4378" s="3">
        <v>150</v>
      </c>
      <c r="D4378" s="3">
        <v>93</v>
      </c>
      <c r="E4378" s="3">
        <v>-1861.993</v>
      </c>
      <c r="F4378" s="4" t="str">
        <f>HYPERLINK("http://141.218.60.56/~jnz1568/getInfo.php?workbook=10_05.xlsx&amp;sheet=A0&amp;row=4378&amp;col=6&amp;number=2190000&amp;sourceID=14","2190000")</f>
        <v>2190000</v>
      </c>
      <c r="G4378" s="4" t="str">
        <f>HYPERLINK("http://141.218.60.56/~jnz1568/getInfo.php?workbook=10_05.xlsx&amp;sheet=A0&amp;row=4378&amp;col=7&amp;number=0&amp;sourceID=14","0")</f>
        <v>0</v>
      </c>
    </row>
    <row r="4379" spans="1:7">
      <c r="A4379" s="3">
        <v>10</v>
      </c>
      <c r="B4379" s="3">
        <v>5</v>
      </c>
      <c r="C4379" s="3">
        <v>156</v>
      </c>
      <c r="D4379" s="3">
        <v>93</v>
      </c>
      <c r="E4379" s="3">
        <v>-1729.329</v>
      </c>
      <c r="F4379" s="4" t="str">
        <f>HYPERLINK("http://141.218.60.56/~jnz1568/getInfo.php?workbook=10_05.xlsx&amp;sheet=A0&amp;row=4379&amp;col=6&amp;number=103000000&amp;sourceID=14","103000000")</f>
        <v>103000000</v>
      </c>
      <c r="G4379" s="4" t="str">
        <f>HYPERLINK("http://141.218.60.56/~jnz1568/getInfo.php?workbook=10_05.xlsx&amp;sheet=A0&amp;row=4379&amp;col=7&amp;number=0&amp;sourceID=14","0")</f>
        <v>0</v>
      </c>
    </row>
    <row r="4380" spans="1:7">
      <c r="A4380" s="3">
        <v>10</v>
      </c>
      <c r="B4380" s="3">
        <v>5</v>
      </c>
      <c r="C4380" s="3">
        <v>160</v>
      </c>
      <c r="D4380" s="3">
        <v>93</v>
      </c>
      <c r="E4380" s="3">
        <v>-1687.169</v>
      </c>
      <c r="F4380" s="4" t="str">
        <f>HYPERLINK("http://141.218.60.56/~jnz1568/getInfo.php?workbook=10_05.xlsx&amp;sheet=A0&amp;row=4380&amp;col=6&amp;number=841000&amp;sourceID=14","841000")</f>
        <v>841000</v>
      </c>
      <c r="G4380" s="4" t="str">
        <f>HYPERLINK("http://141.218.60.56/~jnz1568/getInfo.php?workbook=10_05.xlsx&amp;sheet=A0&amp;row=4380&amp;col=7&amp;number=0&amp;sourceID=14","0")</f>
        <v>0</v>
      </c>
    </row>
    <row r="4381" spans="1:7">
      <c r="A4381" s="3">
        <v>10</v>
      </c>
      <c r="B4381" s="3">
        <v>5</v>
      </c>
      <c r="C4381" s="3">
        <v>161</v>
      </c>
      <c r="D4381" s="3">
        <v>93</v>
      </c>
      <c r="E4381" s="3">
        <v>-1678.193</v>
      </c>
      <c r="F4381" s="4" t="str">
        <f>HYPERLINK("http://141.218.60.56/~jnz1568/getInfo.php?workbook=10_05.xlsx&amp;sheet=A0&amp;row=4381&amp;col=6&amp;number=27700000&amp;sourceID=14","27700000")</f>
        <v>27700000</v>
      </c>
      <c r="G4381" s="4" t="str">
        <f>HYPERLINK("http://141.218.60.56/~jnz1568/getInfo.php?workbook=10_05.xlsx&amp;sheet=A0&amp;row=4381&amp;col=7&amp;number=0&amp;sourceID=14","0")</f>
        <v>0</v>
      </c>
    </row>
    <row r="4382" spans="1:7">
      <c r="A4382" s="3">
        <v>10</v>
      </c>
      <c r="B4382" s="3">
        <v>5</v>
      </c>
      <c r="C4382" s="3">
        <v>162</v>
      </c>
      <c r="D4382" s="3">
        <v>93</v>
      </c>
      <c r="E4382" s="3">
        <v>-1669.898</v>
      </c>
      <c r="F4382" s="4" t="str">
        <f>HYPERLINK("http://141.218.60.56/~jnz1568/getInfo.php?workbook=10_05.xlsx&amp;sheet=A0&amp;row=4382&amp;col=6&amp;number=8550000&amp;sourceID=14","8550000")</f>
        <v>8550000</v>
      </c>
      <c r="G4382" s="4" t="str">
        <f>HYPERLINK("http://141.218.60.56/~jnz1568/getInfo.php?workbook=10_05.xlsx&amp;sheet=A0&amp;row=4382&amp;col=7&amp;number=0&amp;sourceID=14","0")</f>
        <v>0</v>
      </c>
    </row>
    <row r="4383" spans="1:7">
      <c r="A4383" s="3">
        <v>10</v>
      </c>
      <c r="B4383" s="3">
        <v>5</v>
      </c>
      <c r="C4383" s="3">
        <v>163</v>
      </c>
      <c r="D4383" s="3">
        <v>93</v>
      </c>
      <c r="E4383" s="3">
        <v>-1361.714</v>
      </c>
      <c r="F4383" s="4" t="str">
        <f>HYPERLINK("http://141.218.60.56/~jnz1568/getInfo.php?workbook=10_05.xlsx&amp;sheet=A0&amp;row=4383&amp;col=6&amp;number=35000000&amp;sourceID=14","35000000")</f>
        <v>35000000</v>
      </c>
      <c r="G4383" s="4" t="str">
        <f>HYPERLINK("http://141.218.60.56/~jnz1568/getInfo.php?workbook=10_05.xlsx&amp;sheet=A0&amp;row=4383&amp;col=7&amp;number=0&amp;sourceID=14","0")</f>
        <v>0</v>
      </c>
    </row>
    <row r="4384" spans="1:7">
      <c r="A4384" s="3">
        <v>10</v>
      </c>
      <c r="B4384" s="3">
        <v>5</v>
      </c>
      <c r="C4384" s="3">
        <v>169</v>
      </c>
      <c r="D4384" s="3">
        <v>93</v>
      </c>
      <c r="E4384" s="3">
        <v>-713.502</v>
      </c>
      <c r="F4384" s="4" t="str">
        <f>HYPERLINK("http://141.218.60.56/~jnz1568/getInfo.php?workbook=10_05.xlsx&amp;sheet=A0&amp;row=4384&amp;col=6&amp;number=18000000&amp;sourceID=14","18000000")</f>
        <v>18000000</v>
      </c>
      <c r="G4384" s="4" t="str">
        <f>HYPERLINK("http://141.218.60.56/~jnz1568/getInfo.php?workbook=10_05.xlsx&amp;sheet=A0&amp;row=4384&amp;col=7&amp;number=0&amp;sourceID=14","0")</f>
        <v>0</v>
      </c>
    </row>
    <row r="4385" spans="1:7">
      <c r="A4385" s="3">
        <v>10</v>
      </c>
      <c r="B4385" s="3">
        <v>5</v>
      </c>
      <c r="C4385" s="3">
        <v>170</v>
      </c>
      <c r="D4385" s="3">
        <v>93</v>
      </c>
      <c r="E4385" s="3">
        <v>-668.786</v>
      </c>
      <c r="F4385" s="4" t="str">
        <f>HYPERLINK("http://141.218.60.56/~jnz1568/getInfo.php?workbook=10_05.xlsx&amp;sheet=A0&amp;row=4385&amp;col=6&amp;number=11700000&amp;sourceID=14","11700000")</f>
        <v>11700000</v>
      </c>
      <c r="G4385" s="4" t="str">
        <f>HYPERLINK("http://141.218.60.56/~jnz1568/getInfo.php?workbook=10_05.xlsx&amp;sheet=A0&amp;row=4385&amp;col=7&amp;number=0&amp;sourceID=14","0")</f>
        <v>0</v>
      </c>
    </row>
    <row r="4386" spans="1:7">
      <c r="A4386" s="3">
        <v>10</v>
      </c>
      <c r="B4386" s="3">
        <v>5</v>
      </c>
      <c r="C4386" s="3">
        <v>171</v>
      </c>
      <c r="D4386" s="3">
        <v>93</v>
      </c>
      <c r="E4386" s="3">
        <v>-668.361</v>
      </c>
      <c r="F4386" s="4" t="str">
        <f>HYPERLINK("http://141.218.60.56/~jnz1568/getInfo.php?workbook=10_05.xlsx&amp;sheet=A0&amp;row=4386&amp;col=6&amp;number=3020000&amp;sourceID=14","3020000")</f>
        <v>3020000</v>
      </c>
      <c r="G4386" s="4" t="str">
        <f>HYPERLINK("http://141.218.60.56/~jnz1568/getInfo.php?workbook=10_05.xlsx&amp;sheet=A0&amp;row=4386&amp;col=7&amp;number=0&amp;sourceID=14","0")</f>
        <v>0</v>
      </c>
    </row>
    <row r="4387" spans="1:7">
      <c r="A4387" s="3">
        <v>10</v>
      </c>
      <c r="B4387" s="3">
        <v>5</v>
      </c>
      <c r="C4387" s="3">
        <v>172</v>
      </c>
      <c r="D4387" s="3">
        <v>93</v>
      </c>
      <c r="E4387" s="3">
        <v>-659.762</v>
      </c>
      <c r="F4387" s="4" t="str">
        <f>HYPERLINK("http://141.218.60.56/~jnz1568/getInfo.php?workbook=10_05.xlsx&amp;sheet=A0&amp;row=4387&amp;col=6&amp;number=3590000&amp;sourceID=14","3590000")</f>
        <v>3590000</v>
      </c>
      <c r="G4387" s="4" t="str">
        <f>HYPERLINK("http://141.218.60.56/~jnz1568/getInfo.php?workbook=10_05.xlsx&amp;sheet=A0&amp;row=4387&amp;col=7&amp;number=0&amp;sourceID=14","0")</f>
        <v>0</v>
      </c>
    </row>
    <row r="4388" spans="1:7">
      <c r="A4388" s="3">
        <v>10</v>
      </c>
      <c r="B4388" s="3">
        <v>5</v>
      </c>
      <c r="C4388" s="3">
        <v>174</v>
      </c>
      <c r="D4388" s="3">
        <v>93</v>
      </c>
      <c r="E4388" s="3">
        <v>-650.607</v>
      </c>
      <c r="F4388" s="4" t="str">
        <f>HYPERLINK("http://141.218.60.56/~jnz1568/getInfo.php?workbook=10_05.xlsx&amp;sheet=A0&amp;row=4388&amp;col=6&amp;number=114000&amp;sourceID=14","114000")</f>
        <v>114000</v>
      </c>
      <c r="G4388" s="4" t="str">
        <f>HYPERLINK("http://141.218.60.56/~jnz1568/getInfo.php?workbook=10_05.xlsx&amp;sheet=A0&amp;row=4388&amp;col=7&amp;number=0&amp;sourceID=14","0")</f>
        <v>0</v>
      </c>
    </row>
    <row r="4389" spans="1:7">
      <c r="A4389" s="3">
        <v>10</v>
      </c>
      <c r="B4389" s="3">
        <v>5</v>
      </c>
      <c r="C4389" s="3">
        <v>99</v>
      </c>
      <c r="D4389" s="3">
        <v>94</v>
      </c>
      <c r="E4389" s="3">
        <v>-5953.809</v>
      </c>
      <c r="F4389" s="4" t="str">
        <f>HYPERLINK("http://141.218.60.56/~jnz1568/getInfo.php?workbook=10_05.xlsx&amp;sheet=A0&amp;row=4389&amp;col=6&amp;number=220&amp;sourceID=14","220")</f>
        <v>220</v>
      </c>
      <c r="G4389" s="4" t="str">
        <f>HYPERLINK("http://141.218.60.56/~jnz1568/getInfo.php?workbook=10_05.xlsx&amp;sheet=A0&amp;row=4389&amp;col=7&amp;number=0&amp;sourceID=14","0")</f>
        <v>0</v>
      </c>
    </row>
    <row r="4390" spans="1:7">
      <c r="A4390" s="3">
        <v>10</v>
      </c>
      <c r="B4390" s="3">
        <v>5</v>
      </c>
      <c r="C4390" s="3">
        <v>100</v>
      </c>
      <c r="D4390" s="3">
        <v>94</v>
      </c>
      <c r="E4390" s="3">
        <v>-5862.019</v>
      </c>
      <c r="F4390" s="4" t="str">
        <f>HYPERLINK("http://141.218.60.56/~jnz1568/getInfo.php?workbook=10_05.xlsx&amp;sheet=A0&amp;row=4390&amp;col=6&amp;number=302&amp;sourceID=14","302")</f>
        <v>302</v>
      </c>
      <c r="G4390" s="4" t="str">
        <f>HYPERLINK("http://141.218.60.56/~jnz1568/getInfo.php?workbook=10_05.xlsx&amp;sheet=A0&amp;row=4390&amp;col=7&amp;number=0&amp;sourceID=14","0")</f>
        <v>0</v>
      </c>
    </row>
    <row r="4391" spans="1:7">
      <c r="A4391" s="3">
        <v>10</v>
      </c>
      <c r="B4391" s="3">
        <v>5</v>
      </c>
      <c r="C4391" s="3">
        <v>105</v>
      </c>
      <c r="D4391" s="3">
        <v>94</v>
      </c>
      <c r="E4391" s="3">
        <v>-4390.787</v>
      </c>
      <c r="F4391" s="4" t="str">
        <f>HYPERLINK("http://141.218.60.56/~jnz1568/getInfo.php?workbook=10_05.xlsx&amp;sheet=A0&amp;row=4391&amp;col=6&amp;number=246000&amp;sourceID=14","246000")</f>
        <v>246000</v>
      </c>
      <c r="G4391" s="4" t="str">
        <f>HYPERLINK("http://141.218.60.56/~jnz1568/getInfo.php?workbook=10_05.xlsx&amp;sheet=A0&amp;row=4391&amp;col=7&amp;number=0&amp;sourceID=14","0")</f>
        <v>0</v>
      </c>
    </row>
    <row r="4392" spans="1:7">
      <c r="A4392" s="3">
        <v>10</v>
      </c>
      <c r="B4392" s="3">
        <v>5</v>
      </c>
      <c r="C4392" s="3">
        <v>106</v>
      </c>
      <c r="D4392" s="3">
        <v>94</v>
      </c>
      <c r="E4392" s="3">
        <v>-4366.82</v>
      </c>
      <c r="F4392" s="4" t="str">
        <f>HYPERLINK("http://141.218.60.56/~jnz1568/getInfo.php?workbook=10_05.xlsx&amp;sheet=A0&amp;row=4392&amp;col=6&amp;number=1040000&amp;sourceID=14","1040000")</f>
        <v>1040000</v>
      </c>
      <c r="G4392" s="4" t="str">
        <f>HYPERLINK("http://141.218.60.56/~jnz1568/getInfo.php?workbook=10_05.xlsx&amp;sheet=A0&amp;row=4392&amp;col=7&amp;number=0&amp;sourceID=14","0")</f>
        <v>0</v>
      </c>
    </row>
    <row r="4393" spans="1:7">
      <c r="A4393" s="3">
        <v>10</v>
      </c>
      <c r="B4393" s="3">
        <v>5</v>
      </c>
      <c r="C4393" s="3">
        <v>107</v>
      </c>
      <c r="D4393" s="3">
        <v>94</v>
      </c>
      <c r="E4393" s="3">
        <v>-4314.444</v>
      </c>
      <c r="F4393" s="4" t="str">
        <f>HYPERLINK("http://141.218.60.56/~jnz1568/getInfo.php?workbook=10_05.xlsx&amp;sheet=A0&amp;row=4393&amp;col=6&amp;number=676&amp;sourceID=14","676")</f>
        <v>676</v>
      </c>
      <c r="G4393" s="4" t="str">
        <f>HYPERLINK("http://141.218.60.56/~jnz1568/getInfo.php?workbook=10_05.xlsx&amp;sheet=A0&amp;row=4393&amp;col=7&amp;number=0&amp;sourceID=14","0")</f>
        <v>0</v>
      </c>
    </row>
    <row r="4394" spans="1:7">
      <c r="A4394" s="3">
        <v>10</v>
      </c>
      <c r="B4394" s="3">
        <v>5</v>
      </c>
      <c r="C4394" s="3">
        <v>109</v>
      </c>
      <c r="D4394" s="3">
        <v>94</v>
      </c>
      <c r="E4394" s="3">
        <v>-4187.262</v>
      </c>
      <c r="F4394" s="4" t="str">
        <f>HYPERLINK("http://141.218.60.56/~jnz1568/getInfo.php?workbook=10_05.xlsx&amp;sheet=A0&amp;row=4394&amp;col=6&amp;number=14000000&amp;sourceID=14","14000000")</f>
        <v>14000000</v>
      </c>
      <c r="G4394" s="4" t="str">
        <f>HYPERLINK("http://141.218.60.56/~jnz1568/getInfo.php?workbook=10_05.xlsx&amp;sheet=A0&amp;row=4394&amp;col=7&amp;number=0&amp;sourceID=14","0")</f>
        <v>0</v>
      </c>
    </row>
    <row r="4395" spans="1:7">
      <c r="A4395" s="3">
        <v>10</v>
      </c>
      <c r="B4395" s="3">
        <v>5</v>
      </c>
      <c r="C4395" s="3">
        <v>111</v>
      </c>
      <c r="D4395" s="3">
        <v>94</v>
      </c>
      <c r="E4395" s="3">
        <v>-4084.975</v>
      </c>
      <c r="F4395" s="4" t="str">
        <f>HYPERLINK("http://141.218.60.56/~jnz1568/getInfo.php?workbook=10_05.xlsx&amp;sheet=A0&amp;row=4395&amp;col=6&amp;number=6400000&amp;sourceID=14","6400000")</f>
        <v>6400000</v>
      </c>
      <c r="G4395" s="4" t="str">
        <f>HYPERLINK("http://141.218.60.56/~jnz1568/getInfo.php?workbook=10_05.xlsx&amp;sheet=A0&amp;row=4395&amp;col=7&amp;number=0&amp;sourceID=14","0")</f>
        <v>0</v>
      </c>
    </row>
    <row r="4396" spans="1:7">
      <c r="A4396" s="3">
        <v>10</v>
      </c>
      <c r="B4396" s="3">
        <v>5</v>
      </c>
      <c r="C4396" s="3">
        <v>115</v>
      </c>
      <c r="D4396" s="3">
        <v>94</v>
      </c>
      <c r="E4396" s="3">
        <v>-3188.578</v>
      </c>
      <c r="F4396" s="4" t="str">
        <f>HYPERLINK("http://141.218.60.56/~jnz1568/getInfo.php?workbook=10_05.xlsx&amp;sheet=A0&amp;row=4396&amp;col=6&amp;number=553&amp;sourceID=14","553")</f>
        <v>553</v>
      </c>
      <c r="G4396" s="4" t="str">
        <f>HYPERLINK("http://141.218.60.56/~jnz1568/getInfo.php?workbook=10_05.xlsx&amp;sheet=A0&amp;row=4396&amp;col=7&amp;number=0&amp;sourceID=14","0")</f>
        <v>0</v>
      </c>
    </row>
    <row r="4397" spans="1:7">
      <c r="A4397" s="3">
        <v>10</v>
      </c>
      <c r="B4397" s="3">
        <v>5</v>
      </c>
      <c r="C4397" s="3">
        <v>117</v>
      </c>
      <c r="D4397" s="3">
        <v>94</v>
      </c>
      <c r="E4397" s="3">
        <v>-3079.203</v>
      </c>
      <c r="F4397" s="4" t="str">
        <f>HYPERLINK("http://141.218.60.56/~jnz1568/getInfo.php?workbook=10_05.xlsx&amp;sheet=A0&amp;row=4397&amp;col=6&amp;number=45500&amp;sourceID=14","45500")</f>
        <v>45500</v>
      </c>
      <c r="G4397" s="4" t="str">
        <f>HYPERLINK("http://141.218.60.56/~jnz1568/getInfo.php?workbook=10_05.xlsx&amp;sheet=A0&amp;row=4397&amp;col=7&amp;number=0&amp;sourceID=14","0")</f>
        <v>0</v>
      </c>
    </row>
    <row r="4398" spans="1:7">
      <c r="A4398" s="3">
        <v>10</v>
      </c>
      <c r="B4398" s="3">
        <v>5</v>
      </c>
      <c r="C4398" s="3">
        <v>118</v>
      </c>
      <c r="D4398" s="3">
        <v>94</v>
      </c>
      <c r="E4398" s="3">
        <v>-3071.542</v>
      </c>
      <c r="F4398" s="4" t="str">
        <f>HYPERLINK("http://141.218.60.56/~jnz1568/getInfo.php?workbook=10_05.xlsx&amp;sheet=A0&amp;row=4398&amp;col=6&amp;number=1800&amp;sourceID=14","1800")</f>
        <v>1800</v>
      </c>
      <c r="G4398" s="4" t="str">
        <f>HYPERLINK("http://141.218.60.56/~jnz1568/getInfo.php?workbook=10_05.xlsx&amp;sheet=A0&amp;row=4398&amp;col=7&amp;number=0&amp;sourceID=14","0")</f>
        <v>0</v>
      </c>
    </row>
    <row r="4399" spans="1:7">
      <c r="A4399" s="3">
        <v>10</v>
      </c>
      <c r="B4399" s="3">
        <v>5</v>
      </c>
      <c r="C4399" s="3">
        <v>119</v>
      </c>
      <c r="D4399" s="3">
        <v>94</v>
      </c>
      <c r="E4399" s="3">
        <v>-3066.832</v>
      </c>
      <c r="F4399" s="4" t="str">
        <f>HYPERLINK("http://141.218.60.56/~jnz1568/getInfo.php?workbook=10_05.xlsx&amp;sheet=A0&amp;row=4399&amp;col=6&amp;number=99.8&amp;sourceID=14","99.8")</f>
        <v>99.8</v>
      </c>
      <c r="G4399" s="4" t="str">
        <f>HYPERLINK("http://141.218.60.56/~jnz1568/getInfo.php?workbook=10_05.xlsx&amp;sheet=A0&amp;row=4399&amp;col=7&amp;number=0&amp;sourceID=14","0")</f>
        <v>0</v>
      </c>
    </row>
    <row r="4400" spans="1:7">
      <c r="A4400" s="3">
        <v>10</v>
      </c>
      <c r="B4400" s="3">
        <v>5</v>
      </c>
      <c r="C4400" s="3">
        <v>120</v>
      </c>
      <c r="D4400" s="3">
        <v>94</v>
      </c>
      <c r="E4400" s="3">
        <v>-2795.8</v>
      </c>
      <c r="F4400" s="4" t="str">
        <f>HYPERLINK("http://141.218.60.56/~jnz1568/getInfo.php?workbook=10_05.xlsx&amp;sheet=A0&amp;row=4400&amp;col=6&amp;number=102000&amp;sourceID=14","102000")</f>
        <v>102000</v>
      </c>
      <c r="G4400" s="4" t="str">
        <f>HYPERLINK("http://141.218.60.56/~jnz1568/getInfo.php?workbook=10_05.xlsx&amp;sheet=A0&amp;row=4400&amp;col=7&amp;number=0&amp;sourceID=14","0")</f>
        <v>0</v>
      </c>
    </row>
    <row r="4401" spans="1:7">
      <c r="A4401" s="3">
        <v>10</v>
      </c>
      <c r="B4401" s="3">
        <v>5</v>
      </c>
      <c r="C4401" s="3">
        <v>121</v>
      </c>
      <c r="D4401" s="3">
        <v>94</v>
      </c>
      <c r="E4401" s="3">
        <v>-2778.4</v>
      </c>
      <c r="F4401" s="4" t="str">
        <f>HYPERLINK("http://141.218.60.56/~jnz1568/getInfo.php?workbook=10_05.xlsx&amp;sheet=A0&amp;row=4401&amp;col=6&amp;number=257000&amp;sourceID=14","257000")</f>
        <v>257000</v>
      </c>
      <c r="G4401" s="4" t="str">
        <f>HYPERLINK("http://141.218.60.56/~jnz1568/getInfo.php?workbook=10_05.xlsx&amp;sheet=A0&amp;row=4401&amp;col=7&amp;number=0&amp;sourceID=14","0")</f>
        <v>0</v>
      </c>
    </row>
    <row r="4402" spans="1:7">
      <c r="A4402" s="3">
        <v>10</v>
      </c>
      <c r="B4402" s="3">
        <v>5</v>
      </c>
      <c r="C4402" s="3">
        <v>122</v>
      </c>
      <c r="D4402" s="3">
        <v>94</v>
      </c>
      <c r="E4402" s="3">
        <v>-2750.129</v>
      </c>
      <c r="F4402" s="4" t="str">
        <f>HYPERLINK("http://141.218.60.56/~jnz1568/getInfo.php?workbook=10_05.xlsx&amp;sheet=A0&amp;row=4402&amp;col=6&amp;number=150000&amp;sourceID=14","150000")</f>
        <v>150000</v>
      </c>
      <c r="G4402" s="4" t="str">
        <f>HYPERLINK("http://141.218.60.56/~jnz1568/getInfo.php?workbook=10_05.xlsx&amp;sheet=A0&amp;row=4402&amp;col=7&amp;number=0&amp;sourceID=14","0")</f>
        <v>0</v>
      </c>
    </row>
    <row r="4403" spans="1:7">
      <c r="A4403" s="3">
        <v>10</v>
      </c>
      <c r="B4403" s="3">
        <v>5</v>
      </c>
      <c r="C4403" s="3">
        <v>123</v>
      </c>
      <c r="D4403" s="3">
        <v>94</v>
      </c>
      <c r="E4403" s="3">
        <v>-2728.071</v>
      </c>
      <c r="F4403" s="4" t="str">
        <f>HYPERLINK("http://141.218.60.56/~jnz1568/getInfo.php?workbook=10_05.xlsx&amp;sheet=A0&amp;row=4403&amp;col=6&amp;number=226000&amp;sourceID=14","226000")</f>
        <v>226000</v>
      </c>
      <c r="G4403" s="4" t="str">
        <f>HYPERLINK("http://141.218.60.56/~jnz1568/getInfo.php?workbook=10_05.xlsx&amp;sheet=A0&amp;row=4403&amp;col=7&amp;number=0&amp;sourceID=14","0")</f>
        <v>0</v>
      </c>
    </row>
    <row r="4404" spans="1:7">
      <c r="A4404" s="3">
        <v>10</v>
      </c>
      <c r="B4404" s="3">
        <v>5</v>
      </c>
      <c r="C4404" s="3">
        <v>125</v>
      </c>
      <c r="D4404" s="3">
        <v>94</v>
      </c>
      <c r="E4404" s="3">
        <v>-2646.208</v>
      </c>
      <c r="F4404" s="4" t="str">
        <f>HYPERLINK("http://141.218.60.56/~jnz1568/getInfo.php?workbook=10_05.xlsx&amp;sheet=A0&amp;row=4404&amp;col=6&amp;number=2440000&amp;sourceID=14","2440000")</f>
        <v>2440000</v>
      </c>
      <c r="G4404" s="4" t="str">
        <f>HYPERLINK("http://141.218.60.56/~jnz1568/getInfo.php?workbook=10_05.xlsx&amp;sheet=A0&amp;row=4404&amp;col=7&amp;number=0&amp;sourceID=14","0")</f>
        <v>0</v>
      </c>
    </row>
    <row r="4405" spans="1:7">
      <c r="A4405" s="3">
        <v>10</v>
      </c>
      <c r="B4405" s="3">
        <v>5</v>
      </c>
      <c r="C4405" s="3">
        <v>126</v>
      </c>
      <c r="D4405" s="3">
        <v>94</v>
      </c>
      <c r="E4405" s="3">
        <v>-2627.09</v>
      </c>
      <c r="F4405" s="4" t="str">
        <f>HYPERLINK("http://141.218.60.56/~jnz1568/getInfo.php?workbook=10_05.xlsx&amp;sheet=A0&amp;row=4405&amp;col=6&amp;number=6910000&amp;sourceID=14","6910000")</f>
        <v>6910000</v>
      </c>
      <c r="G4405" s="4" t="str">
        <f>HYPERLINK("http://141.218.60.56/~jnz1568/getInfo.php?workbook=10_05.xlsx&amp;sheet=A0&amp;row=4405&amp;col=7&amp;number=0&amp;sourceID=14","0")</f>
        <v>0</v>
      </c>
    </row>
    <row r="4406" spans="1:7">
      <c r="A4406" s="3">
        <v>10</v>
      </c>
      <c r="B4406" s="3">
        <v>5</v>
      </c>
      <c r="C4406" s="3">
        <v>129</v>
      </c>
      <c r="D4406" s="3">
        <v>94</v>
      </c>
      <c r="E4406" s="3">
        <v>-2468.226</v>
      </c>
      <c r="F4406" s="4" t="str">
        <f>HYPERLINK("http://141.218.60.56/~jnz1568/getInfo.php?workbook=10_05.xlsx&amp;sheet=A0&amp;row=4406&amp;col=6&amp;number=26700000&amp;sourceID=14","26700000")</f>
        <v>26700000</v>
      </c>
      <c r="G4406" s="4" t="str">
        <f>HYPERLINK("http://141.218.60.56/~jnz1568/getInfo.php?workbook=10_05.xlsx&amp;sheet=A0&amp;row=4406&amp;col=7&amp;number=0&amp;sourceID=14","0")</f>
        <v>0</v>
      </c>
    </row>
    <row r="4407" spans="1:7">
      <c r="A4407" s="3">
        <v>10</v>
      </c>
      <c r="B4407" s="3">
        <v>5</v>
      </c>
      <c r="C4407" s="3">
        <v>130</v>
      </c>
      <c r="D4407" s="3">
        <v>94</v>
      </c>
      <c r="E4407" s="3">
        <v>-2431.97</v>
      </c>
      <c r="F4407" s="4" t="str">
        <f>HYPERLINK("http://141.218.60.56/~jnz1568/getInfo.php?workbook=10_05.xlsx&amp;sheet=A0&amp;row=4407&amp;col=6&amp;number=115000000&amp;sourceID=14","115000000")</f>
        <v>115000000</v>
      </c>
      <c r="G4407" s="4" t="str">
        <f>HYPERLINK("http://141.218.60.56/~jnz1568/getInfo.php?workbook=10_05.xlsx&amp;sheet=A0&amp;row=4407&amp;col=7&amp;number=0&amp;sourceID=14","0")</f>
        <v>0</v>
      </c>
    </row>
    <row r="4408" spans="1:7">
      <c r="A4408" s="3">
        <v>10</v>
      </c>
      <c r="B4408" s="3">
        <v>5</v>
      </c>
      <c r="C4408" s="3">
        <v>131</v>
      </c>
      <c r="D4408" s="3">
        <v>94</v>
      </c>
      <c r="E4408" s="3">
        <v>-2414.18</v>
      </c>
      <c r="F4408" s="4" t="str">
        <f>HYPERLINK("http://141.218.60.56/~jnz1568/getInfo.php?workbook=10_05.xlsx&amp;sheet=A0&amp;row=4408&amp;col=6&amp;number=157000&amp;sourceID=14","157000")</f>
        <v>157000</v>
      </c>
      <c r="G4408" s="4" t="str">
        <f>HYPERLINK("http://141.218.60.56/~jnz1568/getInfo.php?workbook=10_05.xlsx&amp;sheet=A0&amp;row=4408&amp;col=7&amp;number=0&amp;sourceID=14","0")</f>
        <v>0</v>
      </c>
    </row>
    <row r="4409" spans="1:7">
      <c r="A4409" s="3">
        <v>10</v>
      </c>
      <c r="B4409" s="3">
        <v>5</v>
      </c>
      <c r="C4409" s="3">
        <v>132</v>
      </c>
      <c r="D4409" s="3">
        <v>94</v>
      </c>
      <c r="E4409" s="3">
        <v>-2405.643</v>
      </c>
      <c r="F4409" s="4" t="str">
        <f>HYPERLINK("http://141.218.60.56/~jnz1568/getInfo.php?workbook=10_05.xlsx&amp;sheet=A0&amp;row=4409&amp;col=6&amp;number=48900&amp;sourceID=14","48900")</f>
        <v>48900</v>
      </c>
      <c r="G4409" s="4" t="str">
        <f>HYPERLINK("http://141.218.60.56/~jnz1568/getInfo.php?workbook=10_05.xlsx&amp;sheet=A0&amp;row=4409&amp;col=7&amp;number=0&amp;sourceID=14","0")</f>
        <v>0</v>
      </c>
    </row>
    <row r="4410" spans="1:7">
      <c r="A4410" s="3">
        <v>10</v>
      </c>
      <c r="B4410" s="3">
        <v>5</v>
      </c>
      <c r="C4410" s="3">
        <v>133</v>
      </c>
      <c r="D4410" s="3">
        <v>94</v>
      </c>
      <c r="E4410" s="3">
        <v>-2393.666</v>
      </c>
      <c r="F4410" s="4" t="str">
        <f>HYPERLINK("http://141.218.60.56/~jnz1568/getInfo.php?workbook=10_05.xlsx&amp;sheet=A0&amp;row=4410&amp;col=6&amp;number=27600000&amp;sourceID=14","27600000")</f>
        <v>27600000</v>
      </c>
      <c r="G4410" s="4" t="str">
        <f>HYPERLINK("http://141.218.60.56/~jnz1568/getInfo.php?workbook=10_05.xlsx&amp;sheet=A0&amp;row=4410&amp;col=7&amp;number=0&amp;sourceID=14","0")</f>
        <v>0</v>
      </c>
    </row>
    <row r="4411" spans="1:7">
      <c r="A4411" s="3">
        <v>10</v>
      </c>
      <c r="B4411" s="3">
        <v>5</v>
      </c>
      <c r="C4411" s="3">
        <v>140</v>
      </c>
      <c r="D4411" s="3">
        <v>94</v>
      </c>
      <c r="E4411" s="3">
        <v>-2145.236</v>
      </c>
      <c r="F4411" s="4" t="str">
        <f>HYPERLINK("http://141.218.60.56/~jnz1568/getInfo.php?workbook=10_05.xlsx&amp;sheet=A0&amp;row=4411&amp;col=6&amp;number=59600000&amp;sourceID=14","59600000")</f>
        <v>59600000</v>
      </c>
      <c r="G4411" s="4" t="str">
        <f>HYPERLINK("http://141.218.60.56/~jnz1568/getInfo.php?workbook=10_05.xlsx&amp;sheet=A0&amp;row=4411&amp;col=7&amp;number=0&amp;sourceID=14","0")</f>
        <v>0</v>
      </c>
    </row>
    <row r="4412" spans="1:7">
      <c r="A4412" s="3">
        <v>10</v>
      </c>
      <c r="B4412" s="3">
        <v>5</v>
      </c>
      <c r="C4412" s="3">
        <v>150</v>
      </c>
      <c r="D4412" s="3">
        <v>94</v>
      </c>
      <c r="E4412" s="3">
        <v>-1867.347</v>
      </c>
      <c r="F4412" s="4" t="str">
        <f>HYPERLINK("http://141.218.60.56/~jnz1568/getInfo.php?workbook=10_05.xlsx&amp;sheet=A0&amp;row=4412&amp;col=6&amp;number=469000&amp;sourceID=14","469000")</f>
        <v>469000</v>
      </c>
      <c r="G4412" s="4" t="str">
        <f>HYPERLINK("http://141.218.60.56/~jnz1568/getInfo.php?workbook=10_05.xlsx&amp;sheet=A0&amp;row=4412&amp;col=7&amp;number=0&amp;sourceID=14","0")</f>
        <v>0</v>
      </c>
    </row>
    <row r="4413" spans="1:7">
      <c r="A4413" s="3">
        <v>10</v>
      </c>
      <c r="B4413" s="3">
        <v>5</v>
      </c>
      <c r="C4413" s="3">
        <v>151</v>
      </c>
      <c r="D4413" s="3">
        <v>94</v>
      </c>
      <c r="E4413" s="3">
        <v>-1866.581</v>
      </c>
      <c r="F4413" s="4" t="str">
        <f>HYPERLINK("http://141.218.60.56/~jnz1568/getInfo.php?workbook=10_05.xlsx&amp;sheet=A0&amp;row=4413&amp;col=6&amp;number=1300000&amp;sourceID=14","1300000")</f>
        <v>1300000</v>
      </c>
      <c r="G4413" s="4" t="str">
        <f>HYPERLINK("http://141.218.60.56/~jnz1568/getInfo.php?workbook=10_05.xlsx&amp;sheet=A0&amp;row=4413&amp;col=7&amp;number=0&amp;sourceID=14","0")</f>
        <v>0</v>
      </c>
    </row>
    <row r="4414" spans="1:7">
      <c r="A4414" s="3">
        <v>10</v>
      </c>
      <c r="B4414" s="3">
        <v>5</v>
      </c>
      <c r="C4414" s="3">
        <v>155</v>
      </c>
      <c r="D4414" s="3">
        <v>94</v>
      </c>
      <c r="E4414" s="3">
        <v>-1751.102</v>
      </c>
      <c r="F4414" s="4" t="str">
        <f>HYPERLINK("http://141.218.60.56/~jnz1568/getInfo.php?workbook=10_05.xlsx&amp;sheet=A0&amp;row=4414&amp;col=6&amp;number=765000&amp;sourceID=14","765000")</f>
        <v>765000</v>
      </c>
      <c r="G4414" s="4" t="str">
        <f>HYPERLINK("http://141.218.60.56/~jnz1568/getInfo.php?workbook=10_05.xlsx&amp;sheet=A0&amp;row=4414&amp;col=7&amp;number=0&amp;sourceID=14","0")</f>
        <v>0</v>
      </c>
    </row>
    <row r="4415" spans="1:7">
      <c r="A4415" s="3">
        <v>10</v>
      </c>
      <c r="B4415" s="3">
        <v>5</v>
      </c>
      <c r="C4415" s="3">
        <v>156</v>
      </c>
      <c r="D4415" s="3">
        <v>94</v>
      </c>
      <c r="E4415" s="3">
        <v>-1733.947</v>
      </c>
      <c r="F4415" s="4" t="str">
        <f>HYPERLINK("http://141.218.60.56/~jnz1568/getInfo.php?workbook=10_05.xlsx&amp;sheet=A0&amp;row=4415&amp;col=6&amp;number=22500000&amp;sourceID=14","22500000")</f>
        <v>22500000</v>
      </c>
      <c r="G4415" s="4" t="str">
        <f>HYPERLINK("http://141.218.60.56/~jnz1568/getInfo.php?workbook=10_05.xlsx&amp;sheet=A0&amp;row=4415&amp;col=7&amp;number=0&amp;sourceID=14","0")</f>
        <v>0</v>
      </c>
    </row>
    <row r="4416" spans="1:7">
      <c r="A4416" s="3">
        <v>10</v>
      </c>
      <c r="B4416" s="3">
        <v>5</v>
      </c>
      <c r="C4416" s="3">
        <v>157</v>
      </c>
      <c r="D4416" s="3">
        <v>94</v>
      </c>
      <c r="E4416" s="3">
        <v>-1728.582</v>
      </c>
      <c r="F4416" s="4" t="str">
        <f>HYPERLINK("http://141.218.60.56/~jnz1568/getInfo.php?workbook=10_05.xlsx&amp;sheet=A0&amp;row=4416&amp;col=6&amp;number=128000000&amp;sourceID=14","128000000")</f>
        <v>128000000</v>
      </c>
      <c r="G4416" s="4" t="str">
        <f>HYPERLINK("http://141.218.60.56/~jnz1568/getInfo.php?workbook=10_05.xlsx&amp;sheet=A0&amp;row=4416&amp;col=7&amp;number=0&amp;sourceID=14","0")</f>
        <v>0</v>
      </c>
    </row>
    <row r="4417" spans="1:7">
      <c r="A4417" s="3">
        <v>10</v>
      </c>
      <c r="B4417" s="3">
        <v>5</v>
      </c>
      <c r="C4417" s="3">
        <v>160</v>
      </c>
      <c r="D4417" s="3">
        <v>94</v>
      </c>
      <c r="E4417" s="3">
        <v>-1691.564</v>
      </c>
      <c r="F4417" s="4" t="str">
        <f>HYPERLINK("http://141.218.60.56/~jnz1568/getInfo.php?workbook=10_05.xlsx&amp;sheet=A0&amp;row=4417&amp;col=6&amp;number=1610000&amp;sourceID=14","1610000")</f>
        <v>1610000</v>
      </c>
      <c r="G4417" s="4" t="str">
        <f>HYPERLINK("http://141.218.60.56/~jnz1568/getInfo.php?workbook=10_05.xlsx&amp;sheet=A0&amp;row=4417&amp;col=7&amp;number=0&amp;sourceID=14","0")</f>
        <v>0</v>
      </c>
    </row>
    <row r="4418" spans="1:7">
      <c r="A4418" s="3">
        <v>10</v>
      </c>
      <c r="B4418" s="3">
        <v>5</v>
      </c>
      <c r="C4418" s="3">
        <v>161</v>
      </c>
      <c r="D4418" s="3">
        <v>94</v>
      </c>
      <c r="E4418" s="3">
        <v>-1682.542</v>
      </c>
      <c r="F4418" s="4" t="str">
        <f>HYPERLINK("http://141.218.60.56/~jnz1568/getInfo.php?workbook=10_05.xlsx&amp;sheet=A0&amp;row=4418&amp;col=6&amp;number=13500000&amp;sourceID=14","13500000")</f>
        <v>13500000</v>
      </c>
      <c r="G4418" s="4" t="str">
        <f>HYPERLINK("http://141.218.60.56/~jnz1568/getInfo.php?workbook=10_05.xlsx&amp;sheet=A0&amp;row=4418&amp;col=7&amp;number=0&amp;sourceID=14","0")</f>
        <v>0</v>
      </c>
    </row>
    <row r="4419" spans="1:7">
      <c r="A4419" s="3">
        <v>10</v>
      </c>
      <c r="B4419" s="3">
        <v>5</v>
      </c>
      <c r="C4419" s="3">
        <v>162</v>
      </c>
      <c r="D4419" s="3">
        <v>94</v>
      </c>
      <c r="E4419" s="3">
        <v>-1674.204</v>
      </c>
      <c r="F4419" s="4" t="str">
        <f>HYPERLINK("http://141.218.60.56/~jnz1568/getInfo.php?workbook=10_05.xlsx&amp;sheet=A0&amp;row=4419&amp;col=6&amp;number=36300000&amp;sourceID=14","36300000")</f>
        <v>36300000</v>
      </c>
      <c r="G4419" s="4" t="str">
        <f>HYPERLINK("http://141.218.60.56/~jnz1568/getInfo.php?workbook=10_05.xlsx&amp;sheet=A0&amp;row=4419&amp;col=7&amp;number=0&amp;sourceID=14","0")</f>
        <v>0</v>
      </c>
    </row>
    <row r="4420" spans="1:7">
      <c r="A4420" s="3">
        <v>10</v>
      </c>
      <c r="B4420" s="3">
        <v>5</v>
      </c>
      <c r="C4420" s="3">
        <v>163</v>
      </c>
      <c r="D4420" s="3">
        <v>94</v>
      </c>
      <c r="E4420" s="3">
        <v>-1364.575</v>
      </c>
      <c r="F4420" s="4" t="str">
        <f>HYPERLINK("http://141.218.60.56/~jnz1568/getInfo.php?workbook=10_05.xlsx&amp;sheet=A0&amp;row=4420&amp;col=6&amp;number=77000000&amp;sourceID=14","77000000")</f>
        <v>77000000</v>
      </c>
      <c r="G4420" s="4" t="str">
        <f>HYPERLINK("http://141.218.60.56/~jnz1568/getInfo.php?workbook=10_05.xlsx&amp;sheet=A0&amp;row=4420&amp;col=7&amp;number=0&amp;sourceID=14","0")</f>
        <v>0</v>
      </c>
    </row>
    <row r="4421" spans="1:7">
      <c r="A4421" s="3">
        <v>10</v>
      </c>
      <c r="B4421" s="3">
        <v>5</v>
      </c>
      <c r="C4421" s="3">
        <v>168</v>
      </c>
      <c r="D4421" s="3">
        <v>94</v>
      </c>
      <c r="E4421" s="3">
        <v>-714.532</v>
      </c>
      <c r="F4421" s="4" t="str">
        <f>HYPERLINK("http://141.218.60.56/~jnz1568/getInfo.php?workbook=10_05.xlsx&amp;sheet=A0&amp;row=4421&amp;col=6&amp;number=22200000&amp;sourceID=14","22200000")</f>
        <v>22200000</v>
      </c>
      <c r="G4421" s="4" t="str">
        <f>HYPERLINK("http://141.218.60.56/~jnz1568/getInfo.php?workbook=10_05.xlsx&amp;sheet=A0&amp;row=4421&amp;col=7&amp;number=0&amp;sourceID=14","0")</f>
        <v>0</v>
      </c>
    </row>
    <row r="4422" spans="1:7">
      <c r="A4422" s="3">
        <v>10</v>
      </c>
      <c r="B4422" s="3">
        <v>5</v>
      </c>
      <c r="C4422" s="3">
        <v>169</v>
      </c>
      <c r="D4422" s="3">
        <v>94</v>
      </c>
      <c r="E4422" s="3">
        <v>-714.287</v>
      </c>
      <c r="F4422" s="4" t="str">
        <f>HYPERLINK("http://141.218.60.56/~jnz1568/getInfo.php?workbook=10_05.xlsx&amp;sheet=A0&amp;row=4422&amp;col=6&amp;number=3740000&amp;sourceID=14","3740000")</f>
        <v>3740000</v>
      </c>
      <c r="G4422" s="4" t="str">
        <f>HYPERLINK("http://141.218.60.56/~jnz1568/getInfo.php?workbook=10_05.xlsx&amp;sheet=A0&amp;row=4422&amp;col=7&amp;number=0&amp;sourceID=14","0")</f>
        <v>0</v>
      </c>
    </row>
    <row r="4423" spans="1:7">
      <c r="A4423" s="3">
        <v>10</v>
      </c>
      <c r="B4423" s="3">
        <v>5</v>
      </c>
      <c r="C4423" s="3">
        <v>170</v>
      </c>
      <c r="D4423" s="3">
        <v>94</v>
      </c>
      <c r="E4423" s="3">
        <v>-669.475</v>
      </c>
      <c r="F4423" s="4" t="str">
        <f>HYPERLINK("http://141.218.60.56/~jnz1568/getInfo.php?workbook=10_05.xlsx&amp;sheet=A0&amp;row=4423&amp;col=6&amp;number=6410000&amp;sourceID=14","6410000")</f>
        <v>6410000</v>
      </c>
      <c r="G4423" s="4" t="str">
        <f>HYPERLINK("http://141.218.60.56/~jnz1568/getInfo.php?workbook=10_05.xlsx&amp;sheet=A0&amp;row=4423&amp;col=7&amp;number=0&amp;sourceID=14","0")</f>
        <v>0</v>
      </c>
    </row>
    <row r="4424" spans="1:7">
      <c r="A4424" s="3">
        <v>10</v>
      </c>
      <c r="B4424" s="3">
        <v>5</v>
      </c>
      <c r="C4424" s="3">
        <v>171</v>
      </c>
      <c r="D4424" s="3">
        <v>94</v>
      </c>
      <c r="E4424" s="3">
        <v>-669.05</v>
      </c>
      <c r="F4424" s="4" t="str">
        <f>HYPERLINK("http://141.218.60.56/~jnz1568/getInfo.php?workbook=10_05.xlsx&amp;sheet=A0&amp;row=4424&amp;col=6&amp;number=15300000&amp;sourceID=14","15300000")</f>
        <v>15300000</v>
      </c>
      <c r="G4424" s="4" t="str">
        <f>HYPERLINK("http://141.218.60.56/~jnz1568/getInfo.php?workbook=10_05.xlsx&amp;sheet=A0&amp;row=4424&amp;col=7&amp;number=0&amp;sourceID=14","0")</f>
        <v>0</v>
      </c>
    </row>
    <row r="4425" spans="1:7">
      <c r="A4425" s="3">
        <v>10</v>
      </c>
      <c r="B4425" s="3">
        <v>5</v>
      </c>
      <c r="C4425" s="3">
        <v>172</v>
      </c>
      <c r="D4425" s="3">
        <v>94</v>
      </c>
      <c r="E4425" s="3">
        <v>-660.433</v>
      </c>
      <c r="F4425" s="4" t="str">
        <f>HYPERLINK("http://141.218.60.56/~jnz1568/getInfo.php?workbook=10_05.xlsx&amp;sheet=A0&amp;row=4425&amp;col=6&amp;number=529000&amp;sourceID=14","529000")</f>
        <v>529000</v>
      </c>
      <c r="G4425" s="4" t="str">
        <f>HYPERLINK("http://141.218.60.56/~jnz1568/getInfo.php?workbook=10_05.xlsx&amp;sheet=A0&amp;row=4425&amp;col=7&amp;number=0&amp;sourceID=14","0")</f>
        <v>0</v>
      </c>
    </row>
    <row r="4426" spans="1:7">
      <c r="A4426" s="3">
        <v>10</v>
      </c>
      <c r="B4426" s="3">
        <v>5</v>
      </c>
      <c r="C4426" s="3">
        <v>173</v>
      </c>
      <c r="D4426" s="3">
        <v>94</v>
      </c>
      <c r="E4426" s="3">
        <v>-660.333</v>
      </c>
      <c r="F4426" s="4" t="str">
        <f>HYPERLINK("http://141.218.60.56/~jnz1568/getInfo.php?workbook=10_05.xlsx&amp;sheet=A0&amp;row=4426&amp;col=6&amp;number=3910000&amp;sourceID=14","3910000")</f>
        <v>3910000</v>
      </c>
      <c r="G4426" s="4" t="str">
        <f>HYPERLINK("http://141.218.60.56/~jnz1568/getInfo.php?workbook=10_05.xlsx&amp;sheet=A0&amp;row=4426&amp;col=7&amp;number=0&amp;sourceID=14","0")</f>
        <v>0</v>
      </c>
    </row>
    <row r="4427" spans="1:7">
      <c r="A4427" s="3">
        <v>10</v>
      </c>
      <c r="B4427" s="3">
        <v>5</v>
      </c>
      <c r="C4427" s="3">
        <v>174</v>
      </c>
      <c r="D4427" s="3">
        <v>94</v>
      </c>
      <c r="E4427" s="3">
        <v>-651.259</v>
      </c>
      <c r="F4427" s="4" t="str">
        <f>HYPERLINK("http://141.218.60.56/~jnz1568/getInfo.php?workbook=10_05.xlsx&amp;sheet=A0&amp;row=4427&amp;col=6&amp;number=65400&amp;sourceID=14","65400")</f>
        <v>65400</v>
      </c>
      <c r="G4427" s="4" t="str">
        <f>HYPERLINK("http://141.218.60.56/~jnz1568/getInfo.php?workbook=10_05.xlsx&amp;sheet=A0&amp;row=4427&amp;col=7&amp;number=0&amp;sourceID=14","0")</f>
        <v>0</v>
      </c>
    </row>
    <row r="4428" spans="1:7">
      <c r="A4428" s="3">
        <v>10</v>
      </c>
      <c r="B4428" s="3">
        <v>5</v>
      </c>
      <c r="C4428" s="3">
        <v>99</v>
      </c>
      <c r="D4428" s="3">
        <v>95</v>
      </c>
      <c r="E4428" s="3">
        <v>-7405.227</v>
      </c>
      <c r="F4428" s="4" t="str">
        <f>HYPERLINK("http://141.218.60.56/~jnz1568/getInfo.php?workbook=10_05.xlsx&amp;sheet=A0&amp;row=4428&amp;col=6&amp;number=0.0184&amp;sourceID=14","0.0184")</f>
        <v>0.0184</v>
      </c>
      <c r="G4428" s="4" t="str">
        <f>HYPERLINK("http://141.218.60.56/~jnz1568/getInfo.php?workbook=10_05.xlsx&amp;sheet=A0&amp;row=4428&amp;col=7&amp;number=0&amp;sourceID=14","0")</f>
        <v>0</v>
      </c>
    </row>
    <row r="4429" spans="1:7">
      <c r="A4429" s="3">
        <v>10</v>
      </c>
      <c r="B4429" s="3">
        <v>5</v>
      </c>
      <c r="C4429" s="3">
        <v>100</v>
      </c>
      <c r="D4429" s="3">
        <v>95</v>
      </c>
      <c r="E4429" s="3">
        <v>-7263.76</v>
      </c>
      <c r="F4429" s="4" t="str">
        <f>HYPERLINK("http://141.218.60.56/~jnz1568/getInfo.php?workbook=10_05.xlsx&amp;sheet=A0&amp;row=4429&amp;col=6&amp;number=0.0908&amp;sourceID=14","0.0908")</f>
        <v>0.0908</v>
      </c>
      <c r="G4429" s="4" t="str">
        <f>HYPERLINK("http://141.218.60.56/~jnz1568/getInfo.php?workbook=10_05.xlsx&amp;sheet=A0&amp;row=4429&amp;col=7&amp;number=0&amp;sourceID=14","0")</f>
        <v>0</v>
      </c>
    </row>
    <row r="4430" spans="1:7">
      <c r="A4430" s="3">
        <v>10</v>
      </c>
      <c r="B4430" s="3">
        <v>5</v>
      </c>
      <c r="C4430" s="3">
        <v>105</v>
      </c>
      <c r="D4430" s="3">
        <v>95</v>
      </c>
      <c r="E4430" s="3">
        <v>-5132.689</v>
      </c>
      <c r="F4430" s="4" t="str">
        <f>HYPERLINK("http://141.218.60.56/~jnz1568/getInfo.php?workbook=10_05.xlsx&amp;sheet=A0&amp;row=4430&amp;col=6&amp;number=177&amp;sourceID=14","177")</f>
        <v>177</v>
      </c>
      <c r="G4430" s="4" t="str">
        <f>HYPERLINK("http://141.218.60.56/~jnz1568/getInfo.php?workbook=10_05.xlsx&amp;sheet=A0&amp;row=4430&amp;col=7&amp;number=0&amp;sourceID=14","0")</f>
        <v>0</v>
      </c>
    </row>
    <row r="4431" spans="1:7">
      <c r="A4431" s="3">
        <v>10</v>
      </c>
      <c r="B4431" s="3">
        <v>5</v>
      </c>
      <c r="C4431" s="3">
        <v>106</v>
      </c>
      <c r="D4431" s="3">
        <v>95</v>
      </c>
      <c r="E4431" s="3">
        <v>-5099.969</v>
      </c>
      <c r="F4431" s="4" t="str">
        <f>HYPERLINK("http://141.218.60.56/~jnz1568/getInfo.php?workbook=10_05.xlsx&amp;sheet=A0&amp;row=4431&amp;col=6&amp;number=589&amp;sourceID=14","589")</f>
        <v>589</v>
      </c>
      <c r="G4431" s="4" t="str">
        <f>HYPERLINK("http://141.218.60.56/~jnz1568/getInfo.php?workbook=10_05.xlsx&amp;sheet=A0&amp;row=4431&amp;col=7&amp;number=0&amp;sourceID=14","0")</f>
        <v>0</v>
      </c>
    </row>
    <row r="4432" spans="1:7">
      <c r="A4432" s="3">
        <v>10</v>
      </c>
      <c r="B4432" s="3">
        <v>5</v>
      </c>
      <c r="C4432" s="3">
        <v>107</v>
      </c>
      <c r="D4432" s="3">
        <v>95</v>
      </c>
      <c r="E4432" s="3">
        <v>-5028.673</v>
      </c>
      <c r="F4432" s="4" t="str">
        <f>HYPERLINK("http://141.218.60.56/~jnz1568/getInfo.php?workbook=10_05.xlsx&amp;sheet=A0&amp;row=4432&amp;col=6&amp;number=1550&amp;sourceID=14","1550")</f>
        <v>1550</v>
      </c>
      <c r="G4432" s="4" t="str">
        <f>HYPERLINK("http://141.218.60.56/~jnz1568/getInfo.php?workbook=10_05.xlsx&amp;sheet=A0&amp;row=4432&amp;col=7&amp;number=0&amp;sourceID=14","0")</f>
        <v>0</v>
      </c>
    </row>
    <row r="4433" spans="1:7">
      <c r="A4433" s="3">
        <v>10</v>
      </c>
      <c r="B4433" s="3">
        <v>5</v>
      </c>
      <c r="C4433" s="3">
        <v>109</v>
      </c>
      <c r="D4433" s="3">
        <v>95</v>
      </c>
      <c r="E4433" s="3">
        <v>-4856.736</v>
      </c>
      <c r="F4433" s="4" t="str">
        <f>HYPERLINK("http://141.218.60.56/~jnz1568/getInfo.php?workbook=10_05.xlsx&amp;sheet=A0&amp;row=4433&amp;col=6&amp;number=932&amp;sourceID=14","932")</f>
        <v>932</v>
      </c>
      <c r="G4433" s="4" t="str">
        <f>HYPERLINK("http://141.218.60.56/~jnz1568/getInfo.php?workbook=10_05.xlsx&amp;sheet=A0&amp;row=4433&amp;col=7&amp;number=0&amp;sourceID=14","0")</f>
        <v>0</v>
      </c>
    </row>
    <row r="4434" spans="1:7">
      <c r="A4434" s="3">
        <v>10</v>
      </c>
      <c r="B4434" s="3">
        <v>5</v>
      </c>
      <c r="C4434" s="3">
        <v>111</v>
      </c>
      <c r="D4434" s="3">
        <v>95</v>
      </c>
      <c r="E4434" s="3">
        <v>-4719.661</v>
      </c>
      <c r="F4434" s="4" t="str">
        <f>HYPERLINK("http://141.218.60.56/~jnz1568/getInfo.php?workbook=10_05.xlsx&amp;sheet=A0&amp;row=4434&amp;col=6&amp;number=346&amp;sourceID=14","346")</f>
        <v>346</v>
      </c>
      <c r="G4434" s="4" t="str">
        <f>HYPERLINK("http://141.218.60.56/~jnz1568/getInfo.php?workbook=10_05.xlsx&amp;sheet=A0&amp;row=4434&amp;col=7&amp;number=0&amp;sourceID=14","0")</f>
        <v>0</v>
      </c>
    </row>
    <row r="4435" spans="1:7">
      <c r="A4435" s="3">
        <v>10</v>
      </c>
      <c r="B4435" s="3">
        <v>5</v>
      </c>
      <c r="C4435" s="3">
        <v>115</v>
      </c>
      <c r="D4435" s="3">
        <v>95</v>
      </c>
      <c r="E4435" s="3">
        <v>-3562.529</v>
      </c>
      <c r="F4435" s="4" t="str">
        <f>HYPERLINK("http://141.218.60.56/~jnz1568/getInfo.php?workbook=10_05.xlsx&amp;sheet=A0&amp;row=4435&amp;col=6&amp;number=223&amp;sourceID=14","223")</f>
        <v>223</v>
      </c>
      <c r="G4435" s="4" t="str">
        <f>HYPERLINK("http://141.218.60.56/~jnz1568/getInfo.php?workbook=10_05.xlsx&amp;sheet=A0&amp;row=4435&amp;col=7&amp;number=0&amp;sourceID=14","0")</f>
        <v>0</v>
      </c>
    </row>
    <row r="4436" spans="1:7">
      <c r="A4436" s="3">
        <v>10</v>
      </c>
      <c r="B4436" s="3">
        <v>5</v>
      </c>
      <c r="C4436" s="3">
        <v>117</v>
      </c>
      <c r="D4436" s="3">
        <v>95</v>
      </c>
      <c r="E4436" s="3">
        <v>-3426.541</v>
      </c>
      <c r="F4436" s="4" t="str">
        <f>HYPERLINK("http://141.218.60.56/~jnz1568/getInfo.php?workbook=10_05.xlsx&amp;sheet=A0&amp;row=4436&amp;col=6&amp;number=19400000&amp;sourceID=14","19400000")</f>
        <v>19400000</v>
      </c>
      <c r="G4436" s="4" t="str">
        <f>HYPERLINK("http://141.218.60.56/~jnz1568/getInfo.php?workbook=10_05.xlsx&amp;sheet=A0&amp;row=4436&amp;col=7&amp;number=0&amp;sourceID=14","0")</f>
        <v>0</v>
      </c>
    </row>
    <row r="4437" spans="1:7">
      <c r="A4437" s="3">
        <v>10</v>
      </c>
      <c r="B4437" s="3">
        <v>5</v>
      </c>
      <c r="C4437" s="3">
        <v>118</v>
      </c>
      <c r="D4437" s="3">
        <v>95</v>
      </c>
      <c r="E4437" s="3">
        <v>-3417.057</v>
      </c>
      <c r="F4437" s="4" t="str">
        <f>HYPERLINK("http://141.218.60.56/~jnz1568/getInfo.php?workbook=10_05.xlsx&amp;sheet=A0&amp;row=4437&amp;col=6&amp;number=19800000&amp;sourceID=14","19800000")</f>
        <v>19800000</v>
      </c>
      <c r="G4437" s="4" t="str">
        <f>HYPERLINK("http://141.218.60.56/~jnz1568/getInfo.php?workbook=10_05.xlsx&amp;sheet=A0&amp;row=4437&amp;col=7&amp;number=0&amp;sourceID=14","0")</f>
        <v>0</v>
      </c>
    </row>
    <row r="4438" spans="1:7">
      <c r="A4438" s="3">
        <v>10</v>
      </c>
      <c r="B4438" s="3">
        <v>5</v>
      </c>
      <c r="C4438" s="3">
        <v>119</v>
      </c>
      <c r="D4438" s="3">
        <v>95</v>
      </c>
      <c r="E4438" s="3">
        <v>-3411.229</v>
      </c>
      <c r="F4438" s="4" t="str">
        <f>HYPERLINK("http://141.218.60.56/~jnz1568/getInfo.php?workbook=10_05.xlsx&amp;sheet=A0&amp;row=4438&amp;col=6&amp;number=20200000&amp;sourceID=14","20200000")</f>
        <v>20200000</v>
      </c>
      <c r="G4438" s="4" t="str">
        <f>HYPERLINK("http://141.218.60.56/~jnz1568/getInfo.php?workbook=10_05.xlsx&amp;sheet=A0&amp;row=4438&amp;col=7&amp;number=0&amp;sourceID=14","0")</f>
        <v>0</v>
      </c>
    </row>
    <row r="4439" spans="1:7">
      <c r="A4439" s="3">
        <v>10</v>
      </c>
      <c r="B4439" s="3">
        <v>5</v>
      </c>
      <c r="C4439" s="3">
        <v>120</v>
      </c>
      <c r="D4439" s="3">
        <v>95</v>
      </c>
      <c r="E4439" s="3">
        <v>-3079.203</v>
      </c>
      <c r="F4439" s="4" t="str">
        <f>HYPERLINK("http://141.218.60.56/~jnz1568/getInfo.php?workbook=10_05.xlsx&amp;sheet=A0&amp;row=4439&amp;col=6&amp;number=13200&amp;sourceID=14","13200")</f>
        <v>13200</v>
      </c>
      <c r="G4439" s="4" t="str">
        <f>HYPERLINK("http://141.218.60.56/~jnz1568/getInfo.php?workbook=10_05.xlsx&amp;sheet=A0&amp;row=4439&amp;col=7&amp;number=0&amp;sourceID=14","0")</f>
        <v>0</v>
      </c>
    </row>
    <row r="4440" spans="1:7">
      <c r="A4440" s="3">
        <v>10</v>
      </c>
      <c r="B4440" s="3">
        <v>5</v>
      </c>
      <c r="C4440" s="3">
        <v>121</v>
      </c>
      <c r="D4440" s="3">
        <v>95</v>
      </c>
      <c r="E4440" s="3">
        <v>-3058.11</v>
      </c>
      <c r="F4440" s="4" t="str">
        <f>HYPERLINK("http://141.218.60.56/~jnz1568/getInfo.php?workbook=10_05.xlsx&amp;sheet=A0&amp;row=4440&amp;col=6&amp;number=45500&amp;sourceID=14","45500")</f>
        <v>45500</v>
      </c>
      <c r="G4440" s="4" t="str">
        <f>HYPERLINK("http://141.218.60.56/~jnz1568/getInfo.php?workbook=10_05.xlsx&amp;sheet=A0&amp;row=4440&amp;col=7&amp;number=0&amp;sourceID=14","0")</f>
        <v>0</v>
      </c>
    </row>
    <row r="4441" spans="1:7">
      <c r="A4441" s="3">
        <v>10</v>
      </c>
      <c r="B4441" s="3">
        <v>5</v>
      </c>
      <c r="C4441" s="3">
        <v>122</v>
      </c>
      <c r="D4441" s="3">
        <v>95</v>
      </c>
      <c r="E4441" s="3">
        <v>-3023.894</v>
      </c>
      <c r="F4441" s="4" t="str">
        <f>HYPERLINK("http://141.218.60.56/~jnz1568/getInfo.php?workbook=10_05.xlsx&amp;sheet=A0&amp;row=4441&amp;col=6&amp;number=77200&amp;sourceID=14","77200")</f>
        <v>77200</v>
      </c>
      <c r="G4441" s="4" t="str">
        <f>HYPERLINK("http://141.218.60.56/~jnz1568/getInfo.php?workbook=10_05.xlsx&amp;sheet=A0&amp;row=4441&amp;col=7&amp;number=0&amp;sourceID=14","0")</f>
        <v>0</v>
      </c>
    </row>
    <row r="4442" spans="1:7">
      <c r="A4442" s="3">
        <v>10</v>
      </c>
      <c r="B4442" s="3">
        <v>5</v>
      </c>
      <c r="C4442" s="3">
        <v>123</v>
      </c>
      <c r="D4442" s="3">
        <v>95</v>
      </c>
      <c r="E4442" s="3">
        <v>-2997.248</v>
      </c>
      <c r="F4442" s="4" t="str">
        <f>HYPERLINK("http://141.218.60.56/~jnz1568/getInfo.php?workbook=10_05.xlsx&amp;sheet=A0&amp;row=4442&amp;col=6&amp;number=286000&amp;sourceID=14","286000")</f>
        <v>286000</v>
      </c>
      <c r="G4442" s="4" t="str">
        <f>HYPERLINK("http://141.218.60.56/~jnz1568/getInfo.php?workbook=10_05.xlsx&amp;sheet=A0&amp;row=4442&amp;col=7&amp;number=0&amp;sourceID=14","0")</f>
        <v>0</v>
      </c>
    </row>
    <row r="4443" spans="1:7">
      <c r="A4443" s="3">
        <v>10</v>
      </c>
      <c r="B4443" s="3">
        <v>5</v>
      </c>
      <c r="C4443" s="3">
        <v>125</v>
      </c>
      <c r="D4443" s="3">
        <v>95</v>
      </c>
      <c r="E4443" s="3">
        <v>-2898.724</v>
      </c>
      <c r="F4443" s="4" t="str">
        <f>HYPERLINK("http://141.218.60.56/~jnz1568/getInfo.php?workbook=10_05.xlsx&amp;sheet=A0&amp;row=4443&amp;col=6&amp;number=22200&amp;sourceID=14","22200")</f>
        <v>22200</v>
      </c>
      <c r="G4443" s="4" t="str">
        <f>HYPERLINK("http://141.218.60.56/~jnz1568/getInfo.php?workbook=10_05.xlsx&amp;sheet=A0&amp;row=4443&amp;col=7&amp;number=0&amp;sourceID=14","0")</f>
        <v>0</v>
      </c>
    </row>
    <row r="4444" spans="1:7">
      <c r="A4444" s="3">
        <v>10</v>
      </c>
      <c r="B4444" s="3">
        <v>5</v>
      </c>
      <c r="C4444" s="3">
        <v>126</v>
      </c>
      <c r="D4444" s="3">
        <v>95</v>
      </c>
      <c r="E4444" s="3">
        <v>-2875.8</v>
      </c>
      <c r="F4444" s="4" t="str">
        <f>HYPERLINK("http://141.218.60.56/~jnz1568/getInfo.php?workbook=10_05.xlsx&amp;sheet=A0&amp;row=4444&amp;col=6&amp;number=25300&amp;sourceID=14","25300")</f>
        <v>25300</v>
      </c>
      <c r="G4444" s="4" t="str">
        <f>HYPERLINK("http://141.218.60.56/~jnz1568/getInfo.php?workbook=10_05.xlsx&amp;sheet=A0&amp;row=4444&amp;col=7&amp;number=0&amp;sourceID=14","0")</f>
        <v>0</v>
      </c>
    </row>
    <row r="4445" spans="1:7">
      <c r="A4445" s="3">
        <v>10</v>
      </c>
      <c r="B4445" s="3">
        <v>5</v>
      </c>
      <c r="C4445" s="3">
        <v>129</v>
      </c>
      <c r="D4445" s="3">
        <v>95</v>
      </c>
      <c r="E4445" s="3">
        <v>2463.059</v>
      </c>
      <c r="F4445" s="4" t="str">
        <f>HYPERLINK("http://141.218.60.56/~jnz1568/getInfo.php?workbook=10_05.xlsx&amp;sheet=A0&amp;row=4445&amp;col=6&amp;number=68000&amp;sourceID=14","68000")</f>
        <v>68000</v>
      </c>
      <c r="G4445" s="4" t="str">
        <f>HYPERLINK("http://141.218.60.56/~jnz1568/getInfo.php?workbook=10_05.xlsx&amp;sheet=A0&amp;row=4445&amp;col=7&amp;number=0&amp;sourceID=14","0")</f>
        <v>0</v>
      </c>
    </row>
    <row r="4446" spans="1:7">
      <c r="A4446" s="3">
        <v>10</v>
      </c>
      <c r="B4446" s="3">
        <v>5</v>
      </c>
      <c r="C4446" s="3">
        <v>130</v>
      </c>
      <c r="D4446" s="3">
        <v>95</v>
      </c>
      <c r="E4446" s="3">
        <v>2463.059</v>
      </c>
      <c r="F4446" s="4" t="str">
        <f>HYPERLINK("http://141.218.60.56/~jnz1568/getInfo.php?workbook=10_05.xlsx&amp;sheet=A0&amp;row=4446&amp;col=6&amp;number=3920000&amp;sourceID=14","3920000")</f>
        <v>3920000</v>
      </c>
      <c r="G4446" s="4" t="str">
        <f>HYPERLINK("http://141.218.60.56/~jnz1568/getInfo.php?workbook=10_05.xlsx&amp;sheet=A0&amp;row=4446&amp;col=7&amp;number=0&amp;sourceID=14","0")</f>
        <v>0</v>
      </c>
    </row>
    <row r="4447" spans="1:7">
      <c r="A4447" s="3">
        <v>10</v>
      </c>
      <c r="B4447" s="3">
        <v>5</v>
      </c>
      <c r="C4447" s="3">
        <v>131</v>
      </c>
      <c r="D4447" s="3">
        <v>95</v>
      </c>
      <c r="E4447" s="3">
        <v>-2622.612</v>
      </c>
      <c r="F4447" s="4" t="str">
        <f>HYPERLINK("http://141.218.60.56/~jnz1568/getInfo.php?workbook=10_05.xlsx&amp;sheet=A0&amp;row=4447&amp;col=6&amp;number=20500000&amp;sourceID=14","20500000")</f>
        <v>20500000</v>
      </c>
      <c r="G4447" s="4" t="str">
        <f>HYPERLINK("http://141.218.60.56/~jnz1568/getInfo.php?workbook=10_05.xlsx&amp;sheet=A0&amp;row=4447&amp;col=7&amp;number=0&amp;sourceID=14","0")</f>
        <v>0</v>
      </c>
    </row>
    <row r="4448" spans="1:7">
      <c r="A4448" s="3">
        <v>10</v>
      </c>
      <c r="B4448" s="3">
        <v>5</v>
      </c>
      <c r="C4448" s="3">
        <v>132</v>
      </c>
      <c r="D4448" s="3">
        <v>95</v>
      </c>
      <c r="E4448" s="3">
        <v>-2612.54</v>
      </c>
      <c r="F4448" s="4" t="str">
        <f>HYPERLINK("http://141.218.60.56/~jnz1568/getInfo.php?workbook=10_05.xlsx&amp;sheet=A0&amp;row=4448&amp;col=6&amp;number=19500000&amp;sourceID=14","19500000")</f>
        <v>19500000</v>
      </c>
      <c r="G4448" s="4" t="str">
        <f>HYPERLINK("http://141.218.60.56/~jnz1568/getInfo.php?workbook=10_05.xlsx&amp;sheet=A0&amp;row=4448&amp;col=7&amp;number=0&amp;sourceID=14","0")</f>
        <v>0</v>
      </c>
    </row>
    <row r="4449" spans="1:7">
      <c r="A4449" s="3">
        <v>10</v>
      </c>
      <c r="B4449" s="3">
        <v>5</v>
      </c>
      <c r="C4449" s="3">
        <v>133</v>
      </c>
      <c r="D4449" s="3">
        <v>95</v>
      </c>
      <c r="E4449" s="3">
        <v>-2598.42</v>
      </c>
      <c r="F4449" s="4" t="str">
        <f>HYPERLINK("http://141.218.60.56/~jnz1568/getInfo.php?workbook=10_05.xlsx&amp;sheet=A0&amp;row=4449&amp;col=6&amp;number=14600000&amp;sourceID=14","14600000")</f>
        <v>14600000</v>
      </c>
      <c r="G4449" s="4" t="str">
        <f>HYPERLINK("http://141.218.60.56/~jnz1568/getInfo.php?workbook=10_05.xlsx&amp;sheet=A0&amp;row=4449&amp;col=7&amp;number=0&amp;sourceID=14","0")</f>
        <v>0</v>
      </c>
    </row>
    <row r="4450" spans="1:7">
      <c r="A4450" s="3">
        <v>10</v>
      </c>
      <c r="B4450" s="3">
        <v>5</v>
      </c>
      <c r="C4450" s="3">
        <v>140</v>
      </c>
      <c r="D4450" s="3">
        <v>95</v>
      </c>
      <c r="E4450" s="3">
        <v>-2308.247</v>
      </c>
      <c r="F4450" s="4" t="str">
        <f>HYPERLINK("http://141.218.60.56/~jnz1568/getInfo.php?workbook=10_05.xlsx&amp;sheet=A0&amp;row=4450&amp;col=6&amp;number=16700&amp;sourceID=14","16700")</f>
        <v>16700</v>
      </c>
      <c r="G4450" s="4" t="str">
        <f>HYPERLINK("http://141.218.60.56/~jnz1568/getInfo.php?workbook=10_05.xlsx&amp;sheet=A0&amp;row=4450&amp;col=7&amp;number=0&amp;sourceID=14","0")</f>
        <v>0</v>
      </c>
    </row>
    <row r="4451" spans="1:7">
      <c r="A4451" s="3">
        <v>10</v>
      </c>
      <c r="B4451" s="3">
        <v>5</v>
      </c>
      <c r="C4451" s="3">
        <v>150</v>
      </c>
      <c r="D4451" s="3">
        <v>95</v>
      </c>
      <c r="E4451" s="3">
        <v>-1989.657</v>
      </c>
      <c r="F4451" s="4" t="str">
        <f>HYPERLINK("http://141.218.60.56/~jnz1568/getInfo.php?workbook=10_05.xlsx&amp;sheet=A0&amp;row=4451&amp;col=6&amp;number=15.5&amp;sourceID=14","15.5")</f>
        <v>15.5</v>
      </c>
      <c r="G4451" s="4" t="str">
        <f>HYPERLINK("http://141.218.60.56/~jnz1568/getInfo.php?workbook=10_05.xlsx&amp;sheet=A0&amp;row=4451&amp;col=7&amp;number=0&amp;sourceID=14","0")</f>
        <v>0</v>
      </c>
    </row>
    <row r="4452" spans="1:7">
      <c r="A4452" s="3">
        <v>10</v>
      </c>
      <c r="B4452" s="3">
        <v>5</v>
      </c>
      <c r="C4452" s="3">
        <v>151</v>
      </c>
      <c r="D4452" s="3">
        <v>95</v>
      </c>
      <c r="E4452" s="3">
        <v>-1988.787</v>
      </c>
      <c r="F4452" s="4" t="str">
        <f>HYPERLINK("http://141.218.60.56/~jnz1568/getInfo.php?workbook=10_05.xlsx&amp;sheet=A0&amp;row=4452&amp;col=6&amp;number=74.9&amp;sourceID=14","74.9")</f>
        <v>74.9</v>
      </c>
      <c r="G4452" s="4" t="str">
        <f>HYPERLINK("http://141.218.60.56/~jnz1568/getInfo.php?workbook=10_05.xlsx&amp;sheet=A0&amp;row=4452&amp;col=7&amp;number=0&amp;sourceID=14","0")</f>
        <v>0</v>
      </c>
    </row>
    <row r="4453" spans="1:7">
      <c r="A4453" s="3">
        <v>10</v>
      </c>
      <c r="B4453" s="3">
        <v>5</v>
      </c>
      <c r="C4453" s="3">
        <v>156</v>
      </c>
      <c r="D4453" s="3">
        <v>95</v>
      </c>
      <c r="E4453" s="3">
        <v>-1838.915</v>
      </c>
      <c r="F4453" s="4" t="str">
        <f>HYPERLINK("http://141.218.60.56/~jnz1568/getInfo.php?workbook=10_05.xlsx&amp;sheet=A0&amp;row=4453&amp;col=6&amp;number=10500&amp;sourceID=14","10500")</f>
        <v>10500</v>
      </c>
      <c r="G4453" s="4" t="str">
        <f>HYPERLINK("http://141.218.60.56/~jnz1568/getInfo.php?workbook=10_05.xlsx&amp;sheet=A0&amp;row=4453&amp;col=7&amp;number=0&amp;sourceID=14","0")</f>
        <v>0</v>
      </c>
    </row>
    <row r="4454" spans="1:7">
      <c r="A4454" s="3">
        <v>10</v>
      </c>
      <c r="B4454" s="3">
        <v>5</v>
      </c>
      <c r="C4454" s="3">
        <v>157</v>
      </c>
      <c r="D4454" s="3">
        <v>95</v>
      </c>
      <c r="E4454" s="3">
        <v>-1832.882</v>
      </c>
      <c r="F4454" s="4" t="str">
        <f>HYPERLINK("http://141.218.60.56/~jnz1568/getInfo.php?workbook=10_05.xlsx&amp;sheet=A0&amp;row=4454&amp;col=6&amp;number=57500&amp;sourceID=14","57500")</f>
        <v>57500</v>
      </c>
      <c r="G4454" s="4" t="str">
        <f>HYPERLINK("http://141.218.60.56/~jnz1568/getInfo.php?workbook=10_05.xlsx&amp;sheet=A0&amp;row=4454&amp;col=7&amp;number=0&amp;sourceID=14","0")</f>
        <v>0</v>
      </c>
    </row>
    <row r="4455" spans="1:7">
      <c r="A4455" s="3">
        <v>10</v>
      </c>
      <c r="B4455" s="3">
        <v>5</v>
      </c>
      <c r="C4455" s="3">
        <v>160</v>
      </c>
      <c r="D4455" s="3">
        <v>95</v>
      </c>
      <c r="E4455" s="3">
        <v>-1791.315</v>
      </c>
      <c r="F4455" s="4" t="str">
        <f>HYPERLINK("http://141.218.60.56/~jnz1568/getInfo.php?workbook=10_05.xlsx&amp;sheet=A0&amp;row=4455&amp;col=6&amp;number=204&amp;sourceID=14","204")</f>
        <v>204</v>
      </c>
      <c r="G4455" s="4" t="str">
        <f>HYPERLINK("http://141.218.60.56/~jnz1568/getInfo.php?workbook=10_05.xlsx&amp;sheet=A0&amp;row=4455&amp;col=7&amp;number=0&amp;sourceID=14","0")</f>
        <v>0</v>
      </c>
    </row>
    <row r="4456" spans="1:7">
      <c r="A4456" s="3">
        <v>10</v>
      </c>
      <c r="B4456" s="3">
        <v>5</v>
      </c>
      <c r="C4456" s="3">
        <v>161</v>
      </c>
      <c r="D4456" s="3">
        <v>95</v>
      </c>
      <c r="E4456" s="3">
        <v>1690.334</v>
      </c>
      <c r="F4456" s="4" t="str">
        <f>HYPERLINK("http://141.218.60.56/~jnz1568/getInfo.php?workbook=10_05.xlsx&amp;sheet=A0&amp;row=4456&amp;col=6&amp;number=10800&amp;sourceID=14","10800")</f>
        <v>10800</v>
      </c>
      <c r="G4456" s="4" t="str">
        <f>HYPERLINK("http://141.218.60.56/~jnz1568/getInfo.php?workbook=10_05.xlsx&amp;sheet=A0&amp;row=4456&amp;col=7&amp;number=0&amp;sourceID=14","0")</f>
        <v>0</v>
      </c>
    </row>
    <row r="4457" spans="1:7">
      <c r="A4457" s="3">
        <v>10</v>
      </c>
      <c r="B4457" s="3">
        <v>5</v>
      </c>
      <c r="C4457" s="3">
        <v>162</v>
      </c>
      <c r="D4457" s="3">
        <v>95</v>
      </c>
      <c r="E4457" s="3">
        <v>1681.806</v>
      </c>
      <c r="F4457" s="4" t="str">
        <f>HYPERLINK("http://141.218.60.56/~jnz1568/getInfo.php?workbook=10_05.xlsx&amp;sheet=A0&amp;row=4457&amp;col=6&amp;number=27900&amp;sourceID=14","27900")</f>
        <v>27900</v>
      </c>
      <c r="G4457" s="4" t="str">
        <f>HYPERLINK("http://141.218.60.56/~jnz1568/getInfo.php?workbook=10_05.xlsx&amp;sheet=A0&amp;row=4457&amp;col=7&amp;number=0&amp;sourceID=14","0")</f>
        <v>0</v>
      </c>
    </row>
    <row r="4458" spans="1:7">
      <c r="A4458" s="3">
        <v>10</v>
      </c>
      <c r="B4458" s="3">
        <v>5</v>
      </c>
      <c r="C4458" s="3">
        <v>163</v>
      </c>
      <c r="D4458" s="3">
        <v>95</v>
      </c>
      <c r="E4458" s="3">
        <v>-1428.758</v>
      </c>
      <c r="F4458" s="4" t="str">
        <f>HYPERLINK("http://141.218.60.56/~jnz1568/getInfo.php?workbook=10_05.xlsx&amp;sheet=A0&amp;row=4458&amp;col=6&amp;number=48900&amp;sourceID=14","48900")</f>
        <v>48900</v>
      </c>
      <c r="G4458" s="4" t="str">
        <f>HYPERLINK("http://141.218.60.56/~jnz1568/getInfo.php?workbook=10_05.xlsx&amp;sheet=A0&amp;row=4458&amp;col=7&amp;number=0&amp;sourceID=14","0")</f>
        <v>0</v>
      </c>
    </row>
    <row r="4459" spans="1:7">
      <c r="A4459" s="3">
        <v>10</v>
      </c>
      <c r="B4459" s="3">
        <v>5</v>
      </c>
      <c r="C4459" s="3">
        <v>168</v>
      </c>
      <c r="D4459" s="3">
        <v>95</v>
      </c>
      <c r="E4459" s="3">
        <v>-731.744</v>
      </c>
      <c r="F4459" s="4" t="str">
        <f>HYPERLINK("http://141.218.60.56/~jnz1568/getInfo.php?workbook=10_05.xlsx&amp;sheet=A0&amp;row=4459&amp;col=6&amp;number=5670&amp;sourceID=14","5670")</f>
        <v>5670</v>
      </c>
      <c r="G4459" s="4" t="str">
        <f>HYPERLINK("http://141.218.60.56/~jnz1568/getInfo.php?workbook=10_05.xlsx&amp;sheet=A0&amp;row=4459&amp;col=7&amp;number=0&amp;sourceID=14","0")</f>
        <v>0</v>
      </c>
    </row>
    <row r="4460" spans="1:7">
      <c r="A4460" s="3">
        <v>10</v>
      </c>
      <c r="B4460" s="3">
        <v>5</v>
      </c>
      <c r="C4460" s="3">
        <v>169</v>
      </c>
      <c r="D4460" s="3">
        <v>95</v>
      </c>
      <c r="E4460" s="3">
        <v>-731.487</v>
      </c>
      <c r="F4460" s="4" t="str">
        <f>HYPERLINK("http://141.218.60.56/~jnz1568/getInfo.php?workbook=10_05.xlsx&amp;sheet=A0&amp;row=4460&amp;col=6&amp;number=1120&amp;sourceID=14","1120")</f>
        <v>1120</v>
      </c>
      <c r="G4460" s="4" t="str">
        <f>HYPERLINK("http://141.218.60.56/~jnz1568/getInfo.php?workbook=10_05.xlsx&amp;sheet=A0&amp;row=4460&amp;col=7&amp;number=0&amp;sourceID=14","0")</f>
        <v>0</v>
      </c>
    </row>
    <row r="4461" spans="1:7">
      <c r="A4461" s="3">
        <v>10</v>
      </c>
      <c r="B4461" s="3">
        <v>5</v>
      </c>
      <c r="C4461" s="3">
        <v>170</v>
      </c>
      <c r="D4461" s="3">
        <v>95</v>
      </c>
      <c r="E4461" s="3">
        <v>-684.562</v>
      </c>
      <c r="F4461" s="4" t="str">
        <f>HYPERLINK("http://141.218.60.56/~jnz1568/getInfo.php?workbook=10_05.xlsx&amp;sheet=A0&amp;row=4461&amp;col=6&amp;number=3020&amp;sourceID=14","3020")</f>
        <v>3020</v>
      </c>
      <c r="G4461" s="4" t="str">
        <f>HYPERLINK("http://141.218.60.56/~jnz1568/getInfo.php?workbook=10_05.xlsx&amp;sheet=A0&amp;row=4461&amp;col=7&amp;number=0&amp;sourceID=14","0")</f>
        <v>0</v>
      </c>
    </row>
    <row r="4462" spans="1:7">
      <c r="A4462" s="3">
        <v>10</v>
      </c>
      <c r="B4462" s="3">
        <v>5</v>
      </c>
      <c r="C4462" s="3">
        <v>171</v>
      </c>
      <c r="D4462" s="3">
        <v>95</v>
      </c>
      <c r="E4462" s="3">
        <v>-684.117</v>
      </c>
      <c r="F4462" s="4" t="str">
        <f>HYPERLINK("http://141.218.60.56/~jnz1568/getInfo.php?workbook=10_05.xlsx&amp;sheet=A0&amp;row=4462&amp;col=6&amp;number=7750&amp;sourceID=14","7750")</f>
        <v>7750</v>
      </c>
      <c r="G4462" s="4" t="str">
        <f>HYPERLINK("http://141.218.60.56/~jnz1568/getInfo.php?workbook=10_05.xlsx&amp;sheet=A0&amp;row=4462&amp;col=7&amp;number=0&amp;sourceID=14","0")</f>
        <v>0</v>
      </c>
    </row>
    <row r="4463" spans="1:7">
      <c r="A4463" s="3">
        <v>10</v>
      </c>
      <c r="B4463" s="3">
        <v>5</v>
      </c>
      <c r="C4463" s="3">
        <v>172</v>
      </c>
      <c r="D4463" s="3">
        <v>95</v>
      </c>
      <c r="E4463" s="3">
        <v>-675.111</v>
      </c>
      <c r="F4463" s="4" t="str">
        <f>HYPERLINK("http://141.218.60.56/~jnz1568/getInfo.php?workbook=10_05.xlsx&amp;sheet=A0&amp;row=4463&amp;col=6&amp;number=488&amp;sourceID=14","488")</f>
        <v>488</v>
      </c>
      <c r="G4463" s="4" t="str">
        <f>HYPERLINK("http://141.218.60.56/~jnz1568/getInfo.php?workbook=10_05.xlsx&amp;sheet=A0&amp;row=4463&amp;col=7&amp;number=0&amp;sourceID=14","0")</f>
        <v>0</v>
      </c>
    </row>
    <row r="4464" spans="1:7">
      <c r="A4464" s="3">
        <v>10</v>
      </c>
      <c r="B4464" s="3">
        <v>5</v>
      </c>
      <c r="C4464" s="3">
        <v>173</v>
      </c>
      <c r="D4464" s="3">
        <v>95</v>
      </c>
      <c r="E4464" s="3">
        <v>-675.006</v>
      </c>
      <c r="F4464" s="4" t="str">
        <f>HYPERLINK("http://141.218.60.56/~jnz1568/getInfo.php?workbook=10_05.xlsx&amp;sheet=A0&amp;row=4464&amp;col=6&amp;number=3680&amp;sourceID=14","3680")</f>
        <v>3680</v>
      </c>
      <c r="G4464" s="4" t="str">
        <f>HYPERLINK("http://141.218.60.56/~jnz1568/getInfo.php?workbook=10_05.xlsx&amp;sheet=A0&amp;row=4464&amp;col=7&amp;number=0&amp;sourceID=14","0")</f>
        <v>0</v>
      </c>
    </row>
    <row r="4465" spans="1:7">
      <c r="A4465" s="3">
        <v>10</v>
      </c>
      <c r="B4465" s="3">
        <v>5</v>
      </c>
      <c r="C4465" s="3">
        <v>174</v>
      </c>
      <c r="D4465" s="3">
        <v>95</v>
      </c>
      <c r="E4465" s="3">
        <v>-665.528</v>
      </c>
      <c r="F4465" s="4" t="str">
        <f>HYPERLINK("http://141.218.60.56/~jnz1568/getInfo.php?workbook=10_05.xlsx&amp;sheet=A0&amp;row=4465&amp;col=6&amp;number=717&amp;sourceID=14","717")</f>
        <v>717</v>
      </c>
      <c r="G4465" s="4" t="str">
        <f>HYPERLINK("http://141.218.60.56/~jnz1568/getInfo.php?workbook=10_05.xlsx&amp;sheet=A0&amp;row=4465&amp;col=7&amp;number=0&amp;sourceID=14","0")</f>
        <v>0</v>
      </c>
    </row>
    <row r="4466" spans="1:7">
      <c r="A4466" s="3">
        <v>10</v>
      </c>
      <c r="B4466" s="3">
        <v>5</v>
      </c>
      <c r="C4466" s="3">
        <v>99</v>
      </c>
      <c r="D4466" s="3">
        <v>96</v>
      </c>
      <c r="E4466" s="3">
        <v>-26759.482</v>
      </c>
      <c r="F4466" s="4" t="str">
        <f>HYPERLINK("http://141.218.60.56/~jnz1568/getInfo.php?workbook=10_05.xlsx&amp;sheet=A0&amp;row=4466&amp;col=6&amp;number=0.0368&amp;sourceID=14","0.0368")</f>
        <v>0.0368</v>
      </c>
      <c r="G4466" s="4" t="str">
        <f>HYPERLINK("http://141.218.60.56/~jnz1568/getInfo.php?workbook=10_05.xlsx&amp;sheet=A0&amp;row=4466&amp;col=7&amp;number=0&amp;sourceID=14","0")</f>
        <v>0</v>
      </c>
    </row>
    <row r="4467" spans="1:7">
      <c r="A4467" s="3">
        <v>10</v>
      </c>
      <c r="B4467" s="3">
        <v>5</v>
      </c>
      <c r="C4467" s="3">
        <v>100</v>
      </c>
      <c r="D4467" s="3">
        <v>96</v>
      </c>
      <c r="E4467" s="3">
        <v>-25000.046</v>
      </c>
      <c r="F4467" s="4" t="str">
        <f>HYPERLINK("http://141.218.60.56/~jnz1568/getInfo.php?workbook=10_05.xlsx&amp;sheet=A0&amp;row=4467&amp;col=6&amp;number=0.13&amp;sourceID=14","0.13")</f>
        <v>0.13</v>
      </c>
      <c r="G4467" s="4" t="str">
        <f>HYPERLINK("http://141.218.60.56/~jnz1568/getInfo.php?workbook=10_05.xlsx&amp;sheet=A0&amp;row=4467&amp;col=7&amp;number=0&amp;sourceID=14","0")</f>
        <v>0</v>
      </c>
    </row>
    <row r="4468" spans="1:7">
      <c r="A4468" s="3">
        <v>10</v>
      </c>
      <c r="B4468" s="3">
        <v>5</v>
      </c>
      <c r="C4468" s="3">
        <v>102</v>
      </c>
      <c r="D4468" s="3">
        <v>96</v>
      </c>
      <c r="E4468" s="3">
        <v>-22851.962</v>
      </c>
      <c r="F4468" s="4" t="str">
        <f>HYPERLINK("http://141.218.60.56/~jnz1568/getInfo.php?workbook=10_05.xlsx&amp;sheet=A0&amp;row=4468&amp;col=6&amp;number=0.234&amp;sourceID=14","0.234")</f>
        <v>0.234</v>
      </c>
      <c r="G4468" s="4" t="str">
        <f>HYPERLINK("http://141.218.60.56/~jnz1568/getInfo.php?workbook=10_05.xlsx&amp;sheet=A0&amp;row=4468&amp;col=7&amp;number=0&amp;sourceID=14","0")</f>
        <v>0</v>
      </c>
    </row>
    <row r="4469" spans="1:7">
      <c r="A4469" s="3">
        <v>10</v>
      </c>
      <c r="B4469" s="3">
        <v>5</v>
      </c>
      <c r="C4469" s="3">
        <v>106</v>
      </c>
      <c r="D4469" s="3">
        <v>96</v>
      </c>
      <c r="E4469" s="3">
        <v>-10161.588</v>
      </c>
      <c r="F4469" s="4" t="str">
        <f>HYPERLINK("http://141.218.60.56/~jnz1568/getInfo.php?workbook=10_05.xlsx&amp;sheet=A0&amp;row=4469&amp;col=6&amp;number=14.3&amp;sourceID=14","14.3")</f>
        <v>14.3</v>
      </c>
      <c r="G4469" s="4" t="str">
        <f>HYPERLINK("http://141.218.60.56/~jnz1568/getInfo.php?workbook=10_05.xlsx&amp;sheet=A0&amp;row=4469&amp;col=7&amp;number=0&amp;sourceID=14","0")</f>
        <v>0</v>
      </c>
    </row>
    <row r="4470" spans="1:7">
      <c r="A4470" s="3">
        <v>10</v>
      </c>
      <c r="B4470" s="3">
        <v>5</v>
      </c>
      <c r="C4470" s="3">
        <v>107</v>
      </c>
      <c r="D4470" s="3">
        <v>96</v>
      </c>
      <c r="E4470" s="3">
        <v>-9882.418</v>
      </c>
      <c r="F4470" s="4" t="str">
        <f>HYPERLINK("http://141.218.60.56/~jnz1568/getInfo.php?workbook=10_05.xlsx&amp;sheet=A0&amp;row=4470&amp;col=6&amp;number=5.94&amp;sourceID=14","5.94")</f>
        <v>5.94</v>
      </c>
      <c r="G4470" s="4" t="str">
        <f>HYPERLINK("http://141.218.60.56/~jnz1568/getInfo.php?workbook=10_05.xlsx&amp;sheet=A0&amp;row=4470&amp;col=7&amp;number=0&amp;sourceID=14","0")</f>
        <v>0</v>
      </c>
    </row>
    <row r="4471" spans="1:7">
      <c r="A4471" s="3">
        <v>10</v>
      </c>
      <c r="B4471" s="3">
        <v>5</v>
      </c>
      <c r="C4471" s="3">
        <v>108</v>
      </c>
      <c r="D4471" s="3">
        <v>96</v>
      </c>
      <c r="E4471" s="3">
        <v>-9608.012</v>
      </c>
      <c r="F4471" s="4" t="str">
        <f>HYPERLINK("http://141.218.60.56/~jnz1568/getInfo.php?workbook=10_05.xlsx&amp;sheet=A0&amp;row=4471&amp;col=6&amp;number=3.82&amp;sourceID=14","3.82")</f>
        <v>3.82</v>
      </c>
      <c r="G4471" s="4" t="str">
        <f>HYPERLINK("http://141.218.60.56/~jnz1568/getInfo.php?workbook=10_05.xlsx&amp;sheet=A0&amp;row=4471&amp;col=7&amp;number=0&amp;sourceID=14","0")</f>
        <v>0</v>
      </c>
    </row>
    <row r="4472" spans="1:7">
      <c r="A4472" s="3">
        <v>10</v>
      </c>
      <c r="B4472" s="3">
        <v>5</v>
      </c>
      <c r="C4472" s="3">
        <v>109</v>
      </c>
      <c r="D4472" s="3">
        <v>96</v>
      </c>
      <c r="E4472" s="3">
        <v>-9239.599</v>
      </c>
      <c r="F4472" s="4" t="str">
        <f>HYPERLINK("http://141.218.60.56/~jnz1568/getInfo.php?workbook=10_05.xlsx&amp;sheet=A0&amp;row=4472&amp;col=6&amp;number=342&amp;sourceID=14","342")</f>
        <v>342</v>
      </c>
      <c r="G4472" s="4" t="str">
        <f>HYPERLINK("http://141.218.60.56/~jnz1568/getInfo.php?workbook=10_05.xlsx&amp;sheet=A0&amp;row=4472&amp;col=7&amp;number=0&amp;sourceID=14","0")</f>
        <v>0</v>
      </c>
    </row>
    <row r="4473" spans="1:7">
      <c r="A4473" s="3">
        <v>10</v>
      </c>
      <c r="B4473" s="3">
        <v>5</v>
      </c>
      <c r="C4473" s="3">
        <v>115</v>
      </c>
      <c r="D4473" s="3">
        <v>96</v>
      </c>
      <c r="E4473" s="3">
        <v>-5463.595</v>
      </c>
      <c r="F4473" s="4" t="str">
        <f>HYPERLINK("http://141.218.60.56/~jnz1568/getInfo.php?workbook=10_05.xlsx&amp;sheet=A0&amp;row=4473&amp;col=6&amp;number=612000&amp;sourceID=14","612000")</f>
        <v>612000</v>
      </c>
      <c r="G4473" s="4" t="str">
        <f>HYPERLINK("http://141.218.60.56/~jnz1568/getInfo.php?workbook=10_05.xlsx&amp;sheet=A0&amp;row=4473&amp;col=7&amp;number=0&amp;sourceID=14","0")</f>
        <v>0</v>
      </c>
    </row>
    <row r="4474" spans="1:7">
      <c r="A4474" s="3">
        <v>10</v>
      </c>
      <c r="B4474" s="3">
        <v>5</v>
      </c>
      <c r="C4474" s="3">
        <v>116</v>
      </c>
      <c r="D4474" s="3">
        <v>96</v>
      </c>
      <c r="E4474" s="3">
        <v>-5210.242</v>
      </c>
      <c r="F4474" s="4" t="str">
        <f>HYPERLINK("http://141.218.60.56/~jnz1568/getInfo.php?workbook=10_05.xlsx&amp;sheet=A0&amp;row=4474&amp;col=6&amp;number=25700&amp;sourceID=14","25700")</f>
        <v>25700</v>
      </c>
      <c r="G4474" s="4" t="str">
        <f>HYPERLINK("http://141.218.60.56/~jnz1568/getInfo.php?workbook=10_05.xlsx&amp;sheet=A0&amp;row=4474&amp;col=7&amp;number=0&amp;sourceID=14","0")</f>
        <v>0</v>
      </c>
    </row>
    <row r="4475" spans="1:7">
      <c r="A4475" s="3">
        <v>10</v>
      </c>
      <c r="B4475" s="3">
        <v>5</v>
      </c>
      <c r="C4475" s="3">
        <v>117</v>
      </c>
      <c r="D4475" s="3">
        <v>96</v>
      </c>
      <c r="E4475" s="3">
        <v>-5150.136</v>
      </c>
      <c r="F4475" s="4" t="str">
        <f>HYPERLINK("http://141.218.60.56/~jnz1568/getInfo.php?workbook=10_05.xlsx&amp;sheet=A0&amp;row=4475&amp;col=6&amp;number=19.8&amp;sourceID=14","19.8")</f>
        <v>19.8</v>
      </c>
      <c r="G4475" s="4" t="str">
        <f>HYPERLINK("http://141.218.60.56/~jnz1568/getInfo.php?workbook=10_05.xlsx&amp;sheet=A0&amp;row=4475&amp;col=7&amp;number=0&amp;sourceID=14","0")</f>
        <v>0</v>
      </c>
    </row>
    <row r="4476" spans="1:7">
      <c r="A4476" s="3">
        <v>10</v>
      </c>
      <c r="B4476" s="3">
        <v>5</v>
      </c>
      <c r="C4476" s="3">
        <v>118</v>
      </c>
      <c r="D4476" s="3">
        <v>96</v>
      </c>
      <c r="E4476" s="3">
        <v>-5128.741</v>
      </c>
      <c r="F4476" s="4" t="str">
        <f>HYPERLINK("http://141.218.60.56/~jnz1568/getInfo.php?workbook=10_05.xlsx&amp;sheet=A0&amp;row=4476&amp;col=6&amp;number=2.35&amp;sourceID=14","2.35")</f>
        <v>2.35</v>
      </c>
      <c r="G4476" s="4" t="str">
        <f>HYPERLINK("http://141.218.60.56/~jnz1568/getInfo.php?workbook=10_05.xlsx&amp;sheet=A0&amp;row=4476&amp;col=7&amp;number=0&amp;sourceID=14","0")</f>
        <v>0</v>
      </c>
    </row>
    <row r="4477" spans="1:7">
      <c r="A4477" s="3">
        <v>10</v>
      </c>
      <c r="B4477" s="3">
        <v>5</v>
      </c>
      <c r="C4477" s="3">
        <v>121</v>
      </c>
      <c r="D4477" s="3">
        <v>96</v>
      </c>
      <c r="E4477" s="3">
        <v>-4360.537</v>
      </c>
      <c r="F4477" s="4" t="str">
        <f>HYPERLINK("http://141.218.60.56/~jnz1568/getInfo.php?workbook=10_05.xlsx&amp;sheet=A0&amp;row=4477&amp;col=6&amp;number=788&amp;sourceID=14","788")</f>
        <v>788</v>
      </c>
      <c r="G4477" s="4" t="str">
        <f>HYPERLINK("http://141.218.60.56/~jnz1568/getInfo.php?workbook=10_05.xlsx&amp;sheet=A0&amp;row=4477&amp;col=7&amp;number=0&amp;sourceID=14","0")</f>
        <v>0</v>
      </c>
    </row>
    <row r="4478" spans="1:7">
      <c r="A4478" s="3">
        <v>10</v>
      </c>
      <c r="B4478" s="3">
        <v>5</v>
      </c>
      <c r="C4478" s="3">
        <v>122</v>
      </c>
      <c r="D4478" s="3">
        <v>96</v>
      </c>
      <c r="E4478" s="3">
        <v>-4291.301</v>
      </c>
      <c r="F4478" s="4" t="str">
        <f>HYPERLINK("http://141.218.60.56/~jnz1568/getInfo.php?workbook=10_05.xlsx&amp;sheet=A0&amp;row=4478&amp;col=6&amp;number=181&amp;sourceID=14","181")</f>
        <v>181</v>
      </c>
      <c r="G4478" s="4" t="str">
        <f>HYPERLINK("http://141.218.60.56/~jnz1568/getInfo.php?workbook=10_05.xlsx&amp;sheet=A0&amp;row=4478&amp;col=7&amp;number=0&amp;sourceID=14","0")</f>
        <v>0</v>
      </c>
    </row>
    <row r="4479" spans="1:7">
      <c r="A4479" s="3">
        <v>10</v>
      </c>
      <c r="B4479" s="3">
        <v>5</v>
      </c>
      <c r="C4479" s="3">
        <v>123</v>
      </c>
      <c r="D4479" s="3">
        <v>96</v>
      </c>
      <c r="E4479" s="3">
        <v>-4237.835</v>
      </c>
      <c r="F4479" s="4" t="str">
        <f>HYPERLINK("http://141.218.60.56/~jnz1568/getInfo.php?workbook=10_05.xlsx&amp;sheet=A0&amp;row=4479&amp;col=6&amp;number=158&amp;sourceID=14","158")</f>
        <v>158</v>
      </c>
      <c r="G4479" s="4" t="str">
        <f>HYPERLINK("http://141.218.60.56/~jnz1568/getInfo.php?workbook=10_05.xlsx&amp;sheet=A0&amp;row=4479&amp;col=7&amp;number=0&amp;sourceID=14","0")</f>
        <v>0</v>
      </c>
    </row>
    <row r="4480" spans="1:7">
      <c r="A4480" s="3">
        <v>10</v>
      </c>
      <c r="B4480" s="3">
        <v>5</v>
      </c>
      <c r="C4480" s="3">
        <v>124</v>
      </c>
      <c r="D4480" s="3">
        <v>96</v>
      </c>
      <c r="E4480" s="3">
        <v>-4194.287</v>
      </c>
      <c r="F4480" s="4" t="str">
        <f>HYPERLINK("http://141.218.60.56/~jnz1568/getInfo.php?workbook=10_05.xlsx&amp;sheet=A0&amp;row=4480&amp;col=6&amp;number=148&amp;sourceID=14","148")</f>
        <v>148</v>
      </c>
      <c r="G4480" s="4" t="str">
        <f>HYPERLINK("http://141.218.60.56/~jnz1568/getInfo.php?workbook=10_05.xlsx&amp;sheet=A0&amp;row=4480&amp;col=7&amp;number=0&amp;sourceID=14","0")</f>
        <v>0</v>
      </c>
    </row>
    <row r="4481" spans="1:7">
      <c r="A4481" s="3">
        <v>10</v>
      </c>
      <c r="B4481" s="3">
        <v>5</v>
      </c>
      <c r="C4481" s="3">
        <v>126</v>
      </c>
      <c r="D4481" s="3">
        <v>96</v>
      </c>
      <c r="E4481" s="3">
        <v>-3999.048</v>
      </c>
      <c r="F4481" s="4" t="str">
        <f>HYPERLINK("http://141.218.60.56/~jnz1568/getInfo.php?workbook=10_05.xlsx&amp;sheet=A0&amp;row=4481&amp;col=6&amp;number=17700&amp;sourceID=14","17700")</f>
        <v>17700</v>
      </c>
      <c r="G4481" s="4" t="str">
        <f>HYPERLINK("http://141.218.60.56/~jnz1568/getInfo.php?workbook=10_05.xlsx&amp;sheet=A0&amp;row=4481&amp;col=7&amp;number=0&amp;sourceID=14","0")</f>
        <v>0</v>
      </c>
    </row>
    <row r="4482" spans="1:7">
      <c r="A4482" s="3">
        <v>10</v>
      </c>
      <c r="B4482" s="3">
        <v>5</v>
      </c>
      <c r="C4482" s="3">
        <v>129</v>
      </c>
      <c r="D4482" s="3">
        <v>96</v>
      </c>
      <c r="E4482" s="3">
        <v>3595.835</v>
      </c>
      <c r="F4482" s="4" t="str">
        <f>HYPERLINK("http://141.218.60.56/~jnz1568/getInfo.php?workbook=10_05.xlsx&amp;sheet=A0&amp;row=4482&amp;col=6&amp;number=3010000&amp;sourceID=14","3010000")</f>
        <v>3010000</v>
      </c>
      <c r="G4482" s="4" t="str">
        <f>HYPERLINK("http://141.218.60.56/~jnz1568/getInfo.php?workbook=10_05.xlsx&amp;sheet=A0&amp;row=4482&amp;col=7&amp;number=0&amp;sourceID=14","0")</f>
        <v>0</v>
      </c>
    </row>
    <row r="4483" spans="1:7">
      <c r="A4483" s="3">
        <v>10</v>
      </c>
      <c r="B4483" s="3">
        <v>5</v>
      </c>
      <c r="C4483" s="3">
        <v>130</v>
      </c>
      <c r="D4483" s="3">
        <v>96</v>
      </c>
      <c r="E4483" s="3">
        <v>3595.835</v>
      </c>
      <c r="F4483" s="4" t="str">
        <f>HYPERLINK("http://141.218.60.56/~jnz1568/getInfo.php?workbook=10_05.xlsx&amp;sheet=A0&amp;row=4483&amp;col=6&amp;number=119000&amp;sourceID=14","119000")</f>
        <v>119000</v>
      </c>
      <c r="G4483" s="4" t="str">
        <f>HYPERLINK("http://141.218.60.56/~jnz1568/getInfo.php?workbook=10_05.xlsx&amp;sheet=A0&amp;row=4483&amp;col=7&amp;number=0&amp;sourceID=14","0")</f>
        <v>0</v>
      </c>
    </row>
    <row r="4484" spans="1:7">
      <c r="A4484" s="3">
        <v>10</v>
      </c>
      <c r="B4484" s="3">
        <v>5</v>
      </c>
      <c r="C4484" s="3">
        <v>132</v>
      </c>
      <c r="D4484" s="3">
        <v>96</v>
      </c>
      <c r="E4484" s="3">
        <v>-3507.548</v>
      </c>
      <c r="F4484" s="4" t="str">
        <f>HYPERLINK("http://141.218.60.56/~jnz1568/getInfo.php?workbook=10_05.xlsx&amp;sheet=A0&amp;row=4484&amp;col=6&amp;number=4960&amp;sourceID=14","4960")</f>
        <v>4960</v>
      </c>
      <c r="G4484" s="4" t="str">
        <f>HYPERLINK("http://141.218.60.56/~jnz1568/getInfo.php?workbook=10_05.xlsx&amp;sheet=A0&amp;row=4484&amp;col=7&amp;number=0&amp;sourceID=14","0")</f>
        <v>0</v>
      </c>
    </row>
    <row r="4485" spans="1:7">
      <c r="A4485" s="3">
        <v>10</v>
      </c>
      <c r="B4485" s="3">
        <v>5</v>
      </c>
      <c r="C4485" s="3">
        <v>133</v>
      </c>
      <c r="D4485" s="3">
        <v>96</v>
      </c>
      <c r="E4485" s="3">
        <v>-3482.143</v>
      </c>
      <c r="F4485" s="4" t="str">
        <f>HYPERLINK("http://141.218.60.56/~jnz1568/getInfo.php?workbook=10_05.xlsx&amp;sheet=A0&amp;row=4485&amp;col=6&amp;number=27100&amp;sourceID=14","27100")</f>
        <v>27100</v>
      </c>
      <c r="G4485" s="4" t="str">
        <f>HYPERLINK("http://141.218.60.56/~jnz1568/getInfo.php?workbook=10_05.xlsx&amp;sheet=A0&amp;row=4485&amp;col=7&amp;number=0&amp;sourceID=14","0")</f>
        <v>0</v>
      </c>
    </row>
    <row r="4486" spans="1:7">
      <c r="A4486" s="3">
        <v>10</v>
      </c>
      <c r="B4486" s="3">
        <v>5</v>
      </c>
      <c r="C4486" s="3">
        <v>138</v>
      </c>
      <c r="D4486" s="3">
        <v>96</v>
      </c>
      <c r="E4486" s="3">
        <v>-3136.965</v>
      </c>
      <c r="F4486" s="4" t="str">
        <f>HYPERLINK("http://141.218.60.56/~jnz1568/getInfo.php?workbook=10_05.xlsx&amp;sheet=A0&amp;row=4486&amp;col=6&amp;number=82100000&amp;sourceID=14","82100000")</f>
        <v>82100000</v>
      </c>
      <c r="G4486" s="4" t="str">
        <f>HYPERLINK("http://141.218.60.56/~jnz1568/getInfo.php?workbook=10_05.xlsx&amp;sheet=A0&amp;row=4486&amp;col=7&amp;number=0&amp;sourceID=14","0")</f>
        <v>0</v>
      </c>
    </row>
    <row r="4487" spans="1:7">
      <c r="A4487" s="3">
        <v>10</v>
      </c>
      <c r="B4487" s="3">
        <v>5</v>
      </c>
      <c r="C4487" s="3">
        <v>150</v>
      </c>
      <c r="D4487" s="3">
        <v>96</v>
      </c>
      <c r="E4487" s="3">
        <v>-2469.567</v>
      </c>
      <c r="F4487" s="4" t="str">
        <f>HYPERLINK("http://141.218.60.56/~jnz1568/getInfo.php?workbook=10_05.xlsx&amp;sheet=A0&amp;row=4487&amp;col=6&amp;number=30700000&amp;sourceID=14","30700000")</f>
        <v>30700000</v>
      </c>
      <c r="G4487" s="4" t="str">
        <f>HYPERLINK("http://141.218.60.56/~jnz1568/getInfo.php?workbook=10_05.xlsx&amp;sheet=A0&amp;row=4487&amp;col=7&amp;number=0&amp;sourceID=14","0")</f>
        <v>0</v>
      </c>
    </row>
    <row r="4488" spans="1:7">
      <c r="A4488" s="3">
        <v>10</v>
      </c>
      <c r="B4488" s="3">
        <v>5</v>
      </c>
      <c r="C4488" s="3">
        <v>151</v>
      </c>
      <c r="D4488" s="3">
        <v>96</v>
      </c>
      <c r="E4488" s="3">
        <v>-2468.226</v>
      </c>
      <c r="F4488" s="4" t="str">
        <f>HYPERLINK("http://141.218.60.56/~jnz1568/getInfo.php?workbook=10_05.xlsx&amp;sheet=A0&amp;row=4488&amp;col=6&amp;number=5800000&amp;sourceID=14","5800000")</f>
        <v>5800000</v>
      </c>
      <c r="G4488" s="4" t="str">
        <f>HYPERLINK("http://141.218.60.56/~jnz1568/getInfo.php?workbook=10_05.xlsx&amp;sheet=A0&amp;row=4488&amp;col=7&amp;number=0&amp;sourceID=14","0")</f>
        <v>0</v>
      </c>
    </row>
    <row r="4489" spans="1:7">
      <c r="A4489" s="3">
        <v>10</v>
      </c>
      <c r="B4489" s="3">
        <v>5</v>
      </c>
      <c r="C4489" s="3">
        <v>154</v>
      </c>
      <c r="D4489" s="3">
        <v>96</v>
      </c>
      <c r="E4489" s="3">
        <v>2284.152</v>
      </c>
      <c r="F4489" s="4" t="str">
        <f>HYPERLINK("http://141.218.60.56/~jnz1568/getInfo.php?workbook=10_05.xlsx&amp;sheet=A0&amp;row=4489&amp;col=6&amp;number=461000&amp;sourceID=14","461000")</f>
        <v>461000</v>
      </c>
      <c r="G4489" s="4" t="str">
        <f>HYPERLINK("http://141.218.60.56/~jnz1568/getInfo.php?workbook=10_05.xlsx&amp;sheet=A0&amp;row=4489&amp;col=7&amp;number=0&amp;sourceID=14","0")</f>
        <v>0</v>
      </c>
    </row>
    <row r="4490" spans="1:7">
      <c r="A4490" s="3">
        <v>10</v>
      </c>
      <c r="B4490" s="3">
        <v>5</v>
      </c>
      <c r="C4490" s="3">
        <v>155</v>
      </c>
      <c r="D4490" s="3">
        <v>96</v>
      </c>
      <c r="E4490" s="3">
        <v>2284.152</v>
      </c>
      <c r="F4490" s="4" t="str">
        <f>HYPERLINK("http://141.218.60.56/~jnz1568/getInfo.php?workbook=10_05.xlsx&amp;sheet=A0&amp;row=4490&amp;col=6&amp;number=21500000&amp;sourceID=14","21500000")</f>
        <v>21500000</v>
      </c>
      <c r="G4490" s="4" t="str">
        <f>HYPERLINK("http://141.218.60.56/~jnz1568/getInfo.php?workbook=10_05.xlsx&amp;sheet=A0&amp;row=4490&amp;col=7&amp;number=0&amp;sourceID=14","0")</f>
        <v>0</v>
      </c>
    </row>
    <row r="4491" spans="1:7">
      <c r="A4491" s="3">
        <v>10</v>
      </c>
      <c r="B4491" s="3">
        <v>5</v>
      </c>
      <c r="C4491" s="3">
        <v>156</v>
      </c>
      <c r="D4491" s="3">
        <v>96</v>
      </c>
      <c r="E4491" s="3">
        <v>-2241.503</v>
      </c>
      <c r="F4491" s="4" t="str">
        <f>HYPERLINK("http://141.218.60.56/~jnz1568/getInfo.php?workbook=10_05.xlsx&amp;sheet=A0&amp;row=4491&amp;col=6&amp;number=504000&amp;sourceID=14","504000")</f>
        <v>504000</v>
      </c>
      <c r="G4491" s="4" t="str">
        <f>HYPERLINK("http://141.218.60.56/~jnz1568/getInfo.php?workbook=10_05.xlsx&amp;sheet=A0&amp;row=4491&amp;col=7&amp;number=0&amp;sourceID=14","0")</f>
        <v>0</v>
      </c>
    </row>
    <row r="4492" spans="1:7">
      <c r="A4492" s="3">
        <v>10</v>
      </c>
      <c r="B4492" s="3">
        <v>5</v>
      </c>
      <c r="C4492" s="3">
        <v>157</v>
      </c>
      <c r="D4492" s="3">
        <v>96</v>
      </c>
      <c r="E4492" s="3">
        <v>-2232.546</v>
      </c>
      <c r="F4492" s="4" t="str">
        <f>HYPERLINK("http://141.218.60.56/~jnz1568/getInfo.php?workbook=10_05.xlsx&amp;sheet=A0&amp;row=4492&amp;col=6&amp;number=164000&amp;sourceID=14","164000")</f>
        <v>164000</v>
      </c>
      <c r="G4492" s="4" t="str">
        <f>HYPERLINK("http://141.218.60.56/~jnz1568/getInfo.php?workbook=10_05.xlsx&amp;sheet=A0&amp;row=4492&amp;col=7&amp;number=0&amp;sourceID=14","0")</f>
        <v>0</v>
      </c>
    </row>
    <row r="4493" spans="1:7">
      <c r="A4493" s="3">
        <v>10</v>
      </c>
      <c r="B4493" s="3">
        <v>5</v>
      </c>
      <c r="C4493" s="3">
        <v>162</v>
      </c>
      <c r="D4493" s="3">
        <v>96</v>
      </c>
      <c r="E4493" s="3">
        <v>2142.708</v>
      </c>
      <c r="F4493" s="4" t="str">
        <f>HYPERLINK("http://141.218.60.56/~jnz1568/getInfo.php?workbook=10_05.xlsx&amp;sheet=A0&amp;row=4493&amp;col=6&amp;number=50900&amp;sourceID=14","50900")</f>
        <v>50900</v>
      </c>
      <c r="G4493" s="4" t="str">
        <f>HYPERLINK("http://141.218.60.56/~jnz1568/getInfo.php?workbook=10_05.xlsx&amp;sheet=A0&amp;row=4493&amp;col=7&amp;number=0&amp;sourceID=14","0")</f>
        <v>0</v>
      </c>
    </row>
    <row r="4494" spans="1:7">
      <c r="A4494" s="3">
        <v>10</v>
      </c>
      <c r="B4494" s="3">
        <v>5</v>
      </c>
      <c r="C4494" s="3">
        <v>168</v>
      </c>
      <c r="D4494" s="3">
        <v>96</v>
      </c>
      <c r="E4494" s="3">
        <v>-788.067</v>
      </c>
      <c r="F4494" s="4" t="str">
        <f>HYPERLINK("http://141.218.60.56/~jnz1568/getInfo.php?workbook=10_05.xlsx&amp;sheet=A0&amp;row=4494&amp;col=6&amp;number=16400000&amp;sourceID=14","16400000")</f>
        <v>16400000</v>
      </c>
      <c r="G4494" s="4" t="str">
        <f>HYPERLINK("http://141.218.60.56/~jnz1568/getInfo.php?workbook=10_05.xlsx&amp;sheet=A0&amp;row=4494&amp;col=7&amp;number=0&amp;sourceID=14","0")</f>
        <v>0</v>
      </c>
    </row>
    <row r="4495" spans="1:7">
      <c r="A4495" s="3">
        <v>10</v>
      </c>
      <c r="B4495" s="3">
        <v>5</v>
      </c>
      <c r="C4495" s="3">
        <v>169</v>
      </c>
      <c r="D4495" s="3">
        <v>96</v>
      </c>
      <c r="E4495" s="3">
        <v>-787.769</v>
      </c>
      <c r="F4495" s="4" t="str">
        <f>HYPERLINK("http://141.218.60.56/~jnz1568/getInfo.php?workbook=10_05.xlsx&amp;sheet=A0&amp;row=4495&amp;col=6&amp;number=343000000&amp;sourceID=14","343000000")</f>
        <v>343000000</v>
      </c>
      <c r="G4495" s="4" t="str">
        <f>HYPERLINK("http://141.218.60.56/~jnz1568/getInfo.php?workbook=10_05.xlsx&amp;sheet=A0&amp;row=4495&amp;col=7&amp;number=0&amp;sourceID=14","0")</f>
        <v>0</v>
      </c>
    </row>
    <row r="4496" spans="1:7">
      <c r="A4496" s="3">
        <v>10</v>
      </c>
      <c r="B4496" s="3">
        <v>5</v>
      </c>
      <c r="C4496" s="3">
        <v>171</v>
      </c>
      <c r="D4496" s="3">
        <v>96</v>
      </c>
      <c r="E4496" s="3">
        <v>-733.102</v>
      </c>
      <c r="F4496" s="4" t="str">
        <f>HYPERLINK("http://141.218.60.56/~jnz1568/getInfo.php?workbook=10_05.xlsx&amp;sheet=A0&amp;row=4496&amp;col=6&amp;number=65200&amp;sourceID=14","65200")</f>
        <v>65200</v>
      </c>
      <c r="G4496" s="4" t="str">
        <f>HYPERLINK("http://141.218.60.56/~jnz1568/getInfo.php?workbook=10_05.xlsx&amp;sheet=A0&amp;row=4496&amp;col=7&amp;number=0&amp;sourceID=14","0")</f>
        <v>0</v>
      </c>
    </row>
    <row r="4497" spans="1:7">
      <c r="A4497" s="3">
        <v>10</v>
      </c>
      <c r="B4497" s="3">
        <v>5</v>
      </c>
      <c r="C4497" s="3">
        <v>172</v>
      </c>
      <c r="D4497" s="3">
        <v>96</v>
      </c>
      <c r="E4497" s="3">
        <v>-722.769</v>
      </c>
      <c r="F4497" s="4" t="str">
        <f>HYPERLINK("http://141.218.60.56/~jnz1568/getInfo.php?workbook=10_05.xlsx&amp;sheet=A0&amp;row=4497&amp;col=6&amp;number=161000000&amp;sourceID=14","161000000")</f>
        <v>161000000</v>
      </c>
      <c r="G4497" s="4" t="str">
        <f>HYPERLINK("http://141.218.60.56/~jnz1568/getInfo.php?workbook=10_05.xlsx&amp;sheet=A0&amp;row=4497&amp;col=7&amp;number=0&amp;sourceID=14","0")</f>
        <v>0</v>
      </c>
    </row>
    <row r="4498" spans="1:7">
      <c r="A4498" s="3">
        <v>10</v>
      </c>
      <c r="B4498" s="3">
        <v>5</v>
      </c>
      <c r="C4498" s="3">
        <v>173</v>
      </c>
      <c r="D4498" s="3">
        <v>96</v>
      </c>
      <c r="E4498" s="3">
        <v>-722.649</v>
      </c>
      <c r="F4498" s="4" t="str">
        <f>HYPERLINK("http://141.218.60.56/~jnz1568/getInfo.php?workbook=10_05.xlsx&amp;sheet=A0&amp;row=4498&amp;col=6&amp;number=7820000&amp;sourceID=14","7820000")</f>
        <v>7820000</v>
      </c>
      <c r="G4498" s="4" t="str">
        <f>HYPERLINK("http://141.218.60.56/~jnz1568/getInfo.php?workbook=10_05.xlsx&amp;sheet=A0&amp;row=4498&amp;col=7&amp;number=0&amp;sourceID=14","0")</f>
        <v>0</v>
      </c>
    </row>
    <row r="4499" spans="1:7">
      <c r="A4499" s="3">
        <v>10</v>
      </c>
      <c r="B4499" s="3">
        <v>5</v>
      </c>
      <c r="C4499" s="3">
        <v>100</v>
      </c>
      <c r="D4499" s="3">
        <v>97</v>
      </c>
      <c r="E4499" s="3">
        <v>-27322.455</v>
      </c>
      <c r="F4499" s="4" t="str">
        <f>HYPERLINK("http://141.218.60.56/~jnz1568/getInfo.php?workbook=10_05.xlsx&amp;sheet=A0&amp;row=4499&amp;col=6&amp;number=0.0736&amp;sourceID=14","0.0736")</f>
        <v>0.0736</v>
      </c>
      <c r="G4499" s="4" t="str">
        <f>HYPERLINK("http://141.218.60.56/~jnz1568/getInfo.php?workbook=10_05.xlsx&amp;sheet=A0&amp;row=4499&amp;col=7&amp;number=0&amp;sourceID=14","0")</f>
        <v>0</v>
      </c>
    </row>
    <row r="4500" spans="1:7">
      <c r="A4500" s="3">
        <v>10</v>
      </c>
      <c r="B4500" s="3">
        <v>5</v>
      </c>
      <c r="C4500" s="3">
        <v>102</v>
      </c>
      <c r="D4500" s="3">
        <v>97</v>
      </c>
      <c r="E4500" s="3">
        <v>-24777.053</v>
      </c>
      <c r="F4500" s="4" t="str">
        <f>HYPERLINK("http://141.218.60.56/~jnz1568/getInfo.php?workbook=10_05.xlsx&amp;sheet=A0&amp;row=4500&amp;col=6&amp;number=0.175&amp;sourceID=14","0.175")</f>
        <v>0.175</v>
      </c>
      <c r="G4500" s="4" t="str">
        <f>HYPERLINK("http://141.218.60.56/~jnz1568/getInfo.php?workbook=10_05.xlsx&amp;sheet=A0&amp;row=4500&amp;col=7&amp;number=0&amp;sourceID=14","0")</f>
        <v>0</v>
      </c>
    </row>
    <row r="4501" spans="1:7">
      <c r="A4501" s="3">
        <v>10</v>
      </c>
      <c r="B4501" s="3">
        <v>5</v>
      </c>
      <c r="C4501" s="3">
        <v>104</v>
      </c>
      <c r="D4501" s="3">
        <v>97</v>
      </c>
      <c r="E4501" s="3">
        <v>-22060.486</v>
      </c>
      <c r="F4501" s="4" t="str">
        <f>HYPERLINK("http://141.218.60.56/~jnz1568/getInfo.php?workbook=10_05.xlsx&amp;sheet=A0&amp;row=4501&amp;col=6&amp;number=0.728&amp;sourceID=14","0.728")</f>
        <v>0.728</v>
      </c>
      <c r="G4501" s="4" t="str">
        <f>HYPERLINK("http://141.218.60.56/~jnz1568/getInfo.php?workbook=10_05.xlsx&amp;sheet=A0&amp;row=4501&amp;col=7&amp;number=0&amp;sourceID=14","0")</f>
        <v>0</v>
      </c>
    </row>
    <row r="4502" spans="1:7">
      <c r="A4502" s="3">
        <v>10</v>
      </c>
      <c r="B4502" s="3">
        <v>5</v>
      </c>
      <c r="C4502" s="3">
        <v>107</v>
      </c>
      <c r="D4502" s="3">
        <v>97</v>
      </c>
      <c r="E4502" s="3">
        <v>-10226.013</v>
      </c>
      <c r="F4502" s="4" t="str">
        <f>HYPERLINK("http://141.218.60.56/~jnz1568/getInfo.php?workbook=10_05.xlsx&amp;sheet=A0&amp;row=4502&amp;col=6&amp;number=113&amp;sourceID=14","113")</f>
        <v>113</v>
      </c>
      <c r="G4502" s="4" t="str">
        <f>HYPERLINK("http://141.218.60.56/~jnz1568/getInfo.php?workbook=10_05.xlsx&amp;sheet=A0&amp;row=4502&amp;col=7&amp;number=0&amp;sourceID=14","0")</f>
        <v>0</v>
      </c>
    </row>
    <row r="4503" spans="1:7">
      <c r="A4503" s="3">
        <v>10</v>
      </c>
      <c r="B4503" s="3">
        <v>5</v>
      </c>
      <c r="C4503" s="3">
        <v>108</v>
      </c>
      <c r="D4503" s="3">
        <v>97</v>
      </c>
      <c r="E4503" s="3">
        <v>-9932.478</v>
      </c>
      <c r="F4503" s="4" t="str">
        <f>HYPERLINK("http://141.218.60.56/~jnz1568/getInfo.php?workbook=10_05.xlsx&amp;sheet=A0&amp;row=4503&amp;col=6&amp;number=87.1&amp;sourceID=14","87.1")</f>
        <v>87.1</v>
      </c>
      <c r="G4503" s="4" t="str">
        <f>HYPERLINK("http://141.218.60.56/~jnz1568/getInfo.php?workbook=10_05.xlsx&amp;sheet=A0&amp;row=4503&amp;col=7&amp;number=0&amp;sourceID=14","0")</f>
        <v>0</v>
      </c>
    </row>
    <row r="4504" spans="1:7">
      <c r="A4504" s="3">
        <v>10</v>
      </c>
      <c r="B4504" s="3">
        <v>5</v>
      </c>
      <c r="C4504" s="3">
        <v>115</v>
      </c>
      <c r="D4504" s="3">
        <v>97</v>
      </c>
      <c r="E4504" s="3">
        <v>-5567.009</v>
      </c>
      <c r="F4504" s="4" t="str">
        <f>HYPERLINK("http://141.218.60.56/~jnz1568/getInfo.php?workbook=10_05.xlsx&amp;sheet=A0&amp;row=4504&amp;col=6&amp;number=30800&amp;sourceID=14","30800")</f>
        <v>30800</v>
      </c>
      <c r="G4504" s="4" t="str">
        <f>HYPERLINK("http://141.218.60.56/~jnz1568/getInfo.php?workbook=10_05.xlsx&amp;sheet=A0&amp;row=4504&amp;col=7&amp;number=0&amp;sourceID=14","0")</f>
        <v>0</v>
      </c>
    </row>
    <row r="4505" spans="1:7">
      <c r="A4505" s="3">
        <v>10</v>
      </c>
      <c r="B4505" s="3">
        <v>5</v>
      </c>
      <c r="C4505" s="3">
        <v>116</v>
      </c>
      <c r="D4505" s="3">
        <v>97</v>
      </c>
      <c r="E4505" s="3">
        <v>-5304.205</v>
      </c>
      <c r="F4505" s="4" t="str">
        <f>HYPERLINK("http://141.218.60.56/~jnz1568/getInfo.php?workbook=10_05.xlsx&amp;sheet=A0&amp;row=4505&amp;col=6&amp;number=730000&amp;sourceID=14","730000")</f>
        <v>730000</v>
      </c>
      <c r="G4505" s="4" t="str">
        <f>HYPERLINK("http://141.218.60.56/~jnz1568/getInfo.php?workbook=10_05.xlsx&amp;sheet=A0&amp;row=4505&amp;col=7&amp;number=0&amp;sourceID=14","0")</f>
        <v>0</v>
      </c>
    </row>
    <row r="4506" spans="1:7">
      <c r="A4506" s="3">
        <v>10</v>
      </c>
      <c r="B4506" s="3">
        <v>5</v>
      </c>
      <c r="C4506" s="3">
        <v>117</v>
      </c>
      <c r="D4506" s="3">
        <v>97</v>
      </c>
      <c r="E4506" s="3">
        <v>-5241.924</v>
      </c>
      <c r="F4506" s="4" t="str">
        <f>HYPERLINK("http://141.218.60.56/~jnz1568/getInfo.php?workbook=10_05.xlsx&amp;sheet=A0&amp;row=4506&amp;col=6&amp;number=0.0676&amp;sourceID=14","0.0676")</f>
        <v>0.0676</v>
      </c>
      <c r="G4506" s="4" t="str">
        <f>HYPERLINK("http://141.218.60.56/~jnz1568/getInfo.php?workbook=10_05.xlsx&amp;sheet=A0&amp;row=4506&amp;col=7&amp;number=0&amp;sourceID=14","0")</f>
        <v>0</v>
      </c>
    </row>
    <row r="4507" spans="1:7">
      <c r="A4507" s="3">
        <v>10</v>
      </c>
      <c r="B4507" s="3">
        <v>5</v>
      </c>
      <c r="C4507" s="3">
        <v>122</v>
      </c>
      <c r="D4507" s="3">
        <v>97</v>
      </c>
      <c r="E4507" s="3">
        <v>-4354.84</v>
      </c>
      <c r="F4507" s="4" t="str">
        <f>HYPERLINK("http://141.218.60.56/~jnz1568/getInfo.php?workbook=10_05.xlsx&amp;sheet=A0&amp;row=4507&amp;col=6&amp;number=2240&amp;sourceID=14","2240")</f>
        <v>2240</v>
      </c>
      <c r="G4507" s="4" t="str">
        <f>HYPERLINK("http://141.218.60.56/~jnz1568/getInfo.php?workbook=10_05.xlsx&amp;sheet=A0&amp;row=4507&amp;col=7&amp;number=0&amp;sourceID=14","0")</f>
        <v>0</v>
      </c>
    </row>
    <row r="4508" spans="1:7">
      <c r="A4508" s="3">
        <v>10</v>
      </c>
      <c r="B4508" s="3">
        <v>5</v>
      </c>
      <c r="C4508" s="3">
        <v>124</v>
      </c>
      <c r="D4508" s="3">
        <v>97</v>
      </c>
      <c r="E4508" s="3">
        <v>-4254.965</v>
      </c>
      <c r="F4508" s="4" t="str">
        <f>HYPERLINK("http://141.218.60.56/~jnz1568/getInfo.php?workbook=10_05.xlsx&amp;sheet=A0&amp;row=4508&amp;col=6&amp;number=3100&amp;sourceID=14","3100")</f>
        <v>3100</v>
      </c>
      <c r="G4508" s="4" t="str">
        <f>HYPERLINK("http://141.218.60.56/~jnz1568/getInfo.php?workbook=10_05.xlsx&amp;sheet=A0&amp;row=4508&amp;col=7&amp;number=0&amp;sourceID=14","0")</f>
        <v>0</v>
      </c>
    </row>
    <row r="4509" spans="1:7">
      <c r="A4509" s="3">
        <v>10</v>
      </c>
      <c r="B4509" s="3">
        <v>5</v>
      </c>
      <c r="C4509" s="3">
        <v>130</v>
      </c>
      <c r="D4509" s="3">
        <v>97</v>
      </c>
      <c r="E4509" s="3">
        <v>3640.342</v>
      </c>
      <c r="F4509" s="4" t="str">
        <f>HYPERLINK("http://141.218.60.56/~jnz1568/getInfo.php?workbook=10_05.xlsx&amp;sheet=A0&amp;row=4509&amp;col=6&amp;number=2440000&amp;sourceID=14","2440000")</f>
        <v>2440000</v>
      </c>
      <c r="G4509" s="4" t="str">
        <f>HYPERLINK("http://141.218.60.56/~jnz1568/getInfo.php?workbook=10_05.xlsx&amp;sheet=A0&amp;row=4509&amp;col=7&amp;number=0&amp;sourceID=14","0")</f>
        <v>0</v>
      </c>
    </row>
    <row r="4510" spans="1:7">
      <c r="A4510" s="3">
        <v>10</v>
      </c>
      <c r="B4510" s="3">
        <v>5</v>
      </c>
      <c r="C4510" s="3">
        <v>133</v>
      </c>
      <c r="D4510" s="3">
        <v>97</v>
      </c>
      <c r="E4510" s="3">
        <v>-3523.863</v>
      </c>
      <c r="F4510" s="4" t="str">
        <f>HYPERLINK("http://141.218.60.56/~jnz1568/getInfo.php?workbook=10_05.xlsx&amp;sheet=A0&amp;row=4510&amp;col=6&amp;number=542000&amp;sourceID=14","542000")</f>
        <v>542000</v>
      </c>
      <c r="G4510" s="4" t="str">
        <f>HYPERLINK("http://141.218.60.56/~jnz1568/getInfo.php?workbook=10_05.xlsx&amp;sheet=A0&amp;row=4510&amp;col=7&amp;number=0&amp;sourceID=14","0")</f>
        <v>0</v>
      </c>
    </row>
    <row r="4511" spans="1:7">
      <c r="A4511" s="3">
        <v>10</v>
      </c>
      <c r="B4511" s="3">
        <v>5</v>
      </c>
      <c r="C4511" s="3">
        <v>138</v>
      </c>
      <c r="D4511" s="3">
        <v>97</v>
      </c>
      <c r="E4511" s="3">
        <v>-3170.784</v>
      </c>
      <c r="F4511" s="4" t="str">
        <f>HYPERLINK("http://141.218.60.56/~jnz1568/getInfo.php?workbook=10_05.xlsx&amp;sheet=A0&amp;row=4511&amp;col=6&amp;number=2510000&amp;sourceID=14","2510000")</f>
        <v>2510000</v>
      </c>
      <c r="G4511" s="4" t="str">
        <f>HYPERLINK("http://141.218.60.56/~jnz1568/getInfo.php?workbook=10_05.xlsx&amp;sheet=A0&amp;row=4511&amp;col=7&amp;number=0&amp;sourceID=14","0")</f>
        <v>0</v>
      </c>
    </row>
    <row r="4512" spans="1:7">
      <c r="A4512" s="3">
        <v>10</v>
      </c>
      <c r="B4512" s="3">
        <v>5</v>
      </c>
      <c r="C4512" s="3">
        <v>139</v>
      </c>
      <c r="D4512" s="3">
        <v>97</v>
      </c>
      <c r="E4512" s="3">
        <v>-3158.665</v>
      </c>
      <c r="F4512" s="4" t="str">
        <f>HYPERLINK("http://141.218.60.56/~jnz1568/getInfo.php?workbook=10_05.xlsx&amp;sheet=A0&amp;row=4512&amp;col=6&amp;number=83100000&amp;sourceID=14","83100000")</f>
        <v>83100000</v>
      </c>
      <c r="G4512" s="4" t="str">
        <f>HYPERLINK("http://141.218.60.56/~jnz1568/getInfo.php?workbook=10_05.xlsx&amp;sheet=A0&amp;row=4512&amp;col=7&amp;number=0&amp;sourceID=14","0")</f>
        <v>0</v>
      </c>
    </row>
    <row r="4513" spans="1:7">
      <c r="A4513" s="3">
        <v>10</v>
      </c>
      <c r="B4513" s="3">
        <v>5</v>
      </c>
      <c r="C4513" s="3">
        <v>151</v>
      </c>
      <c r="D4513" s="3">
        <v>97</v>
      </c>
      <c r="E4513" s="3">
        <v>-2489.115</v>
      </c>
      <c r="F4513" s="4" t="str">
        <f>HYPERLINK("http://141.218.60.56/~jnz1568/getInfo.php?workbook=10_05.xlsx&amp;sheet=A0&amp;row=4513&amp;col=6&amp;number=19300000&amp;sourceID=14","19300000")</f>
        <v>19300000</v>
      </c>
      <c r="G4513" s="4" t="str">
        <f>HYPERLINK("http://141.218.60.56/~jnz1568/getInfo.php?workbook=10_05.xlsx&amp;sheet=A0&amp;row=4513&amp;col=7&amp;number=0&amp;sourceID=14","0")</f>
        <v>0</v>
      </c>
    </row>
    <row r="4514" spans="1:7">
      <c r="A4514" s="3">
        <v>10</v>
      </c>
      <c r="B4514" s="3">
        <v>5</v>
      </c>
      <c r="C4514" s="3">
        <v>154</v>
      </c>
      <c r="D4514" s="3">
        <v>97</v>
      </c>
      <c r="E4514" s="3">
        <v>2302.03</v>
      </c>
      <c r="F4514" s="4" t="str">
        <f>HYPERLINK("http://141.218.60.56/~jnz1568/getInfo.php?workbook=10_05.xlsx&amp;sheet=A0&amp;row=4514&amp;col=6&amp;number=26800000&amp;sourceID=14","26800000")</f>
        <v>26800000</v>
      </c>
      <c r="G4514" s="4" t="str">
        <f>HYPERLINK("http://141.218.60.56/~jnz1568/getInfo.php?workbook=10_05.xlsx&amp;sheet=A0&amp;row=4514&amp;col=7&amp;number=0&amp;sourceID=14","0")</f>
        <v>0</v>
      </c>
    </row>
    <row r="4515" spans="1:7">
      <c r="A4515" s="3">
        <v>10</v>
      </c>
      <c r="B4515" s="3">
        <v>5</v>
      </c>
      <c r="C4515" s="3">
        <v>155</v>
      </c>
      <c r="D4515" s="3">
        <v>97</v>
      </c>
      <c r="E4515" s="3">
        <v>2302.03</v>
      </c>
      <c r="F4515" s="4" t="str">
        <f>HYPERLINK("http://141.218.60.56/~jnz1568/getInfo.php?workbook=10_05.xlsx&amp;sheet=A0&amp;row=4515&amp;col=6&amp;number=13300000&amp;sourceID=14","13300000")</f>
        <v>13300000</v>
      </c>
      <c r="G4515" s="4" t="str">
        <f>HYPERLINK("http://141.218.60.56/~jnz1568/getInfo.php?workbook=10_05.xlsx&amp;sheet=A0&amp;row=4515&amp;col=7&amp;number=0&amp;sourceID=14","0")</f>
        <v>0</v>
      </c>
    </row>
    <row r="4516" spans="1:7">
      <c r="A4516" s="3">
        <v>10</v>
      </c>
      <c r="B4516" s="3">
        <v>5</v>
      </c>
      <c r="C4516" s="3">
        <v>157</v>
      </c>
      <c r="D4516" s="3">
        <v>97</v>
      </c>
      <c r="E4516" s="3">
        <v>-2249.622</v>
      </c>
      <c r="F4516" s="4" t="str">
        <f>HYPERLINK("http://141.218.60.56/~jnz1568/getInfo.php?workbook=10_05.xlsx&amp;sheet=A0&amp;row=4516&amp;col=6&amp;number=855000&amp;sourceID=14","855000")</f>
        <v>855000</v>
      </c>
      <c r="G4516" s="4" t="str">
        <f>HYPERLINK("http://141.218.60.56/~jnz1568/getInfo.php?workbook=10_05.xlsx&amp;sheet=A0&amp;row=4516&amp;col=7&amp;number=0&amp;sourceID=14","0")</f>
        <v>0</v>
      </c>
    </row>
    <row r="4517" spans="1:7">
      <c r="A4517" s="3">
        <v>10</v>
      </c>
      <c r="B4517" s="3">
        <v>5</v>
      </c>
      <c r="C4517" s="3">
        <v>168</v>
      </c>
      <c r="D4517" s="3">
        <v>97</v>
      </c>
      <c r="E4517" s="3">
        <v>-790.184</v>
      </c>
      <c r="F4517" s="4" t="str">
        <f>HYPERLINK("http://141.218.60.56/~jnz1568/getInfo.php?workbook=10_05.xlsx&amp;sheet=A0&amp;row=4517&amp;col=6&amp;number=325000000&amp;sourceID=14","325000000")</f>
        <v>325000000</v>
      </c>
      <c r="G4517" s="4" t="str">
        <f>HYPERLINK("http://141.218.60.56/~jnz1568/getInfo.php?workbook=10_05.xlsx&amp;sheet=A0&amp;row=4517&amp;col=7&amp;number=0&amp;sourceID=14","0")</f>
        <v>0</v>
      </c>
    </row>
    <row r="4518" spans="1:7">
      <c r="A4518" s="3">
        <v>10</v>
      </c>
      <c r="B4518" s="3">
        <v>5</v>
      </c>
      <c r="C4518" s="3">
        <v>173</v>
      </c>
      <c r="D4518" s="3">
        <v>97</v>
      </c>
      <c r="E4518" s="3">
        <v>-724.429</v>
      </c>
      <c r="F4518" s="4" t="str">
        <f>HYPERLINK("http://141.218.60.56/~jnz1568/getInfo.php?workbook=10_05.xlsx&amp;sheet=A0&amp;row=4518&amp;col=6&amp;number=152000000&amp;sourceID=14","152000000")</f>
        <v>152000000</v>
      </c>
      <c r="G4518" s="4" t="str">
        <f>HYPERLINK("http://141.218.60.56/~jnz1568/getInfo.php?workbook=10_05.xlsx&amp;sheet=A0&amp;row=4518&amp;col=7&amp;number=0&amp;sourceID=14","0")</f>
        <v>0</v>
      </c>
    </row>
    <row r="4519" spans="1:7">
      <c r="A4519" s="3">
        <v>10</v>
      </c>
      <c r="B4519" s="3">
        <v>5</v>
      </c>
      <c r="C4519" s="3">
        <v>99</v>
      </c>
      <c r="D4519" s="3">
        <v>98</v>
      </c>
      <c r="E4519" s="3">
        <v>-900902.559</v>
      </c>
      <c r="F4519" s="4" t="str">
        <f>HYPERLINK("http://141.218.60.56/~jnz1568/getInfo.php?workbook=10_05.xlsx&amp;sheet=A0&amp;row=4519&amp;col=6&amp;number=0.000305&amp;sourceID=14","0.000305")</f>
        <v>0.000305</v>
      </c>
      <c r="G4519" s="4" t="str">
        <f>HYPERLINK("http://141.218.60.56/~jnz1568/getInfo.php?workbook=10_05.xlsx&amp;sheet=A0&amp;row=4519&amp;col=7&amp;number=0&amp;sourceID=14","0")</f>
        <v>0</v>
      </c>
    </row>
    <row r="4520" spans="1:7">
      <c r="A4520" s="3">
        <v>10</v>
      </c>
      <c r="B4520" s="3">
        <v>5</v>
      </c>
      <c r="C4520" s="3">
        <v>105</v>
      </c>
      <c r="D4520" s="3">
        <v>98</v>
      </c>
      <c r="E4520" s="3">
        <v>-16420.391</v>
      </c>
      <c r="F4520" s="4" t="str">
        <f>HYPERLINK("http://141.218.60.56/~jnz1568/getInfo.php?workbook=10_05.xlsx&amp;sheet=A0&amp;row=4520&amp;col=6&amp;number=199000&amp;sourceID=14","199000")</f>
        <v>199000</v>
      </c>
      <c r="G4520" s="4" t="str">
        <f>HYPERLINK("http://141.218.60.56/~jnz1568/getInfo.php?workbook=10_05.xlsx&amp;sheet=A0&amp;row=4520&amp;col=7&amp;number=0&amp;sourceID=14","0")</f>
        <v>0</v>
      </c>
    </row>
    <row r="4521" spans="1:7">
      <c r="A4521" s="3">
        <v>10</v>
      </c>
      <c r="B4521" s="3">
        <v>5</v>
      </c>
      <c r="C4521" s="3">
        <v>106</v>
      </c>
      <c r="D4521" s="3">
        <v>98</v>
      </c>
      <c r="E4521" s="3">
        <v>-16090.134</v>
      </c>
      <c r="F4521" s="4" t="str">
        <f>HYPERLINK("http://141.218.60.56/~jnz1568/getInfo.php?workbook=10_05.xlsx&amp;sheet=A0&amp;row=4521&amp;col=6&amp;number=105000&amp;sourceID=14","105000")</f>
        <v>105000</v>
      </c>
      <c r="G4521" s="4" t="str">
        <f>HYPERLINK("http://141.218.60.56/~jnz1568/getInfo.php?workbook=10_05.xlsx&amp;sheet=A0&amp;row=4521&amp;col=7&amp;number=0&amp;sourceID=14","0")</f>
        <v>0</v>
      </c>
    </row>
    <row r="4522" spans="1:7">
      <c r="A4522" s="3">
        <v>10</v>
      </c>
      <c r="B4522" s="3">
        <v>5</v>
      </c>
      <c r="C4522" s="3">
        <v>109</v>
      </c>
      <c r="D4522" s="3">
        <v>98</v>
      </c>
      <c r="E4522" s="3">
        <v>-13894.704</v>
      </c>
      <c r="F4522" s="4" t="str">
        <f>HYPERLINK("http://141.218.60.56/~jnz1568/getInfo.php?workbook=10_05.xlsx&amp;sheet=A0&amp;row=4522&amp;col=6&amp;number=18200&amp;sourceID=14","18200")</f>
        <v>18200</v>
      </c>
      <c r="G4522" s="4" t="str">
        <f>HYPERLINK("http://141.218.60.56/~jnz1568/getInfo.php?workbook=10_05.xlsx&amp;sheet=A0&amp;row=4522&amp;col=7&amp;number=0&amp;sourceID=14","0")</f>
        <v>0</v>
      </c>
    </row>
    <row r="4523" spans="1:7">
      <c r="A4523" s="3">
        <v>10</v>
      </c>
      <c r="B4523" s="3">
        <v>5</v>
      </c>
      <c r="C4523" s="3">
        <v>111</v>
      </c>
      <c r="D4523" s="3">
        <v>98</v>
      </c>
      <c r="E4523" s="3">
        <v>-12828.76</v>
      </c>
      <c r="F4523" s="4" t="str">
        <f>HYPERLINK("http://141.218.60.56/~jnz1568/getInfo.php?workbook=10_05.xlsx&amp;sheet=A0&amp;row=4523&amp;col=6&amp;number=24300&amp;sourceID=14","24300")</f>
        <v>24300</v>
      </c>
      <c r="G4523" s="4" t="str">
        <f>HYPERLINK("http://141.218.60.56/~jnz1568/getInfo.php?workbook=10_05.xlsx&amp;sheet=A0&amp;row=4523&amp;col=7&amp;number=0&amp;sourceID=14","0")</f>
        <v>0</v>
      </c>
    </row>
    <row r="4524" spans="1:7">
      <c r="A4524" s="3">
        <v>10</v>
      </c>
      <c r="B4524" s="3">
        <v>5</v>
      </c>
      <c r="C4524" s="3">
        <v>118</v>
      </c>
      <c r="D4524" s="3">
        <v>98</v>
      </c>
      <c r="E4524" s="3">
        <v>-6300.415</v>
      </c>
      <c r="F4524" s="4" t="str">
        <f>HYPERLINK("http://141.218.60.56/~jnz1568/getInfo.php?workbook=10_05.xlsx&amp;sheet=A0&amp;row=4524&amp;col=6&amp;number=3900000&amp;sourceID=14","3900000")</f>
        <v>3900000</v>
      </c>
      <c r="G4524" s="4" t="str">
        <f>HYPERLINK("http://141.218.60.56/~jnz1568/getInfo.php?workbook=10_05.xlsx&amp;sheet=A0&amp;row=4524&amp;col=7&amp;number=0&amp;sourceID=14","0")</f>
        <v>0</v>
      </c>
    </row>
    <row r="4525" spans="1:7">
      <c r="A4525" s="3">
        <v>10</v>
      </c>
      <c r="B4525" s="3">
        <v>5</v>
      </c>
      <c r="C4525" s="3">
        <v>119</v>
      </c>
      <c r="D4525" s="3">
        <v>98</v>
      </c>
      <c r="E4525" s="3">
        <v>-6280.63</v>
      </c>
      <c r="F4525" s="4" t="str">
        <f>HYPERLINK("http://141.218.60.56/~jnz1568/getInfo.php?workbook=10_05.xlsx&amp;sheet=A0&amp;row=4525&amp;col=6&amp;number=1470000&amp;sourceID=14","1470000")</f>
        <v>1470000</v>
      </c>
      <c r="G4525" s="4" t="str">
        <f>HYPERLINK("http://141.218.60.56/~jnz1568/getInfo.php?workbook=10_05.xlsx&amp;sheet=A0&amp;row=4525&amp;col=7&amp;number=0&amp;sourceID=14","0")</f>
        <v>0</v>
      </c>
    </row>
    <row r="4526" spans="1:7">
      <c r="A4526" s="3">
        <v>10</v>
      </c>
      <c r="B4526" s="3">
        <v>5</v>
      </c>
      <c r="C4526" s="3">
        <v>120</v>
      </c>
      <c r="D4526" s="3">
        <v>98</v>
      </c>
      <c r="E4526" s="3">
        <v>-5240.276</v>
      </c>
      <c r="F4526" s="4" t="str">
        <f>HYPERLINK("http://141.218.60.56/~jnz1568/getInfo.php?workbook=10_05.xlsx&amp;sheet=A0&amp;row=4526&amp;col=6&amp;number=37400000&amp;sourceID=14","37400000")</f>
        <v>37400000</v>
      </c>
      <c r="G4526" s="4" t="str">
        <f>HYPERLINK("http://141.218.60.56/~jnz1568/getInfo.php?workbook=10_05.xlsx&amp;sheet=A0&amp;row=4526&amp;col=7&amp;number=0&amp;sourceID=14","0")</f>
        <v>0</v>
      </c>
    </row>
    <row r="4527" spans="1:7">
      <c r="A4527" s="3">
        <v>10</v>
      </c>
      <c r="B4527" s="3">
        <v>5</v>
      </c>
      <c r="C4527" s="3">
        <v>121</v>
      </c>
      <c r="D4527" s="3">
        <v>98</v>
      </c>
      <c r="E4527" s="3">
        <v>-5179.478</v>
      </c>
      <c r="F4527" s="4" t="str">
        <f>HYPERLINK("http://141.218.60.56/~jnz1568/getInfo.php?workbook=10_05.xlsx&amp;sheet=A0&amp;row=4527&amp;col=6&amp;number=20800000&amp;sourceID=14","20800000")</f>
        <v>20800000</v>
      </c>
      <c r="G4527" s="4" t="str">
        <f>HYPERLINK("http://141.218.60.56/~jnz1568/getInfo.php?workbook=10_05.xlsx&amp;sheet=A0&amp;row=4527&amp;col=7&amp;number=0&amp;sourceID=14","0")</f>
        <v>0</v>
      </c>
    </row>
    <row r="4528" spans="1:7">
      <c r="A4528" s="3">
        <v>10</v>
      </c>
      <c r="B4528" s="3">
        <v>5</v>
      </c>
      <c r="C4528" s="3">
        <v>123</v>
      </c>
      <c r="D4528" s="3">
        <v>98</v>
      </c>
      <c r="E4528" s="3">
        <v>-5007.27</v>
      </c>
      <c r="F4528" s="4" t="str">
        <f>HYPERLINK("http://141.218.60.56/~jnz1568/getInfo.php?workbook=10_05.xlsx&amp;sheet=A0&amp;row=4528&amp;col=6&amp;number=10100000&amp;sourceID=14","10100000")</f>
        <v>10100000</v>
      </c>
      <c r="G4528" s="4" t="str">
        <f>HYPERLINK("http://141.218.60.56/~jnz1568/getInfo.php?workbook=10_05.xlsx&amp;sheet=A0&amp;row=4528&amp;col=7&amp;number=0&amp;sourceID=14","0")</f>
        <v>0</v>
      </c>
    </row>
    <row r="4529" spans="1:7">
      <c r="A4529" s="3">
        <v>10</v>
      </c>
      <c r="B4529" s="3">
        <v>5</v>
      </c>
      <c r="C4529" s="3">
        <v>125</v>
      </c>
      <c r="D4529" s="3">
        <v>98</v>
      </c>
      <c r="E4529" s="3">
        <v>-4738.222</v>
      </c>
      <c r="F4529" s="4" t="str">
        <f>HYPERLINK("http://141.218.60.56/~jnz1568/getInfo.php?workbook=10_05.xlsx&amp;sheet=A0&amp;row=4529&amp;col=6&amp;number=969000&amp;sourceID=14","969000")</f>
        <v>969000</v>
      </c>
      <c r="G4529" s="4" t="str">
        <f>HYPERLINK("http://141.218.60.56/~jnz1568/getInfo.php?workbook=10_05.xlsx&amp;sheet=A0&amp;row=4529&amp;col=7&amp;number=0&amp;sourceID=14","0")</f>
        <v>0</v>
      </c>
    </row>
    <row r="4530" spans="1:7">
      <c r="A4530" s="3">
        <v>10</v>
      </c>
      <c r="B4530" s="3">
        <v>5</v>
      </c>
      <c r="C4530" s="3">
        <v>126</v>
      </c>
      <c r="D4530" s="3">
        <v>98</v>
      </c>
      <c r="E4530" s="3">
        <v>-4677.277</v>
      </c>
      <c r="F4530" s="4" t="str">
        <f>HYPERLINK("http://141.218.60.56/~jnz1568/getInfo.php?workbook=10_05.xlsx&amp;sheet=A0&amp;row=4530&amp;col=6&amp;number=5080&amp;sourceID=14","5080")</f>
        <v>5080</v>
      </c>
      <c r="G4530" s="4" t="str">
        <f>HYPERLINK("http://141.218.60.56/~jnz1568/getInfo.php?workbook=10_05.xlsx&amp;sheet=A0&amp;row=4530&amp;col=7&amp;number=0&amp;sourceID=14","0")</f>
        <v>0</v>
      </c>
    </row>
    <row r="4531" spans="1:7">
      <c r="A4531" s="3">
        <v>10</v>
      </c>
      <c r="B4531" s="3">
        <v>5</v>
      </c>
      <c r="C4531" s="3">
        <v>129</v>
      </c>
      <c r="D4531" s="3">
        <v>98</v>
      </c>
      <c r="E4531" s="3">
        <v>-4196.399</v>
      </c>
      <c r="F4531" s="4" t="str">
        <f>HYPERLINK("http://141.218.60.56/~jnz1568/getInfo.php?workbook=10_05.xlsx&amp;sheet=A0&amp;row=4531&amp;col=6&amp;number=29800&amp;sourceID=14","29800")</f>
        <v>29800</v>
      </c>
      <c r="G4531" s="4" t="str">
        <f>HYPERLINK("http://141.218.60.56/~jnz1568/getInfo.php?workbook=10_05.xlsx&amp;sheet=A0&amp;row=4531&amp;col=7&amp;number=0&amp;sourceID=14","0")</f>
        <v>0</v>
      </c>
    </row>
    <row r="4532" spans="1:7">
      <c r="A4532" s="3">
        <v>10</v>
      </c>
      <c r="B4532" s="3">
        <v>5</v>
      </c>
      <c r="C4532" s="3">
        <v>131</v>
      </c>
      <c r="D4532" s="3">
        <v>98</v>
      </c>
      <c r="E4532" s="3">
        <v>-4042.535</v>
      </c>
      <c r="F4532" s="4" t="str">
        <f>HYPERLINK("http://141.218.60.56/~jnz1568/getInfo.php?workbook=10_05.xlsx&amp;sheet=A0&amp;row=4532&amp;col=6&amp;number=12900000&amp;sourceID=14","12900000")</f>
        <v>12900000</v>
      </c>
      <c r="G4532" s="4" t="str">
        <f>HYPERLINK("http://141.218.60.56/~jnz1568/getInfo.php?workbook=10_05.xlsx&amp;sheet=A0&amp;row=4532&amp;col=7&amp;number=0&amp;sourceID=14","0")</f>
        <v>0</v>
      </c>
    </row>
    <row r="4533" spans="1:7">
      <c r="A4533" s="3">
        <v>10</v>
      </c>
      <c r="B4533" s="3">
        <v>5</v>
      </c>
      <c r="C4533" s="3">
        <v>132</v>
      </c>
      <c r="D4533" s="3">
        <v>98</v>
      </c>
      <c r="E4533" s="3">
        <v>-4018.654</v>
      </c>
      <c r="F4533" s="4" t="str">
        <f>HYPERLINK("http://141.218.60.56/~jnz1568/getInfo.php?workbook=10_05.xlsx&amp;sheet=A0&amp;row=4533&amp;col=6&amp;number=31200000&amp;sourceID=14","31200000")</f>
        <v>31200000</v>
      </c>
      <c r="G4533" s="4" t="str">
        <f>HYPERLINK("http://141.218.60.56/~jnz1568/getInfo.php?workbook=10_05.xlsx&amp;sheet=A0&amp;row=4533&amp;col=7&amp;number=0&amp;sourceID=14","0")</f>
        <v>0</v>
      </c>
    </row>
    <row r="4534" spans="1:7">
      <c r="A4534" s="3">
        <v>10</v>
      </c>
      <c r="B4534" s="3">
        <v>5</v>
      </c>
      <c r="C4534" s="3">
        <v>140</v>
      </c>
      <c r="D4534" s="3">
        <v>98</v>
      </c>
      <c r="E4534" s="3">
        <v>-3341.135</v>
      </c>
      <c r="F4534" s="4" t="str">
        <f>HYPERLINK("http://141.218.60.56/~jnz1568/getInfo.php?workbook=10_05.xlsx&amp;sheet=A0&amp;row=4534&amp;col=6&amp;number=6230&amp;sourceID=14","6230")</f>
        <v>6230</v>
      </c>
      <c r="G4534" s="4" t="str">
        <f>HYPERLINK("http://141.218.60.56/~jnz1568/getInfo.php?workbook=10_05.xlsx&amp;sheet=A0&amp;row=4534&amp;col=7&amp;number=0&amp;sourceID=14","0")</f>
        <v>0</v>
      </c>
    </row>
    <row r="4535" spans="1:7">
      <c r="A4535" s="3">
        <v>10</v>
      </c>
      <c r="B4535" s="3">
        <v>5</v>
      </c>
      <c r="C4535" s="3">
        <v>150</v>
      </c>
      <c r="D4535" s="3">
        <v>98</v>
      </c>
      <c r="E4535" s="3">
        <v>-2712.458</v>
      </c>
      <c r="F4535" s="4" t="str">
        <f>HYPERLINK("http://141.218.60.56/~jnz1568/getInfo.php?workbook=10_05.xlsx&amp;sheet=A0&amp;row=4535&amp;col=6&amp;number=1000&amp;sourceID=14","1000")</f>
        <v>1000</v>
      </c>
      <c r="G4535" s="4" t="str">
        <f>HYPERLINK("http://141.218.60.56/~jnz1568/getInfo.php?workbook=10_05.xlsx&amp;sheet=A0&amp;row=4535&amp;col=7&amp;number=0&amp;sourceID=14","0")</f>
        <v>0</v>
      </c>
    </row>
    <row r="4536" spans="1:7">
      <c r="A4536" s="3">
        <v>10</v>
      </c>
      <c r="B4536" s="3">
        <v>5</v>
      </c>
      <c r="C4536" s="3">
        <v>156</v>
      </c>
      <c r="D4536" s="3">
        <v>98</v>
      </c>
      <c r="E4536" s="3">
        <v>-2439.802</v>
      </c>
      <c r="F4536" s="4" t="str">
        <f>HYPERLINK("http://141.218.60.56/~jnz1568/getInfo.php?workbook=10_05.xlsx&amp;sheet=A0&amp;row=4536&amp;col=6&amp;number=35500&amp;sourceID=14","35500")</f>
        <v>35500</v>
      </c>
      <c r="G4536" s="4" t="str">
        <f>HYPERLINK("http://141.218.60.56/~jnz1568/getInfo.php?workbook=10_05.xlsx&amp;sheet=A0&amp;row=4536&amp;col=7&amp;number=0&amp;sourceID=14","0")</f>
        <v>0</v>
      </c>
    </row>
    <row r="4537" spans="1:7">
      <c r="A4537" s="3">
        <v>10</v>
      </c>
      <c r="B4537" s="3">
        <v>5</v>
      </c>
      <c r="C4537" s="3">
        <v>160</v>
      </c>
      <c r="D4537" s="3">
        <v>98</v>
      </c>
      <c r="E4537" s="3">
        <v>-2356.716</v>
      </c>
      <c r="F4537" s="4" t="str">
        <f>HYPERLINK("http://141.218.60.56/~jnz1568/getInfo.php?workbook=10_05.xlsx&amp;sheet=A0&amp;row=4537&amp;col=6&amp;number=5650&amp;sourceID=14","5650")</f>
        <v>5650</v>
      </c>
      <c r="G4537" s="4" t="str">
        <f>HYPERLINK("http://141.218.60.56/~jnz1568/getInfo.php?workbook=10_05.xlsx&amp;sheet=A0&amp;row=4537&amp;col=7&amp;number=0&amp;sourceID=14","0")</f>
        <v>0</v>
      </c>
    </row>
    <row r="4538" spans="1:7">
      <c r="A4538" s="3">
        <v>10</v>
      </c>
      <c r="B4538" s="3">
        <v>5</v>
      </c>
      <c r="C4538" s="3">
        <v>161</v>
      </c>
      <c r="D4538" s="3">
        <v>98</v>
      </c>
      <c r="E4538" s="3">
        <v>-2339.24</v>
      </c>
      <c r="F4538" s="4" t="str">
        <f>HYPERLINK("http://141.218.60.56/~jnz1568/getInfo.php?workbook=10_05.xlsx&amp;sheet=A0&amp;row=4538&amp;col=6&amp;number=7930&amp;sourceID=14","7930")</f>
        <v>7930</v>
      </c>
      <c r="G4538" s="4" t="str">
        <f>HYPERLINK("http://141.218.60.56/~jnz1568/getInfo.php?workbook=10_05.xlsx&amp;sheet=A0&amp;row=4538&amp;col=7&amp;number=0&amp;sourceID=14","0")</f>
        <v>0</v>
      </c>
    </row>
    <row r="4539" spans="1:7">
      <c r="A4539" s="3">
        <v>10</v>
      </c>
      <c r="B4539" s="3">
        <v>5</v>
      </c>
      <c r="C4539" s="3">
        <v>162</v>
      </c>
      <c r="D4539" s="3">
        <v>98</v>
      </c>
      <c r="E4539" s="3">
        <v>-2323.154</v>
      </c>
      <c r="F4539" s="4" t="str">
        <f>HYPERLINK("http://141.218.60.56/~jnz1568/getInfo.php?workbook=10_05.xlsx&amp;sheet=A0&amp;row=4539&amp;col=6&amp;number=758&amp;sourceID=14","758")</f>
        <v>758</v>
      </c>
      <c r="G4539" s="4" t="str">
        <f>HYPERLINK("http://141.218.60.56/~jnz1568/getInfo.php?workbook=10_05.xlsx&amp;sheet=A0&amp;row=4539&amp;col=7&amp;number=0&amp;sourceID=14","0")</f>
        <v>0</v>
      </c>
    </row>
    <row r="4540" spans="1:7">
      <c r="A4540" s="3">
        <v>10</v>
      </c>
      <c r="B4540" s="3">
        <v>5</v>
      </c>
      <c r="C4540" s="3">
        <v>163</v>
      </c>
      <c r="D4540" s="3">
        <v>98</v>
      </c>
      <c r="E4540" s="3">
        <v>-1766.85</v>
      </c>
      <c r="F4540" s="4" t="str">
        <f>HYPERLINK("http://141.218.60.56/~jnz1568/getInfo.php?workbook=10_05.xlsx&amp;sheet=A0&amp;row=4540&amp;col=6&amp;number=10300&amp;sourceID=14","10300")</f>
        <v>10300</v>
      </c>
      <c r="G4540" s="4" t="str">
        <f>HYPERLINK("http://141.218.60.56/~jnz1568/getInfo.php?workbook=10_05.xlsx&amp;sheet=A0&amp;row=4540&amp;col=7&amp;number=0&amp;sourceID=14","0")</f>
        <v>0</v>
      </c>
    </row>
    <row r="4541" spans="1:7">
      <c r="A4541" s="3">
        <v>10</v>
      </c>
      <c r="B4541" s="3">
        <v>5</v>
      </c>
      <c r="C4541" s="3">
        <v>169</v>
      </c>
      <c r="D4541" s="3">
        <v>98</v>
      </c>
      <c r="E4541" s="3">
        <v>-810.933</v>
      </c>
      <c r="F4541" s="4" t="str">
        <f>HYPERLINK("http://141.218.60.56/~jnz1568/getInfo.php?workbook=10_05.xlsx&amp;sheet=A0&amp;row=4541&amp;col=6&amp;number=78.1&amp;sourceID=14","78.1")</f>
        <v>78.1</v>
      </c>
      <c r="G4541" s="4" t="str">
        <f>HYPERLINK("http://141.218.60.56/~jnz1568/getInfo.php?workbook=10_05.xlsx&amp;sheet=A0&amp;row=4541&amp;col=7&amp;number=0&amp;sourceID=14","0")</f>
        <v>0</v>
      </c>
    </row>
    <row r="4542" spans="1:7">
      <c r="A4542" s="3">
        <v>10</v>
      </c>
      <c r="B4542" s="3">
        <v>5</v>
      </c>
      <c r="C4542" s="3">
        <v>170</v>
      </c>
      <c r="D4542" s="3">
        <v>98</v>
      </c>
      <c r="E4542" s="3">
        <v>-753.66</v>
      </c>
      <c r="F4542" s="4" t="str">
        <f>HYPERLINK("http://141.218.60.56/~jnz1568/getInfo.php?workbook=10_05.xlsx&amp;sheet=A0&amp;row=4542&amp;col=6&amp;number=8350&amp;sourceID=14","8350")</f>
        <v>8350</v>
      </c>
      <c r="G4542" s="4" t="str">
        <f>HYPERLINK("http://141.218.60.56/~jnz1568/getInfo.php?workbook=10_05.xlsx&amp;sheet=A0&amp;row=4542&amp;col=7&amp;number=0&amp;sourceID=14","0")</f>
        <v>0</v>
      </c>
    </row>
    <row r="4543" spans="1:7">
      <c r="A4543" s="3">
        <v>10</v>
      </c>
      <c r="B4543" s="3">
        <v>5</v>
      </c>
      <c r="C4543" s="3">
        <v>171</v>
      </c>
      <c r="D4543" s="3">
        <v>98</v>
      </c>
      <c r="E4543" s="3">
        <v>-753.121</v>
      </c>
      <c r="F4543" s="4" t="str">
        <f>HYPERLINK("http://141.218.60.56/~jnz1568/getInfo.php?workbook=10_05.xlsx&amp;sheet=A0&amp;row=4543&amp;col=6&amp;number=1260&amp;sourceID=14","1260")</f>
        <v>1260</v>
      </c>
      <c r="G4543" s="4" t="str">
        <f>HYPERLINK("http://141.218.60.56/~jnz1568/getInfo.php?workbook=10_05.xlsx&amp;sheet=A0&amp;row=4543&amp;col=7&amp;number=0&amp;sourceID=14","0")</f>
        <v>0</v>
      </c>
    </row>
    <row r="4544" spans="1:7">
      <c r="A4544" s="3">
        <v>10</v>
      </c>
      <c r="B4544" s="3">
        <v>5</v>
      </c>
      <c r="C4544" s="3">
        <v>172</v>
      </c>
      <c r="D4544" s="3">
        <v>98</v>
      </c>
      <c r="E4544" s="3">
        <v>-742.221</v>
      </c>
      <c r="F4544" s="4" t="str">
        <f>HYPERLINK("http://141.218.60.56/~jnz1568/getInfo.php?workbook=10_05.xlsx&amp;sheet=A0&amp;row=4544&amp;col=6&amp;number=9190&amp;sourceID=14","9190")</f>
        <v>9190</v>
      </c>
      <c r="G4544" s="4" t="str">
        <f>HYPERLINK("http://141.218.60.56/~jnz1568/getInfo.php?workbook=10_05.xlsx&amp;sheet=A0&amp;row=4544&amp;col=7&amp;number=0&amp;sourceID=14","0")</f>
        <v>0</v>
      </c>
    </row>
    <row r="4545" spans="1:7">
      <c r="A4545" s="3">
        <v>10</v>
      </c>
      <c r="B4545" s="3">
        <v>5</v>
      </c>
      <c r="C4545" s="3">
        <v>174</v>
      </c>
      <c r="D4545" s="3">
        <v>98</v>
      </c>
      <c r="E4545" s="3">
        <v>-730.654</v>
      </c>
      <c r="F4545" s="4" t="str">
        <f>HYPERLINK("http://141.218.60.56/~jnz1568/getInfo.php?workbook=10_05.xlsx&amp;sheet=A0&amp;row=4545&amp;col=6&amp;number=13100&amp;sourceID=14","13100")</f>
        <v>13100</v>
      </c>
      <c r="G4545" s="4" t="str">
        <f>HYPERLINK("http://141.218.60.56/~jnz1568/getInfo.php?workbook=10_05.xlsx&amp;sheet=A0&amp;row=4545&amp;col=7&amp;number=0&amp;sourceID=14","0")</f>
        <v>0</v>
      </c>
    </row>
    <row r="4546" spans="1:7">
      <c r="A4546" s="3">
        <v>10</v>
      </c>
      <c r="B4546" s="3">
        <v>5</v>
      </c>
      <c r="C4546" s="3">
        <v>101</v>
      </c>
      <c r="D4546" s="3">
        <v>99</v>
      </c>
      <c r="E4546" s="3">
        <v>-314465.987</v>
      </c>
      <c r="F4546" s="4" t="str">
        <f>HYPERLINK("http://141.218.60.56/~jnz1568/getInfo.php?workbook=10_05.xlsx&amp;sheet=A0&amp;row=4546&amp;col=6&amp;number=0.00848&amp;sourceID=14","0.00848")</f>
        <v>0.00848</v>
      </c>
      <c r="G4546" s="4" t="str">
        <f>HYPERLINK("http://141.218.60.56/~jnz1568/getInfo.php?workbook=10_05.xlsx&amp;sheet=A0&amp;row=4546&amp;col=7&amp;number=0&amp;sourceID=14","0")</f>
        <v>0</v>
      </c>
    </row>
    <row r="4547" spans="1:7">
      <c r="A4547" s="3">
        <v>10</v>
      </c>
      <c r="B4547" s="3">
        <v>5</v>
      </c>
      <c r="C4547" s="3">
        <v>103</v>
      </c>
      <c r="D4547" s="3">
        <v>99</v>
      </c>
      <c r="E4547" s="3">
        <v>-94339.796</v>
      </c>
      <c r="F4547" s="4" t="str">
        <f>HYPERLINK("http://141.218.60.56/~jnz1568/getInfo.php?workbook=10_05.xlsx&amp;sheet=A0&amp;row=4547&amp;col=6&amp;number=0.0169&amp;sourceID=14","0.0169")</f>
        <v>0.0169</v>
      </c>
      <c r="G4547" s="4" t="str">
        <f>HYPERLINK("http://141.218.60.56/~jnz1568/getInfo.php?workbook=10_05.xlsx&amp;sheet=A0&amp;row=4547&amp;col=7&amp;number=0&amp;sourceID=14","0")</f>
        <v>0</v>
      </c>
    </row>
    <row r="4548" spans="1:7">
      <c r="A4548" s="3">
        <v>10</v>
      </c>
      <c r="B4548" s="3">
        <v>5</v>
      </c>
      <c r="C4548" s="3">
        <v>110</v>
      </c>
      <c r="D4548" s="3">
        <v>99</v>
      </c>
      <c r="E4548" s="3">
        <v>-13574.071</v>
      </c>
      <c r="F4548" s="4" t="str">
        <f>HYPERLINK("http://141.218.60.56/~jnz1568/getInfo.php?workbook=10_05.xlsx&amp;sheet=A0&amp;row=4548&amp;col=6&amp;number=19.1&amp;sourceID=14","19.1")</f>
        <v>19.1</v>
      </c>
      <c r="G4548" s="4" t="str">
        <f>HYPERLINK("http://141.218.60.56/~jnz1568/getInfo.php?workbook=10_05.xlsx&amp;sheet=A0&amp;row=4548&amp;col=7&amp;number=0&amp;sourceID=14","0")</f>
        <v>0</v>
      </c>
    </row>
    <row r="4549" spans="1:7">
      <c r="A4549" s="3">
        <v>10</v>
      </c>
      <c r="B4549" s="3">
        <v>5</v>
      </c>
      <c r="C4549" s="3">
        <v>112</v>
      </c>
      <c r="D4549" s="3">
        <v>99</v>
      </c>
      <c r="E4549" s="3">
        <v>-12464.188</v>
      </c>
      <c r="F4549" s="4" t="str">
        <f>HYPERLINK("http://141.218.60.56/~jnz1568/getInfo.php?workbook=10_05.xlsx&amp;sheet=A0&amp;row=4549&amp;col=6&amp;number=1&amp;sourceID=14","1")</f>
        <v>1</v>
      </c>
      <c r="G4549" s="4" t="str">
        <f>HYPERLINK("http://141.218.60.56/~jnz1568/getInfo.php?workbook=10_05.xlsx&amp;sheet=A0&amp;row=4549&amp;col=7&amp;number=0&amp;sourceID=14","0")</f>
        <v>0</v>
      </c>
    </row>
    <row r="4550" spans="1:7">
      <c r="A4550" s="3">
        <v>10</v>
      </c>
      <c r="B4550" s="3">
        <v>5</v>
      </c>
      <c r="C4550" s="3">
        <v>113</v>
      </c>
      <c r="D4550" s="3">
        <v>99</v>
      </c>
      <c r="E4550" s="3">
        <v>-11398.63</v>
      </c>
      <c r="F4550" s="4" t="str">
        <f>HYPERLINK("http://141.218.60.56/~jnz1568/getInfo.php?workbook=10_05.xlsx&amp;sheet=A0&amp;row=4550&amp;col=6&amp;number=0.00289&amp;sourceID=14","0.00289")</f>
        <v>0.00289</v>
      </c>
      <c r="G4550" s="4" t="str">
        <f>HYPERLINK("http://141.218.60.56/~jnz1568/getInfo.php?workbook=10_05.xlsx&amp;sheet=A0&amp;row=4550&amp;col=7&amp;number=0&amp;sourceID=14","0")</f>
        <v>0</v>
      </c>
    </row>
    <row r="4551" spans="1:7">
      <c r="A4551" s="3">
        <v>10</v>
      </c>
      <c r="B4551" s="3">
        <v>5</v>
      </c>
      <c r="C4551" s="3">
        <v>114</v>
      </c>
      <c r="D4551" s="3">
        <v>99</v>
      </c>
      <c r="E4551" s="3">
        <v>-11299.456</v>
      </c>
      <c r="F4551" s="4" t="str">
        <f>HYPERLINK("http://141.218.60.56/~jnz1568/getInfo.php?workbook=10_05.xlsx&amp;sheet=A0&amp;row=4551&amp;col=6&amp;number=3.75&amp;sourceID=14","3.75")</f>
        <v>3.75</v>
      </c>
      <c r="G4551" s="4" t="str">
        <f>HYPERLINK("http://141.218.60.56/~jnz1568/getInfo.php?workbook=10_05.xlsx&amp;sheet=A0&amp;row=4551&amp;col=7&amp;number=0&amp;sourceID=14","0")</f>
        <v>0</v>
      </c>
    </row>
    <row r="4552" spans="1:7">
      <c r="A4552" s="3">
        <v>10</v>
      </c>
      <c r="B4552" s="3">
        <v>5</v>
      </c>
      <c r="C4552" s="3">
        <v>127</v>
      </c>
      <c r="D4552" s="3">
        <v>99</v>
      </c>
      <c r="E4552" s="3">
        <v>-4672.033</v>
      </c>
      <c r="F4552" s="4" t="str">
        <f>HYPERLINK("http://141.218.60.56/~jnz1568/getInfo.php?workbook=10_05.xlsx&amp;sheet=A0&amp;row=4552&amp;col=6&amp;number=1.1&amp;sourceID=14","1.1")</f>
        <v>1.1</v>
      </c>
      <c r="G4552" s="4" t="str">
        <f>HYPERLINK("http://141.218.60.56/~jnz1568/getInfo.php?workbook=10_05.xlsx&amp;sheet=A0&amp;row=4552&amp;col=7&amp;number=0&amp;sourceID=14","0")</f>
        <v>0</v>
      </c>
    </row>
    <row r="4553" spans="1:7">
      <c r="A4553" s="3">
        <v>10</v>
      </c>
      <c r="B4553" s="3">
        <v>5</v>
      </c>
      <c r="C4553" s="3">
        <v>128</v>
      </c>
      <c r="D4553" s="3">
        <v>99</v>
      </c>
      <c r="E4553" s="3">
        <v>-4576.039</v>
      </c>
      <c r="F4553" s="4" t="str">
        <f>HYPERLINK("http://141.218.60.56/~jnz1568/getInfo.php?workbook=10_05.xlsx&amp;sheet=A0&amp;row=4553&amp;col=6&amp;number=3.93&amp;sourceID=14","3.93")</f>
        <v>3.93</v>
      </c>
      <c r="G4553" s="4" t="str">
        <f>HYPERLINK("http://141.218.60.56/~jnz1568/getInfo.php?workbook=10_05.xlsx&amp;sheet=A0&amp;row=4553&amp;col=7&amp;number=0&amp;sourceID=14","0")</f>
        <v>0</v>
      </c>
    </row>
    <row r="4554" spans="1:7">
      <c r="A4554" s="3">
        <v>10</v>
      </c>
      <c r="B4554" s="3">
        <v>5</v>
      </c>
      <c r="C4554" s="3">
        <v>134</v>
      </c>
      <c r="D4554" s="3">
        <v>99</v>
      </c>
      <c r="E4554" s="3">
        <v>-3797.812</v>
      </c>
      <c r="F4554" s="4" t="str">
        <f>HYPERLINK("http://141.218.60.56/~jnz1568/getInfo.php?workbook=10_05.xlsx&amp;sheet=A0&amp;row=4554&amp;col=6&amp;number=2030&amp;sourceID=14","2030")</f>
        <v>2030</v>
      </c>
      <c r="G4554" s="4" t="str">
        <f>HYPERLINK("http://141.218.60.56/~jnz1568/getInfo.php?workbook=10_05.xlsx&amp;sheet=A0&amp;row=4554&amp;col=7&amp;number=0&amp;sourceID=14","0")</f>
        <v>0</v>
      </c>
    </row>
    <row r="4555" spans="1:7">
      <c r="A4555" s="3">
        <v>10</v>
      </c>
      <c r="B4555" s="3">
        <v>5</v>
      </c>
      <c r="C4555" s="3">
        <v>135</v>
      </c>
      <c r="D4555" s="3">
        <v>99</v>
      </c>
      <c r="E4555" s="3">
        <v>-3763.367</v>
      </c>
      <c r="F4555" s="4" t="str">
        <f>HYPERLINK("http://141.218.60.56/~jnz1568/getInfo.php?workbook=10_05.xlsx&amp;sheet=A0&amp;row=4555&amp;col=6&amp;number=21100&amp;sourceID=14","21100")</f>
        <v>21100</v>
      </c>
      <c r="G4555" s="4" t="str">
        <f>HYPERLINK("http://141.218.60.56/~jnz1568/getInfo.php?workbook=10_05.xlsx&amp;sheet=A0&amp;row=4555&amp;col=7&amp;number=0&amp;sourceID=14","0")</f>
        <v>0</v>
      </c>
    </row>
    <row r="4556" spans="1:7">
      <c r="A4556" s="3">
        <v>10</v>
      </c>
      <c r="B4556" s="3">
        <v>5</v>
      </c>
      <c r="C4556" s="3">
        <v>141</v>
      </c>
      <c r="D4556" s="3">
        <v>99</v>
      </c>
      <c r="E4556" s="3">
        <v>-3221.863</v>
      </c>
      <c r="F4556" s="4" t="str">
        <f>HYPERLINK("http://141.218.60.56/~jnz1568/getInfo.php?workbook=10_05.xlsx&amp;sheet=A0&amp;row=4556&amp;col=6&amp;number=68100&amp;sourceID=14","68100")</f>
        <v>68100</v>
      </c>
      <c r="G4556" s="4" t="str">
        <f>HYPERLINK("http://141.218.60.56/~jnz1568/getInfo.php?workbook=10_05.xlsx&amp;sheet=A0&amp;row=4556&amp;col=7&amp;number=0&amp;sourceID=14","0")</f>
        <v>0</v>
      </c>
    </row>
    <row r="4557" spans="1:7">
      <c r="A4557" s="3">
        <v>10</v>
      </c>
      <c r="B4557" s="3">
        <v>5</v>
      </c>
      <c r="C4557" s="3">
        <v>142</v>
      </c>
      <c r="D4557" s="3">
        <v>99</v>
      </c>
      <c r="E4557" s="3">
        <v>-3217.302</v>
      </c>
      <c r="F4557" s="4" t="str">
        <f>HYPERLINK("http://141.218.60.56/~jnz1568/getInfo.php?workbook=10_05.xlsx&amp;sheet=A0&amp;row=4557&amp;col=6&amp;number=40200&amp;sourceID=14","40200")</f>
        <v>40200</v>
      </c>
      <c r="G4557" s="4" t="str">
        <f>HYPERLINK("http://141.218.60.56/~jnz1568/getInfo.php?workbook=10_05.xlsx&amp;sheet=A0&amp;row=4557&amp;col=7&amp;number=0&amp;sourceID=14","0")</f>
        <v>0</v>
      </c>
    </row>
    <row r="4558" spans="1:7">
      <c r="A4558" s="3">
        <v>10</v>
      </c>
      <c r="B4558" s="3">
        <v>5</v>
      </c>
      <c r="C4558" s="3">
        <v>143</v>
      </c>
      <c r="D4558" s="3">
        <v>99</v>
      </c>
      <c r="E4558" s="3">
        <v>-3191.325</v>
      </c>
      <c r="F4558" s="4" t="str">
        <f>HYPERLINK("http://141.218.60.56/~jnz1568/getInfo.php?workbook=10_05.xlsx&amp;sheet=A0&amp;row=4558&amp;col=6&amp;number=3550&amp;sourceID=14","3550")</f>
        <v>3550</v>
      </c>
      <c r="G4558" s="4" t="str">
        <f>HYPERLINK("http://141.218.60.56/~jnz1568/getInfo.php?workbook=10_05.xlsx&amp;sheet=A0&amp;row=4558&amp;col=7&amp;number=0&amp;sourceID=14","0")</f>
        <v>0</v>
      </c>
    </row>
    <row r="4559" spans="1:7">
      <c r="A4559" s="3">
        <v>10</v>
      </c>
      <c r="B4559" s="3">
        <v>5</v>
      </c>
      <c r="C4559" s="3">
        <v>145</v>
      </c>
      <c r="D4559" s="3">
        <v>99</v>
      </c>
      <c r="E4559" s="3">
        <v>-3083.38</v>
      </c>
      <c r="F4559" s="4" t="str">
        <f>HYPERLINK("http://141.218.60.56/~jnz1568/getInfo.php?workbook=10_05.xlsx&amp;sheet=A0&amp;row=4559&amp;col=6&amp;number=203&amp;sourceID=14","203")</f>
        <v>203</v>
      </c>
      <c r="G4559" s="4" t="str">
        <f>HYPERLINK("http://141.218.60.56/~jnz1568/getInfo.php?workbook=10_05.xlsx&amp;sheet=A0&amp;row=4559&amp;col=7&amp;number=0&amp;sourceID=14","0")</f>
        <v>0</v>
      </c>
    </row>
    <row r="4560" spans="1:7">
      <c r="A4560" s="3">
        <v>10</v>
      </c>
      <c r="B4560" s="3">
        <v>5</v>
      </c>
      <c r="C4560" s="3">
        <v>146</v>
      </c>
      <c r="D4560" s="3">
        <v>99</v>
      </c>
      <c r="E4560" s="3">
        <v>-3060.543</v>
      </c>
      <c r="F4560" s="4" t="str">
        <f>HYPERLINK("http://141.218.60.56/~jnz1568/getInfo.php?workbook=10_05.xlsx&amp;sheet=A0&amp;row=4560&amp;col=6&amp;number=164&amp;sourceID=14","164")</f>
        <v>164</v>
      </c>
      <c r="G4560" s="4" t="str">
        <f>HYPERLINK("http://141.218.60.56/~jnz1568/getInfo.php?workbook=10_05.xlsx&amp;sheet=A0&amp;row=4560&amp;col=7&amp;number=0&amp;sourceID=14","0")</f>
        <v>0</v>
      </c>
    </row>
    <row r="4561" spans="1:7">
      <c r="A4561" s="3">
        <v>10</v>
      </c>
      <c r="B4561" s="3">
        <v>5</v>
      </c>
      <c r="C4561" s="3">
        <v>147</v>
      </c>
      <c r="D4561" s="3">
        <v>99</v>
      </c>
      <c r="E4561" s="3">
        <v>-3027.006</v>
      </c>
      <c r="F4561" s="4" t="str">
        <f>HYPERLINK("http://141.218.60.56/~jnz1568/getInfo.php?workbook=10_05.xlsx&amp;sheet=A0&amp;row=4561&amp;col=6&amp;number=431&amp;sourceID=14","431")</f>
        <v>431</v>
      </c>
      <c r="G4561" s="4" t="str">
        <f>HYPERLINK("http://141.218.60.56/~jnz1568/getInfo.php?workbook=10_05.xlsx&amp;sheet=A0&amp;row=4561&amp;col=7&amp;number=0&amp;sourceID=14","0")</f>
        <v>0</v>
      </c>
    </row>
    <row r="4562" spans="1:7">
      <c r="A4562" s="3">
        <v>10</v>
      </c>
      <c r="B4562" s="3">
        <v>5</v>
      </c>
      <c r="C4562" s="3">
        <v>148</v>
      </c>
      <c r="D4562" s="3">
        <v>99</v>
      </c>
      <c r="E4562" s="3">
        <v>-3018.053</v>
      </c>
      <c r="F4562" s="4" t="str">
        <f>HYPERLINK("http://141.218.60.56/~jnz1568/getInfo.php?workbook=10_05.xlsx&amp;sheet=A0&amp;row=4562&amp;col=6&amp;number=969&amp;sourceID=14","969")</f>
        <v>969</v>
      </c>
      <c r="G4562" s="4" t="str">
        <f>HYPERLINK("http://141.218.60.56/~jnz1568/getInfo.php?workbook=10_05.xlsx&amp;sheet=A0&amp;row=4562&amp;col=7&amp;number=0&amp;sourceID=14","0")</f>
        <v>0</v>
      </c>
    </row>
    <row r="4563" spans="1:7">
      <c r="A4563" s="3">
        <v>10</v>
      </c>
      <c r="B4563" s="3">
        <v>5</v>
      </c>
      <c r="C4563" s="3">
        <v>149</v>
      </c>
      <c r="D4563" s="3">
        <v>99</v>
      </c>
      <c r="E4563" s="3">
        <v>-3009.063</v>
      </c>
      <c r="F4563" s="4" t="str">
        <f>HYPERLINK("http://141.218.60.56/~jnz1568/getInfo.php?workbook=10_05.xlsx&amp;sheet=A0&amp;row=4563&amp;col=6&amp;number=33.5&amp;sourceID=14","33.5")</f>
        <v>33.5</v>
      </c>
      <c r="G4563" s="4" t="str">
        <f>HYPERLINK("http://141.218.60.56/~jnz1568/getInfo.php?workbook=10_05.xlsx&amp;sheet=A0&amp;row=4563&amp;col=7&amp;number=0&amp;sourceID=14","0")</f>
        <v>0</v>
      </c>
    </row>
    <row r="4564" spans="1:7">
      <c r="A4564" s="3">
        <v>10</v>
      </c>
      <c r="B4564" s="3">
        <v>5</v>
      </c>
      <c r="C4564" s="3">
        <v>152</v>
      </c>
      <c r="D4564" s="3">
        <v>99</v>
      </c>
      <c r="E4564" s="3">
        <v>-2590.745</v>
      </c>
      <c r="F4564" s="4" t="str">
        <f>HYPERLINK("http://141.218.60.56/~jnz1568/getInfo.php?workbook=10_05.xlsx&amp;sheet=A0&amp;row=4564&amp;col=6&amp;number=2080&amp;sourceID=14","2080")</f>
        <v>2080</v>
      </c>
      <c r="G4564" s="4" t="str">
        <f>HYPERLINK("http://141.218.60.56/~jnz1568/getInfo.php?workbook=10_05.xlsx&amp;sheet=A0&amp;row=4564&amp;col=7&amp;number=0&amp;sourceID=14","0")</f>
        <v>0</v>
      </c>
    </row>
    <row r="4565" spans="1:7">
      <c r="A4565" s="3">
        <v>10</v>
      </c>
      <c r="B4565" s="3">
        <v>5</v>
      </c>
      <c r="C4565" s="3">
        <v>158</v>
      </c>
      <c r="D4565" s="3">
        <v>99</v>
      </c>
      <c r="E4565" s="3">
        <v>-2427.837</v>
      </c>
      <c r="F4565" s="4" t="str">
        <f>HYPERLINK("http://141.218.60.56/~jnz1568/getInfo.php?workbook=10_05.xlsx&amp;sheet=A0&amp;row=4565&amp;col=6&amp;number=50.8&amp;sourceID=14","50.8")</f>
        <v>50.8</v>
      </c>
      <c r="G4565" s="4" t="str">
        <f>HYPERLINK("http://141.218.60.56/~jnz1568/getInfo.php?workbook=10_05.xlsx&amp;sheet=A0&amp;row=4565&amp;col=7&amp;number=0&amp;sourceID=14","0")</f>
        <v>0</v>
      </c>
    </row>
    <row r="4566" spans="1:7">
      <c r="A4566" s="3">
        <v>10</v>
      </c>
      <c r="B4566" s="3">
        <v>5</v>
      </c>
      <c r="C4566" s="3">
        <v>159</v>
      </c>
      <c r="D4566" s="3">
        <v>99</v>
      </c>
      <c r="E4566" s="3">
        <v>-2402.869</v>
      </c>
      <c r="F4566" s="4" t="str">
        <f>HYPERLINK("http://141.218.60.56/~jnz1568/getInfo.php?workbook=10_05.xlsx&amp;sheet=A0&amp;row=4566&amp;col=6&amp;number=8.29&amp;sourceID=14","8.29")</f>
        <v>8.29</v>
      </c>
      <c r="G4566" s="4" t="str">
        <f>HYPERLINK("http://141.218.60.56/~jnz1568/getInfo.php?workbook=10_05.xlsx&amp;sheet=A0&amp;row=4566&amp;col=7&amp;number=0&amp;sourceID=14","0")</f>
        <v>0</v>
      </c>
    </row>
    <row r="4567" spans="1:7">
      <c r="A4567" s="3">
        <v>10</v>
      </c>
      <c r="B4567" s="3">
        <v>5</v>
      </c>
      <c r="C4567" s="3">
        <v>164</v>
      </c>
      <c r="D4567" s="3">
        <v>99</v>
      </c>
      <c r="E4567" s="3">
        <v>-1139.694</v>
      </c>
      <c r="F4567" s="4" t="str">
        <f>HYPERLINK("http://141.218.60.56/~jnz1568/getInfo.php?workbook=10_05.xlsx&amp;sheet=A0&amp;row=4567&amp;col=6&amp;number=611&amp;sourceID=14","611")</f>
        <v>611</v>
      </c>
      <c r="G4567" s="4" t="str">
        <f>HYPERLINK("http://141.218.60.56/~jnz1568/getInfo.php?workbook=10_05.xlsx&amp;sheet=A0&amp;row=4567&amp;col=7&amp;number=0&amp;sourceID=14","0")</f>
        <v>0</v>
      </c>
    </row>
    <row r="4568" spans="1:7">
      <c r="A4568" s="3">
        <v>10</v>
      </c>
      <c r="B4568" s="3">
        <v>5</v>
      </c>
      <c r="C4568" s="3">
        <v>165</v>
      </c>
      <c r="D4568" s="3">
        <v>99</v>
      </c>
      <c r="E4568" s="3">
        <v>-1137.917</v>
      </c>
      <c r="F4568" s="4" t="str">
        <f>HYPERLINK("http://141.218.60.56/~jnz1568/getInfo.php?workbook=10_05.xlsx&amp;sheet=A0&amp;row=4568&amp;col=6&amp;number=154&amp;sourceID=14","154")</f>
        <v>154</v>
      </c>
      <c r="G4568" s="4" t="str">
        <f>HYPERLINK("http://141.218.60.56/~jnz1568/getInfo.php?workbook=10_05.xlsx&amp;sheet=A0&amp;row=4568&amp;col=7&amp;number=0&amp;sourceID=14","0")</f>
        <v>0</v>
      </c>
    </row>
    <row r="4569" spans="1:7">
      <c r="A4569" s="3">
        <v>10</v>
      </c>
      <c r="B4569" s="3">
        <v>5</v>
      </c>
      <c r="C4569" s="3">
        <v>166</v>
      </c>
      <c r="D4569" s="3">
        <v>99</v>
      </c>
      <c r="E4569" s="3">
        <v>-869.869</v>
      </c>
      <c r="F4569" s="4" t="str">
        <f>HYPERLINK("http://141.218.60.56/~jnz1568/getInfo.php?workbook=10_05.xlsx&amp;sheet=A0&amp;row=4569&amp;col=6&amp;number=37&amp;sourceID=14","37")</f>
        <v>37</v>
      </c>
      <c r="G4569" s="4" t="str">
        <f>HYPERLINK("http://141.218.60.56/~jnz1568/getInfo.php?workbook=10_05.xlsx&amp;sheet=A0&amp;row=4569&amp;col=7&amp;number=0&amp;sourceID=14","0")</f>
        <v>0</v>
      </c>
    </row>
    <row r="4570" spans="1:7">
      <c r="A4570" s="3">
        <v>10</v>
      </c>
      <c r="B4570" s="3">
        <v>5</v>
      </c>
      <c r="C4570" s="3">
        <v>167</v>
      </c>
      <c r="D4570" s="3">
        <v>99</v>
      </c>
      <c r="E4570" s="3">
        <v>-869.552</v>
      </c>
      <c r="F4570" s="4" t="str">
        <f>HYPERLINK("http://141.218.60.56/~jnz1568/getInfo.php?workbook=10_05.xlsx&amp;sheet=A0&amp;row=4570&amp;col=6&amp;number=85.2&amp;sourceID=14","85.2")</f>
        <v>85.2</v>
      </c>
      <c r="G4570" s="4" t="str">
        <f>HYPERLINK("http://141.218.60.56/~jnz1568/getInfo.php?workbook=10_05.xlsx&amp;sheet=A0&amp;row=4570&amp;col=7&amp;number=0&amp;sourceID=14","0")</f>
        <v>0</v>
      </c>
    </row>
    <row r="4571" spans="1:7">
      <c r="A4571" s="3">
        <v>10</v>
      </c>
      <c r="B4571" s="3">
        <v>5</v>
      </c>
      <c r="C4571" s="3">
        <v>176</v>
      </c>
      <c r="D4571" s="3">
        <v>99</v>
      </c>
      <c r="E4571" s="3">
        <v>-682.698</v>
      </c>
      <c r="F4571" s="4" t="str">
        <f>HYPERLINK("http://141.218.60.56/~jnz1568/getInfo.php?workbook=10_05.xlsx&amp;sheet=A0&amp;row=4571&amp;col=6&amp;number=2640&amp;sourceID=14","2640")</f>
        <v>2640</v>
      </c>
      <c r="G4571" s="4" t="str">
        <f>HYPERLINK("http://141.218.60.56/~jnz1568/getInfo.php?workbook=10_05.xlsx&amp;sheet=A0&amp;row=4571&amp;col=7&amp;number=0&amp;sourceID=14","0")</f>
        <v>0</v>
      </c>
    </row>
    <row r="4572" spans="1:7">
      <c r="A4572" s="3">
        <v>10</v>
      </c>
      <c r="B4572" s="3">
        <v>5</v>
      </c>
      <c r="C4572" s="3">
        <v>177</v>
      </c>
      <c r="D4572" s="3">
        <v>99</v>
      </c>
      <c r="E4572" s="3">
        <v>-678.57</v>
      </c>
      <c r="F4572" s="4" t="str">
        <f>HYPERLINK("http://141.218.60.56/~jnz1568/getInfo.php?workbook=10_05.xlsx&amp;sheet=A0&amp;row=4572&amp;col=6&amp;number=2190&amp;sourceID=14","2190")</f>
        <v>2190</v>
      </c>
      <c r="G4572" s="4" t="str">
        <f>HYPERLINK("http://141.218.60.56/~jnz1568/getInfo.php?workbook=10_05.xlsx&amp;sheet=A0&amp;row=4572&amp;col=7&amp;number=0&amp;sourceID=14","0")</f>
        <v>0</v>
      </c>
    </row>
    <row r="4573" spans="1:7">
      <c r="A4573" s="3">
        <v>10</v>
      </c>
      <c r="B4573" s="3">
        <v>5</v>
      </c>
      <c r="C4573" s="3">
        <v>178</v>
      </c>
      <c r="D4573" s="3">
        <v>99</v>
      </c>
      <c r="E4573" s="3">
        <v>-678.367</v>
      </c>
      <c r="F4573" s="4" t="str">
        <f>HYPERLINK("http://141.218.60.56/~jnz1568/getInfo.php?workbook=10_05.xlsx&amp;sheet=A0&amp;row=4573&amp;col=6&amp;number=16.1&amp;sourceID=14","16.1")</f>
        <v>16.1</v>
      </c>
      <c r="G4573" s="4" t="str">
        <f>HYPERLINK("http://141.218.60.56/~jnz1568/getInfo.php?workbook=10_05.xlsx&amp;sheet=A0&amp;row=4573&amp;col=7&amp;number=0&amp;sourceID=14","0")</f>
        <v>0</v>
      </c>
    </row>
    <row r="4574" spans="1:7">
      <c r="A4574" s="3">
        <v>10</v>
      </c>
      <c r="B4574" s="3">
        <v>5</v>
      </c>
      <c r="C4574" s="3">
        <v>179</v>
      </c>
      <c r="D4574" s="3">
        <v>99</v>
      </c>
      <c r="E4574" s="3">
        <v>-660.224</v>
      </c>
      <c r="F4574" s="4" t="str">
        <f>HYPERLINK("http://141.218.60.56/~jnz1568/getInfo.php?workbook=10_05.xlsx&amp;sheet=A0&amp;row=4574&amp;col=6&amp;number=723&amp;sourceID=14","723")</f>
        <v>723</v>
      </c>
      <c r="G4574" s="4" t="str">
        <f>HYPERLINK("http://141.218.60.56/~jnz1568/getInfo.php?workbook=10_05.xlsx&amp;sheet=A0&amp;row=4574&amp;col=7&amp;number=0&amp;sourceID=14","0")</f>
        <v>0</v>
      </c>
    </row>
    <row r="4575" spans="1:7">
      <c r="A4575" s="3">
        <v>10</v>
      </c>
      <c r="B4575" s="3">
        <v>5</v>
      </c>
      <c r="C4575" s="3">
        <v>180</v>
      </c>
      <c r="D4575" s="3">
        <v>99</v>
      </c>
      <c r="E4575" s="3">
        <v>-660.063</v>
      </c>
      <c r="F4575" s="4" t="str">
        <f>HYPERLINK("http://141.218.60.56/~jnz1568/getInfo.php?workbook=10_05.xlsx&amp;sheet=A0&amp;row=4575&amp;col=6&amp;number=247&amp;sourceID=14","247")</f>
        <v>247</v>
      </c>
      <c r="G4575" s="4" t="str">
        <f>HYPERLINK("http://141.218.60.56/~jnz1568/getInfo.php?workbook=10_05.xlsx&amp;sheet=A0&amp;row=4575&amp;col=7&amp;number=0&amp;sourceID=14","0")</f>
        <v>0</v>
      </c>
    </row>
    <row r="4576" spans="1:7">
      <c r="A4576" s="3">
        <v>10</v>
      </c>
      <c r="B4576" s="3">
        <v>5</v>
      </c>
      <c r="C4576" s="3">
        <v>101</v>
      </c>
      <c r="D4576" s="3">
        <v>100</v>
      </c>
      <c r="E4576" s="3">
        <v>-1818185.164</v>
      </c>
      <c r="F4576" s="4" t="str">
        <f>HYPERLINK("http://141.218.60.56/~jnz1568/getInfo.php?workbook=10_05.xlsx&amp;sheet=A0&amp;row=4576&amp;col=6&amp;number=0.000188&amp;sourceID=14","0.000188")</f>
        <v>0.000188</v>
      </c>
      <c r="G4576" s="4" t="str">
        <f>HYPERLINK("http://141.218.60.56/~jnz1568/getInfo.php?workbook=10_05.xlsx&amp;sheet=A0&amp;row=4576&amp;col=7&amp;number=0&amp;sourceID=14","0")</f>
        <v>0</v>
      </c>
    </row>
    <row r="4577" spans="1:7">
      <c r="A4577" s="3">
        <v>10</v>
      </c>
      <c r="B4577" s="3">
        <v>5</v>
      </c>
      <c r="C4577" s="3">
        <v>103</v>
      </c>
      <c r="D4577" s="3">
        <v>100</v>
      </c>
      <c r="E4577" s="3">
        <v>-125470.745</v>
      </c>
      <c r="F4577" s="4" t="str">
        <f>HYPERLINK("http://141.218.60.56/~jnz1568/getInfo.php?workbook=10_05.xlsx&amp;sheet=A0&amp;row=4577&amp;col=6&amp;number=0.141&amp;sourceID=14","0.141")</f>
        <v>0.141</v>
      </c>
      <c r="G4577" s="4" t="str">
        <f>HYPERLINK("http://141.218.60.56/~jnz1568/getInfo.php?workbook=10_05.xlsx&amp;sheet=A0&amp;row=4577&amp;col=7&amp;number=0&amp;sourceID=14","0")</f>
        <v>0</v>
      </c>
    </row>
    <row r="4578" spans="1:7">
      <c r="A4578" s="3">
        <v>10</v>
      </c>
      <c r="B4578" s="3">
        <v>5</v>
      </c>
      <c r="C4578" s="3">
        <v>112</v>
      </c>
      <c r="D4578" s="3">
        <v>100</v>
      </c>
      <c r="E4578" s="3">
        <v>-12886.622</v>
      </c>
      <c r="F4578" s="4" t="str">
        <f>HYPERLINK("http://141.218.60.56/~jnz1568/getInfo.php?workbook=10_05.xlsx&amp;sheet=A0&amp;row=4578&amp;col=6&amp;number=9.98&amp;sourceID=14","9.98")</f>
        <v>9.98</v>
      </c>
      <c r="G4578" s="4" t="str">
        <f>HYPERLINK("http://141.218.60.56/~jnz1568/getInfo.php?workbook=10_05.xlsx&amp;sheet=A0&amp;row=4578&amp;col=7&amp;number=0&amp;sourceID=14","0")</f>
        <v>0</v>
      </c>
    </row>
    <row r="4579" spans="1:7">
      <c r="A4579" s="3">
        <v>10</v>
      </c>
      <c r="B4579" s="3">
        <v>5</v>
      </c>
      <c r="C4579" s="3">
        <v>113</v>
      </c>
      <c r="D4579" s="3">
        <v>100</v>
      </c>
      <c r="E4579" s="3">
        <v>-11750.903</v>
      </c>
      <c r="F4579" s="4" t="str">
        <f>HYPERLINK("http://141.218.60.56/~jnz1568/getInfo.php?workbook=10_05.xlsx&amp;sheet=A0&amp;row=4579&amp;col=6&amp;number=2.83&amp;sourceID=14","2.83")</f>
        <v>2.83</v>
      </c>
      <c r="G4579" s="4" t="str">
        <f>HYPERLINK("http://141.218.60.56/~jnz1568/getInfo.php?workbook=10_05.xlsx&amp;sheet=A0&amp;row=4579&amp;col=7&amp;number=0&amp;sourceID=14","0")</f>
        <v>0</v>
      </c>
    </row>
    <row r="4580" spans="1:7">
      <c r="A4580" s="3">
        <v>10</v>
      </c>
      <c r="B4580" s="3">
        <v>5</v>
      </c>
      <c r="C4580" s="3">
        <v>114</v>
      </c>
      <c r="D4580" s="3">
        <v>100</v>
      </c>
      <c r="E4580" s="3">
        <v>-11645.532</v>
      </c>
      <c r="F4580" s="4" t="str">
        <f>HYPERLINK("http://141.218.60.56/~jnz1568/getInfo.php?workbook=10_05.xlsx&amp;sheet=A0&amp;row=4580&amp;col=6&amp;number=3.14&amp;sourceID=14","3.14")</f>
        <v>3.14</v>
      </c>
      <c r="G4580" s="4" t="str">
        <f>HYPERLINK("http://141.218.60.56/~jnz1568/getInfo.php?workbook=10_05.xlsx&amp;sheet=A0&amp;row=4580&amp;col=7&amp;number=0&amp;sourceID=14","0")</f>
        <v>0</v>
      </c>
    </row>
    <row r="4581" spans="1:7">
      <c r="A4581" s="3">
        <v>10</v>
      </c>
      <c r="B4581" s="3">
        <v>5</v>
      </c>
      <c r="C4581" s="3">
        <v>128</v>
      </c>
      <c r="D4581" s="3">
        <v>100</v>
      </c>
      <c r="E4581" s="3">
        <v>-4631.782</v>
      </c>
      <c r="F4581" s="4" t="str">
        <f>HYPERLINK("http://141.218.60.56/~jnz1568/getInfo.php?workbook=10_05.xlsx&amp;sheet=A0&amp;row=4581&amp;col=6&amp;number=4.04&amp;sourceID=14","4.04")</f>
        <v>4.04</v>
      </c>
      <c r="G4581" s="4" t="str">
        <f>HYPERLINK("http://141.218.60.56/~jnz1568/getInfo.php?workbook=10_05.xlsx&amp;sheet=A0&amp;row=4581&amp;col=7&amp;number=0&amp;sourceID=14","0")</f>
        <v>0</v>
      </c>
    </row>
    <row r="4582" spans="1:7">
      <c r="A4582" s="3">
        <v>10</v>
      </c>
      <c r="B4582" s="3">
        <v>5</v>
      </c>
      <c r="C4582" s="3">
        <v>134</v>
      </c>
      <c r="D4582" s="3">
        <v>100</v>
      </c>
      <c r="E4582" s="3">
        <v>-3836.128</v>
      </c>
      <c r="F4582" s="4" t="str">
        <f>HYPERLINK("http://141.218.60.56/~jnz1568/getInfo.php?workbook=10_05.xlsx&amp;sheet=A0&amp;row=4582&amp;col=6&amp;number=792&amp;sourceID=14","792")</f>
        <v>792</v>
      </c>
      <c r="G4582" s="4" t="str">
        <f>HYPERLINK("http://141.218.60.56/~jnz1568/getInfo.php?workbook=10_05.xlsx&amp;sheet=A0&amp;row=4582&amp;col=7&amp;number=0&amp;sourceID=14","0")</f>
        <v>0</v>
      </c>
    </row>
    <row r="4583" spans="1:7">
      <c r="A4583" s="3">
        <v>10</v>
      </c>
      <c r="B4583" s="3">
        <v>5</v>
      </c>
      <c r="C4583" s="3">
        <v>135</v>
      </c>
      <c r="D4583" s="3">
        <v>100</v>
      </c>
      <c r="E4583" s="3">
        <v>-3800.988</v>
      </c>
      <c r="F4583" s="4" t="str">
        <f>HYPERLINK("http://141.218.60.56/~jnz1568/getInfo.php?workbook=10_05.xlsx&amp;sheet=A0&amp;row=4583&amp;col=6&amp;number=4360&amp;sourceID=14","4360")</f>
        <v>4360</v>
      </c>
      <c r="G4583" s="4" t="str">
        <f>HYPERLINK("http://141.218.60.56/~jnz1568/getInfo.php?workbook=10_05.xlsx&amp;sheet=A0&amp;row=4583&amp;col=7&amp;number=0&amp;sourceID=14","0")</f>
        <v>0</v>
      </c>
    </row>
    <row r="4584" spans="1:7">
      <c r="A4584" s="3">
        <v>10</v>
      </c>
      <c r="B4584" s="3">
        <v>5</v>
      </c>
      <c r="C4584" s="3">
        <v>136</v>
      </c>
      <c r="D4584" s="3">
        <v>100</v>
      </c>
      <c r="E4584" s="3">
        <v>-3749.398</v>
      </c>
      <c r="F4584" s="4" t="str">
        <f>HYPERLINK("http://141.218.60.56/~jnz1568/getInfo.php?workbook=10_05.xlsx&amp;sheet=A0&amp;row=4584&amp;col=6&amp;number=46100&amp;sourceID=14","46100")</f>
        <v>46100</v>
      </c>
      <c r="G4584" s="4" t="str">
        <f>HYPERLINK("http://141.218.60.56/~jnz1568/getInfo.php?workbook=10_05.xlsx&amp;sheet=A0&amp;row=4584&amp;col=7&amp;number=0&amp;sourceID=14","0")</f>
        <v>0</v>
      </c>
    </row>
    <row r="4585" spans="1:7">
      <c r="A4585" s="3">
        <v>10</v>
      </c>
      <c r="B4585" s="3">
        <v>5</v>
      </c>
      <c r="C4585" s="3">
        <v>142</v>
      </c>
      <c r="D4585" s="3">
        <v>100</v>
      </c>
      <c r="E4585" s="3">
        <v>-3244.758</v>
      </c>
      <c r="F4585" s="4" t="str">
        <f>HYPERLINK("http://141.218.60.56/~jnz1568/getInfo.php?workbook=10_05.xlsx&amp;sheet=A0&amp;row=4585&amp;col=6&amp;number=46800&amp;sourceID=14","46800")</f>
        <v>46800</v>
      </c>
      <c r="G4585" s="4" t="str">
        <f>HYPERLINK("http://141.218.60.56/~jnz1568/getInfo.php?workbook=10_05.xlsx&amp;sheet=A0&amp;row=4585&amp;col=7&amp;number=0&amp;sourceID=14","0")</f>
        <v>0</v>
      </c>
    </row>
    <row r="4586" spans="1:7">
      <c r="A4586" s="3">
        <v>10</v>
      </c>
      <c r="B4586" s="3">
        <v>5</v>
      </c>
      <c r="C4586" s="3">
        <v>143</v>
      </c>
      <c r="D4586" s="3">
        <v>100</v>
      </c>
      <c r="E4586" s="3">
        <v>-3218.338</v>
      </c>
      <c r="F4586" s="4" t="str">
        <f>HYPERLINK("http://141.218.60.56/~jnz1568/getInfo.php?workbook=10_05.xlsx&amp;sheet=A0&amp;row=4586&amp;col=6&amp;number=52500&amp;sourceID=14","52500")</f>
        <v>52500</v>
      </c>
      <c r="G4586" s="4" t="str">
        <f>HYPERLINK("http://141.218.60.56/~jnz1568/getInfo.php?workbook=10_05.xlsx&amp;sheet=A0&amp;row=4586&amp;col=7&amp;number=0&amp;sourceID=14","0")</f>
        <v>0</v>
      </c>
    </row>
    <row r="4587" spans="1:7">
      <c r="A4587" s="3">
        <v>10</v>
      </c>
      <c r="B4587" s="3">
        <v>5</v>
      </c>
      <c r="C4587" s="3">
        <v>144</v>
      </c>
      <c r="D4587" s="3">
        <v>100</v>
      </c>
      <c r="E4587" s="3">
        <v>-3198.061</v>
      </c>
      <c r="F4587" s="4" t="str">
        <f>HYPERLINK("http://141.218.60.56/~jnz1568/getInfo.php?workbook=10_05.xlsx&amp;sheet=A0&amp;row=4587&amp;col=6&amp;number=2720&amp;sourceID=14","2720")</f>
        <v>2720</v>
      </c>
      <c r="G4587" s="4" t="str">
        <f>HYPERLINK("http://141.218.60.56/~jnz1568/getInfo.php?workbook=10_05.xlsx&amp;sheet=A0&amp;row=4587&amp;col=7&amp;number=0&amp;sourceID=14","0")</f>
        <v>0</v>
      </c>
    </row>
    <row r="4588" spans="1:7">
      <c r="A4588" s="3">
        <v>10</v>
      </c>
      <c r="B4588" s="3">
        <v>5</v>
      </c>
      <c r="C4588" s="3">
        <v>145</v>
      </c>
      <c r="D4588" s="3">
        <v>100</v>
      </c>
      <c r="E4588" s="3">
        <v>-3108.589</v>
      </c>
      <c r="F4588" s="4" t="str">
        <f>HYPERLINK("http://141.218.60.56/~jnz1568/getInfo.php?workbook=10_05.xlsx&amp;sheet=A0&amp;row=4588&amp;col=6&amp;number=105&amp;sourceID=14","105")</f>
        <v>105</v>
      </c>
      <c r="G4588" s="4" t="str">
        <f>HYPERLINK("http://141.218.60.56/~jnz1568/getInfo.php?workbook=10_05.xlsx&amp;sheet=A0&amp;row=4588&amp;col=7&amp;number=0&amp;sourceID=14","0")</f>
        <v>0</v>
      </c>
    </row>
    <row r="4589" spans="1:7">
      <c r="A4589" s="3">
        <v>10</v>
      </c>
      <c r="B4589" s="3">
        <v>5</v>
      </c>
      <c r="C4589" s="3">
        <v>146</v>
      </c>
      <c r="D4589" s="3">
        <v>100</v>
      </c>
      <c r="E4589" s="3">
        <v>-3085.378</v>
      </c>
      <c r="F4589" s="4" t="str">
        <f>HYPERLINK("http://141.218.60.56/~jnz1568/getInfo.php?workbook=10_05.xlsx&amp;sheet=A0&amp;row=4589&amp;col=6&amp;number=380&amp;sourceID=14","380")</f>
        <v>380</v>
      </c>
      <c r="G4589" s="4" t="str">
        <f>HYPERLINK("http://141.218.60.56/~jnz1568/getInfo.php?workbook=10_05.xlsx&amp;sheet=A0&amp;row=4589&amp;col=7&amp;number=0&amp;sourceID=14","0")</f>
        <v>0</v>
      </c>
    </row>
    <row r="4590" spans="1:7">
      <c r="A4590" s="3">
        <v>10</v>
      </c>
      <c r="B4590" s="3">
        <v>5</v>
      </c>
      <c r="C4590" s="3">
        <v>147</v>
      </c>
      <c r="D4590" s="3">
        <v>100</v>
      </c>
      <c r="E4590" s="3">
        <v>-3051.298</v>
      </c>
      <c r="F4590" s="4" t="str">
        <f>HYPERLINK("http://141.218.60.56/~jnz1568/getInfo.php?workbook=10_05.xlsx&amp;sheet=A0&amp;row=4590&amp;col=6&amp;number=3820&amp;sourceID=14","3820")</f>
        <v>3820</v>
      </c>
      <c r="G4590" s="4" t="str">
        <f>HYPERLINK("http://141.218.60.56/~jnz1568/getInfo.php?workbook=10_05.xlsx&amp;sheet=A0&amp;row=4590&amp;col=7&amp;number=0&amp;sourceID=14","0")</f>
        <v>0</v>
      </c>
    </row>
    <row r="4591" spans="1:7">
      <c r="A4591" s="3">
        <v>10</v>
      </c>
      <c r="B4591" s="3">
        <v>5</v>
      </c>
      <c r="C4591" s="3">
        <v>148</v>
      </c>
      <c r="D4591" s="3">
        <v>100</v>
      </c>
      <c r="E4591" s="3">
        <v>-3042.201</v>
      </c>
      <c r="F4591" s="4" t="str">
        <f>HYPERLINK("http://141.218.60.56/~jnz1568/getInfo.php?workbook=10_05.xlsx&amp;sheet=A0&amp;row=4591&amp;col=6&amp;number=3.22&amp;sourceID=14","3.22")</f>
        <v>3.22</v>
      </c>
      <c r="G4591" s="4" t="str">
        <f>HYPERLINK("http://141.218.60.56/~jnz1568/getInfo.php?workbook=10_05.xlsx&amp;sheet=A0&amp;row=4591&amp;col=7&amp;number=0&amp;sourceID=14","0")</f>
        <v>0</v>
      </c>
    </row>
    <row r="4592" spans="1:7">
      <c r="A4592" s="3">
        <v>10</v>
      </c>
      <c r="B4592" s="3">
        <v>5</v>
      </c>
      <c r="C4592" s="3">
        <v>152</v>
      </c>
      <c r="D4592" s="3">
        <v>100</v>
      </c>
      <c r="E4592" s="3">
        <v>-2608.519</v>
      </c>
      <c r="F4592" s="4" t="str">
        <f>HYPERLINK("http://141.218.60.56/~jnz1568/getInfo.php?workbook=10_05.xlsx&amp;sheet=A0&amp;row=4592&amp;col=6&amp;number=46.4&amp;sourceID=14","46.4")</f>
        <v>46.4</v>
      </c>
      <c r="G4592" s="4" t="str">
        <f>HYPERLINK("http://141.218.60.56/~jnz1568/getInfo.php?workbook=10_05.xlsx&amp;sheet=A0&amp;row=4592&amp;col=7&amp;number=0&amp;sourceID=14","0")</f>
        <v>0</v>
      </c>
    </row>
    <row r="4593" spans="1:7">
      <c r="A4593" s="3">
        <v>10</v>
      </c>
      <c r="B4593" s="3">
        <v>5</v>
      </c>
      <c r="C4593" s="3">
        <v>153</v>
      </c>
      <c r="D4593" s="3">
        <v>100</v>
      </c>
      <c r="E4593" s="3">
        <v>-2555.132</v>
      </c>
      <c r="F4593" s="4" t="str">
        <f>HYPERLINK("http://141.218.60.56/~jnz1568/getInfo.php?workbook=10_05.xlsx&amp;sheet=A0&amp;row=4593&amp;col=6&amp;number=1210&amp;sourceID=14","1210")</f>
        <v>1210</v>
      </c>
      <c r="G4593" s="4" t="str">
        <f>HYPERLINK("http://141.218.60.56/~jnz1568/getInfo.php?workbook=10_05.xlsx&amp;sheet=A0&amp;row=4593&amp;col=7&amp;number=0&amp;sourceID=14","0")</f>
        <v>0</v>
      </c>
    </row>
    <row r="4594" spans="1:7">
      <c r="A4594" s="3">
        <v>10</v>
      </c>
      <c r="B4594" s="3">
        <v>5</v>
      </c>
      <c r="C4594" s="3">
        <v>158</v>
      </c>
      <c r="D4594" s="3">
        <v>100</v>
      </c>
      <c r="E4594" s="3">
        <v>-2443.439</v>
      </c>
      <c r="F4594" s="4" t="str">
        <f>HYPERLINK("http://141.218.60.56/~jnz1568/getInfo.php?workbook=10_05.xlsx&amp;sheet=A0&amp;row=4594&amp;col=6&amp;number=0.902&amp;sourceID=14","0.902")</f>
        <v>0.902</v>
      </c>
      <c r="G4594" s="4" t="str">
        <f>HYPERLINK("http://141.218.60.56/~jnz1568/getInfo.php?workbook=10_05.xlsx&amp;sheet=A0&amp;row=4594&amp;col=7&amp;number=0&amp;sourceID=14","0")</f>
        <v>0</v>
      </c>
    </row>
    <row r="4595" spans="1:7">
      <c r="A4595" s="3">
        <v>10</v>
      </c>
      <c r="B4595" s="3">
        <v>5</v>
      </c>
      <c r="C4595" s="3">
        <v>165</v>
      </c>
      <c r="D4595" s="3">
        <v>100</v>
      </c>
      <c r="E4595" s="3">
        <v>-1141.333</v>
      </c>
      <c r="F4595" s="4" t="str">
        <f>HYPERLINK("http://141.218.60.56/~jnz1568/getInfo.php?workbook=10_05.xlsx&amp;sheet=A0&amp;row=4595&amp;col=6&amp;number=358&amp;sourceID=14","358")</f>
        <v>358</v>
      </c>
      <c r="G4595" s="4" t="str">
        <f>HYPERLINK("http://141.218.60.56/~jnz1568/getInfo.php?workbook=10_05.xlsx&amp;sheet=A0&amp;row=4595&amp;col=7&amp;number=0&amp;sourceID=14","0")</f>
        <v>0</v>
      </c>
    </row>
    <row r="4596" spans="1:7">
      <c r="A4596" s="3">
        <v>10</v>
      </c>
      <c r="B4596" s="3">
        <v>5</v>
      </c>
      <c r="C4596" s="3">
        <v>167</v>
      </c>
      <c r="D4596" s="3">
        <v>100</v>
      </c>
      <c r="E4596" s="3">
        <v>-871.545</v>
      </c>
      <c r="F4596" s="4" t="str">
        <f>HYPERLINK("http://141.218.60.56/~jnz1568/getInfo.php?workbook=10_05.xlsx&amp;sheet=A0&amp;row=4596&amp;col=6&amp;number=29.3&amp;sourceID=14","29.3")</f>
        <v>29.3</v>
      </c>
      <c r="G4596" s="4" t="str">
        <f>HYPERLINK("http://141.218.60.56/~jnz1568/getInfo.php?workbook=10_05.xlsx&amp;sheet=A0&amp;row=4596&amp;col=7&amp;number=0&amp;sourceID=14","0")</f>
        <v>0</v>
      </c>
    </row>
    <row r="4597" spans="1:7">
      <c r="A4597" s="3">
        <v>10</v>
      </c>
      <c r="B4597" s="3">
        <v>5</v>
      </c>
      <c r="C4597" s="3">
        <v>175</v>
      </c>
      <c r="D4597" s="3">
        <v>100</v>
      </c>
      <c r="E4597" s="3">
        <v>-683.93</v>
      </c>
      <c r="F4597" s="4" t="str">
        <f>HYPERLINK("http://141.218.60.56/~jnz1568/getInfo.php?workbook=10_05.xlsx&amp;sheet=A0&amp;row=4597&amp;col=6&amp;number=1590&amp;sourceID=14","1590")</f>
        <v>1590</v>
      </c>
      <c r="G4597" s="4" t="str">
        <f>HYPERLINK("http://141.218.60.56/~jnz1568/getInfo.php?workbook=10_05.xlsx&amp;sheet=A0&amp;row=4597&amp;col=7&amp;number=0&amp;sourceID=14","0")</f>
        <v>0</v>
      </c>
    </row>
    <row r="4598" spans="1:7">
      <c r="A4598" s="3">
        <v>10</v>
      </c>
      <c r="B4598" s="3">
        <v>5</v>
      </c>
      <c r="C4598" s="3">
        <v>177</v>
      </c>
      <c r="D4598" s="3">
        <v>100</v>
      </c>
      <c r="E4598" s="3">
        <v>-679.783</v>
      </c>
      <c r="F4598" s="4" t="str">
        <f>HYPERLINK("http://141.218.60.56/~jnz1568/getInfo.php?workbook=10_05.xlsx&amp;sheet=A0&amp;row=4598&amp;col=6&amp;number=453&amp;sourceID=14","453")</f>
        <v>453</v>
      </c>
      <c r="G4598" s="4" t="str">
        <f>HYPERLINK("http://141.218.60.56/~jnz1568/getInfo.php?workbook=10_05.xlsx&amp;sheet=A0&amp;row=4598&amp;col=7&amp;number=0&amp;sourceID=14","0")</f>
        <v>0</v>
      </c>
    </row>
    <row r="4599" spans="1:7">
      <c r="A4599" s="3">
        <v>10</v>
      </c>
      <c r="B4599" s="3">
        <v>5</v>
      </c>
      <c r="C4599" s="3">
        <v>178</v>
      </c>
      <c r="D4599" s="3">
        <v>100</v>
      </c>
      <c r="E4599" s="3">
        <v>-679.58</v>
      </c>
      <c r="F4599" s="4" t="str">
        <f>HYPERLINK("http://141.218.60.56/~jnz1568/getInfo.php?workbook=10_05.xlsx&amp;sheet=A0&amp;row=4599&amp;col=6&amp;number=778&amp;sourceID=14","778")</f>
        <v>778</v>
      </c>
      <c r="G4599" s="4" t="str">
        <f>HYPERLINK("http://141.218.60.56/~jnz1568/getInfo.php?workbook=10_05.xlsx&amp;sheet=A0&amp;row=4599&amp;col=7&amp;number=0&amp;sourceID=14","0")</f>
        <v>0</v>
      </c>
    </row>
    <row r="4600" spans="1:7">
      <c r="A4600" s="3">
        <v>10</v>
      </c>
      <c r="B4600" s="3">
        <v>5</v>
      </c>
      <c r="C4600" s="3">
        <v>180</v>
      </c>
      <c r="D4600" s="3">
        <v>100</v>
      </c>
      <c r="E4600" s="3">
        <v>-661.211</v>
      </c>
      <c r="F4600" s="4" t="str">
        <f>HYPERLINK("http://141.218.60.56/~jnz1568/getInfo.php?workbook=10_05.xlsx&amp;sheet=A0&amp;row=4600&amp;col=6&amp;number=385&amp;sourceID=14","385")</f>
        <v>385</v>
      </c>
      <c r="G4600" s="4" t="str">
        <f>HYPERLINK("http://141.218.60.56/~jnz1568/getInfo.php?workbook=10_05.xlsx&amp;sheet=A0&amp;row=4600&amp;col=7&amp;number=0&amp;sourceID=14","0")</f>
        <v>0</v>
      </c>
    </row>
    <row r="4601" spans="1:7">
      <c r="A4601" s="3">
        <v>10</v>
      </c>
      <c r="B4601" s="3">
        <v>5</v>
      </c>
      <c r="C4601" s="3">
        <v>105</v>
      </c>
      <c r="D4601" s="3">
        <v>101</v>
      </c>
      <c r="E4601" s="3">
        <v>-17664.756</v>
      </c>
      <c r="F4601" s="4" t="str">
        <f>HYPERLINK("http://141.218.60.56/~jnz1568/getInfo.php?workbook=10_05.xlsx&amp;sheet=A0&amp;row=4601&amp;col=6&amp;number=28600&amp;sourceID=14","28600")</f>
        <v>28600</v>
      </c>
      <c r="G4601" s="4" t="str">
        <f>HYPERLINK("http://141.218.60.56/~jnz1568/getInfo.php?workbook=10_05.xlsx&amp;sheet=A0&amp;row=4601&amp;col=7&amp;number=0&amp;sourceID=14","0")</f>
        <v>0</v>
      </c>
    </row>
    <row r="4602" spans="1:7">
      <c r="A4602" s="3">
        <v>10</v>
      </c>
      <c r="B4602" s="3">
        <v>5</v>
      </c>
      <c r="C4602" s="3">
        <v>106</v>
      </c>
      <c r="D4602" s="3">
        <v>101</v>
      </c>
      <c r="E4602" s="3">
        <v>-17283.129</v>
      </c>
      <c r="F4602" s="4" t="str">
        <f>HYPERLINK("http://141.218.60.56/~jnz1568/getInfo.php?workbook=10_05.xlsx&amp;sheet=A0&amp;row=4602&amp;col=6&amp;number=98900&amp;sourceID=14","98900")</f>
        <v>98900</v>
      </c>
      <c r="G4602" s="4" t="str">
        <f>HYPERLINK("http://141.218.60.56/~jnz1568/getInfo.php?workbook=10_05.xlsx&amp;sheet=A0&amp;row=4602&amp;col=7&amp;number=0&amp;sourceID=14","0")</f>
        <v>0</v>
      </c>
    </row>
    <row r="4603" spans="1:7">
      <c r="A4603" s="3">
        <v>10</v>
      </c>
      <c r="B4603" s="3">
        <v>5</v>
      </c>
      <c r="C4603" s="3">
        <v>107</v>
      </c>
      <c r="D4603" s="3">
        <v>101</v>
      </c>
      <c r="E4603" s="3">
        <v>-16490.796</v>
      </c>
      <c r="F4603" s="4" t="str">
        <f>HYPERLINK("http://141.218.60.56/~jnz1568/getInfo.php?workbook=10_05.xlsx&amp;sheet=A0&amp;row=4603&amp;col=6&amp;number=171000&amp;sourceID=14","171000")</f>
        <v>171000</v>
      </c>
      <c r="G4603" s="4" t="str">
        <f>HYPERLINK("http://141.218.60.56/~jnz1568/getInfo.php?workbook=10_05.xlsx&amp;sheet=A0&amp;row=4603&amp;col=7&amp;number=0&amp;sourceID=14","0")</f>
        <v>0</v>
      </c>
    </row>
    <row r="4604" spans="1:7">
      <c r="A4604" s="3">
        <v>10</v>
      </c>
      <c r="B4604" s="3">
        <v>5</v>
      </c>
      <c r="C4604" s="3">
        <v>109</v>
      </c>
      <c r="D4604" s="3">
        <v>101</v>
      </c>
      <c r="E4604" s="3">
        <v>-14775.441</v>
      </c>
      <c r="F4604" s="4" t="str">
        <f>HYPERLINK("http://141.218.60.56/~jnz1568/getInfo.php?workbook=10_05.xlsx&amp;sheet=A0&amp;row=4604&amp;col=6&amp;number=11700&amp;sourceID=14","11700")</f>
        <v>11700</v>
      </c>
      <c r="G4604" s="4" t="str">
        <f>HYPERLINK("http://141.218.60.56/~jnz1568/getInfo.php?workbook=10_05.xlsx&amp;sheet=A0&amp;row=4604&amp;col=7&amp;number=0&amp;sourceID=14","0")</f>
        <v>0</v>
      </c>
    </row>
    <row r="4605" spans="1:7">
      <c r="A4605" s="3">
        <v>10</v>
      </c>
      <c r="B4605" s="3">
        <v>5</v>
      </c>
      <c r="C4605" s="3">
        <v>111</v>
      </c>
      <c r="D4605" s="3">
        <v>101</v>
      </c>
      <c r="E4605" s="3">
        <v>-13575.914</v>
      </c>
      <c r="F4605" s="4" t="str">
        <f>HYPERLINK("http://141.218.60.56/~jnz1568/getInfo.php?workbook=10_05.xlsx&amp;sheet=A0&amp;row=4605&amp;col=6&amp;number=2920&amp;sourceID=14","2920")</f>
        <v>2920</v>
      </c>
      <c r="G4605" s="4" t="str">
        <f>HYPERLINK("http://141.218.60.56/~jnz1568/getInfo.php?workbook=10_05.xlsx&amp;sheet=A0&amp;row=4605&amp;col=7&amp;number=0&amp;sourceID=14","0")</f>
        <v>0</v>
      </c>
    </row>
    <row r="4606" spans="1:7">
      <c r="A4606" s="3">
        <v>10</v>
      </c>
      <c r="B4606" s="3">
        <v>5</v>
      </c>
      <c r="C4606" s="3">
        <v>115</v>
      </c>
      <c r="D4606" s="3">
        <v>101</v>
      </c>
      <c r="E4606" s="3">
        <v>-7018.542</v>
      </c>
      <c r="F4606" s="4" t="str">
        <f>HYPERLINK("http://141.218.60.56/~jnz1568/getInfo.php?workbook=10_05.xlsx&amp;sheet=A0&amp;row=4606&amp;col=6&amp;number=12100&amp;sourceID=14","12100")</f>
        <v>12100</v>
      </c>
      <c r="G4606" s="4" t="str">
        <f>HYPERLINK("http://141.218.60.56/~jnz1568/getInfo.php?workbook=10_05.xlsx&amp;sheet=A0&amp;row=4606&amp;col=7&amp;number=0&amp;sourceID=14","0")</f>
        <v>0</v>
      </c>
    </row>
    <row r="4607" spans="1:7">
      <c r="A4607" s="3">
        <v>10</v>
      </c>
      <c r="B4607" s="3">
        <v>5</v>
      </c>
      <c r="C4607" s="3">
        <v>117</v>
      </c>
      <c r="D4607" s="3">
        <v>101</v>
      </c>
      <c r="E4607" s="3">
        <v>-6509.581</v>
      </c>
      <c r="F4607" s="4" t="str">
        <f>HYPERLINK("http://141.218.60.56/~jnz1568/getInfo.php?workbook=10_05.xlsx&amp;sheet=A0&amp;row=4607&amp;col=6&amp;number=1870000&amp;sourceID=14","1870000")</f>
        <v>1870000</v>
      </c>
      <c r="G4607" s="4" t="str">
        <f>HYPERLINK("http://141.218.60.56/~jnz1568/getInfo.php?workbook=10_05.xlsx&amp;sheet=A0&amp;row=4607&amp;col=7&amp;number=0&amp;sourceID=14","0")</f>
        <v>0</v>
      </c>
    </row>
    <row r="4608" spans="1:7">
      <c r="A4608" s="3">
        <v>10</v>
      </c>
      <c r="B4608" s="3">
        <v>5</v>
      </c>
      <c r="C4608" s="3">
        <v>118</v>
      </c>
      <c r="D4608" s="3">
        <v>101</v>
      </c>
      <c r="E4608" s="3">
        <v>-6475.438</v>
      </c>
      <c r="F4608" s="4" t="str">
        <f>HYPERLINK("http://141.218.60.56/~jnz1568/getInfo.php?workbook=10_05.xlsx&amp;sheet=A0&amp;row=4608&amp;col=6&amp;number=1590000&amp;sourceID=14","1590000")</f>
        <v>1590000</v>
      </c>
      <c r="G4608" s="4" t="str">
        <f>HYPERLINK("http://141.218.60.56/~jnz1568/getInfo.php?workbook=10_05.xlsx&amp;sheet=A0&amp;row=4608&amp;col=7&amp;number=0&amp;sourceID=14","0")</f>
        <v>0</v>
      </c>
    </row>
    <row r="4609" spans="1:7">
      <c r="A4609" s="3">
        <v>10</v>
      </c>
      <c r="B4609" s="3">
        <v>5</v>
      </c>
      <c r="C4609" s="3">
        <v>119</v>
      </c>
      <c r="D4609" s="3">
        <v>101</v>
      </c>
      <c r="E4609" s="3">
        <v>-6454.54</v>
      </c>
      <c r="F4609" s="4" t="str">
        <f>HYPERLINK("http://141.218.60.56/~jnz1568/getInfo.php?workbook=10_05.xlsx&amp;sheet=A0&amp;row=4609&amp;col=6&amp;number=7370000&amp;sourceID=14","7370000")</f>
        <v>7370000</v>
      </c>
      <c r="G4609" s="4" t="str">
        <f>HYPERLINK("http://141.218.60.56/~jnz1568/getInfo.php?workbook=10_05.xlsx&amp;sheet=A0&amp;row=4609&amp;col=7&amp;number=0&amp;sourceID=14","0")</f>
        <v>0</v>
      </c>
    </row>
    <row r="4610" spans="1:7">
      <c r="A4610" s="3">
        <v>10</v>
      </c>
      <c r="B4610" s="3">
        <v>5</v>
      </c>
      <c r="C4610" s="3">
        <v>120</v>
      </c>
      <c r="D4610" s="3">
        <v>101</v>
      </c>
      <c r="E4610" s="3">
        <v>-5360.79</v>
      </c>
      <c r="F4610" s="4" t="str">
        <f>HYPERLINK("http://141.218.60.56/~jnz1568/getInfo.php?workbook=10_05.xlsx&amp;sheet=A0&amp;row=4610&amp;col=6&amp;number=6030000&amp;sourceID=14","6030000")</f>
        <v>6030000</v>
      </c>
      <c r="G4610" s="4" t="str">
        <f>HYPERLINK("http://141.218.60.56/~jnz1568/getInfo.php?workbook=10_05.xlsx&amp;sheet=A0&amp;row=4610&amp;col=7&amp;number=0&amp;sourceID=14","0")</f>
        <v>0</v>
      </c>
    </row>
    <row r="4611" spans="1:7">
      <c r="A4611" s="3">
        <v>10</v>
      </c>
      <c r="B4611" s="3">
        <v>5</v>
      </c>
      <c r="C4611" s="3">
        <v>121</v>
      </c>
      <c r="D4611" s="3">
        <v>101</v>
      </c>
      <c r="E4611" s="3">
        <v>-5297.181</v>
      </c>
      <c r="F4611" s="4" t="str">
        <f>HYPERLINK("http://141.218.60.56/~jnz1568/getInfo.php?workbook=10_05.xlsx&amp;sheet=A0&amp;row=4611&amp;col=6&amp;number=22200000&amp;sourceID=14","22200000")</f>
        <v>22200000</v>
      </c>
      <c r="G4611" s="4" t="str">
        <f>HYPERLINK("http://141.218.60.56/~jnz1568/getInfo.php?workbook=10_05.xlsx&amp;sheet=A0&amp;row=4611&amp;col=7&amp;number=0&amp;sourceID=14","0")</f>
        <v>0</v>
      </c>
    </row>
    <row r="4612" spans="1:7">
      <c r="A4612" s="3">
        <v>10</v>
      </c>
      <c r="B4612" s="3">
        <v>5</v>
      </c>
      <c r="C4612" s="3">
        <v>122</v>
      </c>
      <c r="D4612" s="3">
        <v>101</v>
      </c>
      <c r="E4612" s="3">
        <v>-5195.355</v>
      </c>
      <c r="F4612" s="4" t="str">
        <f>HYPERLINK("http://141.218.60.56/~jnz1568/getInfo.php?workbook=10_05.xlsx&amp;sheet=A0&amp;row=4612&amp;col=6&amp;number=35000000&amp;sourceID=14","35000000")</f>
        <v>35000000</v>
      </c>
      <c r="G4612" s="4" t="str">
        <f>HYPERLINK("http://141.218.60.56/~jnz1568/getInfo.php?workbook=10_05.xlsx&amp;sheet=A0&amp;row=4612&amp;col=7&amp;number=0&amp;sourceID=14","0")</f>
        <v>0</v>
      </c>
    </row>
    <row r="4613" spans="1:7">
      <c r="A4613" s="3">
        <v>10</v>
      </c>
      <c r="B4613" s="3">
        <v>5</v>
      </c>
      <c r="C4613" s="3">
        <v>123</v>
      </c>
      <c r="D4613" s="3">
        <v>101</v>
      </c>
      <c r="E4613" s="3">
        <v>-5117.193</v>
      </c>
      <c r="F4613" s="4" t="str">
        <f>HYPERLINK("http://141.218.60.56/~jnz1568/getInfo.php?workbook=10_05.xlsx&amp;sheet=A0&amp;row=4613&amp;col=6&amp;number=15500000&amp;sourceID=14","15500000")</f>
        <v>15500000</v>
      </c>
      <c r="G4613" s="4" t="str">
        <f>HYPERLINK("http://141.218.60.56/~jnz1568/getInfo.php?workbook=10_05.xlsx&amp;sheet=A0&amp;row=4613&amp;col=7&amp;number=0&amp;sourceID=14","0")</f>
        <v>0</v>
      </c>
    </row>
    <row r="4614" spans="1:7">
      <c r="A4614" s="3">
        <v>10</v>
      </c>
      <c r="B4614" s="3">
        <v>5</v>
      </c>
      <c r="C4614" s="3">
        <v>125</v>
      </c>
      <c r="D4614" s="3">
        <v>101</v>
      </c>
      <c r="E4614" s="3">
        <v>-4836.534</v>
      </c>
      <c r="F4614" s="4" t="str">
        <f>HYPERLINK("http://141.218.60.56/~jnz1568/getInfo.php?workbook=10_05.xlsx&amp;sheet=A0&amp;row=4614&amp;col=6&amp;number=45500&amp;sourceID=14","45500")</f>
        <v>45500</v>
      </c>
      <c r="G4614" s="4" t="str">
        <f>HYPERLINK("http://141.218.60.56/~jnz1568/getInfo.php?workbook=10_05.xlsx&amp;sheet=A0&amp;row=4614&amp;col=7&amp;number=0&amp;sourceID=14","0")</f>
        <v>0</v>
      </c>
    </row>
    <row r="4615" spans="1:7">
      <c r="A4615" s="3">
        <v>10</v>
      </c>
      <c r="B4615" s="3">
        <v>5</v>
      </c>
      <c r="C4615" s="3">
        <v>126</v>
      </c>
      <c r="D4615" s="3">
        <v>101</v>
      </c>
      <c r="E4615" s="3">
        <v>-4773.051</v>
      </c>
      <c r="F4615" s="4" t="str">
        <f>HYPERLINK("http://141.218.60.56/~jnz1568/getInfo.php?workbook=10_05.xlsx&amp;sheet=A0&amp;row=4615&amp;col=6&amp;number=1100000&amp;sourceID=14","1100000")</f>
        <v>1100000</v>
      </c>
      <c r="G4615" s="4" t="str">
        <f>HYPERLINK("http://141.218.60.56/~jnz1568/getInfo.php?workbook=10_05.xlsx&amp;sheet=A0&amp;row=4615&amp;col=7&amp;number=0&amp;sourceID=14","0")</f>
        <v>0</v>
      </c>
    </row>
    <row r="4616" spans="1:7">
      <c r="A4616" s="3">
        <v>10</v>
      </c>
      <c r="B4616" s="3">
        <v>5</v>
      </c>
      <c r="C4616" s="3">
        <v>129</v>
      </c>
      <c r="D4616" s="3">
        <v>101</v>
      </c>
      <c r="E4616" s="3">
        <v>-4273.33</v>
      </c>
      <c r="F4616" s="4" t="str">
        <f>HYPERLINK("http://141.218.60.56/~jnz1568/getInfo.php?workbook=10_05.xlsx&amp;sheet=A0&amp;row=4616&amp;col=6&amp;number=56700&amp;sourceID=14","56700")</f>
        <v>56700</v>
      </c>
      <c r="G4616" s="4" t="str">
        <f>HYPERLINK("http://141.218.60.56/~jnz1568/getInfo.php?workbook=10_05.xlsx&amp;sheet=A0&amp;row=4616&amp;col=7&amp;number=0&amp;sourceID=14","0")</f>
        <v>0</v>
      </c>
    </row>
    <row r="4617" spans="1:7">
      <c r="A4617" s="3">
        <v>10</v>
      </c>
      <c r="B4617" s="3">
        <v>5</v>
      </c>
      <c r="C4617" s="3">
        <v>130</v>
      </c>
      <c r="D4617" s="3">
        <v>101</v>
      </c>
      <c r="E4617" s="3">
        <v>-4165.806</v>
      </c>
      <c r="F4617" s="4" t="str">
        <f>HYPERLINK("http://141.218.60.56/~jnz1568/getInfo.php?workbook=10_05.xlsx&amp;sheet=A0&amp;row=4617&amp;col=6&amp;number=3680000&amp;sourceID=14","3680000")</f>
        <v>3680000</v>
      </c>
      <c r="G4617" s="4" t="str">
        <f>HYPERLINK("http://141.218.60.56/~jnz1568/getInfo.php?workbook=10_05.xlsx&amp;sheet=A0&amp;row=4617&amp;col=7&amp;number=0&amp;sourceID=14","0")</f>
        <v>0</v>
      </c>
    </row>
    <row r="4618" spans="1:7">
      <c r="A4618" s="3">
        <v>10</v>
      </c>
      <c r="B4618" s="3">
        <v>5</v>
      </c>
      <c r="C4618" s="3">
        <v>131</v>
      </c>
      <c r="D4618" s="3">
        <v>101</v>
      </c>
      <c r="E4618" s="3">
        <v>-4113.88</v>
      </c>
      <c r="F4618" s="4" t="str">
        <f>HYPERLINK("http://141.218.60.56/~jnz1568/getInfo.php?workbook=10_05.xlsx&amp;sheet=A0&amp;row=4618&amp;col=6&amp;number=72600000&amp;sourceID=14","72600000")</f>
        <v>72600000</v>
      </c>
      <c r="G4618" s="4" t="str">
        <f>HYPERLINK("http://141.218.60.56/~jnz1568/getInfo.php?workbook=10_05.xlsx&amp;sheet=A0&amp;row=4618&amp;col=7&amp;number=0&amp;sourceID=14","0")</f>
        <v>0</v>
      </c>
    </row>
    <row r="4619" spans="1:7">
      <c r="A4619" s="3">
        <v>10</v>
      </c>
      <c r="B4619" s="3">
        <v>5</v>
      </c>
      <c r="C4619" s="3">
        <v>132</v>
      </c>
      <c r="D4619" s="3">
        <v>101</v>
      </c>
      <c r="E4619" s="3">
        <v>-4089.151</v>
      </c>
      <c r="F4619" s="4" t="str">
        <f>HYPERLINK("http://141.218.60.56/~jnz1568/getInfo.php?workbook=10_05.xlsx&amp;sheet=A0&amp;row=4619&amp;col=6&amp;number=11500000&amp;sourceID=14","11500000")</f>
        <v>11500000</v>
      </c>
      <c r="G4619" s="4" t="str">
        <f>HYPERLINK("http://141.218.60.56/~jnz1568/getInfo.php?workbook=10_05.xlsx&amp;sheet=A0&amp;row=4619&amp;col=7&amp;number=0&amp;sourceID=14","0")</f>
        <v>0</v>
      </c>
    </row>
    <row r="4620" spans="1:7">
      <c r="A4620" s="3">
        <v>10</v>
      </c>
      <c r="B4620" s="3">
        <v>5</v>
      </c>
      <c r="C4620" s="3">
        <v>133</v>
      </c>
      <c r="D4620" s="3">
        <v>101</v>
      </c>
      <c r="E4620" s="3">
        <v>-4054.664</v>
      </c>
      <c r="F4620" s="4" t="str">
        <f>HYPERLINK("http://141.218.60.56/~jnz1568/getInfo.php?workbook=10_05.xlsx&amp;sheet=A0&amp;row=4620&amp;col=6&amp;number=19000000&amp;sourceID=14","19000000")</f>
        <v>19000000</v>
      </c>
      <c r="G4620" s="4" t="str">
        <f>HYPERLINK("http://141.218.60.56/~jnz1568/getInfo.php?workbook=10_05.xlsx&amp;sheet=A0&amp;row=4620&amp;col=7&amp;number=0&amp;sourceID=14","0")</f>
        <v>0</v>
      </c>
    </row>
    <row r="4621" spans="1:7">
      <c r="A4621" s="3">
        <v>10</v>
      </c>
      <c r="B4621" s="3">
        <v>5</v>
      </c>
      <c r="C4621" s="3">
        <v>140</v>
      </c>
      <c r="D4621" s="3">
        <v>101</v>
      </c>
      <c r="E4621" s="3">
        <v>-3389.722</v>
      </c>
      <c r="F4621" s="4" t="str">
        <f>HYPERLINK("http://141.218.60.56/~jnz1568/getInfo.php?workbook=10_05.xlsx&amp;sheet=A0&amp;row=4621&amp;col=6&amp;number=39600&amp;sourceID=14","39600")</f>
        <v>39600</v>
      </c>
      <c r="G4621" s="4" t="str">
        <f>HYPERLINK("http://141.218.60.56/~jnz1568/getInfo.php?workbook=10_05.xlsx&amp;sheet=A0&amp;row=4621&amp;col=7&amp;number=0&amp;sourceID=14","0")</f>
        <v>0</v>
      </c>
    </row>
    <row r="4622" spans="1:7">
      <c r="A4622" s="3">
        <v>10</v>
      </c>
      <c r="B4622" s="3">
        <v>5</v>
      </c>
      <c r="C4622" s="3">
        <v>150</v>
      </c>
      <c r="D4622" s="3">
        <v>101</v>
      </c>
      <c r="E4622" s="3">
        <v>-2744.393</v>
      </c>
      <c r="F4622" s="4" t="str">
        <f>HYPERLINK("http://141.218.60.56/~jnz1568/getInfo.php?workbook=10_05.xlsx&amp;sheet=A0&amp;row=4622&amp;col=6&amp;number=21.9&amp;sourceID=14","21.9")</f>
        <v>21.9</v>
      </c>
      <c r="G4622" s="4" t="str">
        <f>HYPERLINK("http://141.218.60.56/~jnz1568/getInfo.php?workbook=10_05.xlsx&amp;sheet=A0&amp;row=4622&amp;col=7&amp;number=0&amp;sourceID=14","0")</f>
        <v>0</v>
      </c>
    </row>
    <row r="4623" spans="1:7">
      <c r="A4623" s="3">
        <v>10</v>
      </c>
      <c r="B4623" s="3">
        <v>5</v>
      </c>
      <c r="C4623" s="3">
        <v>151</v>
      </c>
      <c r="D4623" s="3">
        <v>101</v>
      </c>
      <c r="E4623" s="3">
        <v>-2742.737</v>
      </c>
      <c r="F4623" s="4" t="str">
        <f>HYPERLINK("http://141.218.60.56/~jnz1568/getInfo.php?workbook=10_05.xlsx&amp;sheet=A0&amp;row=4623&amp;col=6&amp;number=1970&amp;sourceID=14","1970")</f>
        <v>1970</v>
      </c>
      <c r="G4623" s="4" t="str">
        <f>HYPERLINK("http://141.218.60.56/~jnz1568/getInfo.php?workbook=10_05.xlsx&amp;sheet=A0&amp;row=4623&amp;col=7&amp;number=0&amp;sourceID=14","0")</f>
        <v>0</v>
      </c>
    </row>
    <row r="4624" spans="1:7">
      <c r="A4624" s="3">
        <v>10</v>
      </c>
      <c r="B4624" s="3">
        <v>5</v>
      </c>
      <c r="C4624" s="3">
        <v>155</v>
      </c>
      <c r="D4624" s="3">
        <v>101</v>
      </c>
      <c r="E4624" s="3">
        <v>-2500.442</v>
      </c>
      <c r="F4624" s="4" t="str">
        <f>HYPERLINK("http://141.218.60.56/~jnz1568/getInfo.php?workbook=10_05.xlsx&amp;sheet=A0&amp;row=4624&amp;col=6&amp;number=1330&amp;sourceID=14","1330")</f>
        <v>1330</v>
      </c>
      <c r="G4624" s="4" t="str">
        <f>HYPERLINK("http://141.218.60.56/~jnz1568/getInfo.php?workbook=10_05.xlsx&amp;sheet=A0&amp;row=4624&amp;col=7&amp;number=0&amp;sourceID=14","0")</f>
        <v>0</v>
      </c>
    </row>
    <row r="4625" spans="1:7">
      <c r="A4625" s="3">
        <v>10</v>
      </c>
      <c r="B4625" s="3">
        <v>5</v>
      </c>
      <c r="C4625" s="3">
        <v>156</v>
      </c>
      <c r="D4625" s="3">
        <v>101</v>
      </c>
      <c r="E4625" s="3">
        <v>-2465.609</v>
      </c>
      <c r="F4625" s="4" t="str">
        <f>HYPERLINK("http://141.218.60.56/~jnz1568/getInfo.php?workbook=10_05.xlsx&amp;sheet=A0&amp;row=4625&amp;col=6&amp;number=26000&amp;sourceID=14","26000")</f>
        <v>26000</v>
      </c>
      <c r="G4625" s="4" t="str">
        <f>HYPERLINK("http://141.218.60.56/~jnz1568/getInfo.php?workbook=10_05.xlsx&amp;sheet=A0&amp;row=4625&amp;col=7&amp;number=0&amp;sourceID=14","0")</f>
        <v>0</v>
      </c>
    </row>
    <row r="4626" spans="1:7">
      <c r="A4626" s="3">
        <v>10</v>
      </c>
      <c r="B4626" s="3">
        <v>5</v>
      </c>
      <c r="C4626" s="3">
        <v>157</v>
      </c>
      <c r="D4626" s="3">
        <v>101</v>
      </c>
      <c r="E4626" s="3">
        <v>-2454.775</v>
      </c>
      <c r="F4626" s="4" t="str">
        <f>HYPERLINK("http://141.218.60.56/~jnz1568/getInfo.php?workbook=10_05.xlsx&amp;sheet=A0&amp;row=4626&amp;col=6&amp;number=96500&amp;sourceID=14","96500")</f>
        <v>96500</v>
      </c>
      <c r="G4626" s="4" t="str">
        <f>HYPERLINK("http://141.218.60.56/~jnz1568/getInfo.php?workbook=10_05.xlsx&amp;sheet=A0&amp;row=4626&amp;col=7&amp;number=0&amp;sourceID=14","0")</f>
        <v>0</v>
      </c>
    </row>
    <row r="4627" spans="1:7">
      <c r="A4627" s="3">
        <v>10</v>
      </c>
      <c r="B4627" s="3">
        <v>5</v>
      </c>
      <c r="C4627" s="3">
        <v>160</v>
      </c>
      <c r="D4627" s="3">
        <v>101</v>
      </c>
      <c r="E4627" s="3">
        <v>-2380.787</v>
      </c>
      <c r="F4627" s="4" t="str">
        <f>HYPERLINK("http://141.218.60.56/~jnz1568/getInfo.php?workbook=10_05.xlsx&amp;sheet=A0&amp;row=4627&amp;col=6&amp;number=26400&amp;sourceID=14","26400")</f>
        <v>26400</v>
      </c>
      <c r="G4627" s="4" t="str">
        <f>HYPERLINK("http://141.218.60.56/~jnz1568/getInfo.php?workbook=10_05.xlsx&amp;sheet=A0&amp;row=4627&amp;col=7&amp;number=0&amp;sourceID=14","0")</f>
        <v>0</v>
      </c>
    </row>
    <row r="4628" spans="1:7">
      <c r="A4628" s="3">
        <v>10</v>
      </c>
      <c r="B4628" s="3">
        <v>5</v>
      </c>
      <c r="C4628" s="3">
        <v>161</v>
      </c>
      <c r="D4628" s="3">
        <v>101</v>
      </c>
      <c r="E4628" s="3">
        <v>-2362.953</v>
      </c>
      <c r="F4628" s="4" t="str">
        <f>HYPERLINK("http://141.218.60.56/~jnz1568/getInfo.php?workbook=10_05.xlsx&amp;sheet=A0&amp;row=4628&amp;col=6&amp;number=4980&amp;sourceID=14","4980")</f>
        <v>4980</v>
      </c>
      <c r="G4628" s="4" t="str">
        <f>HYPERLINK("http://141.218.60.56/~jnz1568/getInfo.php?workbook=10_05.xlsx&amp;sheet=A0&amp;row=4628&amp;col=7&amp;number=0&amp;sourceID=14","0")</f>
        <v>0</v>
      </c>
    </row>
    <row r="4629" spans="1:7">
      <c r="A4629" s="3">
        <v>10</v>
      </c>
      <c r="B4629" s="3">
        <v>5</v>
      </c>
      <c r="C4629" s="3">
        <v>162</v>
      </c>
      <c r="D4629" s="3">
        <v>101</v>
      </c>
      <c r="E4629" s="3">
        <v>-2346.541</v>
      </c>
      <c r="F4629" s="4" t="str">
        <f>HYPERLINK("http://141.218.60.56/~jnz1568/getInfo.php?workbook=10_05.xlsx&amp;sheet=A0&amp;row=4629&amp;col=6&amp;number=17700&amp;sourceID=14","17700")</f>
        <v>17700</v>
      </c>
      <c r="G4629" s="4" t="str">
        <f>HYPERLINK("http://141.218.60.56/~jnz1568/getInfo.php?workbook=10_05.xlsx&amp;sheet=A0&amp;row=4629&amp;col=7&amp;number=0&amp;sourceID=14","0")</f>
        <v>0</v>
      </c>
    </row>
    <row r="4630" spans="1:7">
      <c r="A4630" s="3">
        <v>10</v>
      </c>
      <c r="B4630" s="3">
        <v>5</v>
      </c>
      <c r="C4630" s="3">
        <v>163</v>
      </c>
      <c r="D4630" s="3">
        <v>101</v>
      </c>
      <c r="E4630" s="3">
        <v>-1780.345</v>
      </c>
      <c r="F4630" s="4" t="str">
        <f>HYPERLINK("http://141.218.60.56/~jnz1568/getInfo.php?workbook=10_05.xlsx&amp;sheet=A0&amp;row=4630&amp;col=6&amp;number=49500&amp;sourceID=14","49500")</f>
        <v>49500</v>
      </c>
      <c r="G4630" s="4" t="str">
        <f>HYPERLINK("http://141.218.60.56/~jnz1568/getInfo.php?workbook=10_05.xlsx&amp;sheet=A0&amp;row=4630&amp;col=7&amp;number=0&amp;sourceID=14","0")</f>
        <v>0</v>
      </c>
    </row>
    <row r="4631" spans="1:7">
      <c r="A4631" s="3">
        <v>10</v>
      </c>
      <c r="B4631" s="3">
        <v>5</v>
      </c>
      <c r="C4631" s="3">
        <v>168</v>
      </c>
      <c r="D4631" s="3">
        <v>101</v>
      </c>
      <c r="E4631" s="3">
        <v>-814.082</v>
      </c>
      <c r="F4631" s="4" t="str">
        <f>HYPERLINK("http://141.218.60.56/~jnz1568/getInfo.php?workbook=10_05.xlsx&amp;sheet=A0&amp;row=4631&amp;col=6&amp;number=142&amp;sourceID=14","142")</f>
        <v>142</v>
      </c>
      <c r="G4631" s="4" t="str">
        <f>HYPERLINK("http://141.218.60.56/~jnz1568/getInfo.php?workbook=10_05.xlsx&amp;sheet=A0&amp;row=4631&amp;col=7&amp;number=0&amp;sourceID=14","0")</f>
        <v>0</v>
      </c>
    </row>
    <row r="4632" spans="1:7">
      <c r="A4632" s="3">
        <v>10</v>
      </c>
      <c r="B4632" s="3">
        <v>5</v>
      </c>
      <c r="C4632" s="3">
        <v>169</v>
      </c>
      <c r="D4632" s="3">
        <v>101</v>
      </c>
      <c r="E4632" s="3">
        <v>-813.764</v>
      </c>
      <c r="F4632" s="4" t="str">
        <f>HYPERLINK("http://141.218.60.56/~jnz1568/getInfo.php?workbook=10_05.xlsx&amp;sheet=A0&amp;row=4632&amp;col=6&amp;number=156&amp;sourceID=14","156")</f>
        <v>156</v>
      </c>
      <c r="G4632" s="4" t="str">
        <f>HYPERLINK("http://141.218.60.56/~jnz1568/getInfo.php?workbook=10_05.xlsx&amp;sheet=A0&amp;row=4632&amp;col=7&amp;number=0&amp;sourceID=14","0")</f>
        <v>0</v>
      </c>
    </row>
    <row r="4633" spans="1:7">
      <c r="A4633" s="3">
        <v>10</v>
      </c>
      <c r="B4633" s="3">
        <v>5</v>
      </c>
      <c r="C4633" s="3">
        <v>170</v>
      </c>
      <c r="D4633" s="3">
        <v>101</v>
      </c>
      <c r="E4633" s="3">
        <v>-756.105</v>
      </c>
      <c r="F4633" s="4" t="str">
        <f>HYPERLINK("http://141.218.60.56/~jnz1568/getInfo.php?workbook=10_05.xlsx&amp;sheet=A0&amp;row=4633&amp;col=6&amp;number=4950&amp;sourceID=14","4950")</f>
        <v>4950</v>
      </c>
      <c r="G4633" s="4" t="str">
        <f>HYPERLINK("http://141.218.60.56/~jnz1568/getInfo.php?workbook=10_05.xlsx&amp;sheet=A0&amp;row=4633&amp;col=7&amp;number=0&amp;sourceID=14","0")</f>
        <v>0</v>
      </c>
    </row>
    <row r="4634" spans="1:7">
      <c r="A4634" s="3">
        <v>10</v>
      </c>
      <c r="B4634" s="3">
        <v>5</v>
      </c>
      <c r="C4634" s="3">
        <v>171</v>
      </c>
      <c r="D4634" s="3">
        <v>101</v>
      </c>
      <c r="E4634" s="3">
        <v>-755.562</v>
      </c>
      <c r="F4634" s="4" t="str">
        <f>HYPERLINK("http://141.218.60.56/~jnz1568/getInfo.php?workbook=10_05.xlsx&amp;sheet=A0&amp;row=4634&amp;col=6&amp;number=21100&amp;sourceID=14","21100")</f>
        <v>21100</v>
      </c>
      <c r="G4634" s="4" t="str">
        <f>HYPERLINK("http://141.218.60.56/~jnz1568/getInfo.php?workbook=10_05.xlsx&amp;sheet=A0&amp;row=4634&amp;col=7&amp;number=0&amp;sourceID=14","0")</f>
        <v>0</v>
      </c>
    </row>
    <row r="4635" spans="1:7">
      <c r="A4635" s="3">
        <v>10</v>
      </c>
      <c r="B4635" s="3">
        <v>5</v>
      </c>
      <c r="C4635" s="3">
        <v>172</v>
      </c>
      <c r="D4635" s="3">
        <v>101</v>
      </c>
      <c r="E4635" s="3">
        <v>-744.592</v>
      </c>
      <c r="F4635" s="4" t="str">
        <f>HYPERLINK("http://141.218.60.56/~jnz1568/getInfo.php?workbook=10_05.xlsx&amp;sheet=A0&amp;row=4635&amp;col=6&amp;number=8730&amp;sourceID=14","8730")</f>
        <v>8730</v>
      </c>
      <c r="G4635" s="4" t="str">
        <f>HYPERLINK("http://141.218.60.56/~jnz1568/getInfo.php?workbook=10_05.xlsx&amp;sheet=A0&amp;row=4635&amp;col=7&amp;number=0&amp;sourceID=14","0")</f>
        <v>0</v>
      </c>
    </row>
    <row r="4636" spans="1:7">
      <c r="A4636" s="3">
        <v>10</v>
      </c>
      <c r="B4636" s="3">
        <v>5</v>
      </c>
      <c r="C4636" s="3">
        <v>173</v>
      </c>
      <c r="D4636" s="3">
        <v>101</v>
      </c>
      <c r="E4636" s="3">
        <v>-744.464</v>
      </c>
      <c r="F4636" s="4" t="str">
        <f>HYPERLINK("http://141.218.60.56/~jnz1568/getInfo.php?workbook=10_05.xlsx&amp;sheet=A0&amp;row=4636&amp;col=6&amp;number=24000&amp;sourceID=14","24000")</f>
        <v>24000</v>
      </c>
      <c r="G4636" s="4" t="str">
        <f>HYPERLINK("http://141.218.60.56/~jnz1568/getInfo.php?workbook=10_05.xlsx&amp;sheet=A0&amp;row=4636&amp;col=7&amp;number=0&amp;sourceID=14","0")</f>
        <v>0</v>
      </c>
    </row>
    <row r="4637" spans="1:7">
      <c r="A4637" s="3">
        <v>10</v>
      </c>
      <c r="B4637" s="3">
        <v>5</v>
      </c>
      <c r="C4637" s="3">
        <v>174</v>
      </c>
      <c r="D4637" s="3">
        <v>101</v>
      </c>
      <c r="E4637" s="3">
        <v>-732.951</v>
      </c>
      <c r="F4637" s="4" t="str">
        <f>HYPERLINK("http://141.218.60.56/~jnz1568/getInfo.php?workbook=10_05.xlsx&amp;sheet=A0&amp;row=4637&amp;col=6&amp;number=63400&amp;sourceID=14","63400")</f>
        <v>63400</v>
      </c>
      <c r="G4637" s="4" t="str">
        <f>HYPERLINK("http://141.218.60.56/~jnz1568/getInfo.php?workbook=10_05.xlsx&amp;sheet=A0&amp;row=4637&amp;col=7&amp;number=0&amp;sourceID=14","0")</f>
        <v>0</v>
      </c>
    </row>
    <row r="4638" spans="1:7">
      <c r="A4638" s="3">
        <v>10</v>
      </c>
      <c r="B4638" s="3">
        <v>5</v>
      </c>
      <c r="C4638" s="3">
        <v>103</v>
      </c>
      <c r="D4638" s="3">
        <v>102</v>
      </c>
      <c r="E4638" s="3">
        <v>-237530.128</v>
      </c>
      <c r="F4638" s="4" t="str">
        <f>HYPERLINK("http://141.218.60.56/~jnz1568/getInfo.php?workbook=10_05.xlsx&amp;sheet=A0&amp;row=4638&amp;col=6&amp;number=0.109&amp;sourceID=14","0.109")</f>
        <v>0.109</v>
      </c>
      <c r="G4638" s="4" t="str">
        <f>HYPERLINK("http://141.218.60.56/~jnz1568/getInfo.php?workbook=10_05.xlsx&amp;sheet=A0&amp;row=4638&amp;col=7&amp;number=0&amp;sourceID=14","0")</f>
        <v>0</v>
      </c>
    </row>
    <row r="4639" spans="1:7">
      <c r="A4639" s="3">
        <v>10</v>
      </c>
      <c r="B4639" s="3">
        <v>5</v>
      </c>
      <c r="C4639" s="3">
        <v>113</v>
      </c>
      <c r="D4639" s="3">
        <v>102</v>
      </c>
      <c r="E4639" s="3">
        <v>-12294.097</v>
      </c>
      <c r="F4639" s="4" t="str">
        <f>HYPERLINK("http://141.218.60.56/~jnz1568/getInfo.php?workbook=10_05.xlsx&amp;sheet=A0&amp;row=4639&amp;col=6&amp;number=5.18&amp;sourceID=14","5.18")</f>
        <v>5.18</v>
      </c>
      <c r="G4639" s="4" t="str">
        <f>HYPERLINK("http://141.218.60.56/~jnz1568/getInfo.php?workbook=10_05.xlsx&amp;sheet=A0&amp;row=4639&amp;col=7&amp;number=0&amp;sourceID=14","0")</f>
        <v>0</v>
      </c>
    </row>
    <row r="4640" spans="1:7">
      <c r="A4640" s="3">
        <v>10</v>
      </c>
      <c r="B4640" s="3">
        <v>5</v>
      </c>
      <c r="C4640" s="3">
        <v>135</v>
      </c>
      <c r="D4640" s="3">
        <v>102</v>
      </c>
      <c r="E4640" s="3">
        <v>-3856.098</v>
      </c>
      <c r="F4640" s="4" t="str">
        <f>HYPERLINK("http://141.218.60.56/~jnz1568/getInfo.php?workbook=10_05.xlsx&amp;sheet=A0&amp;row=4640&amp;col=6&amp;number=709&amp;sourceID=14","709")</f>
        <v>709</v>
      </c>
      <c r="G4640" s="4" t="str">
        <f>HYPERLINK("http://141.218.60.56/~jnz1568/getInfo.php?workbook=10_05.xlsx&amp;sheet=A0&amp;row=4640&amp;col=7&amp;number=0&amp;sourceID=14","0")</f>
        <v>0</v>
      </c>
    </row>
    <row r="4641" spans="1:7">
      <c r="A4641" s="3">
        <v>10</v>
      </c>
      <c r="B4641" s="3">
        <v>5</v>
      </c>
      <c r="C4641" s="3">
        <v>136</v>
      </c>
      <c r="D4641" s="3">
        <v>102</v>
      </c>
      <c r="E4641" s="3">
        <v>-3803.011</v>
      </c>
      <c r="F4641" s="4" t="str">
        <f>HYPERLINK("http://141.218.60.56/~jnz1568/getInfo.php?workbook=10_05.xlsx&amp;sheet=A0&amp;row=4641&amp;col=6&amp;number=1780&amp;sourceID=14","1780")</f>
        <v>1780</v>
      </c>
      <c r="G4641" s="4" t="str">
        <f>HYPERLINK("http://141.218.60.56/~jnz1568/getInfo.php?workbook=10_05.xlsx&amp;sheet=A0&amp;row=4641&amp;col=7&amp;number=0&amp;sourceID=14","0")</f>
        <v>0</v>
      </c>
    </row>
    <row r="4642" spans="1:7">
      <c r="A4642" s="3">
        <v>10</v>
      </c>
      <c r="B4642" s="3">
        <v>5</v>
      </c>
      <c r="C4642" s="3">
        <v>137</v>
      </c>
      <c r="D4642" s="3">
        <v>102</v>
      </c>
      <c r="E4642" s="3">
        <v>-3731.35</v>
      </c>
      <c r="F4642" s="4" t="str">
        <f>HYPERLINK("http://141.218.60.56/~jnz1568/getInfo.php?workbook=10_05.xlsx&amp;sheet=A0&amp;row=4642&amp;col=6&amp;number=53800&amp;sourceID=14","53800")</f>
        <v>53800</v>
      </c>
      <c r="G4642" s="4" t="str">
        <f>HYPERLINK("http://141.218.60.56/~jnz1568/getInfo.php?workbook=10_05.xlsx&amp;sheet=A0&amp;row=4642&amp;col=7&amp;number=0&amp;sourceID=14","0")</f>
        <v>0</v>
      </c>
    </row>
    <row r="4643" spans="1:7">
      <c r="A4643" s="3">
        <v>10</v>
      </c>
      <c r="B4643" s="3">
        <v>5</v>
      </c>
      <c r="C4643" s="3">
        <v>143</v>
      </c>
      <c r="D4643" s="3">
        <v>102</v>
      </c>
      <c r="E4643" s="3">
        <v>-3257.759</v>
      </c>
      <c r="F4643" s="4" t="str">
        <f>HYPERLINK("http://141.218.60.56/~jnz1568/getInfo.php?workbook=10_05.xlsx&amp;sheet=A0&amp;row=4643&amp;col=6&amp;number=55400&amp;sourceID=14","55400")</f>
        <v>55400</v>
      </c>
      <c r="G4643" s="4" t="str">
        <f>HYPERLINK("http://141.218.60.56/~jnz1568/getInfo.php?workbook=10_05.xlsx&amp;sheet=A0&amp;row=4643&amp;col=7&amp;number=0&amp;sourceID=14","0")</f>
        <v>0</v>
      </c>
    </row>
    <row r="4644" spans="1:7">
      <c r="A4644" s="3">
        <v>10</v>
      </c>
      <c r="B4644" s="3">
        <v>5</v>
      </c>
      <c r="C4644" s="3">
        <v>144</v>
      </c>
      <c r="D4644" s="3">
        <v>102</v>
      </c>
      <c r="E4644" s="3">
        <v>-3236.985</v>
      </c>
      <c r="F4644" s="4" t="str">
        <f>HYPERLINK("http://141.218.60.56/~jnz1568/getInfo.php?workbook=10_05.xlsx&amp;sheet=A0&amp;row=4644&amp;col=6&amp;number=51200&amp;sourceID=14","51200")</f>
        <v>51200</v>
      </c>
      <c r="G4644" s="4" t="str">
        <f>HYPERLINK("http://141.218.60.56/~jnz1568/getInfo.php?workbook=10_05.xlsx&amp;sheet=A0&amp;row=4644&amp;col=7&amp;number=0&amp;sourceID=14","0")</f>
        <v>0</v>
      </c>
    </row>
    <row r="4645" spans="1:7">
      <c r="A4645" s="3">
        <v>10</v>
      </c>
      <c r="B4645" s="3">
        <v>5</v>
      </c>
      <c r="C4645" s="3">
        <v>146</v>
      </c>
      <c r="D4645" s="3">
        <v>102</v>
      </c>
      <c r="E4645" s="3">
        <v>-3121.592</v>
      </c>
      <c r="F4645" s="4" t="str">
        <f>HYPERLINK("http://141.218.60.56/~jnz1568/getInfo.php?workbook=10_05.xlsx&amp;sheet=A0&amp;row=4645&amp;col=6&amp;number=305&amp;sourceID=14","305")</f>
        <v>305</v>
      </c>
      <c r="G4645" s="4" t="str">
        <f>HYPERLINK("http://141.218.60.56/~jnz1568/getInfo.php?workbook=10_05.xlsx&amp;sheet=A0&amp;row=4645&amp;col=7&amp;number=0&amp;sourceID=14","0")</f>
        <v>0</v>
      </c>
    </row>
    <row r="4646" spans="1:7">
      <c r="A4646" s="3">
        <v>10</v>
      </c>
      <c r="B4646" s="3">
        <v>5</v>
      </c>
      <c r="C4646" s="3">
        <v>147</v>
      </c>
      <c r="D4646" s="3">
        <v>102</v>
      </c>
      <c r="E4646" s="3">
        <v>-3086.711</v>
      </c>
      <c r="F4646" s="4" t="str">
        <f>HYPERLINK("http://141.218.60.56/~jnz1568/getInfo.php?workbook=10_05.xlsx&amp;sheet=A0&amp;row=4646&amp;col=6&amp;number=542&amp;sourceID=14","542")</f>
        <v>542</v>
      </c>
      <c r="G4646" s="4" t="str">
        <f>HYPERLINK("http://141.218.60.56/~jnz1568/getInfo.php?workbook=10_05.xlsx&amp;sheet=A0&amp;row=4646&amp;col=7&amp;number=0&amp;sourceID=14","0")</f>
        <v>0</v>
      </c>
    </row>
    <row r="4647" spans="1:7">
      <c r="A4647" s="3">
        <v>10</v>
      </c>
      <c r="B4647" s="3">
        <v>5</v>
      </c>
      <c r="C4647" s="3">
        <v>152</v>
      </c>
      <c r="D4647" s="3">
        <v>102</v>
      </c>
      <c r="E4647" s="3">
        <v>-2634.357</v>
      </c>
      <c r="F4647" s="4" t="str">
        <f>HYPERLINK("http://141.218.60.56/~jnz1568/getInfo.php?workbook=10_05.xlsx&amp;sheet=A0&amp;row=4647&amp;col=6&amp;number=0.419&amp;sourceID=14","0.419")</f>
        <v>0.419</v>
      </c>
      <c r="G4647" s="4" t="str">
        <f>HYPERLINK("http://141.218.60.56/~jnz1568/getInfo.php?workbook=10_05.xlsx&amp;sheet=A0&amp;row=4647&amp;col=7&amp;number=0&amp;sourceID=14","0")</f>
        <v>0</v>
      </c>
    </row>
    <row r="4648" spans="1:7">
      <c r="A4648" s="3">
        <v>10</v>
      </c>
      <c r="B4648" s="3">
        <v>5</v>
      </c>
      <c r="C4648" s="3">
        <v>153</v>
      </c>
      <c r="D4648" s="3">
        <v>102</v>
      </c>
      <c r="E4648" s="3">
        <v>-2579.918</v>
      </c>
      <c r="F4648" s="4" t="str">
        <f>HYPERLINK("http://141.218.60.56/~jnz1568/getInfo.php?workbook=10_05.xlsx&amp;sheet=A0&amp;row=4648&amp;col=6&amp;number=15.8&amp;sourceID=14","15.8")</f>
        <v>15.8</v>
      </c>
      <c r="G4648" s="4" t="str">
        <f>HYPERLINK("http://141.218.60.56/~jnz1568/getInfo.php?workbook=10_05.xlsx&amp;sheet=A0&amp;row=4648&amp;col=7&amp;number=0&amp;sourceID=14","0")</f>
        <v>0</v>
      </c>
    </row>
    <row r="4649" spans="1:7">
      <c r="A4649" s="3">
        <v>10</v>
      </c>
      <c r="B4649" s="3">
        <v>5</v>
      </c>
      <c r="C4649" s="3">
        <v>175</v>
      </c>
      <c r="D4649" s="3">
        <v>102</v>
      </c>
      <c r="E4649" s="3">
        <v>-685.694</v>
      </c>
      <c r="F4649" s="4" t="str">
        <f>HYPERLINK("http://141.218.60.56/~jnz1568/getInfo.php?workbook=10_05.xlsx&amp;sheet=A0&amp;row=4649&amp;col=6&amp;number=204&amp;sourceID=14","204")</f>
        <v>204</v>
      </c>
      <c r="G4649" s="4" t="str">
        <f>HYPERLINK("http://141.218.60.56/~jnz1568/getInfo.php?workbook=10_05.xlsx&amp;sheet=A0&amp;row=4649&amp;col=7&amp;number=0&amp;sourceID=14","0")</f>
        <v>0</v>
      </c>
    </row>
    <row r="4650" spans="1:7">
      <c r="A4650" s="3">
        <v>10</v>
      </c>
      <c r="B4650" s="3">
        <v>5</v>
      </c>
      <c r="C4650" s="3">
        <v>176</v>
      </c>
      <c r="D4650" s="3">
        <v>102</v>
      </c>
      <c r="E4650" s="3">
        <v>-685.689</v>
      </c>
      <c r="F4650" s="4" t="str">
        <f>HYPERLINK("http://141.218.60.56/~jnz1568/getInfo.php?workbook=10_05.xlsx&amp;sheet=A0&amp;row=4650&amp;col=6&amp;number=381&amp;sourceID=14","381")</f>
        <v>381</v>
      </c>
      <c r="G4650" s="4" t="str">
        <f>HYPERLINK("http://141.218.60.56/~jnz1568/getInfo.php?workbook=10_05.xlsx&amp;sheet=A0&amp;row=4650&amp;col=7&amp;number=0&amp;sourceID=14","0")</f>
        <v>0</v>
      </c>
    </row>
    <row r="4651" spans="1:7">
      <c r="A4651" s="3">
        <v>10</v>
      </c>
      <c r="B4651" s="3">
        <v>5</v>
      </c>
      <c r="C4651" s="3">
        <v>178</v>
      </c>
      <c r="D4651" s="3">
        <v>102</v>
      </c>
      <c r="E4651" s="3">
        <v>-681.321</v>
      </c>
      <c r="F4651" s="4" t="str">
        <f>HYPERLINK("http://141.218.60.56/~jnz1568/getInfo.php?workbook=10_05.xlsx&amp;sheet=A0&amp;row=4651&amp;col=6&amp;number=151&amp;sourceID=14","151")</f>
        <v>151</v>
      </c>
      <c r="G4651" s="4" t="str">
        <f>HYPERLINK("http://141.218.60.56/~jnz1568/getInfo.php?workbook=10_05.xlsx&amp;sheet=A0&amp;row=4651&amp;col=7&amp;number=0&amp;sourceID=14","0")</f>
        <v>0</v>
      </c>
    </row>
    <row r="4652" spans="1:7">
      <c r="A4652" s="3">
        <v>10</v>
      </c>
      <c r="B4652" s="3">
        <v>5</v>
      </c>
      <c r="C4652" s="3">
        <v>106</v>
      </c>
      <c r="D4652" s="3">
        <v>103</v>
      </c>
      <c r="E4652" s="3">
        <v>-19825.572</v>
      </c>
      <c r="F4652" s="4" t="str">
        <f>HYPERLINK("http://141.218.60.56/~jnz1568/getInfo.php?workbook=10_05.xlsx&amp;sheet=A0&amp;row=4652&amp;col=6&amp;number=4760&amp;sourceID=14","4760")</f>
        <v>4760</v>
      </c>
      <c r="G4652" s="4" t="str">
        <f>HYPERLINK("http://141.218.60.56/~jnz1568/getInfo.php?workbook=10_05.xlsx&amp;sheet=A0&amp;row=4652&amp;col=7&amp;number=0&amp;sourceID=14","0")</f>
        <v>0</v>
      </c>
    </row>
    <row r="4653" spans="1:7">
      <c r="A4653" s="3">
        <v>10</v>
      </c>
      <c r="B4653" s="3">
        <v>5</v>
      </c>
      <c r="C4653" s="3">
        <v>107</v>
      </c>
      <c r="D4653" s="3">
        <v>103</v>
      </c>
      <c r="E4653" s="3">
        <v>-18789.963</v>
      </c>
      <c r="F4653" s="4" t="str">
        <f>HYPERLINK("http://141.218.60.56/~jnz1568/getInfo.php?workbook=10_05.xlsx&amp;sheet=A0&amp;row=4653&amp;col=6&amp;number=40100&amp;sourceID=14","40100")</f>
        <v>40100</v>
      </c>
      <c r="G4653" s="4" t="str">
        <f>HYPERLINK("http://141.218.60.56/~jnz1568/getInfo.php?workbook=10_05.xlsx&amp;sheet=A0&amp;row=4653&amp;col=7&amp;number=0&amp;sourceID=14","0")</f>
        <v>0</v>
      </c>
    </row>
    <row r="4654" spans="1:7">
      <c r="A4654" s="3">
        <v>10</v>
      </c>
      <c r="B4654" s="3">
        <v>5</v>
      </c>
      <c r="C4654" s="3">
        <v>108</v>
      </c>
      <c r="D4654" s="3">
        <v>103</v>
      </c>
      <c r="E4654" s="3">
        <v>-17822.168</v>
      </c>
      <c r="F4654" s="4" t="str">
        <f>HYPERLINK("http://141.218.60.56/~jnz1568/getInfo.php?workbook=10_05.xlsx&amp;sheet=A0&amp;row=4654&amp;col=6&amp;number=173000&amp;sourceID=14","173000")</f>
        <v>173000</v>
      </c>
      <c r="G4654" s="4" t="str">
        <f>HYPERLINK("http://141.218.60.56/~jnz1568/getInfo.php?workbook=10_05.xlsx&amp;sheet=A0&amp;row=4654&amp;col=7&amp;number=0&amp;sourceID=14","0")</f>
        <v>0</v>
      </c>
    </row>
    <row r="4655" spans="1:7">
      <c r="A4655" s="3">
        <v>10</v>
      </c>
      <c r="B4655" s="3">
        <v>5</v>
      </c>
      <c r="C4655" s="3">
        <v>109</v>
      </c>
      <c r="D4655" s="3">
        <v>103</v>
      </c>
      <c r="E4655" s="3">
        <v>-16594.787</v>
      </c>
      <c r="F4655" s="4" t="str">
        <f>HYPERLINK("http://141.218.60.56/~jnz1568/getInfo.php?workbook=10_05.xlsx&amp;sheet=A0&amp;row=4655&amp;col=6&amp;number=1040&amp;sourceID=14","1040")</f>
        <v>1040</v>
      </c>
      <c r="G4655" s="4" t="str">
        <f>HYPERLINK("http://141.218.60.56/~jnz1568/getInfo.php?workbook=10_05.xlsx&amp;sheet=A0&amp;row=4655&amp;col=7&amp;number=0&amp;sourceID=14","0")</f>
        <v>0</v>
      </c>
    </row>
    <row r="4656" spans="1:7">
      <c r="A4656" s="3">
        <v>10</v>
      </c>
      <c r="B4656" s="3">
        <v>5</v>
      </c>
      <c r="C4656" s="3">
        <v>115</v>
      </c>
      <c r="D4656" s="3">
        <v>103</v>
      </c>
      <c r="E4656" s="3">
        <v>-7404.13</v>
      </c>
      <c r="F4656" s="4" t="str">
        <f>HYPERLINK("http://141.218.60.56/~jnz1568/getInfo.php?workbook=10_05.xlsx&amp;sheet=A0&amp;row=4656&amp;col=6&amp;number=2460&amp;sourceID=14","2460")</f>
        <v>2460</v>
      </c>
      <c r="G4656" s="4" t="str">
        <f>HYPERLINK("http://141.218.60.56/~jnz1568/getInfo.php?workbook=10_05.xlsx&amp;sheet=A0&amp;row=4656&amp;col=7&amp;number=0&amp;sourceID=14","0")</f>
        <v>0</v>
      </c>
    </row>
    <row r="4657" spans="1:7">
      <c r="A4657" s="3">
        <v>10</v>
      </c>
      <c r="B4657" s="3">
        <v>5</v>
      </c>
      <c r="C4657" s="3">
        <v>116</v>
      </c>
      <c r="D4657" s="3">
        <v>103</v>
      </c>
      <c r="E4657" s="3">
        <v>-6946.387</v>
      </c>
      <c r="F4657" s="4" t="str">
        <f>HYPERLINK("http://141.218.60.56/~jnz1568/getInfo.php?workbook=10_05.xlsx&amp;sheet=A0&amp;row=4657&amp;col=6&amp;number=70500&amp;sourceID=14","70500")</f>
        <v>70500</v>
      </c>
      <c r="G4657" s="4" t="str">
        <f>HYPERLINK("http://141.218.60.56/~jnz1568/getInfo.php?workbook=10_05.xlsx&amp;sheet=A0&amp;row=4657&amp;col=7&amp;number=0&amp;sourceID=14","0")</f>
        <v>0</v>
      </c>
    </row>
    <row r="4658" spans="1:7">
      <c r="A4658" s="3">
        <v>10</v>
      </c>
      <c r="B4658" s="3">
        <v>5</v>
      </c>
      <c r="C4658" s="3">
        <v>117</v>
      </c>
      <c r="D4658" s="3">
        <v>103</v>
      </c>
      <c r="E4658" s="3">
        <v>-6839.958</v>
      </c>
      <c r="F4658" s="4" t="str">
        <f>HYPERLINK("http://141.218.60.56/~jnz1568/getInfo.php?workbook=10_05.xlsx&amp;sheet=A0&amp;row=4658&amp;col=6&amp;number=4420000&amp;sourceID=14","4420000")</f>
        <v>4420000</v>
      </c>
      <c r="G4658" s="4" t="str">
        <f>HYPERLINK("http://141.218.60.56/~jnz1568/getInfo.php?workbook=10_05.xlsx&amp;sheet=A0&amp;row=4658&amp;col=7&amp;number=0&amp;sourceID=14","0")</f>
        <v>0</v>
      </c>
    </row>
    <row r="4659" spans="1:7">
      <c r="A4659" s="3">
        <v>10</v>
      </c>
      <c r="B4659" s="3">
        <v>5</v>
      </c>
      <c r="C4659" s="3">
        <v>118</v>
      </c>
      <c r="D4659" s="3">
        <v>103</v>
      </c>
      <c r="E4659" s="3">
        <v>-6802.271</v>
      </c>
      <c r="F4659" s="4" t="str">
        <f>HYPERLINK("http://141.218.60.56/~jnz1568/getInfo.php?workbook=10_05.xlsx&amp;sheet=A0&amp;row=4659&amp;col=6&amp;number=2570000&amp;sourceID=14","2570000")</f>
        <v>2570000</v>
      </c>
      <c r="G4659" s="4" t="str">
        <f>HYPERLINK("http://141.218.60.56/~jnz1568/getInfo.php?workbook=10_05.xlsx&amp;sheet=A0&amp;row=4659&amp;col=7&amp;number=0&amp;sourceID=14","0")</f>
        <v>0</v>
      </c>
    </row>
    <row r="4660" spans="1:7">
      <c r="A4660" s="3">
        <v>10</v>
      </c>
      <c r="B4660" s="3">
        <v>5</v>
      </c>
      <c r="C4660" s="3">
        <v>121</v>
      </c>
      <c r="D4660" s="3">
        <v>103</v>
      </c>
      <c r="E4660" s="3">
        <v>-5513.905</v>
      </c>
      <c r="F4660" s="4" t="str">
        <f>HYPERLINK("http://141.218.60.56/~jnz1568/getInfo.php?workbook=10_05.xlsx&amp;sheet=A0&amp;row=4660&amp;col=6&amp;number=1240000&amp;sourceID=14","1240000")</f>
        <v>1240000</v>
      </c>
      <c r="G4660" s="4" t="str">
        <f>HYPERLINK("http://141.218.60.56/~jnz1568/getInfo.php?workbook=10_05.xlsx&amp;sheet=A0&amp;row=4660&amp;col=7&amp;number=0&amp;sourceID=14","0")</f>
        <v>0</v>
      </c>
    </row>
    <row r="4661" spans="1:7">
      <c r="A4661" s="3">
        <v>10</v>
      </c>
      <c r="B4661" s="3">
        <v>5</v>
      </c>
      <c r="C4661" s="3">
        <v>122</v>
      </c>
      <c r="D4661" s="3">
        <v>103</v>
      </c>
      <c r="E4661" s="3">
        <v>-5403.663</v>
      </c>
      <c r="F4661" s="4" t="str">
        <f>HYPERLINK("http://141.218.60.56/~jnz1568/getInfo.php?workbook=10_05.xlsx&amp;sheet=A0&amp;row=4661&amp;col=6&amp;number=9890000&amp;sourceID=14","9890000")</f>
        <v>9890000</v>
      </c>
      <c r="G4661" s="4" t="str">
        <f>HYPERLINK("http://141.218.60.56/~jnz1568/getInfo.php?workbook=10_05.xlsx&amp;sheet=A0&amp;row=4661&amp;col=7&amp;number=0&amp;sourceID=14","0")</f>
        <v>0</v>
      </c>
    </row>
    <row r="4662" spans="1:7">
      <c r="A4662" s="3">
        <v>10</v>
      </c>
      <c r="B4662" s="3">
        <v>5</v>
      </c>
      <c r="C4662" s="3">
        <v>123</v>
      </c>
      <c r="D4662" s="3">
        <v>103</v>
      </c>
      <c r="E4662" s="3">
        <v>-5319.159</v>
      </c>
      <c r="F4662" s="4" t="str">
        <f>HYPERLINK("http://141.218.60.56/~jnz1568/getInfo.php?workbook=10_05.xlsx&amp;sheet=A0&amp;row=4662&amp;col=6&amp;number=19400000&amp;sourceID=14","19400000")</f>
        <v>19400000</v>
      </c>
      <c r="G4662" s="4" t="str">
        <f>HYPERLINK("http://141.218.60.56/~jnz1568/getInfo.php?workbook=10_05.xlsx&amp;sheet=A0&amp;row=4662&amp;col=7&amp;number=0&amp;sourceID=14","0")</f>
        <v>0</v>
      </c>
    </row>
    <row r="4663" spans="1:7">
      <c r="A4663" s="3">
        <v>10</v>
      </c>
      <c r="B4663" s="3">
        <v>5</v>
      </c>
      <c r="C4663" s="3">
        <v>124</v>
      </c>
      <c r="D4663" s="3">
        <v>103</v>
      </c>
      <c r="E4663" s="3">
        <v>-5250.732</v>
      </c>
      <c r="F4663" s="4" t="str">
        <f>HYPERLINK("http://141.218.60.56/~jnz1568/getInfo.php?workbook=10_05.xlsx&amp;sheet=A0&amp;row=4663&amp;col=6&amp;number=45000000&amp;sourceID=14","45000000")</f>
        <v>45000000</v>
      </c>
      <c r="G4663" s="4" t="str">
        <f>HYPERLINK("http://141.218.60.56/~jnz1568/getInfo.php?workbook=10_05.xlsx&amp;sheet=A0&amp;row=4663&amp;col=7&amp;number=0&amp;sourceID=14","0")</f>
        <v>0</v>
      </c>
    </row>
    <row r="4664" spans="1:7">
      <c r="A4664" s="3">
        <v>10</v>
      </c>
      <c r="B4664" s="3">
        <v>5</v>
      </c>
      <c r="C4664" s="3">
        <v>126</v>
      </c>
      <c r="D4664" s="3">
        <v>103</v>
      </c>
      <c r="E4664" s="3">
        <v>-4948.299</v>
      </c>
      <c r="F4664" s="4" t="str">
        <f>HYPERLINK("http://141.218.60.56/~jnz1568/getInfo.php?workbook=10_05.xlsx&amp;sheet=A0&amp;row=4664&amp;col=6&amp;number=724000&amp;sourceID=14","724000")</f>
        <v>724000</v>
      </c>
      <c r="G4664" s="4" t="str">
        <f>HYPERLINK("http://141.218.60.56/~jnz1568/getInfo.php?workbook=10_05.xlsx&amp;sheet=A0&amp;row=4664&amp;col=7&amp;number=0&amp;sourceID=14","0")</f>
        <v>0</v>
      </c>
    </row>
    <row r="4665" spans="1:7">
      <c r="A4665" s="3">
        <v>10</v>
      </c>
      <c r="B4665" s="3">
        <v>5</v>
      </c>
      <c r="C4665" s="3">
        <v>129</v>
      </c>
      <c r="D4665" s="3">
        <v>103</v>
      </c>
      <c r="E4665" s="3">
        <v>-4413.266</v>
      </c>
      <c r="F4665" s="4" t="str">
        <f>HYPERLINK("http://141.218.60.56/~jnz1568/getInfo.php?workbook=10_05.xlsx&amp;sheet=A0&amp;row=4665&amp;col=6&amp;number=72100&amp;sourceID=14","72100")</f>
        <v>72100</v>
      </c>
      <c r="G4665" s="4" t="str">
        <f>HYPERLINK("http://141.218.60.56/~jnz1568/getInfo.php?workbook=10_05.xlsx&amp;sheet=A0&amp;row=4665&amp;col=7&amp;number=0&amp;sourceID=14","0")</f>
        <v>0</v>
      </c>
    </row>
    <row r="4666" spans="1:7">
      <c r="A4666" s="3">
        <v>10</v>
      </c>
      <c r="B4666" s="3">
        <v>5</v>
      </c>
      <c r="C4666" s="3">
        <v>130</v>
      </c>
      <c r="D4666" s="3">
        <v>103</v>
      </c>
      <c r="E4666" s="3">
        <v>-4298.68</v>
      </c>
      <c r="F4666" s="4" t="str">
        <f>HYPERLINK("http://141.218.60.56/~jnz1568/getInfo.php?workbook=10_05.xlsx&amp;sheet=A0&amp;row=4666&amp;col=6&amp;number=11700000&amp;sourceID=14","11700000")</f>
        <v>11700000</v>
      </c>
      <c r="G4666" s="4" t="str">
        <f>HYPERLINK("http://141.218.60.56/~jnz1568/getInfo.php?workbook=10_05.xlsx&amp;sheet=A0&amp;row=4666&amp;col=7&amp;number=0&amp;sourceID=14","0")</f>
        <v>0</v>
      </c>
    </row>
    <row r="4667" spans="1:7">
      <c r="A4667" s="3">
        <v>10</v>
      </c>
      <c r="B4667" s="3">
        <v>5</v>
      </c>
      <c r="C4667" s="3">
        <v>132</v>
      </c>
      <c r="D4667" s="3">
        <v>103</v>
      </c>
      <c r="E4667" s="3">
        <v>-4217.104</v>
      </c>
      <c r="F4667" s="4" t="str">
        <f>HYPERLINK("http://141.218.60.56/~jnz1568/getInfo.php?workbook=10_05.xlsx&amp;sheet=A0&amp;row=4667&amp;col=6&amp;number=43500000&amp;sourceID=14","43500000")</f>
        <v>43500000</v>
      </c>
      <c r="G4667" s="4" t="str">
        <f>HYPERLINK("http://141.218.60.56/~jnz1568/getInfo.php?workbook=10_05.xlsx&amp;sheet=A0&amp;row=4667&amp;col=7&amp;number=0&amp;sourceID=14","0")</f>
        <v>0</v>
      </c>
    </row>
    <row r="4668" spans="1:7">
      <c r="A4668" s="3">
        <v>10</v>
      </c>
      <c r="B4668" s="3">
        <v>5</v>
      </c>
      <c r="C4668" s="3">
        <v>133</v>
      </c>
      <c r="D4668" s="3">
        <v>103</v>
      </c>
      <c r="E4668" s="3">
        <v>-4180.435</v>
      </c>
      <c r="F4668" s="4" t="str">
        <f>HYPERLINK("http://141.218.60.56/~jnz1568/getInfo.php?workbook=10_05.xlsx&amp;sheet=A0&amp;row=4668&amp;col=6&amp;number=53000000&amp;sourceID=14","53000000")</f>
        <v>53000000</v>
      </c>
      <c r="G4668" s="4" t="str">
        <f>HYPERLINK("http://141.218.60.56/~jnz1568/getInfo.php?workbook=10_05.xlsx&amp;sheet=A0&amp;row=4668&amp;col=7&amp;number=0&amp;sourceID=14","0")</f>
        <v>0</v>
      </c>
    </row>
    <row r="4669" spans="1:7">
      <c r="A4669" s="3">
        <v>10</v>
      </c>
      <c r="B4669" s="3">
        <v>5</v>
      </c>
      <c r="C4669" s="3">
        <v>138</v>
      </c>
      <c r="D4669" s="3">
        <v>103</v>
      </c>
      <c r="E4669" s="3">
        <v>-3692.633</v>
      </c>
      <c r="F4669" s="4" t="str">
        <f>HYPERLINK("http://141.218.60.56/~jnz1568/getInfo.php?workbook=10_05.xlsx&amp;sheet=A0&amp;row=4669&amp;col=6&amp;number=1.26&amp;sourceID=14","1.26")</f>
        <v>1.26</v>
      </c>
      <c r="G4669" s="4" t="str">
        <f>HYPERLINK("http://141.218.60.56/~jnz1568/getInfo.php?workbook=10_05.xlsx&amp;sheet=A0&amp;row=4669&amp;col=7&amp;number=0&amp;sourceID=14","0")</f>
        <v>0</v>
      </c>
    </row>
    <row r="4670" spans="1:7">
      <c r="A4670" s="3">
        <v>10</v>
      </c>
      <c r="B4670" s="3">
        <v>5</v>
      </c>
      <c r="C4670" s="3">
        <v>150</v>
      </c>
      <c r="D4670" s="3">
        <v>103</v>
      </c>
      <c r="E4670" s="3">
        <v>-2801.439</v>
      </c>
      <c r="F4670" s="4" t="str">
        <f>HYPERLINK("http://141.218.60.56/~jnz1568/getInfo.php?workbook=10_05.xlsx&amp;sheet=A0&amp;row=4670&amp;col=6&amp;number=528&amp;sourceID=14","528")</f>
        <v>528</v>
      </c>
      <c r="G4670" s="4" t="str">
        <f>HYPERLINK("http://141.218.60.56/~jnz1568/getInfo.php?workbook=10_05.xlsx&amp;sheet=A0&amp;row=4670&amp;col=7&amp;number=0&amp;sourceID=14","0")</f>
        <v>0</v>
      </c>
    </row>
    <row r="4671" spans="1:7">
      <c r="A4671" s="3">
        <v>10</v>
      </c>
      <c r="B4671" s="3">
        <v>5</v>
      </c>
      <c r="C4671" s="3">
        <v>151</v>
      </c>
      <c r="D4671" s="3">
        <v>103</v>
      </c>
      <c r="E4671" s="3">
        <v>-2799.714</v>
      </c>
      <c r="F4671" s="4" t="str">
        <f>HYPERLINK("http://141.218.60.56/~jnz1568/getInfo.php?workbook=10_05.xlsx&amp;sheet=A0&amp;row=4671&amp;col=6&amp;number=1890&amp;sourceID=14","1890")</f>
        <v>1890</v>
      </c>
      <c r="G4671" s="4" t="str">
        <f>HYPERLINK("http://141.218.60.56/~jnz1568/getInfo.php?workbook=10_05.xlsx&amp;sheet=A0&amp;row=4671&amp;col=7&amp;number=0&amp;sourceID=14","0")</f>
        <v>0</v>
      </c>
    </row>
    <row r="4672" spans="1:7">
      <c r="A4672" s="3">
        <v>10</v>
      </c>
      <c r="B4672" s="3">
        <v>5</v>
      </c>
      <c r="C4672" s="3">
        <v>154</v>
      </c>
      <c r="D4672" s="3">
        <v>103</v>
      </c>
      <c r="E4672" s="3">
        <v>-2576.527</v>
      </c>
      <c r="F4672" s="4" t="str">
        <f>HYPERLINK("http://141.218.60.56/~jnz1568/getInfo.php?workbook=10_05.xlsx&amp;sheet=A0&amp;row=4672&amp;col=6&amp;number=142&amp;sourceID=14","142")</f>
        <v>142</v>
      </c>
      <c r="G4672" s="4" t="str">
        <f>HYPERLINK("http://141.218.60.56/~jnz1568/getInfo.php?workbook=10_05.xlsx&amp;sheet=A0&amp;row=4672&amp;col=7&amp;number=0&amp;sourceID=14","0")</f>
        <v>0</v>
      </c>
    </row>
    <row r="4673" spans="1:7">
      <c r="A4673" s="3">
        <v>10</v>
      </c>
      <c r="B4673" s="3">
        <v>5</v>
      </c>
      <c r="C4673" s="3">
        <v>155</v>
      </c>
      <c r="D4673" s="3">
        <v>103</v>
      </c>
      <c r="E4673" s="3">
        <v>-2547.71</v>
      </c>
      <c r="F4673" s="4" t="str">
        <f>HYPERLINK("http://141.218.60.56/~jnz1568/getInfo.php?workbook=10_05.xlsx&amp;sheet=A0&amp;row=4673&amp;col=6&amp;number=3260&amp;sourceID=14","3260")</f>
        <v>3260</v>
      </c>
      <c r="G4673" s="4" t="str">
        <f>HYPERLINK("http://141.218.60.56/~jnz1568/getInfo.php?workbook=10_05.xlsx&amp;sheet=A0&amp;row=4673&amp;col=7&amp;number=0&amp;sourceID=14","0")</f>
        <v>0</v>
      </c>
    </row>
    <row r="4674" spans="1:7">
      <c r="A4674" s="3">
        <v>10</v>
      </c>
      <c r="B4674" s="3">
        <v>5</v>
      </c>
      <c r="C4674" s="3">
        <v>156</v>
      </c>
      <c r="D4674" s="3">
        <v>103</v>
      </c>
      <c r="E4674" s="3">
        <v>-2511.558</v>
      </c>
      <c r="F4674" s="4" t="str">
        <f>HYPERLINK("http://141.218.60.56/~jnz1568/getInfo.php?workbook=10_05.xlsx&amp;sheet=A0&amp;row=4674&amp;col=6&amp;number=557&amp;sourceID=14","557")</f>
        <v>557</v>
      </c>
      <c r="G4674" s="4" t="str">
        <f>HYPERLINK("http://141.218.60.56/~jnz1568/getInfo.php?workbook=10_05.xlsx&amp;sheet=A0&amp;row=4674&amp;col=7&amp;number=0&amp;sourceID=14","0")</f>
        <v>0</v>
      </c>
    </row>
    <row r="4675" spans="1:7">
      <c r="A4675" s="3">
        <v>10</v>
      </c>
      <c r="B4675" s="3">
        <v>5</v>
      </c>
      <c r="C4675" s="3">
        <v>157</v>
      </c>
      <c r="D4675" s="3">
        <v>103</v>
      </c>
      <c r="E4675" s="3">
        <v>-2500.317</v>
      </c>
      <c r="F4675" s="4" t="str">
        <f>HYPERLINK("http://141.218.60.56/~jnz1568/getInfo.php?workbook=10_05.xlsx&amp;sheet=A0&amp;row=4675&amp;col=6&amp;number=5190&amp;sourceID=14","5190")</f>
        <v>5190</v>
      </c>
      <c r="G4675" s="4" t="str">
        <f>HYPERLINK("http://141.218.60.56/~jnz1568/getInfo.php?workbook=10_05.xlsx&amp;sheet=A0&amp;row=4675&amp;col=7&amp;number=0&amp;sourceID=14","0")</f>
        <v>0</v>
      </c>
    </row>
    <row r="4676" spans="1:7">
      <c r="A4676" s="3">
        <v>10</v>
      </c>
      <c r="B4676" s="3">
        <v>5</v>
      </c>
      <c r="C4676" s="3">
        <v>162</v>
      </c>
      <c r="D4676" s="3">
        <v>103</v>
      </c>
      <c r="E4676" s="3">
        <v>-2388.121</v>
      </c>
      <c r="F4676" s="4" t="str">
        <f>HYPERLINK("http://141.218.60.56/~jnz1568/getInfo.php?workbook=10_05.xlsx&amp;sheet=A0&amp;row=4676&amp;col=6&amp;number=490&amp;sourceID=14","490")</f>
        <v>490</v>
      </c>
      <c r="G4676" s="4" t="str">
        <f>HYPERLINK("http://141.218.60.56/~jnz1568/getInfo.php?workbook=10_05.xlsx&amp;sheet=A0&amp;row=4676&amp;col=7&amp;number=0&amp;sourceID=14","0")</f>
        <v>0</v>
      </c>
    </row>
    <row r="4677" spans="1:7">
      <c r="A4677" s="3">
        <v>10</v>
      </c>
      <c r="B4677" s="3">
        <v>5</v>
      </c>
      <c r="C4677" s="3">
        <v>168</v>
      </c>
      <c r="D4677" s="3">
        <v>103</v>
      </c>
      <c r="E4677" s="3">
        <v>-819.029</v>
      </c>
      <c r="F4677" s="4" t="str">
        <f>HYPERLINK("http://141.218.60.56/~jnz1568/getInfo.php?workbook=10_05.xlsx&amp;sheet=A0&amp;row=4677&amp;col=6&amp;number=438&amp;sourceID=14","438")</f>
        <v>438</v>
      </c>
      <c r="G4677" s="4" t="str">
        <f>HYPERLINK("http://141.218.60.56/~jnz1568/getInfo.php?workbook=10_05.xlsx&amp;sheet=A0&amp;row=4677&amp;col=7&amp;number=0&amp;sourceID=14","0")</f>
        <v>0</v>
      </c>
    </row>
    <row r="4678" spans="1:7">
      <c r="A4678" s="3">
        <v>10</v>
      </c>
      <c r="B4678" s="3">
        <v>5</v>
      </c>
      <c r="C4678" s="3">
        <v>169</v>
      </c>
      <c r="D4678" s="3">
        <v>103</v>
      </c>
      <c r="E4678" s="3">
        <v>-818.707</v>
      </c>
      <c r="F4678" s="4" t="str">
        <f>HYPERLINK("http://141.218.60.56/~jnz1568/getInfo.php?workbook=10_05.xlsx&amp;sheet=A0&amp;row=4678&amp;col=6&amp;number=1.96&amp;sourceID=14","1.96")</f>
        <v>1.96</v>
      </c>
      <c r="G4678" s="4" t="str">
        <f>HYPERLINK("http://141.218.60.56/~jnz1568/getInfo.php?workbook=10_05.xlsx&amp;sheet=A0&amp;row=4678&amp;col=7&amp;number=0&amp;sourceID=14","0")</f>
        <v>0</v>
      </c>
    </row>
    <row r="4679" spans="1:7">
      <c r="A4679" s="3">
        <v>10</v>
      </c>
      <c r="B4679" s="3">
        <v>5</v>
      </c>
      <c r="C4679" s="3">
        <v>171</v>
      </c>
      <c r="D4679" s="3">
        <v>103</v>
      </c>
      <c r="E4679" s="3">
        <v>-759.822</v>
      </c>
      <c r="F4679" s="4" t="str">
        <f>HYPERLINK("http://141.218.60.56/~jnz1568/getInfo.php?workbook=10_05.xlsx&amp;sheet=A0&amp;row=4679&amp;col=6&amp;number=1720&amp;sourceID=14","1720")</f>
        <v>1720</v>
      </c>
      <c r="G4679" s="4" t="str">
        <f>HYPERLINK("http://141.218.60.56/~jnz1568/getInfo.php?workbook=10_05.xlsx&amp;sheet=A0&amp;row=4679&amp;col=7&amp;number=0&amp;sourceID=14","0")</f>
        <v>0</v>
      </c>
    </row>
    <row r="4680" spans="1:7">
      <c r="A4680" s="3">
        <v>10</v>
      </c>
      <c r="B4680" s="3">
        <v>5</v>
      </c>
      <c r="C4680" s="3">
        <v>172</v>
      </c>
      <c r="D4680" s="3">
        <v>103</v>
      </c>
      <c r="E4680" s="3">
        <v>-748.729</v>
      </c>
      <c r="F4680" s="4" t="str">
        <f>HYPERLINK("http://141.218.60.56/~jnz1568/getInfo.php?workbook=10_05.xlsx&amp;sheet=A0&amp;row=4680&amp;col=6&amp;number=248&amp;sourceID=14","248")</f>
        <v>248</v>
      </c>
      <c r="G4680" s="4" t="str">
        <f>HYPERLINK("http://141.218.60.56/~jnz1568/getInfo.php?workbook=10_05.xlsx&amp;sheet=A0&amp;row=4680&amp;col=7&amp;number=0&amp;sourceID=14","0")</f>
        <v>0</v>
      </c>
    </row>
    <row r="4681" spans="1:7">
      <c r="A4681" s="3">
        <v>10</v>
      </c>
      <c r="B4681" s="3">
        <v>5</v>
      </c>
      <c r="C4681" s="3">
        <v>173</v>
      </c>
      <c r="D4681" s="3">
        <v>103</v>
      </c>
      <c r="E4681" s="3">
        <v>-748.6</v>
      </c>
      <c r="F4681" s="4" t="str">
        <f>HYPERLINK("http://141.218.60.56/~jnz1568/getInfo.php?workbook=10_05.xlsx&amp;sheet=A0&amp;row=4681&amp;col=6&amp;number=4010&amp;sourceID=14","4010")</f>
        <v>4010</v>
      </c>
      <c r="G4681" s="4" t="str">
        <f>HYPERLINK("http://141.218.60.56/~jnz1568/getInfo.php?workbook=10_05.xlsx&amp;sheet=A0&amp;row=4681&amp;col=7&amp;number=0&amp;sourceID=14","0")</f>
        <v>0</v>
      </c>
    </row>
    <row r="4682" spans="1:7">
      <c r="A4682" s="3">
        <v>10</v>
      </c>
      <c r="B4682" s="3">
        <v>5</v>
      </c>
      <c r="C4682" s="3">
        <v>136</v>
      </c>
      <c r="D4682" s="3">
        <v>104</v>
      </c>
      <c r="E4682" s="3">
        <v>-3876.277</v>
      </c>
      <c r="F4682" s="4" t="str">
        <f>HYPERLINK("http://141.218.60.56/~jnz1568/getInfo.php?workbook=10_05.xlsx&amp;sheet=A0&amp;row=4682&amp;col=6&amp;number=212&amp;sourceID=14","212")</f>
        <v>212</v>
      </c>
      <c r="G4682" s="4" t="str">
        <f>HYPERLINK("http://141.218.60.56/~jnz1568/getInfo.php?workbook=10_05.xlsx&amp;sheet=A0&amp;row=4682&amp;col=7&amp;number=0&amp;sourceID=14","0")</f>
        <v>0</v>
      </c>
    </row>
    <row r="4683" spans="1:7">
      <c r="A4683" s="3">
        <v>10</v>
      </c>
      <c r="B4683" s="3">
        <v>5</v>
      </c>
      <c r="C4683" s="3">
        <v>137</v>
      </c>
      <c r="D4683" s="3">
        <v>104</v>
      </c>
      <c r="E4683" s="3">
        <v>-3801.855</v>
      </c>
      <c r="F4683" s="4" t="str">
        <f>HYPERLINK("http://141.218.60.56/~jnz1568/getInfo.php?workbook=10_05.xlsx&amp;sheet=A0&amp;row=4683&amp;col=6&amp;number=642&amp;sourceID=14","642")</f>
        <v>642</v>
      </c>
      <c r="G4683" s="4" t="str">
        <f>HYPERLINK("http://141.218.60.56/~jnz1568/getInfo.php?workbook=10_05.xlsx&amp;sheet=A0&amp;row=4683&amp;col=7&amp;number=0&amp;sourceID=14","0")</f>
        <v>0</v>
      </c>
    </row>
    <row r="4684" spans="1:7">
      <c r="A4684" s="3">
        <v>10</v>
      </c>
      <c r="B4684" s="3">
        <v>5</v>
      </c>
      <c r="C4684" s="3">
        <v>144</v>
      </c>
      <c r="D4684" s="3">
        <v>104</v>
      </c>
      <c r="E4684" s="3">
        <v>-3289.913</v>
      </c>
      <c r="F4684" s="4" t="str">
        <f>HYPERLINK("http://141.218.60.56/~jnz1568/getInfo.php?workbook=10_05.xlsx&amp;sheet=A0&amp;row=4684&amp;col=6&amp;number=85600&amp;sourceID=14","85600")</f>
        <v>85600</v>
      </c>
      <c r="G4684" s="4" t="str">
        <f>HYPERLINK("http://141.218.60.56/~jnz1568/getInfo.php?workbook=10_05.xlsx&amp;sheet=A0&amp;row=4684&amp;col=7&amp;number=0&amp;sourceID=14","0")</f>
        <v>0</v>
      </c>
    </row>
    <row r="4685" spans="1:7">
      <c r="A4685" s="3">
        <v>10</v>
      </c>
      <c r="B4685" s="3">
        <v>5</v>
      </c>
      <c r="C4685" s="3">
        <v>153</v>
      </c>
      <c r="D4685" s="3">
        <v>104</v>
      </c>
      <c r="E4685" s="3">
        <v>-2613.427</v>
      </c>
      <c r="F4685" s="4" t="str">
        <f>HYPERLINK("http://141.218.60.56/~jnz1568/getInfo.php?workbook=10_05.xlsx&amp;sheet=A0&amp;row=4685&amp;col=6&amp;number=0.747&amp;sourceID=14","0.747")</f>
        <v>0.747</v>
      </c>
      <c r="G4685" s="4" t="str">
        <f>HYPERLINK("http://141.218.60.56/~jnz1568/getInfo.php?workbook=10_05.xlsx&amp;sheet=A0&amp;row=4685&amp;col=7&amp;number=0&amp;sourceID=14","0")</f>
        <v>0</v>
      </c>
    </row>
    <row r="4686" spans="1:7">
      <c r="A4686" s="3">
        <v>10</v>
      </c>
      <c r="B4686" s="3">
        <v>5</v>
      </c>
      <c r="C4686" s="3">
        <v>175</v>
      </c>
      <c r="D4686" s="3">
        <v>104</v>
      </c>
      <c r="E4686" s="3">
        <v>-688.038</v>
      </c>
      <c r="F4686" s="4" t="str">
        <f>HYPERLINK("http://141.218.60.56/~jnz1568/getInfo.php?workbook=10_05.xlsx&amp;sheet=A0&amp;row=4686&amp;col=6&amp;number=1740&amp;sourceID=14","1740")</f>
        <v>1740</v>
      </c>
      <c r="G4686" s="4" t="str">
        <f>HYPERLINK("http://141.218.60.56/~jnz1568/getInfo.php?workbook=10_05.xlsx&amp;sheet=A0&amp;row=4686&amp;col=7&amp;number=0&amp;sourceID=14","0")</f>
        <v>0</v>
      </c>
    </row>
    <row r="4687" spans="1:7">
      <c r="A4687" s="3">
        <v>10</v>
      </c>
      <c r="B4687" s="3">
        <v>5</v>
      </c>
      <c r="C4687" s="3">
        <v>110</v>
      </c>
      <c r="D4687" s="3">
        <v>105</v>
      </c>
      <c r="E4687" s="3">
        <v>-72046.242</v>
      </c>
      <c r="F4687" s="4" t="str">
        <f>HYPERLINK("http://141.218.60.56/~jnz1568/getInfo.php?workbook=10_05.xlsx&amp;sheet=A0&amp;row=4687&amp;col=6&amp;number=21.7&amp;sourceID=14","21.7")</f>
        <v>21.7</v>
      </c>
      <c r="G4687" s="4" t="str">
        <f>HYPERLINK("http://141.218.60.56/~jnz1568/getInfo.php?workbook=10_05.xlsx&amp;sheet=A0&amp;row=4687&amp;col=7&amp;number=0&amp;sourceID=14","0")</f>
        <v>0</v>
      </c>
    </row>
    <row r="4688" spans="1:7">
      <c r="A4688" s="3">
        <v>10</v>
      </c>
      <c r="B4688" s="3">
        <v>5</v>
      </c>
      <c r="C4688" s="3">
        <v>112</v>
      </c>
      <c r="D4688" s="3">
        <v>105</v>
      </c>
      <c r="E4688" s="3">
        <v>-48923.769</v>
      </c>
      <c r="F4688" s="4" t="str">
        <f>HYPERLINK("http://141.218.60.56/~jnz1568/getInfo.php?workbook=10_05.xlsx&amp;sheet=A0&amp;row=4688&amp;col=6&amp;number=17.4&amp;sourceID=14","17.4")</f>
        <v>17.4</v>
      </c>
      <c r="G4688" s="4" t="str">
        <f>HYPERLINK("http://141.218.60.56/~jnz1568/getInfo.php?workbook=10_05.xlsx&amp;sheet=A0&amp;row=4688&amp;col=7&amp;number=0&amp;sourceID=14","0")</f>
        <v>0</v>
      </c>
    </row>
    <row r="4689" spans="1:7">
      <c r="A4689" s="3">
        <v>10</v>
      </c>
      <c r="B4689" s="3">
        <v>5</v>
      </c>
      <c r="C4689" s="3">
        <v>114</v>
      </c>
      <c r="D4689" s="3">
        <v>105</v>
      </c>
      <c r="E4689" s="3">
        <v>-34831.133</v>
      </c>
      <c r="F4689" s="4" t="str">
        <f>HYPERLINK("http://141.218.60.56/~jnz1568/getInfo.php?workbook=10_05.xlsx&amp;sheet=A0&amp;row=4689&amp;col=6&amp;number=58.4&amp;sourceID=14","58.4")</f>
        <v>58.4</v>
      </c>
      <c r="G4689" s="4" t="str">
        <f>HYPERLINK("http://141.218.60.56/~jnz1568/getInfo.php?workbook=10_05.xlsx&amp;sheet=A0&amp;row=4689&amp;col=7&amp;number=0&amp;sourceID=14","0")</f>
        <v>0</v>
      </c>
    </row>
    <row r="4690" spans="1:7">
      <c r="A4690" s="3">
        <v>10</v>
      </c>
      <c r="B4690" s="3">
        <v>5</v>
      </c>
      <c r="C4690" s="3">
        <v>127</v>
      </c>
      <c r="D4690" s="3">
        <v>105</v>
      </c>
      <c r="E4690" s="3">
        <v>-6482.994</v>
      </c>
      <c r="F4690" s="4" t="str">
        <f>HYPERLINK("http://141.218.60.56/~jnz1568/getInfo.php?workbook=10_05.xlsx&amp;sheet=A0&amp;row=4690&amp;col=6&amp;number=2860&amp;sourceID=14","2860")</f>
        <v>2860</v>
      </c>
      <c r="G4690" s="4" t="str">
        <f>HYPERLINK("http://141.218.60.56/~jnz1568/getInfo.php?workbook=10_05.xlsx&amp;sheet=A0&amp;row=4690&amp;col=7&amp;number=0&amp;sourceID=14","0")</f>
        <v>0</v>
      </c>
    </row>
    <row r="4691" spans="1:7">
      <c r="A4691" s="3">
        <v>10</v>
      </c>
      <c r="B4691" s="3">
        <v>5</v>
      </c>
      <c r="C4691" s="3">
        <v>128</v>
      </c>
      <c r="D4691" s="3">
        <v>105</v>
      </c>
      <c r="E4691" s="3">
        <v>-6299.621</v>
      </c>
      <c r="F4691" s="4" t="str">
        <f>HYPERLINK("http://141.218.60.56/~jnz1568/getInfo.php?workbook=10_05.xlsx&amp;sheet=A0&amp;row=4691&amp;col=6&amp;number=872&amp;sourceID=14","872")</f>
        <v>872</v>
      </c>
      <c r="G4691" s="4" t="str">
        <f>HYPERLINK("http://141.218.60.56/~jnz1568/getInfo.php?workbook=10_05.xlsx&amp;sheet=A0&amp;row=4691&amp;col=7&amp;number=0&amp;sourceID=14","0")</f>
        <v>0</v>
      </c>
    </row>
    <row r="4692" spans="1:7">
      <c r="A4692" s="3">
        <v>10</v>
      </c>
      <c r="B4692" s="3">
        <v>5</v>
      </c>
      <c r="C4692" s="3">
        <v>134</v>
      </c>
      <c r="D4692" s="3">
        <v>105</v>
      </c>
      <c r="E4692" s="3">
        <v>-4913.531</v>
      </c>
      <c r="F4692" s="4" t="str">
        <f>HYPERLINK("http://141.218.60.56/~jnz1568/getInfo.php?workbook=10_05.xlsx&amp;sheet=A0&amp;row=4692&amp;col=6&amp;number=12400000&amp;sourceID=14","12400000")</f>
        <v>12400000</v>
      </c>
      <c r="G4692" s="4" t="str">
        <f>HYPERLINK("http://141.218.60.56/~jnz1568/getInfo.php?workbook=10_05.xlsx&amp;sheet=A0&amp;row=4692&amp;col=7&amp;number=0&amp;sourceID=14","0")</f>
        <v>0</v>
      </c>
    </row>
    <row r="4693" spans="1:7">
      <c r="A4693" s="3">
        <v>10</v>
      </c>
      <c r="B4693" s="3">
        <v>5</v>
      </c>
      <c r="C4693" s="3">
        <v>141</v>
      </c>
      <c r="D4693" s="3">
        <v>105</v>
      </c>
      <c r="E4693" s="3">
        <v>-3990.59</v>
      </c>
      <c r="F4693" s="4" t="str">
        <f>HYPERLINK("http://141.218.60.56/~jnz1568/getInfo.php?workbook=10_05.xlsx&amp;sheet=A0&amp;row=4693&amp;col=6&amp;number=3690000&amp;sourceID=14","3690000")</f>
        <v>3690000</v>
      </c>
      <c r="G4693" s="4" t="str">
        <f>HYPERLINK("http://141.218.60.56/~jnz1568/getInfo.php?workbook=10_05.xlsx&amp;sheet=A0&amp;row=4693&amp;col=7&amp;number=0&amp;sourceID=14","0")</f>
        <v>0</v>
      </c>
    </row>
    <row r="4694" spans="1:7">
      <c r="A4694" s="3">
        <v>10</v>
      </c>
      <c r="B4694" s="3">
        <v>5</v>
      </c>
      <c r="C4694" s="3">
        <v>142</v>
      </c>
      <c r="D4694" s="3">
        <v>105</v>
      </c>
      <c r="E4694" s="3">
        <v>-3983.595</v>
      </c>
      <c r="F4694" s="4" t="str">
        <f>HYPERLINK("http://141.218.60.56/~jnz1568/getInfo.php?workbook=10_05.xlsx&amp;sheet=A0&amp;row=4694&amp;col=6&amp;number=1300000&amp;sourceID=14","1300000")</f>
        <v>1300000</v>
      </c>
      <c r="G4694" s="4" t="str">
        <f>HYPERLINK("http://141.218.60.56/~jnz1568/getInfo.php?workbook=10_05.xlsx&amp;sheet=A0&amp;row=4694&amp;col=7&amp;number=0&amp;sourceID=14","0")</f>
        <v>0</v>
      </c>
    </row>
    <row r="4695" spans="1:7">
      <c r="A4695" s="3">
        <v>10</v>
      </c>
      <c r="B4695" s="3">
        <v>5</v>
      </c>
      <c r="C4695" s="3">
        <v>145</v>
      </c>
      <c r="D4695" s="3">
        <v>105</v>
      </c>
      <c r="E4695" s="3">
        <v>-3780.297</v>
      </c>
      <c r="F4695" s="4" t="str">
        <f>HYPERLINK("http://141.218.60.56/~jnz1568/getInfo.php?workbook=10_05.xlsx&amp;sheet=A0&amp;row=4695&amp;col=6&amp;number=382000&amp;sourceID=14","382000")</f>
        <v>382000</v>
      </c>
      <c r="G4695" s="4" t="str">
        <f>HYPERLINK("http://141.218.60.56/~jnz1568/getInfo.php?workbook=10_05.xlsx&amp;sheet=A0&amp;row=4695&amp;col=7&amp;number=0&amp;sourceID=14","0")</f>
        <v>0</v>
      </c>
    </row>
    <row r="4696" spans="1:7">
      <c r="A4696" s="3">
        <v>10</v>
      </c>
      <c r="B4696" s="3">
        <v>5</v>
      </c>
      <c r="C4696" s="3">
        <v>148</v>
      </c>
      <c r="D4696" s="3">
        <v>105</v>
      </c>
      <c r="E4696" s="3">
        <v>-3682.57</v>
      </c>
      <c r="F4696" s="4" t="str">
        <f>HYPERLINK("http://141.218.60.56/~jnz1568/getInfo.php?workbook=10_05.xlsx&amp;sheet=A0&amp;row=4696&amp;col=6&amp;number=89500&amp;sourceID=14","89500")</f>
        <v>89500</v>
      </c>
      <c r="G4696" s="4" t="str">
        <f>HYPERLINK("http://141.218.60.56/~jnz1568/getInfo.php?workbook=10_05.xlsx&amp;sheet=A0&amp;row=4696&amp;col=7&amp;number=0&amp;sourceID=14","0")</f>
        <v>0</v>
      </c>
    </row>
    <row r="4697" spans="1:7">
      <c r="A4697" s="3">
        <v>10</v>
      </c>
      <c r="B4697" s="3">
        <v>5</v>
      </c>
      <c r="C4697" s="3">
        <v>149</v>
      </c>
      <c r="D4697" s="3">
        <v>105</v>
      </c>
      <c r="E4697" s="3">
        <v>-3669.193</v>
      </c>
      <c r="F4697" s="4" t="str">
        <f>HYPERLINK("http://141.218.60.56/~jnz1568/getInfo.php?workbook=10_05.xlsx&amp;sheet=A0&amp;row=4697&amp;col=6&amp;number=936000&amp;sourceID=14","936000")</f>
        <v>936000</v>
      </c>
      <c r="G4697" s="4" t="str">
        <f>HYPERLINK("http://141.218.60.56/~jnz1568/getInfo.php?workbook=10_05.xlsx&amp;sheet=A0&amp;row=4697&amp;col=7&amp;number=0&amp;sourceID=14","0")</f>
        <v>0</v>
      </c>
    </row>
    <row r="4698" spans="1:7">
      <c r="A4698" s="3">
        <v>10</v>
      </c>
      <c r="B4698" s="3">
        <v>5</v>
      </c>
      <c r="C4698" s="3">
        <v>158</v>
      </c>
      <c r="D4698" s="3">
        <v>105</v>
      </c>
      <c r="E4698" s="3">
        <v>-2840.107</v>
      </c>
      <c r="F4698" s="4" t="str">
        <f>HYPERLINK("http://141.218.60.56/~jnz1568/getInfo.php?workbook=10_05.xlsx&amp;sheet=A0&amp;row=4698&amp;col=6&amp;number=100000&amp;sourceID=14","100000")</f>
        <v>100000</v>
      </c>
      <c r="G4698" s="4" t="str">
        <f>HYPERLINK("http://141.218.60.56/~jnz1568/getInfo.php?workbook=10_05.xlsx&amp;sheet=A0&amp;row=4698&amp;col=7&amp;number=0&amp;sourceID=14","0")</f>
        <v>0</v>
      </c>
    </row>
    <row r="4699" spans="1:7">
      <c r="A4699" s="3">
        <v>10</v>
      </c>
      <c r="B4699" s="3">
        <v>5</v>
      </c>
      <c r="C4699" s="3">
        <v>159</v>
      </c>
      <c r="D4699" s="3">
        <v>105</v>
      </c>
      <c r="E4699" s="3">
        <v>-2805.999</v>
      </c>
      <c r="F4699" s="4" t="str">
        <f>HYPERLINK("http://141.218.60.56/~jnz1568/getInfo.php?workbook=10_05.xlsx&amp;sheet=A0&amp;row=4699&amp;col=6&amp;number=504000&amp;sourceID=14","504000")</f>
        <v>504000</v>
      </c>
      <c r="G4699" s="4" t="str">
        <f>HYPERLINK("http://141.218.60.56/~jnz1568/getInfo.php?workbook=10_05.xlsx&amp;sheet=A0&amp;row=4699&amp;col=7&amp;number=0&amp;sourceID=14","0")</f>
        <v>0</v>
      </c>
    </row>
    <row r="4700" spans="1:7">
      <c r="A4700" s="3">
        <v>10</v>
      </c>
      <c r="B4700" s="3">
        <v>5</v>
      </c>
      <c r="C4700" s="3">
        <v>164</v>
      </c>
      <c r="D4700" s="3">
        <v>105</v>
      </c>
      <c r="E4700" s="3">
        <v>-1223.034</v>
      </c>
      <c r="F4700" s="4" t="str">
        <f>HYPERLINK("http://141.218.60.56/~jnz1568/getInfo.php?workbook=10_05.xlsx&amp;sheet=A0&amp;row=4700&amp;col=6&amp;number=87700&amp;sourceID=14","87700")</f>
        <v>87700</v>
      </c>
      <c r="G4700" s="4" t="str">
        <f>HYPERLINK("http://141.218.60.56/~jnz1568/getInfo.php?workbook=10_05.xlsx&amp;sheet=A0&amp;row=4700&amp;col=7&amp;number=0&amp;sourceID=14","0")</f>
        <v>0</v>
      </c>
    </row>
    <row r="4701" spans="1:7">
      <c r="A4701" s="3">
        <v>10</v>
      </c>
      <c r="B4701" s="3">
        <v>5</v>
      </c>
      <c r="C4701" s="3">
        <v>165</v>
      </c>
      <c r="D4701" s="3">
        <v>105</v>
      </c>
      <c r="E4701" s="3">
        <v>-1220.989</v>
      </c>
      <c r="F4701" s="4" t="str">
        <f>HYPERLINK("http://141.218.60.56/~jnz1568/getInfo.php?workbook=10_05.xlsx&amp;sheet=A0&amp;row=4701&amp;col=6&amp;number=19600&amp;sourceID=14","19600")</f>
        <v>19600</v>
      </c>
      <c r="G4701" s="4" t="str">
        <f>HYPERLINK("http://141.218.60.56/~jnz1568/getInfo.php?workbook=10_05.xlsx&amp;sheet=A0&amp;row=4701&amp;col=7&amp;number=0&amp;sourceID=14","0")</f>
        <v>0</v>
      </c>
    </row>
    <row r="4702" spans="1:7">
      <c r="A4702" s="3">
        <v>10</v>
      </c>
      <c r="B4702" s="3">
        <v>5</v>
      </c>
      <c r="C4702" s="3">
        <v>166</v>
      </c>
      <c r="D4702" s="3">
        <v>105</v>
      </c>
      <c r="E4702" s="3">
        <v>-917.593</v>
      </c>
      <c r="F4702" s="4" t="str">
        <f>HYPERLINK("http://141.218.60.56/~jnz1568/getInfo.php?workbook=10_05.xlsx&amp;sheet=A0&amp;row=4702&amp;col=6&amp;number=274000&amp;sourceID=14","274000")</f>
        <v>274000</v>
      </c>
      <c r="G4702" s="4" t="str">
        <f>HYPERLINK("http://141.218.60.56/~jnz1568/getInfo.php?workbook=10_05.xlsx&amp;sheet=A0&amp;row=4702&amp;col=7&amp;number=0&amp;sourceID=14","0")</f>
        <v>0</v>
      </c>
    </row>
    <row r="4703" spans="1:7">
      <c r="A4703" s="3">
        <v>10</v>
      </c>
      <c r="B4703" s="3">
        <v>5</v>
      </c>
      <c r="C4703" s="3">
        <v>167</v>
      </c>
      <c r="D4703" s="3">
        <v>105</v>
      </c>
      <c r="E4703" s="3">
        <v>-917.239</v>
      </c>
      <c r="F4703" s="4" t="str">
        <f>HYPERLINK("http://141.218.60.56/~jnz1568/getInfo.php?workbook=10_05.xlsx&amp;sheet=A0&amp;row=4703&amp;col=6&amp;number=72700&amp;sourceID=14","72700")</f>
        <v>72700</v>
      </c>
      <c r="G4703" s="4" t="str">
        <f>HYPERLINK("http://141.218.60.56/~jnz1568/getInfo.php?workbook=10_05.xlsx&amp;sheet=A0&amp;row=4703&amp;col=7&amp;number=0&amp;sourceID=14","0")</f>
        <v>0</v>
      </c>
    </row>
    <row r="4704" spans="1:7">
      <c r="A4704" s="3">
        <v>10</v>
      </c>
      <c r="B4704" s="3">
        <v>5</v>
      </c>
      <c r="C4704" s="3">
        <v>177</v>
      </c>
      <c r="D4704" s="3">
        <v>105</v>
      </c>
      <c r="E4704" s="3">
        <v>-707.265</v>
      </c>
      <c r="F4704" s="4" t="str">
        <f>HYPERLINK("http://141.218.60.56/~jnz1568/getInfo.php?workbook=10_05.xlsx&amp;sheet=A0&amp;row=4704&amp;col=6&amp;number=452000&amp;sourceID=14","452000")</f>
        <v>452000</v>
      </c>
      <c r="G4704" s="4" t="str">
        <f>HYPERLINK("http://141.218.60.56/~jnz1568/getInfo.php?workbook=10_05.xlsx&amp;sheet=A0&amp;row=4704&amp;col=7&amp;number=0&amp;sourceID=14","0")</f>
        <v>0</v>
      </c>
    </row>
    <row r="4705" spans="1:7">
      <c r="A4705" s="3">
        <v>10</v>
      </c>
      <c r="B4705" s="3">
        <v>5</v>
      </c>
      <c r="C4705" s="3">
        <v>179</v>
      </c>
      <c r="D4705" s="3">
        <v>105</v>
      </c>
      <c r="E4705" s="3">
        <v>-687.357</v>
      </c>
      <c r="F4705" s="4" t="str">
        <f>HYPERLINK("http://141.218.60.56/~jnz1568/getInfo.php?workbook=10_05.xlsx&amp;sheet=A0&amp;row=4705&amp;col=6&amp;number=355000&amp;sourceID=14","355000")</f>
        <v>355000</v>
      </c>
      <c r="G4705" s="4" t="str">
        <f>HYPERLINK("http://141.218.60.56/~jnz1568/getInfo.php?workbook=10_05.xlsx&amp;sheet=A0&amp;row=4705&amp;col=7&amp;number=0&amp;sourceID=14","0")</f>
        <v>0</v>
      </c>
    </row>
    <row r="4706" spans="1:7">
      <c r="A4706" s="3">
        <v>10</v>
      </c>
      <c r="B4706" s="3">
        <v>5</v>
      </c>
      <c r="C4706" s="3">
        <v>180</v>
      </c>
      <c r="D4706" s="3">
        <v>105</v>
      </c>
      <c r="E4706" s="3">
        <v>-687.183</v>
      </c>
      <c r="F4706" s="4" t="str">
        <f>HYPERLINK("http://141.218.60.56/~jnz1568/getInfo.php?workbook=10_05.xlsx&amp;sheet=A0&amp;row=4706&amp;col=6&amp;number=74000&amp;sourceID=14","74000")</f>
        <v>74000</v>
      </c>
      <c r="G4706" s="4" t="str">
        <f>HYPERLINK("http://141.218.60.56/~jnz1568/getInfo.php?workbook=10_05.xlsx&amp;sheet=A0&amp;row=4706&amp;col=7&amp;number=0&amp;sourceID=14","0")</f>
        <v>0</v>
      </c>
    </row>
    <row r="4707" spans="1:7">
      <c r="A4707" s="3">
        <v>10</v>
      </c>
      <c r="B4707" s="3">
        <v>5</v>
      </c>
      <c r="C4707" s="3">
        <v>110</v>
      </c>
      <c r="D4707" s="3">
        <v>106</v>
      </c>
      <c r="E4707" s="3">
        <v>-79176.709</v>
      </c>
      <c r="F4707" s="4" t="str">
        <f>HYPERLINK("http://141.218.60.56/~jnz1568/getInfo.php?workbook=10_05.xlsx&amp;sheet=A0&amp;row=4707&amp;col=6&amp;number=24.7&amp;sourceID=14","24.7")</f>
        <v>24.7</v>
      </c>
      <c r="G4707" s="4" t="str">
        <f>HYPERLINK("http://141.218.60.56/~jnz1568/getInfo.php?workbook=10_05.xlsx&amp;sheet=A0&amp;row=4707&amp;col=7&amp;number=0&amp;sourceID=14","0")</f>
        <v>0</v>
      </c>
    </row>
    <row r="4708" spans="1:7">
      <c r="A4708" s="3">
        <v>10</v>
      </c>
      <c r="B4708" s="3">
        <v>5</v>
      </c>
      <c r="C4708" s="3">
        <v>112</v>
      </c>
      <c r="D4708" s="3">
        <v>106</v>
      </c>
      <c r="E4708" s="3">
        <v>-52110.57</v>
      </c>
      <c r="F4708" s="4" t="str">
        <f>HYPERLINK("http://141.218.60.56/~jnz1568/getInfo.php?workbook=10_05.xlsx&amp;sheet=A0&amp;row=4708&amp;col=6&amp;number=100&amp;sourceID=14","100")</f>
        <v>100</v>
      </c>
      <c r="G4708" s="4" t="str">
        <f>HYPERLINK("http://141.218.60.56/~jnz1568/getInfo.php?workbook=10_05.xlsx&amp;sheet=A0&amp;row=4708&amp;col=7&amp;number=0&amp;sourceID=14","0")</f>
        <v>0</v>
      </c>
    </row>
    <row r="4709" spans="1:7">
      <c r="A4709" s="3">
        <v>10</v>
      </c>
      <c r="B4709" s="3">
        <v>5</v>
      </c>
      <c r="C4709" s="3">
        <v>113</v>
      </c>
      <c r="D4709" s="3">
        <v>106</v>
      </c>
      <c r="E4709" s="3">
        <v>-37467.285</v>
      </c>
      <c r="F4709" s="4" t="str">
        <f>HYPERLINK("http://141.218.60.56/~jnz1568/getInfo.php?workbook=10_05.xlsx&amp;sheet=A0&amp;row=4709&amp;col=6&amp;number=78.2&amp;sourceID=14","78.2")</f>
        <v>78.2</v>
      </c>
      <c r="G4709" s="4" t="str">
        <f>HYPERLINK("http://141.218.60.56/~jnz1568/getInfo.php?workbook=10_05.xlsx&amp;sheet=A0&amp;row=4709&amp;col=7&amp;number=0&amp;sourceID=14","0")</f>
        <v>0</v>
      </c>
    </row>
    <row r="4710" spans="1:7">
      <c r="A4710" s="3">
        <v>10</v>
      </c>
      <c r="B4710" s="3">
        <v>5</v>
      </c>
      <c r="C4710" s="3">
        <v>114</v>
      </c>
      <c r="D4710" s="3">
        <v>106</v>
      </c>
      <c r="E4710" s="3">
        <v>-36416.673</v>
      </c>
      <c r="F4710" s="4" t="str">
        <f>HYPERLINK("http://141.218.60.56/~jnz1568/getInfo.php?workbook=10_05.xlsx&amp;sheet=A0&amp;row=4710&amp;col=6&amp;number=15&amp;sourceID=14","15")</f>
        <v>15</v>
      </c>
      <c r="G4710" s="4" t="str">
        <f>HYPERLINK("http://141.218.60.56/~jnz1568/getInfo.php?workbook=10_05.xlsx&amp;sheet=A0&amp;row=4710&amp;col=7&amp;number=0&amp;sourceID=14","0")</f>
        <v>0</v>
      </c>
    </row>
    <row r="4711" spans="1:7">
      <c r="A4711" s="3">
        <v>10</v>
      </c>
      <c r="B4711" s="3">
        <v>5</v>
      </c>
      <c r="C4711" s="3">
        <v>127</v>
      </c>
      <c r="D4711" s="3">
        <v>106</v>
      </c>
      <c r="E4711" s="3">
        <v>-6535.96</v>
      </c>
      <c r="F4711" s="4" t="str">
        <f>HYPERLINK("http://141.218.60.56/~jnz1568/getInfo.php?workbook=10_05.xlsx&amp;sheet=A0&amp;row=4711&amp;col=6&amp;number=1150&amp;sourceID=14","1150")</f>
        <v>1150</v>
      </c>
      <c r="G4711" s="4" t="str">
        <f>HYPERLINK("http://141.218.60.56/~jnz1568/getInfo.php?workbook=10_05.xlsx&amp;sheet=A0&amp;row=4711&amp;col=7&amp;number=0&amp;sourceID=14","0")</f>
        <v>0</v>
      </c>
    </row>
    <row r="4712" spans="1:7">
      <c r="A4712" s="3">
        <v>10</v>
      </c>
      <c r="B4712" s="3">
        <v>5</v>
      </c>
      <c r="C4712" s="3">
        <v>128</v>
      </c>
      <c r="D4712" s="3">
        <v>106</v>
      </c>
      <c r="E4712" s="3">
        <v>-6349.621</v>
      </c>
      <c r="F4712" s="4" t="str">
        <f>HYPERLINK("http://141.218.60.56/~jnz1568/getInfo.php?workbook=10_05.xlsx&amp;sheet=A0&amp;row=4712&amp;col=6&amp;number=4900&amp;sourceID=14","4900")</f>
        <v>4900</v>
      </c>
      <c r="G4712" s="4" t="str">
        <f>HYPERLINK("http://141.218.60.56/~jnz1568/getInfo.php?workbook=10_05.xlsx&amp;sheet=A0&amp;row=4712&amp;col=7&amp;number=0&amp;sourceID=14","0")</f>
        <v>0</v>
      </c>
    </row>
    <row r="4713" spans="1:7">
      <c r="A4713" s="3">
        <v>10</v>
      </c>
      <c r="B4713" s="3">
        <v>5</v>
      </c>
      <c r="C4713" s="3">
        <v>134</v>
      </c>
      <c r="D4713" s="3">
        <v>106</v>
      </c>
      <c r="E4713" s="3">
        <v>-4943.896</v>
      </c>
      <c r="F4713" s="4" t="str">
        <f>HYPERLINK("http://141.218.60.56/~jnz1568/getInfo.php?workbook=10_05.xlsx&amp;sheet=A0&amp;row=4713&amp;col=6&amp;number=4170000&amp;sourceID=14","4170000")</f>
        <v>4170000</v>
      </c>
      <c r="G4713" s="4" t="str">
        <f>HYPERLINK("http://141.218.60.56/~jnz1568/getInfo.php?workbook=10_05.xlsx&amp;sheet=A0&amp;row=4713&amp;col=7&amp;number=0&amp;sourceID=14","0")</f>
        <v>0</v>
      </c>
    </row>
    <row r="4714" spans="1:7">
      <c r="A4714" s="3">
        <v>10</v>
      </c>
      <c r="B4714" s="3">
        <v>5</v>
      </c>
      <c r="C4714" s="3">
        <v>135</v>
      </c>
      <c r="D4714" s="3">
        <v>106</v>
      </c>
      <c r="E4714" s="3">
        <v>-4885.684</v>
      </c>
      <c r="F4714" s="4" t="str">
        <f>HYPERLINK("http://141.218.60.56/~jnz1568/getInfo.php?workbook=10_05.xlsx&amp;sheet=A0&amp;row=4714&amp;col=6&amp;number=12900000&amp;sourceID=14","12900000")</f>
        <v>12900000</v>
      </c>
      <c r="G4714" s="4" t="str">
        <f>HYPERLINK("http://141.218.60.56/~jnz1568/getInfo.php?workbook=10_05.xlsx&amp;sheet=A0&amp;row=4714&amp;col=7&amp;number=0&amp;sourceID=14","0")</f>
        <v>0</v>
      </c>
    </row>
    <row r="4715" spans="1:7">
      <c r="A4715" s="3">
        <v>10</v>
      </c>
      <c r="B4715" s="3">
        <v>5</v>
      </c>
      <c r="C4715" s="3">
        <v>141</v>
      </c>
      <c r="D4715" s="3">
        <v>106</v>
      </c>
      <c r="E4715" s="3">
        <v>-4010.595</v>
      </c>
      <c r="F4715" s="4" t="str">
        <f>HYPERLINK("http://141.218.60.56/~jnz1568/getInfo.php?workbook=10_05.xlsx&amp;sheet=A0&amp;row=4715&amp;col=6&amp;number=2710000&amp;sourceID=14","2710000")</f>
        <v>2710000</v>
      </c>
      <c r="G4715" s="4" t="str">
        <f>HYPERLINK("http://141.218.60.56/~jnz1568/getInfo.php?workbook=10_05.xlsx&amp;sheet=A0&amp;row=4715&amp;col=7&amp;number=0&amp;sourceID=14","0")</f>
        <v>0</v>
      </c>
    </row>
    <row r="4716" spans="1:7">
      <c r="A4716" s="3">
        <v>10</v>
      </c>
      <c r="B4716" s="3">
        <v>5</v>
      </c>
      <c r="C4716" s="3">
        <v>142</v>
      </c>
      <c r="D4716" s="3">
        <v>106</v>
      </c>
      <c r="E4716" s="3">
        <v>-4003.53</v>
      </c>
      <c r="F4716" s="4" t="str">
        <f>HYPERLINK("http://141.218.60.56/~jnz1568/getInfo.php?workbook=10_05.xlsx&amp;sheet=A0&amp;row=4716&amp;col=6&amp;number=3500000&amp;sourceID=14","3500000")</f>
        <v>3500000</v>
      </c>
      <c r="G4716" s="4" t="str">
        <f>HYPERLINK("http://141.218.60.56/~jnz1568/getInfo.php?workbook=10_05.xlsx&amp;sheet=A0&amp;row=4716&amp;col=7&amp;number=0&amp;sourceID=14","0")</f>
        <v>0</v>
      </c>
    </row>
    <row r="4717" spans="1:7">
      <c r="A4717" s="3">
        <v>10</v>
      </c>
      <c r="B4717" s="3">
        <v>5</v>
      </c>
      <c r="C4717" s="3">
        <v>143</v>
      </c>
      <c r="D4717" s="3">
        <v>106</v>
      </c>
      <c r="E4717" s="3">
        <v>-3963.386</v>
      </c>
      <c r="F4717" s="4" t="str">
        <f>HYPERLINK("http://141.218.60.56/~jnz1568/getInfo.php?workbook=10_05.xlsx&amp;sheet=A0&amp;row=4717&amp;col=6&amp;number=825000&amp;sourceID=14","825000")</f>
        <v>825000</v>
      </c>
      <c r="G4717" s="4" t="str">
        <f>HYPERLINK("http://141.218.60.56/~jnz1568/getInfo.php?workbook=10_05.xlsx&amp;sheet=A0&amp;row=4717&amp;col=7&amp;number=0&amp;sourceID=14","0")</f>
        <v>0</v>
      </c>
    </row>
    <row r="4718" spans="1:7">
      <c r="A4718" s="3">
        <v>10</v>
      </c>
      <c r="B4718" s="3">
        <v>5</v>
      </c>
      <c r="C4718" s="3">
        <v>145</v>
      </c>
      <c r="D4718" s="3">
        <v>106</v>
      </c>
      <c r="E4718" s="3">
        <v>-3798.245</v>
      </c>
      <c r="F4718" s="4" t="str">
        <f>HYPERLINK("http://141.218.60.56/~jnz1568/getInfo.php?workbook=10_05.xlsx&amp;sheet=A0&amp;row=4718&amp;col=6&amp;number=29300&amp;sourceID=14","29300")</f>
        <v>29300</v>
      </c>
      <c r="G4718" s="4" t="str">
        <f>HYPERLINK("http://141.218.60.56/~jnz1568/getInfo.php?workbook=10_05.xlsx&amp;sheet=A0&amp;row=4718&amp;col=7&amp;number=0&amp;sourceID=14","0")</f>
        <v>0</v>
      </c>
    </row>
    <row r="4719" spans="1:7">
      <c r="A4719" s="3">
        <v>10</v>
      </c>
      <c r="B4719" s="3">
        <v>5</v>
      </c>
      <c r="C4719" s="3">
        <v>146</v>
      </c>
      <c r="D4719" s="3">
        <v>106</v>
      </c>
      <c r="E4719" s="3">
        <v>-3763.65</v>
      </c>
      <c r="F4719" s="4" t="str">
        <f>HYPERLINK("http://141.218.60.56/~jnz1568/getInfo.php?workbook=10_05.xlsx&amp;sheet=A0&amp;row=4719&amp;col=6&amp;number=868000&amp;sourceID=14","868000")</f>
        <v>868000</v>
      </c>
      <c r="G4719" s="4" t="str">
        <f>HYPERLINK("http://141.218.60.56/~jnz1568/getInfo.php?workbook=10_05.xlsx&amp;sheet=A0&amp;row=4719&amp;col=7&amp;number=0&amp;sourceID=14","0")</f>
        <v>0</v>
      </c>
    </row>
    <row r="4720" spans="1:7">
      <c r="A4720" s="3">
        <v>10</v>
      </c>
      <c r="B4720" s="3">
        <v>5</v>
      </c>
      <c r="C4720" s="3">
        <v>147</v>
      </c>
      <c r="D4720" s="3">
        <v>106</v>
      </c>
      <c r="E4720" s="3">
        <v>-3713.062</v>
      </c>
      <c r="F4720" s="4" t="str">
        <f>HYPERLINK("http://141.218.60.56/~jnz1568/getInfo.php?workbook=10_05.xlsx&amp;sheet=A0&amp;row=4720&amp;col=6&amp;number=219000&amp;sourceID=14","219000")</f>
        <v>219000</v>
      </c>
      <c r="G4720" s="4" t="str">
        <f>HYPERLINK("http://141.218.60.56/~jnz1568/getInfo.php?workbook=10_05.xlsx&amp;sheet=A0&amp;row=4720&amp;col=7&amp;number=0&amp;sourceID=14","0")</f>
        <v>0</v>
      </c>
    </row>
    <row r="4721" spans="1:7">
      <c r="A4721" s="3">
        <v>10</v>
      </c>
      <c r="B4721" s="3">
        <v>5</v>
      </c>
      <c r="C4721" s="3">
        <v>148</v>
      </c>
      <c r="D4721" s="3">
        <v>106</v>
      </c>
      <c r="E4721" s="3">
        <v>-3699.6</v>
      </c>
      <c r="F4721" s="4" t="str">
        <f>HYPERLINK("http://141.218.60.56/~jnz1568/getInfo.php?workbook=10_05.xlsx&amp;sheet=A0&amp;row=4721&amp;col=6&amp;number=316000&amp;sourceID=14","316000")</f>
        <v>316000</v>
      </c>
      <c r="G4721" s="4" t="str">
        <f>HYPERLINK("http://141.218.60.56/~jnz1568/getInfo.php?workbook=10_05.xlsx&amp;sheet=A0&amp;row=4721&amp;col=7&amp;number=0&amp;sourceID=14","0")</f>
        <v>0</v>
      </c>
    </row>
    <row r="4722" spans="1:7">
      <c r="A4722" s="3">
        <v>10</v>
      </c>
      <c r="B4722" s="3">
        <v>5</v>
      </c>
      <c r="C4722" s="3">
        <v>149</v>
      </c>
      <c r="D4722" s="3">
        <v>106</v>
      </c>
      <c r="E4722" s="3">
        <v>-3686.099</v>
      </c>
      <c r="F4722" s="4" t="str">
        <f>HYPERLINK("http://141.218.60.56/~jnz1568/getInfo.php?workbook=10_05.xlsx&amp;sheet=A0&amp;row=4722&amp;col=6&amp;number=1680000&amp;sourceID=14","1680000")</f>
        <v>1680000</v>
      </c>
      <c r="G4722" s="4" t="str">
        <f>HYPERLINK("http://141.218.60.56/~jnz1568/getInfo.php?workbook=10_05.xlsx&amp;sheet=A0&amp;row=4722&amp;col=7&amp;number=0&amp;sourceID=14","0")</f>
        <v>0</v>
      </c>
    </row>
    <row r="4723" spans="1:7">
      <c r="A4723" s="3">
        <v>10</v>
      </c>
      <c r="B4723" s="3">
        <v>5</v>
      </c>
      <c r="C4723" s="3">
        <v>152</v>
      </c>
      <c r="D4723" s="3">
        <v>106</v>
      </c>
      <c r="E4723" s="3">
        <v>-3077.402</v>
      </c>
      <c r="F4723" s="4" t="str">
        <f>HYPERLINK("http://141.218.60.56/~jnz1568/getInfo.php?workbook=10_05.xlsx&amp;sheet=A0&amp;row=4723&amp;col=6&amp;number=1190&amp;sourceID=14","1190")</f>
        <v>1190</v>
      </c>
      <c r="G4723" s="4" t="str">
        <f>HYPERLINK("http://141.218.60.56/~jnz1568/getInfo.php?workbook=10_05.xlsx&amp;sheet=A0&amp;row=4723&amp;col=7&amp;number=0&amp;sourceID=14","0")</f>
        <v>0</v>
      </c>
    </row>
    <row r="4724" spans="1:7">
      <c r="A4724" s="3">
        <v>10</v>
      </c>
      <c r="B4724" s="3">
        <v>5</v>
      </c>
      <c r="C4724" s="3">
        <v>158</v>
      </c>
      <c r="D4724" s="3">
        <v>106</v>
      </c>
      <c r="E4724" s="3">
        <v>-2850.226</v>
      </c>
      <c r="F4724" s="4" t="str">
        <f>HYPERLINK("http://141.218.60.56/~jnz1568/getInfo.php?workbook=10_05.xlsx&amp;sheet=A0&amp;row=4724&amp;col=6&amp;number=1030000&amp;sourceID=14","1030000")</f>
        <v>1030000</v>
      </c>
      <c r="G4724" s="4" t="str">
        <f>HYPERLINK("http://141.218.60.56/~jnz1568/getInfo.php?workbook=10_05.xlsx&amp;sheet=A0&amp;row=4724&amp;col=7&amp;number=0&amp;sourceID=14","0")</f>
        <v>0</v>
      </c>
    </row>
    <row r="4725" spans="1:7">
      <c r="A4725" s="3">
        <v>10</v>
      </c>
      <c r="B4725" s="3">
        <v>5</v>
      </c>
      <c r="C4725" s="3">
        <v>159</v>
      </c>
      <c r="D4725" s="3">
        <v>106</v>
      </c>
      <c r="E4725" s="3">
        <v>-2815.875</v>
      </c>
      <c r="F4725" s="4" t="str">
        <f>HYPERLINK("http://141.218.60.56/~jnz1568/getInfo.php?workbook=10_05.xlsx&amp;sheet=A0&amp;row=4725&amp;col=6&amp;number=393000&amp;sourceID=14","393000")</f>
        <v>393000</v>
      </c>
      <c r="G4725" s="4" t="str">
        <f>HYPERLINK("http://141.218.60.56/~jnz1568/getInfo.php?workbook=10_05.xlsx&amp;sheet=A0&amp;row=4725&amp;col=7&amp;number=0&amp;sourceID=14","0")</f>
        <v>0</v>
      </c>
    </row>
    <row r="4726" spans="1:7">
      <c r="A4726" s="3">
        <v>10</v>
      </c>
      <c r="B4726" s="3">
        <v>5</v>
      </c>
      <c r="C4726" s="3">
        <v>164</v>
      </c>
      <c r="D4726" s="3">
        <v>106</v>
      </c>
      <c r="E4726" s="3">
        <v>-1224.907</v>
      </c>
      <c r="F4726" s="4" t="str">
        <f>HYPERLINK("http://141.218.60.56/~jnz1568/getInfo.php?workbook=10_05.xlsx&amp;sheet=A0&amp;row=4726&amp;col=6&amp;number=49400&amp;sourceID=14","49400")</f>
        <v>49400</v>
      </c>
      <c r="G4726" s="4" t="str">
        <f>HYPERLINK("http://141.218.60.56/~jnz1568/getInfo.php?workbook=10_05.xlsx&amp;sheet=A0&amp;row=4726&amp;col=7&amp;number=0&amp;sourceID=14","0")</f>
        <v>0</v>
      </c>
    </row>
    <row r="4727" spans="1:7">
      <c r="A4727" s="3">
        <v>10</v>
      </c>
      <c r="B4727" s="3">
        <v>5</v>
      </c>
      <c r="C4727" s="3">
        <v>165</v>
      </c>
      <c r="D4727" s="3">
        <v>106</v>
      </c>
      <c r="E4727" s="3">
        <v>-1222.855</v>
      </c>
      <c r="F4727" s="4" t="str">
        <f>HYPERLINK("http://141.218.60.56/~jnz1568/getInfo.php?workbook=10_05.xlsx&amp;sheet=A0&amp;row=4727&amp;col=6&amp;number=177000&amp;sourceID=14","177000")</f>
        <v>177000</v>
      </c>
      <c r="G4727" s="4" t="str">
        <f>HYPERLINK("http://141.218.60.56/~jnz1568/getInfo.php?workbook=10_05.xlsx&amp;sheet=A0&amp;row=4727&amp;col=7&amp;number=0&amp;sourceID=14","0")</f>
        <v>0</v>
      </c>
    </row>
    <row r="4728" spans="1:7">
      <c r="A4728" s="3">
        <v>10</v>
      </c>
      <c r="B4728" s="3">
        <v>5</v>
      </c>
      <c r="C4728" s="3">
        <v>166</v>
      </c>
      <c r="D4728" s="3">
        <v>106</v>
      </c>
      <c r="E4728" s="3">
        <v>-918.647</v>
      </c>
      <c r="F4728" s="4" t="str">
        <f>HYPERLINK("http://141.218.60.56/~jnz1568/getInfo.php?workbook=10_05.xlsx&amp;sheet=A0&amp;row=4728&amp;col=6&amp;number=228000&amp;sourceID=14","228000")</f>
        <v>228000</v>
      </c>
      <c r="G4728" s="4" t="str">
        <f>HYPERLINK("http://141.218.60.56/~jnz1568/getInfo.php?workbook=10_05.xlsx&amp;sheet=A0&amp;row=4728&amp;col=7&amp;number=0&amp;sourceID=14","0")</f>
        <v>0</v>
      </c>
    </row>
    <row r="4729" spans="1:7">
      <c r="A4729" s="3">
        <v>10</v>
      </c>
      <c r="B4729" s="3">
        <v>5</v>
      </c>
      <c r="C4729" s="3">
        <v>167</v>
      </c>
      <c r="D4729" s="3">
        <v>106</v>
      </c>
      <c r="E4729" s="3">
        <v>-918.292</v>
      </c>
      <c r="F4729" s="4" t="str">
        <f>HYPERLINK("http://141.218.60.56/~jnz1568/getInfo.php?workbook=10_05.xlsx&amp;sheet=A0&amp;row=4729&amp;col=6&amp;number=515000&amp;sourceID=14","515000")</f>
        <v>515000</v>
      </c>
      <c r="G4729" s="4" t="str">
        <f>HYPERLINK("http://141.218.60.56/~jnz1568/getInfo.php?workbook=10_05.xlsx&amp;sheet=A0&amp;row=4729&amp;col=7&amp;number=0&amp;sourceID=14","0")</f>
        <v>0</v>
      </c>
    </row>
    <row r="4730" spans="1:7">
      <c r="A4730" s="3">
        <v>10</v>
      </c>
      <c r="B4730" s="3">
        <v>5</v>
      </c>
      <c r="C4730" s="3">
        <v>176</v>
      </c>
      <c r="D4730" s="3">
        <v>106</v>
      </c>
      <c r="E4730" s="3">
        <v>-712.384</v>
      </c>
      <c r="F4730" s="4" t="str">
        <f>HYPERLINK("http://141.218.60.56/~jnz1568/getInfo.php?workbook=10_05.xlsx&amp;sheet=A0&amp;row=4730&amp;col=6&amp;number=3090&amp;sourceID=14","3090")</f>
        <v>3090</v>
      </c>
      <c r="G4730" s="4" t="str">
        <f>HYPERLINK("http://141.218.60.56/~jnz1568/getInfo.php?workbook=10_05.xlsx&amp;sheet=A0&amp;row=4730&amp;col=7&amp;number=0&amp;sourceID=14","0")</f>
        <v>0</v>
      </c>
    </row>
    <row r="4731" spans="1:7">
      <c r="A4731" s="3">
        <v>10</v>
      </c>
      <c r="B4731" s="3">
        <v>5</v>
      </c>
      <c r="C4731" s="3">
        <v>177</v>
      </c>
      <c r="D4731" s="3">
        <v>106</v>
      </c>
      <c r="E4731" s="3">
        <v>-707.891</v>
      </c>
      <c r="F4731" s="4" t="str">
        <f>HYPERLINK("http://141.218.60.56/~jnz1568/getInfo.php?workbook=10_05.xlsx&amp;sheet=A0&amp;row=4731&amp;col=6&amp;number=167000&amp;sourceID=14","167000")</f>
        <v>167000</v>
      </c>
      <c r="G4731" s="4" t="str">
        <f>HYPERLINK("http://141.218.60.56/~jnz1568/getInfo.php?workbook=10_05.xlsx&amp;sheet=A0&amp;row=4731&amp;col=7&amp;number=0&amp;sourceID=14","0")</f>
        <v>0</v>
      </c>
    </row>
    <row r="4732" spans="1:7">
      <c r="A4732" s="3">
        <v>10</v>
      </c>
      <c r="B4732" s="3">
        <v>5</v>
      </c>
      <c r="C4732" s="3">
        <v>178</v>
      </c>
      <c r="D4732" s="3">
        <v>106</v>
      </c>
      <c r="E4732" s="3">
        <v>-707.67</v>
      </c>
      <c r="F4732" s="4" t="str">
        <f>HYPERLINK("http://141.218.60.56/~jnz1568/getInfo.php?workbook=10_05.xlsx&amp;sheet=A0&amp;row=4732&amp;col=6&amp;number=853000&amp;sourceID=14","853000")</f>
        <v>853000</v>
      </c>
      <c r="G4732" s="4" t="str">
        <f>HYPERLINK("http://141.218.60.56/~jnz1568/getInfo.php?workbook=10_05.xlsx&amp;sheet=A0&amp;row=4732&amp;col=7&amp;number=0&amp;sourceID=14","0")</f>
        <v>0</v>
      </c>
    </row>
    <row r="4733" spans="1:7">
      <c r="A4733" s="3">
        <v>10</v>
      </c>
      <c r="B4733" s="3">
        <v>5</v>
      </c>
      <c r="C4733" s="3">
        <v>179</v>
      </c>
      <c r="D4733" s="3">
        <v>106</v>
      </c>
      <c r="E4733" s="3">
        <v>-687.948</v>
      </c>
      <c r="F4733" s="4" t="str">
        <f>HYPERLINK("http://141.218.60.56/~jnz1568/getInfo.php?workbook=10_05.xlsx&amp;sheet=A0&amp;row=4733&amp;col=6&amp;number=215000&amp;sourceID=14","215000")</f>
        <v>215000</v>
      </c>
      <c r="G4733" s="4" t="str">
        <f>HYPERLINK("http://141.218.60.56/~jnz1568/getInfo.php?workbook=10_05.xlsx&amp;sheet=A0&amp;row=4733&amp;col=7&amp;number=0&amp;sourceID=14","0")</f>
        <v>0</v>
      </c>
    </row>
    <row r="4734" spans="1:7">
      <c r="A4734" s="3">
        <v>10</v>
      </c>
      <c r="B4734" s="3">
        <v>5</v>
      </c>
      <c r="C4734" s="3">
        <v>180</v>
      </c>
      <c r="D4734" s="3">
        <v>106</v>
      </c>
      <c r="E4734" s="3">
        <v>-687.773</v>
      </c>
      <c r="F4734" s="4" t="str">
        <f>HYPERLINK("http://141.218.60.56/~jnz1568/getInfo.php?workbook=10_05.xlsx&amp;sheet=A0&amp;row=4734&amp;col=6&amp;number=635000&amp;sourceID=14","635000")</f>
        <v>635000</v>
      </c>
      <c r="G4734" s="4" t="str">
        <f>HYPERLINK("http://141.218.60.56/~jnz1568/getInfo.php?workbook=10_05.xlsx&amp;sheet=A0&amp;row=4734&amp;col=7&amp;number=0&amp;sourceID=14","0")</f>
        <v>0</v>
      </c>
    </row>
    <row r="4735" spans="1:7">
      <c r="A4735" s="3">
        <v>10</v>
      </c>
      <c r="B4735" s="3">
        <v>5</v>
      </c>
      <c r="C4735" s="3">
        <v>112</v>
      </c>
      <c r="D4735" s="3">
        <v>107</v>
      </c>
      <c r="E4735" s="3">
        <v>-60938.564</v>
      </c>
      <c r="F4735" s="4" t="str">
        <f>HYPERLINK("http://141.218.60.56/~jnz1568/getInfo.php?workbook=10_05.xlsx&amp;sheet=A0&amp;row=4735&amp;col=6&amp;number=4.2&amp;sourceID=14","4.2")</f>
        <v>4.2</v>
      </c>
      <c r="G4735" s="4" t="str">
        <f>HYPERLINK("http://141.218.60.56/~jnz1568/getInfo.php?workbook=10_05.xlsx&amp;sheet=A0&amp;row=4735&amp;col=7&amp;number=0&amp;sourceID=14","0")</f>
        <v>0</v>
      </c>
    </row>
    <row r="4736" spans="1:7">
      <c r="A4736" s="3">
        <v>10</v>
      </c>
      <c r="B4736" s="3">
        <v>5</v>
      </c>
      <c r="C4736" s="3">
        <v>113</v>
      </c>
      <c r="D4736" s="3">
        <v>107</v>
      </c>
      <c r="E4736" s="3">
        <v>-41823.582</v>
      </c>
      <c r="F4736" s="4" t="str">
        <f>HYPERLINK("http://141.218.60.56/~jnz1568/getInfo.php?workbook=10_05.xlsx&amp;sheet=A0&amp;row=4736&amp;col=6&amp;number=0.098&amp;sourceID=14","0.098")</f>
        <v>0.098</v>
      </c>
      <c r="G4736" s="4" t="str">
        <f>HYPERLINK("http://141.218.60.56/~jnz1568/getInfo.php?workbook=10_05.xlsx&amp;sheet=A0&amp;row=4736&amp;col=7&amp;number=0&amp;sourceID=14","0")</f>
        <v>0</v>
      </c>
    </row>
    <row r="4737" spans="1:7">
      <c r="A4737" s="3">
        <v>10</v>
      </c>
      <c r="B4737" s="3">
        <v>5</v>
      </c>
      <c r="C4737" s="3">
        <v>114</v>
      </c>
      <c r="D4737" s="3">
        <v>107</v>
      </c>
      <c r="E4737" s="3">
        <v>-40518.713</v>
      </c>
      <c r="F4737" s="4" t="str">
        <f>HYPERLINK("http://141.218.60.56/~jnz1568/getInfo.php?workbook=10_05.xlsx&amp;sheet=A0&amp;row=4737&amp;col=6&amp;number=0.0346&amp;sourceID=14","0.0346")</f>
        <v>0.0346</v>
      </c>
      <c r="G4737" s="4" t="str">
        <f>HYPERLINK("http://141.218.60.56/~jnz1568/getInfo.php?workbook=10_05.xlsx&amp;sheet=A0&amp;row=4737&amp;col=7&amp;number=0&amp;sourceID=14","0")</f>
        <v>0</v>
      </c>
    </row>
    <row r="4738" spans="1:7">
      <c r="A4738" s="3">
        <v>10</v>
      </c>
      <c r="B4738" s="3">
        <v>5</v>
      </c>
      <c r="C4738" s="3">
        <v>128</v>
      </c>
      <c r="D4738" s="3">
        <v>107</v>
      </c>
      <c r="E4738" s="3">
        <v>-6463.718</v>
      </c>
      <c r="F4738" s="4" t="str">
        <f>HYPERLINK("http://141.218.60.56/~jnz1568/getInfo.php?workbook=10_05.xlsx&amp;sheet=A0&amp;row=4738&amp;col=6&amp;number=18.2&amp;sourceID=14","18.2")</f>
        <v>18.2</v>
      </c>
      <c r="G4738" s="4" t="str">
        <f>HYPERLINK("http://141.218.60.56/~jnz1568/getInfo.php?workbook=10_05.xlsx&amp;sheet=A0&amp;row=4738&amp;col=7&amp;number=0&amp;sourceID=14","0")</f>
        <v>0</v>
      </c>
    </row>
    <row r="4739" spans="1:7">
      <c r="A4739" s="3">
        <v>10</v>
      </c>
      <c r="B4739" s="3">
        <v>5</v>
      </c>
      <c r="C4739" s="3">
        <v>134</v>
      </c>
      <c r="D4739" s="3">
        <v>107</v>
      </c>
      <c r="E4739" s="3">
        <v>-5012.792</v>
      </c>
      <c r="F4739" s="4" t="str">
        <f>HYPERLINK("http://141.218.60.56/~jnz1568/getInfo.php?workbook=10_05.xlsx&amp;sheet=A0&amp;row=4739&amp;col=6&amp;number=254000&amp;sourceID=14","254000")</f>
        <v>254000</v>
      </c>
      <c r="G4739" s="4" t="str">
        <f>HYPERLINK("http://141.218.60.56/~jnz1568/getInfo.php?workbook=10_05.xlsx&amp;sheet=A0&amp;row=4739&amp;col=7&amp;number=0&amp;sourceID=14","0")</f>
        <v>0</v>
      </c>
    </row>
    <row r="4740" spans="1:7">
      <c r="A4740" s="3">
        <v>10</v>
      </c>
      <c r="B4740" s="3">
        <v>5</v>
      </c>
      <c r="C4740" s="3">
        <v>135</v>
      </c>
      <c r="D4740" s="3">
        <v>107</v>
      </c>
      <c r="E4740" s="3">
        <v>-4952.956</v>
      </c>
      <c r="F4740" s="4" t="str">
        <f>HYPERLINK("http://141.218.60.56/~jnz1568/getInfo.php?workbook=10_05.xlsx&amp;sheet=A0&amp;row=4740&amp;col=6&amp;number=3540000&amp;sourceID=14","3540000")</f>
        <v>3540000</v>
      </c>
      <c r="G4740" s="4" t="str">
        <f>HYPERLINK("http://141.218.60.56/~jnz1568/getInfo.php?workbook=10_05.xlsx&amp;sheet=A0&amp;row=4740&amp;col=7&amp;number=0&amp;sourceID=14","0")</f>
        <v>0</v>
      </c>
    </row>
    <row r="4741" spans="1:7">
      <c r="A4741" s="3">
        <v>10</v>
      </c>
      <c r="B4741" s="3">
        <v>5</v>
      </c>
      <c r="C4741" s="3">
        <v>136</v>
      </c>
      <c r="D4741" s="3">
        <v>107</v>
      </c>
      <c r="E4741" s="3">
        <v>-4865.715</v>
      </c>
      <c r="F4741" s="4" t="str">
        <f>HYPERLINK("http://141.218.60.56/~jnz1568/getInfo.php?workbook=10_05.xlsx&amp;sheet=A0&amp;row=4741&amp;col=6&amp;number=15600000&amp;sourceID=14","15600000")</f>
        <v>15600000</v>
      </c>
      <c r="G4741" s="4" t="str">
        <f>HYPERLINK("http://141.218.60.56/~jnz1568/getInfo.php?workbook=10_05.xlsx&amp;sheet=A0&amp;row=4741&amp;col=7&amp;number=0&amp;sourceID=14","0")</f>
        <v>0</v>
      </c>
    </row>
    <row r="4742" spans="1:7">
      <c r="A4742" s="3">
        <v>10</v>
      </c>
      <c r="B4742" s="3">
        <v>5</v>
      </c>
      <c r="C4742" s="3">
        <v>142</v>
      </c>
      <c r="D4742" s="3">
        <v>107</v>
      </c>
      <c r="E4742" s="3">
        <v>-4048.59</v>
      </c>
      <c r="F4742" s="4" t="str">
        <f>HYPERLINK("http://141.218.60.56/~jnz1568/getInfo.php?workbook=10_05.xlsx&amp;sheet=A0&amp;row=4742&amp;col=6&amp;number=1540000&amp;sourceID=14","1540000")</f>
        <v>1540000</v>
      </c>
      <c r="G4742" s="4" t="str">
        <f>HYPERLINK("http://141.218.60.56/~jnz1568/getInfo.php?workbook=10_05.xlsx&amp;sheet=A0&amp;row=4742&amp;col=7&amp;number=0&amp;sourceID=14","0")</f>
        <v>0</v>
      </c>
    </row>
    <row r="4743" spans="1:7">
      <c r="A4743" s="3">
        <v>10</v>
      </c>
      <c r="B4743" s="3">
        <v>5</v>
      </c>
      <c r="C4743" s="3">
        <v>143</v>
      </c>
      <c r="D4743" s="3">
        <v>107</v>
      </c>
      <c r="E4743" s="3">
        <v>-4007.542</v>
      </c>
      <c r="F4743" s="4" t="str">
        <f>HYPERLINK("http://141.218.60.56/~jnz1568/getInfo.php?workbook=10_05.xlsx&amp;sheet=A0&amp;row=4743&amp;col=6&amp;number=5100000&amp;sourceID=14","5100000")</f>
        <v>5100000</v>
      </c>
      <c r="G4743" s="4" t="str">
        <f>HYPERLINK("http://141.218.60.56/~jnz1568/getInfo.php?workbook=10_05.xlsx&amp;sheet=A0&amp;row=4743&amp;col=7&amp;number=0&amp;sourceID=14","0")</f>
        <v>0</v>
      </c>
    </row>
    <row r="4744" spans="1:7">
      <c r="A4744" s="3">
        <v>10</v>
      </c>
      <c r="B4744" s="3">
        <v>5</v>
      </c>
      <c r="C4744" s="3">
        <v>144</v>
      </c>
      <c r="D4744" s="3">
        <v>107</v>
      </c>
      <c r="E4744" s="3">
        <v>-3976.15</v>
      </c>
      <c r="F4744" s="4" t="str">
        <f>HYPERLINK("http://141.218.60.56/~jnz1568/getInfo.php?workbook=10_05.xlsx&amp;sheet=A0&amp;row=4744&amp;col=6&amp;number=510000&amp;sourceID=14","510000")</f>
        <v>510000</v>
      </c>
      <c r="G4744" s="4" t="str">
        <f>HYPERLINK("http://141.218.60.56/~jnz1568/getInfo.php?workbook=10_05.xlsx&amp;sheet=A0&amp;row=4744&amp;col=7&amp;number=0&amp;sourceID=14","0")</f>
        <v>0</v>
      </c>
    </row>
    <row r="4745" spans="1:7">
      <c r="A4745" s="3">
        <v>10</v>
      </c>
      <c r="B4745" s="3">
        <v>5</v>
      </c>
      <c r="C4745" s="3">
        <v>145</v>
      </c>
      <c r="D4745" s="3">
        <v>107</v>
      </c>
      <c r="E4745" s="3">
        <v>-3838.779</v>
      </c>
      <c r="F4745" s="4" t="str">
        <f>HYPERLINK("http://141.218.60.56/~jnz1568/getInfo.php?workbook=10_05.xlsx&amp;sheet=A0&amp;row=4745&amp;col=6&amp;number=653000&amp;sourceID=14","653000")</f>
        <v>653000</v>
      </c>
      <c r="G4745" s="4" t="str">
        <f>HYPERLINK("http://141.218.60.56/~jnz1568/getInfo.php?workbook=10_05.xlsx&amp;sheet=A0&amp;row=4745&amp;col=7&amp;number=0&amp;sourceID=14","0")</f>
        <v>0</v>
      </c>
    </row>
    <row r="4746" spans="1:7">
      <c r="A4746" s="3">
        <v>10</v>
      </c>
      <c r="B4746" s="3">
        <v>5</v>
      </c>
      <c r="C4746" s="3">
        <v>146</v>
      </c>
      <c r="D4746" s="3">
        <v>107</v>
      </c>
      <c r="E4746" s="3">
        <v>-3803.445</v>
      </c>
      <c r="F4746" s="4" t="str">
        <f>HYPERLINK("http://141.218.60.56/~jnz1568/getInfo.php?workbook=10_05.xlsx&amp;sheet=A0&amp;row=4746&amp;col=6&amp;number=70400&amp;sourceID=14","70400")</f>
        <v>70400</v>
      </c>
      <c r="G4746" s="4" t="str">
        <f>HYPERLINK("http://141.218.60.56/~jnz1568/getInfo.php?workbook=10_05.xlsx&amp;sheet=A0&amp;row=4746&amp;col=7&amp;number=0&amp;sourceID=14","0")</f>
        <v>0</v>
      </c>
    </row>
    <row r="4747" spans="1:7">
      <c r="A4747" s="3">
        <v>10</v>
      </c>
      <c r="B4747" s="3">
        <v>5</v>
      </c>
      <c r="C4747" s="3">
        <v>147</v>
      </c>
      <c r="D4747" s="3">
        <v>107</v>
      </c>
      <c r="E4747" s="3">
        <v>-3751.789</v>
      </c>
      <c r="F4747" s="4" t="str">
        <f>HYPERLINK("http://141.218.60.56/~jnz1568/getInfo.php?workbook=10_05.xlsx&amp;sheet=A0&amp;row=4747&amp;col=6&amp;number=13200&amp;sourceID=14","13200")</f>
        <v>13200</v>
      </c>
      <c r="G4747" s="4" t="str">
        <f>HYPERLINK("http://141.218.60.56/~jnz1568/getInfo.php?workbook=10_05.xlsx&amp;sheet=A0&amp;row=4747&amp;col=7&amp;number=0&amp;sourceID=14","0")</f>
        <v>0</v>
      </c>
    </row>
    <row r="4748" spans="1:7">
      <c r="A4748" s="3">
        <v>10</v>
      </c>
      <c r="B4748" s="3">
        <v>5</v>
      </c>
      <c r="C4748" s="3">
        <v>148</v>
      </c>
      <c r="D4748" s="3">
        <v>107</v>
      </c>
      <c r="E4748" s="3">
        <v>-3738.045</v>
      </c>
      <c r="F4748" s="4" t="str">
        <f>HYPERLINK("http://141.218.60.56/~jnz1568/getInfo.php?workbook=10_05.xlsx&amp;sheet=A0&amp;row=4748&amp;col=6&amp;number=1970000&amp;sourceID=14","1970000")</f>
        <v>1970000</v>
      </c>
      <c r="G4748" s="4" t="str">
        <f>HYPERLINK("http://141.218.60.56/~jnz1568/getInfo.php?workbook=10_05.xlsx&amp;sheet=A0&amp;row=4748&amp;col=7&amp;number=0&amp;sourceID=14","0")</f>
        <v>0</v>
      </c>
    </row>
    <row r="4749" spans="1:7">
      <c r="A4749" s="3">
        <v>10</v>
      </c>
      <c r="B4749" s="3">
        <v>5</v>
      </c>
      <c r="C4749" s="3">
        <v>152</v>
      </c>
      <c r="D4749" s="3">
        <v>107</v>
      </c>
      <c r="E4749" s="3">
        <v>-3103.957</v>
      </c>
      <c r="F4749" s="4" t="str">
        <f>HYPERLINK("http://141.218.60.56/~jnz1568/getInfo.php?workbook=10_05.xlsx&amp;sheet=A0&amp;row=4749&amp;col=6&amp;number=119&amp;sourceID=14","119")</f>
        <v>119</v>
      </c>
      <c r="G4749" s="4" t="str">
        <f>HYPERLINK("http://141.218.60.56/~jnz1568/getInfo.php?workbook=10_05.xlsx&amp;sheet=A0&amp;row=4749&amp;col=7&amp;number=0&amp;sourceID=14","0")</f>
        <v>0</v>
      </c>
    </row>
    <row r="4750" spans="1:7">
      <c r="A4750" s="3">
        <v>10</v>
      </c>
      <c r="B4750" s="3">
        <v>5</v>
      </c>
      <c r="C4750" s="3">
        <v>153</v>
      </c>
      <c r="D4750" s="3">
        <v>107</v>
      </c>
      <c r="E4750" s="3">
        <v>-3028.657</v>
      </c>
      <c r="F4750" s="4" t="str">
        <f>HYPERLINK("http://141.218.60.56/~jnz1568/getInfo.php?workbook=10_05.xlsx&amp;sheet=A0&amp;row=4750&amp;col=6&amp;number=6950&amp;sourceID=14","6950")</f>
        <v>6950</v>
      </c>
      <c r="G4750" s="4" t="str">
        <f>HYPERLINK("http://141.218.60.56/~jnz1568/getInfo.php?workbook=10_05.xlsx&amp;sheet=A0&amp;row=4750&amp;col=7&amp;number=0&amp;sourceID=14","0")</f>
        <v>0</v>
      </c>
    </row>
    <row r="4751" spans="1:7">
      <c r="A4751" s="3">
        <v>10</v>
      </c>
      <c r="B4751" s="3">
        <v>5</v>
      </c>
      <c r="C4751" s="3">
        <v>158</v>
      </c>
      <c r="D4751" s="3">
        <v>107</v>
      </c>
      <c r="E4751" s="3">
        <v>-2872.991</v>
      </c>
      <c r="F4751" s="4" t="str">
        <f>HYPERLINK("http://141.218.60.56/~jnz1568/getInfo.php?workbook=10_05.xlsx&amp;sheet=A0&amp;row=4751&amp;col=6&amp;number=4.3&amp;sourceID=14","4.3")</f>
        <v>4.3</v>
      </c>
      <c r="G4751" s="4" t="str">
        <f>HYPERLINK("http://141.218.60.56/~jnz1568/getInfo.php?workbook=10_05.xlsx&amp;sheet=A0&amp;row=4751&amp;col=7&amp;number=0&amp;sourceID=14","0")</f>
        <v>0</v>
      </c>
    </row>
    <row r="4752" spans="1:7">
      <c r="A4752" s="3">
        <v>10</v>
      </c>
      <c r="B4752" s="3">
        <v>5</v>
      </c>
      <c r="C4752" s="3">
        <v>165</v>
      </c>
      <c r="D4752" s="3">
        <v>107</v>
      </c>
      <c r="E4752" s="3">
        <v>-1227.026</v>
      </c>
      <c r="F4752" s="4" t="str">
        <f>HYPERLINK("http://141.218.60.56/~jnz1568/getInfo.php?workbook=10_05.xlsx&amp;sheet=A0&amp;row=4752&amp;col=6&amp;number=2740&amp;sourceID=14","2740")</f>
        <v>2740</v>
      </c>
      <c r="G4752" s="4" t="str">
        <f>HYPERLINK("http://141.218.60.56/~jnz1568/getInfo.php?workbook=10_05.xlsx&amp;sheet=A0&amp;row=4752&amp;col=7&amp;number=0&amp;sourceID=14","0")</f>
        <v>0</v>
      </c>
    </row>
    <row r="4753" spans="1:7">
      <c r="A4753" s="3">
        <v>10</v>
      </c>
      <c r="B4753" s="3">
        <v>5</v>
      </c>
      <c r="C4753" s="3">
        <v>167</v>
      </c>
      <c r="D4753" s="3">
        <v>107</v>
      </c>
      <c r="E4753" s="3">
        <v>-920.642</v>
      </c>
      <c r="F4753" s="4" t="str">
        <f>HYPERLINK("http://141.218.60.56/~jnz1568/getInfo.php?workbook=10_05.xlsx&amp;sheet=A0&amp;row=4753&amp;col=6&amp;number=1150&amp;sourceID=14","1150")</f>
        <v>1150</v>
      </c>
      <c r="G4753" s="4" t="str">
        <f>HYPERLINK("http://141.218.60.56/~jnz1568/getInfo.php?workbook=10_05.xlsx&amp;sheet=A0&amp;row=4753&amp;col=7&amp;number=0&amp;sourceID=14","0")</f>
        <v>0</v>
      </c>
    </row>
    <row r="4754" spans="1:7">
      <c r="A4754" s="3">
        <v>10</v>
      </c>
      <c r="B4754" s="3">
        <v>5</v>
      </c>
      <c r="C4754" s="3">
        <v>175</v>
      </c>
      <c r="D4754" s="3">
        <v>107</v>
      </c>
      <c r="E4754" s="3">
        <v>-713.803</v>
      </c>
      <c r="F4754" s="4" t="str">
        <f>HYPERLINK("http://141.218.60.56/~jnz1568/getInfo.php?workbook=10_05.xlsx&amp;sheet=A0&amp;row=4754&amp;col=6&amp;number=8130&amp;sourceID=14","8130")</f>
        <v>8130</v>
      </c>
      <c r="G4754" s="4" t="str">
        <f>HYPERLINK("http://141.218.60.56/~jnz1568/getInfo.php?workbook=10_05.xlsx&amp;sheet=A0&amp;row=4754&amp;col=7&amp;number=0&amp;sourceID=14","0")</f>
        <v>0</v>
      </c>
    </row>
    <row r="4755" spans="1:7">
      <c r="A4755" s="3">
        <v>10</v>
      </c>
      <c r="B4755" s="3">
        <v>5</v>
      </c>
      <c r="C4755" s="3">
        <v>176</v>
      </c>
      <c r="D4755" s="3">
        <v>107</v>
      </c>
      <c r="E4755" s="3">
        <v>-713.798</v>
      </c>
      <c r="F4755" s="4" t="str">
        <f>HYPERLINK("http://141.218.60.56/~jnz1568/getInfo.php?workbook=10_05.xlsx&amp;sheet=A0&amp;row=4755&amp;col=6&amp;number=1420&amp;sourceID=14","1420")</f>
        <v>1420</v>
      </c>
      <c r="G4755" s="4" t="str">
        <f>HYPERLINK("http://141.218.60.56/~jnz1568/getInfo.php?workbook=10_05.xlsx&amp;sheet=A0&amp;row=4755&amp;col=7&amp;number=0&amp;sourceID=14","0")</f>
        <v>0</v>
      </c>
    </row>
    <row r="4756" spans="1:7">
      <c r="A4756" s="3">
        <v>10</v>
      </c>
      <c r="B4756" s="3">
        <v>5</v>
      </c>
      <c r="C4756" s="3">
        <v>177</v>
      </c>
      <c r="D4756" s="3">
        <v>107</v>
      </c>
      <c r="E4756" s="3">
        <v>-709.287</v>
      </c>
      <c r="F4756" s="4" t="str">
        <f>HYPERLINK("http://141.218.60.56/~jnz1568/getInfo.php?workbook=10_05.xlsx&amp;sheet=A0&amp;row=4756&amp;col=6&amp;number=167&amp;sourceID=14","167")</f>
        <v>167</v>
      </c>
      <c r="G4756" s="4" t="str">
        <f>HYPERLINK("http://141.218.60.56/~jnz1568/getInfo.php?workbook=10_05.xlsx&amp;sheet=A0&amp;row=4756&amp;col=7&amp;number=0&amp;sourceID=14","0")</f>
        <v>0</v>
      </c>
    </row>
    <row r="4757" spans="1:7">
      <c r="A4757" s="3">
        <v>10</v>
      </c>
      <c r="B4757" s="3">
        <v>5</v>
      </c>
      <c r="C4757" s="3">
        <v>178</v>
      </c>
      <c r="D4757" s="3">
        <v>107</v>
      </c>
      <c r="E4757" s="3">
        <v>-709.065</v>
      </c>
      <c r="F4757" s="4" t="str">
        <f>HYPERLINK("http://141.218.60.56/~jnz1568/getInfo.php?workbook=10_05.xlsx&amp;sheet=A0&amp;row=4757&amp;col=6&amp;number=1540&amp;sourceID=14","1540")</f>
        <v>1540</v>
      </c>
      <c r="G4757" s="4" t="str">
        <f>HYPERLINK("http://141.218.60.56/~jnz1568/getInfo.php?workbook=10_05.xlsx&amp;sheet=A0&amp;row=4757&amp;col=7&amp;number=0&amp;sourceID=14","0")</f>
        <v>0</v>
      </c>
    </row>
    <row r="4758" spans="1:7">
      <c r="A4758" s="3">
        <v>10</v>
      </c>
      <c r="B4758" s="3">
        <v>5</v>
      </c>
      <c r="C4758" s="3">
        <v>180</v>
      </c>
      <c r="D4758" s="3">
        <v>107</v>
      </c>
      <c r="E4758" s="3">
        <v>-689.091</v>
      </c>
      <c r="F4758" s="4" t="str">
        <f>HYPERLINK("http://141.218.60.56/~jnz1568/getInfo.php?workbook=10_05.xlsx&amp;sheet=A0&amp;row=4758&amp;col=6&amp;number=597&amp;sourceID=14","597")</f>
        <v>597</v>
      </c>
      <c r="G4758" s="4" t="str">
        <f>HYPERLINK("http://141.218.60.56/~jnz1568/getInfo.php?workbook=10_05.xlsx&amp;sheet=A0&amp;row=4758&amp;col=7&amp;number=0&amp;sourceID=14","0")</f>
        <v>0</v>
      </c>
    </row>
    <row r="4759" spans="1:7">
      <c r="A4759" s="3">
        <v>10</v>
      </c>
      <c r="B4759" s="3">
        <v>5</v>
      </c>
      <c r="C4759" s="3">
        <v>113</v>
      </c>
      <c r="D4759" s="3">
        <v>108</v>
      </c>
      <c r="E4759" s="3">
        <v>-47573.827</v>
      </c>
      <c r="F4759" s="4" t="str">
        <f>HYPERLINK("http://141.218.60.56/~jnz1568/getInfo.php?workbook=10_05.xlsx&amp;sheet=A0&amp;row=4759&amp;col=6&amp;number=0.0164&amp;sourceID=14","0.0164")</f>
        <v>0.0164</v>
      </c>
      <c r="G4759" s="4" t="str">
        <f>HYPERLINK("http://141.218.60.56/~jnz1568/getInfo.php?workbook=10_05.xlsx&amp;sheet=A0&amp;row=4759&amp;col=7&amp;number=0&amp;sourceID=14","0")</f>
        <v>0</v>
      </c>
    </row>
    <row r="4760" spans="1:7">
      <c r="A4760" s="3">
        <v>10</v>
      </c>
      <c r="B4760" s="3">
        <v>5</v>
      </c>
      <c r="C4760" s="3">
        <v>135</v>
      </c>
      <c r="D4760" s="3">
        <v>108</v>
      </c>
      <c r="E4760" s="3">
        <v>-5024.882</v>
      </c>
      <c r="F4760" s="4" t="str">
        <f>HYPERLINK("http://141.218.60.56/~jnz1568/getInfo.php?workbook=10_05.xlsx&amp;sheet=A0&amp;row=4760&amp;col=6&amp;number=99100&amp;sourceID=14","99100")</f>
        <v>99100</v>
      </c>
      <c r="G4760" s="4" t="str">
        <f>HYPERLINK("http://141.218.60.56/~jnz1568/getInfo.php?workbook=10_05.xlsx&amp;sheet=A0&amp;row=4760&amp;col=7&amp;number=0&amp;sourceID=14","0")</f>
        <v>0</v>
      </c>
    </row>
    <row r="4761" spans="1:7">
      <c r="A4761" s="3">
        <v>10</v>
      </c>
      <c r="B4761" s="3">
        <v>5</v>
      </c>
      <c r="C4761" s="3">
        <v>136</v>
      </c>
      <c r="D4761" s="3">
        <v>108</v>
      </c>
      <c r="E4761" s="3">
        <v>-4935.112</v>
      </c>
      <c r="F4761" s="4" t="str">
        <f>HYPERLINK("http://141.218.60.56/~jnz1568/getInfo.php?workbook=10_05.xlsx&amp;sheet=A0&amp;row=4761&amp;col=6&amp;number=1810000&amp;sourceID=14","1810000")</f>
        <v>1810000</v>
      </c>
      <c r="G4761" s="4" t="str">
        <f>HYPERLINK("http://141.218.60.56/~jnz1568/getInfo.php?workbook=10_05.xlsx&amp;sheet=A0&amp;row=4761&amp;col=7&amp;number=0&amp;sourceID=14","0")</f>
        <v>0</v>
      </c>
    </row>
    <row r="4762" spans="1:7">
      <c r="A4762" s="3">
        <v>10</v>
      </c>
      <c r="B4762" s="3">
        <v>5</v>
      </c>
      <c r="C4762" s="3">
        <v>137</v>
      </c>
      <c r="D4762" s="3">
        <v>108</v>
      </c>
      <c r="E4762" s="3">
        <v>-4815.109</v>
      </c>
      <c r="F4762" s="4" t="str">
        <f>HYPERLINK("http://141.218.60.56/~jnz1568/getInfo.php?workbook=10_05.xlsx&amp;sheet=A0&amp;row=4762&amp;col=6&amp;number=17400000&amp;sourceID=14","17400000")</f>
        <v>17400000</v>
      </c>
      <c r="G4762" s="4" t="str">
        <f>HYPERLINK("http://141.218.60.56/~jnz1568/getInfo.php?workbook=10_05.xlsx&amp;sheet=A0&amp;row=4762&amp;col=7&amp;number=0&amp;sourceID=14","0")</f>
        <v>0</v>
      </c>
    </row>
    <row r="4763" spans="1:7">
      <c r="A4763" s="3">
        <v>10</v>
      </c>
      <c r="B4763" s="3">
        <v>5</v>
      </c>
      <c r="C4763" s="3">
        <v>143</v>
      </c>
      <c r="D4763" s="3">
        <v>108</v>
      </c>
      <c r="E4763" s="3">
        <v>-4054.5</v>
      </c>
      <c r="F4763" s="4" t="str">
        <f>HYPERLINK("http://141.218.60.56/~jnz1568/getInfo.php?workbook=10_05.xlsx&amp;sheet=A0&amp;row=4763&amp;col=6&amp;number=362000&amp;sourceID=14","362000")</f>
        <v>362000</v>
      </c>
      <c r="G4763" s="4" t="str">
        <f>HYPERLINK("http://141.218.60.56/~jnz1568/getInfo.php?workbook=10_05.xlsx&amp;sheet=A0&amp;row=4763&amp;col=7&amp;number=0&amp;sourceID=14","0")</f>
        <v>0</v>
      </c>
    </row>
    <row r="4764" spans="1:7">
      <c r="A4764" s="3">
        <v>10</v>
      </c>
      <c r="B4764" s="3">
        <v>5</v>
      </c>
      <c r="C4764" s="3">
        <v>144</v>
      </c>
      <c r="D4764" s="3">
        <v>108</v>
      </c>
      <c r="E4764" s="3">
        <v>-4022.372</v>
      </c>
      <c r="F4764" s="4" t="str">
        <f>HYPERLINK("http://141.218.60.56/~jnz1568/getInfo.php?workbook=10_05.xlsx&amp;sheet=A0&amp;row=4764&amp;col=6&amp;number=6600000&amp;sourceID=14","6600000")</f>
        <v>6600000</v>
      </c>
      <c r="G4764" s="4" t="str">
        <f>HYPERLINK("http://141.218.60.56/~jnz1568/getInfo.php?workbook=10_05.xlsx&amp;sheet=A0&amp;row=4764&amp;col=7&amp;number=0&amp;sourceID=14","0")</f>
        <v>0</v>
      </c>
    </row>
    <row r="4765" spans="1:7">
      <c r="A4765" s="3">
        <v>10</v>
      </c>
      <c r="B4765" s="3">
        <v>5</v>
      </c>
      <c r="C4765" s="3">
        <v>146</v>
      </c>
      <c r="D4765" s="3">
        <v>108</v>
      </c>
      <c r="E4765" s="3">
        <v>-3845.717</v>
      </c>
      <c r="F4765" s="4" t="str">
        <f>HYPERLINK("http://141.218.60.56/~jnz1568/getInfo.php?workbook=10_05.xlsx&amp;sheet=A0&amp;row=4765&amp;col=6&amp;number=248000&amp;sourceID=14","248000")</f>
        <v>248000</v>
      </c>
      <c r="G4765" s="4" t="str">
        <f>HYPERLINK("http://141.218.60.56/~jnz1568/getInfo.php?workbook=10_05.xlsx&amp;sheet=A0&amp;row=4765&amp;col=7&amp;number=0&amp;sourceID=14","0")</f>
        <v>0</v>
      </c>
    </row>
    <row r="4766" spans="1:7">
      <c r="A4766" s="3">
        <v>10</v>
      </c>
      <c r="B4766" s="3">
        <v>5</v>
      </c>
      <c r="C4766" s="3">
        <v>147</v>
      </c>
      <c r="D4766" s="3">
        <v>108</v>
      </c>
      <c r="E4766" s="3">
        <v>-3792.914</v>
      </c>
      <c r="F4766" s="4" t="str">
        <f>HYPERLINK("http://141.218.60.56/~jnz1568/getInfo.php?workbook=10_05.xlsx&amp;sheet=A0&amp;row=4766&amp;col=6&amp;number=3140000&amp;sourceID=14","3140000")</f>
        <v>3140000</v>
      </c>
      <c r="G4766" s="4" t="str">
        <f>HYPERLINK("http://141.218.60.56/~jnz1568/getInfo.php?workbook=10_05.xlsx&amp;sheet=A0&amp;row=4766&amp;col=7&amp;number=0&amp;sourceID=14","0")</f>
        <v>0</v>
      </c>
    </row>
    <row r="4767" spans="1:7">
      <c r="A4767" s="3">
        <v>10</v>
      </c>
      <c r="B4767" s="3">
        <v>5</v>
      </c>
      <c r="C4767" s="3">
        <v>152</v>
      </c>
      <c r="D4767" s="3">
        <v>108</v>
      </c>
      <c r="E4767" s="3">
        <v>-3132.053</v>
      </c>
      <c r="F4767" s="4" t="str">
        <f>HYPERLINK("http://141.218.60.56/~jnz1568/getInfo.php?workbook=10_05.xlsx&amp;sheet=A0&amp;row=4767&amp;col=6&amp;number=100&amp;sourceID=14","100")</f>
        <v>100</v>
      </c>
      <c r="G4767" s="4" t="str">
        <f>HYPERLINK("http://141.218.60.56/~jnz1568/getInfo.php?workbook=10_05.xlsx&amp;sheet=A0&amp;row=4767&amp;col=7&amp;number=0&amp;sourceID=14","0")</f>
        <v>0</v>
      </c>
    </row>
    <row r="4768" spans="1:7">
      <c r="A4768" s="3">
        <v>10</v>
      </c>
      <c r="B4768" s="3">
        <v>5</v>
      </c>
      <c r="C4768" s="3">
        <v>153</v>
      </c>
      <c r="D4768" s="3">
        <v>108</v>
      </c>
      <c r="E4768" s="3">
        <v>-3055.4</v>
      </c>
      <c r="F4768" s="4" t="str">
        <f>HYPERLINK("http://141.218.60.56/~jnz1568/getInfo.php?workbook=10_05.xlsx&amp;sheet=A0&amp;row=4768&amp;col=6&amp;number=1040&amp;sourceID=14","1040")</f>
        <v>1040</v>
      </c>
      <c r="G4768" s="4" t="str">
        <f>HYPERLINK("http://141.218.60.56/~jnz1568/getInfo.php?workbook=10_05.xlsx&amp;sheet=A0&amp;row=4768&amp;col=7&amp;number=0&amp;sourceID=14","0")</f>
        <v>0</v>
      </c>
    </row>
    <row r="4769" spans="1:7">
      <c r="A4769" s="3">
        <v>10</v>
      </c>
      <c r="B4769" s="3">
        <v>5</v>
      </c>
      <c r="C4769" s="3">
        <v>175</v>
      </c>
      <c r="D4769" s="3">
        <v>108</v>
      </c>
      <c r="E4769" s="3">
        <v>-715.278</v>
      </c>
      <c r="F4769" s="4" t="str">
        <f>HYPERLINK("http://141.218.60.56/~jnz1568/getInfo.php?workbook=10_05.xlsx&amp;sheet=A0&amp;row=4769&amp;col=6&amp;number=760&amp;sourceID=14","760")</f>
        <v>760</v>
      </c>
      <c r="G4769" s="4" t="str">
        <f>HYPERLINK("http://141.218.60.56/~jnz1568/getInfo.php?workbook=10_05.xlsx&amp;sheet=A0&amp;row=4769&amp;col=7&amp;number=0&amp;sourceID=14","0")</f>
        <v>0</v>
      </c>
    </row>
    <row r="4770" spans="1:7">
      <c r="A4770" s="3">
        <v>10</v>
      </c>
      <c r="B4770" s="3">
        <v>5</v>
      </c>
      <c r="C4770" s="3">
        <v>176</v>
      </c>
      <c r="D4770" s="3">
        <v>108</v>
      </c>
      <c r="E4770" s="3">
        <v>-715.273</v>
      </c>
      <c r="F4770" s="4" t="str">
        <f>HYPERLINK("http://141.218.60.56/~jnz1568/getInfo.php?workbook=10_05.xlsx&amp;sheet=A0&amp;row=4770&amp;col=6&amp;number=9.37&amp;sourceID=14","9.37")</f>
        <v>9.37</v>
      </c>
      <c r="G4770" s="4" t="str">
        <f>HYPERLINK("http://141.218.60.56/~jnz1568/getInfo.php?workbook=10_05.xlsx&amp;sheet=A0&amp;row=4770&amp;col=7&amp;number=0&amp;sourceID=14","0")</f>
        <v>0</v>
      </c>
    </row>
    <row r="4771" spans="1:7">
      <c r="A4771" s="3">
        <v>10</v>
      </c>
      <c r="B4771" s="3">
        <v>5</v>
      </c>
      <c r="C4771" s="3">
        <v>178</v>
      </c>
      <c r="D4771" s="3">
        <v>108</v>
      </c>
      <c r="E4771" s="3">
        <v>-710.521</v>
      </c>
      <c r="F4771" s="4" t="str">
        <f>HYPERLINK("http://141.218.60.56/~jnz1568/getInfo.php?workbook=10_05.xlsx&amp;sheet=A0&amp;row=4771&amp;col=6&amp;number=2120&amp;sourceID=14","2120")</f>
        <v>2120</v>
      </c>
      <c r="G4771" s="4" t="str">
        <f>HYPERLINK("http://141.218.60.56/~jnz1568/getInfo.php?workbook=10_05.xlsx&amp;sheet=A0&amp;row=4771&amp;col=7&amp;number=0&amp;sourceID=14","0")</f>
        <v>0</v>
      </c>
    </row>
    <row r="4772" spans="1:7">
      <c r="A4772" s="3">
        <v>10</v>
      </c>
      <c r="B4772" s="3">
        <v>5</v>
      </c>
      <c r="C4772" s="3">
        <v>110</v>
      </c>
      <c r="D4772" s="3">
        <v>109</v>
      </c>
      <c r="E4772" s="3">
        <v>-355872.541</v>
      </c>
      <c r="F4772" s="4" t="str">
        <f>HYPERLINK("http://141.218.60.56/~jnz1568/getInfo.php?workbook=10_05.xlsx&amp;sheet=A0&amp;row=4772&amp;col=6&amp;number=2.24&amp;sourceID=14","2.24")</f>
        <v>2.24</v>
      </c>
      <c r="G4772" s="4" t="str">
        <f>HYPERLINK("http://141.218.60.56/~jnz1568/getInfo.php?workbook=10_05.xlsx&amp;sheet=A0&amp;row=4772&amp;col=7&amp;number=0&amp;sourceID=14","0")</f>
        <v>0</v>
      </c>
    </row>
    <row r="4773" spans="1:7">
      <c r="A4773" s="3">
        <v>10</v>
      </c>
      <c r="B4773" s="3">
        <v>5</v>
      </c>
      <c r="C4773" s="3">
        <v>112</v>
      </c>
      <c r="D4773" s="3">
        <v>109</v>
      </c>
      <c r="E4773" s="3">
        <v>-106723.782</v>
      </c>
      <c r="F4773" s="4" t="str">
        <f>HYPERLINK("http://141.218.60.56/~jnz1568/getInfo.php?workbook=10_05.xlsx&amp;sheet=A0&amp;row=4773&amp;col=6&amp;number=195&amp;sourceID=14","195")</f>
        <v>195</v>
      </c>
      <c r="G4773" s="4" t="str">
        <f>HYPERLINK("http://141.218.60.56/~jnz1568/getInfo.php?workbook=10_05.xlsx&amp;sheet=A0&amp;row=4773&amp;col=7&amp;number=0&amp;sourceID=14","0")</f>
        <v>0</v>
      </c>
    </row>
    <row r="4774" spans="1:7">
      <c r="A4774" s="3">
        <v>10</v>
      </c>
      <c r="B4774" s="3">
        <v>5</v>
      </c>
      <c r="C4774" s="3">
        <v>113</v>
      </c>
      <c r="D4774" s="3">
        <v>109</v>
      </c>
      <c r="E4774" s="3">
        <v>-59276.932</v>
      </c>
      <c r="F4774" s="4" t="str">
        <f>HYPERLINK("http://141.218.60.56/~jnz1568/getInfo.php?workbook=10_05.xlsx&amp;sheet=A0&amp;row=4774&amp;col=6&amp;number=223&amp;sourceID=14","223")</f>
        <v>223</v>
      </c>
      <c r="G4774" s="4" t="str">
        <f>HYPERLINK("http://141.218.60.56/~jnz1568/getInfo.php?workbook=10_05.xlsx&amp;sheet=A0&amp;row=4774&amp;col=7&amp;number=0&amp;sourceID=14","0")</f>
        <v>0</v>
      </c>
    </row>
    <row r="4775" spans="1:7">
      <c r="A4775" s="3">
        <v>10</v>
      </c>
      <c r="B4775" s="3">
        <v>5</v>
      </c>
      <c r="C4775" s="3">
        <v>114</v>
      </c>
      <c r="D4775" s="3">
        <v>109</v>
      </c>
      <c r="E4775" s="3">
        <v>-56689.447</v>
      </c>
      <c r="F4775" s="4" t="str">
        <f>HYPERLINK("http://141.218.60.56/~jnz1568/getInfo.php?workbook=10_05.xlsx&amp;sheet=A0&amp;row=4775&amp;col=6&amp;number=36.5&amp;sourceID=14","36.5")</f>
        <v>36.5</v>
      </c>
      <c r="G4775" s="4" t="str">
        <f>HYPERLINK("http://141.218.60.56/~jnz1568/getInfo.php?workbook=10_05.xlsx&amp;sheet=A0&amp;row=4775&amp;col=7&amp;number=0&amp;sourceID=14","0")</f>
        <v>0</v>
      </c>
    </row>
    <row r="4776" spans="1:7">
      <c r="A4776" s="3">
        <v>10</v>
      </c>
      <c r="B4776" s="3">
        <v>5</v>
      </c>
      <c r="C4776" s="3">
        <v>127</v>
      </c>
      <c r="D4776" s="3">
        <v>109</v>
      </c>
      <c r="E4776" s="3">
        <v>-6984.229</v>
      </c>
      <c r="F4776" s="4" t="str">
        <f>HYPERLINK("http://141.218.60.56/~jnz1568/getInfo.php?workbook=10_05.xlsx&amp;sheet=A0&amp;row=4776&amp;col=6&amp;number=11400&amp;sourceID=14","11400")</f>
        <v>11400</v>
      </c>
      <c r="G4776" s="4" t="str">
        <f>HYPERLINK("http://141.218.60.56/~jnz1568/getInfo.php?workbook=10_05.xlsx&amp;sheet=A0&amp;row=4776&amp;col=7&amp;number=0&amp;sourceID=14","0")</f>
        <v>0</v>
      </c>
    </row>
    <row r="4777" spans="1:7">
      <c r="A4777" s="3">
        <v>10</v>
      </c>
      <c r="B4777" s="3">
        <v>5</v>
      </c>
      <c r="C4777" s="3">
        <v>128</v>
      </c>
      <c r="D4777" s="3">
        <v>109</v>
      </c>
      <c r="E4777" s="3">
        <v>-6771.869</v>
      </c>
      <c r="F4777" s="4" t="str">
        <f>HYPERLINK("http://141.218.60.56/~jnz1568/getInfo.php?workbook=10_05.xlsx&amp;sheet=A0&amp;row=4777&amp;col=6&amp;number=23800&amp;sourceID=14","23800")</f>
        <v>23800</v>
      </c>
      <c r="G4777" s="4" t="str">
        <f>HYPERLINK("http://141.218.60.56/~jnz1568/getInfo.php?workbook=10_05.xlsx&amp;sheet=A0&amp;row=4777&amp;col=7&amp;number=0&amp;sourceID=14","0")</f>
        <v>0</v>
      </c>
    </row>
    <row r="4778" spans="1:7">
      <c r="A4778" s="3">
        <v>10</v>
      </c>
      <c r="B4778" s="3">
        <v>5</v>
      </c>
      <c r="C4778" s="3">
        <v>134</v>
      </c>
      <c r="D4778" s="3">
        <v>109</v>
      </c>
      <c r="E4778" s="3">
        <v>-5196.164</v>
      </c>
      <c r="F4778" s="4" t="str">
        <f>HYPERLINK("http://141.218.60.56/~jnz1568/getInfo.php?workbook=10_05.xlsx&amp;sheet=A0&amp;row=4778&amp;col=6&amp;number=295000&amp;sourceID=14","295000")</f>
        <v>295000</v>
      </c>
      <c r="G4778" s="4" t="str">
        <f>HYPERLINK("http://141.218.60.56/~jnz1568/getInfo.php?workbook=10_05.xlsx&amp;sheet=A0&amp;row=4778&amp;col=7&amp;number=0&amp;sourceID=14","0")</f>
        <v>0</v>
      </c>
    </row>
    <row r="4779" spans="1:7">
      <c r="A4779" s="3">
        <v>10</v>
      </c>
      <c r="B4779" s="3">
        <v>5</v>
      </c>
      <c r="C4779" s="3">
        <v>135</v>
      </c>
      <c r="D4779" s="3">
        <v>109</v>
      </c>
      <c r="E4779" s="3">
        <v>-5131.899</v>
      </c>
      <c r="F4779" s="4" t="str">
        <f>HYPERLINK("http://141.218.60.56/~jnz1568/getInfo.php?workbook=10_05.xlsx&amp;sheet=A0&amp;row=4779&amp;col=6&amp;number=916000&amp;sourceID=14","916000")</f>
        <v>916000</v>
      </c>
      <c r="G4779" s="4" t="str">
        <f>HYPERLINK("http://141.218.60.56/~jnz1568/getInfo.php?workbook=10_05.xlsx&amp;sheet=A0&amp;row=4779&amp;col=7&amp;number=0&amp;sourceID=14","0")</f>
        <v>0</v>
      </c>
    </row>
    <row r="4780" spans="1:7">
      <c r="A4780" s="3">
        <v>10</v>
      </c>
      <c r="B4780" s="3">
        <v>5</v>
      </c>
      <c r="C4780" s="3">
        <v>141</v>
      </c>
      <c r="D4780" s="3">
        <v>109</v>
      </c>
      <c r="E4780" s="3">
        <v>-4175.024</v>
      </c>
      <c r="F4780" s="4" t="str">
        <f>HYPERLINK("http://141.218.60.56/~jnz1568/getInfo.php?workbook=10_05.xlsx&amp;sheet=A0&amp;row=4780&amp;col=6&amp;number=181000&amp;sourceID=14","181000")</f>
        <v>181000</v>
      </c>
      <c r="G4780" s="4" t="str">
        <f>HYPERLINK("http://141.218.60.56/~jnz1568/getInfo.php?workbook=10_05.xlsx&amp;sheet=A0&amp;row=4780&amp;col=7&amp;number=0&amp;sourceID=14","0")</f>
        <v>0</v>
      </c>
    </row>
    <row r="4781" spans="1:7">
      <c r="A4781" s="3">
        <v>10</v>
      </c>
      <c r="B4781" s="3">
        <v>5</v>
      </c>
      <c r="C4781" s="3">
        <v>142</v>
      </c>
      <c r="D4781" s="3">
        <v>109</v>
      </c>
      <c r="E4781" s="3">
        <v>-4167.369</v>
      </c>
      <c r="F4781" s="4" t="str">
        <f>HYPERLINK("http://141.218.60.56/~jnz1568/getInfo.php?workbook=10_05.xlsx&amp;sheet=A0&amp;row=4781&amp;col=6&amp;number=159000&amp;sourceID=14","159000")</f>
        <v>159000</v>
      </c>
      <c r="G4781" s="4" t="str">
        <f>HYPERLINK("http://141.218.60.56/~jnz1568/getInfo.php?workbook=10_05.xlsx&amp;sheet=A0&amp;row=4781&amp;col=7&amp;number=0&amp;sourceID=14","0")</f>
        <v>0</v>
      </c>
    </row>
    <row r="4782" spans="1:7">
      <c r="A4782" s="3">
        <v>10</v>
      </c>
      <c r="B4782" s="3">
        <v>5</v>
      </c>
      <c r="C4782" s="3">
        <v>143</v>
      </c>
      <c r="D4782" s="3">
        <v>109</v>
      </c>
      <c r="E4782" s="3">
        <v>-4123.889</v>
      </c>
      <c r="F4782" s="4" t="str">
        <f>HYPERLINK("http://141.218.60.56/~jnz1568/getInfo.php?workbook=10_05.xlsx&amp;sheet=A0&amp;row=4782&amp;col=6&amp;number=418000&amp;sourceID=14","418000")</f>
        <v>418000</v>
      </c>
      <c r="G4782" s="4" t="str">
        <f>HYPERLINK("http://141.218.60.56/~jnz1568/getInfo.php?workbook=10_05.xlsx&amp;sheet=A0&amp;row=4782&amp;col=7&amp;number=0&amp;sourceID=14","0")</f>
        <v>0</v>
      </c>
    </row>
    <row r="4783" spans="1:7">
      <c r="A4783" s="3">
        <v>10</v>
      </c>
      <c r="B4783" s="3">
        <v>5</v>
      </c>
      <c r="C4783" s="3">
        <v>145</v>
      </c>
      <c r="D4783" s="3">
        <v>109</v>
      </c>
      <c r="E4783" s="3">
        <v>-3945.403</v>
      </c>
      <c r="F4783" s="4" t="str">
        <f>HYPERLINK("http://141.218.60.56/~jnz1568/getInfo.php?workbook=10_05.xlsx&amp;sheet=A0&amp;row=4783&amp;col=6&amp;number=1190000&amp;sourceID=14","1190000")</f>
        <v>1190000</v>
      </c>
      <c r="G4783" s="4" t="str">
        <f>HYPERLINK("http://141.218.60.56/~jnz1568/getInfo.php?workbook=10_05.xlsx&amp;sheet=A0&amp;row=4783&amp;col=7&amp;number=0&amp;sourceID=14","0")</f>
        <v>0</v>
      </c>
    </row>
    <row r="4784" spans="1:7">
      <c r="A4784" s="3">
        <v>10</v>
      </c>
      <c r="B4784" s="3">
        <v>5</v>
      </c>
      <c r="C4784" s="3">
        <v>146</v>
      </c>
      <c r="D4784" s="3">
        <v>109</v>
      </c>
      <c r="E4784" s="3">
        <v>-3908.089</v>
      </c>
      <c r="F4784" s="4" t="str">
        <f>HYPERLINK("http://141.218.60.56/~jnz1568/getInfo.php?workbook=10_05.xlsx&amp;sheet=A0&amp;row=4784&amp;col=6&amp;number=10600000&amp;sourceID=14","10600000")</f>
        <v>10600000</v>
      </c>
      <c r="G4784" s="4" t="str">
        <f>HYPERLINK("http://141.218.60.56/~jnz1568/getInfo.php?workbook=10_05.xlsx&amp;sheet=A0&amp;row=4784&amp;col=7&amp;number=0&amp;sourceID=14","0")</f>
        <v>0</v>
      </c>
    </row>
    <row r="4785" spans="1:7">
      <c r="A4785" s="3">
        <v>10</v>
      </c>
      <c r="B4785" s="3">
        <v>5</v>
      </c>
      <c r="C4785" s="3">
        <v>147</v>
      </c>
      <c r="D4785" s="3">
        <v>109</v>
      </c>
      <c r="E4785" s="3">
        <v>-3853.572</v>
      </c>
      <c r="F4785" s="4" t="str">
        <f>HYPERLINK("http://141.218.60.56/~jnz1568/getInfo.php?workbook=10_05.xlsx&amp;sheet=A0&amp;row=4785&amp;col=6&amp;number=1310000&amp;sourceID=14","1310000")</f>
        <v>1310000</v>
      </c>
      <c r="G4785" s="4" t="str">
        <f>HYPERLINK("http://141.218.60.56/~jnz1568/getInfo.php?workbook=10_05.xlsx&amp;sheet=A0&amp;row=4785&amp;col=7&amp;number=0&amp;sourceID=14","0")</f>
        <v>0</v>
      </c>
    </row>
    <row r="4786" spans="1:7">
      <c r="A4786" s="3">
        <v>10</v>
      </c>
      <c r="B4786" s="3">
        <v>5</v>
      </c>
      <c r="C4786" s="3">
        <v>148</v>
      </c>
      <c r="D4786" s="3">
        <v>109</v>
      </c>
      <c r="E4786" s="3">
        <v>-3839.073</v>
      </c>
      <c r="F4786" s="4" t="str">
        <f>HYPERLINK("http://141.218.60.56/~jnz1568/getInfo.php?workbook=10_05.xlsx&amp;sheet=A0&amp;row=4786&amp;col=6&amp;number=480000&amp;sourceID=14","480000")</f>
        <v>480000</v>
      </c>
      <c r="G4786" s="4" t="str">
        <f>HYPERLINK("http://141.218.60.56/~jnz1568/getInfo.php?workbook=10_05.xlsx&amp;sheet=A0&amp;row=4786&amp;col=7&amp;number=0&amp;sourceID=14","0")</f>
        <v>0</v>
      </c>
    </row>
    <row r="4787" spans="1:7">
      <c r="A4787" s="3">
        <v>10</v>
      </c>
      <c r="B4787" s="3">
        <v>5</v>
      </c>
      <c r="C4787" s="3">
        <v>149</v>
      </c>
      <c r="D4787" s="3">
        <v>109</v>
      </c>
      <c r="E4787" s="3">
        <v>-3824.538</v>
      </c>
      <c r="F4787" s="4" t="str">
        <f>HYPERLINK("http://141.218.60.56/~jnz1568/getInfo.php?workbook=10_05.xlsx&amp;sheet=A0&amp;row=4787&amp;col=6&amp;number=198000&amp;sourceID=14","198000")</f>
        <v>198000</v>
      </c>
      <c r="G4787" s="4" t="str">
        <f>HYPERLINK("http://141.218.60.56/~jnz1568/getInfo.php?workbook=10_05.xlsx&amp;sheet=A0&amp;row=4787&amp;col=7&amp;number=0&amp;sourceID=14","0")</f>
        <v>0</v>
      </c>
    </row>
    <row r="4788" spans="1:7">
      <c r="A4788" s="3">
        <v>10</v>
      </c>
      <c r="B4788" s="3">
        <v>5</v>
      </c>
      <c r="C4788" s="3">
        <v>152</v>
      </c>
      <c r="D4788" s="3">
        <v>109</v>
      </c>
      <c r="E4788" s="3">
        <v>-3173.299</v>
      </c>
      <c r="F4788" s="4" t="str">
        <f>HYPERLINK("http://141.218.60.56/~jnz1568/getInfo.php?workbook=10_05.xlsx&amp;sheet=A0&amp;row=4788&amp;col=6&amp;number=11700&amp;sourceID=14","11700")</f>
        <v>11700</v>
      </c>
      <c r="G4788" s="4" t="str">
        <f>HYPERLINK("http://141.218.60.56/~jnz1568/getInfo.php?workbook=10_05.xlsx&amp;sheet=A0&amp;row=4788&amp;col=7&amp;number=0&amp;sourceID=14","0")</f>
        <v>0</v>
      </c>
    </row>
    <row r="4789" spans="1:7">
      <c r="A4789" s="3">
        <v>10</v>
      </c>
      <c r="B4789" s="3">
        <v>5</v>
      </c>
      <c r="C4789" s="3">
        <v>158</v>
      </c>
      <c r="D4789" s="3">
        <v>109</v>
      </c>
      <c r="E4789" s="3">
        <v>-2932.299</v>
      </c>
      <c r="F4789" s="4" t="str">
        <f>HYPERLINK("http://141.218.60.56/~jnz1568/getInfo.php?workbook=10_05.xlsx&amp;sheet=A0&amp;row=4789&amp;col=6&amp;number=12800000&amp;sourceID=14","12800000")</f>
        <v>12800000</v>
      </c>
      <c r="G4789" s="4" t="str">
        <f>HYPERLINK("http://141.218.60.56/~jnz1568/getInfo.php?workbook=10_05.xlsx&amp;sheet=A0&amp;row=4789&amp;col=7&amp;number=0&amp;sourceID=14","0")</f>
        <v>0</v>
      </c>
    </row>
    <row r="4790" spans="1:7">
      <c r="A4790" s="3">
        <v>10</v>
      </c>
      <c r="B4790" s="3">
        <v>5</v>
      </c>
      <c r="C4790" s="3">
        <v>159</v>
      </c>
      <c r="D4790" s="3">
        <v>109</v>
      </c>
      <c r="E4790" s="3">
        <v>-2895.954</v>
      </c>
      <c r="F4790" s="4" t="str">
        <f>HYPERLINK("http://141.218.60.56/~jnz1568/getInfo.php?workbook=10_05.xlsx&amp;sheet=A0&amp;row=4790&amp;col=6&amp;number=4790000&amp;sourceID=14","4790000")</f>
        <v>4790000</v>
      </c>
      <c r="G4790" s="4" t="str">
        <f>HYPERLINK("http://141.218.60.56/~jnz1568/getInfo.php?workbook=10_05.xlsx&amp;sheet=A0&amp;row=4790&amp;col=7&amp;number=0&amp;sourceID=14","0")</f>
        <v>0</v>
      </c>
    </row>
    <row r="4791" spans="1:7">
      <c r="A4791" s="3">
        <v>10</v>
      </c>
      <c r="B4791" s="3">
        <v>5</v>
      </c>
      <c r="C4791" s="3">
        <v>164</v>
      </c>
      <c r="D4791" s="3">
        <v>109</v>
      </c>
      <c r="E4791" s="3">
        <v>-1239.82</v>
      </c>
      <c r="F4791" s="4" t="str">
        <f>HYPERLINK("http://141.218.60.56/~jnz1568/getInfo.php?workbook=10_05.xlsx&amp;sheet=A0&amp;row=4791&amp;col=6&amp;number=834000&amp;sourceID=14","834000")</f>
        <v>834000</v>
      </c>
      <c r="G4791" s="4" t="str">
        <f>HYPERLINK("http://141.218.60.56/~jnz1568/getInfo.php?workbook=10_05.xlsx&amp;sheet=A0&amp;row=4791&amp;col=7&amp;number=0&amp;sourceID=14","0")</f>
        <v>0</v>
      </c>
    </row>
    <row r="4792" spans="1:7">
      <c r="A4792" s="3">
        <v>10</v>
      </c>
      <c r="B4792" s="3">
        <v>5</v>
      </c>
      <c r="C4792" s="3">
        <v>165</v>
      </c>
      <c r="D4792" s="3">
        <v>109</v>
      </c>
      <c r="E4792" s="3">
        <v>-1237.718</v>
      </c>
      <c r="F4792" s="4" t="str">
        <f>HYPERLINK("http://141.218.60.56/~jnz1568/getInfo.php?workbook=10_05.xlsx&amp;sheet=A0&amp;row=4792&amp;col=6&amp;number=1930000&amp;sourceID=14","1930000")</f>
        <v>1930000</v>
      </c>
      <c r="G4792" s="4" t="str">
        <f>HYPERLINK("http://141.218.60.56/~jnz1568/getInfo.php?workbook=10_05.xlsx&amp;sheet=A0&amp;row=4792&amp;col=7&amp;number=0&amp;sourceID=14","0")</f>
        <v>0</v>
      </c>
    </row>
    <row r="4793" spans="1:7">
      <c r="A4793" s="3">
        <v>10</v>
      </c>
      <c r="B4793" s="3">
        <v>5</v>
      </c>
      <c r="C4793" s="3">
        <v>166</v>
      </c>
      <c r="D4793" s="3">
        <v>109</v>
      </c>
      <c r="E4793" s="3">
        <v>-927.009</v>
      </c>
      <c r="F4793" s="4" t="str">
        <f>HYPERLINK("http://141.218.60.56/~jnz1568/getInfo.php?workbook=10_05.xlsx&amp;sheet=A0&amp;row=4793&amp;col=6&amp;number=2210000&amp;sourceID=14","2210000")</f>
        <v>2210000</v>
      </c>
      <c r="G4793" s="4" t="str">
        <f>HYPERLINK("http://141.218.60.56/~jnz1568/getInfo.php?workbook=10_05.xlsx&amp;sheet=A0&amp;row=4793&amp;col=7&amp;number=0&amp;sourceID=14","0")</f>
        <v>0</v>
      </c>
    </row>
    <row r="4794" spans="1:7">
      <c r="A4794" s="3">
        <v>10</v>
      </c>
      <c r="B4794" s="3">
        <v>5</v>
      </c>
      <c r="C4794" s="3">
        <v>167</v>
      </c>
      <c r="D4794" s="3">
        <v>109</v>
      </c>
      <c r="E4794" s="3">
        <v>-926.648</v>
      </c>
      <c r="F4794" s="4" t="str">
        <f>HYPERLINK("http://141.218.60.56/~jnz1568/getInfo.php?workbook=10_05.xlsx&amp;sheet=A0&amp;row=4794&amp;col=6&amp;number=5860000&amp;sourceID=14","5860000")</f>
        <v>5860000</v>
      </c>
      <c r="G4794" s="4" t="str">
        <f>HYPERLINK("http://141.218.60.56/~jnz1568/getInfo.php?workbook=10_05.xlsx&amp;sheet=A0&amp;row=4794&amp;col=7&amp;number=0&amp;sourceID=14","0")</f>
        <v>0</v>
      </c>
    </row>
    <row r="4795" spans="1:7">
      <c r="A4795" s="3">
        <v>10</v>
      </c>
      <c r="B4795" s="3">
        <v>5</v>
      </c>
      <c r="C4795" s="3">
        <v>176</v>
      </c>
      <c r="D4795" s="3">
        <v>109</v>
      </c>
      <c r="E4795" s="3">
        <v>-717.403</v>
      </c>
      <c r="F4795" s="4" t="str">
        <f>HYPERLINK("http://141.218.60.56/~jnz1568/getInfo.php?workbook=10_05.xlsx&amp;sheet=A0&amp;row=4795&amp;col=6&amp;number=3790&amp;sourceID=14","3790")</f>
        <v>3790</v>
      </c>
      <c r="G4795" s="4" t="str">
        <f>HYPERLINK("http://141.218.60.56/~jnz1568/getInfo.php?workbook=10_05.xlsx&amp;sheet=A0&amp;row=4795&amp;col=7&amp;number=0&amp;sourceID=14","0")</f>
        <v>0</v>
      </c>
    </row>
    <row r="4796" spans="1:7">
      <c r="A4796" s="3">
        <v>10</v>
      </c>
      <c r="B4796" s="3">
        <v>5</v>
      </c>
      <c r="C4796" s="3">
        <v>177</v>
      </c>
      <c r="D4796" s="3">
        <v>109</v>
      </c>
      <c r="E4796" s="3">
        <v>-712.846</v>
      </c>
      <c r="F4796" s="4" t="str">
        <f>HYPERLINK("http://141.218.60.56/~jnz1568/getInfo.php?workbook=10_05.xlsx&amp;sheet=A0&amp;row=4796&amp;col=6&amp;number=1590000&amp;sourceID=14","1590000")</f>
        <v>1590000</v>
      </c>
      <c r="G4796" s="4" t="str">
        <f>HYPERLINK("http://141.218.60.56/~jnz1568/getInfo.php?workbook=10_05.xlsx&amp;sheet=A0&amp;row=4796&amp;col=7&amp;number=0&amp;sourceID=14","0")</f>
        <v>0</v>
      </c>
    </row>
    <row r="4797" spans="1:7">
      <c r="A4797" s="3">
        <v>10</v>
      </c>
      <c r="B4797" s="3">
        <v>5</v>
      </c>
      <c r="C4797" s="3">
        <v>178</v>
      </c>
      <c r="D4797" s="3">
        <v>109</v>
      </c>
      <c r="E4797" s="3">
        <v>-712.623</v>
      </c>
      <c r="F4797" s="4" t="str">
        <f>HYPERLINK("http://141.218.60.56/~jnz1568/getInfo.php?workbook=10_05.xlsx&amp;sheet=A0&amp;row=4797&amp;col=6&amp;number=9500000&amp;sourceID=14","9500000")</f>
        <v>9500000</v>
      </c>
      <c r="G4797" s="4" t="str">
        <f>HYPERLINK("http://141.218.60.56/~jnz1568/getInfo.php?workbook=10_05.xlsx&amp;sheet=A0&amp;row=4797&amp;col=7&amp;number=0&amp;sourceID=14","0")</f>
        <v>0</v>
      </c>
    </row>
    <row r="4798" spans="1:7">
      <c r="A4798" s="3">
        <v>10</v>
      </c>
      <c r="B4798" s="3">
        <v>5</v>
      </c>
      <c r="C4798" s="3">
        <v>179</v>
      </c>
      <c r="D4798" s="3">
        <v>109</v>
      </c>
      <c r="E4798" s="3">
        <v>-692.628</v>
      </c>
      <c r="F4798" s="4" t="str">
        <f>HYPERLINK("http://141.218.60.56/~jnz1568/getInfo.php?workbook=10_05.xlsx&amp;sheet=A0&amp;row=4798&amp;col=6&amp;number=2610000&amp;sourceID=14","2610000")</f>
        <v>2610000</v>
      </c>
      <c r="G4798" s="4" t="str">
        <f>HYPERLINK("http://141.218.60.56/~jnz1568/getInfo.php?workbook=10_05.xlsx&amp;sheet=A0&amp;row=4798&amp;col=7&amp;number=0&amp;sourceID=14","0")</f>
        <v>0</v>
      </c>
    </row>
    <row r="4799" spans="1:7">
      <c r="A4799" s="3">
        <v>10</v>
      </c>
      <c r="B4799" s="3">
        <v>5</v>
      </c>
      <c r="C4799" s="3">
        <v>180</v>
      </c>
      <c r="D4799" s="3">
        <v>109</v>
      </c>
      <c r="E4799" s="3">
        <v>-692.45</v>
      </c>
      <c r="F4799" s="4" t="str">
        <f>HYPERLINK("http://141.218.60.56/~jnz1568/getInfo.php?workbook=10_05.xlsx&amp;sheet=A0&amp;row=4799&amp;col=6&amp;number=6930000&amp;sourceID=14","6930000")</f>
        <v>6930000</v>
      </c>
      <c r="G4799" s="4" t="str">
        <f>HYPERLINK("http://141.218.60.56/~jnz1568/getInfo.php?workbook=10_05.xlsx&amp;sheet=A0&amp;row=4799&amp;col=7&amp;number=0&amp;sourceID=14","0")</f>
        <v>0</v>
      </c>
    </row>
    <row r="4800" spans="1:7">
      <c r="A4800" s="3">
        <v>10</v>
      </c>
      <c r="B4800" s="3">
        <v>5</v>
      </c>
      <c r="C4800" s="3">
        <v>111</v>
      </c>
      <c r="D4800" s="3">
        <v>110</v>
      </c>
      <c r="E4800" s="3">
        <v>-315457.994</v>
      </c>
      <c r="F4800" s="4" t="str">
        <f>HYPERLINK("http://141.218.60.56/~jnz1568/getInfo.php?workbook=10_05.xlsx&amp;sheet=A0&amp;row=4800&amp;col=6&amp;number=7.62&amp;sourceID=14","7.62")</f>
        <v>7.62</v>
      </c>
      <c r="G4800" s="4" t="str">
        <f>HYPERLINK("http://141.218.60.56/~jnz1568/getInfo.php?workbook=10_05.xlsx&amp;sheet=A0&amp;row=4800&amp;col=7&amp;number=0&amp;sourceID=14","0")</f>
        <v>0</v>
      </c>
    </row>
    <row r="4801" spans="1:7">
      <c r="A4801" s="3">
        <v>10</v>
      </c>
      <c r="B4801" s="3">
        <v>5</v>
      </c>
      <c r="C4801" s="3">
        <v>118</v>
      </c>
      <c r="D4801" s="3">
        <v>110</v>
      </c>
      <c r="E4801" s="3">
        <v>-11913.293</v>
      </c>
      <c r="F4801" s="4" t="str">
        <f>HYPERLINK("http://141.218.60.56/~jnz1568/getInfo.php?workbook=10_05.xlsx&amp;sheet=A0&amp;row=4801&amp;col=6&amp;number=62.4&amp;sourceID=14","62.4")</f>
        <v>62.4</v>
      </c>
      <c r="G4801" s="4" t="str">
        <f>HYPERLINK("http://141.218.60.56/~jnz1568/getInfo.php?workbook=10_05.xlsx&amp;sheet=A0&amp;row=4801&amp;col=7&amp;number=0&amp;sourceID=14","0")</f>
        <v>0</v>
      </c>
    </row>
    <row r="4802" spans="1:7">
      <c r="A4802" s="3">
        <v>10</v>
      </c>
      <c r="B4802" s="3">
        <v>5</v>
      </c>
      <c r="C4802" s="3">
        <v>119</v>
      </c>
      <c r="D4802" s="3">
        <v>110</v>
      </c>
      <c r="E4802" s="3">
        <v>-11842.75</v>
      </c>
      <c r="F4802" s="4" t="str">
        <f>HYPERLINK("http://141.218.60.56/~jnz1568/getInfo.php?workbook=10_05.xlsx&amp;sheet=A0&amp;row=4802&amp;col=6&amp;number=190&amp;sourceID=14","190")</f>
        <v>190</v>
      </c>
      <c r="G4802" s="4" t="str">
        <f>HYPERLINK("http://141.218.60.56/~jnz1568/getInfo.php?workbook=10_05.xlsx&amp;sheet=A0&amp;row=4802&amp;col=7&amp;number=0&amp;sourceID=14","0")</f>
        <v>0</v>
      </c>
    </row>
    <row r="4803" spans="1:7">
      <c r="A4803" s="3">
        <v>10</v>
      </c>
      <c r="B4803" s="3">
        <v>5</v>
      </c>
      <c r="C4803" s="3">
        <v>120</v>
      </c>
      <c r="D4803" s="3">
        <v>110</v>
      </c>
      <c r="E4803" s="3">
        <v>-8616.991</v>
      </c>
      <c r="F4803" s="4" t="str">
        <f>HYPERLINK("http://141.218.60.56/~jnz1568/getInfo.php?workbook=10_05.xlsx&amp;sheet=A0&amp;row=4803&amp;col=6&amp;number=99200&amp;sourceID=14","99200")</f>
        <v>99200</v>
      </c>
      <c r="G4803" s="4" t="str">
        <f>HYPERLINK("http://141.218.60.56/~jnz1568/getInfo.php?workbook=10_05.xlsx&amp;sheet=A0&amp;row=4803&amp;col=7&amp;number=0&amp;sourceID=14","0")</f>
        <v>0</v>
      </c>
    </row>
    <row r="4804" spans="1:7">
      <c r="A4804" s="3">
        <v>10</v>
      </c>
      <c r="B4804" s="3">
        <v>5</v>
      </c>
      <c r="C4804" s="3">
        <v>121</v>
      </c>
      <c r="D4804" s="3">
        <v>110</v>
      </c>
      <c r="E4804" s="3">
        <v>-8453.816</v>
      </c>
      <c r="F4804" s="4" t="str">
        <f>HYPERLINK("http://141.218.60.56/~jnz1568/getInfo.php?workbook=10_05.xlsx&amp;sheet=A0&amp;row=4804&amp;col=6&amp;number=15600&amp;sourceID=14","15600")</f>
        <v>15600</v>
      </c>
      <c r="G4804" s="4" t="str">
        <f>HYPERLINK("http://141.218.60.56/~jnz1568/getInfo.php?workbook=10_05.xlsx&amp;sheet=A0&amp;row=4804&amp;col=7&amp;number=0&amp;sourceID=14","0")</f>
        <v>0</v>
      </c>
    </row>
    <row r="4805" spans="1:7">
      <c r="A4805" s="3">
        <v>10</v>
      </c>
      <c r="B4805" s="3">
        <v>5</v>
      </c>
      <c r="C4805" s="3">
        <v>123</v>
      </c>
      <c r="D4805" s="3">
        <v>110</v>
      </c>
      <c r="E4805" s="3">
        <v>-8004.497</v>
      </c>
      <c r="F4805" s="4" t="str">
        <f>HYPERLINK("http://141.218.60.56/~jnz1568/getInfo.php?workbook=10_05.xlsx&amp;sheet=A0&amp;row=4805&amp;col=6&amp;number=54100&amp;sourceID=14","54100")</f>
        <v>54100</v>
      </c>
      <c r="G4805" s="4" t="str">
        <f>HYPERLINK("http://141.218.60.56/~jnz1568/getInfo.php?workbook=10_05.xlsx&amp;sheet=A0&amp;row=4805&amp;col=7&amp;number=0&amp;sourceID=14","0")</f>
        <v>0</v>
      </c>
    </row>
    <row r="4806" spans="1:7">
      <c r="A4806" s="3">
        <v>10</v>
      </c>
      <c r="B4806" s="3">
        <v>5</v>
      </c>
      <c r="C4806" s="3">
        <v>125</v>
      </c>
      <c r="D4806" s="3">
        <v>110</v>
      </c>
      <c r="E4806" s="3">
        <v>-7338.386</v>
      </c>
      <c r="F4806" s="4" t="str">
        <f>HYPERLINK("http://141.218.60.56/~jnz1568/getInfo.php?workbook=10_05.xlsx&amp;sheet=A0&amp;row=4806&amp;col=6&amp;number=9980000&amp;sourceID=14","9980000")</f>
        <v>9980000</v>
      </c>
      <c r="G4806" s="4" t="str">
        <f>HYPERLINK("http://141.218.60.56/~jnz1568/getInfo.php?workbook=10_05.xlsx&amp;sheet=A0&amp;row=4806&amp;col=7&amp;number=0&amp;sourceID=14","0")</f>
        <v>0</v>
      </c>
    </row>
    <row r="4807" spans="1:7">
      <c r="A4807" s="3">
        <v>10</v>
      </c>
      <c r="B4807" s="3">
        <v>5</v>
      </c>
      <c r="C4807" s="3">
        <v>126</v>
      </c>
      <c r="D4807" s="3">
        <v>110</v>
      </c>
      <c r="E4807" s="3">
        <v>-7193.223</v>
      </c>
      <c r="F4807" s="4" t="str">
        <f>HYPERLINK("http://141.218.60.56/~jnz1568/getInfo.php?workbook=10_05.xlsx&amp;sheet=A0&amp;row=4807&amp;col=6&amp;number=3600000&amp;sourceID=14","3600000")</f>
        <v>3600000</v>
      </c>
      <c r="G4807" s="4" t="str">
        <f>HYPERLINK("http://141.218.60.56/~jnz1568/getInfo.php?workbook=10_05.xlsx&amp;sheet=A0&amp;row=4807&amp;col=7&amp;number=0&amp;sourceID=14","0")</f>
        <v>0</v>
      </c>
    </row>
    <row r="4808" spans="1:7">
      <c r="A4808" s="3">
        <v>10</v>
      </c>
      <c r="B4808" s="3">
        <v>5</v>
      </c>
      <c r="C4808" s="3">
        <v>129</v>
      </c>
      <c r="D4808" s="3">
        <v>110</v>
      </c>
      <c r="E4808" s="3">
        <v>-6115.471</v>
      </c>
      <c r="F4808" s="4" t="str">
        <f>HYPERLINK("http://141.218.60.56/~jnz1568/getInfo.php?workbook=10_05.xlsx&amp;sheet=A0&amp;row=4808&amp;col=6&amp;number=14500000&amp;sourceID=14","14500000")</f>
        <v>14500000</v>
      </c>
      <c r="G4808" s="4" t="str">
        <f>HYPERLINK("http://141.218.60.56/~jnz1568/getInfo.php?workbook=10_05.xlsx&amp;sheet=A0&amp;row=4808&amp;col=7&amp;number=0&amp;sourceID=14","0")</f>
        <v>0</v>
      </c>
    </row>
    <row r="4809" spans="1:7">
      <c r="A4809" s="3">
        <v>10</v>
      </c>
      <c r="B4809" s="3">
        <v>5</v>
      </c>
      <c r="C4809" s="3">
        <v>131</v>
      </c>
      <c r="D4809" s="3">
        <v>110</v>
      </c>
      <c r="E4809" s="3">
        <v>-5794.089</v>
      </c>
      <c r="F4809" s="4" t="str">
        <f>HYPERLINK("http://141.218.60.56/~jnz1568/getInfo.php?workbook=10_05.xlsx&amp;sheet=A0&amp;row=4809&amp;col=6&amp;number=22400&amp;sourceID=14","22400")</f>
        <v>22400</v>
      </c>
      <c r="G4809" s="4" t="str">
        <f>HYPERLINK("http://141.218.60.56/~jnz1568/getInfo.php?workbook=10_05.xlsx&amp;sheet=A0&amp;row=4809&amp;col=7&amp;number=0&amp;sourceID=14","0")</f>
        <v>0</v>
      </c>
    </row>
    <row r="4810" spans="1:7">
      <c r="A4810" s="3">
        <v>10</v>
      </c>
      <c r="B4810" s="3">
        <v>5</v>
      </c>
      <c r="C4810" s="3">
        <v>132</v>
      </c>
      <c r="D4810" s="3">
        <v>110</v>
      </c>
      <c r="E4810" s="3">
        <v>-5745.156</v>
      </c>
      <c r="F4810" s="4" t="str">
        <f>HYPERLINK("http://141.218.60.56/~jnz1568/getInfo.php?workbook=10_05.xlsx&amp;sheet=A0&amp;row=4810&amp;col=6&amp;number=118000&amp;sourceID=14","118000")</f>
        <v>118000</v>
      </c>
      <c r="G4810" s="4" t="str">
        <f>HYPERLINK("http://141.218.60.56/~jnz1568/getInfo.php?workbook=10_05.xlsx&amp;sheet=A0&amp;row=4810&amp;col=7&amp;number=0&amp;sourceID=14","0")</f>
        <v>0</v>
      </c>
    </row>
    <row r="4811" spans="1:7">
      <c r="A4811" s="3">
        <v>10</v>
      </c>
      <c r="B4811" s="3">
        <v>5</v>
      </c>
      <c r="C4811" s="3">
        <v>140</v>
      </c>
      <c r="D4811" s="3">
        <v>110</v>
      </c>
      <c r="E4811" s="3">
        <v>-4453.954</v>
      </c>
      <c r="F4811" s="4" t="str">
        <f>HYPERLINK("http://141.218.60.56/~jnz1568/getInfo.php?workbook=10_05.xlsx&amp;sheet=A0&amp;row=4811&amp;col=6&amp;number=14800000&amp;sourceID=14","14800000")</f>
        <v>14800000</v>
      </c>
      <c r="G4811" s="4" t="str">
        <f>HYPERLINK("http://141.218.60.56/~jnz1568/getInfo.php?workbook=10_05.xlsx&amp;sheet=A0&amp;row=4811&amp;col=7&amp;number=0&amp;sourceID=14","0")</f>
        <v>0</v>
      </c>
    </row>
    <row r="4812" spans="1:7">
      <c r="A4812" s="3">
        <v>10</v>
      </c>
      <c r="B4812" s="3">
        <v>5</v>
      </c>
      <c r="C4812" s="3">
        <v>150</v>
      </c>
      <c r="D4812" s="3">
        <v>110</v>
      </c>
      <c r="E4812" s="3">
        <v>-3402.64</v>
      </c>
      <c r="F4812" s="4" t="str">
        <f>HYPERLINK("http://141.218.60.56/~jnz1568/getInfo.php?workbook=10_05.xlsx&amp;sheet=A0&amp;row=4812&amp;col=6&amp;number=714000&amp;sourceID=14","714000")</f>
        <v>714000</v>
      </c>
      <c r="G4812" s="4" t="str">
        <f>HYPERLINK("http://141.218.60.56/~jnz1568/getInfo.php?workbook=10_05.xlsx&amp;sheet=A0&amp;row=4812&amp;col=7&amp;number=0&amp;sourceID=14","0")</f>
        <v>0</v>
      </c>
    </row>
    <row r="4813" spans="1:7">
      <c r="A4813" s="3">
        <v>10</v>
      </c>
      <c r="B4813" s="3">
        <v>5</v>
      </c>
      <c r="C4813" s="3">
        <v>156</v>
      </c>
      <c r="D4813" s="3">
        <v>110</v>
      </c>
      <c r="E4813" s="3">
        <v>-2984.278</v>
      </c>
      <c r="F4813" s="4" t="str">
        <f>HYPERLINK("http://141.218.60.56/~jnz1568/getInfo.php?workbook=10_05.xlsx&amp;sheet=A0&amp;row=4813&amp;col=6&amp;number=43900000&amp;sourceID=14","43900000")</f>
        <v>43900000</v>
      </c>
      <c r="G4813" s="4" t="str">
        <f>HYPERLINK("http://141.218.60.56/~jnz1568/getInfo.php?workbook=10_05.xlsx&amp;sheet=A0&amp;row=4813&amp;col=7&amp;number=0&amp;sourceID=14","0")</f>
        <v>0</v>
      </c>
    </row>
    <row r="4814" spans="1:7">
      <c r="A4814" s="3">
        <v>10</v>
      </c>
      <c r="B4814" s="3">
        <v>5</v>
      </c>
      <c r="C4814" s="3">
        <v>160</v>
      </c>
      <c r="D4814" s="3">
        <v>110</v>
      </c>
      <c r="E4814" s="3">
        <v>-2860.908</v>
      </c>
      <c r="F4814" s="4" t="str">
        <f>HYPERLINK("http://141.218.60.56/~jnz1568/getInfo.php?workbook=10_05.xlsx&amp;sheet=A0&amp;row=4814&amp;col=6&amp;number=25300000&amp;sourceID=14","25300000")</f>
        <v>25300000</v>
      </c>
      <c r="G4814" s="4" t="str">
        <f>HYPERLINK("http://141.218.60.56/~jnz1568/getInfo.php?workbook=10_05.xlsx&amp;sheet=A0&amp;row=4814&amp;col=7&amp;number=0&amp;sourceID=14","0")</f>
        <v>0</v>
      </c>
    </row>
    <row r="4815" spans="1:7">
      <c r="A4815" s="3">
        <v>10</v>
      </c>
      <c r="B4815" s="3">
        <v>5</v>
      </c>
      <c r="C4815" s="3">
        <v>161</v>
      </c>
      <c r="D4815" s="3">
        <v>110</v>
      </c>
      <c r="E4815" s="3">
        <v>-2835.196</v>
      </c>
      <c r="F4815" s="4" t="str">
        <f>HYPERLINK("http://141.218.60.56/~jnz1568/getInfo.php?workbook=10_05.xlsx&amp;sheet=A0&amp;row=4815&amp;col=6&amp;number=6600000&amp;sourceID=14","6600000")</f>
        <v>6600000</v>
      </c>
      <c r="G4815" s="4" t="str">
        <f>HYPERLINK("http://141.218.60.56/~jnz1568/getInfo.php?workbook=10_05.xlsx&amp;sheet=A0&amp;row=4815&amp;col=7&amp;number=0&amp;sourceID=14","0")</f>
        <v>0</v>
      </c>
    </row>
    <row r="4816" spans="1:7">
      <c r="A4816" s="3">
        <v>10</v>
      </c>
      <c r="B4816" s="3">
        <v>5</v>
      </c>
      <c r="C4816" s="3">
        <v>162</v>
      </c>
      <c r="D4816" s="3">
        <v>110</v>
      </c>
      <c r="E4816" s="3">
        <v>-2811.6</v>
      </c>
      <c r="F4816" s="4" t="str">
        <f>HYPERLINK("http://141.218.60.56/~jnz1568/getInfo.php?workbook=10_05.xlsx&amp;sheet=A0&amp;row=4816&amp;col=6&amp;number=1860000&amp;sourceID=14","1860000")</f>
        <v>1860000</v>
      </c>
      <c r="G4816" s="4" t="str">
        <f>HYPERLINK("http://141.218.60.56/~jnz1568/getInfo.php?workbook=10_05.xlsx&amp;sheet=A0&amp;row=4816&amp;col=7&amp;number=0&amp;sourceID=14","0")</f>
        <v>0</v>
      </c>
    </row>
    <row r="4817" spans="1:7">
      <c r="A4817" s="3">
        <v>10</v>
      </c>
      <c r="B4817" s="3">
        <v>5</v>
      </c>
      <c r="C4817" s="3">
        <v>163</v>
      </c>
      <c r="D4817" s="3">
        <v>110</v>
      </c>
      <c r="E4817" s="3">
        <v>-2035.834</v>
      </c>
      <c r="F4817" s="4" t="str">
        <f>HYPERLINK("http://141.218.60.56/~jnz1568/getInfo.php?workbook=10_05.xlsx&amp;sheet=A0&amp;row=4817&amp;col=6&amp;number=10100000&amp;sourceID=14","10100000")</f>
        <v>10100000</v>
      </c>
      <c r="G4817" s="4" t="str">
        <f>HYPERLINK("http://141.218.60.56/~jnz1568/getInfo.php?workbook=10_05.xlsx&amp;sheet=A0&amp;row=4817&amp;col=7&amp;number=0&amp;sourceID=14","0")</f>
        <v>0</v>
      </c>
    </row>
    <row r="4818" spans="1:7">
      <c r="A4818" s="3">
        <v>10</v>
      </c>
      <c r="B4818" s="3">
        <v>5</v>
      </c>
      <c r="C4818" s="3">
        <v>169</v>
      </c>
      <c r="D4818" s="3">
        <v>110</v>
      </c>
      <c r="E4818" s="3">
        <v>-863.284</v>
      </c>
      <c r="F4818" s="4" t="str">
        <f>HYPERLINK("http://141.218.60.56/~jnz1568/getInfo.php?workbook=10_05.xlsx&amp;sheet=A0&amp;row=4818&amp;col=6&amp;number=6420&amp;sourceID=14","6420")</f>
        <v>6420</v>
      </c>
      <c r="G4818" s="4" t="str">
        <f>HYPERLINK("http://141.218.60.56/~jnz1568/getInfo.php?workbook=10_05.xlsx&amp;sheet=A0&amp;row=4818&amp;col=7&amp;number=0&amp;sourceID=14","0")</f>
        <v>0</v>
      </c>
    </row>
    <row r="4819" spans="1:7">
      <c r="A4819" s="3">
        <v>10</v>
      </c>
      <c r="B4819" s="3">
        <v>5</v>
      </c>
      <c r="C4819" s="3">
        <v>170</v>
      </c>
      <c r="D4819" s="3">
        <v>110</v>
      </c>
      <c r="E4819" s="3">
        <v>-798.672</v>
      </c>
      <c r="F4819" s="4" t="str">
        <f>HYPERLINK("http://141.218.60.56/~jnz1568/getInfo.php?workbook=10_05.xlsx&amp;sheet=A0&amp;row=4819&amp;col=6&amp;number=9670000&amp;sourceID=14","9670000")</f>
        <v>9670000</v>
      </c>
      <c r="G4819" s="4" t="str">
        <f>HYPERLINK("http://141.218.60.56/~jnz1568/getInfo.php?workbook=10_05.xlsx&amp;sheet=A0&amp;row=4819&amp;col=7&amp;number=0&amp;sourceID=14","0")</f>
        <v>0</v>
      </c>
    </row>
    <row r="4820" spans="1:7">
      <c r="A4820" s="3">
        <v>10</v>
      </c>
      <c r="B4820" s="3">
        <v>5</v>
      </c>
      <c r="C4820" s="3">
        <v>171</v>
      </c>
      <c r="D4820" s="3">
        <v>110</v>
      </c>
      <c r="E4820" s="3">
        <v>-798.067</v>
      </c>
      <c r="F4820" s="4" t="str">
        <f>HYPERLINK("http://141.218.60.56/~jnz1568/getInfo.php?workbook=10_05.xlsx&amp;sheet=A0&amp;row=4820&amp;col=6&amp;number=2560000&amp;sourceID=14","2560000")</f>
        <v>2560000</v>
      </c>
      <c r="G4820" s="4" t="str">
        <f>HYPERLINK("http://141.218.60.56/~jnz1568/getInfo.php?workbook=10_05.xlsx&amp;sheet=A0&amp;row=4820&amp;col=7&amp;number=0&amp;sourceID=14","0")</f>
        <v>0</v>
      </c>
    </row>
    <row r="4821" spans="1:7">
      <c r="A4821" s="3">
        <v>10</v>
      </c>
      <c r="B4821" s="3">
        <v>5</v>
      </c>
      <c r="C4821" s="3">
        <v>172</v>
      </c>
      <c r="D4821" s="3">
        <v>110</v>
      </c>
      <c r="E4821" s="3">
        <v>-785.838</v>
      </c>
      <c r="F4821" s="4" t="str">
        <f>HYPERLINK("http://141.218.60.56/~jnz1568/getInfo.php?workbook=10_05.xlsx&amp;sheet=A0&amp;row=4821&amp;col=6&amp;number=15400000&amp;sourceID=14","15400000")</f>
        <v>15400000</v>
      </c>
      <c r="G4821" s="4" t="str">
        <f>HYPERLINK("http://141.218.60.56/~jnz1568/getInfo.php?workbook=10_05.xlsx&amp;sheet=A0&amp;row=4821&amp;col=7&amp;number=0&amp;sourceID=14","0")</f>
        <v>0</v>
      </c>
    </row>
    <row r="4822" spans="1:7">
      <c r="A4822" s="3">
        <v>10</v>
      </c>
      <c r="B4822" s="3">
        <v>5</v>
      </c>
      <c r="C4822" s="3">
        <v>174</v>
      </c>
      <c r="D4822" s="3">
        <v>110</v>
      </c>
      <c r="E4822" s="3">
        <v>-772.883</v>
      </c>
      <c r="F4822" s="4" t="str">
        <f>HYPERLINK("http://141.218.60.56/~jnz1568/getInfo.php?workbook=10_05.xlsx&amp;sheet=A0&amp;row=4822&amp;col=6&amp;number=28900000&amp;sourceID=14","28900000")</f>
        <v>28900000</v>
      </c>
      <c r="G4822" s="4" t="str">
        <f>HYPERLINK("http://141.218.60.56/~jnz1568/getInfo.php?workbook=10_05.xlsx&amp;sheet=A0&amp;row=4822&amp;col=7&amp;number=0&amp;sourceID=14","0")</f>
        <v>0</v>
      </c>
    </row>
    <row r="4823" spans="1:7">
      <c r="A4823" s="3">
        <v>10</v>
      </c>
      <c r="B4823" s="3">
        <v>5</v>
      </c>
      <c r="C4823" s="3">
        <v>112</v>
      </c>
      <c r="D4823" s="3">
        <v>111</v>
      </c>
      <c r="E4823" s="3">
        <v>-294985.794</v>
      </c>
      <c r="F4823" s="4" t="str">
        <f>HYPERLINK("http://141.218.60.56/~jnz1568/getInfo.php?workbook=10_05.xlsx&amp;sheet=A0&amp;row=4823&amp;col=6&amp;number=2.27&amp;sourceID=14","2.27")</f>
        <v>2.27</v>
      </c>
      <c r="G4823" s="4" t="str">
        <f>HYPERLINK("http://141.218.60.56/~jnz1568/getInfo.php?workbook=10_05.xlsx&amp;sheet=A0&amp;row=4823&amp;col=7&amp;number=0&amp;sourceID=14","0")</f>
        <v>0</v>
      </c>
    </row>
    <row r="4824" spans="1:7">
      <c r="A4824" s="3">
        <v>10</v>
      </c>
      <c r="B4824" s="3">
        <v>5</v>
      </c>
      <c r="C4824" s="3">
        <v>114</v>
      </c>
      <c r="D4824" s="3">
        <v>111</v>
      </c>
      <c r="E4824" s="3">
        <v>-85763.451</v>
      </c>
      <c r="F4824" s="4" t="str">
        <f>HYPERLINK("http://141.218.60.56/~jnz1568/getInfo.php?workbook=10_05.xlsx&amp;sheet=A0&amp;row=4824&amp;col=6&amp;number=69.5&amp;sourceID=14","69.5")</f>
        <v>69.5</v>
      </c>
      <c r="G4824" s="4" t="str">
        <f>HYPERLINK("http://141.218.60.56/~jnz1568/getInfo.php?workbook=10_05.xlsx&amp;sheet=A0&amp;row=4824&amp;col=7&amp;number=0&amp;sourceID=14","0")</f>
        <v>0</v>
      </c>
    </row>
    <row r="4825" spans="1:7">
      <c r="A4825" s="3">
        <v>10</v>
      </c>
      <c r="B4825" s="3">
        <v>5</v>
      </c>
      <c r="C4825" s="3">
        <v>127</v>
      </c>
      <c r="D4825" s="3">
        <v>111</v>
      </c>
      <c r="E4825" s="3">
        <v>-7288.643</v>
      </c>
      <c r="F4825" s="4" t="str">
        <f>HYPERLINK("http://141.218.60.56/~jnz1568/getInfo.php?workbook=10_05.xlsx&amp;sheet=A0&amp;row=4825&amp;col=6&amp;number=23700&amp;sourceID=14","23700")</f>
        <v>23700</v>
      </c>
      <c r="G4825" s="4" t="str">
        <f>HYPERLINK("http://141.218.60.56/~jnz1568/getInfo.php?workbook=10_05.xlsx&amp;sheet=A0&amp;row=4825&amp;col=7&amp;number=0&amp;sourceID=14","0")</f>
        <v>0</v>
      </c>
    </row>
    <row r="4826" spans="1:7">
      <c r="A4826" s="3">
        <v>10</v>
      </c>
      <c r="B4826" s="3">
        <v>5</v>
      </c>
      <c r="C4826" s="3">
        <v>128</v>
      </c>
      <c r="D4826" s="3">
        <v>111</v>
      </c>
      <c r="E4826" s="3">
        <v>-7057.674</v>
      </c>
      <c r="F4826" s="4" t="str">
        <f>HYPERLINK("http://141.218.60.56/~jnz1568/getInfo.php?workbook=10_05.xlsx&amp;sheet=A0&amp;row=4826&amp;col=6&amp;number=6410&amp;sourceID=14","6410")</f>
        <v>6410</v>
      </c>
      <c r="G4826" s="4" t="str">
        <f>HYPERLINK("http://141.218.60.56/~jnz1568/getInfo.php?workbook=10_05.xlsx&amp;sheet=A0&amp;row=4826&amp;col=7&amp;number=0&amp;sourceID=14","0")</f>
        <v>0</v>
      </c>
    </row>
    <row r="4827" spans="1:7">
      <c r="A4827" s="3">
        <v>10</v>
      </c>
      <c r="B4827" s="3">
        <v>5</v>
      </c>
      <c r="C4827" s="3">
        <v>134</v>
      </c>
      <c r="D4827" s="3">
        <v>111</v>
      </c>
      <c r="E4827" s="3">
        <v>-5362.803</v>
      </c>
      <c r="F4827" s="4" t="str">
        <f>HYPERLINK("http://141.218.60.56/~jnz1568/getInfo.php?workbook=10_05.xlsx&amp;sheet=A0&amp;row=4827&amp;col=6&amp;number=430000&amp;sourceID=14","430000")</f>
        <v>430000</v>
      </c>
      <c r="G4827" s="4" t="str">
        <f>HYPERLINK("http://141.218.60.56/~jnz1568/getInfo.php?workbook=10_05.xlsx&amp;sheet=A0&amp;row=4827&amp;col=7&amp;number=0&amp;sourceID=14","0")</f>
        <v>0</v>
      </c>
    </row>
    <row r="4828" spans="1:7">
      <c r="A4828" s="3">
        <v>10</v>
      </c>
      <c r="B4828" s="3">
        <v>5</v>
      </c>
      <c r="C4828" s="3">
        <v>141</v>
      </c>
      <c r="D4828" s="3">
        <v>111</v>
      </c>
      <c r="E4828" s="3">
        <v>-4281.93</v>
      </c>
      <c r="F4828" s="4" t="str">
        <f>HYPERLINK("http://141.218.60.56/~jnz1568/getInfo.php?workbook=10_05.xlsx&amp;sheet=A0&amp;row=4828&amp;col=6&amp;number=131000&amp;sourceID=14","131000")</f>
        <v>131000</v>
      </c>
      <c r="G4828" s="4" t="str">
        <f>HYPERLINK("http://141.218.60.56/~jnz1568/getInfo.php?workbook=10_05.xlsx&amp;sheet=A0&amp;row=4828&amp;col=7&amp;number=0&amp;sourceID=14","0")</f>
        <v>0</v>
      </c>
    </row>
    <row r="4829" spans="1:7">
      <c r="A4829" s="3">
        <v>10</v>
      </c>
      <c r="B4829" s="3">
        <v>5</v>
      </c>
      <c r="C4829" s="3">
        <v>142</v>
      </c>
      <c r="D4829" s="3">
        <v>111</v>
      </c>
      <c r="E4829" s="3">
        <v>-4273.877</v>
      </c>
      <c r="F4829" s="4" t="str">
        <f>HYPERLINK("http://141.218.60.56/~jnz1568/getInfo.php?workbook=10_05.xlsx&amp;sheet=A0&amp;row=4829&amp;col=6&amp;number=171000&amp;sourceID=14","171000")</f>
        <v>171000</v>
      </c>
      <c r="G4829" s="4" t="str">
        <f>HYPERLINK("http://141.218.60.56/~jnz1568/getInfo.php?workbook=10_05.xlsx&amp;sheet=A0&amp;row=4829&amp;col=7&amp;number=0&amp;sourceID=14","0")</f>
        <v>0</v>
      </c>
    </row>
    <row r="4830" spans="1:7">
      <c r="A4830" s="3">
        <v>10</v>
      </c>
      <c r="B4830" s="3">
        <v>5</v>
      </c>
      <c r="C4830" s="3">
        <v>145</v>
      </c>
      <c r="D4830" s="3">
        <v>111</v>
      </c>
      <c r="E4830" s="3">
        <v>-4040.738</v>
      </c>
      <c r="F4830" s="4" t="str">
        <f>HYPERLINK("http://141.218.60.56/~jnz1568/getInfo.php?workbook=10_05.xlsx&amp;sheet=A0&amp;row=4830&amp;col=6&amp;number=7490000&amp;sourceID=14","7490000")</f>
        <v>7490000</v>
      </c>
      <c r="G4830" s="4" t="str">
        <f>HYPERLINK("http://141.218.60.56/~jnz1568/getInfo.php?workbook=10_05.xlsx&amp;sheet=A0&amp;row=4830&amp;col=7&amp;number=0&amp;sourceID=14","0")</f>
        <v>0</v>
      </c>
    </row>
    <row r="4831" spans="1:7">
      <c r="A4831" s="3">
        <v>10</v>
      </c>
      <c r="B4831" s="3">
        <v>5</v>
      </c>
      <c r="C4831" s="3">
        <v>148</v>
      </c>
      <c r="D4831" s="3">
        <v>111</v>
      </c>
      <c r="E4831" s="3">
        <v>-3929.28</v>
      </c>
      <c r="F4831" s="4" t="str">
        <f>HYPERLINK("http://141.218.60.56/~jnz1568/getInfo.php?workbook=10_05.xlsx&amp;sheet=A0&amp;row=4831&amp;col=6&amp;number=3900000&amp;sourceID=14","3900000")</f>
        <v>3900000</v>
      </c>
      <c r="G4831" s="4" t="str">
        <f>HYPERLINK("http://141.218.60.56/~jnz1568/getInfo.php?workbook=10_05.xlsx&amp;sheet=A0&amp;row=4831&amp;col=7&amp;number=0&amp;sourceID=14","0")</f>
        <v>0</v>
      </c>
    </row>
    <row r="4832" spans="1:7">
      <c r="A4832" s="3">
        <v>10</v>
      </c>
      <c r="B4832" s="3">
        <v>5</v>
      </c>
      <c r="C4832" s="3">
        <v>149</v>
      </c>
      <c r="D4832" s="3">
        <v>111</v>
      </c>
      <c r="E4832" s="3">
        <v>-3914.055</v>
      </c>
      <c r="F4832" s="4" t="str">
        <f>HYPERLINK("http://141.218.60.56/~jnz1568/getInfo.php?workbook=10_05.xlsx&amp;sheet=A0&amp;row=4832&amp;col=6&amp;number=39000&amp;sourceID=14","39000")</f>
        <v>39000</v>
      </c>
      <c r="G4832" s="4" t="str">
        <f>HYPERLINK("http://141.218.60.56/~jnz1568/getInfo.php?workbook=10_05.xlsx&amp;sheet=A0&amp;row=4832&amp;col=7&amp;number=0&amp;sourceID=14","0")</f>
        <v>0</v>
      </c>
    </row>
    <row r="4833" spans="1:7">
      <c r="A4833" s="3">
        <v>10</v>
      </c>
      <c r="B4833" s="3">
        <v>5</v>
      </c>
      <c r="C4833" s="3">
        <v>158</v>
      </c>
      <c r="D4833" s="3">
        <v>111</v>
      </c>
      <c r="E4833" s="3">
        <v>-2984.635</v>
      </c>
      <c r="F4833" s="4" t="str">
        <f>HYPERLINK("http://141.218.60.56/~jnz1568/getInfo.php?workbook=10_05.xlsx&amp;sheet=A0&amp;row=4833&amp;col=6&amp;number=2150000&amp;sourceID=14","2150000")</f>
        <v>2150000</v>
      </c>
      <c r="G4833" s="4" t="str">
        <f>HYPERLINK("http://141.218.60.56/~jnz1568/getInfo.php?workbook=10_05.xlsx&amp;sheet=A0&amp;row=4833&amp;col=7&amp;number=0&amp;sourceID=14","0")</f>
        <v>0</v>
      </c>
    </row>
    <row r="4834" spans="1:7">
      <c r="A4834" s="3">
        <v>10</v>
      </c>
      <c r="B4834" s="3">
        <v>5</v>
      </c>
      <c r="C4834" s="3">
        <v>159</v>
      </c>
      <c r="D4834" s="3">
        <v>111</v>
      </c>
      <c r="E4834" s="3">
        <v>-2946.989</v>
      </c>
      <c r="F4834" s="4" t="str">
        <f>HYPERLINK("http://141.218.60.56/~jnz1568/getInfo.php?workbook=10_05.xlsx&amp;sheet=A0&amp;row=4834&amp;col=6&amp;number=10800000&amp;sourceID=14","10800000")</f>
        <v>10800000</v>
      </c>
      <c r="G4834" s="4" t="str">
        <f>HYPERLINK("http://141.218.60.56/~jnz1568/getInfo.php?workbook=10_05.xlsx&amp;sheet=A0&amp;row=4834&amp;col=7&amp;number=0&amp;sourceID=14","0")</f>
        <v>0</v>
      </c>
    </row>
    <row r="4835" spans="1:7">
      <c r="A4835" s="3">
        <v>10</v>
      </c>
      <c r="B4835" s="3">
        <v>5</v>
      </c>
      <c r="C4835" s="3">
        <v>164</v>
      </c>
      <c r="D4835" s="3">
        <v>111</v>
      </c>
      <c r="E4835" s="3">
        <v>-1249.081</v>
      </c>
      <c r="F4835" s="4" t="str">
        <f>HYPERLINK("http://141.218.60.56/~jnz1568/getInfo.php?workbook=10_05.xlsx&amp;sheet=A0&amp;row=4835&amp;col=6&amp;number=1720000&amp;sourceID=14","1720000")</f>
        <v>1720000</v>
      </c>
      <c r="G4835" s="4" t="str">
        <f>HYPERLINK("http://141.218.60.56/~jnz1568/getInfo.php?workbook=10_05.xlsx&amp;sheet=A0&amp;row=4835&amp;col=7&amp;number=0&amp;sourceID=14","0")</f>
        <v>0</v>
      </c>
    </row>
    <row r="4836" spans="1:7">
      <c r="A4836" s="3">
        <v>10</v>
      </c>
      <c r="B4836" s="3">
        <v>5</v>
      </c>
      <c r="C4836" s="3">
        <v>165</v>
      </c>
      <c r="D4836" s="3">
        <v>111</v>
      </c>
      <c r="E4836" s="3">
        <v>-1246.947</v>
      </c>
      <c r="F4836" s="4" t="str">
        <f>HYPERLINK("http://141.218.60.56/~jnz1568/getInfo.php?workbook=10_05.xlsx&amp;sheet=A0&amp;row=4836&amp;col=6&amp;number=379000&amp;sourceID=14","379000")</f>
        <v>379000</v>
      </c>
      <c r="G4836" s="4" t="str">
        <f>HYPERLINK("http://141.218.60.56/~jnz1568/getInfo.php?workbook=10_05.xlsx&amp;sheet=A0&amp;row=4836&amp;col=7&amp;number=0&amp;sourceID=14","0")</f>
        <v>0</v>
      </c>
    </row>
    <row r="4837" spans="1:7">
      <c r="A4837" s="3">
        <v>10</v>
      </c>
      <c r="B4837" s="3">
        <v>5</v>
      </c>
      <c r="C4837" s="3">
        <v>166</v>
      </c>
      <c r="D4837" s="3">
        <v>111</v>
      </c>
      <c r="E4837" s="3">
        <v>-932.177</v>
      </c>
      <c r="F4837" s="4" t="str">
        <f>HYPERLINK("http://141.218.60.56/~jnz1568/getInfo.php?workbook=10_05.xlsx&amp;sheet=A0&amp;row=4837&amp;col=6&amp;number=4870000&amp;sourceID=14","4870000")</f>
        <v>4870000</v>
      </c>
      <c r="G4837" s="4" t="str">
        <f>HYPERLINK("http://141.218.60.56/~jnz1568/getInfo.php?workbook=10_05.xlsx&amp;sheet=A0&amp;row=4837&amp;col=7&amp;number=0&amp;sourceID=14","0")</f>
        <v>0</v>
      </c>
    </row>
    <row r="4838" spans="1:7">
      <c r="A4838" s="3">
        <v>10</v>
      </c>
      <c r="B4838" s="3">
        <v>5</v>
      </c>
      <c r="C4838" s="3">
        <v>167</v>
      </c>
      <c r="D4838" s="3">
        <v>111</v>
      </c>
      <c r="E4838" s="3">
        <v>-931.812</v>
      </c>
      <c r="F4838" s="4" t="str">
        <f>HYPERLINK("http://141.218.60.56/~jnz1568/getInfo.php?workbook=10_05.xlsx&amp;sheet=A0&amp;row=4838&amp;col=6&amp;number=1300000&amp;sourceID=14","1300000")</f>
        <v>1300000</v>
      </c>
      <c r="G4838" s="4" t="str">
        <f>HYPERLINK("http://141.218.60.56/~jnz1568/getInfo.php?workbook=10_05.xlsx&amp;sheet=A0&amp;row=4838&amp;col=7&amp;number=0&amp;sourceID=14","0")</f>
        <v>0</v>
      </c>
    </row>
    <row r="4839" spans="1:7">
      <c r="A4839" s="3">
        <v>10</v>
      </c>
      <c r="B4839" s="3">
        <v>5</v>
      </c>
      <c r="C4839" s="3">
        <v>177</v>
      </c>
      <c r="D4839" s="3">
        <v>111</v>
      </c>
      <c r="E4839" s="3">
        <v>-715.898</v>
      </c>
      <c r="F4839" s="4" t="str">
        <f>HYPERLINK("http://141.218.60.56/~jnz1568/getInfo.php?workbook=10_05.xlsx&amp;sheet=A0&amp;row=4839&amp;col=6&amp;number=7780000&amp;sourceID=14","7780000")</f>
        <v>7780000</v>
      </c>
      <c r="G4839" s="4" t="str">
        <f>HYPERLINK("http://141.218.60.56/~jnz1568/getInfo.php?workbook=10_05.xlsx&amp;sheet=A0&amp;row=4839&amp;col=7&amp;number=0&amp;sourceID=14","0")</f>
        <v>0</v>
      </c>
    </row>
    <row r="4840" spans="1:7">
      <c r="A4840" s="3">
        <v>10</v>
      </c>
      <c r="B4840" s="3">
        <v>5</v>
      </c>
      <c r="C4840" s="3">
        <v>179</v>
      </c>
      <c r="D4840" s="3">
        <v>111</v>
      </c>
      <c r="E4840" s="3">
        <v>-695.508</v>
      </c>
      <c r="F4840" s="4" t="str">
        <f>HYPERLINK("http://141.218.60.56/~jnz1568/getInfo.php?workbook=10_05.xlsx&amp;sheet=A0&amp;row=4840&amp;col=6&amp;number=6340000&amp;sourceID=14","6340000")</f>
        <v>6340000</v>
      </c>
      <c r="G4840" s="4" t="str">
        <f>HYPERLINK("http://141.218.60.56/~jnz1568/getInfo.php?workbook=10_05.xlsx&amp;sheet=A0&amp;row=4840&amp;col=7&amp;number=0&amp;sourceID=14","0")</f>
        <v>0</v>
      </c>
    </row>
    <row r="4841" spans="1:7">
      <c r="A4841" s="3">
        <v>10</v>
      </c>
      <c r="B4841" s="3">
        <v>5</v>
      </c>
      <c r="C4841" s="3">
        <v>180</v>
      </c>
      <c r="D4841" s="3">
        <v>111</v>
      </c>
      <c r="E4841" s="3">
        <v>-695.329</v>
      </c>
      <c r="F4841" s="4" t="str">
        <f>HYPERLINK("http://141.218.60.56/~jnz1568/getInfo.php?workbook=10_05.xlsx&amp;sheet=A0&amp;row=4841&amp;col=6&amp;number=1300000&amp;sourceID=14","1300000")</f>
        <v>1300000</v>
      </c>
      <c r="G4841" s="4" t="str">
        <f>HYPERLINK("http://141.218.60.56/~jnz1568/getInfo.php?workbook=10_05.xlsx&amp;sheet=A0&amp;row=4841&amp;col=7&amp;number=0&amp;sourceID=14","0")</f>
        <v>0</v>
      </c>
    </row>
    <row r="4842" spans="1:7">
      <c r="A4842" s="3">
        <v>10</v>
      </c>
      <c r="B4842" s="3">
        <v>5</v>
      </c>
      <c r="C4842" s="3">
        <v>115</v>
      </c>
      <c r="D4842" s="3">
        <v>112</v>
      </c>
      <c r="E4842" s="3">
        <v>-15283.537</v>
      </c>
      <c r="F4842" s="4" t="str">
        <f>HYPERLINK("http://141.218.60.56/~jnz1568/getInfo.php?workbook=10_05.xlsx&amp;sheet=A0&amp;row=4842&amp;col=6&amp;number=3.41&amp;sourceID=14","3.41")</f>
        <v>3.41</v>
      </c>
      <c r="G4842" s="4" t="str">
        <f>HYPERLINK("http://141.218.60.56/~jnz1568/getInfo.php?workbook=10_05.xlsx&amp;sheet=A0&amp;row=4842&amp;col=7&amp;number=0&amp;sourceID=14","0")</f>
        <v>0</v>
      </c>
    </row>
    <row r="4843" spans="1:7">
      <c r="A4843" s="3">
        <v>10</v>
      </c>
      <c r="B4843" s="3">
        <v>5</v>
      </c>
      <c r="C4843" s="3">
        <v>117</v>
      </c>
      <c r="D4843" s="3">
        <v>112</v>
      </c>
      <c r="E4843" s="3">
        <v>-13059.969</v>
      </c>
      <c r="F4843" s="4" t="str">
        <f>HYPERLINK("http://141.218.60.56/~jnz1568/getInfo.php?workbook=10_05.xlsx&amp;sheet=A0&amp;row=4843&amp;col=6&amp;number=10.4&amp;sourceID=14","10.4")</f>
        <v>10.4</v>
      </c>
      <c r="G4843" s="4" t="str">
        <f>HYPERLINK("http://141.218.60.56/~jnz1568/getInfo.php?workbook=10_05.xlsx&amp;sheet=A0&amp;row=4843&amp;col=7&amp;number=0&amp;sourceID=14","0")</f>
        <v>0</v>
      </c>
    </row>
    <row r="4844" spans="1:7">
      <c r="A4844" s="3">
        <v>10</v>
      </c>
      <c r="B4844" s="3">
        <v>5</v>
      </c>
      <c r="C4844" s="3">
        <v>118</v>
      </c>
      <c r="D4844" s="3">
        <v>112</v>
      </c>
      <c r="E4844" s="3">
        <v>-12923.26</v>
      </c>
      <c r="F4844" s="4" t="str">
        <f>HYPERLINK("http://141.218.60.56/~jnz1568/getInfo.php?workbook=10_05.xlsx&amp;sheet=A0&amp;row=4844&amp;col=6&amp;number=76.8&amp;sourceID=14","76.8")</f>
        <v>76.8</v>
      </c>
      <c r="G4844" s="4" t="str">
        <f>HYPERLINK("http://141.218.60.56/~jnz1568/getInfo.php?workbook=10_05.xlsx&amp;sheet=A0&amp;row=4844&amp;col=7&amp;number=0&amp;sourceID=14","0")</f>
        <v>0</v>
      </c>
    </row>
    <row r="4845" spans="1:7">
      <c r="A4845" s="3">
        <v>10</v>
      </c>
      <c r="B4845" s="3">
        <v>5</v>
      </c>
      <c r="C4845" s="3">
        <v>119</v>
      </c>
      <c r="D4845" s="3">
        <v>112</v>
      </c>
      <c r="E4845" s="3">
        <v>-12840.291</v>
      </c>
      <c r="F4845" s="4" t="str">
        <f>HYPERLINK("http://141.218.60.56/~jnz1568/getInfo.php?workbook=10_05.xlsx&amp;sheet=A0&amp;row=4845&amp;col=6&amp;number=71.2&amp;sourceID=14","71.2")</f>
        <v>71.2</v>
      </c>
      <c r="G4845" s="4" t="str">
        <f>HYPERLINK("http://141.218.60.56/~jnz1568/getInfo.php?workbook=10_05.xlsx&amp;sheet=A0&amp;row=4845&amp;col=7&amp;number=0&amp;sourceID=14","0")</f>
        <v>0</v>
      </c>
    </row>
    <row r="4846" spans="1:7">
      <c r="A4846" s="3">
        <v>10</v>
      </c>
      <c r="B4846" s="3">
        <v>5</v>
      </c>
      <c r="C4846" s="3">
        <v>120</v>
      </c>
      <c r="D4846" s="3">
        <v>112</v>
      </c>
      <c r="E4846" s="3">
        <v>-9133.271</v>
      </c>
      <c r="F4846" s="4" t="str">
        <f>HYPERLINK("http://141.218.60.56/~jnz1568/getInfo.php?workbook=10_05.xlsx&amp;sheet=A0&amp;row=4846&amp;col=6&amp;number=36000&amp;sourceID=14","36000")</f>
        <v>36000</v>
      </c>
      <c r="G4846" s="4" t="str">
        <f>HYPERLINK("http://141.218.60.56/~jnz1568/getInfo.php?workbook=10_05.xlsx&amp;sheet=A0&amp;row=4846&amp;col=7&amp;number=0&amp;sourceID=14","0")</f>
        <v>0</v>
      </c>
    </row>
    <row r="4847" spans="1:7">
      <c r="A4847" s="3">
        <v>10</v>
      </c>
      <c r="B4847" s="3">
        <v>5</v>
      </c>
      <c r="C4847" s="3">
        <v>121</v>
      </c>
      <c r="D4847" s="3">
        <v>112</v>
      </c>
      <c r="E4847" s="3">
        <v>-8950.164</v>
      </c>
      <c r="F4847" s="4" t="str">
        <f>HYPERLINK("http://141.218.60.56/~jnz1568/getInfo.php?workbook=10_05.xlsx&amp;sheet=A0&amp;row=4847&amp;col=6&amp;number=43300&amp;sourceID=14","43300")</f>
        <v>43300</v>
      </c>
      <c r="G4847" s="4" t="str">
        <f>HYPERLINK("http://141.218.60.56/~jnz1568/getInfo.php?workbook=10_05.xlsx&amp;sheet=A0&amp;row=4847&amp;col=7&amp;number=0&amp;sourceID=14","0")</f>
        <v>0</v>
      </c>
    </row>
    <row r="4848" spans="1:7">
      <c r="A4848" s="3">
        <v>10</v>
      </c>
      <c r="B4848" s="3">
        <v>5</v>
      </c>
      <c r="C4848" s="3">
        <v>122</v>
      </c>
      <c r="D4848" s="3">
        <v>112</v>
      </c>
      <c r="E4848" s="3">
        <v>-8663.275</v>
      </c>
      <c r="F4848" s="4" t="str">
        <f>HYPERLINK("http://141.218.60.56/~jnz1568/getInfo.php?workbook=10_05.xlsx&amp;sheet=A0&amp;row=4848&amp;col=6&amp;number=70.1&amp;sourceID=14","70.1")</f>
        <v>70.1</v>
      </c>
      <c r="G4848" s="4" t="str">
        <f>HYPERLINK("http://141.218.60.56/~jnz1568/getInfo.php?workbook=10_05.xlsx&amp;sheet=A0&amp;row=4848&amp;col=7&amp;number=0&amp;sourceID=14","0")</f>
        <v>0</v>
      </c>
    </row>
    <row r="4849" spans="1:7">
      <c r="A4849" s="3">
        <v>10</v>
      </c>
      <c r="B4849" s="3">
        <v>5</v>
      </c>
      <c r="C4849" s="3">
        <v>123</v>
      </c>
      <c r="D4849" s="3">
        <v>112</v>
      </c>
      <c r="E4849" s="3">
        <v>-8448.102</v>
      </c>
      <c r="F4849" s="4" t="str">
        <f>HYPERLINK("http://141.218.60.56/~jnz1568/getInfo.php?workbook=10_05.xlsx&amp;sheet=A0&amp;row=4849&amp;col=6&amp;number=164000&amp;sourceID=14","164000")</f>
        <v>164000</v>
      </c>
      <c r="G4849" s="4" t="str">
        <f>HYPERLINK("http://141.218.60.56/~jnz1568/getInfo.php?workbook=10_05.xlsx&amp;sheet=A0&amp;row=4849&amp;col=7&amp;number=0&amp;sourceID=14","0")</f>
        <v>0</v>
      </c>
    </row>
    <row r="4850" spans="1:7">
      <c r="A4850" s="3">
        <v>10</v>
      </c>
      <c r="B4850" s="3">
        <v>5</v>
      </c>
      <c r="C4850" s="3">
        <v>125</v>
      </c>
      <c r="D4850" s="3">
        <v>112</v>
      </c>
      <c r="E4850" s="3">
        <v>-7709.52</v>
      </c>
      <c r="F4850" s="4" t="str">
        <f>HYPERLINK("http://141.218.60.56/~jnz1568/getInfo.php?workbook=10_05.xlsx&amp;sheet=A0&amp;row=4850&amp;col=6&amp;number=3620000&amp;sourceID=14","3620000")</f>
        <v>3620000</v>
      </c>
      <c r="G4850" s="4" t="str">
        <f>HYPERLINK("http://141.218.60.56/~jnz1568/getInfo.php?workbook=10_05.xlsx&amp;sheet=A0&amp;row=4850&amp;col=7&amp;number=0&amp;sourceID=14","0")</f>
        <v>0</v>
      </c>
    </row>
    <row r="4851" spans="1:7">
      <c r="A4851" s="3">
        <v>10</v>
      </c>
      <c r="B4851" s="3">
        <v>5</v>
      </c>
      <c r="C4851" s="3">
        <v>126</v>
      </c>
      <c r="D4851" s="3">
        <v>112</v>
      </c>
      <c r="E4851" s="3">
        <v>-7549.463</v>
      </c>
      <c r="F4851" s="4" t="str">
        <f>HYPERLINK("http://141.218.60.56/~jnz1568/getInfo.php?workbook=10_05.xlsx&amp;sheet=A0&amp;row=4851&amp;col=6&amp;number=9840000&amp;sourceID=14","9840000")</f>
        <v>9840000</v>
      </c>
      <c r="G4851" s="4" t="str">
        <f>HYPERLINK("http://141.218.60.56/~jnz1568/getInfo.php?workbook=10_05.xlsx&amp;sheet=A0&amp;row=4851&amp;col=7&amp;number=0&amp;sourceID=14","0")</f>
        <v>0</v>
      </c>
    </row>
    <row r="4852" spans="1:7">
      <c r="A4852" s="3">
        <v>10</v>
      </c>
      <c r="B4852" s="3">
        <v>5</v>
      </c>
      <c r="C4852" s="3">
        <v>129</v>
      </c>
      <c r="D4852" s="3">
        <v>112</v>
      </c>
      <c r="E4852" s="3">
        <v>-6371.062</v>
      </c>
      <c r="F4852" s="4" t="str">
        <f>HYPERLINK("http://141.218.60.56/~jnz1568/getInfo.php?workbook=10_05.xlsx&amp;sheet=A0&amp;row=4852&amp;col=6&amp;number=4570000&amp;sourceID=14","4570000")</f>
        <v>4570000</v>
      </c>
      <c r="G4852" s="4" t="str">
        <f>HYPERLINK("http://141.218.60.56/~jnz1568/getInfo.php?workbook=10_05.xlsx&amp;sheet=A0&amp;row=4852&amp;col=7&amp;number=0&amp;sourceID=14","0")</f>
        <v>0</v>
      </c>
    </row>
    <row r="4853" spans="1:7">
      <c r="A4853" s="3">
        <v>10</v>
      </c>
      <c r="B4853" s="3">
        <v>5</v>
      </c>
      <c r="C4853" s="3">
        <v>130</v>
      </c>
      <c r="D4853" s="3">
        <v>112</v>
      </c>
      <c r="E4853" s="3">
        <v>-6134.981</v>
      </c>
      <c r="F4853" s="4" t="str">
        <f>HYPERLINK("http://141.218.60.56/~jnz1568/getInfo.php?workbook=10_05.xlsx&amp;sheet=A0&amp;row=4853&amp;col=6&amp;number=15700000&amp;sourceID=14","15700000")</f>
        <v>15700000</v>
      </c>
      <c r="G4853" s="4" t="str">
        <f>HYPERLINK("http://141.218.60.56/~jnz1568/getInfo.php?workbook=10_05.xlsx&amp;sheet=A0&amp;row=4853&amp;col=7&amp;number=0&amp;sourceID=14","0")</f>
        <v>0</v>
      </c>
    </row>
    <row r="4854" spans="1:7">
      <c r="A4854" s="3">
        <v>10</v>
      </c>
      <c r="B4854" s="3">
        <v>5</v>
      </c>
      <c r="C4854" s="3">
        <v>131</v>
      </c>
      <c r="D4854" s="3">
        <v>112</v>
      </c>
      <c r="E4854" s="3">
        <v>-6023.019</v>
      </c>
      <c r="F4854" s="4" t="str">
        <f>HYPERLINK("http://141.218.60.56/~jnz1568/getInfo.php?workbook=10_05.xlsx&amp;sheet=A0&amp;row=4854&amp;col=6&amp;number=4970&amp;sourceID=14","4970")</f>
        <v>4970</v>
      </c>
      <c r="G4854" s="4" t="str">
        <f>HYPERLINK("http://141.218.60.56/~jnz1568/getInfo.php?workbook=10_05.xlsx&amp;sheet=A0&amp;row=4854&amp;col=7&amp;number=0&amp;sourceID=14","0")</f>
        <v>0</v>
      </c>
    </row>
    <row r="4855" spans="1:7">
      <c r="A4855" s="3">
        <v>10</v>
      </c>
      <c r="B4855" s="3">
        <v>5</v>
      </c>
      <c r="C4855" s="3">
        <v>132</v>
      </c>
      <c r="D4855" s="3">
        <v>112</v>
      </c>
      <c r="E4855" s="3">
        <v>-5970.16</v>
      </c>
      <c r="F4855" s="4" t="str">
        <f>HYPERLINK("http://141.218.60.56/~jnz1568/getInfo.php?workbook=10_05.xlsx&amp;sheet=A0&amp;row=4855&amp;col=6&amp;number=13500&amp;sourceID=14","13500")</f>
        <v>13500</v>
      </c>
      <c r="G4855" s="4" t="str">
        <f>HYPERLINK("http://141.218.60.56/~jnz1568/getInfo.php?workbook=10_05.xlsx&amp;sheet=A0&amp;row=4855&amp;col=7&amp;number=0&amp;sourceID=14","0")</f>
        <v>0</v>
      </c>
    </row>
    <row r="4856" spans="1:7">
      <c r="A4856" s="3">
        <v>10</v>
      </c>
      <c r="B4856" s="3">
        <v>5</v>
      </c>
      <c r="C4856" s="3">
        <v>133</v>
      </c>
      <c r="D4856" s="3">
        <v>112</v>
      </c>
      <c r="E4856" s="3">
        <v>-5896.933</v>
      </c>
      <c r="F4856" s="4" t="str">
        <f>HYPERLINK("http://141.218.60.56/~jnz1568/getInfo.php?workbook=10_05.xlsx&amp;sheet=A0&amp;row=4856&amp;col=6&amp;number=4390000&amp;sourceID=14","4390000")</f>
        <v>4390000</v>
      </c>
      <c r="G4856" s="4" t="str">
        <f>HYPERLINK("http://141.218.60.56/~jnz1568/getInfo.php?workbook=10_05.xlsx&amp;sheet=A0&amp;row=4856&amp;col=7&amp;number=0&amp;sourceID=14","0")</f>
        <v>0</v>
      </c>
    </row>
    <row r="4857" spans="1:7">
      <c r="A4857" s="3">
        <v>10</v>
      </c>
      <c r="B4857" s="3">
        <v>5</v>
      </c>
      <c r="C4857" s="3">
        <v>140</v>
      </c>
      <c r="D4857" s="3">
        <v>112</v>
      </c>
      <c r="E4857" s="3">
        <v>-4588.006</v>
      </c>
      <c r="F4857" s="4" t="str">
        <f>HYPERLINK("http://141.218.60.56/~jnz1568/getInfo.php?workbook=10_05.xlsx&amp;sheet=A0&amp;row=4857&amp;col=6&amp;number=33400000&amp;sourceID=14","33400000")</f>
        <v>33400000</v>
      </c>
      <c r="G4857" s="4" t="str">
        <f>HYPERLINK("http://141.218.60.56/~jnz1568/getInfo.php?workbook=10_05.xlsx&amp;sheet=A0&amp;row=4857&amp;col=7&amp;number=0&amp;sourceID=14","0")</f>
        <v>0</v>
      </c>
    </row>
    <row r="4858" spans="1:7">
      <c r="A4858" s="3">
        <v>10</v>
      </c>
      <c r="B4858" s="3">
        <v>5</v>
      </c>
      <c r="C4858" s="3">
        <v>150</v>
      </c>
      <c r="D4858" s="3">
        <v>112</v>
      </c>
      <c r="E4858" s="3">
        <v>-3480.325</v>
      </c>
      <c r="F4858" s="4" t="str">
        <f>HYPERLINK("http://141.218.60.56/~jnz1568/getInfo.php?workbook=10_05.xlsx&amp;sheet=A0&amp;row=4858&amp;col=6&amp;number=154000&amp;sourceID=14","154000")</f>
        <v>154000</v>
      </c>
      <c r="G4858" s="4" t="str">
        <f>HYPERLINK("http://141.218.60.56/~jnz1568/getInfo.php?workbook=10_05.xlsx&amp;sheet=A0&amp;row=4858&amp;col=7&amp;number=0&amp;sourceID=14","0")</f>
        <v>0</v>
      </c>
    </row>
    <row r="4859" spans="1:7">
      <c r="A4859" s="3">
        <v>10</v>
      </c>
      <c r="B4859" s="3">
        <v>5</v>
      </c>
      <c r="C4859" s="3">
        <v>151</v>
      </c>
      <c r="D4859" s="3">
        <v>112</v>
      </c>
      <c r="E4859" s="3">
        <v>-3477.662</v>
      </c>
      <c r="F4859" s="4" t="str">
        <f>HYPERLINK("http://141.218.60.56/~jnz1568/getInfo.php?workbook=10_05.xlsx&amp;sheet=A0&amp;row=4859&amp;col=6&amp;number=394000&amp;sourceID=14","394000")</f>
        <v>394000</v>
      </c>
      <c r="G4859" s="4" t="str">
        <f>HYPERLINK("http://141.218.60.56/~jnz1568/getInfo.php?workbook=10_05.xlsx&amp;sheet=A0&amp;row=4859&amp;col=7&amp;number=0&amp;sourceID=14","0")</f>
        <v>0</v>
      </c>
    </row>
    <row r="4860" spans="1:7">
      <c r="A4860" s="3">
        <v>10</v>
      </c>
      <c r="B4860" s="3">
        <v>5</v>
      </c>
      <c r="C4860" s="3">
        <v>155</v>
      </c>
      <c r="D4860" s="3">
        <v>112</v>
      </c>
      <c r="E4860" s="3">
        <v>-3097.132</v>
      </c>
      <c r="F4860" s="4" t="str">
        <f>HYPERLINK("http://141.218.60.56/~jnz1568/getInfo.php?workbook=10_05.xlsx&amp;sheet=A0&amp;row=4860&amp;col=6&amp;number=324000&amp;sourceID=14","324000")</f>
        <v>324000</v>
      </c>
      <c r="G4860" s="4" t="str">
        <f>HYPERLINK("http://141.218.60.56/~jnz1568/getInfo.php?workbook=10_05.xlsx&amp;sheet=A0&amp;row=4860&amp;col=7&amp;number=0&amp;sourceID=14","0")</f>
        <v>0</v>
      </c>
    </row>
    <row r="4861" spans="1:7">
      <c r="A4861" s="3">
        <v>10</v>
      </c>
      <c r="B4861" s="3">
        <v>5</v>
      </c>
      <c r="C4861" s="3">
        <v>156</v>
      </c>
      <c r="D4861" s="3">
        <v>112</v>
      </c>
      <c r="E4861" s="3">
        <v>-3043.868</v>
      </c>
      <c r="F4861" s="4" t="str">
        <f>HYPERLINK("http://141.218.60.56/~jnz1568/getInfo.php?workbook=10_05.xlsx&amp;sheet=A0&amp;row=4861&amp;col=6&amp;number=9090000&amp;sourceID=14","9090000")</f>
        <v>9090000</v>
      </c>
      <c r="G4861" s="4" t="str">
        <f>HYPERLINK("http://141.218.60.56/~jnz1568/getInfo.php?workbook=10_05.xlsx&amp;sheet=A0&amp;row=4861&amp;col=7&amp;number=0&amp;sourceID=14","0")</f>
        <v>0</v>
      </c>
    </row>
    <row r="4862" spans="1:7">
      <c r="A4862" s="3">
        <v>10</v>
      </c>
      <c r="B4862" s="3">
        <v>5</v>
      </c>
      <c r="C4862" s="3">
        <v>157</v>
      </c>
      <c r="D4862" s="3">
        <v>112</v>
      </c>
      <c r="E4862" s="3">
        <v>-3027.373</v>
      </c>
      <c r="F4862" s="4" t="str">
        <f>HYPERLINK("http://141.218.60.56/~jnz1568/getInfo.php?workbook=10_05.xlsx&amp;sheet=A0&amp;row=4862&amp;col=6&amp;number=52400000&amp;sourceID=14","52400000")</f>
        <v>52400000</v>
      </c>
      <c r="G4862" s="4" t="str">
        <f>HYPERLINK("http://141.218.60.56/~jnz1568/getInfo.php?workbook=10_05.xlsx&amp;sheet=A0&amp;row=4862&amp;col=7&amp;number=0&amp;sourceID=14","0")</f>
        <v>0</v>
      </c>
    </row>
    <row r="4863" spans="1:7">
      <c r="A4863" s="3">
        <v>10</v>
      </c>
      <c r="B4863" s="3">
        <v>5</v>
      </c>
      <c r="C4863" s="3">
        <v>160</v>
      </c>
      <c r="D4863" s="3">
        <v>112</v>
      </c>
      <c r="E4863" s="3">
        <v>-2915.627</v>
      </c>
      <c r="F4863" s="4" t="str">
        <f>HYPERLINK("http://141.218.60.56/~jnz1568/getInfo.php?workbook=10_05.xlsx&amp;sheet=A0&amp;row=4863&amp;col=6&amp;number=51600000&amp;sourceID=14","51600000")</f>
        <v>51600000</v>
      </c>
      <c r="G4863" s="4" t="str">
        <f>HYPERLINK("http://141.218.60.56/~jnz1568/getInfo.php?workbook=10_05.xlsx&amp;sheet=A0&amp;row=4863&amp;col=7&amp;number=0&amp;sourceID=14","0")</f>
        <v>0</v>
      </c>
    </row>
    <row r="4864" spans="1:7">
      <c r="A4864" s="3">
        <v>10</v>
      </c>
      <c r="B4864" s="3">
        <v>5</v>
      </c>
      <c r="C4864" s="3">
        <v>161</v>
      </c>
      <c r="D4864" s="3">
        <v>112</v>
      </c>
      <c r="E4864" s="3">
        <v>-2888.926</v>
      </c>
      <c r="F4864" s="4" t="str">
        <f>HYPERLINK("http://141.218.60.56/~jnz1568/getInfo.php?workbook=10_05.xlsx&amp;sheet=A0&amp;row=4864&amp;col=6&amp;number=3140000&amp;sourceID=14","3140000")</f>
        <v>3140000</v>
      </c>
      <c r="G4864" s="4" t="str">
        <f>HYPERLINK("http://141.218.60.56/~jnz1568/getInfo.php?workbook=10_05.xlsx&amp;sheet=A0&amp;row=4864&amp;col=7&amp;number=0&amp;sourceID=14","0")</f>
        <v>0</v>
      </c>
    </row>
    <row r="4865" spans="1:7">
      <c r="A4865" s="3">
        <v>10</v>
      </c>
      <c r="B4865" s="3">
        <v>5</v>
      </c>
      <c r="C4865" s="3">
        <v>162</v>
      </c>
      <c r="D4865" s="3">
        <v>112</v>
      </c>
      <c r="E4865" s="3">
        <v>-2864.432</v>
      </c>
      <c r="F4865" s="4" t="str">
        <f>HYPERLINK("http://141.218.60.56/~jnz1568/getInfo.php?workbook=10_05.xlsx&amp;sheet=A0&amp;row=4865&amp;col=6&amp;number=7900000&amp;sourceID=14","7900000")</f>
        <v>7900000</v>
      </c>
      <c r="G4865" s="4" t="str">
        <f>HYPERLINK("http://141.218.60.56/~jnz1568/getInfo.php?workbook=10_05.xlsx&amp;sheet=A0&amp;row=4865&amp;col=7&amp;number=0&amp;sourceID=14","0")</f>
        <v>0</v>
      </c>
    </row>
    <row r="4866" spans="1:7">
      <c r="A4866" s="3">
        <v>10</v>
      </c>
      <c r="B4866" s="3">
        <v>5</v>
      </c>
      <c r="C4866" s="3">
        <v>163</v>
      </c>
      <c r="D4866" s="3">
        <v>112</v>
      </c>
      <c r="E4866" s="3">
        <v>-2063.391</v>
      </c>
      <c r="F4866" s="4" t="str">
        <f>HYPERLINK("http://141.218.60.56/~jnz1568/getInfo.php?workbook=10_05.xlsx&amp;sheet=A0&amp;row=4866&amp;col=6&amp;number=19600000&amp;sourceID=14","19600000")</f>
        <v>19600000</v>
      </c>
      <c r="G4866" s="4" t="str">
        <f>HYPERLINK("http://141.218.60.56/~jnz1568/getInfo.php?workbook=10_05.xlsx&amp;sheet=A0&amp;row=4866&amp;col=7&amp;number=0&amp;sourceID=14","0")</f>
        <v>0</v>
      </c>
    </row>
    <row r="4867" spans="1:7">
      <c r="A4867" s="3">
        <v>10</v>
      </c>
      <c r="B4867" s="3">
        <v>5</v>
      </c>
      <c r="C4867" s="3">
        <v>168</v>
      </c>
      <c r="D4867" s="3">
        <v>112</v>
      </c>
      <c r="E4867" s="3">
        <v>-868.562</v>
      </c>
      <c r="F4867" s="4" t="str">
        <f>HYPERLINK("http://141.218.60.56/~jnz1568/getInfo.php?workbook=10_05.xlsx&amp;sheet=A0&amp;row=4867&amp;col=6&amp;number=6590&amp;sourceID=14","6590")</f>
        <v>6590</v>
      </c>
      <c r="G4867" s="4" t="str">
        <f>HYPERLINK("http://141.218.60.56/~jnz1568/getInfo.php?workbook=10_05.xlsx&amp;sheet=A0&amp;row=4867&amp;col=7&amp;number=0&amp;sourceID=14","0")</f>
        <v>0</v>
      </c>
    </row>
    <row r="4868" spans="1:7">
      <c r="A4868" s="3">
        <v>10</v>
      </c>
      <c r="B4868" s="3">
        <v>5</v>
      </c>
      <c r="C4868" s="3">
        <v>169</v>
      </c>
      <c r="D4868" s="3">
        <v>112</v>
      </c>
      <c r="E4868" s="3">
        <v>-868.2</v>
      </c>
      <c r="F4868" s="4" t="str">
        <f>HYPERLINK("http://141.218.60.56/~jnz1568/getInfo.php?workbook=10_05.xlsx&amp;sheet=A0&amp;row=4868&amp;col=6&amp;number=655&amp;sourceID=14","655")</f>
        <v>655</v>
      </c>
      <c r="G4868" s="4" t="str">
        <f>HYPERLINK("http://141.218.60.56/~jnz1568/getInfo.php?workbook=10_05.xlsx&amp;sheet=A0&amp;row=4868&amp;col=7&amp;number=0&amp;sourceID=14","0")</f>
        <v>0</v>
      </c>
    </row>
    <row r="4869" spans="1:7">
      <c r="A4869" s="3">
        <v>10</v>
      </c>
      <c r="B4869" s="3">
        <v>5</v>
      </c>
      <c r="C4869" s="3">
        <v>170</v>
      </c>
      <c r="D4869" s="3">
        <v>112</v>
      </c>
      <c r="E4869" s="3">
        <v>-802.879</v>
      </c>
      <c r="F4869" s="4" t="str">
        <f>HYPERLINK("http://141.218.60.56/~jnz1568/getInfo.php?workbook=10_05.xlsx&amp;sheet=A0&amp;row=4869&amp;col=6&amp;number=4310000&amp;sourceID=14","4310000")</f>
        <v>4310000</v>
      </c>
      <c r="G4869" s="4" t="str">
        <f>HYPERLINK("http://141.218.60.56/~jnz1568/getInfo.php?workbook=10_05.xlsx&amp;sheet=A0&amp;row=4869&amp;col=7&amp;number=0&amp;sourceID=14","0")</f>
        <v>0</v>
      </c>
    </row>
    <row r="4870" spans="1:7">
      <c r="A4870" s="3">
        <v>10</v>
      </c>
      <c r="B4870" s="3">
        <v>5</v>
      </c>
      <c r="C4870" s="3">
        <v>171</v>
      </c>
      <c r="D4870" s="3">
        <v>112</v>
      </c>
      <c r="E4870" s="3">
        <v>-802.267</v>
      </c>
      <c r="F4870" s="4" t="str">
        <f>HYPERLINK("http://141.218.60.56/~jnz1568/getInfo.php?workbook=10_05.xlsx&amp;sheet=A0&amp;row=4870&amp;col=6&amp;number=11200000&amp;sourceID=14","11200000")</f>
        <v>11200000</v>
      </c>
      <c r="G4870" s="4" t="str">
        <f>HYPERLINK("http://141.218.60.56/~jnz1568/getInfo.php?workbook=10_05.xlsx&amp;sheet=A0&amp;row=4870&amp;col=7&amp;number=0&amp;sourceID=14","0")</f>
        <v>0</v>
      </c>
    </row>
    <row r="4871" spans="1:7">
      <c r="A4871" s="3">
        <v>10</v>
      </c>
      <c r="B4871" s="3">
        <v>5</v>
      </c>
      <c r="C4871" s="3">
        <v>172</v>
      </c>
      <c r="D4871" s="3">
        <v>112</v>
      </c>
      <c r="E4871" s="3">
        <v>-789.91</v>
      </c>
      <c r="F4871" s="4" t="str">
        <f>HYPERLINK("http://141.218.60.56/~jnz1568/getInfo.php?workbook=10_05.xlsx&amp;sheet=A0&amp;row=4871&amp;col=6&amp;number=3200000&amp;sourceID=14","3200000")</f>
        <v>3200000</v>
      </c>
      <c r="G4871" s="4" t="str">
        <f>HYPERLINK("http://141.218.60.56/~jnz1568/getInfo.php?workbook=10_05.xlsx&amp;sheet=A0&amp;row=4871&amp;col=7&amp;number=0&amp;sourceID=14","0")</f>
        <v>0</v>
      </c>
    </row>
    <row r="4872" spans="1:7">
      <c r="A4872" s="3">
        <v>10</v>
      </c>
      <c r="B4872" s="3">
        <v>5</v>
      </c>
      <c r="C4872" s="3">
        <v>173</v>
      </c>
      <c r="D4872" s="3">
        <v>112</v>
      </c>
      <c r="E4872" s="3">
        <v>-789.766</v>
      </c>
      <c r="F4872" s="4" t="str">
        <f>HYPERLINK("http://141.218.60.56/~jnz1568/getInfo.php?workbook=10_05.xlsx&amp;sheet=A0&amp;row=4872&amp;col=6&amp;number=17900000&amp;sourceID=14","17900000")</f>
        <v>17900000</v>
      </c>
      <c r="G4872" s="4" t="str">
        <f>HYPERLINK("http://141.218.60.56/~jnz1568/getInfo.php?workbook=10_05.xlsx&amp;sheet=A0&amp;row=4872&amp;col=7&amp;number=0&amp;sourceID=14","0")</f>
        <v>0</v>
      </c>
    </row>
    <row r="4873" spans="1:7">
      <c r="A4873" s="3">
        <v>10</v>
      </c>
      <c r="B4873" s="3">
        <v>5</v>
      </c>
      <c r="C4873" s="3">
        <v>174</v>
      </c>
      <c r="D4873" s="3">
        <v>112</v>
      </c>
      <c r="E4873" s="3">
        <v>-776.821</v>
      </c>
      <c r="F4873" s="4" t="str">
        <f>HYPERLINK("http://141.218.60.56/~jnz1568/getInfo.php?workbook=10_05.xlsx&amp;sheet=A0&amp;row=4873&amp;col=6&amp;number=57500000&amp;sourceID=14","57500000")</f>
        <v>57500000</v>
      </c>
      <c r="G4873" s="4" t="str">
        <f>HYPERLINK("http://141.218.60.56/~jnz1568/getInfo.php?workbook=10_05.xlsx&amp;sheet=A0&amp;row=4873&amp;col=7&amp;number=0&amp;sourceID=14","0")</f>
        <v>0</v>
      </c>
    </row>
    <row r="4874" spans="1:7">
      <c r="A4874" s="3">
        <v>10</v>
      </c>
      <c r="B4874" s="3">
        <v>5</v>
      </c>
      <c r="C4874" s="3">
        <v>115</v>
      </c>
      <c r="D4874" s="3">
        <v>113</v>
      </c>
      <c r="E4874" s="3">
        <v>-17262.245</v>
      </c>
      <c r="F4874" s="4" t="str">
        <f>HYPERLINK("http://141.218.60.56/~jnz1568/getInfo.php?workbook=10_05.xlsx&amp;sheet=A0&amp;row=4874&amp;col=6&amp;number=53.3&amp;sourceID=14","53.3")</f>
        <v>53.3</v>
      </c>
      <c r="G4874" s="4" t="str">
        <f>HYPERLINK("http://141.218.60.56/~jnz1568/getInfo.php?workbook=10_05.xlsx&amp;sheet=A0&amp;row=4874&amp;col=7&amp;number=0&amp;sourceID=14","0")</f>
        <v>0</v>
      </c>
    </row>
    <row r="4875" spans="1:7">
      <c r="A4875" s="3">
        <v>10</v>
      </c>
      <c r="B4875" s="3">
        <v>5</v>
      </c>
      <c r="C4875" s="3">
        <v>116</v>
      </c>
      <c r="D4875" s="3">
        <v>113</v>
      </c>
      <c r="E4875" s="3">
        <v>-14963.367</v>
      </c>
      <c r="F4875" s="4" t="str">
        <f>HYPERLINK("http://141.218.60.56/~jnz1568/getInfo.php?workbook=10_05.xlsx&amp;sheet=A0&amp;row=4875&amp;col=6&amp;number=1520&amp;sourceID=14","1520")</f>
        <v>1520</v>
      </c>
      <c r="G4875" s="4" t="str">
        <f>HYPERLINK("http://141.218.60.56/~jnz1568/getInfo.php?workbook=10_05.xlsx&amp;sheet=A0&amp;row=4875&amp;col=7&amp;number=0&amp;sourceID=14","0")</f>
        <v>0</v>
      </c>
    </row>
    <row r="4876" spans="1:7">
      <c r="A4876" s="3">
        <v>10</v>
      </c>
      <c r="B4876" s="3">
        <v>5</v>
      </c>
      <c r="C4876" s="3">
        <v>117</v>
      </c>
      <c r="D4876" s="3">
        <v>113</v>
      </c>
      <c r="E4876" s="3">
        <v>-14478.092</v>
      </c>
      <c r="F4876" s="4" t="str">
        <f>HYPERLINK("http://141.218.60.56/~jnz1568/getInfo.php?workbook=10_05.xlsx&amp;sheet=A0&amp;row=4876&amp;col=6&amp;number=2.49&amp;sourceID=14","2.49")</f>
        <v>2.49</v>
      </c>
      <c r="G4876" s="4" t="str">
        <f>HYPERLINK("http://141.218.60.56/~jnz1568/getInfo.php?workbook=10_05.xlsx&amp;sheet=A0&amp;row=4876&amp;col=7&amp;number=0&amp;sourceID=14","0")</f>
        <v>0</v>
      </c>
    </row>
    <row r="4877" spans="1:7">
      <c r="A4877" s="3">
        <v>10</v>
      </c>
      <c r="B4877" s="3">
        <v>5</v>
      </c>
      <c r="C4877" s="3">
        <v>118</v>
      </c>
      <c r="D4877" s="3">
        <v>113</v>
      </c>
      <c r="E4877" s="3">
        <v>-14310.272</v>
      </c>
      <c r="F4877" s="4" t="str">
        <f>HYPERLINK("http://141.218.60.56/~jnz1568/getInfo.php?workbook=10_05.xlsx&amp;sheet=A0&amp;row=4877&amp;col=6&amp;number=56.2&amp;sourceID=14","56.2")</f>
        <v>56.2</v>
      </c>
      <c r="G4877" s="4" t="str">
        <f>HYPERLINK("http://141.218.60.56/~jnz1568/getInfo.php?workbook=10_05.xlsx&amp;sheet=A0&amp;row=4877&amp;col=7&amp;number=0&amp;sourceID=14","0")</f>
        <v>0</v>
      </c>
    </row>
    <row r="4878" spans="1:7">
      <c r="A4878" s="3">
        <v>10</v>
      </c>
      <c r="B4878" s="3">
        <v>5</v>
      </c>
      <c r="C4878" s="3">
        <v>121</v>
      </c>
      <c r="D4878" s="3">
        <v>113</v>
      </c>
      <c r="E4878" s="3">
        <v>-9594.184</v>
      </c>
      <c r="F4878" s="4" t="str">
        <f>HYPERLINK("http://141.218.60.56/~jnz1568/getInfo.php?workbook=10_05.xlsx&amp;sheet=A0&amp;row=4878&amp;col=6&amp;number=855&amp;sourceID=14","855")</f>
        <v>855</v>
      </c>
      <c r="G4878" s="4" t="str">
        <f>HYPERLINK("http://141.218.60.56/~jnz1568/getInfo.php?workbook=10_05.xlsx&amp;sheet=A0&amp;row=4878&amp;col=7&amp;number=0&amp;sourceID=14","0")</f>
        <v>0</v>
      </c>
    </row>
    <row r="4879" spans="1:7">
      <c r="A4879" s="3">
        <v>10</v>
      </c>
      <c r="B4879" s="3">
        <v>5</v>
      </c>
      <c r="C4879" s="3">
        <v>122</v>
      </c>
      <c r="D4879" s="3">
        <v>113</v>
      </c>
      <c r="E4879" s="3">
        <v>-9265.282</v>
      </c>
      <c r="F4879" s="4" t="str">
        <f>HYPERLINK("http://141.218.60.56/~jnz1568/getInfo.php?workbook=10_05.xlsx&amp;sheet=A0&amp;row=4879&amp;col=6&amp;number=18.7&amp;sourceID=14","18.7")</f>
        <v>18.7</v>
      </c>
      <c r="G4879" s="4" t="str">
        <f>HYPERLINK("http://141.218.60.56/~jnz1568/getInfo.php?workbook=10_05.xlsx&amp;sheet=A0&amp;row=4879&amp;col=7&amp;number=0&amp;sourceID=14","0")</f>
        <v>0</v>
      </c>
    </row>
    <row r="4880" spans="1:7">
      <c r="A4880" s="3">
        <v>10</v>
      </c>
      <c r="B4880" s="3">
        <v>5</v>
      </c>
      <c r="C4880" s="3">
        <v>123</v>
      </c>
      <c r="D4880" s="3">
        <v>113</v>
      </c>
      <c r="E4880" s="3">
        <v>-9019.589</v>
      </c>
      <c r="F4880" s="4" t="str">
        <f>HYPERLINK("http://141.218.60.56/~jnz1568/getInfo.php?workbook=10_05.xlsx&amp;sheet=A0&amp;row=4880&amp;col=6&amp;number=1820&amp;sourceID=14","1820")</f>
        <v>1820</v>
      </c>
      <c r="G4880" s="4" t="str">
        <f>HYPERLINK("http://141.218.60.56/~jnz1568/getInfo.php?workbook=10_05.xlsx&amp;sheet=A0&amp;row=4880&amp;col=7&amp;number=0&amp;sourceID=14","0")</f>
        <v>0</v>
      </c>
    </row>
    <row r="4881" spans="1:7">
      <c r="A4881" s="3">
        <v>10</v>
      </c>
      <c r="B4881" s="3">
        <v>5</v>
      </c>
      <c r="C4881" s="3">
        <v>124</v>
      </c>
      <c r="D4881" s="3">
        <v>113</v>
      </c>
      <c r="E4881" s="3">
        <v>-8824.584</v>
      </c>
      <c r="F4881" s="4" t="str">
        <f>HYPERLINK("http://141.218.60.56/~jnz1568/getInfo.php?workbook=10_05.xlsx&amp;sheet=A0&amp;row=4881&amp;col=6&amp;number=0.803&amp;sourceID=14","0.803")</f>
        <v>0.803</v>
      </c>
      <c r="G4881" s="4" t="str">
        <f>HYPERLINK("http://141.218.60.56/~jnz1568/getInfo.php?workbook=10_05.xlsx&amp;sheet=A0&amp;row=4881&amp;col=7&amp;number=0&amp;sourceID=14","0")</f>
        <v>0</v>
      </c>
    </row>
    <row r="4882" spans="1:7">
      <c r="A4882" s="3">
        <v>10</v>
      </c>
      <c r="B4882" s="3">
        <v>5</v>
      </c>
      <c r="C4882" s="3">
        <v>126</v>
      </c>
      <c r="D4882" s="3">
        <v>113</v>
      </c>
      <c r="E4882" s="3">
        <v>-8002.576</v>
      </c>
      <c r="F4882" s="4" t="str">
        <f>HYPERLINK("http://141.218.60.56/~jnz1568/getInfo.php?workbook=10_05.xlsx&amp;sheet=A0&amp;row=4882&amp;col=6&amp;number=101000&amp;sourceID=14","101000")</f>
        <v>101000</v>
      </c>
      <c r="G4882" s="4" t="str">
        <f>HYPERLINK("http://141.218.60.56/~jnz1568/getInfo.php?workbook=10_05.xlsx&amp;sheet=A0&amp;row=4882&amp;col=7&amp;number=0&amp;sourceID=14","0")</f>
        <v>0</v>
      </c>
    </row>
    <row r="4883" spans="1:7">
      <c r="A4883" s="3">
        <v>10</v>
      </c>
      <c r="B4883" s="3">
        <v>5</v>
      </c>
      <c r="C4883" s="3">
        <v>129</v>
      </c>
      <c r="D4883" s="3">
        <v>113</v>
      </c>
      <c r="E4883" s="3">
        <v>6544.515</v>
      </c>
      <c r="F4883" s="4" t="str">
        <f>HYPERLINK("http://141.218.60.56/~jnz1568/getInfo.php?workbook=10_05.xlsx&amp;sheet=A0&amp;row=4883&amp;col=6&amp;number=185&amp;sourceID=14","185")</f>
        <v>185</v>
      </c>
      <c r="G4883" s="4" t="str">
        <f>HYPERLINK("http://141.218.60.56/~jnz1568/getInfo.php?workbook=10_05.xlsx&amp;sheet=A0&amp;row=4883&amp;col=7&amp;number=0&amp;sourceID=14","0")</f>
        <v>0</v>
      </c>
    </row>
    <row r="4884" spans="1:7">
      <c r="A4884" s="3">
        <v>10</v>
      </c>
      <c r="B4884" s="3">
        <v>5</v>
      </c>
      <c r="C4884" s="3">
        <v>130</v>
      </c>
      <c r="D4884" s="3">
        <v>113</v>
      </c>
      <c r="E4884" s="3">
        <v>6544.515</v>
      </c>
      <c r="F4884" s="4" t="str">
        <f>HYPERLINK("http://141.218.60.56/~jnz1568/getInfo.php?workbook=10_05.xlsx&amp;sheet=A0&amp;row=4884&amp;col=6&amp;number=14600&amp;sourceID=14","14600")</f>
        <v>14600</v>
      </c>
      <c r="G4884" s="4" t="str">
        <f>HYPERLINK("http://141.218.60.56/~jnz1568/getInfo.php?workbook=10_05.xlsx&amp;sheet=A0&amp;row=4884&amp;col=7&amp;number=0&amp;sourceID=14","0")</f>
        <v>0</v>
      </c>
    </row>
    <row r="4885" spans="1:7">
      <c r="A4885" s="3">
        <v>10</v>
      </c>
      <c r="B4885" s="3">
        <v>5</v>
      </c>
      <c r="C4885" s="3">
        <v>132</v>
      </c>
      <c r="D4885" s="3">
        <v>113</v>
      </c>
      <c r="E4885" s="3">
        <v>-6250.011</v>
      </c>
      <c r="F4885" s="4" t="str">
        <f>HYPERLINK("http://141.218.60.56/~jnz1568/getInfo.php?workbook=10_05.xlsx&amp;sheet=A0&amp;row=4885&amp;col=6&amp;number=43.1&amp;sourceID=14","43.1")</f>
        <v>43.1</v>
      </c>
      <c r="G4885" s="4" t="str">
        <f>HYPERLINK("http://141.218.60.56/~jnz1568/getInfo.php?workbook=10_05.xlsx&amp;sheet=A0&amp;row=4885&amp;col=7&amp;number=0&amp;sourceID=14","0")</f>
        <v>0</v>
      </c>
    </row>
    <row r="4886" spans="1:7">
      <c r="A4886" s="3">
        <v>10</v>
      </c>
      <c r="B4886" s="3">
        <v>5</v>
      </c>
      <c r="C4886" s="3">
        <v>133</v>
      </c>
      <c r="D4886" s="3">
        <v>113</v>
      </c>
      <c r="E4886" s="3">
        <v>-6169.804</v>
      </c>
      <c r="F4886" s="4" t="str">
        <f>HYPERLINK("http://141.218.60.56/~jnz1568/getInfo.php?workbook=10_05.xlsx&amp;sheet=A0&amp;row=4886&amp;col=6&amp;number=2000&amp;sourceID=14","2000")</f>
        <v>2000</v>
      </c>
      <c r="G4886" s="4" t="str">
        <f>HYPERLINK("http://141.218.60.56/~jnz1568/getInfo.php?workbook=10_05.xlsx&amp;sheet=A0&amp;row=4886&amp;col=7&amp;number=0&amp;sourceID=14","0")</f>
        <v>0</v>
      </c>
    </row>
    <row r="4887" spans="1:7">
      <c r="A4887" s="3">
        <v>10</v>
      </c>
      <c r="B4887" s="3">
        <v>5</v>
      </c>
      <c r="C4887" s="3">
        <v>138</v>
      </c>
      <c r="D4887" s="3">
        <v>113</v>
      </c>
      <c r="E4887" s="3">
        <v>-5163.165</v>
      </c>
      <c r="F4887" s="4" t="str">
        <f>HYPERLINK("http://141.218.60.56/~jnz1568/getInfo.php?workbook=10_05.xlsx&amp;sheet=A0&amp;row=4887&amp;col=6&amp;number=3020&amp;sourceID=14","3020")</f>
        <v>3020</v>
      </c>
      <c r="G4887" s="4" t="str">
        <f>HYPERLINK("http://141.218.60.56/~jnz1568/getInfo.php?workbook=10_05.xlsx&amp;sheet=A0&amp;row=4887&amp;col=7&amp;number=0&amp;sourceID=14","0")</f>
        <v>0</v>
      </c>
    </row>
    <row r="4888" spans="1:7">
      <c r="A4888" s="3">
        <v>10</v>
      </c>
      <c r="B4888" s="3">
        <v>5</v>
      </c>
      <c r="C4888" s="3">
        <v>150</v>
      </c>
      <c r="D4888" s="3">
        <v>113</v>
      </c>
      <c r="E4888" s="3">
        <v>-3573.605</v>
      </c>
      <c r="F4888" s="4" t="str">
        <f>HYPERLINK("http://141.218.60.56/~jnz1568/getInfo.php?workbook=10_05.xlsx&amp;sheet=A0&amp;row=4888&amp;col=6&amp;number=1150000&amp;sourceID=14","1150000")</f>
        <v>1150000</v>
      </c>
      <c r="G4888" s="4" t="str">
        <f>HYPERLINK("http://141.218.60.56/~jnz1568/getInfo.php?workbook=10_05.xlsx&amp;sheet=A0&amp;row=4888&amp;col=7&amp;number=0&amp;sourceID=14","0")</f>
        <v>0</v>
      </c>
    </row>
    <row r="4889" spans="1:7">
      <c r="A4889" s="3">
        <v>10</v>
      </c>
      <c r="B4889" s="3">
        <v>5</v>
      </c>
      <c r="C4889" s="3">
        <v>151</v>
      </c>
      <c r="D4889" s="3">
        <v>113</v>
      </c>
      <c r="E4889" s="3">
        <v>-3570.798</v>
      </c>
      <c r="F4889" s="4" t="str">
        <f>HYPERLINK("http://141.218.60.56/~jnz1568/getInfo.php?workbook=10_05.xlsx&amp;sheet=A0&amp;row=4889&amp;col=6&amp;number=11400000&amp;sourceID=14","11400000")</f>
        <v>11400000</v>
      </c>
      <c r="G4889" s="4" t="str">
        <f>HYPERLINK("http://141.218.60.56/~jnz1568/getInfo.php?workbook=10_05.xlsx&amp;sheet=A0&amp;row=4889&amp;col=7&amp;number=0&amp;sourceID=14","0")</f>
        <v>0</v>
      </c>
    </row>
    <row r="4890" spans="1:7">
      <c r="A4890" s="3">
        <v>10</v>
      </c>
      <c r="B4890" s="3">
        <v>5</v>
      </c>
      <c r="C4890" s="3">
        <v>154</v>
      </c>
      <c r="D4890" s="3">
        <v>113</v>
      </c>
      <c r="E4890" s="3">
        <v>3200.006</v>
      </c>
      <c r="F4890" s="4" t="str">
        <f>HYPERLINK("http://141.218.60.56/~jnz1568/getInfo.php?workbook=10_05.xlsx&amp;sheet=A0&amp;row=4890&amp;col=6&amp;number=58900000&amp;sourceID=14","58900000")</f>
        <v>58900000</v>
      </c>
      <c r="G4890" s="4" t="str">
        <f>HYPERLINK("http://141.218.60.56/~jnz1568/getInfo.php?workbook=10_05.xlsx&amp;sheet=A0&amp;row=4890&amp;col=7&amp;number=0&amp;sourceID=14","0")</f>
        <v>0</v>
      </c>
    </row>
    <row r="4891" spans="1:7">
      <c r="A4891" s="3">
        <v>10</v>
      </c>
      <c r="B4891" s="3">
        <v>5</v>
      </c>
      <c r="C4891" s="3">
        <v>155</v>
      </c>
      <c r="D4891" s="3">
        <v>113</v>
      </c>
      <c r="E4891" s="3">
        <v>3200.006</v>
      </c>
      <c r="F4891" s="4" t="str">
        <f>HYPERLINK("http://141.218.60.56/~jnz1568/getInfo.php?workbook=10_05.xlsx&amp;sheet=A0&amp;row=4891&amp;col=6&amp;number=1280000&amp;sourceID=14","1280000")</f>
        <v>1280000</v>
      </c>
      <c r="G4891" s="4" t="str">
        <f>HYPERLINK("http://141.218.60.56/~jnz1568/getInfo.php?workbook=10_05.xlsx&amp;sheet=A0&amp;row=4891&amp;col=7&amp;number=0&amp;sourceID=14","0")</f>
        <v>0</v>
      </c>
    </row>
    <row r="4892" spans="1:7">
      <c r="A4892" s="3">
        <v>10</v>
      </c>
      <c r="B4892" s="3">
        <v>5</v>
      </c>
      <c r="C4892" s="3">
        <v>156</v>
      </c>
      <c r="D4892" s="3">
        <v>113</v>
      </c>
      <c r="E4892" s="3">
        <v>-3114.979</v>
      </c>
      <c r="F4892" s="4" t="str">
        <f>HYPERLINK("http://141.218.60.56/~jnz1568/getInfo.php?workbook=10_05.xlsx&amp;sheet=A0&amp;row=4892&amp;col=6&amp;number=1220000&amp;sourceID=14","1220000")</f>
        <v>1220000</v>
      </c>
      <c r="G4892" s="4" t="str">
        <f>HYPERLINK("http://141.218.60.56/~jnz1568/getInfo.php?workbook=10_05.xlsx&amp;sheet=A0&amp;row=4892&amp;col=7&amp;number=0&amp;sourceID=14","0")</f>
        <v>0</v>
      </c>
    </row>
    <row r="4893" spans="1:7">
      <c r="A4893" s="3">
        <v>10</v>
      </c>
      <c r="B4893" s="3">
        <v>5</v>
      </c>
      <c r="C4893" s="3">
        <v>157</v>
      </c>
      <c r="D4893" s="3">
        <v>113</v>
      </c>
      <c r="E4893" s="3">
        <v>-3097.707</v>
      </c>
      <c r="F4893" s="4" t="str">
        <f>HYPERLINK("http://141.218.60.56/~jnz1568/getInfo.php?workbook=10_05.xlsx&amp;sheet=A0&amp;row=4893&amp;col=6&amp;number=10600000&amp;sourceID=14","10600000")</f>
        <v>10600000</v>
      </c>
      <c r="G4893" s="4" t="str">
        <f>HYPERLINK("http://141.218.60.56/~jnz1568/getInfo.php?workbook=10_05.xlsx&amp;sheet=A0&amp;row=4893&amp;col=7&amp;number=0&amp;sourceID=14","0")</f>
        <v>0</v>
      </c>
    </row>
    <row r="4894" spans="1:7">
      <c r="A4894" s="3">
        <v>10</v>
      </c>
      <c r="B4894" s="3">
        <v>5</v>
      </c>
      <c r="C4894" s="3">
        <v>162</v>
      </c>
      <c r="D4894" s="3">
        <v>113</v>
      </c>
      <c r="E4894" s="3">
        <v>2929.121</v>
      </c>
      <c r="F4894" s="4" t="str">
        <f>HYPERLINK("http://141.218.60.56/~jnz1568/getInfo.php?workbook=10_05.xlsx&amp;sheet=A0&amp;row=4894&amp;col=6&amp;number=20600000&amp;sourceID=14","20600000")</f>
        <v>20600000</v>
      </c>
      <c r="G4894" s="4" t="str">
        <f>HYPERLINK("http://141.218.60.56/~jnz1568/getInfo.php?workbook=10_05.xlsx&amp;sheet=A0&amp;row=4894&amp;col=7&amp;number=0&amp;sourceID=14","0")</f>
        <v>0</v>
      </c>
    </row>
    <row r="4895" spans="1:7">
      <c r="A4895" s="3">
        <v>10</v>
      </c>
      <c r="B4895" s="3">
        <v>5</v>
      </c>
      <c r="C4895" s="3">
        <v>168</v>
      </c>
      <c r="D4895" s="3">
        <v>113</v>
      </c>
      <c r="E4895" s="3">
        <v>-874.257</v>
      </c>
      <c r="F4895" s="4" t="str">
        <f>HYPERLINK("http://141.218.60.56/~jnz1568/getInfo.php?workbook=10_05.xlsx&amp;sheet=A0&amp;row=4895&amp;col=6&amp;number=27800000&amp;sourceID=14","27800000")</f>
        <v>27800000</v>
      </c>
      <c r="G4895" s="4" t="str">
        <f>HYPERLINK("http://141.218.60.56/~jnz1568/getInfo.php?workbook=10_05.xlsx&amp;sheet=A0&amp;row=4895&amp;col=7&amp;number=0&amp;sourceID=14","0")</f>
        <v>0</v>
      </c>
    </row>
    <row r="4896" spans="1:7">
      <c r="A4896" s="3">
        <v>10</v>
      </c>
      <c r="B4896" s="3">
        <v>5</v>
      </c>
      <c r="C4896" s="3">
        <v>169</v>
      </c>
      <c r="D4896" s="3">
        <v>113</v>
      </c>
      <c r="E4896" s="3">
        <v>-873.891</v>
      </c>
      <c r="F4896" s="4" t="str">
        <f>HYPERLINK("http://141.218.60.56/~jnz1568/getInfo.php?workbook=10_05.xlsx&amp;sheet=A0&amp;row=4896&amp;col=6&amp;number=3760000&amp;sourceID=14","3760000")</f>
        <v>3760000</v>
      </c>
      <c r="G4896" s="4" t="str">
        <f>HYPERLINK("http://141.218.60.56/~jnz1568/getInfo.php?workbook=10_05.xlsx&amp;sheet=A0&amp;row=4896&amp;col=7&amp;number=0&amp;sourceID=14","0")</f>
        <v>0</v>
      </c>
    </row>
    <row r="4897" spans="1:7">
      <c r="A4897" s="3">
        <v>10</v>
      </c>
      <c r="B4897" s="3">
        <v>5</v>
      </c>
      <c r="C4897" s="3">
        <v>171</v>
      </c>
      <c r="D4897" s="3">
        <v>113</v>
      </c>
      <c r="E4897" s="3">
        <v>-807.124</v>
      </c>
      <c r="F4897" s="4" t="str">
        <f>HYPERLINK("http://141.218.60.56/~jnz1568/getInfo.php?workbook=10_05.xlsx&amp;sheet=A0&amp;row=4897&amp;col=6&amp;number=24000000&amp;sourceID=14","24000000")</f>
        <v>24000000</v>
      </c>
      <c r="G4897" s="4" t="str">
        <f>HYPERLINK("http://141.218.60.56/~jnz1568/getInfo.php?workbook=10_05.xlsx&amp;sheet=A0&amp;row=4897&amp;col=7&amp;number=0&amp;sourceID=14","0")</f>
        <v>0</v>
      </c>
    </row>
    <row r="4898" spans="1:7">
      <c r="A4898" s="3">
        <v>10</v>
      </c>
      <c r="B4898" s="3">
        <v>5</v>
      </c>
      <c r="C4898" s="3">
        <v>172</v>
      </c>
      <c r="D4898" s="3">
        <v>113</v>
      </c>
      <c r="E4898" s="3">
        <v>-794.617</v>
      </c>
      <c r="F4898" s="4" t="str">
        <f>HYPERLINK("http://141.218.60.56/~jnz1568/getInfo.php?workbook=10_05.xlsx&amp;sheet=A0&amp;row=4898&amp;col=6&amp;number=2270000&amp;sourceID=14","2270000")</f>
        <v>2270000</v>
      </c>
      <c r="G4898" s="4" t="str">
        <f>HYPERLINK("http://141.218.60.56/~jnz1568/getInfo.php?workbook=10_05.xlsx&amp;sheet=A0&amp;row=4898&amp;col=7&amp;number=0&amp;sourceID=14","0")</f>
        <v>0</v>
      </c>
    </row>
    <row r="4899" spans="1:7">
      <c r="A4899" s="3">
        <v>10</v>
      </c>
      <c r="B4899" s="3">
        <v>5</v>
      </c>
      <c r="C4899" s="3">
        <v>173</v>
      </c>
      <c r="D4899" s="3">
        <v>113</v>
      </c>
      <c r="E4899" s="3">
        <v>-794.472</v>
      </c>
      <c r="F4899" s="4" t="str">
        <f>HYPERLINK("http://141.218.60.56/~jnz1568/getInfo.php?workbook=10_05.xlsx&amp;sheet=A0&amp;row=4899&amp;col=6&amp;number=18700000&amp;sourceID=14","18700000")</f>
        <v>18700000</v>
      </c>
      <c r="G4899" s="4" t="str">
        <f>HYPERLINK("http://141.218.60.56/~jnz1568/getInfo.php?workbook=10_05.xlsx&amp;sheet=A0&amp;row=4899&amp;col=7&amp;number=0&amp;sourceID=14","0")</f>
        <v>0</v>
      </c>
    </row>
    <row r="4900" spans="1:7">
      <c r="A4900" s="3">
        <v>10</v>
      </c>
      <c r="B4900" s="3">
        <v>5</v>
      </c>
      <c r="C4900" s="3">
        <v>115</v>
      </c>
      <c r="D4900" s="3">
        <v>114</v>
      </c>
      <c r="E4900" s="3">
        <v>-17494.784</v>
      </c>
      <c r="F4900" s="4" t="str">
        <f>HYPERLINK("http://141.218.60.56/~jnz1568/getInfo.php?workbook=10_05.xlsx&amp;sheet=A0&amp;row=4900&amp;col=6&amp;number=892&amp;sourceID=14","892")</f>
        <v>892</v>
      </c>
      <c r="G4900" s="4" t="str">
        <f>HYPERLINK("http://141.218.60.56/~jnz1568/getInfo.php?workbook=10_05.xlsx&amp;sheet=A0&amp;row=4900&amp;col=7&amp;number=0&amp;sourceID=14","0")</f>
        <v>0</v>
      </c>
    </row>
    <row r="4901" spans="1:7">
      <c r="A4901" s="3">
        <v>10</v>
      </c>
      <c r="B4901" s="3">
        <v>5</v>
      </c>
      <c r="C4901" s="3">
        <v>117</v>
      </c>
      <c r="D4901" s="3">
        <v>114</v>
      </c>
      <c r="E4901" s="3">
        <v>-14641.315</v>
      </c>
      <c r="F4901" s="4" t="str">
        <f>HYPERLINK("http://141.218.60.56/~jnz1568/getInfo.php?workbook=10_05.xlsx&amp;sheet=A0&amp;row=4901&amp;col=6&amp;number=0.0589&amp;sourceID=14","0.0589")</f>
        <v>0.0589</v>
      </c>
      <c r="G4901" s="4" t="str">
        <f>HYPERLINK("http://141.218.60.56/~jnz1568/getInfo.php?workbook=10_05.xlsx&amp;sheet=A0&amp;row=4901&amp;col=7&amp;number=0&amp;sourceID=14","0")</f>
        <v>0</v>
      </c>
    </row>
    <row r="4902" spans="1:7">
      <c r="A4902" s="3">
        <v>10</v>
      </c>
      <c r="B4902" s="3">
        <v>5</v>
      </c>
      <c r="C4902" s="3">
        <v>118</v>
      </c>
      <c r="D4902" s="3">
        <v>114</v>
      </c>
      <c r="E4902" s="3">
        <v>-14469.713</v>
      </c>
      <c r="F4902" s="4" t="str">
        <f>HYPERLINK("http://141.218.60.56/~jnz1568/getInfo.php?workbook=10_05.xlsx&amp;sheet=A0&amp;row=4902&amp;col=6&amp;number=1.98&amp;sourceID=14","1.98")</f>
        <v>1.98</v>
      </c>
      <c r="G4902" s="4" t="str">
        <f>HYPERLINK("http://141.218.60.56/~jnz1568/getInfo.php?workbook=10_05.xlsx&amp;sheet=A0&amp;row=4902&amp;col=7&amp;number=0&amp;sourceID=14","0")</f>
        <v>0</v>
      </c>
    </row>
    <row r="4903" spans="1:7">
      <c r="A4903" s="3">
        <v>10</v>
      </c>
      <c r="B4903" s="3">
        <v>5</v>
      </c>
      <c r="C4903" s="3">
        <v>119</v>
      </c>
      <c r="D4903" s="3">
        <v>114</v>
      </c>
      <c r="E4903" s="3">
        <v>-14365.778</v>
      </c>
      <c r="F4903" s="4" t="str">
        <f>HYPERLINK("http://141.218.60.56/~jnz1568/getInfo.php?workbook=10_05.xlsx&amp;sheet=A0&amp;row=4903&amp;col=6&amp;number=20.6&amp;sourceID=14","20.6")</f>
        <v>20.6</v>
      </c>
      <c r="G4903" s="4" t="str">
        <f>HYPERLINK("http://141.218.60.56/~jnz1568/getInfo.php?workbook=10_05.xlsx&amp;sheet=A0&amp;row=4903&amp;col=7&amp;number=0&amp;sourceID=14","0")</f>
        <v>0</v>
      </c>
    </row>
    <row r="4904" spans="1:7">
      <c r="A4904" s="3">
        <v>10</v>
      </c>
      <c r="B4904" s="3">
        <v>5</v>
      </c>
      <c r="C4904" s="3">
        <v>120</v>
      </c>
      <c r="D4904" s="3">
        <v>114</v>
      </c>
      <c r="E4904" s="3">
        <v>-9879.489</v>
      </c>
      <c r="F4904" s="4" t="str">
        <f>HYPERLINK("http://141.218.60.56/~jnz1568/getInfo.php?workbook=10_05.xlsx&amp;sheet=A0&amp;row=4904&amp;col=6&amp;number=2260&amp;sourceID=14","2260")</f>
        <v>2260</v>
      </c>
      <c r="G4904" s="4" t="str">
        <f>HYPERLINK("http://141.218.60.56/~jnz1568/getInfo.php?workbook=10_05.xlsx&amp;sheet=A0&amp;row=4904&amp;col=7&amp;number=0&amp;sourceID=14","0")</f>
        <v>0</v>
      </c>
    </row>
    <row r="4905" spans="1:7">
      <c r="A4905" s="3">
        <v>10</v>
      </c>
      <c r="B4905" s="3">
        <v>5</v>
      </c>
      <c r="C4905" s="3">
        <v>121</v>
      </c>
      <c r="D4905" s="3">
        <v>114</v>
      </c>
      <c r="E4905" s="3">
        <v>-9665.589</v>
      </c>
      <c r="F4905" s="4" t="str">
        <f>HYPERLINK("http://141.218.60.56/~jnz1568/getInfo.php?workbook=10_05.xlsx&amp;sheet=A0&amp;row=4905&amp;col=6&amp;number=77.8&amp;sourceID=14","77.8")</f>
        <v>77.8</v>
      </c>
      <c r="G4905" s="4" t="str">
        <f>HYPERLINK("http://141.218.60.56/~jnz1568/getInfo.php?workbook=10_05.xlsx&amp;sheet=A0&amp;row=4905&amp;col=7&amp;number=0&amp;sourceID=14","0")</f>
        <v>0</v>
      </c>
    </row>
    <row r="4906" spans="1:7">
      <c r="A4906" s="3">
        <v>10</v>
      </c>
      <c r="B4906" s="3">
        <v>5</v>
      </c>
      <c r="C4906" s="3">
        <v>122</v>
      </c>
      <c r="D4906" s="3">
        <v>114</v>
      </c>
      <c r="E4906" s="3">
        <v>-9331.857</v>
      </c>
      <c r="F4906" s="4" t="str">
        <f>HYPERLINK("http://141.218.60.56/~jnz1568/getInfo.php?workbook=10_05.xlsx&amp;sheet=A0&amp;row=4906&amp;col=6&amp;number=3.81&amp;sourceID=14","3.81")</f>
        <v>3.81</v>
      </c>
      <c r="G4906" s="4" t="str">
        <f>HYPERLINK("http://141.218.60.56/~jnz1568/getInfo.php?workbook=10_05.xlsx&amp;sheet=A0&amp;row=4906&amp;col=7&amp;number=0&amp;sourceID=14","0")</f>
        <v>0</v>
      </c>
    </row>
    <row r="4907" spans="1:7">
      <c r="A4907" s="3">
        <v>10</v>
      </c>
      <c r="B4907" s="3">
        <v>5</v>
      </c>
      <c r="C4907" s="3">
        <v>123</v>
      </c>
      <c r="D4907" s="3">
        <v>114</v>
      </c>
      <c r="E4907" s="3">
        <v>-9082.669</v>
      </c>
      <c r="F4907" s="4" t="str">
        <f>HYPERLINK("http://141.218.60.56/~jnz1568/getInfo.php?workbook=10_05.xlsx&amp;sheet=A0&amp;row=4907&amp;col=6&amp;number=27.4&amp;sourceID=14","27.4")</f>
        <v>27.4</v>
      </c>
      <c r="G4907" s="4" t="str">
        <f>HYPERLINK("http://141.218.60.56/~jnz1568/getInfo.php?workbook=10_05.xlsx&amp;sheet=A0&amp;row=4907&amp;col=7&amp;number=0&amp;sourceID=14","0")</f>
        <v>0</v>
      </c>
    </row>
    <row r="4908" spans="1:7">
      <c r="A4908" s="3">
        <v>10</v>
      </c>
      <c r="B4908" s="3">
        <v>5</v>
      </c>
      <c r="C4908" s="3">
        <v>125</v>
      </c>
      <c r="D4908" s="3">
        <v>114</v>
      </c>
      <c r="E4908" s="3">
        <v>-8234.534</v>
      </c>
      <c r="F4908" s="4" t="str">
        <f>HYPERLINK("http://141.218.60.56/~jnz1568/getInfo.php?workbook=10_05.xlsx&amp;sheet=A0&amp;row=4908&amp;col=6&amp;number=115000&amp;sourceID=14","115000")</f>
        <v>115000</v>
      </c>
      <c r="G4908" s="4" t="str">
        <f>HYPERLINK("http://141.218.60.56/~jnz1568/getInfo.php?workbook=10_05.xlsx&amp;sheet=A0&amp;row=4908&amp;col=7&amp;number=0&amp;sourceID=14","0")</f>
        <v>0</v>
      </c>
    </row>
    <row r="4909" spans="1:7">
      <c r="A4909" s="3">
        <v>10</v>
      </c>
      <c r="B4909" s="3">
        <v>5</v>
      </c>
      <c r="C4909" s="3">
        <v>126</v>
      </c>
      <c r="D4909" s="3">
        <v>114</v>
      </c>
      <c r="E4909" s="3">
        <v>-8052.193</v>
      </c>
      <c r="F4909" s="4" t="str">
        <f>HYPERLINK("http://141.218.60.56/~jnz1568/getInfo.php?workbook=10_05.xlsx&amp;sheet=A0&amp;row=4909&amp;col=6&amp;number=1700&amp;sourceID=14","1700")</f>
        <v>1700</v>
      </c>
      <c r="G4909" s="4" t="str">
        <f>HYPERLINK("http://141.218.60.56/~jnz1568/getInfo.php?workbook=10_05.xlsx&amp;sheet=A0&amp;row=4909&amp;col=7&amp;number=0&amp;sourceID=14","0")</f>
        <v>0</v>
      </c>
    </row>
    <row r="4910" spans="1:7">
      <c r="A4910" s="3">
        <v>10</v>
      </c>
      <c r="B4910" s="3">
        <v>5</v>
      </c>
      <c r="C4910" s="3">
        <v>129</v>
      </c>
      <c r="D4910" s="3">
        <v>114</v>
      </c>
      <c r="E4910" s="3">
        <v>6544.515</v>
      </c>
      <c r="F4910" s="4" t="str">
        <f>HYPERLINK("http://141.218.60.56/~jnz1568/getInfo.php?workbook=10_05.xlsx&amp;sheet=A0&amp;row=4910&amp;col=6&amp;number=14500&amp;sourceID=14","14500")</f>
        <v>14500</v>
      </c>
      <c r="G4910" s="4" t="str">
        <f>HYPERLINK("http://141.218.60.56/~jnz1568/getInfo.php?workbook=10_05.xlsx&amp;sheet=A0&amp;row=4910&amp;col=7&amp;number=0&amp;sourceID=14","0")</f>
        <v>0</v>
      </c>
    </row>
    <row r="4911" spans="1:7">
      <c r="A4911" s="3">
        <v>10</v>
      </c>
      <c r="B4911" s="3">
        <v>5</v>
      </c>
      <c r="C4911" s="3">
        <v>130</v>
      </c>
      <c r="D4911" s="3">
        <v>114</v>
      </c>
      <c r="E4911" s="3">
        <v>6544.515</v>
      </c>
      <c r="F4911" s="4" t="str">
        <f>HYPERLINK("http://141.218.60.56/~jnz1568/getInfo.php?workbook=10_05.xlsx&amp;sheet=A0&amp;row=4911&amp;col=6&amp;number=5120&amp;sourceID=14","5120")</f>
        <v>5120</v>
      </c>
      <c r="G4911" s="4" t="str">
        <f>HYPERLINK("http://141.218.60.56/~jnz1568/getInfo.php?workbook=10_05.xlsx&amp;sheet=A0&amp;row=4911&amp;col=7&amp;number=0&amp;sourceID=14","0")</f>
        <v>0</v>
      </c>
    </row>
    <row r="4912" spans="1:7">
      <c r="A4912" s="3">
        <v>10</v>
      </c>
      <c r="B4912" s="3">
        <v>5</v>
      </c>
      <c r="C4912" s="3">
        <v>131</v>
      </c>
      <c r="D4912" s="3">
        <v>114</v>
      </c>
      <c r="E4912" s="3">
        <v>-6338.754</v>
      </c>
      <c r="F4912" s="4" t="str">
        <f>HYPERLINK("http://141.218.60.56/~jnz1568/getInfo.php?workbook=10_05.xlsx&amp;sheet=A0&amp;row=4912&amp;col=6&amp;number=30.6&amp;sourceID=14","30.6")</f>
        <v>30.6</v>
      </c>
      <c r="G4912" s="4" t="str">
        <f>HYPERLINK("http://141.218.60.56/~jnz1568/getInfo.php?workbook=10_05.xlsx&amp;sheet=A0&amp;row=4912&amp;col=7&amp;number=0&amp;sourceID=14","0")</f>
        <v>0</v>
      </c>
    </row>
    <row r="4913" spans="1:7">
      <c r="A4913" s="3">
        <v>10</v>
      </c>
      <c r="B4913" s="3">
        <v>5</v>
      </c>
      <c r="C4913" s="3">
        <v>132</v>
      </c>
      <c r="D4913" s="3">
        <v>114</v>
      </c>
      <c r="E4913" s="3">
        <v>-6280.235</v>
      </c>
      <c r="F4913" s="4" t="str">
        <f>HYPERLINK("http://141.218.60.56/~jnz1568/getInfo.php?workbook=10_05.xlsx&amp;sheet=A0&amp;row=4913&amp;col=6&amp;number=0.486&amp;sourceID=14","0.486")</f>
        <v>0.486</v>
      </c>
      <c r="G4913" s="4" t="str">
        <f>HYPERLINK("http://141.218.60.56/~jnz1568/getInfo.php?workbook=10_05.xlsx&amp;sheet=A0&amp;row=4913&amp;col=7&amp;number=0&amp;sourceID=14","0")</f>
        <v>0</v>
      </c>
    </row>
    <row r="4914" spans="1:7">
      <c r="A4914" s="3">
        <v>10</v>
      </c>
      <c r="B4914" s="3">
        <v>5</v>
      </c>
      <c r="C4914" s="3">
        <v>133</v>
      </c>
      <c r="D4914" s="3">
        <v>114</v>
      </c>
      <c r="E4914" s="3">
        <v>-6199.255</v>
      </c>
      <c r="F4914" s="4" t="str">
        <f>HYPERLINK("http://141.218.60.56/~jnz1568/getInfo.php?workbook=10_05.xlsx&amp;sheet=A0&amp;row=4914&amp;col=6&amp;number=1000&amp;sourceID=14","1000")</f>
        <v>1000</v>
      </c>
      <c r="G4914" s="4" t="str">
        <f>HYPERLINK("http://141.218.60.56/~jnz1568/getInfo.php?workbook=10_05.xlsx&amp;sheet=A0&amp;row=4914&amp;col=7&amp;number=0&amp;sourceID=14","0")</f>
        <v>0</v>
      </c>
    </row>
    <row r="4915" spans="1:7">
      <c r="A4915" s="3">
        <v>10</v>
      </c>
      <c r="B4915" s="3">
        <v>5</v>
      </c>
      <c r="C4915" s="3">
        <v>140</v>
      </c>
      <c r="D4915" s="3">
        <v>114</v>
      </c>
      <c r="E4915" s="3">
        <v>-4768.953</v>
      </c>
      <c r="F4915" s="4" t="str">
        <f>HYPERLINK("http://141.218.60.56/~jnz1568/getInfo.php?workbook=10_05.xlsx&amp;sheet=A0&amp;row=4915&amp;col=6&amp;number=8300&amp;sourceID=14","8300")</f>
        <v>8300</v>
      </c>
      <c r="G4915" s="4" t="str">
        <f>HYPERLINK("http://141.218.60.56/~jnz1568/getInfo.php?workbook=10_05.xlsx&amp;sheet=A0&amp;row=4915&amp;col=7&amp;number=0&amp;sourceID=14","0")</f>
        <v>0</v>
      </c>
    </row>
    <row r="4916" spans="1:7">
      <c r="A4916" s="3">
        <v>10</v>
      </c>
      <c r="B4916" s="3">
        <v>5</v>
      </c>
      <c r="C4916" s="3">
        <v>150</v>
      </c>
      <c r="D4916" s="3">
        <v>114</v>
      </c>
      <c r="E4916" s="3">
        <v>-3583.465</v>
      </c>
      <c r="F4916" s="4" t="str">
        <f>HYPERLINK("http://141.218.60.56/~jnz1568/getInfo.php?workbook=10_05.xlsx&amp;sheet=A0&amp;row=4916&amp;col=6&amp;number=9560000&amp;sourceID=14","9560000")</f>
        <v>9560000</v>
      </c>
      <c r="G4916" s="4" t="str">
        <f>HYPERLINK("http://141.218.60.56/~jnz1568/getInfo.php?workbook=10_05.xlsx&amp;sheet=A0&amp;row=4916&amp;col=7&amp;number=0&amp;sourceID=14","0")</f>
        <v>0</v>
      </c>
    </row>
    <row r="4917" spans="1:7">
      <c r="A4917" s="3">
        <v>10</v>
      </c>
      <c r="B4917" s="3">
        <v>5</v>
      </c>
      <c r="C4917" s="3">
        <v>151</v>
      </c>
      <c r="D4917" s="3">
        <v>114</v>
      </c>
      <c r="E4917" s="3">
        <v>-3580.643</v>
      </c>
      <c r="F4917" s="4" t="str">
        <f>HYPERLINK("http://141.218.60.56/~jnz1568/getInfo.php?workbook=10_05.xlsx&amp;sheet=A0&amp;row=4917&amp;col=6&amp;number=17400000&amp;sourceID=14","17400000")</f>
        <v>17400000</v>
      </c>
      <c r="G4917" s="4" t="str">
        <f>HYPERLINK("http://141.218.60.56/~jnz1568/getInfo.php?workbook=10_05.xlsx&amp;sheet=A0&amp;row=4917&amp;col=7&amp;number=0&amp;sourceID=14","0")</f>
        <v>0</v>
      </c>
    </row>
    <row r="4918" spans="1:7">
      <c r="A4918" s="3">
        <v>10</v>
      </c>
      <c r="B4918" s="3">
        <v>5</v>
      </c>
      <c r="C4918" s="3">
        <v>155</v>
      </c>
      <c r="D4918" s="3">
        <v>114</v>
      </c>
      <c r="E4918" s="3">
        <v>3200.006</v>
      </c>
      <c r="F4918" s="4" t="str">
        <f>HYPERLINK("http://141.218.60.56/~jnz1568/getInfo.php?workbook=10_05.xlsx&amp;sheet=A0&amp;row=4918&amp;col=6&amp;number=32000000&amp;sourceID=14","32000000")</f>
        <v>32000000</v>
      </c>
      <c r="G4918" s="4" t="str">
        <f>HYPERLINK("http://141.218.60.56/~jnz1568/getInfo.php?workbook=10_05.xlsx&amp;sheet=A0&amp;row=4918&amp;col=7&amp;number=0&amp;sourceID=14","0")</f>
        <v>0</v>
      </c>
    </row>
    <row r="4919" spans="1:7">
      <c r="A4919" s="3">
        <v>10</v>
      </c>
      <c r="B4919" s="3">
        <v>5</v>
      </c>
      <c r="C4919" s="3">
        <v>156</v>
      </c>
      <c r="D4919" s="3">
        <v>114</v>
      </c>
      <c r="E4919" s="3">
        <v>-3122.469</v>
      </c>
      <c r="F4919" s="4" t="str">
        <f>HYPERLINK("http://141.218.60.56/~jnz1568/getInfo.php?workbook=10_05.xlsx&amp;sheet=A0&amp;row=4919&amp;col=6&amp;number=9340000&amp;sourceID=14","9340000")</f>
        <v>9340000</v>
      </c>
      <c r="G4919" s="4" t="str">
        <f>HYPERLINK("http://141.218.60.56/~jnz1568/getInfo.php?workbook=10_05.xlsx&amp;sheet=A0&amp;row=4919&amp;col=7&amp;number=0&amp;sourceID=14","0")</f>
        <v>0</v>
      </c>
    </row>
    <row r="4920" spans="1:7">
      <c r="A4920" s="3">
        <v>10</v>
      </c>
      <c r="B4920" s="3">
        <v>5</v>
      </c>
      <c r="C4920" s="3">
        <v>157</v>
      </c>
      <c r="D4920" s="3">
        <v>114</v>
      </c>
      <c r="E4920" s="3">
        <v>-3105.114</v>
      </c>
      <c r="F4920" s="4" t="str">
        <f>HYPERLINK("http://141.218.60.56/~jnz1568/getInfo.php?workbook=10_05.xlsx&amp;sheet=A0&amp;row=4920&amp;col=6&amp;number=1530000&amp;sourceID=14","1530000")</f>
        <v>1530000</v>
      </c>
      <c r="G4920" s="4" t="str">
        <f>HYPERLINK("http://141.218.60.56/~jnz1568/getInfo.php?workbook=10_05.xlsx&amp;sheet=A0&amp;row=4920&amp;col=7&amp;number=0&amp;sourceID=14","0")</f>
        <v>0</v>
      </c>
    </row>
    <row r="4921" spans="1:7">
      <c r="A4921" s="3">
        <v>10</v>
      </c>
      <c r="B4921" s="3">
        <v>5</v>
      </c>
      <c r="C4921" s="3">
        <v>160</v>
      </c>
      <c r="D4921" s="3">
        <v>114</v>
      </c>
      <c r="E4921" s="3">
        <v>-2987.666</v>
      </c>
      <c r="F4921" s="4" t="str">
        <f>HYPERLINK("http://141.218.60.56/~jnz1568/getInfo.php?workbook=10_05.xlsx&amp;sheet=A0&amp;row=4921&amp;col=6&amp;number=0.113&amp;sourceID=14","0.113")</f>
        <v>0.113</v>
      </c>
      <c r="G4921" s="4" t="str">
        <f>HYPERLINK("http://141.218.60.56/~jnz1568/getInfo.php?workbook=10_05.xlsx&amp;sheet=A0&amp;row=4921&amp;col=7&amp;number=0&amp;sourceID=14","0")</f>
        <v>0</v>
      </c>
    </row>
    <row r="4922" spans="1:7">
      <c r="A4922" s="3">
        <v>10</v>
      </c>
      <c r="B4922" s="3">
        <v>5</v>
      </c>
      <c r="C4922" s="3">
        <v>161</v>
      </c>
      <c r="D4922" s="3">
        <v>114</v>
      </c>
      <c r="E4922" s="3">
        <v>2955.088</v>
      </c>
      <c r="F4922" s="4" t="str">
        <f>HYPERLINK("http://141.218.60.56/~jnz1568/getInfo.php?workbook=10_05.xlsx&amp;sheet=A0&amp;row=4922&amp;col=6&amp;number=24000000&amp;sourceID=14","24000000")</f>
        <v>24000000</v>
      </c>
      <c r="G4922" s="4" t="str">
        <f>HYPERLINK("http://141.218.60.56/~jnz1568/getInfo.php?workbook=10_05.xlsx&amp;sheet=A0&amp;row=4922&amp;col=7&amp;number=0&amp;sourceID=14","0")</f>
        <v>0</v>
      </c>
    </row>
    <row r="4923" spans="1:7">
      <c r="A4923" s="3">
        <v>10</v>
      </c>
      <c r="B4923" s="3">
        <v>5</v>
      </c>
      <c r="C4923" s="3">
        <v>162</v>
      </c>
      <c r="D4923" s="3">
        <v>114</v>
      </c>
      <c r="E4923" s="3">
        <v>2929.121</v>
      </c>
      <c r="F4923" s="4" t="str">
        <f>HYPERLINK("http://141.218.60.56/~jnz1568/getInfo.php?workbook=10_05.xlsx&amp;sheet=A0&amp;row=4923&amp;col=6&amp;number=1720000&amp;sourceID=14","1720000")</f>
        <v>1720000</v>
      </c>
      <c r="G4923" s="4" t="str">
        <f>HYPERLINK("http://141.218.60.56/~jnz1568/getInfo.php?workbook=10_05.xlsx&amp;sheet=A0&amp;row=4923&amp;col=7&amp;number=0&amp;sourceID=14","0")</f>
        <v>0</v>
      </c>
    </row>
    <row r="4924" spans="1:7">
      <c r="A4924" s="3">
        <v>10</v>
      </c>
      <c r="B4924" s="3">
        <v>5</v>
      </c>
      <c r="C4924" s="3">
        <v>163</v>
      </c>
      <c r="D4924" s="3">
        <v>114</v>
      </c>
      <c r="E4924" s="3">
        <v>-2099.212</v>
      </c>
      <c r="F4924" s="4" t="str">
        <f>HYPERLINK("http://141.218.60.56/~jnz1568/getInfo.php?workbook=10_05.xlsx&amp;sheet=A0&amp;row=4924&amp;col=6&amp;number=203000&amp;sourceID=14","203000")</f>
        <v>203000</v>
      </c>
      <c r="G4924" s="4" t="str">
        <f>HYPERLINK("http://141.218.60.56/~jnz1568/getInfo.php?workbook=10_05.xlsx&amp;sheet=A0&amp;row=4924&amp;col=7&amp;number=0&amp;sourceID=14","0")</f>
        <v>0</v>
      </c>
    </row>
    <row r="4925" spans="1:7">
      <c r="A4925" s="3">
        <v>10</v>
      </c>
      <c r="B4925" s="3">
        <v>5</v>
      </c>
      <c r="C4925" s="3">
        <v>168</v>
      </c>
      <c r="D4925" s="3">
        <v>114</v>
      </c>
      <c r="E4925" s="3">
        <v>-874.846</v>
      </c>
      <c r="F4925" s="4" t="str">
        <f>HYPERLINK("http://141.218.60.56/~jnz1568/getInfo.php?workbook=10_05.xlsx&amp;sheet=A0&amp;row=4925&amp;col=6&amp;number=1380000&amp;sourceID=14","1380000")</f>
        <v>1380000</v>
      </c>
      <c r="G4925" s="4" t="str">
        <f>HYPERLINK("http://141.218.60.56/~jnz1568/getInfo.php?workbook=10_05.xlsx&amp;sheet=A0&amp;row=4925&amp;col=7&amp;number=0&amp;sourceID=14","0")</f>
        <v>0</v>
      </c>
    </row>
    <row r="4926" spans="1:7">
      <c r="A4926" s="3">
        <v>10</v>
      </c>
      <c r="B4926" s="3">
        <v>5</v>
      </c>
      <c r="C4926" s="3">
        <v>169</v>
      </c>
      <c r="D4926" s="3">
        <v>114</v>
      </c>
      <c r="E4926" s="3">
        <v>-874.479</v>
      </c>
      <c r="F4926" s="4" t="str">
        <f>HYPERLINK("http://141.218.60.56/~jnz1568/getInfo.php?workbook=10_05.xlsx&amp;sheet=A0&amp;row=4926&amp;col=6&amp;number=27200000&amp;sourceID=14","27200000")</f>
        <v>27200000</v>
      </c>
      <c r="G4926" s="4" t="str">
        <f>HYPERLINK("http://141.218.60.56/~jnz1568/getInfo.php?workbook=10_05.xlsx&amp;sheet=A0&amp;row=4926&amp;col=7&amp;number=0&amp;sourceID=14","0")</f>
        <v>0</v>
      </c>
    </row>
    <row r="4927" spans="1:7">
      <c r="A4927" s="3">
        <v>10</v>
      </c>
      <c r="B4927" s="3">
        <v>5</v>
      </c>
      <c r="C4927" s="3">
        <v>170</v>
      </c>
      <c r="D4927" s="3">
        <v>114</v>
      </c>
      <c r="E4927" s="3">
        <v>-808.246</v>
      </c>
      <c r="F4927" s="4" t="str">
        <f>HYPERLINK("http://141.218.60.56/~jnz1568/getInfo.php?workbook=10_05.xlsx&amp;sheet=A0&amp;row=4927&amp;col=6&amp;number=25500000&amp;sourceID=14","25500000")</f>
        <v>25500000</v>
      </c>
      <c r="G4927" s="4" t="str">
        <f>HYPERLINK("http://141.218.60.56/~jnz1568/getInfo.php?workbook=10_05.xlsx&amp;sheet=A0&amp;row=4927&amp;col=7&amp;number=0&amp;sourceID=14","0")</f>
        <v>0</v>
      </c>
    </row>
    <row r="4928" spans="1:7">
      <c r="A4928" s="3">
        <v>10</v>
      </c>
      <c r="B4928" s="3">
        <v>5</v>
      </c>
      <c r="C4928" s="3">
        <v>171</v>
      </c>
      <c r="D4928" s="3">
        <v>114</v>
      </c>
      <c r="E4928" s="3">
        <v>-807.625</v>
      </c>
      <c r="F4928" s="4" t="str">
        <f>HYPERLINK("http://141.218.60.56/~jnz1568/getInfo.php?workbook=10_05.xlsx&amp;sheet=A0&amp;row=4928&amp;col=6&amp;number=2680000&amp;sourceID=14","2680000")</f>
        <v>2680000</v>
      </c>
      <c r="G4928" s="4" t="str">
        <f>HYPERLINK("http://141.218.60.56/~jnz1568/getInfo.php?workbook=10_05.xlsx&amp;sheet=A0&amp;row=4928&amp;col=7&amp;number=0&amp;sourceID=14","0")</f>
        <v>0</v>
      </c>
    </row>
    <row r="4929" spans="1:7">
      <c r="A4929" s="3">
        <v>10</v>
      </c>
      <c r="B4929" s="3">
        <v>5</v>
      </c>
      <c r="C4929" s="3">
        <v>172</v>
      </c>
      <c r="D4929" s="3">
        <v>114</v>
      </c>
      <c r="E4929" s="3">
        <v>-795.104</v>
      </c>
      <c r="F4929" s="4" t="str">
        <f>HYPERLINK("http://141.218.60.56/~jnz1568/getInfo.php?workbook=10_05.xlsx&amp;sheet=A0&amp;row=4929&amp;col=6&amp;number=18000000&amp;sourceID=14","18000000")</f>
        <v>18000000</v>
      </c>
      <c r="G4929" s="4" t="str">
        <f>HYPERLINK("http://141.218.60.56/~jnz1568/getInfo.php?workbook=10_05.xlsx&amp;sheet=A0&amp;row=4929&amp;col=7&amp;number=0&amp;sourceID=14","0")</f>
        <v>0</v>
      </c>
    </row>
    <row r="4930" spans="1:7">
      <c r="A4930" s="3">
        <v>10</v>
      </c>
      <c r="B4930" s="3">
        <v>5</v>
      </c>
      <c r="C4930" s="3">
        <v>173</v>
      </c>
      <c r="D4930" s="3">
        <v>114</v>
      </c>
      <c r="E4930" s="3">
        <v>-794.958</v>
      </c>
      <c r="F4930" s="4" t="str">
        <f>HYPERLINK("http://141.218.60.56/~jnz1568/getInfo.php?workbook=10_05.xlsx&amp;sheet=A0&amp;row=4930&amp;col=6&amp;number=1970000&amp;sourceID=14","1970000")</f>
        <v>1970000</v>
      </c>
      <c r="G4930" s="4" t="str">
        <f>HYPERLINK("http://141.218.60.56/~jnz1568/getInfo.php?workbook=10_05.xlsx&amp;sheet=A0&amp;row=4930&amp;col=7&amp;number=0&amp;sourceID=14","0")</f>
        <v>0</v>
      </c>
    </row>
    <row r="4931" spans="1:7">
      <c r="A4931" s="3">
        <v>10</v>
      </c>
      <c r="B4931" s="3">
        <v>5</v>
      </c>
      <c r="C4931" s="3">
        <v>174</v>
      </c>
      <c r="D4931" s="3">
        <v>114</v>
      </c>
      <c r="E4931" s="3">
        <v>-781.844</v>
      </c>
      <c r="F4931" s="4" t="str">
        <f>HYPERLINK("http://141.218.60.56/~jnz1568/getInfo.php?workbook=10_05.xlsx&amp;sheet=A0&amp;row=4931&amp;col=6&amp;number=68100&amp;sourceID=14","68100")</f>
        <v>68100</v>
      </c>
      <c r="G4931" s="4" t="str">
        <f>HYPERLINK("http://141.218.60.56/~jnz1568/getInfo.php?workbook=10_05.xlsx&amp;sheet=A0&amp;row=4931&amp;col=7&amp;number=0&amp;sourceID=14","0")</f>
        <v>0</v>
      </c>
    </row>
    <row r="4932" spans="1:7">
      <c r="A4932" s="3">
        <v>10</v>
      </c>
      <c r="B4932" s="3">
        <v>5</v>
      </c>
      <c r="C4932" s="3">
        <v>128</v>
      </c>
      <c r="D4932" s="3">
        <v>115</v>
      </c>
      <c r="E4932" s="3">
        <v>-13723.094</v>
      </c>
      <c r="F4932" s="4" t="str">
        <f>HYPERLINK("http://141.218.60.56/~jnz1568/getInfo.php?workbook=10_05.xlsx&amp;sheet=A0&amp;row=4932&amp;col=6&amp;number=0.438&amp;sourceID=14","0.438")</f>
        <v>0.438</v>
      </c>
      <c r="G4932" s="4" t="str">
        <f>HYPERLINK("http://141.218.60.56/~jnz1568/getInfo.php?workbook=10_05.xlsx&amp;sheet=A0&amp;row=4932&amp;col=7&amp;number=0&amp;sourceID=14","0")</f>
        <v>0</v>
      </c>
    </row>
    <row r="4933" spans="1:7">
      <c r="A4933" s="3">
        <v>10</v>
      </c>
      <c r="B4933" s="3">
        <v>5</v>
      </c>
      <c r="C4933" s="3">
        <v>134</v>
      </c>
      <c r="D4933" s="3">
        <v>115</v>
      </c>
      <c r="E4933" s="3">
        <v>-8499.803</v>
      </c>
      <c r="F4933" s="4" t="str">
        <f>HYPERLINK("http://141.218.60.56/~jnz1568/getInfo.php?workbook=10_05.xlsx&amp;sheet=A0&amp;row=4933&amp;col=6&amp;number=154&amp;sourceID=14","154")</f>
        <v>154</v>
      </c>
      <c r="G4933" s="4" t="str">
        <f>HYPERLINK("http://141.218.60.56/~jnz1568/getInfo.php?workbook=10_05.xlsx&amp;sheet=A0&amp;row=4933&amp;col=7&amp;number=0&amp;sourceID=14","0")</f>
        <v>0</v>
      </c>
    </row>
    <row r="4934" spans="1:7">
      <c r="A4934" s="3">
        <v>10</v>
      </c>
      <c r="B4934" s="3">
        <v>5</v>
      </c>
      <c r="C4934" s="3">
        <v>135</v>
      </c>
      <c r="D4934" s="3">
        <v>115</v>
      </c>
      <c r="E4934" s="3">
        <v>-8329.184</v>
      </c>
      <c r="F4934" s="4" t="str">
        <f>HYPERLINK("http://141.218.60.56/~jnz1568/getInfo.php?workbook=10_05.xlsx&amp;sheet=A0&amp;row=4934&amp;col=6&amp;number=2710&amp;sourceID=14","2710")</f>
        <v>2710</v>
      </c>
      <c r="G4934" s="4" t="str">
        <f>HYPERLINK("http://141.218.60.56/~jnz1568/getInfo.php?workbook=10_05.xlsx&amp;sheet=A0&amp;row=4934&amp;col=7&amp;number=0&amp;sourceID=14","0")</f>
        <v>0</v>
      </c>
    </row>
    <row r="4935" spans="1:7">
      <c r="A4935" s="3">
        <v>10</v>
      </c>
      <c r="B4935" s="3">
        <v>5</v>
      </c>
      <c r="C4935" s="3">
        <v>136</v>
      </c>
      <c r="D4935" s="3">
        <v>115</v>
      </c>
      <c r="E4935" s="3">
        <v>-8085.397</v>
      </c>
      <c r="F4935" s="4" t="str">
        <f>HYPERLINK("http://141.218.60.56/~jnz1568/getInfo.php?workbook=10_05.xlsx&amp;sheet=A0&amp;row=4935&amp;col=6&amp;number=12800&amp;sourceID=14","12800")</f>
        <v>12800</v>
      </c>
      <c r="G4935" s="4" t="str">
        <f>HYPERLINK("http://141.218.60.56/~jnz1568/getInfo.php?workbook=10_05.xlsx&amp;sheet=A0&amp;row=4935&amp;col=7&amp;number=0&amp;sourceID=14","0")</f>
        <v>0</v>
      </c>
    </row>
    <row r="4936" spans="1:7">
      <c r="A4936" s="3">
        <v>10</v>
      </c>
      <c r="B4936" s="3">
        <v>5</v>
      </c>
      <c r="C4936" s="3">
        <v>142</v>
      </c>
      <c r="D4936" s="3">
        <v>115</v>
      </c>
      <c r="E4936" s="3">
        <v>-6054.746</v>
      </c>
      <c r="F4936" s="4" t="str">
        <f>HYPERLINK("http://141.218.60.56/~jnz1568/getInfo.php?workbook=10_05.xlsx&amp;sheet=A0&amp;row=4936&amp;col=6&amp;number=1470&amp;sourceID=14","1470")</f>
        <v>1470</v>
      </c>
      <c r="G4936" s="4" t="str">
        <f>HYPERLINK("http://141.218.60.56/~jnz1568/getInfo.php?workbook=10_05.xlsx&amp;sheet=A0&amp;row=4936&amp;col=7&amp;number=0&amp;sourceID=14","0")</f>
        <v>0</v>
      </c>
    </row>
    <row r="4937" spans="1:7">
      <c r="A4937" s="3">
        <v>10</v>
      </c>
      <c r="B4937" s="3">
        <v>5</v>
      </c>
      <c r="C4937" s="3">
        <v>143</v>
      </c>
      <c r="D4937" s="3">
        <v>115</v>
      </c>
      <c r="E4937" s="3">
        <v>-5963.396</v>
      </c>
      <c r="F4937" s="4" t="str">
        <f>HYPERLINK("http://141.218.60.56/~jnz1568/getInfo.php?workbook=10_05.xlsx&amp;sheet=A0&amp;row=4937&amp;col=6&amp;number=5730&amp;sourceID=14","5730")</f>
        <v>5730</v>
      </c>
      <c r="G4937" s="4" t="str">
        <f>HYPERLINK("http://141.218.60.56/~jnz1568/getInfo.php?workbook=10_05.xlsx&amp;sheet=A0&amp;row=4937&amp;col=7&amp;number=0&amp;sourceID=14","0")</f>
        <v>0</v>
      </c>
    </row>
    <row r="4938" spans="1:7">
      <c r="A4938" s="3">
        <v>10</v>
      </c>
      <c r="B4938" s="3">
        <v>5</v>
      </c>
      <c r="C4938" s="3">
        <v>144</v>
      </c>
      <c r="D4938" s="3">
        <v>115</v>
      </c>
      <c r="E4938" s="3">
        <v>-5894.152</v>
      </c>
      <c r="F4938" s="4" t="str">
        <f>HYPERLINK("http://141.218.60.56/~jnz1568/getInfo.php?workbook=10_05.xlsx&amp;sheet=A0&amp;row=4938&amp;col=6&amp;number=1460&amp;sourceID=14","1460")</f>
        <v>1460</v>
      </c>
      <c r="G4938" s="4" t="str">
        <f>HYPERLINK("http://141.218.60.56/~jnz1568/getInfo.php?workbook=10_05.xlsx&amp;sheet=A0&amp;row=4938&amp;col=7&amp;number=0&amp;sourceID=14","0")</f>
        <v>0</v>
      </c>
    </row>
    <row r="4939" spans="1:7">
      <c r="A4939" s="3">
        <v>10</v>
      </c>
      <c r="B4939" s="3">
        <v>5</v>
      </c>
      <c r="C4939" s="3">
        <v>145</v>
      </c>
      <c r="D4939" s="3">
        <v>115</v>
      </c>
      <c r="E4939" s="3">
        <v>-5597.234</v>
      </c>
      <c r="F4939" s="4" t="str">
        <f>HYPERLINK("http://141.218.60.56/~jnz1568/getInfo.php?workbook=10_05.xlsx&amp;sheet=A0&amp;row=4939&amp;col=6&amp;number=407&amp;sourceID=14","407")</f>
        <v>407</v>
      </c>
      <c r="G4939" s="4" t="str">
        <f>HYPERLINK("http://141.218.60.56/~jnz1568/getInfo.php?workbook=10_05.xlsx&amp;sheet=A0&amp;row=4939&amp;col=7&amp;number=0&amp;sourceID=14","0")</f>
        <v>0</v>
      </c>
    </row>
    <row r="4940" spans="1:7">
      <c r="A4940" s="3">
        <v>10</v>
      </c>
      <c r="B4940" s="3">
        <v>5</v>
      </c>
      <c r="C4940" s="3">
        <v>146</v>
      </c>
      <c r="D4940" s="3">
        <v>115</v>
      </c>
      <c r="E4940" s="3">
        <v>-5522.431</v>
      </c>
      <c r="F4940" s="4" t="str">
        <f>HYPERLINK("http://141.218.60.56/~jnz1568/getInfo.php?workbook=10_05.xlsx&amp;sheet=A0&amp;row=4940&amp;col=6&amp;number=7.47&amp;sourceID=14","7.47")</f>
        <v>7.47</v>
      </c>
      <c r="G4940" s="4" t="str">
        <f>HYPERLINK("http://141.218.60.56/~jnz1568/getInfo.php?workbook=10_05.xlsx&amp;sheet=A0&amp;row=4940&amp;col=7&amp;number=0&amp;sourceID=14","0")</f>
        <v>0</v>
      </c>
    </row>
    <row r="4941" spans="1:7">
      <c r="A4941" s="3">
        <v>10</v>
      </c>
      <c r="B4941" s="3">
        <v>5</v>
      </c>
      <c r="C4941" s="3">
        <v>147</v>
      </c>
      <c r="D4941" s="3">
        <v>115</v>
      </c>
      <c r="E4941" s="3">
        <v>-5414.195</v>
      </c>
      <c r="F4941" s="4" t="str">
        <f>HYPERLINK("http://141.218.60.56/~jnz1568/getInfo.php?workbook=10_05.xlsx&amp;sheet=A0&amp;row=4941&amp;col=6&amp;number=80.6&amp;sourceID=14","80.6")</f>
        <v>80.6</v>
      </c>
      <c r="G4941" s="4" t="str">
        <f>HYPERLINK("http://141.218.60.56/~jnz1568/getInfo.php?workbook=10_05.xlsx&amp;sheet=A0&amp;row=4941&amp;col=7&amp;number=0&amp;sourceID=14","0")</f>
        <v>0</v>
      </c>
    </row>
    <row r="4942" spans="1:7">
      <c r="A4942" s="3">
        <v>10</v>
      </c>
      <c r="B4942" s="3">
        <v>5</v>
      </c>
      <c r="C4942" s="3">
        <v>148</v>
      </c>
      <c r="D4942" s="3">
        <v>115</v>
      </c>
      <c r="E4942" s="3">
        <v>-5385.62</v>
      </c>
      <c r="F4942" s="4" t="str">
        <f>HYPERLINK("http://141.218.60.56/~jnz1568/getInfo.php?workbook=10_05.xlsx&amp;sheet=A0&amp;row=4942&amp;col=6&amp;number=5570&amp;sourceID=14","5570")</f>
        <v>5570</v>
      </c>
      <c r="G4942" s="4" t="str">
        <f>HYPERLINK("http://141.218.60.56/~jnz1568/getInfo.php?workbook=10_05.xlsx&amp;sheet=A0&amp;row=4942&amp;col=7&amp;number=0&amp;sourceID=14","0")</f>
        <v>0</v>
      </c>
    </row>
    <row r="4943" spans="1:7">
      <c r="A4943" s="3">
        <v>10</v>
      </c>
      <c r="B4943" s="3">
        <v>5</v>
      </c>
      <c r="C4943" s="3">
        <v>152</v>
      </c>
      <c r="D4943" s="3">
        <v>115</v>
      </c>
      <c r="E4943" s="3">
        <v>-4160.953</v>
      </c>
      <c r="F4943" s="4" t="str">
        <f>HYPERLINK("http://141.218.60.56/~jnz1568/getInfo.php?workbook=10_05.xlsx&amp;sheet=A0&amp;row=4943&amp;col=6&amp;number=13900&amp;sourceID=14","13900")</f>
        <v>13900</v>
      </c>
      <c r="G4943" s="4" t="str">
        <f>HYPERLINK("http://141.218.60.56/~jnz1568/getInfo.php?workbook=10_05.xlsx&amp;sheet=A0&amp;row=4943&amp;col=7&amp;number=0&amp;sourceID=14","0")</f>
        <v>0</v>
      </c>
    </row>
    <row r="4944" spans="1:7">
      <c r="A4944" s="3">
        <v>10</v>
      </c>
      <c r="B4944" s="3">
        <v>5</v>
      </c>
      <c r="C4944" s="3">
        <v>153</v>
      </c>
      <c r="D4944" s="3">
        <v>115</v>
      </c>
      <c r="E4944" s="3">
        <v>-4026.745</v>
      </c>
      <c r="F4944" s="4" t="str">
        <f>HYPERLINK("http://141.218.60.56/~jnz1568/getInfo.php?workbook=10_05.xlsx&amp;sheet=A0&amp;row=4944&amp;col=6&amp;number=233&amp;sourceID=14","233")</f>
        <v>233</v>
      </c>
      <c r="G4944" s="4" t="str">
        <f>HYPERLINK("http://141.218.60.56/~jnz1568/getInfo.php?workbook=10_05.xlsx&amp;sheet=A0&amp;row=4944&amp;col=7&amp;number=0&amp;sourceID=14","0")</f>
        <v>0</v>
      </c>
    </row>
    <row r="4945" spans="1:7">
      <c r="A4945" s="3">
        <v>10</v>
      </c>
      <c r="B4945" s="3">
        <v>5</v>
      </c>
      <c r="C4945" s="3">
        <v>158</v>
      </c>
      <c r="D4945" s="3">
        <v>115</v>
      </c>
      <c r="E4945" s="3">
        <v>-3756.158</v>
      </c>
      <c r="F4945" s="4" t="str">
        <f>HYPERLINK("http://141.218.60.56/~jnz1568/getInfo.php?workbook=10_05.xlsx&amp;sheet=A0&amp;row=4945&amp;col=6&amp;number=13.8&amp;sourceID=14","13.8")</f>
        <v>13.8</v>
      </c>
      <c r="G4945" s="4" t="str">
        <f>HYPERLINK("http://141.218.60.56/~jnz1568/getInfo.php?workbook=10_05.xlsx&amp;sheet=A0&amp;row=4945&amp;col=7&amp;number=0&amp;sourceID=14","0")</f>
        <v>0</v>
      </c>
    </row>
    <row r="4946" spans="1:7">
      <c r="A4946" s="3">
        <v>10</v>
      </c>
      <c r="B4946" s="3">
        <v>5</v>
      </c>
      <c r="C4946" s="3">
        <v>165</v>
      </c>
      <c r="D4946" s="3">
        <v>115</v>
      </c>
      <c r="E4946" s="3">
        <v>-1363.998</v>
      </c>
      <c r="F4946" s="4" t="str">
        <f>HYPERLINK("http://141.218.60.56/~jnz1568/getInfo.php?workbook=10_05.xlsx&amp;sheet=A0&amp;row=4946&amp;col=6&amp;number=39.7&amp;sourceID=14","39.7")</f>
        <v>39.7</v>
      </c>
      <c r="G4946" s="4" t="str">
        <f>HYPERLINK("http://141.218.60.56/~jnz1568/getInfo.php?workbook=10_05.xlsx&amp;sheet=A0&amp;row=4946&amp;col=7&amp;number=0&amp;sourceID=14","0")</f>
        <v>0</v>
      </c>
    </row>
    <row r="4947" spans="1:7">
      <c r="A4947" s="3">
        <v>10</v>
      </c>
      <c r="B4947" s="3">
        <v>5</v>
      </c>
      <c r="C4947" s="3">
        <v>167</v>
      </c>
      <c r="D4947" s="3">
        <v>115</v>
      </c>
      <c r="E4947" s="3">
        <v>-995.661</v>
      </c>
      <c r="F4947" s="4" t="str">
        <f>HYPERLINK("http://141.218.60.56/~jnz1568/getInfo.php?workbook=10_05.xlsx&amp;sheet=A0&amp;row=4947&amp;col=6&amp;number=46.6&amp;sourceID=14","46.6")</f>
        <v>46.6</v>
      </c>
      <c r="G4947" s="4" t="str">
        <f>HYPERLINK("http://141.218.60.56/~jnz1568/getInfo.php?workbook=10_05.xlsx&amp;sheet=A0&amp;row=4947&amp;col=7&amp;number=0&amp;sourceID=14","0")</f>
        <v>0</v>
      </c>
    </row>
    <row r="4948" spans="1:7">
      <c r="A4948" s="3">
        <v>10</v>
      </c>
      <c r="B4948" s="3">
        <v>5</v>
      </c>
      <c r="C4948" s="3">
        <v>175</v>
      </c>
      <c r="D4948" s="3">
        <v>115</v>
      </c>
      <c r="E4948" s="3">
        <v>-758.088</v>
      </c>
      <c r="F4948" s="4" t="str">
        <f>HYPERLINK("http://141.218.60.56/~jnz1568/getInfo.php?workbook=10_05.xlsx&amp;sheet=A0&amp;row=4948&amp;col=6&amp;number=1030&amp;sourceID=14","1030")</f>
        <v>1030</v>
      </c>
      <c r="G4948" s="4" t="str">
        <f>HYPERLINK("http://141.218.60.56/~jnz1568/getInfo.php?workbook=10_05.xlsx&amp;sheet=A0&amp;row=4948&amp;col=7&amp;number=0&amp;sourceID=14","0")</f>
        <v>0</v>
      </c>
    </row>
    <row r="4949" spans="1:7">
      <c r="A4949" s="3">
        <v>10</v>
      </c>
      <c r="B4949" s="3">
        <v>5</v>
      </c>
      <c r="C4949" s="3">
        <v>176</v>
      </c>
      <c r="D4949" s="3">
        <v>115</v>
      </c>
      <c r="E4949" s="3">
        <v>-758.083</v>
      </c>
      <c r="F4949" s="4" t="str">
        <f>HYPERLINK("http://141.218.60.56/~jnz1568/getInfo.php?workbook=10_05.xlsx&amp;sheet=A0&amp;row=4949&amp;col=6&amp;number=31.7&amp;sourceID=14","31.7")</f>
        <v>31.7</v>
      </c>
      <c r="G4949" s="4" t="str">
        <f>HYPERLINK("http://141.218.60.56/~jnz1568/getInfo.php?workbook=10_05.xlsx&amp;sheet=A0&amp;row=4949&amp;col=7&amp;number=0&amp;sourceID=14","0")</f>
        <v>0</v>
      </c>
    </row>
    <row r="4950" spans="1:7">
      <c r="A4950" s="3">
        <v>10</v>
      </c>
      <c r="B4950" s="3">
        <v>5</v>
      </c>
      <c r="C4950" s="3">
        <v>177</v>
      </c>
      <c r="D4950" s="3">
        <v>115</v>
      </c>
      <c r="E4950" s="3">
        <v>-752.996</v>
      </c>
      <c r="F4950" s="4" t="str">
        <f>HYPERLINK("http://141.218.60.56/~jnz1568/getInfo.php?workbook=10_05.xlsx&amp;sheet=A0&amp;row=4950&amp;col=6&amp;number=1150000&amp;sourceID=14","1150000")</f>
        <v>1150000</v>
      </c>
      <c r="G4950" s="4" t="str">
        <f>HYPERLINK("http://141.218.60.56/~jnz1568/getInfo.php?workbook=10_05.xlsx&amp;sheet=A0&amp;row=4950&amp;col=7&amp;number=0&amp;sourceID=14","0")</f>
        <v>0</v>
      </c>
    </row>
    <row r="4951" spans="1:7">
      <c r="A4951" s="3">
        <v>10</v>
      </c>
      <c r="B4951" s="3">
        <v>5</v>
      </c>
      <c r="C4951" s="3">
        <v>178</v>
      </c>
      <c r="D4951" s="3">
        <v>115</v>
      </c>
      <c r="E4951" s="3">
        <v>-752.747</v>
      </c>
      <c r="F4951" s="4" t="str">
        <f>HYPERLINK("http://141.218.60.56/~jnz1568/getInfo.php?workbook=10_05.xlsx&amp;sheet=A0&amp;row=4951&amp;col=6&amp;number=56100&amp;sourceID=14","56100")</f>
        <v>56100</v>
      </c>
      <c r="G4951" s="4" t="str">
        <f>HYPERLINK("http://141.218.60.56/~jnz1568/getInfo.php?workbook=10_05.xlsx&amp;sheet=A0&amp;row=4951&amp;col=7&amp;number=0&amp;sourceID=14","0")</f>
        <v>0</v>
      </c>
    </row>
    <row r="4952" spans="1:7">
      <c r="A4952" s="3">
        <v>10</v>
      </c>
      <c r="B4952" s="3">
        <v>5</v>
      </c>
      <c r="C4952" s="3">
        <v>180</v>
      </c>
      <c r="D4952" s="3">
        <v>115</v>
      </c>
      <c r="E4952" s="3">
        <v>-730.275</v>
      </c>
      <c r="F4952" s="4" t="str">
        <f>HYPERLINK("http://141.218.60.56/~jnz1568/getInfo.php?workbook=10_05.xlsx&amp;sheet=A0&amp;row=4952&amp;col=6&amp;number=181&amp;sourceID=14","181")</f>
        <v>181</v>
      </c>
      <c r="G4952" s="4" t="str">
        <f>HYPERLINK("http://141.218.60.56/~jnz1568/getInfo.php?workbook=10_05.xlsx&amp;sheet=A0&amp;row=4952&amp;col=7&amp;number=0&amp;sourceID=14","0")</f>
        <v>0</v>
      </c>
    </row>
    <row r="4953" spans="1:7">
      <c r="A4953" s="3">
        <v>10</v>
      </c>
      <c r="B4953" s="3">
        <v>5</v>
      </c>
      <c r="C4953" s="3">
        <v>135</v>
      </c>
      <c r="D4953" s="3">
        <v>116</v>
      </c>
      <c r="E4953" s="3">
        <v>-8996.058</v>
      </c>
      <c r="F4953" s="4" t="str">
        <f>HYPERLINK("http://141.218.60.56/~jnz1568/getInfo.php?workbook=10_05.xlsx&amp;sheet=A0&amp;row=4953&amp;col=6&amp;number=267&amp;sourceID=14","267")</f>
        <v>267</v>
      </c>
      <c r="G4953" s="4" t="str">
        <f>HYPERLINK("http://141.218.60.56/~jnz1568/getInfo.php?workbook=10_05.xlsx&amp;sheet=A0&amp;row=4953&amp;col=7&amp;number=0&amp;sourceID=14","0")</f>
        <v>0</v>
      </c>
    </row>
    <row r="4954" spans="1:7">
      <c r="A4954" s="3">
        <v>10</v>
      </c>
      <c r="B4954" s="3">
        <v>5</v>
      </c>
      <c r="C4954" s="3">
        <v>136</v>
      </c>
      <c r="D4954" s="3">
        <v>116</v>
      </c>
      <c r="E4954" s="3">
        <v>-8712.335</v>
      </c>
      <c r="F4954" s="4" t="str">
        <f>HYPERLINK("http://141.218.60.56/~jnz1568/getInfo.php?workbook=10_05.xlsx&amp;sheet=A0&amp;row=4954&amp;col=6&amp;number=5550&amp;sourceID=14","5550")</f>
        <v>5550</v>
      </c>
      <c r="G4954" s="4" t="str">
        <f>HYPERLINK("http://141.218.60.56/~jnz1568/getInfo.php?workbook=10_05.xlsx&amp;sheet=A0&amp;row=4954&amp;col=7&amp;number=0&amp;sourceID=14","0")</f>
        <v>0</v>
      </c>
    </row>
    <row r="4955" spans="1:7">
      <c r="A4955" s="3">
        <v>10</v>
      </c>
      <c r="B4955" s="3">
        <v>5</v>
      </c>
      <c r="C4955" s="3">
        <v>137</v>
      </c>
      <c r="D4955" s="3">
        <v>116</v>
      </c>
      <c r="E4955" s="3">
        <v>-8345.171</v>
      </c>
      <c r="F4955" s="4" t="str">
        <f>HYPERLINK("http://141.218.60.56/~jnz1568/getInfo.php?workbook=10_05.xlsx&amp;sheet=A0&amp;row=4955&amp;col=6&amp;number=58500&amp;sourceID=14","58500")</f>
        <v>58500</v>
      </c>
      <c r="G4955" s="4" t="str">
        <f>HYPERLINK("http://141.218.60.56/~jnz1568/getInfo.php?workbook=10_05.xlsx&amp;sheet=A0&amp;row=4955&amp;col=7&amp;number=0&amp;sourceID=14","0")</f>
        <v>0</v>
      </c>
    </row>
    <row r="4956" spans="1:7">
      <c r="A4956" s="3">
        <v>10</v>
      </c>
      <c r="B4956" s="3">
        <v>5</v>
      </c>
      <c r="C4956" s="3">
        <v>143</v>
      </c>
      <c r="D4956" s="3">
        <v>116</v>
      </c>
      <c r="E4956" s="3">
        <v>-6297.637</v>
      </c>
      <c r="F4956" s="4" t="str">
        <f>HYPERLINK("http://141.218.60.56/~jnz1568/getInfo.php?workbook=10_05.xlsx&amp;sheet=A0&amp;row=4956&amp;col=6&amp;number=1530&amp;sourceID=14","1530")</f>
        <v>1530</v>
      </c>
      <c r="G4956" s="4" t="str">
        <f>HYPERLINK("http://141.218.60.56/~jnz1568/getInfo.php?workbook=10_05.xlsx&amp;sheet=A0&amp;row=4956&amp;col=7&amp;number=0&amp;sourceID=14","0")</f>
        <v>0</v>
      </c>
    </row>
    <row r="4957" spans="1:7">
      <c r="A4957" s="3">
        <v>10</v>
      </c>
      <c r="B4957" s="3">
        <v>5</v>
      </c>
      <c r="C4957" s="3">
        <v>144</v>
      </c>
      <c r="D4957" s="3">
        <v>116</v>
      </c>
      <c r="E4957" s="3">
        <v>-6220.464</v>
      </c>
      <c r="F4957" s="4" t="str">
        <f>HYPERLINK("http://141.218.60.56/~jnz1568/getInfo.php?workbook=10_05.xlsx&amp;sheet=A0&amp;row=4957&amp;col=6&amp;number=33900&amp;sourceID=14","33900")</f>
        <v>33900</v>
      </c>
      <c r="G4957" s="4" t="str">
        <f>HYPERLINK("http://141.218.60.56/~jnz1568/getInfo.php?workbook=10_05.xlsx&amp;sheet=A0&amp;row=4957&amp;col=7&amp;number=0&amp;sourceID=14","0")</f>
        <v>0</v>
      </c>
    </row>
    <row r="4958" spans="1:7">
      <c r="A4958" s="3">
        <v>10</v>
      </c>
      <c r="B4958" s="3">
        <v>5</v>
      </c>
      <c r="C4958" s="3">
        <v>146</v>
      </c>
      <c r="D4958" s="3">
        <v>116</v>
      </c>
      <c r="E4958" s="3">
        <v>-5807.886</v>
      </c>
      <c r="F4958" s="4" t="str">
        <f>HYPERLINK("http://141.218.60.56/~jnz1568/getInfo.php?workbook=10_05.xlsx&amp;sheet=A0&amp;row=4958&amp;col=6&amp;number=104&amp;sourceID=14","104")</f>
        <v>104</v>
      </c>
      <c r="G4958" s="4" t="str">
        <f>HYPERLINK("http://141.218.60.56/~jnz1568/getInfo.php?workbook=10_05.xlsx&amp;sheet=A0&amp;row=4958&amp;col=7&amp;number=0&amp;sourceID=14","0")</f>
        <v>0</v>
      </c>
    </row>
    <row r="4959" spans="1:7">
      <c r="A4959" s="3">
        <v>10</v>
      </c>
      <c r="B4959" s="3">
        <v>5</v>
      </c>
      <c r="C4959" s="3">
        <v>147</v>
      </c>
      <c r="D4959" s="3">
        <v>116</v>
      </c>
      <c r="E4959" s="3">
        <v>-5688.293</v>
      </c>
      <c r="F4959" s="4" t="str">
        <f>HYPERLINK("http://141.218.60.56/~jnz1568/getInfo.php?workbook=10_05.xlsx&amp;sheet=A0&amp;row=4959&amp;col=6&amp;number=20100&amp;sourceID=14","20100")</f>
        <v>20100</v>
      </c>
      <c r="G4959" s="4" t="str">
        <f>HYPERLINK("http://141.218.60.56/~jnz1568/getInfo.php?workbook=10_05.xlsx&amp;sheet=A0&amp;row=4959&amp;col=7&amp;number=0&amp;sourceID=14","0")</f>
        <v>0</v>
      </c>
    </row>
    <row r="4960" spans="1:7">
      <c r="A4960" s="3">
        <v>10</v>
      </c>
      <c r="B4960" s="3">
        <v>5</v>
      </c>
      <c r="C4960" s="3">
        <v>152</v>
      </c>
      <c r="D4960" s="3">
        <v>116</v>
      </c>
      <c r="E4960" s="3">
        <v>-4320.969</v>
      </c>
      <c r="F4960" s="4" t="str">
        <f>HYPERLINK("http://141.218.60.56/~jnz1568/getInfo.php?workbook=10_05.xlsx&amp;sheet=A0&amp;row=4960&amp;col=6&amp;number=485&amp;sourceID=14","485")</f>
        <v>485</v>
      </c>
      <c r="G4960" s="4" t="str">
        <f>HYPERLINK("http://141.218.60.56/~jnz1568/getInfo.php?workbook=10_05.xlsx&amp;sheet=A0&amp;row=4960&amp;col=7&amp;number=0&amp;sourceID=14","0")</f>
        <v>0</v>
      </c>
    </row>
    <row r="4961" spans="1:7">
      <c r="A4961" s="3">
        <v>10</v>
      </c>
      <c r="B4961" s="3">
        <v>5</v>
      </c>
      <c r="C4961" s="3">
        <v>153</v>
      </c>
      <c r="D4961" s="3">
        <v>116</v>
      </c>
      <c r="E4961" s="3">
        <v>-4176.419</v>
      </c>
      <c r="F4961" s="4" t="str">
        <f>HYPERLINK("http://141.218.60.56/~jnz1568/getInfo.php?workbook=10_05.xlsx&amp;sheet=A0&amp;row=4961&amp;col=6&amp;number=13300&amp;sourceID=14","13300")</f>
        <v>13300</v>
      </c>
      <c r="G4961" s="4" t="str">
        <f>HYPERLINK("http://141.218.60.56/~jnz1568/getInfo.php?workbook=10_05.xlsx&amp;sheet=A0&amp;row=4961&amp;col=7&amp;number=0&amp;sourceID=14","0")</f>
        <v>0</v>
      </c>
    </row>
    <row r="4962" spans="1:7">
      <c r="A4962" s="3">
        <v>10</v>
      </c>
      <c r="B4962" s="3">
        <v>5</v>
      </c>
      <c r="C4962" s="3">
        <v>175</v>
      </c>
      <c r="D4962" s="3">
        <v>116</v>
      </c>
      <c r="E4962" s="3">
        <v>-763.238</v>
      </c>
      <c r="F4962" s="4" t="str">
        <f>HYPERLINK("http://141.218.60.56/~jnz1568/getInfo.php?workbook=10_05.xlsx&amp;sheet=A0&amp;row=4962&amp;col=6&amp;number=59.2&amp;sourceID=14","59.2")</f>
        <v>59.2</v>
      </c>
      <c r="G4962" s="4" t="str">
        <f>HYPERLINK("http://141.218.60.56/~jnz1568/getInfo.php?workbook=10_05.xlsx&amp;sheet=A0&amp;row=4962&amp;col=7&amp;number=0&amp;sourceID=14","0")</f>
        <v>0</v>
      </c>
    </row>
    <row r="4963" spans="1:7">
      <c r="A4963" s="3">
        <v>10</v>
      </c>
      <c r="B4963" s="3">
        <v>5</v>
      </c>
      <c r="C4963" s="3">
        <v>176</v>
      </c>
      <c r="D4963" s="3">
        <v>116</v>
      </c>
      <c r="E4963" s="3">
        <v>-763.232</v>
      </c>
      <c r="F4963" s="4" t="str">
        <f>HYPERLINK("http://141.218.60.56/~jnz1568/getInfo.php?workbook=10_05.xlsx&amp;sheet=A0&amp;row=4963&amp;col=6&amp;number=2660&amp;sourceID=14","2660")</f>
        <v>2660</v>
      </c>
      <c r="G4963" s="4" t="str">
        <f>HYPERLINK("http://141.218.60.56/~jnz1568/getInfo.php?workbook=10_05.xlsx&amp;sheet=A0&amp;row=4963&amp;col=7&amp;number=0&amp;sourceID=14","0")</f>
        <v>0</v>
      </c>
    </row>
    <row r="4964" spans="1:7">
      <c r="A4964" s="3">
        <v>10</v>
      </c>
      <c r="B4964" s="3">
        <v>5</v>
      </c>
      <c r="C4964" s="3">
        <v>178</v>
      </c>
      <c r="D4964" s="3">
        <v>116</v>
      </c>
      <c r="E4964" s="3">
        <v>-757.824</v>
      </c>
      <c r="F4964" s="4" t="str">
        <f>HYPERLINK("http://141.218.60.56/~jnz1568/getInfo.php?workbook=10_05.xlsx&amp;sheet=A0&amp;row=4964&amp;col=6&amp;number=1070000&amp;sourceID=14","1070000")</f>
        <v>1070000</v>
      </c>
      <c r="G4964" s="4" t="str">
        <f>HYPERLINK("http://141.218.60.56/~jnz1568/getInfo.php?workbook=10_05.xlsx&amp;sheet=A0&amp;row=4964&amp;col=7&amp;number=0&amp;sourceID=14","0")</f>
        <v>0</v>
      </c>
    </row>
    <row r="4965" spans="1:7">
      <c r="A4965" s="3">
        <v>10</v>
      </c>
      <c r="B4965" s="3">
        <v>5</v>
      </c>
      <c r="C4965" s="3">
        <v>128</v>
      </c>
      <c r="D4965" s="3">
        <v>117</v>
      </c>
      <c r="E4965" s="3">
        <v>-16199.609</v>
      </c>
      <c r="F4965" s="4" t="str">
        <f>HYPERLINK("http://141.218.60.56/~jnz1568/getInfo.php?workbook=10_05.xlsx&amp;sheet=A0&amp;row=4965&amp;col=6&amp;number=4.05&amp;sourceID=14","4.05")</f>
        <v>4.05</v>
      </c>
      <c r="G4965" s="4" t="str">
        <f>HYPERLINK("http://141.218.60.56/~jnz1568/getInfo.php?workbook=10_05.xlsx&amp;sheet=A0&amp;row=4965&amp;col=7&amp;number=0&amp;sourceID=14","0")</f>
        <v>0</v>
      </c>
    </row>
    <row r="4966" spans="1:7">
      <c r="A4966" s="3">
        <v>10</v>
      </c>
      <c r="B4966" s="3">
        <v>5</v>
      </c>
      <c r="C4966" s="3">
        <v>134</v>
      </c>
      <c r="D4966" s="3">
        <v>117</v>
      </c>
      <c r="E4966" s="3">
        <v>-9388.807</v>
      </c>
      <c r="F4966" s="4" t="str">
        <f>HYPERLINK("http://141.218.60.56/~jnz1568/getInfo.php?workbook=10_05.xlsx&amp;sheet=A0&amp;row=4966&amp;col=6&amp;number=84.3&amp;sourceID=14","84.3")</f>
        <v>84.3</v>
      </c>
      <c r="G4966" s="4" t="str">
        <f>HYPERLINK("http://141.218.60.56/~jnz1568/getInfo.php?workbook=10_05.xlsx&amp;sheet=A0&amp;row=4966&amp;col=7&amp;number=0&amp;sourceID=14","0")</f>
        <v>0</v>
      </c>
    </row>
    <row r="4967" spans="1:7">
      <c r="A4967" s="3">
        <v>10</v>
      </c>
      <c r="B4967" s="3">
        <v>5</v>
      </c>
      <c r="C4967" s="3">
        <v>135</v>
      </c>
      <c r="D4967" s="3">
        <v>117</v>
      </c>
      <c r="E4967" s="3">
        <v>-9181.067</v>
      </c>
      <c r="F4967" s="4" t="str">
        <f>HYPERLINK("http://141.218.60.56/~jnz1568/getInfo.php?workbook=10_05.xlsx&amp;sheet=A0&amp;row=4967&amp;col=6&amp;number=1340&amp;sourceID=14","1340")</f>
        <v>1340</v>
      </c>
      <c r="G4967" s="4" t="str">
        <f>HYPERLINK("http://141.218.60.56/~jnz1568/getInfo.php?workbook=10_05.xlsx&amp;sheet=A0&amp;row=4967&amp;col=7&amp;number=0&amp;sourceID=14","0")</f>
        <v>0</v>
      </c>
    </row>
    <row r="4968" spans="1:7">
      <c r="A4968" s="3">
        <v>10</v>
      </c>
      <c r="B4968" s="3">
        <v>5</v>
      </c>
      <c r="C4968" s="3">
        <v>136</v>
      </c>
      <c r="D4968" s="3">
        <v>117</v>
      </c>
      <c r="E4968" s="3">
        <v>-8885.746</v>
      </c>
      <c r="F4968" s="4" t="str">
        <f>HYPERLINK("http://141.218.60.56/~jnz1568/getInfo.php?workbook=10_05.xlsx&amp;sheet=A0&amp;row=4968&amp;col=6&amp;number=6980&amp;sourceID=14","6980")</f>
        <v>6980</v>
      </c>
      <c r="G4968" s="4" t="str">
        <f>HYPERLINK("http://141.218.60.56/~jnz1568/getInfo.php?workbook=10_05.xlsx&amp;sheet=A0&amp;row=4968&amp;col=7&amp;number=0&amp;sourceID=14","0")</f>
        <v>0</v>
      </c>
    </row>
    <row r="4969" spans="1:7">
      <c r="A4969" s="3">
        <v>10</v>
      </c>
      <c r="B4969" s="3">
        <v>5</v>
      </c>
      <c r="C4969" s="3">
        <v>142</v>
      </c>
      <c r="D4969" s="3">
        <v>117</v>
      </c>
      <c r="E4969" s="3">
        <v>-6492.675</v>
      </c>
      <c r="F4969" s="4" t="str">
        <f>HYPERLINK("http://141.218.60.56/~jnz1568/getInfo.php?workbook=10_05.xlsx&amp;sheet=A0&amp;row=4969&amp;col=6&amp;number=119000&amp;sourceID=14","119000")</f>
        <v>119000</v>
      </c>
      <c r="G4969" s="4" t="str">
        <f>HYPERLINK("http://141.218.60.56/~jnz1568/getInfo.php?workbook=10_05.xlsx&amp;sheet=A0&amp;row=4969&amp;col=7&amp;number=0&amp;sourceID=14","0")</f>
        <v>0</v>
      </c>
    </row>
    <row r="4970" spans="1:7">
      <c r="A4970" s="3">
        <v>10</v>
      </c>
      <c r="B4970" s="3">
        <v>5</v>
      </c>
      <c r="C4970" s="3">
        <v>143</v>
      </c>
      <c r="D4970" s="3">
        <v>117</v>
      </c>
      <c r="E4970" s="3">
        <v>-6387.747</v>
      </c>
      <c r="F4970" s="4" t="str">
        <f>HYPERLINK("http://141.218.60.56/~jnz1568/getInfo.php?workbook=10_05.xlsx&amp;sheet=A0&amp;row=4970&amp;col=6&amp;number=889000&amp;sourceID=14","889000")</f>
        <v>889000</v>
      </c>
      <c r="G4970" s="4" t="str">
        <f>HYPERLINK("http://141.218.60.56/~jnz1568/getInfo.php?workbook=10_05.xlsx&amp;sheet=A0&amp;row=4970&amp;col=7&amp;number=0&amp;sourceID=14","0")</f>
        <v>0</v>
      </c>
    </row>
    <row r="4971" spans="1:7">
      <c r="A4971" s="3">
        <v>10</v>
      </c>
      <c r="B4971" s="3">
        <v>5</v>
      </c>
      <c r="C4971" s="3">
        <v>144</v>
      </c>
      <c r="D4971" s="3">
        <v>117</v>
      </c>
      <c r="E4971" s="3">
        <v>-6308.364</v>
      </c>
      <c r="F4971" s="4" t="str">
        <f>HYPERLINK("http://141.218.60.56/~jnz1568/getInfo.php?workbook=10_05.xlsx&amp;sheet=A0&amp;row=4971&amp;col=6&amp;number=8160000&amp;sourceID=14","8160000")</f>
        <v>8160000</v>
      </c>
      <c r="G4971" s="4" t="str">
        <f>HYPERLINK("http://141.218.60.56/~jnz1568/getInfo.php?workbook=10_05.xlsx&amp;sheet=A0&amp;row=4971&amp;col=7&amp;number=0&amp;sourceID=14","0")</f>
        <v>0</v>
      </c>
    </row>
    <row r="4972" spans="1:7">
      <c r="A4972" s="3">
        <v>10</v>
      </c>
      <c r="B4972" s="3">
        <v>5</v>
      </c>
      <c r="C4972" s="3">
        <v>145</v>
      </c>
      <c r="D4972" s="3">
        <v>117</v>
      </c>
      <c r="E4972" s="3">
        <v>-5969.447</v>
      </c>
      <c r="F4972" s="4" t="str">
        <f>HYPERLINK("http://141.218.60.56/~jnz1568/getInfo.php?workbook=10_05.xlsx&amp;sheet=A0&amp;row=4972&amp;col=6&amp;number=719000&amp;sourceID=14","719000")</f>
        <v>719000</v>
      </c>
      <c r="G4972" s="4" t="str">
        <f>HYPERLINK("http://141.218.60.56/~jnz1568/getInfo.php?workbook=10_05.xlsx&amp;sheet=A0&amp;row=4972&amp;col=7&amp;number=0&amp;sourceID=14","0")</f>
        <v>0</v>
      </c>
    </row>
    <row r="4973" spans="1:7">
      <c r="A4973" s="3">
        <v>10</v>
      </c>
      <c r="B4973" s="3">
        <v>5</v>
      </c>
      <c r="C4973" s="3">
        <v>146</v>
      </c>
      <c r="D4973" s="3">
        <v>117</v>
      </c>
      <c r="E4973" s="3">
        <v>-5884.441</v>
      </c>
      <c r="F4973" s="4" t="str">
        <f>HYPERLINK("http://141.218.60.56/~jnz1568/getInfo.php?workbook=10_05.xlsx&amp;sheet=A0&amp;row=4973&amp;col=6&amp;number=333000&amp;sourceID=14","333000")</f>
        <v>333000</v>
      </c>
      <c r="G4973" s="4" t="str">
        <f>HYPERLINK("http://141.218.60.56/~jnz1568/getInfo.php?workbook=10_05.xlsx&amp;sheet=A0&amp;row=4973&amp;col=7&amp;number=0&amp;sourceID=14","0")</f>
        <v>0</v>
      </c>
    </row>
    <row r="4974" spans="1:7">
      <c r="A4974" s="3">
        <v>10</v>
      </c>
      <c r="B4974" s="3">
        <v>5</v>
      </c>
      <c r="C4974" s="3">
        <v>147</v>
      </c>
      <c r="D4974" s="3">
        <v>117</v>
      </c>
      <c r="E4974" s="3">
        <v>-5761.707</v>
      </c>
      <c r="F4974" s="4" t="str">
        <f>HYPERLINK("http://141.218.60.56/~jnz1568/getInfo.php?workbook=10_05.xlsx&amp;sheet=A0&amp;row=4974&amp;col=6&amp;number=5140000&amp;sourceID=14","5140000")</f>
        <v>5140000</v>
      </c>
      <c r="G4974" s="4" t="str">
        <f>HYPERLINK("http://141.218.60.56/~jnz1568/getInfo.php?workbook=10_05.xlsx&amp;sheet=A0&amp;row=4974&amp;col=7&amp;number=0&amp;sourceID=14","0")</f>
        <v>0</v>
      </c>
    </row>
    <row r="4975" spans="1:7">
      <c r="A4975" s="3">
        <v>10</v>
      </c>
      <c r="B4975" s="3">
        <v>5</v>
      </c>
      <c r="C4975" s="3">
        <v>148</v>
      </c>
      <c r="D4975" s="3">
        <v>117</v>
      </c>
      <c r="E4975" s="3">
        <v>-5729.356</v>
      </c>
      <c r="F4975" s="4" t="str">
        <f>HYPERLINK("http://141.218.60.56/~jnz1568/getInfo.php?workbook=10_05.xlsx&amp;sheet=A0&amp;row=4975&amp;col=6&amp;number=1910000&amp;sourceID=14","1910000")</f>
        <v>1910000</v>
      </c>
      <c r="G4975" s="4" t="str">
        <f>HYPERLINK("http://141.218.60.56/~jnz1568/getInfo.php?workbook=10_05.xlsx&amp;sheet=A0&amp;row=4975&amp;col=7&amp;number=0&amp;sourceID=14","0")</f>
        <v>0</v>
      </c>
    </row>
    <row r="4976" spans="1:7">
      <c r="A4976" s="3">
        <v>10</v>
      </c>
      <c r="B4976" s="3">
        <v>5</v>
      </c>
      <c r="C4976" s="3">
        <v>152</v>
      </c>
      <c r="D4976" s="3">
        <v>117</v>
      </c>
      <c r="E4976" s="3">
        <v>-4363.2</v>
      </c>
      <c r="F4976" s="4" t="str">
        <f>HYPERLINK("http://141.218.60.56/~jnz1568/getInfo.php?workbook=10_05.xlsx&amp;sheet=A0&amp;row=4976&amp;col=6&amp;number=218&amp;sourceID=14","218")</f>
        <v>218</v>
      </c>
      <c r="G4976" s="4" t="str">
        <f>HYPERLINK("http://141.218.60.56/~jnz1568/getInfo.php?workbook=10_05.xlsx&amp;sheet=A0&amp;row=4976&amp;col=7&amp;number=0&amp;sourceID=14","0")</f>
        <v>0</v>
      </c>
    </row>
    <row r="4977" spans="1:7">
      <c r="A4977" s="3">
        <v>10</v>
      </c>
      <c r="B4977" s="3">
        <v>5</v>
      </c>
      <c r="C4977" s="3">
        <v>153</v>
      </c>
      <c r="D4977" s="3">
        <v>117</v>
      </c>
      <c r="E4977" s="3">
        <v>-4215.859</v>
      </c>
      <c r="F4977" s="4" t="str">
        <f>HYPERLINK("http://141.218.60.56/~jnz1568/getInfo.php?workbook=10_05.xlsx&amp;sheet=A0&amp;row=4977&amp;col=6&amp;number=4680&amp;sourceID=14","4680")</f>
        <v>4680</v>
      </c>
      <c r="G4977" s="4" t="str">
        <f>HYPERLINK("http://141.218.60.56/~jnz1568/getInfo.php?workbook=10_05.xlsx&amp;sheet=A0&amp;row=4977&amp;col=7&amp;number=0&amp;sourceID=14","0")</f>
        <v>0</v>
      </c>
    </row>
    <row r="4978" spans="1:7">
      <c r="A4978" s="3">
        <v>10</v>
      </c>
      <c r="B4978" s="3">
        <v>5</v>
      </c>
      <c r="C4978" s="3">
        <v>158</v>
      </c>
      <c r="D4978" s="3">
        <v>117</v>
      </c>
      <c r="E4978" s="3">
        <v>-3920.192</v>
      </c>
      <c r="F4978" s="4" t="str">
        <f>HYPERLINK("http://141.218.60.56/~jnz1568/getInfo.php?workbook=10_05.xlsx&amp;sheet=A0&amp;row=4978&amp;col=6&amp;number=407&amp;sourceID=14","407")</f>
        <v>407</v>
      </c>
      <c r="G4978" s="4" t="str">
        <f>HYPERLINK("http://141.218.60.56/~jnz1568/getInfo.php?workbook=10_05.xlsx&amp;sheet=A0&amp;row=4978&amp;col=7&amp;number=0&amp;sourceID=14","0")</f>
        <v>0</v>
      </c>
    </row>
    <row r="4979" spans="1:7">
      <c r="A4979" s="3">
        <v>10</v>
      </c>
      <c r="B4979" s="3">
        <v>5</v>
      </c>
      <c r="C4979" s="3">
        <v>165</v>
      </c>
      <c r="D4979" s="3">
        <v>117</v>
      </c>
      <c r="E4979" s="3">
        <v>-1385.044</v>
      </c>
      <c r="F4979" s="4" t="str">
        <f>HYPERLINK("http://141.218.60.56/~jnz1568/getInfo.php?workbook=10_05.xlsx&amp;sheet=A0&amp;row=4979&amp;col=6&amp;number=406&amp;sourceID=14","406")</f>
        <v>406</v>
      </c>
      <c r="G4979" s="4" t="str">
        <f>HYPERLINK("http://141.218.60.56/~jnz1568/getInfo.php?workbook=10_05.xlsx&amp;sheet=A0&amp;row=4979&amp;col=7&amp;number=0&amp;sourceID=14","0")</f>
        <v>0</v>
      </c>
    </row>
    <row r="4980" spans="1:7">
      <c r="A4980" s="3">
        <v>10</v>
      </c>
      <c r="B4980" s="3">
        <v>5</v>
      </c>
      <c r="C4980" s="3">
        <v>167</v>
      </c>
      <c r="D4980" s="3">
        <v>117</v>
      </c>
      <c r="E4980" s="3">
        <v>-1006.828</v>
      </c>
      <c r="F4980" s="4" t="str">
        <f>HYPERLINK("http://141.218.60.56/~jnz1568/getInfo.php?workbook=10_05.xlsx&amp;sheet=A0&amp;row=4980&amp;col=6&amp;number=4640&amp;sourceID=14","4640")</f>
        <v>4640</v>
      </c>
      <c r="G4980" s="4" t="str">
        <f>HYPERLINK("http://141.218.60.56/~jnz1568/getInfo.php?workbook=10_05.xlsx&amp;sheet=A0&amp;row=4980&amp;col=7&amp;number=0&amp;sourceID=14","0")</f>
        <v>0</v>
      </c>
    </row>
    <row r="4981" spans="1:7">
      <c r="A4981" s="3">
        <v>10</v>
      </c>
      <c r="B4981" s="3">
        <v>5</v>
      </c>
      <c r="C4981" s="3">
        <v>175</v>
      </c>
      <c r="D4981" s="3">
        <v>117</v>
      </c>
      <c r="E4981" s="3">
        <v>-764.545</v>
      </c>
      <c r="F4981" s="4" t="str">
        <f>HYPERLINK("http://141.218.60.56/~jnz1568/getInfo.php?workbook=10_05.xlsx&amp;sheet=A0&amp;row=4981&amp;col=6&amp;number=7720&amp;sourceID=14","7720")</f>
        <v>7720</v>
      </c>
      <c r="G4981" s="4" t="str">
        <f>HYPERLINK("http://141.218.60.56/~jnz1568/getInfo.php?workbook=10_05.xlsx&amp;sheet=A0&amp;row=4981&amp;col=7&amp;number=0&amp;sourceID=14","0")</f>
        <v>0</v>
      </c>
    </row>
    <row r="4982" spans="1:7">
      <c r="A4982" s="3">
        <v>10</v>
      </c>
      <c r="B4982" s="3">
        <v>5</v>
      </c>
      <c r="C4982" s="3">
        <v>176</v>
      </c>
      <c r="D4982" s="3">
        <v>117</v>
      </c>
      <c r="E4982" s="3">
        <v>-764.539</v>
      </c>
      <c r="F4982" s="4" t="str">
        <f>HYPERLINK("http://141.218.60.56/~jnz1568/getInfo.php?workbook=10_05.xlsx&amp;sheet=A0&amp;row=4982&amp;col=6&amp;number=610&amp;sourceID=14","610")</f>
        <v>610</v>
      </c>
      <c r="G4982" s="4" t="str">
        <f>HYPERLINK("http://141.218.60.56/~jnz1568/getInfo.php?workbook=10_05.xlsx&amp;sheet=A0&amp;row=4982&amp;col=7&amp;number=0&amp;sourceID=14","0")</f>
        <v>0</v>
      </c>
    </row>
    <row r="4983" spans="1:7">
      <c r="A4983" s="3">
        <v>10</v>
      </c>
      <c r="B4983" s="3">
        <v>5</v>
      </c>
      <c r="C4983" s="3">
        <v>177</v>
      </c>
      <c r="D4983" s="3">
        <v>117</v>
      </c>
      <c r="E4983" s="3">
        <v>-759.366</v>
      </c>
      <c r="F4983" s="4" t="str">
        <f>HYPERLINK("http://141.218.60.56/~jnz1568/getInfo.php?workbook=10_05.xlsx&amp;sheet=A0&amp;row=4983&amp;col=6&amp;number=2230&amp;sourceID=14","2230")</f>
        <v>2230</v>
      </c>
      <c r="G4983" s="4" t="str">
        <f>HYPERLINK("http://141.218.60.56/~jnz1568/getInfo.php?workbook=10_05.xlsx&amp;sheet=A0&amp;row=4983&amp;col=7&amp;number=0&amp;sourceID=14","0")</f>
        <v>0</v>
      </c>
    </row>
    <row r="4984" spans="1:7">
      <c r="A4984" s="3">
        <v>10</v>
      </c>
      <c r="B4984" s="3">
        <v>5</v>
      </c>
      <c r="C4984" s="3">
        <v>178</v>
      </c>
      <c r="D4984" s="3">
        <v>117</v>
      </c>
      <c r="E4984" s="3">
        <v>-759.113</v>
      </c>
      <c r="F4984" s="4" t="str">
        <f>HYPERLINK("http://141.218.60.56/~jnz1568/getInfo.php?workbook=10_05.xlsx&amp;sheet=A0&amp;row=4984&amp;col=6&amp;number=16700&amp;sourceID=14","16700")</f>
        <v>16700</v>
      </c>
      <c r="G4984" s="4" t="str">
        <f>HYPERLINK("http://141.218.60.56/~jnz1568/getInfo.php?workbook=10_05.xlsx&amp;sheet=A0&amp;row=4984&amp;col=7&amp;number=0&amp;sourceID=14","0")</f>
        <v>0</v>
      </c>
    </row>
    <row r="4985" spans="1:7">
      <c r="A4985" s="3">
        <v>10</v>
      </c>
      <c r="B4985" s="3">
        <v>5</v>
      </c>
      <c r="C4985" s="3">
        <v>180</v>
      </c>
      <c r="D4985" s="3">
        <v>117</v>
      </c>
      <c r="E4985" s="3">
        <v>-736.265</v>
      </c>
      <c r="F4985" s="4" t="str">
        <f>HYPERLINK("http://141.218.60.56/~jnz1568/getInfo.php?workbook=10_05.xlsx&amp;sheet=A0&amp;row=4985&amp;col=6&amp;number=2660&amp;sourceID=14","2660")</f>
        <v>2660</v>
      </c>
      <c r="G4985" s="4" t="str">
        <f>HYPERLINK("http://141.218.60.56/~jnz1568/getInfo.php?workbook=10_05.xlsx&amp;sheet=A0&amp;row=4985&amp;col=7&amp;number=0&amp;sourceID=14","0")</f>
        <v>0</v>
      </c>
    </row>
    <row r="4986" spans="1:7">
      <c r="A4986" s="3">
        <v>10</v>
      </c>
      <c r="B4986" s="3">
        <v>5</v>
      </c>
      <c r="C4986" s="3">
        <v>127</v>
      </c>
      <c r="D4986" s="3">
        <v>118</v>
      </c>
      <c r="E4986" s="3">
        <v>-17721.103</v>
      </c>
      <c r="F4986" s="4" t="str">
        <f>HYPERLINK("http://141.218.60.56/~jnz1568/getInfo.php?workbook=10_05.xlsx&amp;sheet=A0&amp;row=4986&amp;col=6&amp;number=58&amp;sourceID=14","58")</f>
        <v>58</v>
      </c>
      <c r="G4986" s="4" t="str">
        <f>HYPERLINK("http://141.218.60.56/~jnz1568/getInfo.php?workbook=10_05.xlsx&amp;sheet=A0&amp;row=4986&amp;col=7&amp;number=0&amp;sourceID=14","0")</f>
        <v>0</v>
      </c>
    </row>
    <row r="4987" spans="1:7">
      <c r="A4987" s="3">
        <v>10</v>
      </c>
      <c r="B4987" s="3">
        <v>5</v>
      </c>
      <c r="C4987" s="3">
        <v>128</v>
      </c>
      <c r="D4987" s="3">
        <v>118</v>
      </c>
      <c r="E4987" s="3">
        <v>-16415.001</v>
      </c>
      <c r="F4987" s="4" t="str">
        <f>HYPERLINK("http://141.218.60.56/~jnz1568/getInfo.php?workbook=10_05.xlsx&amp;sheet=A0&amp;row=4987&amp;col=6&amp;number=195&amp;sourceID=14","195")</f>
        <v>195</v>
      </c>
      <c r="G4987" s="4" t="str">
        <f>HYPERLINK("http://141.218.60.56/~jnz1568/getInfo.php?workbook=10_05.xlsx&amp;sheet=A0&amp;row=4987&amp;col=7&amp;number=0&amp;sourceID=14","0")</f>
        <v>0</v>
      </c>
    </row>
    <row r="4988" spans="1:7">
      <c r="A4988" s="3">
        <v>10</v>
      </c>
      <c r="B4988" s="3">
        <v>5</v>
      </c>
      <c r="C4988" s="3">
        <v>134</v>
      </c>
      <c r="D4988" s="3">
        <v>118</v>
      </c>
      <c r="E4988" s="3">
        <v>-9460.755</v>
      </c>
      <c r="F4988" s="4" t="str">
        <f>HYPERLINK("http://141.218.60.56/~jnz1568/getInfo.php?workbook=10_05.xlsx&amp;sheet=A0&amp;row=4988&amp;col=6&amp;number=1420&amp;sourceID=14","1420")</f>
        <v>1420</v>
      </c>
      <c r="G4988" s="4" t="str">
        <f>HYPERLINK("http://141.218.60.56/~jnz1568/getInfo.php?workbook=10_05.xlsx&amp;sheet=A0&amp;row=4988&amp;col=7&amp;number=0&amp;sourceID=14","0")</f>
        <v>0</v>
      </c>
    </row>
    <row r="4989" spans="1:7">
      <c r="A4989" s="3">
        <v>10</v>
      </c>
      <c r="B4989" s="3">
        <v>5</v>
      </c>
      <c r="C4989" s="3">
        <v>135</v>
      </c>
      <c r="D4989" s="3">
        <v>118</v>
      </c>
      <c r="E4989" s="3">
        <v>-9249.855</v>
      </c>
      <c r="F4989" s="4" t="str">
        <f>HYPERLINK("http://141.218.60.56/~jnz1568/getInfo.php?workbook=10_05.xlsx&amp;sheet=A0&amp;row=4989&amp;col=6&amp;number=4960&amp;sourceID=14","4960")</f>
        <v>4960</v>
      </c>
      <c r="G4989" s="4" t="str">
        <f>HYPERLINK("http://141.218.60.56/~jnz1568/getInfo.php?workbook=10_05.xlsx&amp;sheet=A0&amp;row=4989&amp;col=7&amp;number=0&amp;sourceID=14","0")</f>
        <v>0</v>
      </c>
    </row>
    <row r="4990" spans="1:7">
      <c r="A4990" s="3">
        <v>10</v>
      </c>
      <c r="B4990" s="3">
        <v>5</v>
      </c>
      <c r="C4990" s="3">
        <v>141</v>
      </c>
      <c r="D4990" s="3">
        <v>118</v>
      </c>
      <c r="E4990" s="3">
        <v>-6545.8</v>
      </c>
      <c r="F4990" s="4" t="str">
        <f>HYPERLINK("http://141.218.60.56/~jnz1568/getInfo.php?workbook=10_05.xlsx&amp;sheet=A0&amp;row=4990&amp;col=6&amp;number=1070000&amp;sourceID=14","1070000")</f>
        <v>1070000</v>
      </c>
      <c r="G4990" s="4" t="str">
        <f>HYPERLINK("http://141.218.60.56/~jnz1568/getInfo.php?workbook=10_05.xlsx&amp;sheet=A0&amp;row=4990&amp;col=7&amp;number=0&amp;sourceID=14","0")</f>
        <v>0</v>
      </c>
    </row>
    <row r="4991" spans="1:7">
      <c r="A4991" s="3">
        <v>10</v>
      </c>
      <c r="B4991" s="3">
        <v>5</v>
      </c>
      <c r="C4991" s="3">
        <v>142</v>
      </c>
      <c r="D4991" s="3">
        <v>118</v>
      </c>
      <c r="E4991" s="3">
        <v>-6527.001</v>
      </c>
      <c r="F4991" s="4" t="str">
        <f>HYPERLINK("http://141.218.60.56/~jnz1568/getInfo.php?workbook=10_05.xlsx&amp;sheet=A0&amp;row=4991&amp;col=6&amp;number=3970000&amp;sourceID=14","3970000")</f>
        <v>3970000</v>
      </c>
      <c r="G4991" s="4" t="str">
        <f>HYPERLINK("http://141.218.60.56/~jnz1568/getInfo.php?workbook=10_05.xlsx&amp;sheet=A0&amp;row=4991&amp;col=7&amp;number=0&amp;sourceID=14","0")</f>
        <v>0</v>
      </c>
    </row>
    <row r="4992" spans="1:7">
      <c r="A4992" s="3">
        <v>10</v>
      </c>
      <c r="B4992" s="3">
        <v>5</v>
      </c>
      <c r="C4992" s="3">
        <v>143</v>
      </c>
      <c r="D4992" s="3">
        <v>118</v>
      </c>
      <c r="E4992" s="3">
        <v>-6420.97</v>
      </c>
      <c r="F4992" s="4" t="str">
        <f>HYPERLINK("http://141.218.60.56/~jnz1568/getInfo.php?workbook=10_05.xlsx&amp;sheet=A0&amp;row=4992&amp;col=6&amp;number=7650000&amp;sourceID=14","7650000")</f>
        <v>7650000</v>
      </c>
      <c r="G4992" s="4" t="str">
        <f>HYPERLINK("http://141.218.60.56/~jnz1568/getInfo.php?workbook=10_05.xlsx&amp;sheet=A0&amp;row=4992&amp;col=7&amp;number=0&amp;sourceID=14","0")</f>
        <v>0</v>
      </c>
    </row>
    <row r="4993" spans="1:7">
      <c r="A4993" s="3">
        <v>10</v>
      </c>
      <c r="B4993" s="3">
        <v>5</v>
      </c>
      <c r="C4993" s="3">
        <v>145</v>
      </c>
      <c r="D4993" s="3">
        <v>118</v>
      </c>
      <c r="E4993" s="3">
        <v>-5998.451</v>
      </c>
      <c r="F4993" s="4" t="str">
        <f>HYPERLINK("http://141.218.60.56/~jnz1568/getInfo.php?workbook=10_05.xlsx&amp;sheet=A0&amp;row=4993&amp;col=6&amp;number=244000&amp;sourceID=14","244000")</f>
        <v>244000</v>
      </c>
      <c r="G4993" s="4" t="str">
        <f>HYPERLINK("http://141.218.60.56/~jnz1568/getInfo.php?workbook=10_05.xlsx&amp;sheet=A0&amp;row=4993&amp;col=7&amp;number=0&amp;sourceID=14","0")</f>
        <v>0</v>
      </c>
    </row>
    <row r="4994" spans="1:7">
      <c r="A4994" s="3">
        <v>10</v>
      </c>
      <c r="B4994" s="3">
        <v>5</v>
      </c>
      <c r="C4994" s="3">
        <v>146</v>
      </c>
      <c r="D4994" s="3">
        <v>118</v>
      </c>
      <c r="E4994" s="3">
        <v>-5912.622</v>
      </c>
      <c r="F4994" s="4" t="str">
        <f>HYPERLINK("http://141.218.60.56/~jnz1568/getInfo.php?workbook=10_05.xlsx&amp;sheet=A0&amp;row=4994&amp;col=6&amp;number=101000&amp;sourceID=14","101000")</f>
        <v>101000</v>
      </c>
      <c r="G4994" s="4" t="str">
        <f>HYPERLINK("http://141.218.60.56/~jnz1568/getInfo.php?workbook=10_05.xlsx&amp;sheet=A0&amp;row=4994&amp;col=7&amp;number=0&amp;sourceID=14","0")</f>
        <v>0</v>
      </c>
    </row>
    <row r="4995" spans="1:7">
      <c r="A4995" s="3">
        <v>10</v>
      </c>
      <c r="B4995" s="3">
        <v>5</v>
      </c>
      <c r="C4995" s="3">
        <v>147</v>
      </c>
      <c r="D4995" s="3">
        <v>118</v>
      </c>
      <c r="E4995" s="3">
        <v>-5788.723</v>
      </c>
      <c r="F4995" s="4" t="str">
        <f>HYPERLINK("http://141.218.60.56/~jnz1568/getInfo.php?workbook=10_05.xlsx&amp;sheet=A0&amp;row=4995&amp;col=6&amp;number=127000&amp;sourceID=14","127000")</f>
        <v>127000</v>
      </c>
      <c r="G4995" s="4" t="str">
        <f>HYPERLINK("http://141.218.60.56/~jnz1568/getInfo.php?workbook=10_05.xlsx&amp;sheet=A0&amp;row=4995&amp;col=7&amp;number=0&amp;sourceID=14","0")</f>
        <v>0</v>
      </c>
    </row>
    <row r="4996" spans="1:7">
      <c r="A4996" s="3">
        <v>10</v>
      </c>
      <c r="B4996" s="3">
        <v>5</v>
      </c>
      <c r="C4996" s="3">
        <v>148</v>
      </c>
      <c r="D4996" s="3">
        <v>118</v>
      </c>
      <c r="E4996" s="3">
        <v>-5756.069</v>
      </c>
      <c r="F4996" s="4" t="str">
        <f>HYPERLINK("http://141.218.60.56/~jnz1568/getInfo.php?workbook=10_05.xlsx&amp;sheet=A0&amp;row=4996&amp;col=6&amp;number=913000&amp;sourceID=14","913000")</f>
        <v>913000</v>
      </c>
      <c r="G4996" s="4" t="str">
        <f>HYPERLINK("http://141.218.60.56/~jnz1568/getInfo.php?workbook=10_05.xlsx&amp;sheet=A0&amp;row=4996&amp;col=7&amp;number=0&amp;sourceID=14","0")</f>
        <v>0</v>
      </c>
    </row>
    <row r="4997" spans="1:7">
      <c r="A4997" s="3">
        <v>10</v>
      </c>
      <c r="B4997" s="3">
        <v>5</v>
      </c>
      <c r="C4997" s="3">
        <v>149</v>
      </c>
      <c r="D4997" s="3">
        <v>118</v>
      </c>
      <c r="E4997" s="3">
        <v>-5723.454</v>
      </c>
      <c r="F4997" s="4" t="str">
        <f>HYPERLINK("http://141.218.60.56/~jnz1568/getInfo.php?workbook=10_05.xlsx&amp;sheet=A0&amp;row=4997&amp;col=6&amp;number=3920000&amp;sourceID=14","3920000")</f>
        <v>3920000</v>
      </c>
      <c r="G4997" s="4" t="str">
        <f>HYPERLINK("http://141.218.60.56/~jnz1568/getInfo.php?workbook=10_05.xlsx&amp;sheet=A0&amp;row=4997&amp;col=7&amp;number=0&amp;sourceID=14","0")</f>
        <v>0</v>
      </c>
    </row>
    <row r="4998" spans="1:7">
      <c r="A4998" s="3">
        <v>10</v>
      </c>
      <c r="B4998" s="3">
        <v>5</v>
      </c>
      <c r="C4998" s="3">
        <v>152</v>
      </c>
      <c r="D4998" s="3">
        <v>118</v>
      </c>
      <c r="E4998" s="3">
        <v>-4378.675</v>
      </c>
      <c r="F4998" s="4" t="str">
        <f>HYPERLINK("http://141.218.60.56/~jnz1568/getInfo.php?workbook=10_05.xlsx&amp;sheet=A0&amp;row=4998&amp;col=6&amp;number=1220&amp;sourceID=14","1220")</f>
        <v>1220</v>
      </c>
      <c r="G4998" s="4" t="str">
        <f>HYPERLINK("http://141.218.60.56/~jnz1568/getInfo.php?workbook=10_05.xlsx&amp;sheet=A0&amp;row=4998&amp;col=7&amp;number=0&amp;sourceID=14","0")</f>
        <v>0</v>
      </c>
    </row>
    <row r="4999" spans="1:7">
      <c r="A4999" s="3">
        <v>10</v>
      </c>
      <c r="B4999" s="3">
        <v>5</v>
      </c>
      <c r="C4999" s="3">
        <v>158</v>
      </c>
      <c r="D4999" s="3">
        <v>118</v>
      </c>
      <c r="E4999" s="3">
        <v>-3932.68</v>
      </c>
      <c r="F4999" s="4" t="str">
        <f>HYPERLINK("http://141.218.60.56/~jnz1568/getInfo.php?workbook=10_05.xlsx&amp;sheet=A0&amp;row=4999&amp;col=6&amp;number=2790&amp;sourceID=14","2790")</f>
        <v>2790</v>
      </c>
      <c r="G4999" s="4" t="str">
        <f>HYPERLINK("http://141.218.60.56/~jnz1568/getInfo.php?workbook=10_05.xlsx&amp;sheet=A0&amp;row=4999&amp;col=7&amp;number=0&amp;sourceID=14","0")</f>
        <v>0</v>
      </c>
    </row>
    <row r="5000" spans="1:7">
      <c r="A5000" s="3">
        <v>10</v>
      </c>
      <c r="B5000" s="3">
        <v>5</v>
      </c>
      <c r="C5000" s="3">
        <v>159</v>
      </c>
      <c r="D5000" s="3">
        <v>118</v>
      </c>
      <c r="E5000" s="3">
        <v>-3867.581</v>
      </c>
      <c r="F5000" s="4" t="str">
        <f>HYPERLINK("http://141.218.60.56/~jnz1568/getInfo.php?workbook=10_05.xlsx&amp;sheet=A0&amp;row=5000&amp;col=6&amp;number=410&amp;sourceID=14","410")</f>
        <v>410</v>
      </c>
      <c r="G5000" s="4" t="str">
        <f>HYPERLINK("http://141.218.60.56/~jnz1568/getInfo.php?workbook=10_05.xlsx&amp;sheet=A0&amp;row=5000&amp;col=7&amp;number=0&amp;sourceID=14","0")</f>
        <v>0</v>
      </c>
    </row>
    <row r="5001" spans="1:7">
      <c r="A5001" s="3">
        <v>10</v>
      </c>
      <c r="B5001" s="3">
        <v>5</v>
      </c>
      <c r="C5001" s="3">
        <v>164</v>
      </c>
      <c r="D5001" s="3">
        <v>118</v>
      </c>
      <c r="E5001" s="3">
        <v>-1389.239</v>
      </c>
      <c r="F5001" s="4" t="str">
        <f>HYPERLINK("http://141.218.60.56/~jnz1568/getInfo.php?workbook=10_05.xlsx&amp;sheet=A0&amp;row=5001&amp;col=6&amp;number=476&amp;sourceID=14","476")</f>
        <v>476</v>
      </c>
      <c r="G5001" s="4" t="str">
        <f>HYPERLINK("http://141.218.60.56/~jnz1568/getInfo.php?workbook=10_05.xlsx&amp;sheet=A0&amp;row=5001&amp;col=7&amp;number=0&amp;sourceID=14","0")</f>
        <v>0</v>
      </c>
    </row>
    <row r="5002" spans="1:7">
      <c r="A5002" s="3">
        <v>10</v>
      </c>
      <c r="B5002" s="3">
        <v>5</v>
      </c>
      <c r="C5002" s="3">
        <v>165</v>
      </c>
      <c r="D5002" s="3">
        <v>118</v>
      </c>
      <c r="E5002" s="3">
        <v>-1386.6</v>
      </c>
      <c r="F5002" s="4" t="str">
        <f>HYPERLINK("http://141.218.60.56/~jnz1568/getInfo.php?workbook=10_05.xlsx&amp;sheet=A0&amp;row=5002&amp;col=6&amp;number=187&amp;sourceID=14","187")</f>
        <v>187</v>
      </c>
      <c r="G5002" s="4" t="str">
        <f>HYPERLINK("http://141.218.60.56/~jnz1568/getInfo.php?workbook=10_05.xlsx&amp;sheet=A0&amp;row=5002&amp;col=7&amp;number=0&amp;sourceID=14","0")</f>
        <v>0</v>
      </c>
    </row>
    <row r="5003" spans="1:7">
      <c r="A5003" s="3">
        <v>10</v>
      </c>
      <c r="B5003" s="3">
        <v>5</v>
      </c>
      <c r="C5003" s="3">
        <v>166</v>
      </c>
      <c r="D5003" s="3">
        <v>118</v>
      </c>
      <c r="E5003" s="3">
        <v>-1008.077</v>
      </c>
      <c r="F5003" s="4" t="str">
        <f>HYPERLINK("http://141.218.60.56/~jnz1568/getInfo.php?workbook=10_05.xlsx&amp;sheet=A0&amp;row=5003&amp;col=6&amp;number=688&amp;sourceID=14","688")</f>
        <v>688</v>
      </c>
      <c r="G5003" s="4" t="str">
        <f>HYPERLINK("http://141.218.60.56/~jnz1568/getInfo.php?workbook=10_05.xlsx&amp;sheet=A0&amp;row=5003&amp;col=7&amp;number=0&amp;sourceID=14","0")</f>
        <v>0</v>
      </c>
    </row>
    <row r="5004" spans="1:7">
      <c r="A5004" s="3">
        <v>10</v>
      </c>
      <c r="B5004" s="3">
        <v>5</v>
      </c>
      <c r="C5004" s="3">
        <v>167</v>
      </c>
      <c r="D5004" s="3">
        <v>118</v>
      </c>
      <c r="E5004" s="3">
        <v>-1007.65</v>
      </c>
      <c r="F5004" s="4" t="str">
        <f>HYPERLINK("http://141.218.60.56/~jnz1568/getInfo.php?workbook=10_05.xlsx&amp;sheet=A0&amp;row=5004&amp;col=6&amp;number=11400&amp;sourceID=14","11400")</f>
        <v>11400</v>
      </c>
      <c r="G5004" s="4" t="str">
        <f>HYPERLINK("http://141.218.60.56/~jnz1568/getInfo.php?workbook=10_05.xlsx&amp;sheet=A0&amp;row=5004&amp;col=7&amp;number=0&amp;sourceID=14","0")</f>
        <v>0</v>
      </c>
    </row>
    <row r="5005" spans="1:7">
      <c r="A5005" s="3">
        <v>10</v>
      </c>
      <c r="B5005" s="3">
        <v>5</v>
      </c>
      <c r="C5005" s="3">
        <v>176</v>
      </c>
      <c r="D5005" s="3">
        <v>118</v>
      </c>
      <c r="E5005" s="3">
        <v>-765.013</v>
      </c>
      <c r="F5005" s="4" t="str">
        <f>HYPERLINK("http://141.218.60.56/~jnz1568/getInfo.php?workbook=10_05.xlsx&amp;sheet=A0&amp;row=5005&amp;col=6&amp;number=1430&amp;sourceID=14","1430")</f>
        <v>1430</v>
      </c>
      <c r="G5005" s="4" t="str">
        <f>HYPERLINK("http://141.218.60.56/~jnz1568/getInfo.php?workbook=10_05.xlsx&amp;sheet=A0&amp;row=5005&amp;col=7&amp;number=0&amp;sourceID=14","0")</f>
        <v>0</v>
      </c>
    </row>
    <row r="5006" spans="1:7">
      <c r="A5006" s="3">
        <v>10</v>
      </c>
      <c r="B5006" s="3">
        <v>5</v>
      </c>
      <c r="C5006" s="3">
        <v>177</v>
      </c>
      <c r="D5006" s="3">
        <v>118</v>
      </c>
      <c r="E5006" s="3">
        <v>-759.834</v>
      </c>
      <c r="F5006" s="4" t="str">
        <f>HYPERLINK("http://141.218.60.56/~jnz1568/getInfo.php?workbook=10_05.xlsx&amp;sheet=A0&amp;row=5006&amp;col=6&amp;number=11600&amp;sourceID=14","11600")</f>
        <v>11600</v>
      </c>
      <c r="G5006" s="4" t="str">
        <f>HYPERLINK("http://141.218.60.56/~jnz1568/getInfo.php?workbook=10_05.xlsx&amp;sheet=A0&amp;row=5006&amp;col=7&amp;number=0&amp;sourceID=14","0")</f>
        <v>0</v>
      </c>
    </row>
    <row r="5007" spans="1:7">
      <c r="A5007" s="3">
        <v>10</v>
      </c>
      <c r="B5007" s="3">
        <v>5</v>
      </c>
      <c r="C5007" s="3">
        <v>178</v>
      </c>
      <c r="D5007" s="3">
        <v>118</v>
      </c>
      <c r="E5007" s="3">
        <v>-759.58</v>
      </c>
      <c r="F5007" s="4" t="str">
        <f>HYPERLINK("http://141.218.60.56/~jnz1568/getInfo.php?workbook=10_05.xlsx&amp;sheet=A0&amp;row=5007&amp;col=6&amp;number=10600&amp;sourceID=14","10600")</f>
        <v>10600</v>
      </c>
      <c r="G5007" s="4" t="str">
        <f>HYPERLINK("http://141.218.60.56/~jnz1568/getInfo.php?workbook=10_05.xlsx&amp;sheet=A0&amp;row=5007&amp;col=7&amp;number=0&amp;sourceID=14","0")</f>
        <v>0</v>
      </c>
    </row>
    <row r="5008" spans="1:7">
      <c r="A5008" s="3">
        <v>10</v>
      </c>
      <c r="B5008" s="3">
        <v>5</v>
      </c>
      <c r="C5008" s="3">
        <v>179</v>
      </c>
      <c r="D5008" s="3">
        <v>118</v>
      </c>
      <c r="E5008" s="3">
        <v>-736.905</v>
      </c>
      <c r="F5008" s="4" t="str">
        <f>HYPERLINK("http://141.218.60.56/~jnz1568/getInfo.php?workbook=10_05.xlsx&amp;sheet=A0&amp;row=5008&amp;col=6&amp;number=17900&amp;sourceID=14","17900")</f>
        <v>17900</v>
      </c>
      <c r="G5008" s="4" t="str">
        <f>HYPERLINK("http://141.218.60.56/~jnz1568/getInfo.php?workbook=10_05.xlsx&amp;sheet=A0&amp;row=5008&amp;col=7&amp;number=0&amp;sourceID=14","0")</f>
        <v>0</v>
      </c>
    </row>
    <row r="5009" spans="1:7">
      <c r="A5009" s="3">
        <v>10</v>
      </c>
      <c r="B5009" s="3">
        <v>5</v>
      </c>
      <c r="C5009" s="3">
        <v>180</v>
      </c>
      <c r="D5009" s="3">
        <v>118</v>
      </c>
      <c r="E5009" s="3">
        <v>-736.704</v>
      </c>
      <c r="F5009" s="4" t="str">
        <f>HYPERLINK("http://141.218.60.56/~jnz1568/getInfo.php?workbook=10_05.xlsx&amp;sheet=A0&amp;row=5009&amp;col=6&amp;number=27600&amp;sourceID=14","27600")</f>
        <v>27600</v>
      </c>
      <c r="G5009" s="4" t="str">
        <f>HYPERLINK("http://141.218.60.56/~jnz1568/getInfo.php?workbook=10_05.xlsx&amp;sheet=A0&amp;row=5009&amp;col=7&amp;number=0&amp;sourceID=14","0")</f>
        <v>0</v>
      </c>
    </row>
    <row r="5010" spans="1:7">
      <c r="A5010" s="3">
        <v>10</v>
      </c>
      <c r="B5010" s="3">
        <v>5</v>
      </c>
      <c r="C5010" s="3">
        <v>127</v>
      </c>
      <c r="D5010" s="3">
        <v>119</v>
      </c>
      <c r="E5010" s="3">
        <v>-17879.525</v>
      </c>
      <c r="F5010" s="4" t="str">
        <f>HYPERLINK("http://141.218.60.56/~jnz1568/getInfo.php?workbook=10_05.xlsx&amp;sheet=A0&amp;row=5010&amp;col=6&amp;number=121&amp;sourceID=14","121")</f>
        <v>121</v>
      </c>
      <c r="G5010" s="4" t="str">
        <f>HYPERLINK("http://141.218.60.56/~jnz1568/getInfo.php?workbook=10_05.xlsx&amp;sheet=A0&amp;row=5010&amp;col=7&amp;number=0&amp;sourceID=14","0")</f>
        <v>0</v>
      </c>
    </row>
    <row r="5011" spans="1:7">
      <c r="A5011" s="3">
        <v>10</v>
      </c>
      <c r="B5011" s="3">
        <v>5</v>
      </c>
      <c r="C5011" s="3">
        <v>128</v>
      </c>
      <c r="D5011" s="3">
        <v>119</v>
      </c>
      <c r="E5011" s="3">
        <v>-16550.841</v>
      </c>
      <c r="F5011" s="4" t="str">
        <f>HYPERLINK("http://141.218.60.56/~jnz1568/getInfo.php?workbook=10_05.xlsx&amp;sheet=A0&amp;row=5011&amp;col=6&amp;number=55.2&amp;sourceID=14","55.2")</f>
        <v>55.2</v>
      </c>
      <c r="G5011" s="4" t="str">
        <f>HYPERLINK("http://141.218.60.56/~jnz1568/getInfo.php?workbook=10_05.xlsx&amp;sheet=A0&amp;row=5011&amp;col=7&amp;number=0&amp;sourceID=14","0")</f>
        <v>0</v>
      </c>
    </row>
    <row r="5012" spans="1:7">
      <c r="A5012" s="3">
        <v>10</v>
      </c>
      <c r="B5012" s="3">
        <v>5</v>
      </c>
      <c r="C5012" s="3">
        <v>134</v>
      </c>
      <c r="D5012" s="3">
        <v>119</v>
      </c>
      <c r="E5012" s="3">
        <v>-9505.721</v>
      </c>
      <c r="F5012" s="4" t="str">
        <f>HYPERLINK("http://141.218.60.56/~jnz1568/getInfo.php?workbook=10_05.xlsx&amp;sheet=A0&amp;row=5012&amp;col=6&amp;number=1340&amp;sourceID=14","1340")</f>
        <v>1340</v>
      </c>
      <c r="G5012" s="4" t="str">
        <f>HYPERLINK("http://141.218.60.56/~jnz1568/getInfo.php?workbook=10_05.xlsx&amp;sheet=A0&amp;row=5012&amp;col=7&amp;number=0&amp;sourceID=14","0")</f>
        <v>0</v>
      </c>
    </row>
    <row r="5013" spans="1:7">
      <c r="A5013" s="3">
        <v>10</v>
      </c>
      <c r="B5013" s="3">
        <v>5</v>
      </c>
      <c r="C5013" s="3">
        <v>141</v>
      </c>
      <c r="D5013" s="3">
        <v>119</v>
      </c>
      <c r="E5013" s="3">
        <v>-6567.294</v>
      </c>
      <c r="F5013" s="4" t="str">
        <f>HYPERLINK("http://141.218.60.56/~jnz1568/getInfo.php?workbook=10_05.xlsx&amp;sheet=A0&amp;row=5013&amp;col=6&amp;number=7820000&amp;sourceID=14","7820000")</f>
        <v>7820000</v>
      </c>
      <c r="G5013" s="4" t="str">
        <f>HYPERLINK("http://141.218.60.56/~jnz1568/getInfo.php?workbook=10_05.xlsx&amp;sheet=A0&amp;row=5013&amp;col=7&amp;number=0&amp;sourceID=14","0")</f>
        <v>0</v>
      </c>
    </row>
    <row r="5014" spans="1:7">
      <c r="A5014" s="3">
        <v>10</v>
      </c>
      <c r="B5014" s="3">
        <v>5</v>
      </c>
      <c r="C5014" s="3">
        <v>142</v>
      </c>
      <c r="D5014" s="3">
        <v>119</v>
      </c>
      <c r="E5014" s="3">
        <v>-6548.372</v>
      </c>
      <c r="F5014" s="4" t="str">
        <f>HYPERLINK("http://141.218.60.56/~jnz1568/getInfo.php?workbook=10_05.xlsx&amp;sheet=A0&amp;row=5014&amp;col=6&amp;number=4590000&amp;sourceID=14","4590000")</f>
        <v>4590000</v>
      </c>
      <c r="G5014" s="4" t="str">
        <f>HYPERLINK("http://141.218.60.56/~jnz1568/getInfo.php?workbook=10_05.xlsx&amp;sheet=A0&amp;row=5014&amp;col=7&amp;number=0&amp;sourceID=14","0")</f>
        <v>0</v>
      </c>
    </row>
    <row r="5015" spans="1:7">
      <c r="A5015" s="3">
        <v>10</v>
      </c>
      <c r="B5015" s="3">
        <v>5</v>
      </c>
      <c r="C5015" s="3">
        <v>145</v>
      </c>
      <c r="D5015" s="3">
        <v>119</v>
      </c>
      <c r="E5015" s="3">
        <v>-6016.496</v>
      </c>
      <c r="F5015" s="4" t="str">
        <f>HYPERLINK("http://141.218.60.56/~jnz1568/getInfo.php?workbook=10_05.xlsx&amp;sheet=A0&amp;row=5015&amp;col=6&amp;number=318000&amp;sourceID=14","318000")</f>
        <v>318000</v>
      </c>
      <c r="G5015" s="4" t="str">
        <f>HYPERLINK("http://141.218.60.56/~jnz1568/getInfo.php?workbook=10_05.xlsx&amp;sheet=A0&amp;row=5015&amp;col=7&amp;number=0&amp;sourceID=14","0")</f>
        <v>0</v>
      </c>
    </row>
    <row r="5016" spans="1:7">
      <c r="A5016" s="3">
        <v>10</v>
      </c>
      <c r="B5016" s="3">
        <v>5</v>
      </c>
      <c r="C5016" s="3">
        <v>148</v>
      </c>
      <c r="D5016" s="3">
        <v>119</v>
      </c>
      <c r="E5016" s="3">
        <v>-5772.683</v>
      </c>
      <c r="F5016" s="4" t="str">
        <f>HYPERLINK("http://141.218.60.56/~jnz1568/getInfo.php?workbook=10_05.xlsx&amp;sheet=A0&amp;row=5016&amp;col=6&amp;number=532000&amp;sourceID=14","532000")</f>
        <v>532000</v>
      </c>
      <c r="G5016" s="4" t="str">
        <f>HYPERLINK("http://141.218.60.56/~jnz1568/getInfo.php?workbook=10_05.xlsx&amp;sheet=A0&amp;row=5016&amp;col=7&amp;number=0&amp;sourceID=14","0")</f>
        <v>0</v>
      </c>
    </row>
    <row r="5017" spans="1:7">
      <c r="A5017" s="3">
        <v>10</v>
      </c>
      <c r="B5017" s="3">
        <v>5</v>
      </c>
      <c r="C5017" s="3">
        <v>149</v>
      </c>
      <c r="D5017" s="3">
        <v>119</v>
      </c>
      <c r="E5017" s="3">
        <v>-5739.88</v>
      </c>
      <c r="F5017" s="4" t="str">
        <f>HYPERLINK("http://141.218.60.56/~jnz1568/getInfo.php?workbook=10_05.xlsx&amp;sheet=A0&amp;row=5017&amp;col=6&amp;number=356000&amp;sourceID=14","356000")</f>
        <v>356000</v>
      </c>
      <c r="G5017" s="4" t="str">
        <f>HYPERLINK("http://141.218.60.56/~jnz1568/getInfo.php?workbook=10_05.xlsx&amp;sheet=A0&amp;row=5017&amp;col=7&amp;number=0&amp;sourceID=14","0")</f>
        <v>0</v>
      </c>
    </row>
    <row r="5018" spans="1:7">
      <c r="A5018" s="3">
        <v>10</v>
      </c>
      <c r="B5018" s="3">
        <v>5</v>
      </c>
      <c r="C5018" s="3">
        <v>158</v>
      </c>
      <c r="D5018" s="3">
        <v>119</v>
      </c>
      <c r="E5018" s="3">
        <v>-3940.428</v>
      </c>
      <c r="F5018" s="4" t="str">
        <f>HYPERLINK("http://141.218.60.56/~jnz1568/getInfo.php?workbook=10_05.xlsx&amp;sheet=A0&amp;row=5018&amp;col=6&amp;number=1620&amp;sourceID=14","1620")</f>
        <v>1620</v>
      </c>
      <c r="G5018" s="4" t="str">
        <f>HYPERLINK("http://141.218.60.56/~jnz1568/getInfo.php?workbook=10_05.xlsx&amp;sheet=A0&amp;row=5018&amp;col=7&amp;number=0&amp;sourceID=14","0")</f>
        <v>0</v>
      </c>
    </row>
    <row r="5019" spans="1:7">
      <c r="A5019" s="3">
        <v>10</v>
      </c>
      <c r="B5019" s="3">
        <v>5</v>
      </c>
      <c r="C5019" s="3">
        <v>159</v>
      </c>
      <c r="D5019" s="3">
        <v>119</v>
      </c>
      <c r="E5019" s="3">
        <v>-3875.075</v>
      </c>
      <c r="F5019" s="4" t="str">
        <f>HYPERLINK("http://141.218.60.56/~jnz1568/getInfo.php?workbook=10_05.xlsx&amp;sheet=A0&amp;row=5019&amp;col=6&amp;number=27.2&amp;sourceID=14","27.2")</f>
        <v>27.2</v>
      </c>
      <c r="G5019" s="4" t="str">
        <f>HYPERLINK("http://141.218.60.56/~jnz1568/getInfo.php?workbook=10_05.xlsx&amp;sheet=A0&amp;row=5019&amp;col=7&amp;number=0&amp;sourceID=14","0")</f>
        <v>0</v>
      </c>
    </row>
    <row r="5020" spans="1:7">
      <c r="A5020" s="3">
        <v>10</v>
      </c>
      <c r="B5020" s="3">
        <v>5</v>
      </c>
      <c r="C5020" s="3">
        <v>164</v>
      </c>
      <c r="D5020" s="3">
        <v>119</v>
      </c>
      <c r="E5020" s="3">
        <v>-1390.204</v>
      </c>
      <c r="F5020" s="4" t="str">
        <f>HYPERLINK("http://141.218.60.56/~jnz1568/getInfo.php?workbook=10_05.xlsx&amp;sheet=A0&amp;row=5020&amp;col=6&amp;number=14300&amp;sourceID=14","14300")</f>
        <v>14300</v>
      </c>
      <c r="G5020" s="4" t="str">
        <f>HYPERLINK("http://141.218.60.56/~jnz1568/getInfo.php?workbook=10_05.xlsx&amp;sheet=A0&amp;row=5020&amp;col=7&amp;number=0&amp;sourceID=14","0")</f>
        <v>0</v>
      </c>
    </row>
    <row r="5021" spans="1:7">
      <c r="A5021" s="3">
        <v>10</v>
      </c>
      <c r="B5021" s="3">
        <v>5</v>
      </c>
      <c r="C5021" s="3">
        <v>165</v>
      </c>
      <c r="D5021" s="3">
        <v>119</v>
      </c>
      <c r="E5021" s="3">
        <v>-1387.562</v>
      </c>
      <c r="F5021" s="4" t="str">
        <f>HYPERLINK("http://141.218.60.56/~jnz1568/getInfo.php?workbook=10_05.xlsx&amp;sheet=A0&amp;row=5021&amp;col=6&amp;number=17600&amp;sourceID=14","17600")</f>
        <v>17600</v>
      </c>
      <c r="G5021" s="4" t="str">
        <f>HYPERLINK("http://141.218.60.56/~jnz1568/getInfo.php?workbook=10_05.xlsx&amp;sheet=A0&amp;row=5021&amp;col=7&amp;number=0&amp;sourceID=14","0")</f>
        <v>0</v>
      </c>
    </row>
    <row r="5022" spans="1:7">
      <c r="A5022" s="3">
        <v>10</v>
      </c>
      <c r="B5022" s="3">
        <v>5</v>
      </c>
      <c r="C5022" s="3">
        <v>166</v>
      </c>
      <c r="D5022" s="3">
        <v>119</v>
      </c>
      <c r="E5022" s="3">
        <v>-1008.585</v>
      </c>
      <c r="F5022" s="4" t="str">
        <f>HYPERLINK("http://141.218.60.56/~jnz1568/getInfo.php?workbook=10_05.xlsx&amp;sheet=A0&amp;row=5022&amp;col=6&amp;number=4250&amp;sourceID=14","4250")</f>
        <v>4250</v>
      </c>
      <c r="G5022" s="4" t="str">
        <f>HYPERLINK("http://141.218.60.56/~jnz1568/getInfo.php?workbook=10_05.xlsx&amp;sheet=A0&amp;row=5022&amp;col=7&amp;number=0&amp;sourceID=14","0")</f>
        <v>0</v>
      </c>
    </row>
    <row r="5023" spans="1:7">
      <c r="A5023" s="3">
        <v>10</v>
      </c>
      <c r="B5023" s="3">
        <v>5</v>
      </c>
      <c r="C5023" s="3">
        <v>167</v>
      </c>
      <c r="D5023" s="3">
        <v>119</v>
      </c>
      <c r="E5023" s="3">
        <v>-1008.158</v>
      </c>
      <c r="F5023" s="4" t="str">
        <f>HYPERLINK("http://141.218.60.56/~jnz1568/getInfo.php?workbook=10_05.xlsx&amp;sheet=A0&amp;row=5023&amp;col=6&amp;number=79&amp;sourceID=14","79")</f>
        <v>79</v>
      </c>
      <c r="G5023" s="4" t="str">
        <f>HYPERLINK("http://141.218.60.56/~jnz1568/getInfo.php?workbook=10_05.xlsx&amp;sheet=A0&amp;row=5023&amp;col=7&amp;number=0&amp;sourceID=14","0")</f>
        <v>0</v>
      </c>
    </row>
    <row r="5024" spans="1:7">
      <c r="A5024" s="3">
        <v>10</v>
      </c>
      <c r="B5024" s="3">
        <v>5</v>
      </c>
      <c r="C5024" s="3">
        <v>177</v>
      </c>
      <c r="D5024" s="3">
        <v>119</v>
      </c>
      <c r="E5024" s="3">
        <v>-760.122</v>
      </c>
      <c r="F5024" s="4" t="str">
        <f>HYPERLINK("http://141.218.60.56/~jnz1568/getInfo.php?workbook=10_05.xlsx&amp;sheet=A0&amp;row=5024&amp;col=6&amp;number=4630&amp;sourceID=14","4630")</f>
        <v>4630</v>
      </c>
      <c r="G5024" s="4" t="str">
        <f>HYPERLINK("http://141.218.60.56/~jnz1568/getInfo.php?workbook=10_05.xlsx&amp;sheet=A0&amp;row=5024&amp;col=7&amp;number=0&amp;sourceID=14","0")</f>
        <v>0</v>
      </c>
    </row>
    <row r="5025" spans="1:7">
      <c r="A5025" s="3">
        <v>10</v>
      </c>
      <c r="B5025" s="3">
        <v>5</v>
      </c>
      <c r="C5025" s="3">
        <v>179</v>
      </c>
      <c r="D5025" s="3">
        <v>119</v>
      </c>
      <c r="E5025" s="3">
        <v>-737.176</v>
      </c>
      <c r="F5025" s="4" t="str">
        <f>HYPERLINK("http://141.218.60.56/~jnz1568/getInfo.php?workbook=10_05.xlsx&amp;sheet=A0&amp;row=5025&amp;col=6&amp;number=1690&amp;sourceID=14","1690")</f>
        <v>1690</v>
      </c>
      <c r="G5025" s="4" t="str">
        <f>HYPERLINK("http://141.218.60.56/~jnz1568/getInfo.php?workbook=10_05.xlsx&amp;sheet=A0&amp;row=5025&amp;col=7&amp;number=0&amp;sourceID=14","0")</f>
        <v>0</v>
      </c>
    </row>
    <row r="5026" spans="1:7">
      <c r="A5026" s="3">
        <v>10</v>
      </c>
      <c r="B5026" s="3">
        <v>5</v>
      </c>
      <c r="C5026" s="3">
        <v>180</v>
      </c>
      <c r="D5026" s="3">
        <v>119</v>
      </c>
      <c r="E5026" s="3">
        <v>-736.975</v>
      </c>
      <c r="F5026" s="4" t="str">
        <f>HYPERLINK("http://141.218.60.56/~jnz1568/getInfo.php?workbook=10_05.xlsx&amp;sheet=A0&amp;row=5026&amp;col=6&amp;number=8640&amp;sourceID=14","8640")</f>
        <v>8640</v>
      </c>
      <c r="G5026" s="4" t="str">
        <f>HYPERLINK("http://141.218.60.56/~jnz1568/getInfo.php?workbook=10_05.xlsx&amp;sheet=A0&amp;row=5026&amp;col=7&amp;number=0&amp;sourceID=14","0")</f>
        <v>0</v>
      </c>
    </row>
    <row r="5027" spans="1:7">
      <c r="A5027" s="3">
        <v>10</v>
      </c>
      <c r="B5027" s="3">
        <v>5</v>
      </c>
      <c r="C5027" s="3">
        <v>127</v>
      </c>
      <c r="D5027" s="3">
        <v>120</v>
      </c>
      <c r="E5027" s="3">
        <v>-41118.497</v>
      </c>
      <c r="F5027" s="4" t="str">
        <f>HYPERLINK("http://141.218.60.56/~jnz1568/getInfo.php?workbook=10_05.xlsx&amp;sheet=A0&amp;row=5027&amp;col=6&amp;number=321&amp;sourceID=14","321")</f>
        <v>321</v>
      </c>
      <c r="G5027" s="4" t="str">
        <f>HYPERLINK("http://141.218.60.56/~jnz1568/getInfo.php?workbook=10_05.xlsx&amp;sheet=A0&amp;row=5027&amp;col=7&amp;number=0&amp;sourceID=14","0")</f>
        <v>0</v>
      </c>
    </row>
    <row r="5028" spans="1:7">
      <c r="A5028" s="3">
        <v>10</v>
      </c>
      <c r="B5028" s="3">
        <v>5</v>
      </c>
      <c r="C5028" s="3">
        <v>128</v>
      </c>
      <c r="D5028" s="3">
        <v>120</v>
      </c>
      <c r="E5028" s="3">
        <v>-34710.234</v>
      </c>
      <c r="F5028" s="4" t="str">
        <f>HYPERLINK("http://141.218.60.56/~jnz1568/getInfo.php?workbook=10_05.xlsx&amp;sheet=A0&amp;row=5028&amp;col=6&amp;number=139&amp;sourceID=14","139")</f>
        <v>139</v>
      </c>
      <c r="G5028" s="4" t="str">
        <f>HYPERLINK("http://141.218.60.56/~jnz1568/getInfo.php?workbook=10_05.xlsx&amp;sheet=A0&amp;row=5028&amp;col=7&amp;number=0&amp;sourceID=14","0")</f>
        <v>0</v>
      </c>
    </row>
    <row r="5029" spans="1:7">
      <c r="A5029" s="3">
        <v>10</v>
      </c>
      <c r="B5029" s="3">
        <v>5</v>
      </c>
      <c r="C5029" s="3">
        <v>134</v>
      </c>
      <c r="D5029" s="3">
        <v>120</v>
      </c>
      <c r="E5029" s="3">
        <v>-13588.828</v>
      </c>
      <c r="F5029" s="4" t="str">
        <f>HYPERLINK("http://141.218.60.56/~jnz1568/getInfo.php?workbook=10_05.xlsx&amp;sheet=A0&amp;row=5029&amp;col=6&amp;number=2010000&amp;sourceID=14","2010000")</f>
        <v>2010000</v>
      </c>
      <c r="G5029" s="4" t="str">
        <f>HYPERLINK("http://141.218.60.56/~jnz1568/getInfo.php?workbook=10_05.xlsx&amp;sheet=A0&amp;row=5029&amp;col=7&amp;number=0&amp;sourceID=14","0")</f>
        <v>0</v>
      </c>
    </row>
    <row r="5030" spans="1:7">
      <c r="A5030" s="3">
        <v>10</v>
      </c>
      <c r="B5030" s="3">
        <v>5</v>
      </c>
      <c r="C5030" s="3">
        <v>141</v>
      </c>
      <c r="D5030" s="3">
        <v>120</v>
      </c>
      <c r="E5030" s="3">
        <v>-8287.766</v>
      </c>
      <c r="F5030" s="4" t="str">
        <f>HYPERLINK("http://141.218.60.56/~jnz1568/getInfo.php?workbook=10_05.xlsx&amp;sheet=A0&amp;row=5030&amp;col=6&amp;number=1480000&amp;sourceID=14","1480000")</f>
        <v>1480000</v>
      </c>
      <c r="G5030" s="4" t="str">
        <f>HYPERLINK("http://141.218.60.56/~jnz1568/getInfo.php?workbook=10_05.xlsx&amp;sheet=A0&amp;row=5030&amp;col=7&amp;number=0&amp;sourceID=14","0")</f>
        <v>0</v>
      </c>
    </row>
    <row r="5031" spans="1:7">
      <c r="A5031" s="3">
        <v>10</v>
      </c>
      <c r="B5031" s="3">
        <v>5</v>
      </c>
      <c r="C5031" s="3">
        <v>142</v>
      </c>
      <c r="D5031" s="3">
        <v>120</v>
      </c>
      <c r="E5031" s="3">
        <v>-8257.654</v>
      </c>
      <c r="F5031" s="4" t="str">
        <f>HYPERLINK("http://141.218.60.56/~jnz1568/getInfo.php?workbook=10_05.xlsx&amp;sheet=A0&amp;row=5031&amp;col=6&amp;number=583000&amp;sourceID=14","583000")</f>
        <v>583000</v>
      </c>
      <c r="G5031" s="4" t="str">
        <f>HYPERLINK("http://141.218.60.56/~jnz1568/getInfo.php?workbook=10_05.xlsx&amp;sheet=A0&amp;row=5031&amp;col=7&amp;number=0&amp;sourceID=14","0")</f>
        <v>0</v>
      </c>
    </row>
    <row r="5032" spans="1:7">
      <c r="A5032" s="3">
        <v>10</v>
      </c>
      <c r="B5032" s="3">
        <v>5</v>
      </c>
      <c r="C5032" s="3">
        <v>145</v>
      </c>
      <c r="D5032" s="3">
        <v>120</v>
      </c>
      <c r="E5032" s="3">
        <v>-7429.434</v>
      </c>
      <c r="F5032" s="4" t="str">
        <f>HYPERLINK("http://141.218.60.56/~jnz1568/getInfo.php?workbook=10_05.xlsx&amp;sheet=A0&amp;row=5032&amp;col=6&amp;number=145000&amp;sourceID=14","145000")</f>
        <v>145000</v>
      </c>
      <c r="G5032" s="4" t="str">
        <f>HYPERLINK("http://141.218.60.56/~jnz1568/getInfo.php?workbook=10_05.xlsx&amp;sheet=A0&amp;row=5032&amp;col=7&amp;number=0&amp;sourceID=14","0")</f>
        <v>0</v>
      </c>
    </row>
    <row r="5033" spans="1:7">
      <c r="A5033" s="3">
        <v>10</v>
      </c>
      <c r="B5033" s="3">
        <v>5</v>
      </c>
      <c r="C5033" s="3">
        <v>148</v>
      </c>
      <c r="D5033" s="3">
        <v>120</v>
      </c>
      <c r="E5033" s="3">
        <v>-7061.163</v>
      </c>
      <c r="F5033" s="4" t="str">
        <f>HYPERLINK("http://141.218.60.56/~jnz1568/getInfo.php?workbook=10_05.xlsx&amp;sheet=A0&amp;row=5033&amp;col=6&amp;number=40700&amp;sourceID=14","40700")</f>
        <v>40700</v>
      </c>
      <c r="G5033" s="4" t="str">
        <f>HYPERLINK("http://141.218.60.56/~jnz1568/getInfo.php?workbook=10_05.xlsx&amp;sheet=A0&amp;row=5033&amp;col=7&amp;number=0&amp;sourceID=14","0")</f>
        <v>0</v>
      </c>
    </row>
    <row r="5034" spans="1:7">
      <c r="A5034" s="3">
        <v>10</v>
      </c>
      <c r="B5034" s="3">
        <v>5</v>
      </c>
      <c r="C5034" s="3">
        <v>149</v>
      </c>
      <c r="D5034" s="3">
        <v>120</v>
      </c>
      <c r="E5034" s="3">
        <v>-7012.144</v>
      </c>
      <c r="F5034" s="4" t="str">
        <f>HYPERLINK("http://141.218.60.56/~jnz1568/getInfo.php?workbook=10_05.xlsx&amp;sheet=A0&amp;row=5034&amp;col=6&amp;number=390000&amp;sourceID=14","390000")</f>
        <v>390000</v>
      </c>
      <c r="G5034" s="4" t="str">
        <f>HYPERLINK("http://141.218.60.56/~jnz1568/getInfo.php?workbook=10_05.xlsx&amp;sheet=A0&amp;row=5034&amp;col=7&amp;number=0&amp;sourceID=14","0")</f>
        <v>0</v>
      </c>
    </row>
    <row r="5035" spans="1:7">
      <c r="A5035" s="3">
        <v>10</v>
      </c>
      <c r="B5035" s="3">
        <v>5</v>
      </c>
      <c r="C5035" s="3">
        <v>158</v>
      </c>
      <c r="D5035" s="3">
        <v>120</v>
      </c>
      <c r="E5035" s="3">
        <v>-4501.066</v>
      </c>
      <c r="F5035" s="4" t="str">
        <f>HYPERLINK("http://141.218.60.56/~jnz1568/getInfo.php?workbook=10_05.xlsx&amp;sheet=A0&amp;row=5035&amp;col=6&amp;number=80300&amp;sourceID=14","80300")</f>
        <v>80300</v>
      </c>
      <c r="G5035" s="4" t="str">
        <f>HYPERLINK("http://141.218.60.56/~jnz1568/getInfo.php?workbook=10_05.xlsx&amp;sheet=A0&amp;row=5035&amp;col=7&amp;number=0&amp;sourceID=14","0")</f>
        <v>0</v>
      </c>
    </row>
    <row r="5036" spans="1:7">
      <c r="A5036" s="3">
        <v>10</v>
      </c>
      <c r="B5036" s="3">
        <v>5</v>
      </c>
      <c r="C5036" s="3">
        <v>159</v>
      </c>
      <c r="D5036" s="3">
        <v>120</v>
      </c>
      <c r="E5036" s="3">
        <v>-4415.994</v>
      </c>
      <c r="F5036" s="4" t="str">
        <f>HYPERLINK("http://141.218.60.56/~jnz1568/getInfo.php?workbook=10_05.xlsx&amp;sheet=A0&amp;row=5036&amp;col=6&amp;number=324000&amp;sourceID=14","324000")</f>
        <v>324000</v>
      </c>
      <c r="G5036" s="4" t="str">
        <f>HYPERLINK("http://141.218.60.56/~jnz1568/getInfo.php?workbook=10_05.xlsx&amp;sheet=A0&amp;row=5036&amp;col=7&amp;number=0&amp;sourceID=14","0")</f>
        <v>0</v>
      </c>
    </row>
    <row r="5037" spans="1:7">
      <c r="A5037" s="3">
        <v>10</v>
      </c>
      <c r="B5037" s="3">
        <v>5</v>
      </c>
      <c r="C5037" s="3">
        <v>164</v>
      </c>
      <c r="D5037" s="3">
        <v>120</v>
      </c>
      <c r="E5037" s="3">
        <v>-1454.104</v>
      </c>
      <c r="F5037" s="4" t="str">
        <f>HYPERLINK("http://141.218.60.56/~jnz1568/getInfo.php?workbook=10_05.xlsx&amp;sheet=A0&amp;row=5037&amp;col=6&amp;number=11700&amp;sourceID=14","11700")</f>
        <v>11700</v>
      </c>
      <c r="G5037" s="4" t="str">
        <f>HYPERLINK("http://141.218.60.56/~jnz1568/getInfo.php?workbook=10_05.xlsx&amp;sheet=A0&amp;row=5037&amp;col=7&amp;number=0&amp;sourceID=14","0")</f>
        <v>0</v>
      </c>
    </row>
    <row r="5038" spans="1:7">
      <c r="A5038" s="3">
        <v>10</v>
      </c>
      <c r="B5038" s="3">
        <v>5</v>
      </c>
      <c r="C5038" s="3">
        <v>165</v>
      </c>
      <c r="D5038" s="3">
        <v>120</v>
      </c>
      <c r="E5038" s="3">
        <v>-1451.213</v>
      </c>
      <c r="F5038" s="4" t="str">
        <f>HYPERLINK("http://141.218.60.56/~jnz1568/getInfo.php?workbook=10_05.xlsx&amp;sheet=A0&amp;row=5038&amp;col=6&amp;number=7.68&amp;sourceID=14","7.68")</f>
        <v>7.68</v>
      </c>
      <c r="G5038" s="4" t="str">
        <f>HYPERLINK("http://141.218.60.56/~jnz1568/getInfo.php?workbook=10_05.xlsx&amp;sheet=A0&amp;row=5038&amp;col=7&amp;number=0&amp;sourceID=14","0")</f>
        <v>0</v>
      </c>
    </row>
    <row r="5039" spans="1:7">
      <c r="A5039" s="3">
        <v>10</v>
      </c>
      <c r="B5039" s="3">
        <v>5</v>
      </c>
      <c r="C5039" s="3">
        <v>166</v>
      </c>
      <c r="D5039" s="3">
        <v>120</v>
      </c>
      <c r="E5039" s="3">
        <v>-1041.799</v>
      </c>
      <c r="F5039" s="4" t="str">
        <f>HYPERLINK("http://141.218.60.56/~jnz1568/getInfo.php?workbook=10_05.xlsx&amp;sheet=A0&amp;row=5039&amp;col=6&amp;number=171000&amp;sourceID=14","171000")</f>
        <v>171000</v>
      </c>
      <c r="G5039" s="4" t="str">
        <f>HYPERLINK("http://141.218.60.56/~jnz1568/getInfo.php?workbook=10_05.xlsx&amp;sheet=A0&amp;row=5039&amp;col=7&amp;number=0&amp;sourceID=14","0")</f>
        <v>0</v>
      </c>
    </row>
    <row r="5040" spans="1:7">
      <c r="A5040" s="3">
        <v>10</v>
      </c>
      <c r="B5040" s="3">
        <v>5</v>
      </c>
      <c r="C5040" s="3">
        <v>167</v>
      </c>
      <c r="D5040" s="3">
        <v>120</v>
      </c>
      <c r="E5040" s="3">
        <v>-1041.343</v>
      </c>
      <c r="F5040" s="4" t="str">
        <f>HYPERLINK("http://141.218.60.56/~jnz1568/getInfo.php?workbook=10_05.xlsx&amp;sheet=A0&amp;row=5040&amp;col=6&amp;number=48100&amp;sourceID=14","48100")</f>
        <v>48100</v>
      </c>
      <c r="G5040" s="4" t="str">
        <f>HYPERLINK("http://141.218.60.56/~jnz1568/getInfo.php?workbook=10_05.xlsx&amp;sheet=A0&amp;row=5040&amp;col=7&amp;number=0&amp;sourceID=14","0")</f>
        <v>0</v>
      </c>
    </row>
    <row r="5041" spans="1:7">
      <c r="A5041" s="3">
        <v>10</v>
      </c>
      <c r="B5041" s="3">
        <v>5</v>
      </c>
      <c r="C5041" s="3">
        <v>177</v>
      </c>
      <c r="D5041" s="3">
        <v>120</v>
      </c>
      <c r="E5041" s="3">
        <v>-778.836</v>
      </c>
      <c r="F5041" s="4" t="str">
        <f>HYPERLINK("http://141.218.60.56/~jnz1568/getInfo.php?workbook=10_05.xlsx&amp;sheet=A0&amp;row=5041&amp;col=6&amp;number=3450&amp;sourceID=14","3450")</f>
        <v>3450</v>
      </c>
      <c r="G5041" s="4" t="str">
        <f>HYPERLINK("http://141.218.60.56/~jnz1568/getInfo.php?workbook=10_05.xlsx&amp;sheet=A0&amp;row=5041&amp;col=7&amp;number=0&amp;sourceID=14","0")</f>
        <v>0</v>
      </c>
    </row>
    <row r="5042" spans="1:7">
      <c r="A5042" s="3">
        <v>10</v>
      </c>
      <c r="B5042" s="3">
        <v>5</v>
      </c>
      <c r="C5042" s="3">
        <v>179</v>
      </c>
      <c r="D5042" s="3">
        <v>120</v>
      </c>
      <c r="E5042" s="3">
        <v>-754.764</v>
      </c>
      <c r="F5042" s="4" t="str">
        <f>HYPERLINK("http://141.218.60.56/~jnz1568/getInfo.php?workbook=10_05.xlsx&amp;sheet=A0&amp;row=5042&amp;col=6&amp;number=523000&amp;sourceID=14","523000")</f>
        <v>523000</v>
      </c>
      <c r="G5042" s="4" t="str">
        <f>HYPERLINK("http://141.218.60.56/~jnz1568/getInfo.php?workbook=10_05.xlsx&amp;sheet=A0&amp;row=5042&amp;col=7&amp;number=0&amp;sourceID=14","0")</f>
        <v>0</v>
      </c>
    </row>
    <row r="5043" spans="1:7">
      <c r="A5043" s="3">
        <v>10</v>
      </c>
      <c r="B5043" s="3">
        <v>5</v>
      </c>
      <c r="C5043" s="3">
        <v>180</v>
      </c>
      <c r="D5043" s="3">
        <v>120</v>
      </c>
      <c r="E5043" s="3">
        <v>-754.553</v>
      </c>
      <c r="F5043" s="4" t="str">
        <f>HYPERLINK("http://141.218.60.56/~jnz1568/getInfo.php?workbook=10_05.xlsx&amp;sheet=A0&amp;row=5043&amp;col=6&amp;number=87700&amp;sourceID=14","87700")</f>
        <v>87700</v>
      </c>
      <c r="G5043" s="4" t="str">
        <f>HYPERLINK("http://141.218.60.56/~jnz1568/getInfo.php?workbook=10_05.xlsx&amp;sheet=A0&amp;row=5043&amp;col=7&amp;number=0&amp;sourceID=14","0")</f>
        <v>0</v>
      </c>
    </row>
    <row r="5044" spans="1:7">
      <c r="A5044" s="3">
        <v>10</v>
      </c>
      <c r="B5044" s="3">
        <v>5</v>
      </c>
      <c r="C5044" s="3">
        <v>127</v>
      </c>
      <c r="D5044" s="3">
        <v>121</v>
      </c>
      <c r="E5044" s="3">
        <v>-45289.938</v>
      </c>
      <c r="F5044" s="4" t="str">
        <f>HYPERLINK("http://141.218.60.56/~jnz1568/getInfo.php?workbook=10_05.xlsx&amp;sheet=A0&amp;row=5044&amp;col=6&amp;number=42.3&amp;sourceID=14","42.3")</f>
        <v>42.3</v>
      </c>
      <c r="G5044" s="4" t="str">
        <f>HYPERLINK("http://141.218.60.56/~jnz1568/getInfo.php?workbook=10_05.xlsx&amp;sheet=A0&amp;row=5044&amp;col=7&amp;number=0&amp;sourceID=14","0")</f>
        <v>0</v>
      </c>
    </row>
    <row r="5045" spans="1:7">
      <c r="A5045" s="3">
        <v>10</v>
      </c>
      <c r="B5045" s="3">
        <v>5</v>
      </c>
      <c r="C5045" s="3">
        <v>128</v>
      </c>
      <c r="D5045" s="3">
        <v>121</v>
      </c>
      <c r="E5045" s="3">
        <v>-37636.501</v>
      </c>
      <c r="F5045" s="4" t="str">
        <f>HYPERLINK("http://141.218.60.56/~jnz1568/getInfo.php?workbook=10_05.xlsx&amp;sheet=A0&amp;row=5045&amp;col=6&amp;number=281&amp;sourceID=14","281")</f>
        <v>281</v>
      </c>
      <c r="G5045" s="4" t="str">
        <f>HYPERLINK("http://141.218.60.56/~jnz1568/getInfo.php?workbook=10_05.xlsx&amp;sheet=A0&amp;row=5045&amp;col=7&amp;number=0&amp;sourceID=14","0")</f>
        <v>0</v>
      </c>
    </row>
    <row r="5046" spans="1:7">
      <c r="A5046" s="3">
        <v>10</v>
      </c>
      <c r="B5046" s="3">
        <v>5</v>
      </c>
      <c r="C5046" s="3">
        <v>134</v>
      </c>
      <c r="D5046" s="3">
        <v>121</v>
      </c>
      <c r="E5046" s="3">
        <v>-14015.443</v>
      </c>
      <c r="F5046" s="4" t="str">
        <f>HYPERLINK("http://141.218.60.56/~jnz1568/getInfo.php?workbook=10_05.xlsx&amp;sheet=A0&amp;row=5046&amp;col=6&amp;number=665000&amp;sourceID=14","665000")</f>
        <v>665000</v>
      </c>
      <c r="G5046" s="4" t="str">
        <f>HYPERLINK("http://141.218.60.56/~jnz1568/getInfo.php?workbook=10_05.xlsx&amp;sheet=A0&amp;row=5046&amp;col=7&amp;number=0&amp;sourceID=14","0")</f>
        <v>0</v>
      </c>
    </row>
    <row r="5047" spans="1:7">
      <c r="A5047" s="3">
        <v>10</v>
      </c>
      <c r="B5047" s="3">
        <v>5</v>
      </c>
      <c r="C5047" s="3">
        <v>135</v>
      </c>
      <c r="D5047" s="3">
        <v>121</v>
      </c>
      <c r="E5047" s="3">
        <v>-13557.509</v>
      </c>
      <c r="F5047" s="4" t="str">
        <f>HYPERLINK("http://141.218.60.56/~jnz1568/getInfo.php?workbook=10_05.xlsx&amp;sheet=A0&amp;row=5047&amp;col=6&amp;number=2210000&amp;sourceID=14","2210000")</f>
        <v>2210000</v>
      </c>
      <c r="G5047" s="4" t="str">
        <f>HYPERLINK("http://141.218.60.56/~jnz1568/getInfo.php?workbook=10_05.xlsx&amp;sheet=A0&amp;row=5047&amp;col=7&amp;number=0&amp;sourceID=14","0")</f>
        <v>0</v>
      </c>
    </row>
    <row r="5048" spans="1:7">
      <c r="A5048" s="3">
        <v>10</v>
      </c>
      <c r="B5048" s="3">
        <v>5</v>
      </c>
      <c r="C5048" s="3">
        <v>141</v>
      </c>
      <c r="D5048" s="3">
        <v>121</v>
      </c>
      <c r="E5048" s="3">
        <v>-8444.535</v>
      </c>
      <c r="F5048" s="4" t="str">
        <f>HYPERLINK("http://141.218.60.56/~jnz1568/getInfo.php?workbook=10_05.xlsx&amp;sheet=A0&amp;row=5048&amp;col=6&amp;number=1150000&amp;sourceID=14","1150000")</f>
        <v>1150000</v>
      </c>
      <c r="G5048" s="4" t="str">
        <f>HYPERLINK("http://141.218.60.56/~jnz1568/getInfo.php?workbook=10_05.xlsx&amp;sheet=A0&amp;row=5048&amp;col=7&amp;number=0&amp;sourceID=14","0")</f>
        <v>0</v>
      </c>
    </row>
    <row r="5049" spans="1:7">
      <c r="A5049" s="3">
        <v>10</v>
      </c>
      <c r="B5049" s="3">
        <v>5</v>
      </c>
      <c r="C5049" s="3">
        <v>142</v>
      </c>
      <c r="D5049" s="3">
        <v>121</v>
      </c>
      <c r="E5049" s="3">
        <v>-8413.275</v>
      </c>
      <c r="F5049" s="4" t="str">
        <f>HYPERLINK("http://141.218.60.56/~jnz1568/getInfo.php?workbook=10_05.xlsx&amp;sheet=A0&amp;row=5049&amp;col=6&amp;number=1410000&amp;sourceID=14","1410000")</f>
        <v>1410000</v>
      </c>
      <c r="G5049" s="4" t="str">
        <f>HYPERLINK("http://141.218.60.56/~jnz1568/getInfo.php?workbook=10_05.xlsx&amp;sheet=A0&amp;row=5049&amp;col=7&amp;number=0&amp;sourceID=14","0")</f>
        <v>0</v>
      </c>
    </row>
    <row r="5050" spans="1:7">
      <c r="A5050" s="3">
        <v>10</v>
      </c>
      <c r="B5050" s="3">
        <v>5</v>
      </c>
      <c r="C5050" s="3">
        <v>143</v>
      </c>
      <c r="D5050" s="3">
        <v>121</v>
      </c>
      <c r="E5050" s="3">
        <v>-8237.926</v>
      </c>
      <c r="F5050" s="4" t="str">
        <f>HYPERLINK("http://141.218.60.56/~jnz1568/getInfo.php?workbook=10_05.xlsx&amp;sheet=A0&amp;row=5050&amp;col=6&amp;number=465000&amp;sourceID=14","465000")</f>
        <v>465000</v>
      </c>
      <c r="G5050" s="4" t="str">
        <f>HYPERLINK("http://141.218.60.56/~jnz1568/getInfo.php?workbook=10_05.xlsx&amp;sheet=A0&amp;row=5050&amp;col=7&amp;number=0&amp;sourceID=14","0")</f>
        <v>0</v>
      </c>
    </row>
    <row r="5051" spans="1:7">
      <c r="A5051" s="3">
        <v>10</v>
      </c>
      <c r="B5051" s="3">
        <v>5</v>
      </c>
      <c r="C5051" s="3">
        <v>145</v>
      </c>
      <c r="D5051" s="3">
        <v>121</v>
      </c>
      <c r="E5051" s="3">
        <v>-7555.167</v>
      </c>
      <c r="F5051" s="4" t="str">
        <f>HYPERLINK("http://141.218.60.56/~jnz1568/getInfo.php?workbook=10_05.xlsx&amp;sheet=A0&amp;row=5051&amp;col=6&amp;number=37800&amp;sourceID=14","37800")</f>
        <v>37800</v>
      </c>
      <c r="G5051" s="4" t="str">
        <f>HYPERLINK("http://141.218.60.56/~jnz1568/getInfo.php?workbook=10_05.xlsx&amp;sheet=A0&amp;row=5051&amp;col=7&amp;number=0&amp;sourceID=14","0")</f>
        <v>0</v>
      </c>
    </row>
    <row r="5052" spans="1:7">
      <c r="A5052" s="3">
        <v>10</v>
      </c>
      <c r="B5052" s="3">
        <v>5</v>
      </c>
      <c r="C5052" s="3">
        <v>146</v>
      </c>
      <c r="D5052" s="3">
        <v>121</v>
      </c>
      <c r="E5052" s="3">
        <v>-7419.512</v>
      </c>
      <c r="F5052" s="4" t="str">
        <f>HYPERLINK("http://141.218.60.56/~jnz1568/getInfo.php?workbook=10_05.xlsx&amp;sheet=A0&amp;row=5052&amp;col=6&amp;number=80000&amp;sourceID=14","80000")</f>
        <v>80000</v>
      </c>
      <c r="G5052" s="4" t="str">
        <f>HYPERLINK("http://141.218.60.56/~jnz1568/getInfo.php?workbook=10_05.xlsx&amp;sheet=A0&amp;row=5052&amp;col=7&amp;number=0&amp;sourceID=14","0")</f>
        <v>0</v>
      </c>
    </row>
    <row r="5053" spans="1:7">
      <c r="A5053" s="3">
        <v>10</v>
      </c>
      <c r="B5053" s="3">
        <v>5</v>
      </c>
      <c r="C5053" s="3">
        <v>147</v>
      </c>
      <c r="D5053" s="3">
        <v>121</v>
      </c>
      <c r="E5053" s="3">
        <v>-7225.447</v>
      </c>
      <c r="F5053" s="4" t="str">
        <f>HYPERLINK("http://141.218.60.56/~jnz1568/getInfo.php?workbook=10_05.xlsx&amp;sheet=A0&amp;row=5053&amp;col=6&amp;number=64700&amp;sourceID=14","64700")</f>
        <v>64700</v>
      </c>
      <c r="G5053" s="4" t="str">
        <f>HYPERLINK("http://141.218.60.56/~jnz1568/getInfo.php?workbook=10_05.xlsx&amp;sheet=A0&amp;row=5053&amp;col=7&amp;number=0&amp;sourceID=14","0")</f>
        <v>0</v>
      </c>
    </row>
    <row r="5054" spans="1:7">
      <c r="A5054" s="3">
        <v>10</v>
      </c>
      <c r="B5054" s="3">
        <v>5</v>
      </c>
      <c r="C5054" s="3">
        <v>148</v>
      </c>
      <c r="D5054" s="3">
        <v>121</v>
      </c>
      <c r="E5054" s="3">
        <v>-7174.644</v>
      </c>
      <c r="F5054" s="4" t="str">
        <f>HYPERLINK("http://141.218.60.56/~jnz1568/getInfo.php?workbook=10_05.xlsx&amp;sheet=A0&amp;row=5054&amp;col=6&amp;number=119000&amp;sourceID=14","119000")</f>
        <v>119000</v>
      </c>
      <c r="G5054" s="4" t="str">
        <f>HYPERLINK("http://141.218.60.56/~jnz1568/getInfo.php?workbook=10_05.xlsx&amp;sheet=A0&amp;row=5054&amp;col=7&amp;number=0&amp;sourceID=14","0")</f>
        <v>0</v>
      </c>
    </row>
    <row r="5055" spans="1:7">
      <c r="A5055" s="3">
        <v>10</v>
      </c>
      <c r="B5055" s="3">
        <v>5</v>
      </c>
      <c r="C5055" s="3">
        <v>149</v>
      </c>
      <c r="D5055" s="3">
        <v>121</v>
      </c>
      <c r="E5055" s="3">
        <v>-7124.042</v>
      </c>
      <c r="F5055" s="4" t="str">
        <f>HYPERLINK("http://141.218.60.56/~jnz1568/getInfo.php?workbook=10_05.xlsx&amp;sheet=A0&amp;row=5055&amp;col=6&amp;number=677000&amp;sourceID=14","677000")</f>
        <v>677000</v>
      </c>
      <c r="G5055" s="4" t="str">
        <f>HYPERLINK("http://141.218.60.56/~jnz1568/getInfo.php?workbook=10_05.xlsx&amp;sheet=A0&amp;row=5055&amp;col=7&amp;number=0&amp;sourceID=14","0")</f>
        <v>0</v>
      </c>
    </row>
    <row r="5056" spans="1:7">
      <c r="A5056" s="3">
        <v>10</v>
      </c>
      <c r="B5056" s="3">
        <v>5</v>
      </c>
      <c r="C5056" s="3">
        <v>152</v>
      </c>
      <c r="D5056" s="3">
        <v>121</v>
      </c>
      <c r="E5056" s="3">
        <v>-5153.852</v>
      </c>
      <c r="F5056" s="4" t="str">
        <f>HYPERLINK("http://141.218.60.56/~jnz1568/getInfo.php?workbook=10_05.xlsx&amp;sheet=A0&amp;row=5056&amp;col=6&amp;number=7670&amp;sourceID=14","7670")</f>
        <v>7670</v>
      </c>
      <c r="G5056" s="4" t="str">
        <f>HYPERLINK("http://141.218.60.56/~jnz1568/getInfo.php?workbook=10_05.xlsx&amp;sheet=A0&amp;row=5056&amp;col=7&amp;number=0&amp;sourceID=14","0")</f>
        <v>0</v>
      </c>
    </row>
    <row r="5057" spans="1:7">
      <c r="A5057" s="3">
        <v>10</v>
      </c>
      <c r="B5057" s="3">
        <v>5</v>
      </c>
      <c r="C5057" s="3">
        <v>158</v>
      </c>
      <c r="D5057" s="3">
        <v>121</v>
      </c>
      <c r="E5057" s="3">
        <v>-4546.91</v>
      </c>
      <c r="F5057" s="4" t="str">
        <f>HYPERLINK("http://141.218.60.56/~jnz1568/getInfo.php?workbook=10_05.xlsx&amp;sheet=A0&amp;row=5057&amp;col=6&amp;number=187000&amp;sourceID=14","187000")</f>
        <v>187000</v>
      </c>
      <c r="G5057" s="4" t="str">
        <f>HYPERLINK("http://141.218.60.56/~jnz1568/getInfo.php?workbook=10_05.xlsx&amp;sheet=A0&amp;row=5057&amp;col=7&amp;number=0&amp;sourceID=14","0")</f>
        <v>0</v>
      </c>
    </row>
    <row r="5058" spans="1:7">
      <c r="A5058" s="3">
        <v>10</v>
      </c>
      <c r="B5058" s="3">
        <v>5</v>
      </c>
      <c r="C5058" s="3">
        <v>159</v>
      </c>
      <c r="D5058" s="3">
        <v>121</v>
      </c>
      <c r="E5058" s="3">
        <v>-4460.113</v>
      </c>
      <c r="F5058" s="4" t="str">
        <f>HYPERLINK("http://141.218.60.56/~jnz1568/getInfo.php?workbook=10_05.xlsx&amp;sheet=A0&amp;row=5058&amp;col=6&amp;number=96800&amp;sourceID=14","96800")</f>
        <v>96800</v>
      </c>
      <c r="G5058" s="4" t="str">
        <f>HYPERLINK("http://141.218.60.56/~jnz1568/getInfo.php?workbook=10_05.xlsx&amp;sheet=A0&amp;row=5058&amp;col=7&amp;number=0&amp;sourceID=14","0")</f>
        <v>0</v>
      </c>
    </row>
    <row r="5059" spans="1:7">
      <c r="A5059" s="3">
        <v>10</v>
      </c>
      <c r="B5059" s="3">
        <v>5</v>
      </c>
      <c r="C5059" s="3">
        <v>164</v>
      </c>
      <c r="D5059" s="3">
        <v>121</v>
      </c>
      <c r="E5059" s="3">
        <v>-1458.856</v>
      </c>
      <c r="F5059" s="4" t="str">
        <f>HYPERLINK("http://141.218.60.56/~jnz1568/getInfo.php?workbook=10_05.xlsx&amp;sheet=A0&amp;row=5059&amp;col=6&amp;number=28&amp;sourceID=14","28")</f>
        <v>28</v>
      </c>
      <c r="G5059" s="4" t="str">
        <f>HYPERLINK("http://141.218.60.56/~jnz1568/getInfo.php?workbook=10_05.xlsx&amp;sheet=A0&amp;row=5059&amp;col=7&amp;number=0&amp;sourceID=14","0")</f>
        <v>0</v>
      </c>
    </row>
    <row r="5060" spans="1:7">
      <c r="A5060" s="3">
        <v>10</v>
      </c>
      <c r="B5060" s="3">
        <v>5</v>
      </c>
      <c r="C5060" s="3">
        <v>165</v>
      </c>
      <c r="D5060" s="3">
        <v>121</v>
      </c>
      <c r="E5060" s="3">
        <v>-1455.946</v>
      </c>
      <c r="F5060" s="4" t="str">
        <f>HYPERLINK("http://141.218.60.56/~jnz1568/getInfo.php?workbook=10_05.xlsx&amp;sheet=A0&amp;row=5060&amp;col=6&amp;number=2930&amp;sourceID=14","2930")</f>
        <v>2930</v>
      </c>
      <c r="G5060" s="4" t="str">
        <f>HYPERLINK("http://141.218.60.56/~jnz1568/getInfo.php?workbook=10_05.xlsx&amp;sheet=A0&amp;row=5060&amp;col=7&amp;number=0&amp;sourceID=14","0")</f>
        <v>0</v>
      </c>
    </row>
    <row r="5061" spans="1:7">
      <c r="A5061" s="3">
        <v>10</v>
      </c>
      <c r="B5061" s="3">
        <v>5</v>
      </c>
      <c r="C5061" s="3">
        <v>166</v>
      </c>
      <c r="D5061" s="3">
        <v>121</v>
      </c>
      <c r="E5061" s="3">
        <v>-1044.236</v>
      </c>
      <c r="F5061" s="4" t="str">
        <f>HYPERLINK("http://141.218.60.56/~jnz1568/getInfo.php?workbook=10_05.xlsx&amp;sheet=A0&amp;row=5061&amp;col=6&amp;number=101000&amp;sourceID=14","101000")</f>
        <v>101000</v>
      </c>
      <c r="G5061" s="4" t="str">
        <f>HYPERLINK("http://141.218.60.56/~jnz1568/getInfo.php?workbook=10_05.xlsx&amp;sheet=A0&amp;row=5061&amp;col=7&amp;number=0&amp;sourceID=14","0")</f>
        <v>0</v>
      </c>
    </row>
    <row r="5062" spans="1:7">
      <c r="A5062" s="3">
        <v>10</v>
      </c>
      <c r="B5062" s="3">
        <v>5</v>
      </c>
      <c r="C5062" s="3">
        <v>167</v>
      </c>
      <c r="D5062" s="3">
        <v>121</v>
      </c>
      <c r="E5062" s="3">
        <v>-1043.778</v>
      </c>
      <c r="F5062" s="4" t="str">
        <f>HYPERLINK("http://141.218.60.56/~jnz1568/getInfo.php?workbook=10_05.xlsx&amp;sheet=A0&amp;row=5062&amp;col=6&amp;number=78100&amp;sourceID=14","78100")</f>
        <v>78100</v>
      </c>
      <c r="G5062" s="4" t="str">
        <f>HYPERLINK("http://141.218.60.56/~jnz1568/getInfo.php?workbook=10_05.xlsx&amp;sheet=A0&amp;row=5062&amp;col=7&amp;number=0&amp;sourceID=14","0")</f>
        <v>0</v>
      </c>
    </row>
    <row r="5063" spans="1:7">
      <c r="A5063" s="3">
        <v>10</v>
      </c>
      <c r="B5063" s="3">
        <v>5</v>
      </c>
      <c r="C5063" s="3">
        <v>176</v>
      </c>
      <c r="D5063" s="3">
        <v>121</v>
      </c>
      <c r="E5063" s="3">
        <v>-785.658</v>
      </c>
      <c r="F5063" s="4" t="str">
        <f>HYPERLINK("http://141.218.60.56/~jnz1568/getInfo.php?workbook=10_05.xlsx&amp;sheet=A0&amp;row=5063&amp;col=6&amp;number=5310&amp;sourceID=14","5310")</f>
        <v>5310</v>
      </c>
      <c r="G5063" s="4" t="str">
        <f>HYPERLINK("http://141.218.60.56/~jnz1568/getInfo.php?workbook=10_05.xlsx&amp;sheet=A0&amp;row=5063&amp;col=7&amp;number=0&amp;sourceID=14","0")</f>
        <v>0</v>
      </c>
    </row>
    <row r="5064" spans="1:7">
      <c r="A5064" s="3">
        <v>10</v>
      </c>
      <c r="B5064" s="3">
        <v>5</v>
      </c>
      <c r="C5064" s="3">
        <v>177</v>
      </c>
      <c r="D5064" s="3">
        <v>121</v>
      </c>
      <c r="E5064" s="3">
        <v>-780.197</v>
      </c>
      <c r="F5064" s="4" t="str">
        <f>HYPERLINK("http://141.218.60.56/~jnz1568/getInfo.php?workbook=10_05.xlsx&amp;sheet=A0&amp;row=5064&amp;col=6&amp;number=13000&amp;sourceID=14","13000")</f>
        <v>13000</v>
      </c>
      <c r="G5064" s="4" t="str">
        <f>HYPERLINK("http://141.218.60.56/~jnz1568/getInfo.php?workbook=10_05.xlsx&amp;sheet=A0&amp;row=5064&amp;col=7&amp;number=0&amp;sourceID=14","0")</f>
        <v>0</v>
      </c>
    </row>
    <row r="5065" spans="1:7">
      <c r="A5065" s="3">
        <v>10</v>
      </c>
      <c r="B5065" s="3">
        <v>5</v>
      </c>
      <c r="C5065" s="3">
        <v>178</v>
      </c>
      <c r="D5065" s="3">
        <v>121</v>
      </c>
      <c r="E5065" s="3">
        <v>-779.929</v>
      </c>
      <c r="F5065" s="4" t="str">
        <f>HYPERLINK("http://141.218.60.56/~jnz1568/getInfo.php?workbook=10_05.xlsx&amp;sheet=A0&amp;row=5065&amp;col=6&amp;number=7540&amp;sourceID=14","7540")</f>
        <v>7540</v>
      </c>
      <c r="G5065" s="4" t="str">
        <f>HYPERLINK("http://141.218.60.56/~jnz1568/getInfo.php?workbook=10_05.xlsx&amp;sheet=A0&amp;row=5065&amp;col=7&amp;number=0&amp;sourceID=14","0")</f>
        <v>0</v>
      </c>
    </row>
    <row r="5066" spans="1:7">
      <c r="A5066" s="3">
        <v>10</v>
      </c>
      <c r="B5066" s="3">
        <v>5</v>
      </c>
      <c r="C5066" s="3">
        <v>179</v>
      </c>
      <c r="D5066" s="3">
        <v>121</v>
      </c>
      <c r="E5066" s="3">
        <v>-756.042</v>
      </c>
      <c r="F5066" s="4" t="str">
        <f>HYPERLINK("http://141.218.60.56/~jnz1568/getInfo.php?workbook=10_05.xlsx&amp;sheet=A0&amp;row=5066&amp;col=6&amp;number=77700&amp;sourceID=14","77700")</f>
        <v>77700</v>
      </c>
      <c r="G5066" s="4" t="str">
        <f>HYPERLINK("http://141.218.60.56/~jnz1568/getInfo.php?workbook=10_05.xlsx&amp;sheet=A0&amp;row=5066&amp;col=7&amp;number=0&amp;sourceID=14","0")</f>
        <v>0</v>
      </c>
    </row>
    <row r="5067" spans="1:7">
      <c r="A5067" s="3">
        <v>10</v>
      </c>
      <c r="B5067" s="3">
        <v>5</v>
      </c>
      <c r="C5067" s="3">
        <v>180</v>
      </c>
      <c r="D5067" s="3">
        <v>121</v>
      </c>
      <c r="E5067" s="3">
        <v>-755.831</v>
      </c>
      <c r="F5067" s="4" t="str">
        <f>HYPERLINK("http://141.218.60.56/~jnz1568/getInfo.php?workbook=10_05.xlsx&amp;sheet=A0&amp;row=5067&amp;col=6&amp;number=277000&amp;sourceID=14","277000")</f>
        <v>277000</v>
      </c>
      <c r="G5067" s="4" t="str">
        <f>HYPERLINK("http://141.218.60.56/~jnz1568/getInfo.php?workbook=10_05.xlsx&amp;sheet=A0&amp;row=5067&amp;col=7&amp;number=0&amp;sourceID=14","0")</f>
        <v>0</v>
      </c>
    </row>
    <row r="5068" spans="1:7">
      <c r="A5068" s="3">
        <v>10</v>
      </c>
      <c r="B5068" s="3">
        <v>5</v>
      </c>
      <c r="C5068" s="3">
        <v>128</v>
      </c>
      <c r="D5068" s="3">
        <v>122</v>
      </c>
      <c r="E5068" s="3">
        <v>-43725.485</v>
      </c>
      <c r="F5068" s="4" t="str">
        <f>HYPERLINK("http://141.218.60.56/~jnz1568/getInfo.php?workbook=10_05.xlsx&amp;sheet=A0&amp;row=5068&amp;col=6&amp;number=1.4&amp;sourceID=14","1.4")</f>
        <v>1.4</v>
      </c>
      <c r="G5068" s="4" t="str">
        <f>HYPERLINK("http://141.218.60.56/~jnz1568/getInfo.php?workbook=10_05.xlsx&amp;sheet=A0&amp;row=5068&amp;col=7&amp;number=0&amp;sourceID=14","0")</f>
        <v>0</v>
      </c>
    </row>
    <row r="5069" spans="1:7">
      <c r="A5069" s="3">
        <v>10</v>
      </c>
      <c r="B5069" s="3">
        <v>5</v>
      </c>
      <c r="C5069" s="3">
        <v>134</v>
      </c>
      <c r="D5069" s="3">
        <v>122</v>
      </c>
      <c r="E5069" s="3">
        <v>-14781.993</v>
      </c>
      <c r="F5069" s="4" t="str">
        <f>HYPERLINK("http://141.218.60.56/~jnz1568/getInfo.php?workbook=10_05.xlsx&amp;sheet=A0&amp;row=5069&amp;col=6&amp;number=34400&amp;sourceID=14","34400")</f>
        <v>34400</v>
      </c>
      <c r="G5069" s="4" t="str">
        <f>HYPERLINK("http://141.218.60.56/~jnz1568/getInfo.php?workbook=10_05.xlsx&amp;sheet=A0&amp;row=5069&amp;col=7&amp;number=0&amp;sourceID=14","0")</f>
        <v>0</v>
      </c>
    </row>
    <row r="5070" spans="1:7">
      <c r="A5070" s="3">
        <v>10</v>
      </c>
      <c r="B5070" s="3">
        <v>5</v>
      </c>
      <c r="C5070" s="3">
        <v>135</v>
      </c>
      <c r="D5070" s="3">
        <v>122</v>
      </c>
      <c r="E5070" s="3">
        <v>-14273.506</v>
      </c>
      <c r="F5070" s="4" t="str">
        <f>HYPERLINK("http://141.218.60.56/~jnz1568/getInfo.php?workbook=10_05.xlsx&amp;sheet=A0&amp;row=5070&amp;col=6&amp;number=517000&amp;sourceID=14","517000")</f>
        <v>517000</v>
      </c>
      <c r="G5070" s="4" t="str">
        <f>HYPERLINK("http://141.218.60.56/~jnz1568/getInfo.php?workbook=10_05.xlsx&amp;sheet=A0&amp;row=5070&amp;col=7&amp;number=0&amp;sourceID=14","0")</f>
        <v>0</v>
      </c>
    </row>
    <row r="5071" spans="1:7">
      <c r="A5071" s="3">
        <v>10</v>
      </c>
      <c r="B5071" s="3">
        <v>5</v>
      </c>
      <c r="C5071" s="3">
        <v>136</v>
      </c>
      <c r="D5071" s="3">
        <v>122</v>
      </c>
      <c r="E5071" s="3">
        <v>-13572.229</v>
      </c>
      <c r="F5071" s="4" t="str">
        <f>HYPERLINK("http://141.218.60.56/~jnz1568/getInfo.php?workbook=10_05.xlsx&amp;sheet=A0&amp;row=5071&amp;col=6&amp;number=2530000&amp;sourceID=14","2530000")</f>
        <v>2530000</v>
      </c>
      <c r="G5071" s="4" t="str">
        <f>HYPERLINK("http://141.218.60.56/~jnz1568/getInfo.php?workbook=10_05.xlsx&amp;sheet=A0&amp;row=5071&amp;col=7&amp;number=0&amp;sourceID=14","0")</f>
        <v>0</v>
      </c>
    </row>
    <row r="5072" spans="1:7">
      <c r="A5072" s="3">
        <v>10</v>
      </c>
      <c r="B5072" s="3">
        <v>5</v>
      </c>
      <c r="C5072" s="3">
        <v>142</v>
      </c>
      <c r="D5072" s="3">
        <v>122</v>
      </c>
      <c r="E5072" s="3">
        <v>-8683.587</v>
      </c>
      <c r="F5072" s="4" t="str">
        <f>HYPERLINK("http://141.218.60.56/~jnz1568/getInfo.php?workbook=10_05.xlsx&amp;sheet=A0&amp;row=5072&amp;col=6&amp;number=611000&amp;sourceID=14","611000")</f>
        <v>611000</v>
      </c>
      <c r="G5072" s="4" t="str">
        <f>HYPERLINK("http://141.218.60.56/~jnz1568/getInfo.php?workbook=10_05.xlsx&amp;sheet=A0&amp;row=5072&amp;col=7&amp;number=0&amp;sourceID=14","0")</f>
        <v>0</v>
      </c>
    </row>
    <row r="5073" spans="1:7">
      <c r="A5073" s="3">
        <v>10</v>
      </c>
      <c r="B5073" s="3">
        <v>5</v>
      </c>
      <c r="C5073" s="3">
        <v>143</v>
      </c>
      <c r="D5073" s="3">
        <v>122</v>
      </c>
      <c r="E5073" s="3">
        <v>-8496.914</v>
      </c>
      <c r="F5073" s="4" t="str">
        <f>HYPERLINK("http://141.218.60.56/~jnz1568/getInfo.php?workbook=10_05.xlsx&amp;sheet=A0&amp;row=5073&amp;col=6&amp;number=2000000&amp;sourceID=14","2000000")</f>
        <v>2000000</v>
      </c>
      <c r="G5073" s="4" t="str">
        <f>HYPERLINK("http://141.218.60.56/~jnz1568/getInfo.php?workbook=10_05.xlsx&amp;sheet=A0&amp;row=5073&amp;col=7&amp;number=0&amp;sourceID=14","0")</f>
        <v>0</v>
      </c>
    </row>
    <row r="5074" spans="1:7">
      <c r="A5074" s="3">
        <v>10</v>
      </c>
      <c r="B5074" s="3">
        <v>5</v>
      </c>
      <c r="C5074" s="3">
        <v>144</v>
      </c>
      <c r="D5074" s="3">
        <v>122</v>
      </c>
      <c r="E5074" s="3">
        <v>-8357.027</v>
      </c>
      <c r="F5074" s="4" t="str">
        <f>HYPERLINK("http://141.218.60.56/~jnz1568/getInfo.php?workbook=10_05.xlsx&amp;sheet=A0&amp;row=5074&amp;col=6&amp;number=284000&amp;sourceID=14","284000")</f>
        <v>284000</v>
      </c>
      <c r="G5074" s="4" t="str">
        <f>HYPERLINK("http://141.218.60.56/~jnz1568/getInfo.php?workbook=10_05.xlsx&amp;sheet=A0&amp;row=5074&amp;col=7&amp;number=0&amp;sourceID=14","0")</f>
        <v>0</v>
      </c>
    </row>
    <row r="5075" spans="1:7">
      <c r="A5075" s="3">
        <v>10</v>
      </c>
      <c r="B5075" s="3">
        <v>5</v>
      </c>
      <c r="C5075" s="3">
        <v>145</v>
      </c>
      <c r="D5075" s="3">
        <v>122</v>
      </c>
      <c r="E5075" s="3">
        <v>-7772.438</v>
      </c>
      <c r="F5075" s="4" t="str">
        <f>HYPERLINK("http://141.218.60.56/~jnz1568/getInfo.php?workbook=10_05.xlsx&amp;sheet=A0&amp;row=5075&amp;col=6&amp;number=251000&amp;sourceID=14","251000")</f>
        <v>251000</v>
      </c>
      <c r="G5075" s="4" t="str">
        <f>HYPERLINK("http://141.218.60.56/~jnz1568/getInfo.php?workbook=10_05.xlsx&amp;sheet=A0&amp;row=5075&amp;col=7&amp;number=0&amp;sourceID=14","0")</f>
        <v>0</v>
      </c>
    </row>
    <row r="5076" spans="1:7">
      <c r="A5076" s="3">
        <v>10</v>
      </c>
      <c r="B5076" s="3">
        <v>5</v>
      </c>
      <c r="C5076" s="3">
        <v>146</v>
      </c>
      <c r="D5076" s="3">
        <v>122</v>
      </c>
      <c r="E5076" s="3">
        <v>-7628.943</v>
      </c>
      <c r="F5076" s="4" t="str">
        <f>HYPERLINK("http://141.218.60.56/~jnz1568/getInfo.php?workbook=10_05.xlsx&amp;sheet=A0&amp;row=5076&amp;col=6&amp;number=18400&amp;sourceID=14","18400")</f>
        <v>18400</v>
      </c>
      <c r="G5076" s="4" t="str">
        <f>HYPERLINK("http://141.218.60.56/~jnz1568/getInfo.php?workbook=10_05.xlsx&amp;sheet=A0&amp;row=5076&amp;col=7&amp;number=0&amp;sourceID=14","0")</f>
        <v>0</v>
      </c>
    </row>
    <row r="5077" spans="1:7">
      <c r="A5077" s="3">
        <v>10</v>
      </c>
      <c r="B5077" s="3">
        <v>5</v>
      </c>
      <c r="C5077" s="3">
        <v>147</v>
      </c>
      <c r="D5077" s="3">
        <v>122</v>
      </c>
      <c r="E5077" s="3">
        <v>-7423.919</v>
      </c>
      <c r="F5077" s="4" t="str">
        <f>HYPERLINK("http://141.218.60.56/~jnz1568/getInfo.php?workbook=10_05.xlsx&amp;sheet=A0&amp;row=5077&amp;col=6&amp;number=3240&amp;sourceID=14","3240")</f>
        <v>3240</v>
      </c>
      <c r="G5077" s="4" t="str">
        <f>HYPERLINK("http://141.218.60.56/~jnz1568/getInfo.php?workbook=10_05.xlsx&amp;sheet=A0&amp;row=5077&amp;col=7&amp;number=0&amp;sourceID=14","0")</f>
        <v>0</v>
      </c>
    </row>
    <row r="5078" spans="1:7">
      <c r="A5078" s="3">
        <v>10</v>
      </c>
      <c r="B5078" s="3">
        <v>5</v>
      </c>
      <c r="C5078" s="3">
        <v>148</v>
      </c>
      <c r="D5078" s="3">
        <v>122</v>
      </c>
      <c r="E5078" s="3">
        <v>-7370.297</v>
      </c>
      <c r="F5078" s="4" t="str">
        <f>HYPERLINK("http://141.218.60.56/~jnz1568/getInfo.php?workbook=10_05.xlsx&amp;sheet=A0&amp;row=5078&amp;col=6&amp;number=792000&amp;sourceID=14","792000")</f>
        <v>792000</v>
      </c>
      <c r="G5078" s="4" t="str">
        <f>HYPERLINK("http://141.218.60.56/~jnz1568/getInfo.php?workbook=10_05.xlsx&amp;sheet=A0&amp;row=5078&amp;col=7&amp;number=0&amp;sourceID=14","0")</f>
        <v>0</v>
      </c>
    </row>
    <row r="5079" spans="1:7">
      <c r="A5079" s="3">
        <v>10</v>
      </c>
      <c r="B5079" s="3">
        <v>5</v>
      </c>
      <c r="C5079" s="3">
        <v>152</v>
      </c>
      <c r="D5079" s="3">
        <v>122</v>
      </c>
      <c r="E5079" s="3">
        <v>-5254.042</v>
      </c>
      <c r="F5079" s="4" t="str">
        <f>HYPERLINK("http://141.218.60.56/~jnz1568/getInfo.php?workbook=10_05.xlsx&amp;sheet=A0&amp;row=5079&amp;col=6&amp;number=1880&amp;sourceID=14","1880")</f>
        <v>1880</v>
      </c>
      <c r="G5079" s="4" t="str">
        <f>HYPERLINK("http://141.218.60.56/~jnz1568/getInfo.php?workbook=10_05.xlsx&amp;sheet=A0&amp;row=5079&amp;col=7&amp;number=0&amp;sourceID=14","0")</f>
        <v>0</v>
      </c>
    </row>
    <row r="5080" spans="1:7">
      <c r="A5080" s="3">
        <v>10</v>
      </c>
      <c r="B5080" s="3">
        <v>5</v>
      </c>
      <c r="C5080" s="3">
        <v>153</v>
      </c>
      <c r="D5080" s="3">
        <v>122</v>
      </c>
      <c r="E5080" s="3">
        <v>-5041.857</v>
      </c>
      <c r="F5080" s="4" t="str">
        <f>HYPERLINK("http://141.218.60.56/~jnz1568/getInfo.php?workbook=10_05.xlsx&amp;sheet=A0&amp;row=5080&amp;col=6&amp;number=16200&amp;sourceID=14","16200")</f>
        <v>16200</v>
      </c>
      <c r="G5080" s="4" t="str">
        <f>HYPERLINK("http://141.218.60.56/~jnz1568/getInfo.php?workbook=10_05.xlsx&amp;sheet=A0&amp;row=5080&amp;col=7&amp;number=0&amp;sourceID=14","0")</f>
        <v>0</v>
      </c>
    </row>
    <row r="5081" spans="1:7">
      <c r="A5081" s="3">
        <v>10</v>
      </c>
      <c r="B5081" s="3">
        <v>5</v>
      </c>
      <c r="C5081" s="3">
        <v>158</v>
      </c>
      <c r="D5081" s="3">
        <v>122</v>
      </c>
      <c r="E5081" s="3">
        <v>-4624.714</v>
      </c>
      <c r="F5081" s="4" t="str">
        <f>HYPERLINK("http://141.218.60.56/~jnz1568/getInfo.php?workbook=10_05.xlsx&amp;sheet=A0&amp;row=5081&amp;col=6&amp;number=2170&amp;sourceID=14","2170")</f>
        <v>2170</v>
      </c>
      <c r="G5081" s="4" t="str">
        <f>HYPERLINK("http://141.218.60.56/~jnz1568/getInfo.php?workbook=10_05.xlsx&amp;sheet=A0&amp;row=5081&amp;col=7&amp;number=0&amp;sourceID=14","0")</f>
        <v>0</v>
      </c>
    </row>
    <row r="5082" spans="1:7">
      <c r="A5082" s="3">
        <v>10</v>
      </c>
      <c r="B5082" s="3">
        <v>5</v>
      </c>
      <c r="C5082" s="3">
        <v>165</v>
      </c>
      <c r="D5082" s="3">
        <v>122</v>
      </c>
      <c r="E5082" s="3">
        <v>-1463.831</v>
      </c>
      <c r="F5082" s="4" t="str">
        <f>HYPERLINK("http://141.218.60.56/~jnz1568/getInfo.php?workbook=10_05.xlsx&amp;sheet=A0&amp;row=5082&amp;col=6&amp;number=2100&amp;sourceID=14","2100")</f>
        <v>2100</v>
      </c>
      <c r="G5082" s="4" t="str">
        <f>HYPERLINK("http://141.218.60.56/~jnz1568/getInfo.php?workbook=10_05.xlsx&amp;sheet=A0&amp;row=5082&amp;col=7&amp;number=0&amp;sourceID=14","0")</f>
        <v>0</v>
      </c>
    </row>
    <row r="5083" spans="1:7">
      <c r="A5083" s="3">
        <v>10</v>
      </c>
      <c r="B5083" s="3">
        <v>5</v>
      </c>
      <c r="C5083" s="3">
        <v>167</v>
      </c>
      <c r="D5083" s="3">
        <v>122</v>
      </c>
      <c r="E5083" s="3">
        <v>-1047.825</v>
      </c>
      <c r="F5083" s="4" t="str">
        <f>HYPERLINK("http://141.218.60.56/~jnz1568/getInfo.php?workbook=10_05.xlsx&amp;sheet=A0&amp;row=5083&amp;col=6&amp;number=27400&amp;sourceID=14","27400")</f>
        <v>27400</v>
      </c>
      <c r="G5083" s="4" t="str">
        <f>HYPERLINK("http://141.218.60.56/~jnz1568/getInfo.php?workbook=10_05.xlsx&amp;sheet=A0&amp;row=5083&amp;col=7&amp;number=0&amp;sourceID=14","0")</f>
        <v>0</v>
      </c>
    </row>
    <row r="5084" spans="1:7">
      <c r="A5084" s="3">
        <v>10</v>
      </c>
      <c r="B5084" s="3">
        <v>5</v>
      </c>
      <c r="C5084" s="3">
        <v>175</v>
      </c>
      <c r="D5084" s="3">
        <v>122</v>
      </c>
      <c r="E5084" s="3">
        <v>-787.955</v>
      </c>
      <c r="F5084" s="4" t="str">
        <f>HYPERLINK("http://141.218.60.56/~jnz1568/getInfo.php?workbook=10_05.xlsx&amp;sheet=A0&amp;row=5084&amp;col=6&amp;number=10200&amp;sourceID=14","10200")</f>
        <v>10200</v>
      </c>
      <c r="G5084" s="4" t="str">
        <f>HYPERLINK("http://141.218.60.56/~jnz1568/getInfo.php?workbook=10_05.xlsx&amp;sheet=A0&amp;row=5084&amp;col=7&amp;number=0&amp;sourceID=14","0")</f>
        <v>0</v>
      </c>
    </row>
    <row r="5085" spans="1:7">
      <c r="A5085" s="3">
        <v>10</v>
      </c>
      <c r="B5085" s="3">
        <v>5</v>
      </c>
      <c r="C5085" s="3">
        <v>176</v>
      </c>
      <c r="D5085" s="3">
        <v>122</v>
      </c>
      <c r="E5085" s="3">
        <v>-787.949</v>
      </c>
      <c r="F5085" s="4" t="str">
        <f>HYPERLINK("http://141.218.60.56/~jnz1568/getInfo.php?workbook=10_05.xlsx&amp;sheet=A0&amp;row=5085&amp;col=6&amp;number=375&amp;sourceID=14","375")</f>
        <v>375</v>
      </c>
      <c r="G5085" s="4" t="str">
        <f>HYPERLINK("http://141.218.60.56/~jnz1568/getInfo.php?workbook=10_05.xlsx&amp;sheet=A0&amp;row=5085&amp;col=7&amp;number=0&amp;sourceID=14","0")</f>
        <v>0</v>
      </c>
    </row>
    <row r="5086" spans="1:7">
      <c r="A5086" s="3">
        <v>10</v>
      </c>
      <c r="B5086" s="3">
        <v>5</v>
      </c>
      <c r="C5086" s="3">
        <v>177</v>
      </c>
      <c r="D5086" s="3">
        <v>122</v>
      </c>
      <c r="E5086" s="3">
        <v>-782.456</v>
      </c>
      <c r="F5086" s="4" t="str">
        <f>HYPERLINK("http://141.218.60.56/~jnz1568/getInfo.php?workbook=10_05.xlsx&amp;sheet=A0&amp;row=5086&amp;col=6&amp;number=5980&amp;sourceID=14","5980")</f>
        <v>5980</v>
      </c>
      <c r="G5086" s="4" t="str">
        <f>HYPERLINK("http://141.218.60.56/~jnz1568/getInfo.php?workbook=10_05.xlsx&amp;sheet=A0&amp;row=5086&amp;col=7&amp;number=0&amp;sourceID=14","0")</f>
        <v>0</v>
      </c>
    </row>
    <row r="5087" spans="1:7">
      <c r="A5087" s="3">
        <v>10</v>
      </c>
      <c r="B5087" s="3">
        <v>5</v>
      </c>
      <c r="C5087" s="3">
        <v>178</v>
      </c>
      <c r="D5087" s="3">
        <v>122</v>
      </c>
      <c r="E5087" s="3">
        <v>-782.186</v>
      </c>
      <c r="F5087" s="4" t="str">
        <f>HYPERLINK("http://141.218.60.56/~jnz1568/getInfo.php?workbook=10_05.xlsx&amp;sheet=A0&amp;row=5087&amp;col=6&amp;number=39000&amp;sourceID=14","39000")</f>
        <v>39000</v>
      </c>
      <c r="G5087" s="4" t="str">
        <f>HYPERLINK("http://141.218.60.56/~jnz1568/getInfo.php?workbook=10_05.xlsx&amp;sheet=A0&amp;row=5087&amp;col=7&amp;number=0&amp;sourceID=14","0")</f>
        <v>0</v>
      </c>
    </row>
    <row r="5088" spans="1:7">
      <c r="A5088" s="3">
        <v>10</v>
      </c>
      <c r="B5088" s="3">
        <v>5</v>
      </c>
      <c r="C5088" s="3">
        <v>180</v>
      </c>
      <c r="D5088" s="3">
        <v>122</v>
      </c>
      <c r="E5088" s="3">
        <v>-757.95</v>
      </c>
      <c r="F5088" s="4" t="str">
        <f>HYPERLINK("http://141.218.60.56/~jnz1568/getInfo.php?workbook=10_05.xlsx&amp;sheet=A0&amp;row=5088&amp;col=6&amp;number=3850&amp;sourceID=14","3850")</f>
        <v>3850</v>
      </c>
      <c r="G5088" s="4" t="str">
        <f>HYPERLINK("http://141.218.60.56/~jnz1568/getInfo.php?workbook=10_05.xlsx&amp;sheet=A0&amp;row=5088&amp;col=7&amp;number=0&amp;sourceID=14","0")</f>
        <v>0</v>
      </c>
    </row>
    <row r="5089" spans="1:7">
      <c r="A5089" s="3">
        <v>10</v>
      </c>
      <c r="B5089" s="3">
        <v>5</v>
      </c>
      <c r="C5089" s="3">
        <v>127</v>
      </c>
      <c r="D5089" s="3">
        <v>123</v>
      </c>
      <c r="E5089" s="3">
        <v>-64766.959</v>
      </c>
      <c r="F5089" s="4" t="str">
        <f>HYPERLINK("http://141.218.60.56/~jnz1568/getInfo.php?workbook=10_05.xlsx&amp;sheet=A0&amp;row=5089&amp;col=6&amp;number=62.2&amp;sourceID=14","62.2")</f>
        <v>62.2</v>
      </c>
      <c r="G5089" s="4" t="str">
        <f>HYPERLINK("http://141.218.60.56/~jnz1568/getInfo.php?workbook=10_05.xlsx&amp;sheet=A0&amp;row=5089&amp;col=7&amp;number=0&amp;sourceID=14","0")</f>
        <v>0</v>
      </c>
    </row>
    <row r="5090" spans="1:7">
      <c r="A5090" s="3">
        <v>10</v>
      </c>
      <c r="B5090" s="3">
        <v>5</v>
      </c>
      <c r="C5090" s="3">
        <v>128</v>
      </c>
      <c r="D5090" s="3">
        <v>123</v>
      </c>
      <c r="E5090" s="3">
        <v>-50175.707</v>
      </c>
      <c r="F5090" s="4" t="str">
        <f>HYPERLINK("http://141.218.60.56/~jnz1568/getInfo.php?workbook=10_05.xlsx&amp;sheet=A0&amp;row=5090&amp;col=6&amp;number=307&amp;sourceID=14","307")</f>
        <v>307</v>
      </c>
      <c r="G5090" s="4" t="str">
        <f>HYPERLINK("http://141.218.60.56/~jnz1568/getInfo.php?workbook=10_05.xlsx&amp;sheet=A0&amp;row=5090&amp;col=7&amp;number=0&amp;sourceID=14","0")</f>
        <v>0</v>
      </c>
    </row>
    <row r="5091" spans="1:7">
      <c r="A5091" s="3">
        <v>10</v>
      </c>
      <c r="B5091" s="3">
        <v>5</v>
      </c>
      <c r="C5091" s="3">
        <v>134</v>
      </c>
      <c r="D5091" s="3">
        <v>123</v>
      </c>
      <c r="E5091" s="3">
        <v>-15453.59</v>
      </c>
      <c r="F5091" s="4" t="str">
        <f>HYPERLINK("http://141.218.60.56/~jnz1568/getInfo.php?workbook=10_05.xlsx&amp;sheet=A0&amp;row=5091&amp;col=6&amp;number=390&amp;sourceID=14","390")</f>
        <v>390</v>
      </c>
      <c r="G5091" s="4" t="str">
        <f>HYPERLINK("http://141.218.60.56/~jnz1568/getInfo.php?workbook=10_05.xlsx&amp;sheet=A0&amp;row=5091&amp;col=7&amp;number=0&amp;sourceID=14","0")</f>
        <v>0</v>
      </c>
    </row>
    <row r="5092" spans="1:7">
      <c r="A5092" s="3">
        <v>10</v>
      </c>
      <c r="B5092" s="3">
        <v>5</v>
      </c>
      <c r="C5092" s="3">
        <v>135</v>
      </c>
      <c r="D5092" s="3">
        <v>123</v>
      </c>
      <c r="E5092" s="3">
        <v>-14898.716</v>
      </c>
      <c r="F5092" s="4" t="str">
        <f>HYPERLINK("http://141.218.60.56/~jnz1568/getInfo.php?workbook=10_05.xlsx&amp;sheet=A0&amp;row=5092&amp;col=6&amp;number=1350&amp;sourceID=14","1350")</f>
        <v>1350</v>
      </c>
      <c r="G5092" s="4" t="str">
        <f>HYPERLINK("http://141.218.60.56/~jnz1568/getInfo.php?workbook=10_05.xlsx&amp;sheet=A0&amp;row=5092&amp;col=7&amp;number=0&amp;sourceID=14","0")</f>
        <v>0</v>
      </c>
    </row>
    <row r="5093" spans="1:7">
      <c r="A5093" s="3">
        <v>10</v>
      </c>
      <c r="B5093" s="3">
        <v>5</v>
      </c>
      <c r="C5093" s="3">
        <v>141</v>
      </c>
      <c r="D5093" s="3">
        <v>123</v>
      </c>
      <c r="E5093" s="3">
        <v>-8946.161</v>
      </c>
      <c r="F5093" s="4" t="str">
        <f>HYPERLINK("http://141.218.60.56/~jnz1568/getInfo.php?workbook=10_05.xlsx&amp;sheet=A0&amp;row=5093&amp;col=6&amp;number=103000&amp;sourceID=14","103000")</f>
        <v>103000</v>
      </c>
      <c r="G5093" s="4" t="str">
        <f>HYPERLINK("http://141.218.60.56/~jnz1568/getInfo.php?workbook=10_05.xlsx&amp;sheet=A0&amp;row=5093&amp;col=7&amp;number=0&amp;sourceID=14","0")</f>
        <v>0</v>
      </c>
    </row>
    <row r="5094" spans="1:7">
      <c r="A5094" s="3">
        <v>10</v>
      </c>
      <c r="B5094" s="3">
        <v>5</v>
      </c>
      <c r="C5094" s="3">
        <v>142</v>
      </c>
      <c r="D5094" s="3">
        <v>123</v>
      </c>
      <c r="E5094" s="3">
        <v>-8911.084</v>
      </c>
      <c r="F5094" s="4" t="str">
        <f>HYPERLINK("http://141.218.60.56/~jnz1568/getInfo.php?workbook=10_05.xlsx&amp;sheet=A0&amp;row=5094&amp;col=6&amp;number=461000&amp;sourceID=14","461000")</f>
        <v>461000</v>
      </c>
      <c r="G5094" s="4" t="str">
        <f>HYPERLINK("http://141.218.60.56/~jnz1568/getInfo.php?workbook=10_05.xlsx&amp;sheet=A0&amp;row=5094&amp;col=7&amp;number=0&amp;sourceID=14","0")</f>
        <v>0</v>
      </c>
    </row>
    <row r="5095" spans="1:7">
      <c r="A5095" s="3">
        <v>10</v>
      </c>
      <c r="B5095" s="3">
        <v>5</v>
      </c>
      <c r="C5095" s="3">
        <v>143</v>
      </c>
      <c r="D5095" s="3">
        <v>123</v>
      </c>
      <c r="E5095" s="3">
        <v>-8714.613</v>
      </c>
      <c r="F5095" s="4" t="str">
        <f>HYPERLINK("http://141.218.60.56/~jnz1568/getInfo.php?workbook=10_05.xlsx&amp;sheet=A0&amp;row=5095&amp;col=6&amp;number=1320000&amp;sourceID=14","1320000")</f>
        <v>1320000</v>
      </c>
      <c r="G5095" s="4" t="str">
        <f>HYPERLINK("http://141.218.60.56/~jnz1568/getInfo.php?workbook=10_05.xlsx&amp;sheet=A0&amp;row=5095&amp;col=7&amp;number=0&amp;sourceID=14","0")</f>
        <v>0</v>
      </c>
    </row>
    <row r="5096" spans="1:7">
      <c r="A5096" s="3">
        <v>10</v>
      </c>
      <c r="B5096" s="3">
        <v>5</v>
      </c>
      <c r="C5096" s="3">
        <v>145</v>
      </c>
      <c r="D5096" s="3">
        <v>123</v>
      </c>
      <c r="E5096" s="3">
        <v>-7954.199</v>
      </c>
      <c r="F5096" s="4" t="str">
        <f>HYPERLINK("http://141.218.60.56/~jnz1568/getInfo.php?workbook=10_05.xlsx&amp;sheet=A0&amp;row=5096&amp;col=6&amp;number=2700000&amp;sourceID=14","2700000")</f>
        <v>2700000</v>
      </c>
      <c r="G5096" s="4" t="str">
        <f>HYPERLINK("http://141.218.60.56/~jnz1568/getInfo.php?workbook=10_05.xlsx&amp;sheet=A0&amp;row=5096&amp;col=7&amp;number=0&amp;sourceID=14","0")</f>
        <v>0</v>
      </c>
    </row>
    <row r="5097" spans="1:7">
      <c r="A5097" s="3">
        <v>10</v>
      </c>
      <c r="B5097" s="3">
        <v>5</v>
      </c>
      <c r="C5097" s="3">
        <v>146</v>
      </c>
      <c r="D5097" s="3">
        <v>123</v>
      </c>
      <c r="E5097" s="3">
        <v>-7803.979</v>
      </c>
      <c r="F5097" s="4" t="str">
        <f>HYPERLINK("http://141.218.60.56/~jnz1568/getInfo.php?workbook=10_05.xlsx&amp;sheet=A0&amp;row=5097&amp;col=6&amp;number=298000&amp;sourceID=14","298000")</f>
        <v>298000</v>
      </c>
      <c r="G5097" s="4" t="str">
        <f>HYPERLINK("http://141.218.60.56/~jnz1568/getInfo.php?workbook=10_05.xlsx&amp;sheet=A0&amp;row=5097&amp;col=7&amp;number=0&amp;sourceID=14","0")</f>
        <v>0</v>
      </c>
    </row>
    <row r="5098" spans="1:7">
      <c r="A5098" s="3">
        <v>10</v>
      </c>
      <c r="B5098" s="3">
        <v>5</v>
      </c>
      <c r="C5098" s="3">
        <v>147</v>
      </c>
      <c r="D5098" s="3">
        <v>123</v>
      </c>
      <c r="E5098" s="3">
        <v>-7589.571</v>
      </c>
      <c r="F5098" s="4" t="str">
        <f>HYPERLINK("http://141.218.60.56/~jnz1568/getInfo.php?workbook=10_05.xlsx&amp;sheet=A0&amp;row=5098&amp;col=6&amp;number=10700000&amp;sourceID=14","10700000")</f>
        <v>10700000</v>
      </c>
      <c r="G5098" s="4" t="str">
        <f>HYPERLINK("http://141.218.60.56/~jnz1568/getInfo.php?workbook=10_05.xlsx&amp;sheet=A0&amp;row=5098&amp;col=7&amp;number=0&amp;sourceID=14","0")</f>
        <v>0</v>
      </c>
    </row>
    <row r="5099" spans="1:7">
      <c r="A5099" s="3">
        <v>10</v>
      </c>
      <c r="B5099" s="3">
        <v>5</v>
      </c>
      <c r="C5099" s="3">
        <v>148</v>
      </c>
      <c r="D5099" s="3">
        <v>123</v>
      </c>
      <c r="E5099" s="3">
        <v>-7533.538</v>
      </c>
      <c r="F5099" s="4" t="str">
        <f>HYPERLINK("http://141.218.60.56/~jnz1568/getInfo.php?workbook=10_05.xlsx&amp;sheet=A0&amp;row=5099&amp;col=6&amp;number=8450000&amp;sourceID=14","8450000")</f>
        <v>8450000</v>
      </c>
      <c r="G5099" s="4" t="str">
        <f>HYPERLINK("http://141.218.60.56/~jnz1568/getInfo.php?workbook=10_05.xlsx&amp;sheet=A0&amp;row=5099&amp;col=7&amp;number=0&amp;sourceID=14","0")</f>
        <v>0</v>
      </c>
    </row>
    <row r="5100" spans="1:7">
      <c r="A5100" s="3">
        <v>10</v>
      </c>
      <c r="B5100" s="3">
        <v>5</v>
      </c>
      <c r="C5100" s="3">
        <v>149</v>
      </c>
      <c r="D5100" s="3">
        <v>123</v>
      </c>
      <c r="E5100" s="3">
        <v>-7477.767</v>
      </c>
      <c r="F5100" s="4" t="str">
        <f>HYPERLINK("http://141.218.60.56/~jnz1568/getInfo.php?workbook=10_05.xlsx&amp;sheet=A0&amp;row=5100&amp;col=6&amp;number=12400000&amp;sourceID=14","12400000")</f>
        <v>12400000</v>
      </c>
      <c r="G5100" s="4" t="str">
        <f>HYPERLINK("http://141.218.60.56/~jnz1568/getInfo.php?workbook=10_05.xlsx&amp;sheet=A0&amp;row=5100&amp;col=7&amp;number=0&amp;sourceID=14","0")</f>
        <v>0</v>
      </c>
    </row>
    <row r="5101" spans="1:7">
      <c r="A5101" s="3">
        <v>10</v>
      </c>
      <c r="B5101" s="3">
        <v>5</v>
      </c>
      <c r="C5101" s="3">
        <v>152</v>
      </c>
      <c r="D5101" s="3">
        <v>123</v>
      </c>
      <c r="E5101" s="3">
        <v>-5336.474</v>
      </c>
      <c r="F5101" s="4" t="str">
        <f>HYPERLINK("http://141.218.60.56/~jnz1568/getInfo.php?workbook=10_05.xlsx&amp;sheet=A0&amp;row=5101&amp;col=6&amp;number=1490&amp;sourceID=14","1490")</f>
        <v>1490</v>
      </c>
      <c r="G5101" s="4" t="str">
        <f>HYPERLINK("http://141.218.60.56/~jnz1568/getInfo.php?workbook=10_05.xlsx&amp;sheet=A0&amp;row=5101&amp;col=7&amp;number=0&amp;sourceID=14","0")</f>
        <v>0</v>
      </c>
    </row>
    <row r="5102" spans="1:7">
      <c r="A5102" s="3">
        <v>10</v>
      </c>
      <c r="B5102" s="3">
        <v>5</v>
      </c>
      <c r="C5102" s="3">
        <v>158</v>
      </c>
      <c r="D5102" s="3">
        <v>123</v>
      </c>
      <c r="E5102" s="3">
        <v>-4688.461</v>
      </c>
      <c r="F5102" s="4" t="str">
        <f>HYPERLINK("http://141.218.60.56/~jnz1568/getInfo.php?workbook=10_05.xlsx&amp;sheet=A0&amp;row=5102&amp;col=6&amp;number=491000&amp;sourceID=14","491000")</f>
        <v>491000</v>
      </c>
      <c r="G5102" s="4" t="str">
        <f>HYPERLINK("http://141.218.60.56/~jnz1568/getInfo.php?workbook=10_05.xlsx&amp;sheet=A0&amp;row=5102&amp;col=7&amp;number=0&amp;sourceID=14","0")</f>
        <v>0</v>
      </c>
    </row>
    <row r="5103" spans="1:7">
      <c r="A5103" s="3">
        <v>10</v>
      </c>
      <c r="B5103" s="3">
        <v>5</v>
      </c>
      <c r="C5103" s="3">
        <v>159</v>
      </c>
      <c r="D5103" s="3">
        <v>123</v>
      </c>
      <c r="E5103" s="3">
        <v>-4596.23</v>
      </c>
      <c r="F5103" s="4" t="str">
        <f>HYPERLINK("http://141.218.60.56/~jnz1568/getInfo.php?workbook=10_05.xlsx&amp;sheet=A0&amp;row=5103&amp;col=6&amp;number=177000&amp;sourceID=14","177000")</f>
        <v>177000</v>
      </c>
      <c r="G5103" s="4" t="str">
        <f>HYPERLINK("http://141.218.60.56/~jnz1568/getInfo.php?workbook=10_05.xlsx&amp;sheet=A0&amp;row=5103&amp;col=7&amp;number=0&amp;sourceID=14","0")</f>
        <v>0</v>
      </c>
    </row>
    <row r="5104" spans="1:7">
      <c r="A5104" s="3">
        <v>10</v>
      </c>
      <c r="B5104" s="3">
        <v>5</v>
      </c>
      <c r="C5104" s="3">
        <v>164</v>
      </c>
      <c r="D5104" s="3">
        <v>123</v>
      </c>
      <c r="E5104" s="3">
        <v>-1473.126</v>
      </c>
      <c r="F5104" s="4" t="str">
        <f>HYPERLINK("http://141.218.60.56/~jnz1568/getInfo.php?workbook=10_05.xlsx&amp;sheet=A0&amp;row=5104&amp;col=6&amp;number=6250&amp;sourceID=14","6250")</f>
        <v>6250</v>
      </c>
      <c r="G5104" s="4" t="str">
        <f>HYPERLINK("http://141.218.60.56/~jnz1568/getInfo.php?workbook=10_05.xlsx&amp;sheet=A0&amp;row=5104&amp;col=7&amp;number=0&amp;sourceID=14","0")</f>
        <v>0</v>
      </c>
    </row>
    <row r="5105" spans="1:7">
      <c r="A5105" s="3">
        <v>10</v>
      </c>
      <c r="B5105" s="3">
        <v>5</v>
      </c>
      <c r="C5105" s="3">
        <v>165</v>
      </c>
      <c r="D5105" s="3">
        <v>123</v>
      </c>
      <c r="E5105" s="3">
        <v>-1470.159</v>
      </c>
      <c r="F5105" s="4" t="str">
        <f>HYPERLINK("http://141.218.60.56/~jnz1568/getInfo.php?workbook=10_05.xlsx&amp;sheet=A0&amp;row=5105&amp;col=6&amp;number=9660&amp;sourceID=14","9660")</f>
        <v>9660</v>
      </c>
      <c r="G5105" s="4" t="str">
        <f>HYPERLINK("http://141.218.60.56/~jnz1568/getInfo.php?workbook=10_05.xlsx&amp;sheet=A0&amp;row=5105&amp;col=7&amp;number=0&amp;sourceID=14","0")</f>
        <v>0</v>
      </c>
    </row>
    <row r="5106" spans="1:7">
      <c r="A5106" s="3">
        <v>10</v>
      </c>
      <c r="B5106" s="3">
        <v>5</v>
      </c>
      <c r="C5106" s="3">
        <v>166</v>
      </c>
      <c r="D5106" s="3">
        <v>123</v>
      </c>
      <c r="E5106" s="3">
        <v>-1051.527</v>
      </c>
      <c r="F5106" s="4" t="str">
        <f>HYPERLINK("http://141.218.60.56/~jnz1568/getInfo.php?workbook=10_05.xlsx&amp;sheet=A0&amp;row=5106&amp;col=6&amp;number=72200&amp;sourceID=14","72200")</f>
        <v>72200</v>
      </c>
      <c r="G5106" s="4" t="str">
        <f>HYPERLINK("http://141.218.60.56/~jnz1568/getInfo.php?workbook=10_05.xlsx&amp;sheet=A0&amp;row=5106&amp;col=7&amp;number=0&amp;sourceID=14","0")</f>
        <v>0</v>
      </c>
    </row>
    <row r="5107" spans="1:7">
      <c r="A5107" s="3">
        <v>10</v>
      </c>
      <c r="B5107" s="3">
        <v>5</v>
      </c>
      <c r="C5107" s="3">
        <v>167</v>
      </c>
      <c r="D5107" s="3">
        <v>123</v>
      </c>
      <c r="E5107" s="3">
        <v>-1051.062</v>
      </c>
      <c r="F5107" s="4" t="str">
        <f>HYPERLINK("http://141.218.60.56/~jnz1568/getInfo.php?workbook=10_05.xlsx&amp;sheet=A0&amp;row=5107&amp;col=6&amp;number=267000&amp;sourceID=14","267000")</f>
        <v>267000</v>
      </c>
      <c r="G5107" s="4" t="str">
        <f>HYPERLINK("http://141.218.60.56/~jnz1568/getInfo.php?workbook=10_05.xlsx&amp;sheet=A0&amp;row=5107&amp;col=7&amp;number=0&amp;sourceID=14","0")</f>
        <v>0</v>
      </c>
    </row>
    <row r="5108" spans="1:7">
      <c r="A5108" s="3">
        <v>10</v>
      </c>
      <c r="B5108" s="3">
        <v>5</v>
      </c>
      <c r="C5108" s="3">
        <v>176</v>
      </c>
      <c r="D5108" s="3">
        <v>123</v>
      </c>
      <c r="E5108" s="3">
        <v>-789.779</v>
      </c>
      <c r="F5108" s="4" t="str">
        <f>HYPERLINK("http://141.218.60.56/~jnz1568/getInfo.php?workbook=10_05.xlsx&amp;sheet=A0&amp;row=5108&amp;col=6&amp;number=149&amp;sourceID=14","149")</f>
        <v>149</v>
      </c>
      <c r="G5108" s="4" t="str">
        <f>HYPERLINK("http://141.218.60.56/~jnz1568/getInfo.php?workbook=10_05.xlsx&amp;sheet=A0&amp;row=5108&amp;col=7&amp;number=0&amp;sourceID=14","0")</f>
        <v>0</v>
      </c>
    </row>
    <row r="5109" spans="1:7">
      <c r="A5109" s="3">
        <v>10</v>
      </c>
      <c r="B5109" s="3">
        <v>5</v>
      </c>
      <c r="C5109" s="3">
        <v>177</v>
      </c>
      <c r="D5109" s="3">
        <v>123</v>
      </c>
      <c r="E5109" s="3">
        <v>-784.26</v>
      </c>
      <c r="F5109" s="4" t="str">
        <f>HYPERLINK("http://141.218.60.56/~jnz1568/getInfo.php?workbook=10_05.xlsx&amp;sheet=A0&amp;row=5109&amp;col=6&amp;number=3940&amp;sourceID=14","3940")</f>
        <v>3940</v>
      </c>
      <c r="G5109" s="4" t="str">
        <f>HYPERLINK("http://141.218.60.56/~jnz1568/getInfo.php?workbook=10_05.xlsx&amp;sheet=A0&amp;row=5109&amp;col=7&amp;number=0&amp;sourceID=14","0")</f>
        <v>0</v>
      </c>
    </row>
    <row r="5110" spans="1:7">
      <c r="A5110" s="3">
        <v>10</v>
      </c>
      <c r="B5110" s="3">
        <v>5</v>
      </c>
      <c r="C5110" s="3">
        <v>178</v>
      </c>
      <c r="D5110" s="3">
        <v>123</v>
      </c>
      <c r="E5110" s="3">
        <v>-783.989</v>
      </c>
      <c r="F5110" s="4" t="str">
        <f>HYPERLINK("http://141.218.60.56/~jnz1568/getInfo.php?workbook=10_05.xlsx&amp;sheet=A0&amp;row=5110&amp;col=6&amp;number=59.4&amp;sourceID=14","59.4")</f>
        <v>59.4</v>
      </c>
      <c r="G5110" s="4" t="str">
        <f>HYPERLINK("http://141.218.60.56/~jnz1568/getInfo.php?workbook=10_05.xlsx&amp;sheet=A0&amp;row=5110&amp;col=7&amp;number=0&amp;sourceID=14","0")</f>
        <v>0</v>
      </c>
    </row>
    <row r="5111" spans="1:7">
      <c r="A5111" s="3">
        <v>10</v>
      </c>
      <c r="B5111" s="3">
        <v>5</v>
      </c>
      <c r="C5111" s="3">
        <v>179</v>
      </c>
      <c r="D5111" s="3">
        <v>123</v>
      </c>
      <c r="E5111" s="3">
        <v>-759.857</v>
      </c>
      <c r="F5111" s="4" t="str">
        <f>HYPERLINK("http://141.218.60.56/~jnz1568/getInfo.php?workbook=10_05.xlsx&amp;sheet=A0&amp;row=5111&amp;col=6&amp;number=296000&amp;sourceID=14","296000")</f>
        <v>296000</v>
      </c>
      <c r="G5111" s="4" t="str">
        <f>HYPERLINK("http://141.218.60.56/~jnz1568/getInfo.php?workbook=10_05.xlsx&amp;sheet=A0&amp;row=5111&amp;col=7&amp;number=0&amp;sourceID=14","0")</f>
        <v>0</v>
      </c>
    </row>
    <row r="5112" spans="1:7">
      <c r="A5112" s="3">
        <v>10</v>
      </c>
      <c r="B5112" s="3">
        <v>5</v>
      </c>
      <c r="C5112" s="3">
        <v>180</v>
      </c>
      <c r="D5112" s="3">
        <v>123</v>
      </c>
      <c r="E5112" s="3">
        <v>-759.643</v>
      </c>
      <c r="F5112" s="4" t="str">
        <f>HYPERLINK("http://141.218.60.56/~jnz1568/getInfo.php?workbook=10_05.xlsx&amp;sheet=A0&amp;row=5112&amp;col=6&amp;number=685000&amp;sourceID=14","685000")</f>
        <v>685000</v>
      </c>
      <c r="G5112" s="4" t="str">
        <f>HYPERLINK("http://141.218.60.56/~jnz1568/getInfo.php?workbook=10_05.xlsx&amp;sheet=A0&amp;row=5112&amp;col=7&amp;number=0&amp;sourceID=14","0")</f>
        <v>0</v>
      </c>
    </row>
    <row r="5113" spans="1:7">
      <c r="A5113" s="3">
        <v>10</v>
      </c>
      <c r="B5113" s="3">
        <v>5</v>
      </c>
      <c r="C5113" s="3">
        <v>135</v>
      </c>
      <c r="D5113" s="3">
        <v>124</v>
      </c>
      <c r="E5113" s="3">
        <v>-15463.149</v>
      </c>
      <c r="F5113" s="4" t="str">
        <f>HYPERLINK("http://141.218.60.56/~jnz1568/getInfo.php?workbook=10_05.xlsx&amp;sheet=A0&amp;row=5113&amp;col=6&amp;number=12300&amp;sourceID=14","12300")</f>
        <v>12300</v>
      </c>
      <c r="G5113" s="4" t="str">
        <f>HYPERLINK("http://141.218.60.56/~jnz1568/getInfo.php?workbook=10_05.xlsx&amp;sheet=A0&amp;row=5113&amp;col=7&amp;number=0&amp;sourceID=14","0")</f>
        <v>0</v>
      </c>
    </row>
    <row r="5114" spans="1:7">
      <c r="A5114" s="3">
        <v>10</v>
      </c>
      <c r="B5114" s="3">
        <v>5</v>
      </c>
      <c r="C5114" s="3">
        <v>136</v>
      </c>
      <c r="D5114" s="3">
        <v>124</v>
      </c>
      <c r="E5114" s="3">
        <v>-14643.459</v>
      </c>
      <c r="F5114" s="4" t="str">
        <f>HYPERLINK("http://141.218.60.56/~jnz1568/getInfo.php?workbook=10_05.xlsx&amp;sheet=A0&amp;row=5114&amp;col=6&amp;number=253000&amp;sourceID=14","253000")</f>
        <v>253000</v>
      </c>
      <c r="G5114" s="4" t="str">
        <f>HYPERLINK("http://141.218.60.56/~jnz1568/getInfo.php?workbook=10_05.xlsx&amp;sheet=A0&amp;row=5114&amp;col=7&amp;number=0&amp;sourceID=14","0")</f>
        <v>0</v>
      </c>
    </row>
    <row r="5115" spans="1:7">
      <c r="A5115" s="3">
        <v>10</v>
      </c>
      <c r="B5115" s="3">
        <v>5</v>
      </c>
      <c r="C5115" s="3">
        <v>137</v>
      </c>
      <c r="D5115" s="3">
        <v>124</v>
      </c>
      <c r="E5115" s="3">
        <v>-13635.149</v>
      </c>
      <c r="F5115" s="4" t="str">
        <f>HYPERLINK("http://141.218.60.56/~jnz1568/getInfo.php?workbook=10_05.xlsx&amp;sheet=A0&amp;row=5115&amp;col=6&amp;number=2840000&amp;sourceID=14","2840000")</f>
        <v>2840000</v>
      </c>
      <c r="G5115" s="4" t="str">
        <f>HYPERLINK("http://141.218.60.56/~jnz1568/getInfo.php?workbook=10_05.xlsx&amp;sheet=A0&amp;row=5115&amp;col=7&amp;number=0&amp;sourceID=14","0")</f>
        <v>0</v>
      </c>
    </row>
    <row r="5116" spans="1:7">
      <c r="A5116" s="3">
        <v>10</v>
      </c>
      <c r="B5116" s="3">
        <v>5</v>
      </c>
      <c r="C5116" s="3">
        <v>143</v>
      </c>
      <c r="D5116" s="3">
        <v>124</v>
      </c>
      <c r="E5116" s="3">
        <v>-8904.736</v>
      </c>
      <c r="F5116" s="4" t="str">
        <f>HYPERLINK("http://141.218.60.56/~jnz1568/getInfo.php?workbook=10_05.xlsx&amp;sheet=A0&amp;row=5116&amp;col=6&amp;number=154000&amp;sourceID=14","154000")</f>
        <v>154000</v>
      </c>
      <c r="G5116" s="4" t="str">
        <f>HYPERLINK("http://141.218.60.56/~jnz1568/getInfo.php?workbook=10_05.xlsx&amp;sheet=A0&amp;row=5116&amp;col=7&amp;number=0&amp;sourceID=14","0")</f>
        <v>0</v>
      </c>
    </row>
    <row r="5117" spans="1:7">
      <c r="A5117" s="3">
        <v>10</v>
      </c>
      <c r="B5117" s="3">
        <v>5</v>
      </c>
      <c r="C5117" s="3">
        <v>144</v>
      </c>
      <c r="D5117" s="3">
        <v>124</v>
      </c>
      <c r="E5117" s="3">
        <v>-8751.219</v>
      </c>
      <c r="F5117" s="4" t="str">
        <f>HYPERLINK("http://141.218.60.56/~jnz1568/getInfo.php?workbook=10_05.xlsx&amp;sheet=A0&amp;row=5117&amp;col=6&amp;number=2620000&amp;sourceID=14","2620000")</f>
        <v>2620000</v>
      </c>
      <c r="G5117" s="4" t="str">
        <f>HYPERLINK("http://141.218.60.56/~jnz1568/getInfo.php?workbook=10_05.xlsx&amp;sheet=A0&amp;row=5117&amp;col=7&amp;number=0&amp;sourceID=14","0")</f>
        <v>0</v>
      </c>
    </row>
    <row r="5118" spans="1:7">
      <c r="A5118" s="3">
        <v>10</v>
      </c>
      <c r="B5118" s="3">
        <v>5</v>
      </c>
      <c r="C5118" s="3">
        <v>146</v>
      </c>
      <c r="D5118" s="3">
        <v>124</v>
      </c>
      <c r="E5118" s="3">
        <v>-7956.097</v>
      </c>
      <c r="F5118" s="4" t="str">
        <f>HYPERLINK("http://141.218.60.56/~jnz1568/getInfo.php?workbook=10_05.xlsx&amp;sheet=A0&amp;row=5118&amp;col=6&amp;number=95800&amp;sourceID=14","95800")</f>
        <v>95800</v>
      </c>
      <c r="G5118" s="4" t="str">
        <f>HYPERLINK("http://141.218.60.56/~jnz1568/getInfo.php?workbook=10_05.xlsx&amp;sheet=A0&amp;row=5118&amp;col=7&amp;number=0&amp;sourceID=14","0")</f>
        <v>0</v>
      </c>
    </row>
    <row r="5119" spans="1:7">
      <c r="A5119" s="3">
        <v>10</v>
      </c>
      <c r="B5119" s="3">
        <v>5</v>
      </c>
      <c r="C5119" s="3">
        <v>147</v>
      </c>
      <c r="D5119" s="3">
        <v>124</v>
      </c>
      <c r="E5119" s="3">
        <v>-7733.368</v>
      </c>
      <c r="F5119" s="4" t="str">
        <f>HYPERLINK("http://141.218.60.56/~jnz1568/getInfo.php?workbook=10_05.xlsx&amp;sheet=A0&amp;row=5119&amp;col=6&amp;number=1320000&amp;sourceID=14","1320000")</f>
        <v>1320000</v>
      </c>
      <c r="G5119" s="4" t="str">
        <f>HYPERLINK("http://141.218.60.56/~jnz1568/getInfo.php?workbook=10_05.xlsx&amp;sheet=A0&amp;row=5119&amp;col=7&amp;number=0&amp;sourceID=14","0")</f>
        <v>0</v>
      </c>
    </row>
    <row r="5120" spans="1:7">
      <c r="A5120" s="3">
        <v>10</v>
      </c>
      <c r="B5120" s="3">
        <v>5</v>
      </c>
      <c r="C5120" s="3">
        <v>152</v>
      </c>
      <c r="D5120" s="3">
        <v>124</v>
      </c>
      <c r="E5120" s="3">
        <v>-5407.169</v>
      </c>
      <c r="F5120" s="4" t="str">
        <f>HYPERLINK("http://141.218.60.56/~jnz1568/getInfo.php?workbook=10_05.xlsx&amp;sheet=A0&amp;row=5120&amp;col=6&amp;number=68.3&amp;sourceID=14","68.3")</f>
        <v>68.3</v>
      </c>
      <c r="G5120" s="4" t="str">
        <f>HYPERLINK("http://141.218.60.56/~jnz1568/getInfo.php?workbook=10_05.xlsx&amp;sheet=A0&amp;row=5120&amp;col=7&amp;number=0&amp;sourceID=14","0")</f>
        <v>0</v>
      </c>
    </row>
    <row r="5121" spans="1:7">
      <c r="A5121" s="3">
        <v>10</v>
      </c>
      <c r="B5121" s="3">
        <v>5</v>
      </c>
      <c r="C5121" s="3">
        <v>153</v>
      </c>
      <c r="D5121" s="3">
        <v>124</v>
      </c>
      <c r="E5121" s="3">
        <v>-5182.699</v>
      </c>
      <c r="F5121" s="4" t="str">
        <f>HYPERLINK("http://141.218.60.56/~jnz1568/getInfo.php?workbook=10_05.xlsx&amp;sheet=A0&amp;row=5121&amp;col=6&amp;number=793&amp;sourceID=14","793")</f>
        <v>793</v>
      </c>
      <c r="G5121" s="4" t="str">
        <f>HYPERLINK("http://141.218.60.56/~jnz1568/getInfo.php?workbook=10_05.xlsx&amp;sheet=A0&amp;row=5121&amp;col=7&amp;number=0&amp;sourceID=14","0")</f>
        <v>0</v>
      </c>
    </row>
    <row r="5122" spans="1:7">
      <c r="A5122" s="3">
        <v>10</v>
      </c>
      <c r="B5122" s="3">
        <v>5</v>
      </c>
      <c r="C5122" s="3">
        <v>175</v>
      </c>
      <c r="D5122" s="3">
        <v>124</v>
      </c>
      <c r="E5122" s="3">
        <v>-791.316</v>
      </c>
      <c r="F5122" s="4" t="str">
        <f>HYPERLINK("http://141.218.60.56/~jnz1568/getInfo.php?workbook=10_05.xlsx&amp;sheet=A0&amp;row=5122&amp;col=6&amp;number=277&amp;sourceID=14","277")</f>
        <v>277</v>
      </c>
      <c r="G5122" s="4" t="str">
        <f>HYPERLINK("http://141.218.60.56/~jnz1568/getInfo.php?workbook=10_05.xlsx&amp;sheet=A0&amp;row=5122&amp;col=7&amp;number=0&amp;sourceID=14","0")</f>
        <v>0</v>
      </c>
    </row>
    <row r="5123" spans="1:7">
      <c r="A5123" s="3">
        <v>10</v>
      </c>
      <c r="B5123" s="3">
        <v>5</v>
      </c>
      <c r="C5123" s="3">
        <v>176</v>
      </c>
      <c r="D5123" s="3">
        <v>124</v>
      </c>
      <c r="E5123" s="3">
        <v>-791.31</v>
      </c>
      <c r="F5123" s="4" t="str">
        <f>HYPERLINK("http://141.218.60.56/~jnz1568/getInfo.php?workbook=10_05.xlsx&amp;sheet=A0&amp;row=5123&amp;col=6&amp;number=2.8&amp;sourceID=14","2.8")</f>
        <v>2.8</v>
      </c>
      <c r="G5123" s="4" t="str">
        <f>HYPERLINK("http://141.218.60.56/~jnz1568/getInfo.php?workbook=10_05.xlsx&amp;sheet=A0&amp;row=5123&amp;col=7&amp;number=0&amp;sourceID=14","0")</f>
        <v>0</v>
      </c>
    </row>
    <row r="5124" spans="1:7">
      <c r="A5124" s="3">
        <v>10</v>
      </c>
      <c r="B5124" s="3">
        <v>5</v>
      </c>
      <c r="C5124" s="3">
        <v>178</v>
      </c>
      <c r="D5124" s="3">
        <v>124</v>
      </c>
      <c r="E5124" s="3">
        <v>-785.498</v>
      </c>
      <c r="F5124" s="4" t="str">
        <f>HYPERLINK("http://141.218.60.56/~jnz1568/getInfo.php?workbook=10_05.xlsx&amp;sheet=A0&amp;row=5124&amp;col=6&amp;number=656&amp;sourceID=14","656")</f>
        <v>656</v>
      </c>
      <c r="G5124" s="4" t="str">
        <f>HYPERLINK("http://141.218.60.56/~jnz1568/getInfo.php?workbook=10_05.xlsx&amp;sheet=A0&amp;row=5124&amp;col=7&amp;number=0&amp;sourceID=14","0")</f>
        <v>0</v>
      </c>
    </row>
    <row r="5125" spans="1:7">
      <c r="A5125" s="3">
        <v>10</v>
      </c>
      <c r="B5125" s="3">
        <v>5</v>
      </c>
      <c r="C5125" s="3">
        <v>127</v>
      </c>
      <c r="D5125" s="3">
        <v>125</v>
      </c>
      <c r="E5125" s="3">
        <v>-243902.888</v>
      </c>
      <c r="F5125" s="4" t="str">
        <f>HYPERLINK("http://141.218.60.56/~jnz1568/getInfo.php?workbook=10_05.xlsx&amp;sheet=A0&amp;row=5125&amp;col=6&amp;number=56.7&amp;sourceID=14","56.7")</f>
        <v>56.7</v>
      </c>
      <c r="G5125" s="4" t="str">
        <f>HYPERLINK("http://141.218.60.56/~jnz1568/getInfo.php?workbook=10_05.xlsx&amp;sheet=A0&amp;row=5125&amp;col=7&amp;number=0&amp;sourceID=14","0")</f>
        <v>0</v>
      </c>
    </row>
    <row r="5126" spans="1:7">
      <c r="A5126" s="3">
        <v>10</v>
      </c>
      <c r="B5126" s="3">
        <v>5</v>
      </c>
      <c r="C5126" s="3">
        <v>128</v>
      </c>
      <c r="D5126" s="3">
        <v>125</v>
      </c>
      <c r="E5126" s="3">
        <v>-116414.65</v>
      </c>
      <c r="F5126" s="4" t="str">
        <f>HYPERLINK("http://141.218.60.56/~jnz1568/getInfo.php?workbook=10_05.xlsx&amp;sheet=A0&amp;row=5126&amp;col=6&amp;number=127&amp;sourceID=14","127")</f>
        <v>127</v>
      </c>
      <c r="G5126" s="4" t="str">
        <f>HYPERLINK("http://141.218.60.56/~jnz1568/getInfo.php?workbook=10_05.xlsx&amp;sheet=A0&amp;row=5126&amp;col=7&amp;number=0&amp;sourceID=14","0")</f>
        <v>0</v>
      </c>
    </row>
    <row r="5127" spans="1:7">
      <c r="A5127" s="3">
        <v>10</v>
      </c>
      <c r="B5127" s="3">
        <v>5</v>
      </c>
      <c r="C5127" s="3">
        <v>134</v>
      </c>
      <c r="D5127" s="3">
        <v>125</v>
      </c>
      <c r="E5127" s="3">
        <v>-18737.153</v>
      </c>
      <c r="F5127" s="4" t="str">
        <f>HYPERLINK("http://141.218.60.56/~jnz1568/getInfo.php?workbook=10_05.xlsx&amp;sheet=A0&amp;row=5127&amp;col=6&amp;number=9280&amp;sourceID=14","9280")</f>
        <v>9280</v>
      </c>
      <c r="G5127" s="4" t="str">
        <f>HYPERLINK("http://141.218.60.56/~jnz1568/getInfo.php?workbook=10_05.xlsx&amp;sheet=A0&amp;row=5127&amp;col=7&amp;number=0&amp;sourceID=14","0")</f>
        <v>0</v>
      </c>
    </row>
    <row r="5128" spans="1:7">
      <c r="A5128" s="3">
        <v>10</v>
      </c>
      <c r="B5128" s="3">
        <v>5</v>
      </c>
      <c r="C5128" s="3">
        <v>141</v>
      </c>
      <c r="D5128" s="3">
        <v>125</v>
      </c>
      <c r="E5128" s="3">
        <v>-9956.211</v>
      </c>
      <c r="F5128" s="4" t="str">
        <f>HYPERLINK("http://141.218.60.56/~jnz1568/getInfo.php?workbook=10_05.xlsx&amp;sheet=A0&amp;row=5128&amp;col=6&amp;number=9590&amp;sourceID=14","9590")</f>
        <v>9590</v>
      </c>
      <c r="G5128" s="4" t="str">
        <f>HYPERLINK("http://141.218.60.56/~jnz1568/getInfo.php?workbook=10_05.xlsx&amp;sheet=A0&amp;row=5128&amp;col=7&amp;number=0&amp;sourceID=14","0")</f>
        <v>0</v>
      </c>
    </row>
    <row r="5129" spans="1:7">
      <c r="A5129" s="3">
        <v>10</v>
      </c>
      <c r="B5129" s="3">
        <v>5</v>
      </c>
      <c r="C5129" s="3">
        <v>142</v>
      </c>
      <c r="D5129" s="3">
        <v>125</v>
      </c>
      <c r="E5129" s="3">
        <v>-9912.786</v>
      </c>
      <c r="F5129" s="4" t="str">
        <f>HYPERLINK("http://141.218.60.56/~jnz1568/getInfo.php?workbook=10_05.xlsx&amp;sheet=A0&amp;row=5129&amp;col=6&amp;number=46400&amp;sourceID=14","46400")</f>
        <v>46400</v>
      </c>
      <c r="G5129" s="4" t="str">
        <f>HYPERLINK("http://141.218.60.56/~jnz1568/getInfo.php?workbook=10_05.xlsx&amp;sheet=A0&amp;row=5129&amp;col=7&amp;number=0&amp;sourceID=14","0")</f>
        <v>0</v>
      </c>
    </row>
    <row r="5130" spans="1:7">
      <c r="A5130" s="3">
        <v>10</v>
      </c>
      <c r="B5130" s="3">
        <v>5</v>
      </c>
      <c r="C5130" s="3">
        <v>145</v>
      </c>
      <c r="D5130" s="3">
        <v>125</v>
      </c>
      <c r="E5130" s="3">
        <v>-8742.803</v>
      </c>
      <c r="F5130" s="4" t="str">
        <f>HYPERLINK("http://141.218.60.56/~jnz1568/getInfo.php?workbook=10_05.xlsx&amp;sheet=A0&amp;row=5130&amp;col=6&amp;number=4740000&amp;sourceID=14","4740000")</f>
        <v>4740000</v>
      </c>
      <c r="G5130" s="4" t="str">
        <f>HYPERLINK("http://141.218.60.56/~jnz1568/getInfo.php?workbook=10_05.xlsx&amp;sheet=A0&amp;row=5130&amp;col=7&amp;number=0&amp;sourceID=14","0")</f>
        <v>0</v>
      </c>
    </row>
    <row r="5131" spans="1:7">
      <c r="A5131" s="3">
        <v>10</v>
      </c>
      <c r="B5131" s="3">
        <v>5</v>
      </c>
      <c r="C5131" s="3">
        <v>148</v>
      </c>
      <c r="D5131" s="3">
        <v>125</v>
      </c>
      <c r="E5131" s="3">
        <v>-8237.247</v>
      </c>
      <c r="F5131" s="4" t="str">
        <f>HYPERLINK("http://141.218.60.56/~jnz1568/getInfo.php?workbook=10_05.xlsx&amp;sheet=A0&amp;row=5131&amp;col=6&amp;number=2690000&amp;sourceID=14","2690000")</f>
        <v>2690000</v>
      </c>
      <c r="G5131" s="4" t="str">
        <f>HYPERLINK("http://141.218.60.56/~jnz1568/getInfo.php?workbook=10_05.xlsx&amp;sheet=A0&amp;row=5131&amp;col=7&amp;number=0&amp;sourceID=14","0")</f>
        <v>0</v>
      </c>
    </row>
    <row r="5132" spans="1:7">
      <c r="A5132" s="3">
        <v>10</v>
      </c>
      <c r="B5132" s="3">
        <v>5</v>
      </c>
      <c r="C5132" s="3">
        <v>149</v>
      </c>
      <c r="D5132" s="3">
        <v>125</v>
      </c>
      <c r="E5132" s="3">
        <v>-8170.617</v>
      </c>
      <c r="F5132" s="4" t="str">
        <f>HYPERLINK("http://141.218.60.56/~jnz1568/getInfo.php?workbook=10_05.xlsx&amp;sheet=A0&amp;row=5132&amp;col=6&amp;number=4040&amp;sourceID=14","4040")</f>
        <v>4040</v>
      </c>
      <c r="G5132" s="4" t="str">
        <f>HYPERLINK("http://141.218.60.56/~jnz1568/getInfo.php?workbook=10_05.xlsx&amp;sheet=A0&amp;row=5132&amp;col=7&amp;number=0&amp;sourceID=14","0")</f>
        <v>0</v>
      </c>
    </row>
    <row r="5133" spans="1:7">
      <c r="A5133" s="3">
        <v>10</v>
      </c>
      <c r="B5133" s="3">
        <v>5</v>
      </c>
      <c r="C5133" s="3">
        <v>158</v>
      </c>
      <c r="D5133" s="3">
        <v>125</v>
      </c>
      <c r="E5133" s="3">
        <v>-4951.73</v>
      </c>
      <c r="F5133" s="4" t="str">
        <f>HYPERLINK("http://141.218.60.56/~jnz1568/getInfo.php?workbook=10_05.xlsx&amp;sheet=A0&amp;row=5133&amp;col=6&amp;number=3370000&amp;sourceID=14","3370000")</f>
        <v>3370000</v>
      </c>
      <c r="G5133" s="4" t="str">
        <f>HYPERLINK("http://141.218.60.56/~jnz1568/getInfo.php?workbook=10_05.xlsx&amp;sheet=A0&amp;row=5133&amp;col=7&amp;number=0&amp;sourceID=14","0")</f>
        <v>0</v>
      </c>
    </row>
    <row r="5134" spans="1:7">
      <c r="A5134" s="3">
        <v>10</v>
      </c>
      <c r="B5134" s="3">
        <v>5</v>
      </c>
      <c r="C5134" s="3">
        <v>159</v>
      </c>
      <c r="D5134" s="3">
        <v>125</v>
      </c>
      <c r="E5134" s="3">
        <v>-4848.964</v>
      </c>
      <c r="F5134" s="4" t="str">
        <f>HYPERLINK("http://141.218.60.56/~jnz1568/getInfo.php?workbook=10_05.xlsx&amp;sheet=A0&amp;row=5134&amp;col=6&amp;number=13300000&amp;sourceID=14","13300000")</f>
        <v>13300000</v>
      </c>
      <c r="G5134" s="4" t="str">
        <f>HYPERLINK("http://141.218.60.56/~jnz1568/getInfo.php?workbook=10_05.xlsx&amp;sheet=A0&amp;row=5134&amp;col=7&amp;number=0&amp;sourceID=14","0")</f>
        <v>0</v>
      </c>
    </row>
    <row r="5135" spans="1:7">
      <c r="A5135" s="3">
        <v>10</v>
      </c>
      <c r="B5135" s="3">
        <v>5</v>
      </c>
      <c r="C5135" s="3">
        <v>164</v>
      </c>
      <c r="D5135" s="3">
        <v>125</v>
      </c>
      <c r="E5135" s="3">
        <v>-1498.153</v>
      </c>
      <c r="F5135" s="4" t="str">
        <f>HYPERLINK("http://141.218.60.56/~jnz1568/getInfo.php?workbook=10_05.xlsx&amp;sheet=A0&amp;row=5135&amp;col=6&amp;number=615000&amp;sourceID=14","615000")</f>
        <v>615000</v>
      </c>
      <c r="G5135" s="4" t="str">
        <f>HYPERLINK("http://141.218.60.56/~jnz1568/getInfo.php?workbook=10_05.xlsx&amp;sheet=A0&amp;row=5135&amp;col=7&amp;number=0&amp;sourceID=14","0")</f>
        <v>0</v>
      </c>
    </row>
    <row r="5136" spans="1:7">
      <c r="A5136" s="3">
        <v>10</v>
      </c>
      <c r="B5136" s="3">
        <v>5</v>
      </c>
      <c r="C5136" s="3">
        <v>165</v>
      </c>
      <c r="D5136" s="3">
        <v>125</v>
      </c>
      <c r="E5136" s="3">
        <v>-1495.084</v>
      </c>
      <c r="F5136" s="4" t="str">
        <f>HYPERLINK("http://141.218.60.56/~jnz1568/getInfo.php?workbook=10_05.xlsx&amp;sheet=A0&amp;row=5136&amp;col=6&amp;number=2400&amp;sourceID=14","2400")</f>
        <v>2400</v>
      </c>
      <c r="G5136" s="4" t="str">
        <f>HYPERLINK("http://141.218.60.56/~jnz1568/getInfo.php?workbook=10_05.xlsx&amp;sheet=A0&amp;row=5136&amp;col=7&amp;number=0&amp;sourceID=14","0")</f>
        <v>0</v>
      </c>
    </row>
    <row r="5137" spans="1:7">
      <c r="A5137" s="3">
        <v>10</v>
      </c>
      <c r="B5137" s="3">
        <v>5</v>
      </c>
      <c r="C5137" s="3">
        <v>166</v>
      </c>
      <c r="D5137" s="3">
        <v>125</v>
      </c>
      <c r="E5137" s="3">
        <v>-1064.217</v>
      </c>
      <c r="F5137" s="4" t="str">
        <f>HYPERLINK("http://141.218.60.56/~jnz1568/getInfo.php?workbook=10_05.xlsx&amp;sheet=A0&amp;row=5137&amp;col=6&amp;number=6570000&amp;sourceID=14","6570000")</f>
        <v>6570000</v>
      </c>
      <c r="G5137" s="4" t="str">
        <f>HYPERLINK("http://141.218.60.56/~jnz1568/getInfo.php?workbook=10_05.xlsx&amp;sheet=A0&amp;row=5137&amp;col=7&amp;number=0&amp;sourceID=14","0")</f>
        <v>0</v>
      </c>
    </row>
    <row r="5138" spans="1:7">
      <c r="A5138" s="3">
        <v>10</v>
      </c>
      <c r="B5138" s="3">
        <v>5</v>
      </c>
      <c r="C5138" s="3">
        <v>167</v>
      </c>
      <c r="D5138" s="3">
        <v>125</v>
      </c>
      <c r="E5138" s="3">
        <v>-1063.741</v>
      </c>
      <c r="F5138" s="4" t="str">
        <f>HYPERLINK("http://141.218.60.56/~jnz1568/getInfo.php?workbook=10_05.xlsx&amp;sheet=A0&amp;row=5138&amp;col=6&amp;number=1840000&amp;sourceID=14","1840000")</f>
        <v>1840000</v>
      </c>
      <c r="G5138" s="4" t="str">
        <f>HYPERLINK("http://141.218.60.56/~jnz1568/getInfo.php?workbook=10_05.xlsx&amp;sheet=A0&amp;row=5138&amp;col=7&amp;number=0&amp;sourceID=14","0")</f>
        <v>0</v>
      </c>
    </row>
    <row r="5139" spans="1:7">
      <c r="A5139" s="3">
        <v>10</v>
      </c>
      <c r="B5139" s="3">
        <v>5</v>
      </c>
      <c r="C5139" s="3">
        <v>177</v>
      </c>
      <c r="D5139" s="3">
        <v>125</v>
      </c>
      <c r="E5139" s="3">
        <v>-791.297</v>
      </c>
      <c r="F5139" s="4" t="str">
        <f>HYPERLINK("http://141.218.60.56/~jnz1568/getInfo.php?workbook=10_05.xlsx&amp;sheet=A0&amp;row=5139&amp;col=6&amp;number=82100&amp;sourceID=14","82100")</f>
        <v>82100</v>
      </c>
      <c r="G5139" s="4" t="str">
        <f>HYPERLINK("http://141.218.60.56/~jnz1568/getInfo.php?workbook=10_05.xlsx&amp;sheet=A0&amp;row=5139&amp;col=7&amp;number=0&amp;sourceID=14","0")</f>
        <v>0</v>
      </c>
    </row>
    <row r="5140" spans="1:7">
      <c r="A5140" s="3">
        <v>10</v>
      </c>
      <c r="B5140" s="3">
        <v>5</v>
      </c>
      <c r="C5140" s="3">
        <v>179</v>
      </c>
      <c r="D5140" s="3">
        <v>125</v>
      </c>
      <c r="E5140" s="3">
        <v>-766.461</v>
      </c>
      <c r="F5140" s="4" t="str">
        <f>HYPERLINK("http://141.218.60.56/~jnz1568/getInfo.php?workbook=10_05.xlsx&amp;sheet=A0&amp;row=5140&amp;col=6&amp;number=21300000&amp;sourceID=14","21300000")</f>
        <v>21300000</v>
      </c>
      <c r="G5140" s="4" t="str">
        <f>HYPERLINK("http://141.218.60.56/~jnz1568/getInfo.php?workbook=10_05.xlsx&amp;sheet=A0&amp;row=5140&amp;col=7&amp;number=0&amp;sourceID=14","0")</f>
        <v>0</v>
      </c>
    </row>
    <row r="5141" spans="1:7">
      <c r="A5141" s="3">
        <v>10</v>
      </c>
      <c r="B5141" s="3">
        <v>5</v>
      </c>
      <c r="C5141" s="3">
        <v>180</v>
      </c>
      <c r="D5141" s="3">
        <v>125</v>
      </c>
      <c r="E5141" s="3">
        <v>-766.244</v>
      </c>
      <c r="F5141" s="4" t="str">
        <f>HYPERLINK("http://141.218.60.56/~jnz1568/getInfo.php?workbook=10_05.xlsx&amp;sheet=A0&amp;row=5141&amp;col=6&amp;number=3480000&amp;sourceID=14","3480000")</f>
        <v>3480000</v>
      </c>
      <c r="G5141" s="4" t="str">
        <f>HYPERLINK("http://141.218.60.56/~jnz1568/getInfo.php?workbook=10_05.xlsx&amp;sheet=A0&amp;row=5141&amp;col=7&amp;number=0&amp;sourceID=14","0")</f>
        <v>0</v>
      </c>
    </row>
    <row r="5142" spans="1:7">
      <c r="A5142" s="3">
        <v>10</v>
      </c>
      <c r="B5142" s="3">
        <v>5</v>
      </c>
      <c r="C5142" s="3">
        <v>127</v>
      </c>
      <c r="D5142" s="3">
        <v>126</v>
      </c>
      <c r="E5142" s="3">
        <v>-740742.104</v>
      </c>
      <c r="F5142" s="4" t="str">
        <f>HYPERLINK("http://141.218.60.56/~jnz1568/getInfo.php?workbook=10_05.xlsx&amp;sheet=A0&amp;row=5142&amp;col=6&amp;number=1.22&amp;sourceID=14","1.22")</f>
        <v>1.22</v>
      </c>
      <c r="G5142" s="4" t="str">
        <f>HYPERLINK("http://141.218.60.56/~jnz1568/getInfo.php?workbook=10_05.xlsx&amp;sheet=A0&amp;row=5142&amp;col=7&amp;number=0&amp;sourceID=14","0")</f>
        <v>0</v>
      </c>
    </row>
    <row r="5143" spans="1:7">
      <c r="A5143" s="3">
        <v>10</v>
      </c>
      <c r="B5143" s="3">
        <v>5</v>
      </c>
      <c r="C5143" s="3">
        <v>128</v>
      </c>
      <c r="D5143" s="3">
        <v>126</v>
      </c>
      <c r="E5143" s="3">
        <v>-171233.192</v>
      </c>
      <c r="F5143" s="4" t="str">
        <f>HYPERLINK("http://141.218.60.56/~jnz1568/getInfo.php?workbook=10_05.xlsx&amp;sheet=A0&amp;row=5143&amp;col=6&amp;number=193&amp;sourceID=14","193")</f>
        <v>193</v>
      </c>
      <c r="G5143" s="4" t="str">
        <f>HYPERLINK("http://141.218.60.56/~jnz1568/getInfo.php?workbook=10_05.xlsx&amp;sheet=A0&amp;row=5143&amp;col=7&amp;number=0&amp;sourceID=14","0")</f>
        <v>0</v>
      </c>
    </row>
    <row r="5144" spans="1:7">
      <c r="A5144" s="3">
        <v>10</v>
      </c>
      <c r="B5144" s="3">
        <v>5</v>
      </c>
      <c r="C5144" s="3">
        <v>134</v>
      </c>
      <c r="D5144" s="3">
        <v>126</v>
      </c>
      <c r="E5144" s="3">
        <v>-19755.074</v>
      </c>
      <c r="F5144" s="4" t="str">
        <f>HYPERLINK("http://141.218.60.56/~jnz1568/getInfo.php?workbook=10_05.xlsx&amp;sheet=A0&amp;row=5144&amp;col=6&amp;number=1150&amp;sourceID=14","1150")</f>
        <v>1150</v>
      </c>
      <c r="G5144" s="4" t="str">
        <f>HYPERLINK("http://141.218.60.56/~jnz1568/getInfo.php?workbook=10_05.xlsx&amp;sheet=A0&amp;row=5144&amp;col=7&amp;number=0&amp;sourceID=14","0")</f>
        <v>0</v>
      </c>
    </row>
    <row r="5145" spans="1:7">
      <c r="A5145" s="3">
        <v>10</v>
      </c>
      <c r="B5145" s="3">
        <v>5</v>
      </c>
      <c r="C5145" s="3">
        <v>135</v>
      </c>
      <c r="D5145" s="3">
        <v>126</v>
      </c>
      <c r="E5145" s="3">
        <v>-18857.285</v>
      </c>
      <c r="F5145" s="4" t="str">
        <f>HYPERLINK("http://141.218.60.56/~jnz1568/getInfo.php?workbook=10_05.xlsx&amp;sheet=A0&amp;row=5145&amp;col=6&amp;number=3740&amp;sourceID=14","3740")</f>
        <v>3740</v>
      </c>
      <c r="G5145" s="4" t="str">
        <f>HYPERLINK("http://141.218.60.56/~jnz1568/getInfo.php?workbook=10_05.xlsx&amp;sheet=A0&amp;row=5145&amp;col=7&amp;number=0&amp;sourceID=14","0")</f>
        <v>0</v>
      </c>
    </row>
    <row r="5146" spans="1:7">
      <c r="A5146" s="3">
        <v>10</v>
      </c>
      <c r="B5146" s="3">
        <v>5</v>
      </c>
      <c r="C5146" s="3">
        <v>141</v>
      </c>
      <c r="D5146" s="3">
        <v>126</v>
      </c>
      <c r="E5146" s="3">
        <v>-10236.481</v>
      </c>
      <c r="F5146" s="4" t="str">
        <f>HYPERLINK("http://141.218.60.56/~jnz1568/getInfo.php?workbook=10_05.xlsx&amp;sheet=A0&amp;row=5146&amp;col=6&amp;number=10400&amp;sourceID=14","10400")</f>
        <v>10400</v>
      </c>
      <c r="G5146" s="4" t="str">
        <f>HYPERLINK("http://141.218.60.56/~jnz1568/getInfo.php?workbook=10_05.xlsx&amp;sheet=A0&amp;row=5146&amp;col=7&amp;number=0&amp;sourceID=14","0")</f>
        <v>0</v>
      </c>
    </row>
    <row r="5147" spans="1:7">
      <c r="A5147" s="3">
        <v>10</v>
      </c>
      <c r="B5147" s="3">
        <v>5</v>
      </c>
      <c r="C5147" s="3">
        <v>142</v>
      </c>
      <c r="D5147" s="3">
        <v>126</v>
      </c>
      <c r="E5147" s="3">
        <v>-10190.582</v>
      </c>
      <c r="F5147" s="4" t="str">
        <f>HYPERLINK("http://141.218.60.56/~jnz1568/getInfo.php?workbook=10_05.xlsx&amp;sheet=A0&amp;row=5147&amp;col=6&amp;number=11900&amp;sourceID=14","11900")</f>
        <v>11900</v>
      </c>
      <c r="G5147" s="4" t="str">
        <f>HYPERLINK("http://141.218.60.56/~jnz1568/getInfo.php?workbook=10_05.xlsx&amp;sheet=A0&amp;row=5147&amp;col=7&amp;number=0&amp;sourceID=14","0")</f>
        <v>0</v>
      </c>
    </row>
    <row r="5148" spans="1:7">
      <c r="A5148" s="3">
        <v>10</v>
      </c>
      <c r="B5148" s="3">
        <v>5</v>
      </c>
      <c r="C5148" s="3">
        <v>143</v>
      </c>
      <c r="D5148" s="3">
        <v>126</v>
      </c>
      <c r="E5148" s="3">
        <v>-9934.451</v>
      </c>
      <c r="F5148" s="4" t="str">
        <f>HYPERLINK("http://141.218.60.56/~jnz1568/getInfo.php?workbook=10_05.xlsx&amp;sheet=A0&amp;row=5148&amp;col=6&amp;number=23400&amp;sourceID=14","23400")</f>
        <v>23400</v>
      </c>
      <c r="G5148" s="4" t="str">
        <f>HYPERLINK("http://141.218.60.56/~jnz1568/getInfo.php?workbook=10_05.xlsx&amp;sheet=A0&amp;row=5148&amp;col=7&amp;number=0&amp;sourceID=14","0")</f>
        <v>0</v>
      </c>
    </row>
    <row r="5149" spans="1:7">
      <c r="A5149" s="3">
        <v>10</v>
      </c>
      <c r="B5149" s="3">
        <v>5</v>
      </c>
      <c r="C5149" s="3">
        <v>145</v>
      </c>
      <c r="D5149" s="3">
        <v>126</v>
      </c>
      <c r="E5149" s="3">
        <v>-8958.182</v>
      </c>
      <c r="F5149" s="4" t="str">
        <f>HYPERLINK("http://141.218.60.56/~jnz1568/getInfo.php?workbook=10_05.xlsx&amp;sheet=A0&amp;row=5149&amp;col=6&amp;number=1050000&amp;sourceID=14","1050000")</f>
        <v>1050000</v>
      </c>
      <c r="G5149" s="4" t="str">
        <f>HYPERLINK("http://141.218.60.56/~jnz1568/getInfo.php?workbook=10_05.xlsx&amp;sheet=A0&amp;row=5149&amp;col=7&amp;number=0&amp;sourceID=14","0")</f>
        <v>0</v>
      </c>
    </row>
    <row r="5150" spans="1:7">
      <c r="A5150" s="3">
        <v>10</v>
      </c>
      <c r="B5150" s="3">
        <v>5</v>
      </c>
      <c r="C5150" s="3">
        <v>146</v>
      </c>
      <c r="D5150" s="3">
        <v>126</v>
      </c>
      <c r="E5150" s="3">
        <v>-8768.1</v>
      </c>
      <c r="F5150" s="4" t="str">
        <f>HYPERLINK("http://141.218.60.56/~jnz1568/getInfo.php?workbook=10_05.xlsx&amp;sheet=A0&amp;row=5150&amp;col=6&amp;number=8360000&amp;sourceID=14","8360000")</f>
        <v>8360000</v>
      </c>
      <c r="G5150" s="4" t="str">
        <f>HYPERLINK("http://141.218.60.56/~jnz1568/getInfo.php?workbook=10_05.xlsx&amp;sheet=A0&amp;row=5150&amp;col=7&amp;number=0&amp;sourceID=14","0")</f>
        <v>0</v>
      </c>
    </row>
    <row r="5151" spans="1:7">
      <c r="A5151" s="3">
        <v>10</v>
      </c>
      <c r="B5151" s="3">
        <v>5</v>
      </c>
      <c r="C5151" s="3">
        <v>147</v>
      </c>
      <c r="D5151" s="3">
        <v>126</v>
      </c>
      <c r="E5151" s="3">
        <v>-8498.358</v>
      </c>
      <c r="F5151" s="4" t="str">
        <f>HYPERLINK("http://141.218.60.56/~jnz1568/getInfo.php?workbook=10_05.xlsx&amp;sheet=A0&amp;row=5151&amp;col=6&amp;number=217000&amp;sourceID=14","217000")</f>
        <v>217000</v>
      </c>
      <c r="G5151" s="4" t="str">
        <f>HYPERLINK("http://141.218.60.56/~jnz1568/getInfo.php?workbook=10_05.xlsx&amp;sheet=A0&amp;row=5151&amp;col=7&amp;number=0&amp;sourceID=14","0")</f>
        <v>0</v>
      </c>
    </row>
    <row r="5152" spans="1:7">
      <c r="A5152" s="3">
        <v>10</v>
      </c>
      <c r="B5152" s="3">
        <v>5</v>
      </c>
      <c r="C5152" s="3">
        <v>148</v>
      </c>
      <c r="D5152" s="3">
        <v>126</v>
      </c>
      <c r="E5152" s="3">
        <v>-8428.166</v>
      </c>
      <c r="F5152" s="4" t="str">
        <f>HYPERLINK("http://141.218.60.56/~jnz1568/getInfo.php?workbook=10_05.xlsx&amp;sheet=A0&amp;row=5152&amp;col=6&amp;number=8670&amp;sourceID=14","8670")</f>
        <v>8670</v>
      </c>
      <c r="G5152" s="4" t="str">
        <f>HYPERLINK("http://141.218.60.56/~jnz1568/getInfo.php?workbook=10_05.xlsx&amp;sheet=A0&amp;row=5152&amp;col=7&amp;number=0&amp;sourceID=14","0")</f>
        <v>0</v>
      </c>
    </row>
    <row r="5153" spans="1:7">
      <c r="A5153" s="3">
        <v>10</v>
      </c>
      <c r="B5153" s="3">
        <v>5</v>
      </c>
      <c r="C5153" s="3">
        <v>149</v>
      </c>
      <c r="D5153" s="3">
        <v>126</v>
      </c>
      <c r="E5153" s="3">
        <v>-8358.424</v>
      </c>
      <c r="F5153" s="4" t="str">
        <f>HYPERLINK("http://141.218.60.56/~jnz1568/getInfo.php?workbook=10_05.xlsx&amp;sheet=A0&amp;row=5153&amp;col=6&amp;number=253000&amp;sourceID=14","253000")</f>
        <v>253000</v>
      </c>
      <c r="G5153" s="4" t="str">
        <f>HYPERLINK("http://141.218.60.56/~jnz1568/getInfo.php?workbook=10_05.xlsx&amp;sheet=A0&amp;row=5153&amp;col=7&amp;number=0&amp;sourceID=14","0")</f>
        <v>0</v>
      </c>
    </row>
    <row r="5154" spans="1:7">
      <c r="A5154" s="3">
        <v>10</v>
      </c>
      <c r="B5154" s="3">
        <v>5</v>
      </c>
      <c r="C5154" s="3">
        <v>152</v>
      </c>
      <c r="D5154" s="3">
        <v>126</v>
      </c>
      <c r="E5154" s="3">
        <v>-5770.351</v>
      </c>
      <c r="F5154" s="4" t="str">
        <f>HYPERLINK("http://141.218.60.56/~jnz1568/getInfo.php?workbook=10_05.xlsx&amp;sheet=A0&amp;row=5154&amp;col=6&amp;number=115000&amp;sourceID=14","115000")</f>
        <v>115000</v>
      </c>
      <c r="G5154" s="4" t="str">
        <f>HYPERLINK("http://141.218.60.56/~jnz1568/getInfo.php?workbook=10_05.xlsx&amp;sheet=A0&amp;row=5154&amp;col=7&amp;number=0&amp;sourceID=14","0")</f>
        <v>0</v>
      </c>
    </row>
    <row r="5155" spans="1:7">
      <c r="A5155" s="3">
        <v>10</v>
      </c>
      <c r="B5155" s="3">
        <v>5</v>
      </c>
      <c r="C5155" s="3">
        <v>158</v>
      </c>
      <c r="D5155" s="3">
        <v>126</v>
      </c>
      <c r="E5155" s="3">
        <v>-5020.09</v>
      </c>
      <c r="F5155" s="4" t="str">
        <f>HYPERLINK("http://141.218.60.56/~jnz1568/getInfo.php?workbook=10_05.xlsx&amp;sheet=A0&amp;row=5155&amp;col=6&amp;number=18400000&amp;sourceID=14","18400000")</f>
        <v>18400000</v>
      </c>
      <c r="G5155" s="4" t="str">
        <f>HYPERLINK("http://141.218.60.56/~jnz1568/getInfo.php?workbook=10_05.xlsx&amp;sheet=A0&amp;row=5155&amp;col=7&amp;number=0&amp;sourceID=14","0")</f>
        <v>0</v>
      </c>
    </row>
    <row r="5156" spans="1:7">
      <c r="A5156" s="3">
        <v>10</v>
      </c>
      <c r="B5156" s="3">
        <v>5</v>
      </c>
      <c r="C5156" s="3">
        <v>159</v>
      </c>
      <c r="D5156" s="3">
        <v>126</v>
      </c>
      <c r="E5156" s="3">
        <v>-4914.497</v>
      </c>
      <c r="F5156" s="4" t="str">
        <f>HYPERLINK("http://141.218.60.56/~jnz1568/getInfo.php?workbook=10_05.xlsx&amp;sheet=A0&amp;row=5156&amp;col=6&amp;number=6310000&amp;sourceID=14","6310000")</f>
        <v>6310000</v>
      </c>
      <c r="G5156" s="4" t="str">
        <f>HYPERLINK("http://141.218.60.56/~jnz1568/getInfo.php?workbook=10_05.xlsx&amp;sheet=A0&amp;row=5156&amp;col=7&amp;number=0&amp;sourceID=14","0")</f>
        <v>0</v>
      </c>
    </row>
    <row r="5157" spans="1:7">
      <c r="A5157" s="3">
        <v>10</v>
      </c>
      <c r="B5157" s="3">
        <v>5</v>
      </c>
      <c r="C5157" s="3">
        <v>164</v>
      </c>
      <c r="D5157" s="3">
        <v>126</v>
      </c>
      <c r="E5157" s="3">
        <v>-1504.35</v>
      </c>
      <c r="F5157" s="4" t="str">
        <f>HYPERLINK("http://141.218.60.56/~jnz1568/getInfo.php?workbook=10_05.xlsx&amp;sheet=A0&amp;row=5157&amp;col=6&amp;number=159000&amp;sourceID=14","159000")</f>
        <v>159000</v>
      </c>
      <c r="G5157" s="4" t="str">
        <f>HYPERLINK("http://141.218.60.56/~jnz1568/getInfo.php?workbook=10_05.xlsx&amp;sheet=A0&amp;row=5157&amp;col=7&amp;number=0&amp;sourceID=14","0")</f>
        <v>0</v>
      </c>
    </row>
    <row r="5158" spans="1:7">
      <c r="A5158" s="3">
        <v>10</v>
      </c>
      <c r="B5158" s="3">
        <v>5</v>
      </c>
      <c r="C5158" s="3">
        <v>165</v>
      </c>
      <c r="D5158" s="3">
        <v>126</v>
      </c>
      <c r="E5158" s="3">
        <v>-1501.256</v>
      </c>
      <c r="F5158" s="4" t="str">
        <f>HYPERLINK("http://141.218.60.56/~jnz1568/getInfo.php?workbook=10_05.xlsx&amp;sheet=A0&amp;row=5158&amp;col=6&amp;number=192000&amp;sourceID=14","192000")</f>
        <v>192000</v>
      </c>
      <c r="G5158" s="4" t="str">
        <f>HYPERLINK("http://141.218.60.56/~jnz1568/getInfo.php?workbook=10_05.xlsx&amp;sheet=A0&amp;row=5158&amp;col=7&amp;number=0&amp;sourceID=14","0")</f>
        <v>0</v>
      </c>
    </row>
    <row r="5159" spans="1:7">
      <c r="A5159" s="3">
        <v>10</v>
      </c>
      <c r="B5159" s="3">
        <v>5</v>
      </c>
      <c r="C5159" s="3">
        <v>166</v>
      </c>
      <c r="D5159" s="3">
        <v>126</v>
      </c>
      <c r="E5159" s="3">
        <v>-1067.34</v>
      </c>
      <c r="F5159" s="4" t="str">
        <f>HYPERLINK("http://141.218.60.56/~jnz1568/getInfo.php?workbook=10_05.xlsx&amp;sheet=A0&amp;row=5159&amp;col=6&amp;number=2010000&amp;sourceID=14","2010000")</f>
        <v>2010000</v>
      </c>
      <c r="G5159" s="4" t="str">
        <f>HYPERLINK("http://141.218.60.56/~jnz1568/getInfo.php?workbook=10_05.xlsx&amp;sheet=A0&amp;row=5159&amp;col=7&amp;number=0&amp;sourceID=14","0")</f>
        <v>0</v>
      </c>
    </row>
    <row r="5160" spans="1:7">
      <c r="A5160" s="3">
        <v>10</v>
      </c>
      <c r="B5160" s="3">
        <v>5</v>
      </c>
      <c r="C5160" s="3">
        <v>167</v>
      </c>
      <c r="D5160" s="3">
        <v>126</v>
      </c>
      <c r="E5160" s="3">
        <v>-1066.862</v>
      </c>
      <c r="F5160" s="4" t="str">
        <f>HYPERLINK("http://141.218.60.56/~jnz1568/getInfo.php?workbook=10_05.xlsx&amp;sheet=A0&amp;row=5160&amp;col=6&amp;number=9180000&amp;sourceID=14","9180000")</f>
        <v>9180000</v>
      </c>
      <c r="G5160" s="4" t="str">
        <f>HYPERLINK("http://141.218.60.56/~jnz1568/getInfo.php?workbook=10_05.xlsx&amp;sheet=A0&amp;row=5160&amp;col=7&amp;number=0&amp;sourceID=14","0")</f>
        <v>0</v>
      </c>
    </row>
    <row r="5161" spans="1:7">
      <c r="A5161" s="3">
        <v>10</v>
      </c>
      <c r="B5161" s="3">
        <v>5</v>
      </c>
      <c r="C5161" s="3">
        <v>176</v>
      </c>
      <c r="D5161" s="3">
        <v>126</v>
      </c>
      <c r="E5161" s="3">
        <v>-798.666</v>
      </c>
      <c r="F5161" s="4" t="str">
        <f>HYPERLINK("http://141.218.60.56/~jnz1568/getInfo.php?workbook=10_05.xlsx&amp;sheet=A0&amp;row=5161&amp;col=6&amp;number=12200&amp;sourceID=14","12200")</f>
        <v>12200</v>
      </c>
      <c r="G5161" s="4" t="str">
        <f>HYPERLINK("http://141.218.60.56/~jnz1568/getInfo.php?workbook=10_05.xlsx&amp;sheet=A0&amp;row=5161&amp;col=7&amp;number=0&amp;sourceID=14","0")</f>
        <v>0</v>
      </c>
    </row>
    <row r="5162" spans="1:7">
      <c r="A5162" s="3">
        <v>10</v>
      </c>
      <c r="B5162" s="3">
        <v>5</v>
      </c>
      <c r="C5162" s="3">
        <v>177</v>
      </c>
      <c r="D5162" s="3">
        <v>126</v>
      </c>
      <c r="E5162" s="3">
        <v>-793.023</v>
      </c>
      <c r="F5162" s="4" t="str">
        <f>HYPERLINK("http://141.218.60.56/~jnz1568/getInfo.php?workbook=10_05.xlsx&amp;sheet=A0&amp;row=5162&amp;col=6&amp;number=379000&amp;sourceID=14","379000")</f>
        <v>379000</v>
      </c>
      <c r="G5162" s="4" t="str">
        <f>HYPERLINK("http://141.218.60.56/~jnz1568/getInfo.php?workbook=10_05.xlsx&amp;sheet=A0&amp;row=5162&amp;col=7&amp;number=0&amp;sourceID=14","0")</f>
        <v>0</v>
      </c>
    </row>
    <row r="5163" spans="1:7">
      <c r="A5163" s="3">
        <v>10</v>
      </c>
      <c r="B5163" s="3">
        <v>5</v>
      </c>
      <c r="C5163" s="3">
        <v>178</v>
      </c>
      <c r="D5163" s="3">
        <v>126</v>
      </c>
      <c r="E5163" s="3">
        <v>-792.746</v>
      </c>
      <c r="F5163" s="4" t="str">
        <f>HYPERLINK("http://141.218.60.56/~jnz1568/getInfo.php?workbook=10_05.xlsx&amp;sheet=A0&amp;row=5163&amp;col=6&amp;number=41600&amp;sourceID=14","41600")</f>
        <v>41600</v>
      </c>
      <c r="G5163" s="4" t="str">
        <f>HYPERLINK("http://141.218.60.56/~jnz1568/getInfo.php?workbook=10_05.xlsx&amp;sheet=A0&amp;row=5163&amp;col=7&amp;number=0&amp;sourceID=14","0")</f>
        <v>0</v>
      </c>
    </row>
    <row r="5164" spans="1:7">
      <c r="A5164" s="3">
        <v>10</v>
      </c>
      <c r="B5164" s="3">
        <v>5</v>
      </c>
      <c r="C5164" s="3">
        <v>179</v>
      </c>
      <c r="D5164" s="3">
        <v>126</v>
      </c>
      <c r="E5164" s="3">
        <v>-768.08</v>
      </c>
      <c r="F5164" s="4" t="str">
        <f>HYPERLINK("http://141.218.60.56/~jnz1568/getInfo.php?workbook=10_05.xlsx&amp;sheet=A0&amp;row=5164&amp;col=6&amp;number=10200000&amp;sourceID=14","10200000")</f>
        <v>10200000</v>
      </c>
      <c r="G5164" s="4" t="str">
        <f>HYPERLINK("http://141.218.60.56/~jnz1568/getInfo.php?workbook=10_05.xlsx&amp;sheet=A0&amp;row=5164&amp;col=7&amp;number=0&amp;sourceID=14","0")</f>
        <v>0</v>
      </c>
    </row>
    <row r="5165" spans="1:7">
      <c r="A5165" s="3">
        <v>10</v>
      </c>
      <c r="B5165" s="3">
        <v>5</v>
      </c>
      <c r="C5165" s="3">
        <v>180</v>
      </c>
      <c r="D5165" s="3">
        <v>126</v>
      </c>
      <c r="E5165" s="3">
        <v>-767.862</v>
      </c>
      <c r="F5165" s="4" t="str">
        <f>HYPERLINK("http://141.218.60.56/~jnz1568/getInfo.php?workbook=10_05.xlsx&amp;sheet=A0&amp;row=5165&amp;col=6&amp;number=22700000&amp;sourceID=14","22700000")</f>
        <v>22700000</v>
      </c>
      <c r="G5165" s="4" t="str">
        <f>HYPERLINK("http://141.218.60.56/~jnz1568/getInfo.php?workbook=10_05.xlsx&amp;sheet=A0&amp;row=5165&amp;col=7&amp;number=0&amp;sourceID=14","0")</f>
        <v>0</v>
      </c>
    </row>
    <row r="5166" spans="1:7">
      <c r="A5166" s="3">
        <v>10</v>
      </c>
      <c r="B5166" s="3">
        <v>5</v>
      </c>
      <c r="C5166" s="3">
        <v>129</v>
      </c>
      <c r="D5166" s="3">
        <v>127</v>
      </c>
      <c r="E5166" s="3">
        <v>-43196.624</v>
      </c>
      <c r="F5166" s="4" t="str">
        <f>HYPERLINK("http://141.218.60.56/~jnz1568/getInfo.php?workbook=10_05.xlsx&amp;sheet=A0&amp;row=5166&amp;col=6&amp;number=2930&amp;sourceID=14","2930")</f>
        <v>2930</v>
      </c>
      <c r="G5166" s="4" t="str">
        <f>HYPERLINK("http://141.218.60.56/~jnz1568/getInfo.php?workbook=10_05.xlsx&amp;sheet=A0&amp;row=5166&amp;col=7&amp;number=0&amp;sourceID=14","0")</f>
        <v>0</v>
      </c>
    </row>
    <row r="5167" spans="1:7">
      <c r="A5167" s="3">
        <v>10</v>
      </c>
      <c r="B5167" s="3">
        <v>5</v>
      </c>
      <c r="C5167" s="3">
        <v>131</v>
      </c>
      <c r="D5167" s="3">
        <v>127</v>
      </c>
      <c r="E5167" s="3">
        <v>-31036.68</v>
      </c>
      <c r="F5167" s="4" t="str">
        <f>HYPERLINK("http://141.218.60.56/~jnz1568/getInfo.php?workbook=10_05.xlsx&amp;sheet=A0&amp;row=5167&amp;col=6&amp;number=0.432&amp;sourceID=14","0.432")</f>
        <v>0.432</v>
      </c>
      <c r="G5167" s="4" t="str">
        <f>HYPERLINK("http://141.218.60.56/~jnz1568/getInfo.php?workbook=10_05.xlsx&amp;sheet=A0&amp;row=5167&amp;col=7&amp;number=0&amp;sourceID=14","0")</f>
        <v>0</v>
      </c>
    </row>
    <row r="5168" spans="1:7">
      <c r="A5168" s="3">
        <v>10</v>
      </c>
      <c r="B5168" s="3">
        <v>5</v>
      </c>
      <c r="C5168" s="3">
        <v>132</v>
      </c>
      <c r="D5168" s="3">
        <v>127</v>
      </c>
      <c r="E5168" s="3">
        <v>-29682.453</v>
      </c>
      <c r="F5168" s="4" t="str">
        <f>HYPERLINK("http://141.218.60.56/~jnz1568/getInfo.php?workbook=10_05.xlsx&amp;sheet=A0&amp;row=5168&amp;col=6&amp;number=42.1&amp;sourceID=14","42.1")</f>
        <v>42.1</v>
      </c>
      <c r="G5168" s="4" t="str">
        <f>HYPERLINK("http://141.218.60.56/~jnz1568/getInfo.php?workbook=10_05.xlsx&amp;sheet=A0&amp;row=5168&amp;col=7&amp;number=0&amp;sourceID=14","0")</f>
        <v>0</v>
      </c>
    </row>
    <row r="5169" spans="1:7">
      <c r="A5169" s="3">
        <v>10</v>
      </c>
      <c r="B5169" s="3">
        <v>5</v>
      </c>
      <c r="C5169" s="3">
        <v>140</v>
      </c>
      <c r="D5169" s="3">
        <v>127</v>
      </c>
      <c r="E5169" s="3">
        <v>-11883.563</v>
      </c>
      <c r="F5169" s="4" t="str">
        <f>HYPERLINK("http://141.218.60.56/~jnz1568/getInfo.php?workbook=10_05.xlsx&amp;sheet=A0&amp;row=5169&amp;col=6&amp;number=28100&amp;sourceID=14","28100")</f>
        <v>28100</v>
      </c>
      <c r="G5169" s="4" t="str">
        <f>HYPERLINK("http://141.218.60.56/~jnz1568/getInfo.php?workbook=10_05.xlsx&amp;sheet=A0&amp;row=5169&amp;col=7&amp;number=0&amp;sourceID=14","0")</f>
        <v>0</v>
      </c>
    </row>
    <row r="5170" spans="1:7">
      <c r="A5170" s="3">
        <v>10</v>
      </c>
      <c r="B5170" s="3">
        <v>5</v>
      </c>
      <c r="C5170" s="3">
        <v>150</v>
      </c>
      <c r="D5170" s="3">
        <v>127</v>
      </c>
      <c r="E5170" s="3">
        <v>-6513.821</v>
      </c>
      <c r="F5170" s="4" t="str">
        <f>HYPERLINK("http://141.218.60.56/~jnz1568/getInfo.php?workbook=10_05.xlsx&amp;sheet=A0&amp;row=5170&amp;col=6&amp;number=3430000&amp;sourceID=14","3430000")</f>
        <v>3430000</v>
      </c>
      <c r="G5170" s="4" t="str">
        <f>HYPERLINK("http://141.218.60.56/~jnz1568/getInfo.php?workbook=10_05.xlsx&amp;sheet=A0&amp;row=5170&amp;col=7&amp;number=0&amp;sourceID=14","0")</f>
        <v>0</v>
      </c>
    </row>
    <row r="5171" spans="1:7">
      <c r="A5171" s="3">
        <v>10</v>
      </c>
      <c r="B5171" s="3">
        <v>5</v>
      </c>
      <c r="C5171" s="3">
        <v>156</v>
      </c>
      <c r="D5171" s="3">
        <v>127</v>
      </c>
      <c r="E5171" s="3">
        <v>-5135.589</v>
      </c>
      <c r="F5171" s="4" t="str">
        <f>HYPERLINK("http://141.218.60.56/~jnz1568/getInfo.php?workbook=10_05.xlsx&amp;sheet=A0&amp;row=5171&amp;col=6&amp;number=2990000&amp;sourceID=14","2990000")</f>
        <v>2990000</v>
      </c>
      <c r="G5171" s="4" t="str">
        <f>HYPERLINK("http://141.218.60.56/~jnz1568/getInfo.php?workbook=10_05.xlsx&amp;sheet=A0&amp;row=5171&amp;col=7&amp;number=0&amp;sourceID=14","0")</f>
        <v>0</v>
      </c>
    </row>
    <row r="5172" spans="1:7">
      <c r="A5172" s="3">
        <v>10</v>
      </c>
      <c r="B5172" s="3">
        <v>5</v>
      </c>
      <c r="C5172" s="3">
        <v>160</v>
      </c>
      <c r="D5172" s="3">
        <v>127</v>
      </c>
      <c r="E5172" s="3">
        <v>-4780.809</v>
      </c>
      <c r="F5172" s="4" t="str">
        <f>HYPERLINK("http://141.218.60.56/~jnz1568/getInfo.php?workbook=10_05.xlsx&amp;sheet=A0&amp;row=5172&amp;col=6&amp;number=48200&amp;sourceID=14","48200")</f>
        <v>48200</v>
      </c>
      <c r="G5172" s="4" t="str">
        <f>HYPERLINK("http://141.218.60.56/~jnz1568/getInfo.php?workbook=10_05.xlsx&amp;sheet=A0&amp;row=5172&amp;col=7&amp;number=0&amp;sourceID=14","0")</f>
        <v>0</v>
      </c>
    </row>
    <row r="5173" spans="1:7">
      <c r="A5173" s="3">
        <v>10</v>
      </c>
      <c r="B5173" s="3">
        <v>5</v>
      </c>
      <c r="C5173" s="3">
        <v>161</v>
      </c>
      <c r="D5173" s="3">
        <v>127</v>
      </c>
      <c r="E5173" s="3">
        <v>-4709.437</v>
      </c>
      <c r="F5173" s="4" t="str">
        <f>HYPERLINK("http://141.218.60.56/~jnz1568/getInfo.php?workbook=10_05.xlsx&amp;sheet=A0&amp;row=5173&amp;col=6&amp;number=9150000&amp;sourceID=14","9150000")</f>
        <v>9150000</v>
      </c>
      <c r="G5173" s="4" t="str">
        <f>HYPERLINK("http://141.218.60.56/~jnz1568/getInfo.php?workbook=10_05.xlsx&amp;sheet=A0&amp;row=5173&amp;col=7&amp;number=0&amp;sourceID=14","0")</f>
        <v>0</v>
      </c>
    </row>
    <row r="5174" spans="1:7">
      <c r="A5174" s="3">
        <v>10</v>
      </c>
      <c r="B5174" s="3">
        <v>5</v>
      </c>
      <c r="C5174" s="3">
        <v>162</v>
      </c>
      <c r="D5174" s="3">
        <v>127</v>
      </c>
      <c r="E5174" s="3">
        <v>-4644.69</v>
      </c>
      <c r="F5174" s="4" t="str">
        <f>HYPERLINK("http://141.218.60.56/~jnz1568/getInfo.php?workbook=10_05.xlsx&amp;sheet=A0&amp;row=5174&amp;col=6&amp;number=2340000&amp;sourceID=14","2340000")</f>
        <v>2340000</v>
      </c>
      <c r="G5174" s="4" t="str">
        <f>HYPERLINK("http://141.218.60.56/~jnz1568/getInfo.php?workbook=10_05.xlsx&amp;sheet=A0&amp;row=5174&amp;col=7&amp;number=0&amp;sourceID=14","0")</f>
        <v>0</v>
      </c>
    </row>
    <row r="5175" spans="1:7">
      <c r="A5175" s="3">
        <v>10</v>
      </c>
      <c r="B5175" s="3">
        <v>5</v>
      </c>
      <c r="C5175" s="3">
        <v>163</v>
      </c>
      <c r="D5175" s="3">
        <v>127</v>
      </c>
      <c r="E5175" s="3">
        <v>-2850.389</v>
      </c>
      <c r="F5175" s="4" t="str">
        <f>HYPERLINK("http://141.218.60.56/~jnz1568/getInfo.php?workbook=10_05.xlsx&amp;sheet=A0&amp;row=5175&amp;col=6&amp;number=32000000&amp;sourceID=14","32000000")</f>
        <v>32000000</v>
      </c>
      <c r="G5175" s="4" t="str">
        <f>HYPERLINK("http://141.218.60.56/~jnz1568/getInfo.php?workbook=10_05.xlsx&amp;sheet=A0&amp;row=5175&amp;col=7&amp;number=0&amp;sourceID=14","0")</f>
        <v>0</v>
      </c>
    </row>
    <row r="5176" spans="1:7">
      <c r="A5176" s="3">
        <v>10</v>
      </c>
      <c r="B5176" s="3">
        <v>5</v>
      </c>
      <c r="C5176" s="3">
        <v>169</v>
      </c>
      <c r="D5176" s="3">
        <v>127</v>
      </c>
      <c r="E5176" s="3">
        <v>-982.32</v>
      </c>
      <c r="F5176" s="4" t="str">
        <f>HYPERLINK("http://141.218.60.56/~jnz1568/getInfo.php?workbook=10_05.xlsx&amp;sheet=A0&amp;row=5176&amp;col=6&amp;number=33600000&amp;sourceID=14","33600000")</f>
        <v>33600000</v>
      </c>
      <c r="G5176" s="4" t="str">
        <f>HYPERLINK("http://141.218.60.56/~jnz1568/getInfo.php?workbook=10_05.xlsx&amp;sheet=A0&amp;row=5176&amp;col=7&amp;number=0&amp;sourceID=14","0")</f>
        <v>0</v>
      </c>
    </row>
    <row r="5177" spans="1:7">
      <c r="A5177" s="3">
        <v>10</v>
      </c>
      <c r="B5177" s="3">
        <v>5</v>
      </c>
      <c r="C5177" s="3">
        <v>170</v>
      </c>
      <c r="D5177" s="3">
        <v>127</v>
      </c>
      <c r="E5177" s="3">
        <v>-899.517</v>
      </c>
      <c r="F5177" s="4" t="str">
        <f>HYPERLINK("http://141.218.60.56/~jnz1568/getInfo.php?workbook=10_05.xlsx&amp;sheet=A0&amp;row=5177&amp;col=6&amp;number=6290000&amp;sourceID=14","6290000")</f>
        <v>6290000</v>
      </c>
      <c r="G5177" s="4" t="str">
        <f>HYPERLINK("http://141.218.60.56/~jnz1568/getInfo.php?workbook=10_05.xlsx&amp;sheet=A0&amp;row=5177&amp;col=7&amp;number=0&amp;sourceID=14","0")</f>
        <v>0</v>
      </c>
    </row>
    <row r="5178" spans="1:7">
      <c r="A5178" s="3">
        <v>10</v>
      </c>
      <c r="B5178" s="3">
        <v>5</v>
      </c>
      <c r="C5178" s="3">
        <v>171</v>
      </c>
      <c r="D5178" s="3">
        <v>127</v>
      </c>
      <c r="E5178" s="3">
        <v>-898.749</v>
      </c>
      <c r="F5178" s="4" t="str">
        <f>HYPERLINK("http://141.218.60.56/~jnz1568/getInfo.php?workbook=10_05.xlsx&amp;sheet=A0&amp;row=5178&amp;col=6&amp;number=1420000&amp;sourceID=14","1420000")</f>
        <v>1420000</v>
      </c>
      <c r="G5178" s="4" t="str">
        <f>HYPERLINK("http://141.218.60.56/~jnz1568/getInfo.php?workbook=10_05.xlsx&amp;sheet=A0&amp;row=5178&amp;col=7&amp;number=0&amp;sourceID=14","0")</f>
        <v>0</v>
      </c>
    </row>
    <row r="5179" spans="1:7">
      <c r="A5179" s="3">
        <v>10</v>
      </c>
      <c r="B5179" s="3">
        <v>5</v>
      </c>
      <c r="C5179" s="3">
        <v>172</v>
      </c>
      <c r="D5179" s="3">
        <v>127</v>
      </c>
      <c r="E5179" s="3">
        <v>-883.269</v>
      </c>
      <c r="F5179" s="4" t="str">
        <f>HYPERLINK("http://141.218.60.56/~jnz1568/getInfo.php?workbook=10_05.xlsx&amp;sheet=A0&amp;row=5179&amp;col=6&amp;number=39500000&amp;sourceID=14","39500000")</f>
        <v>39500000</v>
      </c>
      <c r="G5179" s="4" t="str">
        <f>HYPERLINK("http://141.218.60.56/~jnz1568/getInfo.php?workbook=10_05.xlsx&amp;sheet=A0&amp;row=5179&amp;col=7&amp;number=0&amp;sourceID=14","0")</f>
        <v>0</v>
      </c>
    </row>
    <row r="5180" spans="1:7">
      <c r="A5180" s="3">
        <v>10</v>
      </c>
      <c r="B5180" s="3">
        <v>5</v>
      </c>
      <c r="C5180" s="3">
        <v>174</v>
      </c>
      <c r="D5180" s="3">
        <v>127</v>
      </c>
      <c r="E5180" s="3">
        <v>-866.936</v>
      </c>
      <c r="F5180" s="4" t="str">
        <f>HYPERLINK("http://141.218.60.56/~jnz1568/getInfo.php?workbook=10_05.xlsx&amp;sheet=A0&amp;row=5180&amp;col=6&amp;number=20700000&amp;sourceID=14","20700000")</f>
        <v>20700000</v>
      </c>
      <c r="G5180" s="4" t="str">
        <f>HYPERLINK("http://141.218.60.56/~jnz1568/getInfo.php?workbook=10_05.xlsx&amp;sheet=A0&amp;row=5180&amp;col=7&amp;number=0&amp;sourceID=14","0")</f>
        <v>0</v>
      </c>
    </row>
    <row r="5181" spans="1:7">
      <c r="A5181" s="3">
        <v>10</v>
      </c>
      <c r="B5181" s="3">
        <v>5</v>
      </c>
      <c r="C5181" s="3">
        <v>129</v>
      </c>
      <c r="D5181" s="3">
        <v>128</v>
      </c>
      <c r="E5181" s="3">
        <v>-53590.667</v>
      </c>
      <c r="F5181" s="4" t="str">
        <f>HYPERLINK("http://141.218.60.56/~jnz1568/getInfo.php?workbook=10_05.xlsx&amp;sheet=A0&amp;row=5181&amp;col=6&amp;number=760&amp;sourceID=14","760")</f>
        <v>760</v>
      </c>
      <c r="G5181" s="4" t="str">
        <f>HYPERLINK("http://141.218.60.56/~jnz1568/getInfo.php?workbook=10_05.xlsx&amp;sheet=A0&amp;row=5181&amp;col=7&amp;number=0&amp;sourceID=14","0")</f>
        <v>0</v>
      </c>
    </row>
    <row r="5182" spans="1:7">
      <c r="A5182" s="3">
        <v>10</v>
      </c>
      <c r="B5182" s="3">
        <v>5</v>
      </c>
      <c r="C5182" s="3">
        <v>130</v>
      </c>
      <c r="D5182" s="3">
        <v>128</v>
      </c>
      <c r="E5182" s="3">
        <v>-40485.904</v>
      </c>
      <c r="F5182" s="4" t="str">
        <f>HYPERLINK("http://141.218.60.56/~jnz1568/getInfo.php?workbook=10_05.xlsx&amp;sheet=A0&amp;row=5182&amp;col=6&amp;number=4300&amp;sourceID=14","4300")</f>
        <v>4300</v>
      </c>
      <c r="G5182" s="4" t="str">
        <f>HYPERLINK("http://141.218.60.56/~jnz1568/getInfo.php?workbook=10_05.xlsx&amp;sheet=A0&amp;row=5182&amp;col=7&amp;number=0&amp;sourceID=14","0")</f>
        <v>0</v>
      </c>
    </row>
    <row r="5183" spans="1:7">
      <c r="A5183" s="3">
        <v>10</v>
      </c>
      <c r="B5183" s="3">
        <v>5</v>
      </c>
      <c r="C5183" s="3">
        <v>131</v>
      </c>
      <c r="D5183" s="3">
        <v>128</v>
      </c>
      <c r="E5183" s="3">
        <v>-36062.093</v>
      </c>
      <c r="F5183" s="4" t="str">
        <f>HYPERLINK("http://141.218.60.56/~jnz1568/getInfo.php?workbook=10_05.xlsx&amp;sheet=A0&amp;row=5183&amp;col=6&amp;number=41&amp;sourceID=14","41")</f>
        <v>41</v>
      </c>
      <c r="G5183" s="4" t="str">
        <f>HYPERLINK("http://141.218.60.56/~jnz1568/getInfo.php?workbook=10_05.xlsx&amp;sheet=A0&amp;row=5183&amp;col=7&amp;number=0&amp;sourceID=14","0")</f>
        <v>0</v>
      </c>
    </row>
    <row r="5184" spans="1:7">
      <c r="A5184" s="3">
        <v>10</v>
      </c>
      <c r="B5184" s="3">
        <v>5</v>
      </c>
      <c r="C5184" s="3">
        <v>132</v>
      </c>
      <c r="D5184" s="3">
        <v>128</v>
      </c>
      <c r="E5184" s="3">
        <v>-34246.638</v>
      </c>
      <c r="F5184" s="4" t="str">
        <f>HYPERLINK("http://141.218.60.56/~jnz1568/getInfo.php?workbook=10_05.xlsx&amp;sheet=A0&amp;row=5184&amp;col=6&amp;number=0.494&amp;sourceID=14","0.494")</f>
        <v>0.494</v>
      </c>
      <c r="G5184" s="4" t="str">
        <f>HYPERLINK("http://141.218.60.56/~jnz1568/getInfo.php?workbook=10_05.xlsx&amp;sheet=A0&amp;row=5184&amp;col=7&amp;number=0&amp;sourceID=14","0")</f>
        <v>0</v>
      </c>
    </row>
    <row r="5185" spans="1:7">
      <c r="A5185" s="3">
        <v>10</v>
      </c>
      <c r="B5185" s="3">
        <v>5</v>
      </c>
      <c r="C5185" s="3">
        <v>133</v>
      </c>
      <c r="D5185" s="3">
        <v>128</v>
      </c>
      <c r="E5185" s="3">
        <v>-31969.368</v>
      </c>
      <c r="F5185" s="4" t="str">
        <f>HYPERLINK("http://141.218.60.56/~jnz1568/getInfo.php?workbook=10_05.xlsx&amp;sheet=A0&amp;row=5185&amp;col=6&amp;number=1910&amp;sourceID=14","1910")</f>
        <v>1910</v>
      </c>
      <c r="G5185" s="4" t="str">
        <f>HYPERLINK("http://141.218.60.56/~jnz1568/getInfo.php?workbook=10_05.xlsx&amp;sheet=A0&amp;row=5185&amp;col=7&amp;number=0&amp;sourceID=14","0")</f>
        <v>0</v>
      </c>
    </row>
    <row r="5186" spans="1:7">
      <c r="A5186" s="3">
        <v>10</v>
      </c>
      <c r="B5186" s="3">
        <v>5</v>
      </c>
      <c r="C5186" s="3">
        <v>140</v>
      </c>
      <c r="D5186" s="3">
        <v>128</v>
      </c>
      <c r="E5186" s="3">
        <v>-12553.375</v>
      </c>
      <c r="F5186" s="4" t="str">
        <f>HYPERLINK("http://141.218.60.56/~jnz1568/getInfo.php?workbook=10_05.xlsx&amp;sheet=A0&amp;row=5186&amp;col=6&amp;number=71900&amp;sourceID=14","71900")</f>
        <v>71900</v>
      </c>
      <c r="G5186" s="4" t="str">
        <f>HYPERLINK("http://141.218.60.56/~jnz1568/getInfo.php?workbook=10_05.xlsx&amp;sheet=A0&amp;row=5186&amp;col=7&amp;number=0&amp;sourceID=14","0")</f>
        <v>0</v>
      </c>
    </row>
    <row r="5187" spans="1:7">
      <c r="A5187" s="3">
        <v>10</v>
      </c>
      <c r="B5187" s="3">
        <v>5</v>
      </c>
      <c r="C5187" s="3">
        <v>150</v>
      </c>
      <c r="D5187" s="3">
        <v>128</v>
      </c>
      <c r="E5187" s="3">
        <v>-6710.071</v>
      </c>
      <c r="F5187" s="4" t="str">
        <f>HYPERLINK("http://141.218.60.56/~jnz1568/getInfo.php?workbook=10_05.xlsx&amp;sheet=A0&amp;row=5187&amp;col=6&amp;number=567000&amp;sourceID=14","567000")</f>
        <v>567000</v>
      </c>
      <c r="G5187" s="4" t="str">
        <f>HYPERLINK("http://141.218.60.56/~jnz1568/getInfo.php?workbook=10_05.xlsx&amp;sheet=A0&amp;row=5187&amp;col=7&amp;number=0&amp;sourceID=14","0")</f>
        <v>0</v>
      </c>
    </row>
    <row r="5188" spans="1:7">
      <c r="A5188" s="3">
        <v>10</v>
      </c>
      <c r="B5188" s="3">
        <v>5</v>
      </c>
      <c r="C5188" s="3">
        <v>151</v>
      </c>
      <c r="D5188" s="3">
        <v>128</v>
      </c>
      <c r="E5188" s="3">
        <v>-6700.18</v>
      </c>
      <c r="F5188" s="4" t="str">
        <f>HYPERLINK("http://141.218.60.56/~jnz1568/getInfo.php?workbook=10_05.xlsx&amp;sheet=A0&amp;row=5188&amp;col=6&amp;number=1610000&amp;sourceID=14","1610000")</f>
        <v>1610000</v>
      </c>
      <c r="G5188" s="4" t="str">
        <f>HYPERLINK("http://141.218.60.56/~jnz1568/getInfo.php?workbook=10_05.xlsx&amp;sheet=A0&amp;row=5188&amp;col=7&amp;number=0&amp;sourceID=14","0")</f>
        <v>0</v>
      </c>
    </row>
    <row r="5189" spans="1:7">
      <c r="A5189" s="3">
        <v>10</v>
      </c>
      <c r="B5189" s="3">
        <v>5</v>
      </c>
      <c r="C5189" s="3">
        <v>155</v>
      </c>
      <c r="D5189" s="3">
        <v>128</v>
      </c>
      <c r="E5189" s="3">
        <v>-5417.715</v>
      </c>
      <c r="F5189" s="4" t="str">
        <f>HYPERLINK("http://141.218.60.56/~jnz1568/getInfo.php?workbook=10_05.xlsx&amp;sheet=A0&amp;row=5189&amp;col=6&amp;number=4470000&amp;sourceID=14","4470000")</f>
        <v>4470000</v>
      </c>
      <c r="G5189" s="4" t="str">
        <f>HYPERLINK("http://141.218.60.56/~jnz1568/getInfo.php?workbook=10_05.xlsx&amp;sheet=A0&amp;row=5189&amp;col=7&amp;number=0&amp;sourceID=14","0")</f>
        <v>0</v>
      </c>
    </row>
    <row r="5190" spans="1:7">
      <c r="A5190" s="3">
        <v>10</v>
      </c>
      <c r="B5190" s="3">
        <v>5</v>
      </c>
      <c r="C5190" s="3">
        <v>156</v>
      </c>
      <c r="D5190" s="3">
        <v>128</v>
      </c>
      <c r="E5190" s="3">
        <v>-5256.804</v>
      </c>
      <c r="F5190" s="4" t="str">
        <f>HYPERLINK("http://141.218.60.56/~jnz1568/getInfo.php?workbook=10_05.xlsx&amp;sheet=A0&amp;row=5190&amp;col=6&amp;number=646000&amp;sourceID=14","646000")</f>
        <v>646000</v>
      </c>
      <c r="G5190" s="4" t="str">
        <f>HYPERLINK("http://141.218.60.56/~jnz1568/getInfo.php?workbook=10_05.xlsx&amp;sheet=A0&amp;row=5190&amp;col=7&amp;number=0&amp;sourceID=14","0")</f>
        <v>0</v>
      </c>
    </row>
    <row r="5191" spans="1:7">
      <c r="A5191" s="3">
        <v>10</v>
      </c>
      <c r="B5191" s="3">
        <v>5</v>
      </c>
      <c r="C5191" s="3">
        <v>157</v>
      </c>
      <c r="D5191" s="3">
        <v>128</v>
      </c>
      <c r="E5191" s="3">
        <v>-5207.8</v>
      </c>
      <c r="F5191" s="4" t="str">
        <f>HYPERLINK("http://141.218.60.56/~jnz1568/getInfo.php?workbook=10_05.xlsx&amp;sheet=A0&amp;row=5191&amp;col=6&amp;number=3180000&amp;sourceID=14","3180000")</f>
        <v>3180000</v>
      </c>
      <c r="G5191" s="4" t="str">
        <f>HYPERLINK("http://141.218.60.56/~jnz1568/getInfo.php?workbook=10_05.xlsx&amp;sheet=A0&amp;row=5191&amp;col=7&amp;number=0&amp;sourceID=14","0")</f>
        <v>0</v>
      </c>
    </row>
    <row r="5192" spans="1:7">
      <c r="A5192" s="3">
        <v>10</v>
      </c>
      <c r="B5192" s="3">
        <v>5</v>
      </c>
      <c r="C5192" s="3">
        <v>160</v>
      </c>
      <c r="D5192" s="3">
        <v>128</v>
      </c>
      <c r="E5192" s="3">
        <v>-4885.684</v>
      </c>
      <c r="F5192" s="4" t="str">
        <f>HYPERLINK("http://141.218.60.56/~jnz1568/getInfo.php?workbook=10_05.xlsx&amp;sheet=A0&amp;row=5192&amp;col=6&amp;number=53100&amp;sourceID=14","53100")</f>
        <v>53100</v>
      </c>
      <c r="G5192" s="4" t="str">
        <f>HYPERLINK("http://141.218.60.56/~jnz1568/getInfo.php?workbook=10_05.xlsx&amp;sheet=A0&amp;row=5192&amp;col=7&amp;number=0&amp;sourceID=14","0")</f>
        <v>0</v>
      </c>
    </row>
    <row r="5193" spans="1:7">
      <c r="A5193" s="3">
        <v>10</v>
      </c>
      <c r="B5193" s="3">
        <v>5</v>
      </c>
      <c r="C5193" s="3">
        <v>161</v>
      </c>
      <c r="D5193" s="3">
        <v>128</v>
      </c>
      <c r="E5193" s="3">
        <v>-4811.171</v>
      </c>
      <c r="F5193" s="4" t="str">
        <f>HYPERLINK("http://141.218.60.56/~jnz1568/getInfo.php?workbook=10_05.xlsx&amp;sheet=A0&amp;row=5193&amp;col=6&amp;number=3870000&amp;sourceID=14","3870000")</f>
        <v>3870000</v>
      </c>
      <c r="G5193" s="4" t="str">
        <f>HYPERLINK("http://141.218.60.56/~jnz1568/getInfo.php?workbook=10_05.xlsx&amp;sheet=A0&amp;row=5193&amp;col=7&amp;number=0&amp;sourceID=14","0")</f>
        <v>0</v>
      </c>
    </row>
    <row r="5194" spans="1:7">
      <c r="A5194" s="3">
        <v>10</v>
      </c>
      <c r="B5194" s="3">
        <v>5</v>
      </c>
      <c r="C5194" s="3">
        <v>162</v>
      </c>
      <c r="D5194" s="3">
        <v>128</v>
      </c>
      <c r="E5194" s="3">
        <v>-4743.617</v>
      </c>
      <c r="F5194" s="4" t="str">
        <f>HYPERLINK("http://141.218.60.56/~jnz1568/getInfo.php?workbook=10_05.xlsx&amp;sheet=A0&amp;row=5194&amp;col=6&amp;number=11200000&amp;sourceID=14","11200000")</f>
        <v>11200000</v>
      </c>
      <c r="G5194" s="4" t="str">
        <f>HYPERLINK("http://141.218.60.56/~jnz1568/getInfo.php?workbook=10_05.xlsx&amp;sheet=A0&amp;row=5194&amp;col=7&amp;number=0&amp;sourceID=14","0")</f>
        <v>0</v>
      </c>
    </row>
    <row r="5195" spans="1:7">
      <c r="A5195" s="3">
        <v>10</v>
      </c>
      <c r="B5195" s="3">
        <v>5</v>
      </c>
      <c r="C5195" s="3">
        <v>163</v>
      </c>
      <c r="D5195" s="3">
        <v>128</v>
      </c>
      <c r="E5195" s="3">
        <v>-2887.341</v>
      </c>
      <c r="F5195" s="4" t="str">
        <f>HYPERLINK("http://141.218.60.56/~jnz1568/getInfo.php?workbook=10_05.xlsx&amp;sheet=A0&amp;row=5195&amp;col=6&amp;number=61500000&amp;sourceID=14","61500000")</f>
        <v>61500000</v>
      </c>
      <c r="G5195" s="4" t="str">
        <f>HYPERLINK("http://141.218.60.56/~jnz1568/getInfo.php?workbook=10_05.xlsx&amp;sheet=A0&amp;row=5195&amp;col=7&amp;number=0&amp;sourceID=14","0")</f>
        <v>0</v>
      </c>
    </row>
    <row r="5196" spans="1:7">
      <c r="A5196" s="3">
        <v>10</v>
      </c>
      <c r="B5196" s="3">
        <v>5</v>
      </c>
      <c r="C5196" s="3">
        <v>168</v>
      </c>
      <c r="D5196" s="3">
        <v>128</v>
      </c>
      <c r="E5196" s="3">
        <v>-987.139</v>
      </c>
      <c r="F5196" s="4" t="str">
        <f>HYPERLINK("http://141.218.60.56/~jnz1568/getInfo.php?workbook=10_05.xlsx&amp;sheet=A0&amp;row=5196&amp;col=6&amp;number=39100000&amp;sourceID=14","39100000")</f>
        <v>39100000</v>
      </c>
      <c r="G5196" s="4" t="str">
        <f>HYPERLINK("http://141.218.60.56/~jnz1568/getInfo.php?workbook=10_05.xlsx&amp;sheet=A0&amp;row=5196&amp;col=7&amp;number=0&amp;sourceID=14","0")</f>
        <v>0</v>
      </c>
    </row>
    <row r="5197" spans="1:7">
      <c r="A5197" s="3">
        <v>10</v>
      </c>
      <c r="B5197" s="3">
        <v>5</v>
      </c>
      <c r="C5197" s="3">
        <v>169</v>
      </c>
      <c r="D5197" s="3">
        <v>128</v>
      </c>
      <c r="E5197" s="3">
        <v>-986.672</v>
      </c>
      <c r="F5197" s="4" t="str">
        <f>HYPERLINK("http://141.218.60.56/~jnz1568/getInfo.php?workbook=10_05.xlsx&amp;sheet=A0&amp;row=5197&amp;col=6&amp;number=5830000&amp;sourceID=14","5830000")</f>
        <v>5830000</v>
      </c>
      <c r="G5197" s="4" t="str">
        <f>HYPERLINK("http://141.218.60.56/~jnz1568/getInfo.php?workbook=10_05.xlsx&amp;sheet=A0&amp;row=5197&amp;col=7&amp;number=0&amp;sourceID=14","0")</f>
        <v>0</v>
      </c>
    </row>
    <row r="5198" spans="1:7">
      <c r="A5198" s="3">
        <v>10</v>
      </c>
      <c r="B5198" s="3">
        <v>5</v>
      </c>
      <c r="C5198" s="3">
        <v>170</v>
      </c>
      <c r="D5198" s="3">
        <v>128</v>
      </c>
      <c r="E5198" s="3">
        <v>-903.165</v>
      </c>
      <c r="F5198" s="4" t="str">
        <f>HYPERLINK("http://141.218.60.56/~jnz1568/getInfo.php?workbook=10_05.xlsx&amp;sheet=A0&amp;row=5198&amp;col=6&amp;number=4210000&amp;sourceID=14","4210000")</f>
        <v>4210000</v>
      </c>
      <c r="G5198" s="4" t="str">
        <f>HYPERLINK("http://141.218.60.56/~jnz1568/getInfo.php?workbook=10_05.xlsx&amp;sheet=A0&amp;row=5198&amp;col=7&amp;number=0&amp;sourceID=14","0")</f>
        <v>0</v>
      </c>
    </row>
    <row r="5199" spans="1:7">
      <c r="A5199" s="3">
        <v>10</v>
      </c>
      <c r="B5199" s="3">
        <v>5</v>
      </c>
      <c r="C5199" s="3">
        <v>171</v>
      </c>
      <c r="D5199" s="3">
        <v>128</v>
      </c>
      <c r="E5199" s="3">
        <v>-902.39</v>
      </c>
      <c r="F5199" s="4" t="str">
        <f>HYPERLINK("http://141.218.60.56/~jnz1568/getInfo.php?workbook=10_05.xlsx&amp;sheet=A0&amp;row=5199&amp;col=6&amp;number=8090000&amp;sourceID=14","8090000")</f>
        <v>8090000</v>
      </c>
      <c r="G5199" s="4" t="str">
        <f>HYPERLINK("http://141.218.60.56/~jnz1568/getInfo.php?workbook=10_05.xlsx&amp;sheet=A0&amp;row=5199&amp;col=7&amp;number=0&amp;sourceID=14","0")</f>
        <v>0</v>
      </c>
    </row>
    <row r="5200" spans="1:7">
      <c r="A5200" s="3">
        <v>10</v>
      </c>
      <c r="B5200" s="3">
        <v>5</v>
      </c>
      <c r="C5200" s="3">
        <v>172</v>
      </c>
      <c r="D5200" s="3">
        <v>128</v>
      </c>
      <c r="E5200" s="3">
        <v>-886.786</v>
      </c>
      <c r="F5200" s="4" t="str">
        <f>HYPERLINK("http://141.218.60.56/~jnz1568/getInfo.php?workbook=10_05.xlsx&amp;sheet=A0&amp;row=5200&amp;col=6&amp;number=8300000&amp;sourceID=14","8300000")</f>
        <v>8300000</v>
      </c>
      <c r="G5200" s="4" t="str">
        <f>HYPERLINK("http://141.218.60.56/~jnz1568/getInfo.php?workbook=10_05.xlsx&amp;sheet=A0&amp;row=5200&amp;col=7&amp;number=0&amp;sourceID=14","0")</f>
        <v>0</v>
      </c>
    </row>
    <row r="5201" spans="1:7">
      <c r="A5201" s="3">
        <v>10</v>
      </c>
      <c r="B5201" s="3">
        <v>5</v>
      </c>
      <c r="C5201" s="3">
        <v>173</v>
      </c>
      <c r="D5201" s="3">
        <v>128</v>
      </c>
      <c r="E5201" s="3">
        <v>-886.605</v>
      </c>
      <c r="F5201" s="4" t="str">
        <f>HYPERLINK("http://141.218.60.56/~jnz1568/getInfo.php?workbook=10_05.xlsx&amp;sheet=A0&amp;row=5201&amp;col=6&amp;number=47900000&amp;sourceID=14","47900000")</f>
        <v>47900000</v>
      </c>
      <c r="G5201" s="4" t="str">
        <f>HYPERLINK("http://141.218.60.56/~jnz1568/getInfo.php?workbook=10_05.xlsx&amp;sheet=A0&amp;row=5201&amp;col=7&amp;number=0&amp;sourceID=14","0")</f>
        <v>0</v>
      </c>
    </row>
    <row r="5202" spans="1:7">
      <c r="A5202" s="3">
        <v>10</v>
      </c>
      <c r="B5202" s="3">
        <v>5</v>
      </c>
      <c r="C5202" s="3">
        <v>174</v>
      </c>
      <c r="D5202" s="3">
        <v>128</v>
      </c>
      <c r="E5202" s="3">
        <v>-870.324</v>
      </c>
      <c r="F5202" s="4" t="str">
        <f>HYPERLINK("http://141.218.60.56/~jnz1568/getInfo.php?workbook=10_05.xlsx&amp;sheet=A0&amp;row=5202&amp;col=6&amp;number=41100000&amp;sourceID=14","41100000")</f>
        <v>41100000</v>
      </c>
      <c r="G5202" s="4" t="str">
        <f>HYPERLINK("http://141.218.60.56/~jnz1568/getInfo.php?workbook=10_05.xlsx&amp;sheet=A0&amp;row=5202&amp;col=7&amp;number=0&amp;sourceID=14","0")</f>
        <v>0</v>
      </c>
    </row>
    <row r="5203" spans="1:7">
      <c r="A5203" s="3">
        <v>10</v>
      </c>
      <c r="B5203" s="3">
        <v>5</v>
      </c>
      <c r="C5203" s="3">
        <v>134</v>
      </c>
      <c r="D5203" s="3">
        <v>129</v>
      </c>
      <c r="E5203" s="3">
        <v>-38284.91</v>
      </c>
      <c r="F5203" s="4" t="str">
        <f>HYPERLINK("http://141.218.60.56/~jnz1568/getInfo.php?workbook=10_05.xlsx&amp;sheet=A0&amp;row=5203&amp;col=6&amp;number=5.37&amp;sourceID=14","5.37")</f>
        <v>5.37</v>
      </c>
      <c r="G5203" s="4" t="str">
        <f>HYPERLINK("http://141.218.60.56/~jnz1568/getInfo.php?workbook=10_05.xlsx&amp;sheet=A0&amp;row=5203&amp;col=7&amp;number=0&amp;sourceID=14","0")</f>
        <v>0</v>
      </c>
    </row>
    <row r="5204" spans="1:7">
      <c r="A5204" s="3">
        <v>10</v>
      </c>
      <c r="B5204" s="3">
        <v>5</v>
      </c>
      <c r="C5204" s="3">
        <v>135</v>
      </c>
      <c r="D5204" s="3">
        <v>129</v>
      </c>
      <c r="E5204" s="3">
        <v>-35050.888</v>
      </c>
      <c r="F5204" s="4" t="str">
        <f>HYPERLINK("http://141.218.60.56/~jnz1568/getInfo.php?workbook=10_05.xlsx&amp;sheet=A0&amp;row=5204&amp;col=6&amp;number=44.3&amp;sourceID=14","44.3")</f>
        <v>44.3</v>
      </c>
      <c r="G5204" s="4" t="str">
        <f>HYPERLINK("http://141.218.60.56/~jnz1568/getInfo.php?workbook=10_05.xlsx&amp;sheet=A0&amp;row=5204&amp;col=7&amp;number=0&amp;sourceID=14","0")</f>
        <v>0</v>
      </c>
    </row>
    <row r="5205" spans="1:7">
      <c r="A5205" s="3">
        <v>10</v>
      </c>
      <c r="B5205" s="3">
        <v>5</v>
      </c>
      <c r="C5205" s="3">
        <v>141</v>
      </c>
      <c r="D5205" s="3">
        <v>129</v>
      </c>
      <c r="E5205" s="3">
        <v>-13663.094</v>
      </c>
      <c r="F5205" s="4" t="str">
        <f>HYPERLINK("http://141.218.60.56/~jnz1568/getInfo.php?workbook=10_05.xlsx&amp;sheet=A0&amp;row=5205&amp;col=6&amp;number=291&amp;sourceID=14","291")</f>
        <v>291</v>
      </c>
      <c r="G5205" s="4" t="str">
        <f>HYPERLINK("http://141.218.60.56/~jnz1568/getInfo.php?workbook=10_05.xlsx&amp;sheet=A0&amp;row=5205&amp;col=7&amp;number=0&amp;sourceID=14","0")</f>
        <v>0</v>
      </c>
    </row>
    <row r="5206" spans="1:7">
      <c r="A5206" s="3">
        <v>10</v>
      </c>
      <c r="B5206" s="3">
        <v>5</v>
      </c>
      <c r="C5206" s="3">
        <v>142</v>
      </c>
      <c r="D5206" s="3">
        <v>129</v>
      </c>
      <c r="E5206" s="3">
        <v>14265.361</v>
      </c>
      <c r="F5206" s="4" t="str">
        <f>HYPERLINK("http://141.218.60.56/~jnz1568/getInfo.php?workbook=10_05.xlsx&amp;sheet=A0&amp;row=5206&amp;col=6&amp;number=175&amp;sourceID=14","175")</f>
        <v>175</v>
      </c>
      <c r="G5206" s="4" t="str">
        <f>HYPERLINK("http://141.218.60.56/~jnz1568/getInfo.php?workbook=10_05.xlsx&amp;sheet=A0&amp;row=5206&amp;col=7&amp;number=0&amp;sourceID=14","0")</f>
        <v>0</v>
      </c>
    </row>
    <row r="5207" spans="1:7">
      <c r="A5207" s="3">
        <v>10</v>
      </c>
      <c r="B5207" s="3">
        <v>5</v>
      </c>
      <c r="C5207" s="3">
        <v>143</v>
      </c>
      <c r="D5207" s="3">
        <v>129</v>
      </c>
      <c r="E5207" s="3">
        <v>13774.13</v>
      </c>
      <c r="F5207" s="4" t="str">
        <f>HYPERLINK("http://141.218.60.56/~jnz1568/getInfo.php?workbook=10_05.xlsx&amp;sheet=A0&amp;row=5207&amp;col=6&amp;number=4380&amp;sourceID=14","4380")</f>
        <v>4380</v>
      </c>
      <c r="G5207" s="4" t="str">
        <f>HYPERLINK("http://141.218.60.56/~jnz1568/getInfo.php?workbook=10_05.xlsx&amp;sheet=A0&amp;row=5207&amp;col=7&amp;number=0&amp;sourceID=14","0")</f>
        <v>0</v>
      </c>
    </row>
    <row r="5208" spans="1:7">
      <c r="A5208" s="3">
        <v>10</v>
      </c>
      <c r="B5208" s="3">
        <v>5</v>
      </c>
      <c r="C5208" s="3">
        <v>145</v>
      </c>
      <c r="D5208" s="3">
        <v>129</v>
      </c>
      <c r="E5208" s="3">
        <v>11947.453</v>
      </c>
      <c r="F5208" s="4" t="str">
        <f>HYPERLINK("http://141.218.60.56/~jnz1568/getInfo.php?workbook=10_05.xlsx&amp;sheet=A0&amp;row=5208&amp;col=6&amp;number=857000&amp;sourceID=14","857000")</f>
        <v>857000</v>
      </c>
      <c r="G5208" s="4" t="str">
        <f>HYPERLINK("http://141.218.60.56/~jnz1568/getInfo.php?workbook=10_05.xlsx&amp;sheet=A0&amp;row=5208&amp;col=7&amp;number=0&amp;sourceID=14","0")</f>
        <v>0</v>
      </c>
    </row>
    <row r="5209" spans="1:7">
      <c r="A5209" s="3">
        <v>10</v>
      </c>
      <c r="B5209" s="3">
        <v>5</v>
      </c>
      <c r="C5209" s="3">
        <v>146</v>
      </c>
      <c r="D5209" s="3">
        <v>129</v>
      </c>
      <c r="E5209" s="3">
        <v>11947.453</v>
      </c>
      <c r="F5209" s="4" t="str">
        <f>HYPERLINK("http://141.218.60.56/~jnz1568/getInfo.php?workbook=10_05.xlsx&amp;sheet=A0&amp;row=5209&amp;col=6&amp;number=35400&amp;sourceID=14","35400")</f>
        <v>35400</v>
      </c>
      <c r="G5209" s="4" t="str">
        <f>HYPERLINK("http://141.218.60.56/~jnz1568/getInfo.php?workbook=10_05.xlsx&amp;sheet=A0&amp;row=5209&amp;col=7&amp;number=0&amp;sourceID=14","0")</f>
        <v>0</v>
      </c>
    </row>
    <row r="5210" spans="1:7">
      <c r="A5210" s="3">
        <v>10</v>
      </c>
      <c r="B5210" s="3">
        <v>5</v>
      </c>
      <c r="C5210" s="3">
        <v>147</v>
      </c>
      <c r="D5210" s="3">
        <v>129</v>
      </c>
      <c r="E5210" s="3">
        <v>11160.735</v>
      </c>
      <c r="F5210" s="4" t="str">
        <f>HYPERLINK("http://141.218.60.56/~jnz1568/getInfo.php?workbook=10_05.xlsx&amp;sheet=A0&amp;row=5210&amp;col=6&amp;number=4370&amp;sourceID=14","4370")</f>
        <v>4370</v>
      </c>
      <c r="G5210" s="4" t="str">
        <f>HYPERLINK("http://141.218.60.56/~jnz1568/getInfo.php?workbook=10_05.xlsx&amp;sheet=A0&amp;row=5210&amp;col=7&amp;number=0&amp;sourceID=14","0")</f>
        <v>0</v>
      </c>
    </row>
    <row r="5211" spans="1:7">
      <c r="A5211" s="3">
        <v>10</v>
      </c>
      <c r="B5211" s="3">
        <v>5</v>
      </c>
      <c r="C5211" s="3">
        <v>148</v>
      </c>
      <c r="D5211" s="3">
        <v>129</v>
      </c>
      <c r="E5211" s="3">
        <v>11037.548</v>
      </c>
      <c r="F5211" s="4" t="str">
        <f>HYPERLINK("http://141.218.60.56/~jnz1568/getInfo.php?workbook=10_05.xlsx&amp;sheet=A0&amp;row=5211&amp;col=6&amp;number=532000&amp;sourceID=14","532000")</f>
        <v>532000</v>
      </c>
      <c r="G5211" s="4" t="str">
        <f>HYPERLINK("http://141.218.60.56/~jnz1568/getInfo.php?workbook=10_05.xlsx&amp;sheet=A0&amp;row=5211&amp;col=7&amp;number=0&amp;sourceID=14","0")</f>
        <v>0</v>
      </c>
    </row>
    <row r="5212" spans="1:7">
      <c r="A5212" s="3">
        <v>10</v>
      </c>
      <c r="B5212" s="3">
        <v>5</v>
      </c>
      <c r="C5212" s="3">
        <v>149</v>
      </c>
      <c r="D5212" s="3">
        <v>129</v>
      </c>
      <c r="E5212" s="3">
        <v>10917.051</v>
      </c>
      <c r="F5212" s="4" t="str">
        <f>HYPERLINK("http://141.218.60.56/~jnz1568/getInfo.php?workbook=10_05.xlsx&amp;sheet=A0&amp;row=5212&amp;col=6&amp;number=5070&amp;sourceID=14","5070")</f>
        <v>5070</v>
      </c>
      <c r="G5212" s="4" t="str">
        <f>HYPERLINK("http://141.218.60.56/~jnz1568/getInfo.php?workbook=10_05.xlsx&amp;sheet=A0&amp;row=5212&amp;col=7&amp;number=0&amp;sourceID=14","0")</f>
        <v>0</v>
      </c>
    </row>
    <row r="5213" spans="1:7">
      <c r="A5213" s="3">
        <v>10</v>
      </c>
      <c r="B5213" s="3">
        <v>5</v>
      </c>
      <c r="C5213" s="3">
        <v>152</v>
      </c>
      <c r="D5213" s="3">
        <v>129</v>
      </c>
      <c r="E5213" s="3">
        <v>6887.065</v>
      </c>
      <c r="F5213" s="4" t="str">
        <f>HYPERLINK("http://141.218.60.56/~jnz1568/getInfo.php?workbook=10_05.xlsx&amp;sheet=A0&amp;row=5213&amp;col=6&amp;number=23400000&amp;sourceID=14","23400000")</f>
        <v>23400000</v>
      </c>
      <c r="G5213" s="4" t="str">
        <f>HYPERLINK("http://141.218.60.56/~jnz1568/getInfo.php?workbook=10_05.xlsx&amp;sheet=A0&amp;row=5213&amp;col=7&amp;number=0&amp;sourceID=14","0")</f>
        <v>0</v>
      </c>
    </row>
    <row r="5214" spans="1:7">
      <c r="A5214" s="3">
        <v>10</v>
      </c>
      <c r="B5214" s="3">
        <v>5</v>
      </c>
      <c r="C5214" s="3">
        <v>158</v>
      </c>
      <c r="D5214" s="3">
        <v>129</v>
      </c>
      <c r="E5214" s="3">
        <v>-5724.109</v>
      </c>
      <c r="F5214" s="4" t="str">
        <f>HYPERLINK("http://141.218.60.56/~jnz1568/getInfo.php?workbook=10_05.xlsx&amp;sheet=A0&amp;row=5214&amp;col=6&amp;number=493&amp;sourceID=14","493")</f>
        <v>493</v>
      </c>
      <c r="G5214" s="4" t="str">
        <f>HYPERLINK("http://141.218.60.56/~jnz1568/getInfo.php?workbook=10_05.xlsx&amp;sheet=A0&amp;row=5214&amp;col=7&amp;number=0&amp;sourceID=14","0")</f>
        <v>0</v>
      </c>
    </row>
    <row r="5215" spans="1:7">
      <c r="A5215" s="3">
        <v>10</v>
      </c>
      <c r="B5215" s="3">
        <v>5</v>
      </c>
      <c r="C5215" s="3">
        <v>159</v>
      </c>
      <c r="D5215" s="3">
        <v>129</v>
      </c>
      <c r="E5215" s="3">
        <v>-5587.227</v>
      </c>
      <c r="F5215" s="4" t="str">
        <f>HYPERLINK("http://141.218.60.56/~jnz1568/getInfo.php?workbook=10_05.xlsx&amp;sheet=A0&amp;row=5215&amp;col=6&amp;number=3330000&amp;sourceID=14","3330000")</f>
        <v>3330000</v>
      </c>
      <c r="G5215" s="4" t="str">
        <f>HYPERLINK("http://141.218.60.56/~jnz1568/getInfo.php?workbook=10_05.xlsx&amp;sheet=A0&amp;row=5215&amp;col=7&amp;number=0&amp;sourceID=14","0")</f>
        <v>0</v>
      </c>
    </row>
    <row r="5216" spans="1:7">
      <c r="A5216" s="3">
        <v>10</v>
      </c>
      <c r="B5216" s="3">
        <v>5</v>
      </c>
      <c r="C5216" s="3">
        <v>164</v>
      </c>
      <c r="D5216" s="3">
        <v>129</v>
      </c>
      <c r="E5216" s="3">
        <v>-1561.917</v>
      </c>
      <c r="F5216" s="4" t="str">
        <f>HYPERLINK("http://141.218.60.56/~jnz1568/getInfo.php?workbook=10_05.xlsx&amp;sheet=A0&amp;row=5216&amp;col=6&amp;number=342000&amp;sourceID=14","342000")</f>
        <v>342000</v>
      </c>
      <c r="G5216" s="4" t="str">
        <f>HYPERLINK("http://141.218.60.56/~jnz1568/getInfo.php?workbook=10_05.xlsx&amp;sheet=A0&amp;row=5216&amp;col=7&amp;number=0&amp;sourceID=14","0")</f>
        <v>0</v>
      </c>
    </row>
    <row r="5217" spans="1:7">
      <c r="A5217" s="3">
        <v>10</v>
      </c>
      <c r="B5217" s="3">
        <v>5</v>
      </c>
      <c r="C5217" s="3">
        <v>165</v>
      </c>
      <c r="D5217" s="3">
        <v>129</v>
      </c>
      <c r="E5217" s="3">
        <v>-1558.582</v>
      </c>
      <c r="F5217" s="4" t="str">
        <f>HYPERLINK("http://141.218.60.56/~jnz1568/getInfo.php?workbook=10_05.xlsx&amp;sheet=A0&amp;row=5217&amp;col=6&amp;number=46400&amp;sourceID=14","46400")</f>
        <v>46400</v>
      </c>
      <c r="G5217" s="4" t="str">
        <f>HYPERLINK("http://141.218.60.56/~jnz1568/getInfo.php?workbook=10_05.xlsx&amp;sheet=A0&amp;row=5217&amp;col=7&amp;number=0&amp;sourceID=14","0")</f>
        <v>0</v>
      </c>
    </row>
    <row r="5218" spans="1:7">
      <c r="A5218" s="3">
        <v>10</v>
      </c>
      <c r="B5218" s="3">
        <v>5</v>
      </c>
      <c r="C5218" s="3">
        <v>166</v>
      </c>
      <c r="D5218" s="3">
        <v>129</v>
      </c>
      <c r="E5218" s="3">
        <v>-1096.001</v>
      </c>
      <c r="F5218" s="4" t="str">
        <f>HYPERLINK("http://141.218.60.56/~jnz1568/getInfo.php?workbook=10_05.xlsx&amp;sheet=A0&amp;row=5218&amp;col=6&amp;number=17900000&amp;sourceID=14","17900000")</f>
        <v>17900000</v>
      </c>
      <c r="G5218" s="4" t="str">
        <f>HYPERLINK("http://141.218.60.56/~jnz1568/getInfo.php?workbook=10_05.xlsx&amp;sheet=A0&amp;row=5218&amp;col=7&amp;number=0&amp;sourceID=14","0")</f>
        <v>0</v>
      </c>
    </row>
    <row r="5219" spans="1:7">
      <c r="A5219" s="3">
        <v>10</v>
      </c>
      <c r="B5219" s="3">
        <v>5</v>
      </c>
      <c r="C5219" s="3">
        <v>167</v>
      </c>
      <c r="D5219" s="3">
        <v>129</v>
      </c>
      <c r="E5219" s="3">
        <v>-1095.496</v>
      </c>
      <c r="F5219" s="4" t="str">
        <f>HYPERLINK("http://141.218.60.56/~jnz1568/getInfo.php?workbook=10_05.xlsx&amp;sheet=A0&amp;row=5219&amp;col=6&amp;number=914000&amp;sourceID=14","914000")</f>
        <v>914000</v>
      </c>
      <c r="G5219" s="4" t="str">
        <f>HYPERLINK("http://141.218.60.56/~jnz1568/getInfo.php?workbook=10_05.xlsx&amp;sheet=A0&amp;row=5219&amp;col=7&amp;number=0&amp;sourceID=14","0")</f>
        <v>0</v>
      </c>
    </row>
    <row r="5220" spans="1:7">
      <c r="A5220" s="3">
        <v>10</v>
      </c>
      <c r="B5220" s="3">
        <v>5</v>
      </c>
      <c r="C5220" s="3">
        <v>176</v>
      </c>
      <c r="D5220" s="3">
        <v>129</v>
      </c>
      <c r="E5220" s="3">
        <v>-814.606</v>
      </c>
      <c r="F5220" s="4" t="str">
        <f>HYPERLINK("http://141.218.60.56/~jnz1568/getInfo.php?workbook=10_05.xlsx&amp;sheet=A0&amp;row=5220&amp;col=6&amp;number=554000&amp;sourceID=14","554000")</f>
        <v>554000</v>
      </c>
      <c r="G5220" s="4" t="str">
        <f>HYPERLINK("http://141.218.60.56/~jnz1568/getInfo.php?workbook=10_05.xlsx&amp;sheet=A0&amp;row=5220&amp;col=7&amp;number=0&amp;sourceID=14","0")</f>
        <v>0</v>
      </c>
    </row>
    <row r="5221" spans="1:7">
      <c r="A5221" s="3">
        <v>10</v>
      </c>
      <c r="B5221" s="3">
        <v>5</v>
      </c>
      <c r="C5221" s="3">
        <v>177</v>
      </c>
      <c r="D5221" s="3">
        <v>129</v>
      </c>
      <c r="E5221" s="3">
        <v>-808.736</v>
      </c>
      <c r="F5221" s="4" t="str">
        <f>HYPERLINK("http://141.218.60.56/~jnz1568/getInfo.php?workbook=10_05.xlsx&amp;sheet=A0&amp;row=5221&amp;col=6&amp;number=22200000&amp;sourceID=14","22200000")</f>
        <v>22200000</v>
      </c>
      <c r="G5221" s="4" t="str">
        <f>HYPERLINK("http://141.218.60.56/~jnz1568/getInfo.php?workbook=10_05.xlsx&amp;sheet=A0&amp;row=5221&amp;col=7&amp;number=0&amp;sourceID=14","0")</f>
        <v>0</v>
      </c>
    </row>
    <row r="5222" spans="1:7">
      <c r="A5222" s="3">
        <v>10</v>
      </c>
      <c r="B5222" s="3">
        <v>5</v>
      </c>
      <c r="C5222" s="3">
        <v>178</v>
      </c>
      <c r="D5222" s="3">
        <v>129</v>
      </c>
      <c r="E5222" s="3">
        <v>-808.448</v>
      </c>
      <c r="F5222" s="4" t="str">
        <f>HYPERLINK("http://141.218.60.56/~jnz1568/getInfo.php?workbook=10_05.xlsx&amp;sheet=A0&amp;row=5222&amp;col=6&amp;number=1910000&amp;sourceID=14","1910000")</f>
        <v>1910000</v>
      </c>
      <c r="G5222" s="4" t="str">
        <f>HYPERLINK("http://141.218.60.56/~jnz1568/getInfo.php?workbook=10_05.xlsx&amp;sheet=A0&amp;row=5222&amp;col=7&amp;number=0&amp;sourceID=14","0")</f>
        <v>0</v>
      </c>
    </row>
    <row r="5223" spans="1:7">
      <c r="A5223" s="3">
        <v>10</v>
      </c>
      <c r="B5223" s="3">
        <v>5</v>
      </c>
      <c r="C5223" s="3">
        <v>179</v>
      </c>
      <c r="D5223" s="3">
        <v>129</v>
      </c>
      <c r="E5223" s="3">
        <v>-782.811</v>
      </c>
      <c r="F5223" s="4" t="str">
        <f>HYPERLINK("http://141.218.60.56/~jnz1568/getInfo.php?workbook=10_05.xlsx&amp;sheet=A0&amp;row=5223&amp;col=6&amp;number=1110000&amp;sourceID=14","1110000")</f>
        <v>1110000</v>
      </c>
      <c r="G5223" s="4" t="str">
        <f>HYPERLINK("http://141.218.60.56/~jnz1568/getInfo.php?workbook=10_05.xlsx&amp;sheet=A0&amp;row=5223&amp;col=7&amp;number=0&amp;sourceID=14","0")</f>
        <v>0</v>
      </c>
    </row>
    <row r="5224" spans="1:7">
      <c r="A5224" s="3">
        <v>10</v>
      </c>
      <c r="B5224" s="3">
        <v>5</v>
      </c>
      <c r="C5224" s="3">
        <v>180</v>
      </c>
      <c r="D5224" s="3">
        <v>129</v>
      </c>
      <c r="E5224" s="3">
        <v>-782.584</v>
      </c>
      <c r="F5224" s="4" t="str">
        <f>HYPERLINK("http://141.218.60.56/~jnz1568/getInfo.php?workbook=10_05.xlsx&amp;sheet=A0&amp;row=5224&amp;col=6&amp;number=952000&amp;sourceID=14","952000")</f>
        <v>952000</v>
      </c>
      <c r="G5224" s="4" t="str">
        <f>HYPERLINK("http://141.218.60.56/~jnz1568/getInfo.php?workbook=10_05.xlsx&amp;sheet=A0&amp;row=5224&amp;col=7&amp;number=0&amp;sourceID=14","0")</f>
        <v>0</v>
      </c>
    </row>
    <row r="5225" spans="1:7">
      <c r="A5225" s="3">
        <v>10</v>
      </c>
      <c r="B5225" s="3">
        <v>5</v>
      </c>
      <c r="C5225" s="3">
        <v>134</v>
      </c>
      <c r="D5225" s="3">
        <v>130</v>
      </c>
      <c r="E5225" s="3">
        <v>-49800.888</v>
      </c>
      <c r="F5225" s="4" t="str">
        <f>HYPERLINK("http://141.218.60.56/~jnz1568/getInfo.php?workbook=10_05.xlsx&amp;sheet=A0&amp;row=5225&amp;col=6&amp;number=0.455&amp;sourceID=14","0.455")</f>
        <v>0.455</v>
      </c>
      <c r="G5225" s="4" t="str">
        <f>HYPERLINK("http://141.218.60.56/~jnz1568/getInfo.php?workbook=10_05.xlsx&amp;sheet=A0&amp;row=5225&amp;col=7&amp;number=0&amp;sourceID=14","0")</f>
        <v>0</v>
      </c>
    </row>
    <row r="5226" spans="1:7">
      <c r="A5226" s="3">
        <v>10</v>
      </c>
      <c r="B5226" s="3">
        <v>5</v>
      </c>
      <c r="C5226" s="3">
        <v>135</v>
      </c>
      <c r="D5226" s="3">
        <v>130</v>
      </c>
      <c r="E5226" s="3">
        <v>-44464.288</v>
      </c>
      <c r="F5226" s="4" t="str">
        <f>HYPERLINK("http://141.218.60.56/~jnz1568/getInfo.php?workbook=10_05.xlsx&amp;sheet=A0&amp;row=5226&amp;col=6&amp;number=1.39&amp;sourceID=14","1.39")</f>
        <v>1.39</v>
      </c>
      <c r="G5226" s="4" t="str">
        <f>HYPERLINK("http://141.218.60.56/~jnz1568/getInfo.php?workbook=10_05.xlsx&amp;sheet=A0&amp;row=5226&amp;col=7&amp;number=0&amp;sourceID=14","0")</f>
        <v>0</v>
      </c>
    </row>
    <row r="5227" spans="1:7">
      <c r="A5227" s="3">
        <v>10</v>
      </c>
      <c r="B5227" s="3">
        <v>5</v>
      </c>
      <c r="C5227" s="3">
        <v>136</v>
      </c>
      <c r="D5227" s="3">
        <v>130</v>
      </c>
      <c r="E5227" s="3">
        <v>-38299.573</v>
      </c>
      <c r="F5227" s="4" t="str">
        <f>HYPERLINK("http://141.218.60.56/~jnz1568/getInfo.php?workbook=10_05.xlsx&amp;sheet=A0&amp;row=5227&amp;col=6&amp;number=5.79&amp;sourceID=14","5.79")</f>
        <v>5.79</v>
      </c>
      <c r="G5227" s="4" t="str">
        <f>HYPERLINK("http://141.218.60.56/~jnz1568/getInfo.php?workbook=10_05.xlsx&amp;sheet=A0&amp;row=5227&amp;col=7&amp;number=0&amp;sourceID=14","0")</f>
        <v>0</v>
      </c>
    </row>
    <row r="5228" spans="1:7">
      <c r="A5228" s="3">
        <v>10</v>
      </c>
      <c r="B5228" s="3">
        <v>5</v>
      </c>
      <c r="C5228" s="3">
        <v>142</v>
      </c>
      <c r="D5228" s="3">
        <v>130</v>
      </c>
      <c r="E5228" s="3">
        <v>14265.361</v>
      </c>
      <c r="F5228" s="4" t="str">
        <f>HYPERLINK("http://141.218.60.56/~jnz1568/getInfo.php?workbook=10_05.xlsx&amp;sheet=A0&amp;row=5228&amp;col=6&amp;number=2670&amp;sourceID=14","2670")</f>
        <v>2670</v>
      </c>
      <c r="G5228" s="4" t="str">
        <f>HYPERLINK("http://141.218.60.56/~jnz1568/getInfo.php?workbook=10_05.xlsx&amp;sheet=A0&amp;row=5228&amp;col=7&amp;number=0&amp;sourceID=14","0")</f>
        <v>0</v>
      </c>
    </row>
    <row r="5229" spans="1:7">
      <c r="A5229" s="3">
        <v>10</v>
      </c>
      <c r="B5229" s="3">
        <v>5</v>
      </c>
      <c r="C5229" s="3">
        <v>143</v>
      </c>
      <c r="D5229" s="3">
        <v>130</v>
      </c>
      <c r="E5229" s="3">
        <v>13774.13</v>
      </c>
      <c r="F5229" s="4" t="str">
        <f>HYPERLINK("http://141.218.60.56/~jnz1568/getInfo.php?workbook=10_05.xlsx&amp;sheet=A0&amp;row=5229&amp;col=6&amp;number=19100&amp;sourceID=14","19100")</f>
        <v>19100</v>
      </c>
      <c r="G5229" s="4" t="str">
        <f>HYPERLINK("http://141.218.60.56/~jnz1568/getInfo.php?workbook=10_05.xlsx&amp;sheet=A0&amp;row=5229&amp;col=7&amp;number=0&amp;sourceID=14","0")</f>
        <v>0</v>
      </c>
    </row>
    <row r="5230" spans="1:7">
      <c r="A5230" s="3">
        <v>10</v>
      </c>
      <c r="B5230" s="3">
        <v>5</v>
      </c>
      <c r="C5230" s="3">
        <v>144</v>
      </c>
      <c r="D5230" s="3">
        <v>130</v>
      </c>
      <c r="E5230" s="3">
        <v>13404.85</v>
      </c>
      <c r="F5230" s="4" t="str">
        <f>HYPERLINK("http://141.218.60.56/~jnz1568/getInfo.php?workbook=10_05.xlsx&amp;sheet=A0&amp;row=5230&amp;col=6&amp;number=319000&amp;sourceID=14","319000")</f>
        <v>319000</v>
      </c>
      <c r="G5230" s="4" t="str">
        <f>HYPERLINK("http://141.218.60.56/~jnz1568/getInfo.php?workbook=10_05.xlsx&amp;sheet=A0&amp;row=5230&amp;col=7&amp;number=0&amp;sourceID=14","0")</f>
        <v>0</v>
      </c>
    </row>
    <row r="5231" spans="1:7">
      <c r="A5231" s="3">
        <v>10</v>
      </c>
      <c r="B5231" s="3">
        <v>5</v>
      </c>
      <c r="C5231" s="3">
        <v>145</v>
      </c>
      <c r="D5231" s="3">
        <v>130</v>
      </c>
      <c r="E5231" s="3">
        <v>11947.453</v>
      </c>
      <c r="F5231" s="4" t="str">
        <f>HYPERLINK("http://141.218.60.56/~jnz1568/getInfo.php?workbook=10_05.xlsx&amp;sheet=A0&amp;row=5231&amp;col=6&amp;number=120&amp;sourceID=14","120")</f>
        <v>120</v>
      </c>
      <c r="G5231" s="4" t="str">
        <f>HYPERLINK("http://141.218.60.56/~jnz1568/getInfo.php?workbook=10_05.xlsx&amp;sheet=A0&amp;row=5231&amp;col=7&amp;number=0&amp;sourceID=14","0")</f>
        <v>0</v>
      </c>
    </row>
    <row r="5232" spans="1:7">
      <c r="A5232" s="3">
        <v>10</v>
      </c>
      <c r="B5232" s="3">
        <v>5</v>
      </c>
      <c r="C5232" s="3">
        <v>146</v>
      </c>
      <c r="D5232" s="3">
        <v>130</v>
      </c>
      <c r="E5232" s="3">
        <v>11947.453</v>
      </c>
      <c r="F5232" s="4" t="str">
        <f>HYPERLINK("http://141.218.60.56/~jnz1568/getInfo.php?workbook=10_05.xlsx&amp;sheet=A0&amp;row=5232&amp;col=6&amp;number=484000&amp;sourceID=14","484000")</f>
        <v>484000</v>
      </c>
      <c r="G5232" s="4" t="str">
        <f>HYPERLINK("http://141.218.60.56/~jnz1568/getInfo.php?workbook=10_05.xlsx&amp;sheet=A0&amp;row=5232&amp;col=7&amp;number=0&amp;sourceID=14","0")</f>
        <v>0</v>
      </c>
    </row>
    <row r="5233" spans="1:7">
      <c r="A5233" s="3">
        <v>10</v>
      </c>
      <c r="B5233" s="3">
        <v>5</v>
      </c>
      <c r="C5233" s="3">
        <v>147</v>
      </c>
      <c r="D5233" s="3">
        <v>130</v>
      </c>
      <c r="E5233" s="3">
        <v>11160.735</v>
      </c>
      <c r="F5233" s="4" t="str">
        <f>HYPERLINK("http://141.218.60.56/~jnz1568/getInfo.php?workbook=10_05.xlsx&amp;sheet=A0&amp;row=5233&amp;col=6&amp;number=661000&amp;sourceID=14","661000")</f>
        <v>661000</v>
      </c>
      <c r="G5233" s="4" t="str">
        <f>HYPERLINK("http://141.218.60.56/~jnz1568/getInfo.php?workbook=10_05.xlsx&amp;sheet=A0&amp;row=5233&amp;col=7&amp;number=0&amp;sourceID=14","0")</f>
        <v>0</v>
      </c>
    </row>
    <row r="5234" spans="1:7">
      <c r="A5234" s="3">
        <v>10</v>
      </c>
      <c r="B5234" s="3">
        <v>5</v>
      </c>
      <c r="C5234" s="3">
        <v>148</v>
      </c>
      <c r="D5234" s="3">
        <v>130</v>
      </c>
      <c r="E5234" s="3">
        <v>11037.548</v>
      </c>
      <c r="F5234" s="4" t="str">
        <f>HYPERLINK("http://141.218.60.56/~jnz1568/getInfo.php?workbook=10_05.xlsx&amp;sheet=A0&amp;row=5234&amp;col=6&amp;number=262000&amp;sourceID=14","262000")</f>
        <v>262000</v>
      </c>
      <c r="G5234" s="4" t="str">
        <f>HYPERLINK("http://141.218.60.56/~jnz1568/getInfo.php?workbook=10_05.xlsx&amp;sheet=A0&amp;row=5234&amp;col=7&amp;number=0&amp;sourceID=14","0")</f>
        <v>0</v>
      </c>
    </row>
    <row r="5235" spans="1:7">
      <c r="A5235" s="3">
        <v>10</v>
      </c>
      <c r="B5235" s="3">
        <v>5</v>
      </c>
      <c r="C5235" s="3">
        <v>152</v>
      </c>
      <c r="D5235" s="3">
        <v>130</v>
      </c>
      <c r="E5235" s="3">
        <v>6887.065</v>
      </c>
      <c r="F5235" s="4" t="str">
        <f>HYPERLINK("http://141.218.60.56/~jnz1568/getInfo.php?workbook=10_05.xlsx&amp;sheet=A0&amp;row=5235&amp;col=6&amp;number=1440000&amp;sourceID=14","1440000")</f>
        <v>1440000</v>
      </c>
      <c r="G5235" s="4" t="str">
        <f>HYPERLINK("http://141.218.60.56/~jnz1568/getInfo.php?workbook=10_05.xlsx&amp;sheet=A0&amp;row=5235&amp;col=7&amp;number=0&amp;sourceID=14","0")</f>
        <v>0</v>
      </c>
    </row>
    <row r="5236" spans="1:7">
      <c r="A5236" s="3">
        <v>10</v>
      </c>
      <c r="B5236" s="3">
        <v>5</v>
      </c>
      <c r="C5236" s="3">
        <v>153</v>
      </c>
      <c r="D5236" s="3">
        <v>130</v>
      </c>
      <c r="E5236" s="3">
        <v>6527.427</v>
      </c>
      <c r="F5236" s="4" t="str">
        <f>HYPERLINK("http://141.218.60.56/~jnz1568/getInfo.php?workbook=10_05.xlsx&amp;sheet=A0&amp;row=5236&amp;col=6&amp;number=21400000&amp;sourceID=14","21400000")</f>
        <v>21400000</v>
      </c>
      <c r="G5236" s="4" t="str">
        <f>HYPERLINK("http://141.218.60.56/~jnz1568/getInfo.php?workbook=10_05.xlsx&amp;sheet=A0&amp;row=5236&amp;col=7&amp;number=0&amp;sourceID=14","0")</f>
        <v>0</v>
      </c>
    </row>
    <row r="5237" spans="1:7">
      <c r="A5237" s="3">
        <v>10</v>
      </c>
      <c r="B5237" s="3">
        <v>5</v>
      </c>
      <c r="C5237" s="3">
        <v>158</v>
      </c>
      <c r="D5237" s="3">
        <v>130</v>
      </c>
      <c r="E5237" s="3">
        <v>-5929.099</v>
      </c>
      <c r="F5237" s="4" t="str">
        <f>HYPERLINK("http://141.218.60.56/~jnz1568/getInfo.php?workbook=10_05.xlsx&amp;sheet=A0&amp;row=5237&amp;col=6&amp;number=1680000&amp;sourceID=14","1680000")</f>
        <v>1680000</v>
      </c>
      <c r="G5237" s="4" t="str">
        <f>HYPERLINK("http://141.218.60.56/~jnz1568/getInfo.php?workbook=10_05.xlsx&amp;sheet=A0&amp;row=5237&amp;col=7&amp;number=0&amp;sourceID=14","0")</f>
        <v>0</v>
      </c>
    </row>
    <row r="5238" spans="1:7">
      <c r="A5238" s="3">
        <v>10</v>
      </c>
      <c r="B5238" s="3">
        <v>5</v>
      </c>
      <c r="C5238" s="3">
        <v>165</v>
      </c>
      <c r="D5238" s="3">
        <v>130</v>
      </c>
      <c r="E5238" s="3">
        <v>-1573.394</v>
      </c>
      <c r="F5238" s="4" t="str">
        <f>HYPERLINK("http://141.218.60.56/~jnz1568/getInfo.php?workbook=10_05.xlsx&amp;sheet=A0&amp;row=5238&amp;col=6&amp;number=229000&amp;sourceID=14","229000")</f>
        <v>229000</v>
      </c>
      <c r="G5238" s="4" t="str">
        <f>HYPERLINK("http://141.218.60.56/~jnz1568/getInfo.php?workbook=10_05.xlsx&amp;sheet=A0&amp;row=5238&amp;col=7&amp;number=0&amp;sourceID=14","0")</f>
        <v>0</v>
      </c>
    </row>
    <row r="5239" spans="1:7">
      <c r="A5239" s="3">
        <v>10</v>
      </c>
      <c r="B5239" s="3">
        <v>5</v>
      </c>
      <c r="C5239" s="3">
        <v>167</v>
      </c>
      <c r="D5239" s="3">
        <v>130</v>
      </c>
      <c r="E5239" s="3">
        <v>-1102.793</v>
      </c>
      <c r="F5239" s="4" t="str">
        <f>HYPERLINK("http://141.218.60.56/~jnz1568/getInfo.php?workbook=10_05.xlsx&amp;sheet=A0&amp;row=5239&amp;col=6&amp;number=11800000&amp;sourceID=14","11800000")</f>
        <v>11800000</v>
      </c>
      <c r="G5239" s="4" t="str">
        <f>HYPERLINK("http://141.218.60.56/~jnz1568/getInfo.php?workbook=10_05.xlsx&amp;sheet=A0&amp;row=5239&amp;col=7&amp;number=0&amp;sourceID=14","0")</f>
        <v>0</v>
      </c>
    </row>
    <row r="5240" spans="1:7">
      <c r="A5240" s="3">
        <v>10</v>
      </c>
      <c r="B5240" s="3">
        <v>5</v>
      </c>
      <c r="C5240" s="3">
        <v>175</v>
      </c>
      <c r="D5240" s="3">
        <v>130</v>
      </c>
      <c r="E5240" s="3">
        <v>-818.64</v>
      </c>
      <c r="F5240" s="4" t="str">
        <f>HYPERLINK("http://141.218.60.56/~jnz1568/getInfo.php?workbook=10_05.xlsx&amp;sheet=A0&amp;row=5240&amp;col=6&amp;number=384000&amp;sourceID=14","384000")</f>
        <v>384000</v>
      </c>
      <c r="G5240" s="4" t="str">
        <f>HYPERLINK("http://141.218.60.56/~jnz1568/getInfo.php?workbook=10_05.xlsx&amp;sheet=A0&amp;row=5240&amp;col=7&amp;number=0&amp;sourceID=14","0")</f>
        <v>0</v>
      </c>
    </row>
    <row r="5241" spans="1:7">
      <c r="A5241" s="3">
        <v>10</v>
      </c>
      <c r="B5241" s="3">
        <v>5</v>
      </c>
      <c r="C5241" s="3">
        <v>176</v>
      </c>
      <c r="D5241" s="3">
        <v>130</v>
      </c>
      <c r="E5241" s="3">
        <v>-818.634</v>
      </c>
      <c r="F5241" s="4" t="str">
        <f>HYPERLINK("http://141.218.60.56/~jnz1568/getInfo.php?workbook=10_05.xlsx&amp;sheet=A0&amp;row=5241&amp;col=6&amp;number=39100&amp;sourceID=14","39100")</f>
        <v>39100</v>
      </c>
      <c r="G5241" s="4" t="str">
        <f>HYPERLINK("http://141.218.60.56/~jnz1568/getInfo.php?workbook=10_05.xlsx&amp;sheet=A0&amp;row=5241&amp;col=7&amp;number=0&amp;sourceID=14","0")</f>
        <v>0</v>
      </c>
    </row>
    <row r="5242" spans="1:7">
      <c r="A5242" s="3">
        <v>10</v>
      </c>
      <c r="B5242" s="3">
        <v>5</v>
      </c>
      <c r="C5242" s="3">
        <v>177</v>
      </c>
      <c r="D5242" s="3">
        <v>130</v>
      </c>
      <c r="E5242" s="3">
        <v>-812.706</v>
      </c>
      <c r="F5242" s="4" t="str">
        <f>HYPERLINK("http://141.218.60.56/~jnz1568/getInfo.php?workbook=10_05.xlsx&amp;sheet=A0&amp;row=5242&amp;col=6&amp;number=2010000&amp;sourceID=14","2010000")</f>
        <v>2010000</v>
      </c>
      <c r="G5242" s="4" t="str">
        <f>HYPERLINK("http://141.218.60.56/~jnz1568/getInfo.php?workbook=10_05.xlsx&amp;sheet=A0&amp;row=5242&amp;col=7&amp;number=0&amp;sourceID=14","0")</f>
        <v>0</v>
      </c>
    </row>
    <row r="5243" spans="1:7">
      <c r="A5243" s="3">
        <v>10</v>
      </c>
      <c r="B5243" s="3">
        <v>5</v>
      </c>
      <c r="C5243" s="3">
        <v>178</v>
      </c>
      <c r="D5243" s="3">
        <v>130</v>
      </c>
      <c r="E5243" s="3">
        <v>-812.415</v>
      </c>
      <c r="F5243" s="4" t="str">
        <f>HYPERLINK("http://141.218.60.56/~jnz1568/getInfo.php?workbook=10_05.xlsx&amp;sheet=A0&amp;row=5243&amp;col=6&amp;number=18500000&amp;sourceID=14","18500000")</f>
        <v>18500000</v>
      </c>
      <c r="G5243" s="4" t="str">
        <f>HYPERLINK("http://141.218.60.56/~jnz1568/getInfo.php?workbook=10_05.xlsx&amp;sheet=A0&amp;row=5243&amp;col=7&amp;number=0&amp;sourceID=14","0")</f>
        <v>0</v>
      </c>
    </row>
    <row r="5244" spans="1:7">
      <c r="A5244" s="3">
        <v>10</v>
      </c>
      <c r="B5244" s="3">
        <v>5</v>
      </c>
      <c r="C5244" s="3">
        <v>180</v>
      </c>
      <c r="D5244" s="3">
        <v>130</v>
      </c>
      <c r="E5244" s="3">
        <v>-786.301</v>
      </c>
      <c r="F5244" s="4" t="str">
        <f>HYPERLINK("http://141.218.60.56/~jnz1568/getInfo.php?workbook=10_05.xlsx&amp;sheet=A0&amp;row=5244&amp;col=6&amp;number=1400000&amp;sourceID=14","1400000")</f>
        <v>1400000</v>
      </c>
      <c r="G5244" s="4" t="str">
        <f>HYPERLINK("http://141.218.60.56/~jnz1568/getInfo.php?workbook=10_05.xlsx&amp;sheet=A0&amp;row=5244&amp;col=7&amp;number=0&amp;sourceID=14","0")</f>
        <v>0</v>
      </c>
    </row>
    <row r="5245" spans="1:7">
      <c r="A5245" s="3">
        <v>10</v>
      </c>
      <c r="B5245" s="3">
        <v>5</v>
      </c>
      <c r="C5245" s="3">
        <v>134</v>
      </c>
      <c r="D5245" s="3">
        <v>131</v>
      </c>
      <c r="E5245" s="3">
        <v>-58651.134</v>
      </c>
      <c r="F5245" s="4" t="str">
        <f>HYPERLINK("http://141.218.60.56/~jnz1568/getInfo.php?workbook=10_05.xlsx&amp;sheet=A0&amp;row=5245&amp;col=6&amp;number=1.81&amp;sourceID=14","1.81")</f>
        <v>1.81</v>
      </c>
      <c r="G5245" s="4" t="str">
        <f>HYPERLINK("http://141.218.60.56/~jnz1568/getInfo.php?workbook=10_05.xlsx&amp;sheet=A0&amp;row=5245&amp;col=7&amp;number=0&amp;sourceID=14","0")</f>
        <v>0</v>
      </c>
    </row>
    <row r="5246" spans="1:7">
      <c r="A5246" s="3">
        <v>10</v>
      </c>
      <c r="B5246" s="3">
        <v>5</v>
      </c>
      <c r="C5246" s="3">
        <v>141</v>
      </c>
      <c r="D5246" s="3">
        <v>131</v>
      </c>
      <c r="E5246" s="3">
        <v>-15595.787</v>
      </c>
      <c r="F5246" s="4" t="str">
        <f>HYPERLINK("http://141.218.60.56/~jnz1568/getInfo.php?workbook=10_05.xlsx&amp;sheet=A0&amp;row=5246&amp;col=6&amp;number=1020000&amp;sourceID=14","1020000")</f>
        <v>1020000</v>
      </c>
      <c r="G5246" s="4" t="str">
        <f>HYPERLINK("http://141.218.60.56/~jnz1568/getInfo.php?workbook=10_05.xlsx&amp;sheet=A0&amp;row=5246&amp;col=7&amp;number=0&amp;sourceID=14","0")</f>
        <v>0</v>
      </c>
    </row>
    <row r="5247" spans="1:7">
      <c r="A5247" s="3">
        <v>10</v>
      </c>
      <c r="B5247" s="3">
        <v>5</v>
      </c>
      <c r="C5247" s="3">
        <v>142</v>
      </c>
      <c r="D5247" s="3">
        <v>131</v>
      </c>
      <c r="E5247" s="3">
        <v>-15489.496</v>
      </c>
      <c r="F5247" s="4" t="str">
        <f>HYPERLINK("http://141.218.60.56/~jnz1568/getInfo.php?workbook=10_05.xlsx&amp;sheet=A0&amp;row=5247&amp;col=6&amp;number=593000&amp;sourceID=14","593000")</f>
        <v>593000</v>
      </c>
      <c r="G5247" s="4" t="str">
        <f>HYPERLINK("http://141.218.60.56/~jnz1568/getInfo.php?workbook=10_05.xlsx&amp;sheet=A0&amp;row=5247&amp;col=7&amp;number=0&amp;sourceID=14","0")</f>
        <v>0</v>
      </c>
    </row>
    <row r="5248" spans="1:7">
      <c r="A5248" s="3">
        <v>10</v>
      </c>
      <c r="B5248" s="3">
        <v>5</v>
      </c>
      <c r="C5248" s="3">
        <v>145</v>
      </c>
      <c r="D5248" s="3">
        <v>131</v>
      </c>
      <c r="E5248" s="3">
        <v>-12810.682</v>
      </c>
      <c r="F5248" s="4" t="str">
        <f>HYPERLINK("http://141.218.60.56/~jnz1568/getInfo.php?workbook=10_05.xlsx&amp;sheet=A0&amp;row=5248&amp;col=6&amp;number=84400&amp;sourceID=14","84400")</f>
        <v>84400</v>
      </c>
      <c r="G5248" s="4" t="str">
        <f>HYPERLINK("http://141.218.60.56/~jnz1568/getInfo.php?workbook=10_05.xlsx&amp;sheet=A0&amp;row=5248&amp;col=7&amp;number=0&amp;sourceID=14","0")</f>
        <v>0</v>
      </c>
    </row>
    <row r="5249" spans="1:7">
      <c r="A5249" s="3">
        <v>10</v>
      </c>
      <c r="B5249" s="3">
        <v>5</v>
      </c>
      <c r="C5249" s="3">
        <v>148</v>
      </c>
      <c r="D5249" s="3">
        <v>131</v>
      </c>
      <c r="E5249" s="3">
        <v>-11753.665</v>
      </c>
      <c r="F5249" s="4" t="str">
        <f>HYPERLINK("http://141.218.60.56/~jnz1568/getInfo.php?workbook=10_05.xlsx&amp;sheet=A0&amp;row=5249&amp;col=6&amp;number=100000&amp;sourceID=14","100000")</f>
        <v>100000</v>
      </c>
      <c r="G5249" s="4" t="str">
        <f>HYPERLINK("http://141.218.60.56/~jnz1568/getInfo.php?workbook=10_05.xlsx&amp;sheet=A0&amp;row=5249&amp;col=7&amp;number=0&amp;sourceID=14","0")</f>
        <v>0</v>
      </c>
    </row>
    <row r="5250" spans="1:7">
      <c r="A5250" s="3">
        <v>10</v>
      </c>
      <c r="B5250" s="3">
        <v>5</v>
      </c>
      <c r="C5250" s="3">
        <v>149</v>
      </c>
      <c r="D5250" s="3">
        <v>131</v>
      </c>
      <c r="E5250" s="3">
        <v>-11618.471</v>
      </c>
      <c r="F5250" s="4" t="str">
        <f>HYPERLINK("http://141.218.60.56/~jnz1568/getInfo.php?workbook=10_05.xlsx&amp;sheet=A0&amp;row=5250&amp;col=6&amp;number=84100&amp;sourceID=14","84100")</f>
        <v>84100</v>
      </c>
      <c r="G5250" s="4" t="str">
        <f>HYPERLINK("http://141.218.60.56/~jnz1568/getInfo.php?workbook=10_05.xlsx&amp;sheet=A0&amp;row=5250&amp;col=7&amp;number=0&amp;sourceID=14","0")</f>
        <v>0</v>
      </c>
    </row>
    <row r="5251" spans="1:7">
      <c r="A5251" s="3">
        <v>10</v>
      </c>
      <c r="B5251" s="3">
        <v>5</v>
      </c>
      <c r="C5251" s="3">
        <v>158</v>
      </c>
      <c r="D5251" s="3">
        <v>131</v>
      </c>
      <c r="E5251" s="3">
        <v>-6037.565</v>
      </c>
      <c r="F5251" s="4" t="str">
        <f>HYPERLINK("http://141.218.60.56/~jnz1568/getInfo.php?workbook=10_05.xlsx&amp;sheet=A0&amp;row=5251&amp;col=6&amp;number=14000&amp;sourceID=14","14000")</f>
        <v>14000</v>
      </c>
      <c r="G5251" s="4" t="str">
        <f>HYPERLINK("http://141.218.60.56/~jnz1568/getInfo.php?workbook=10_05.xlsx&amp;sheet=A0&amp;row=5251&amp;col=7&amp;number=0&amp;sourceID=14","0")</f>
        <v>0</v>
      </c>
    </row>
    <row r="5252" spans="1:7">
      <c r="A5252" s="3">
        <v>10</v>
      </c>
      <c r="B5252" s="3">
        <v>5</v>
      </c>
      <c r="C5252" s="3">
        <v>159</v>
      </c>
      <c r="D5252" s="3">
        <v>131</v>
      </c>
      <c r="E5252" s="3">
        <v>-5885.48</v>
      </c>
      <c r="F5252" s="4" t="str">
        <f>HYPERLINK("http://141.218.60.56/~jnz1568/getInfo.php?workbook=10_05.xlsx&amp;sheet=A0&amp;row=5252&amp;col=6&amp;number=264&amp;sourceID=14","264")</f>
        <v>264</v>
      </c>
      <c r="G5252" s="4" t="str">
        <f>HYPERLINK("http://141.218.60.56/~jnz1568/getInfo.php?workbook=10_05.xlsx&amp;sheet=A0&amp;row=5252&amp;col=7&amp;number=0&amp;sourceID=14","0")</f>
        <v>0</v>
      </c>
    </row>
    <row r="5253" spans="1:7">
      <c r="A5253" s="3">
        <v>10</v>
      </c>
      <c r="B5253" s="3">
        <v>5</v>
      </c>
      <c r="C5253" s="3">
        <v>164</v>
      </c>
      <c r="D5253" s="3">
        <v>131</v>
      </c>
      <c r="E5253" s="3">
        <v>-1584.362</v>
      </c>
      <c r="F5253" s="4" t="str">
        <f>HYPERLINK("http://141.218.60.56/~jnz1568/getInfo.php?workbook=10_05.xlsx&amp;sheet=A0&amp;row=5253&amp;col=6&amp;number=93100&amp;sourceID=14","93100")</f>
        <v>93100</v>
      </c>
      <c r="G5253" s="4" t="str">
        <f>HYPERLINK("http://141.218.60.56/~jnz1568/getInfo.php?workbook=10_05.xlsx&amp;sheet=A0&amp;row=5253&amp;col=7&amp;number=0&amp;sourceID=14","0")</f>
        <v>0</v>
      </c>
    </row>
    <row r="5254" spans="1:7">
      <c r="A5254" s="3">
        <v>10</v>
      </c>
      <c r="B5254" s="3">
        <v>5</v>
      </c>
      <c r="C5254" s="3">
        <v>165</v>
      </c>
      <c r="D5254" s="3">
        <v>131</v>
      </c>
      <c r="E5254" s="3">
        <v>-1580.931</v>
      </c>
      <c r="F5254" s="4" t="str">
        <f>HYPERLINK("http://141.218.60.56/~jnz1568/getInfo.php?workbook=10_05.xlsx&amp;sheet=A0&amp;row=5254&amp;col=6&amp;number=86600&amp;sourceID=14","86600")</f>
        <v>86600</v>
      </c>
      <c r="G5254" s="4" t="str">
        <f>HYPERLINK("http://141.218.60.56/~jnz1568/getInfo.php?workbook=10_05.xlsx&amp;sheet=A0&amp;row=5254&amp;col=7&amp;number=0&amp;sourceID=14","0")</f>
        <v>0</v>
      </c>
    </row>
    <row r="5255" spans="1:7">
      <c r="A5255" s="3">
        <v>10</v>
      </c>
      <c r="B5255" s="3">
        <v>5</v>
      </c>
      <c r="C5255" s="3">
        <v>166</v>
      </c>
      <c r="D5255" s="3">
        <v>131</v>
      </c>
      <c r="E5255" s="3">
        <v>-1107.005</v>
      </c>
      <c r="F5255" s="4" t="str">
        <f>HYPERLINK("http://141.218.60.56/~jnz1568/getInfo.php?workbook=10_05.xlsx&amp;sheet=A0&amp;row=5255&amp;col=6&amp;number=462&amp;sourceID=14","462")</f>
        <v>462</v>
      </c>
      <c r="G5255" s="4" t="str">
        <f>HYPERLINK("http://141.218.60.56/~jnz1568/getInfo.php?workbook=10_05.xlsx&amp;sheet=A0&amp;row=5255&amp;col=7&amp;number=0&amp;sourceID=14","0")</f>
        <v>0</v>
      </c>
    </row>
    <row r="5256" spans="1:7">
      <c r="A5256" s="3">
        <v>10</v>
      </c>
      <c r="B5256" s="3">
        <v>5</v>
      </c>
      <c r="C5256" s="3">
        <v>167</v>
      </c>
      <c r="D5256" s="3">
        <v>131</v>
      </c>
      <c r="E5256" s="3">
        <v>-1106.49</v>
      </c>
      <c r="F5256" s="4" t="str">
        <f>HYPERLINK("http://141.218.60.56/~jnz1568/getInfo.php?workbook=10_05.xlsx&amp;sheet=A0&amp;row=5256&amp;col=6&amp;number=10700&amp;sourceID=14","10700")</f>
        <v>10700</v>
      </c>
      <c r="G5256" s="4" t="str">
        <f>HYPERLINK("http://141.218.60.56/~jnz1568/getInfo.php?workbook=10_05.xlsx&amp;sheet=A0&amp;row=5256&amp;col=7&amp;number=0&amp;sourceID=14","0")</f>
        <v>0</v>
      </c>
    </row>
    <row r="5257" spans="1:7">
      <c r="A5257" s="3">
        <v>10</v>
      </c>
      <c r="B5257" s="3">
        <v>5</v>
      </c>
      <c r="C5257" s="3">
        <v>177</v>
      </c>
      <c r="D5257" s="3">
        <v>131</v>
      </c>
      <c r="E5257" s="3">
        <v>-814.712</v>
      </c>
      <c r="F5257" s="4" t="str">
        <f>HYPERLINK("http://141.218.60.56/~jnz1568/getInfo.php?workbook=10_05.xlsx&amp;sheet=A0&amp;row=5257&amp;col=6&amp;number=1940&amp;sourceID=14","1940")</f>
        <v>1940</v>
      </c>
      <c r="G5257" s="4" t="str">
        <f>HYPERLINK("http://141.218.60.56/~jnz1568/getInfo.php?workbook=10_05.xlsx&amp;sheet=A0&amp;row=5257&amp;col=7&amp;number=0&amp;sourceID=14","0")</f>
        <v>0</v>
      </c>
    </row>
    <row r="5258" spans="1:7">
      <c r="A5258" s="3">
        <v>10</v>
      </c>
      <c r="B5258" s="3">
        <v>5</v>
      </c>
      <c r="C5258" s="3">
        <v>179</v>
      </c>
      <c r="D5258" s="3">
        <v>131</v>
      </c>
      <c r="E5258" s="3">
        <v>-788.409</v>
      </c>
      <c r="F5258" s="4" t="str">
        <f>HYPERLINK("http://141.218.60.56/~jnz1568/getInfo.php?workbook=10_05.xlsx&amp;sheet=A0&amp;row=5258&amp;col=6&amp;number=255000&amp;sourceID=14","255000")</f>
        <v>255000</v>
      </c>
      <c r="G5258" s="4" t="str">
        <f>HYPERLINK("http://141.218.60.56/~jnz1568/getInfo.php?workbook=10_05.xlsx&amp;sheet=A0&amp;row=5258&amp;col=7&amp;number=0&amp;sourceID=14","0")</f>
        <v>0</v>
      </c>
    </row>
    <row r="5259" spans="1:7">
      <c r="A5259" s="3">
        <v>10</v>
      </c>
      <c r="B5259" s="3">
        <v>5</v>
      </c>
      <c r="C5259" s="3">
        <v>180</v>
      </c>
      <c r="D5259" s="3">
        <v>131</v>
      </c>
      <c r="E5259" s="3">
        <v>-788.179</v>
      </c>
      <c r="F5259" s="4" t="str">
        <f>HYPERLINK("http://141.218.60.56/~jnz1568/getInfo.php?workbook=10_05.xlsx&amp;sheet=A0&amp;row=5259&amp;col=6&amp;number=122000&amp;sourceID=14","122000")</f>
        <v>122000</v>
      </c>
      <c r="G5259" s="4" t="str">
        <f>HYPERLINK("http://141.218.60.56/~jnz1568/getInfo.php?workbook=10_05.xlsx&amp;sheet=A0&amp;row=5259&amp;col=7&amp;number=0&amp;sourceID=14","0")</f>
        <v>0</v>
      </c>
    </row>
    <row r="5260" spans="1:7">
      <c r="A5260" s="3">
        <v>10</v>
      </c>
      <c r="B5260" s="3">
        <v>5</v>
      </c>
      <c r="C5260" s="3">
        <v>134</v>
      </c>
      <c r="D5260" s="3">
        <v>132</v>
      </c>
      <c r="E5260" s="3">
        <v>-64184.97</v>
      </c>
      <c r="F5260" s="4" t="str">
        <f>HYPERLINK("http://141.218.60.56/~jnz1568/getInfo.php?workbook=10_05.xlsx&amp;sheet=A0&amp;row=5260&amp;col=6&amp;number=1.36&amp;sourceID=14","1.36")</f>
        <v>1.36</v>
      </c>
      <c r="G5260" s="4" t="str">
        <f>HYPERLINK("http://141.218.60.56/~jnz1568/getInfo.php?workbook=10_05.xlsx&amp;sheet=A0&amp;row=5260&amp;col=7&amp;number=0&amp;sourceID=14","0")</f>
        <v>0</v>
      </c>
    </row>
    <row r="5261" spans="1:7">
      <c r="A5261" s="3">
        <v>10</v>
      </c>
      <c r="B5261" s="3">
        <v>5</v>
      </c>
      <c r="C5261" s="3">
        <v>135</v>
      </c>
      <c r="D5261" s="3">
        <v>132</v>
      </c>
      <c r="E5261" s="3">
        <v>-55586.539</v>
      </c>
      <c r="F5261" s="4" t="str">
        <f>HYPERLINK("http://141.218.60.56/~jnz1568/getInfo.php?workbook=10_05.xlsx&amp;sheet=A0&amp;row=5261&amp;col=6&amp;number=9.43&amp;sourceID=14","9.43")</f>
        <v>9.43</v>
      </c>
      <c r="G5261" s="4" t="str">
        <f>HYPERLINK("http://141.218.60.56/~jnz1568/getInfo.php?workbook=10_05.xlsx&amp;sheet=A0&amp;row=5261&amp;col=7&amp;number=0&amp;sourceID=14","0")</f>
        <v>0</v>
      </c>
    </row>
    <row r="5262" spans="1:7">
      <c r="A5262" s="3">
        <v>10</v>
      </c>
      <c r="B5262" s="3">
        <v>5</v>
      </c>
      <c r="C5262" s="3">
        <v>141</v>
      </c>
      <c r="D5262" s="3">
        <v>132</v>
      </c>
      <c r="E5262" s="3">
        <v>-15961.721</v>
      </c>
      <c r="F5262" s="4" t="str">
        <f>HYPERLINK("http://141.218.60.56/~jnz1568/getInfo.php?workbook=10_05.xlsx&amp;sheet=A0&amp;row=5262&amp;col=6&amp;number=129000&amp;sourceID=14","129000")</f>
        <v>129000</v>
      </c>
      <c r="G5262" s="4" t="str">
        <f>HYPERLINK("http://141.218.60.56/~jnz1568/getInfo.php?workbook=10_05.xlsx&amp;sheet=A0&amp;row=5262&amp;col=7&amp;number=0&amp;sourceID=14","0")</f>
        <v>0</v>
      </c>
    </row>
    <row r="5263" spans="1:7">
      <c r="A5263" s="3">
        <v>10</v>
      </c>
      <c r="B5263" s="3">
        <v>5</v>
      </c>
      <c r="C5263" s="3">
        <v>142</v>
      </c>
      <c r="D5263" s="3">
        <v>132</v>
      </c>
      <c r="E5263" s="3">
        <v>-15850.402</v>
      </c>
      <c r="F5263" s="4" t="str">
        <f>HYPERLINK("http://141.218.60.56/~jnz1568/getInfo.php?workbook=10_05.xlsx&amp;sheet=A0&amp;row=5263&amp;col=6&amp;number=473000&amp;sourceID=14","473000")</f>
        <v>473000</v>
      </c>
      <c r="G5263" s="4" t="str">
        <f>HYPERLINK("http://141.218.60.56/~jnz1568/getInfo.php?workbook=10_05.xlsx&amp;sheet=A0&amp;row=5263&amp;col=7&amp;number=0&amp;sourceID=14","0")</f>
        <v>0</v>
      </c>
    </row>
    <row r="5264" spans="1:7">
      <c r="A5264" s="3">
        <v>10</v>
      </c>
      <c r="B5264" s="3">
        <v>5</v>
      </c>
      <c r="C5264" s="3">
        <v>143</v>
      </c>
      <c r="D5264" s="3">
        <v>132</v>
      </c>
      <c r="E5264" s="3">
        <v>-15239.284</v>
      </c>
      <c r="F5264" s="4" t="str">
        <f>HYPERLINK("http://141.218.60.56/~jnz1568/getInfo.php?workbook=10_05.xlsx&amp;sheet=A0&amp;row=5264&amp;col=6&amp;number=923000&amp;sourceID=14","923000")</f>
        <v>923000</v>
      </c>
      <c r="G5264" s="4" t="str">
        <f>HYPERLINK("http://141.218.60.56/~jnz1568/getInfo.php?workbook=10_05.xlsx&amp;sheet=A0&amp;row=5264&amp;col=7&amp;number=0&amp;sourceID=14","0")</f>
        <v>0</v>
      </c>
    </row>
    <row r="5265" spans="1:7">
      <c r="A5265" s="3">
        <v>10</v>
      </c>
      <c r="B5265" s="3">
        <v>5</v>
      </c>
      <c r="C5265" s="3">
        <v>145</v>
      </c>
      <c r="D5265" s="3">
        <v>132</v>
      </c>
      <c r="E5265" s="3">
        <v>-13056.559</v>
      </c>
      <c r="F5265" s="4" t="str">
        <f>HYPERLINK("http://141.218.60.56/~jnz1568/getInfo.php?workbook=10_05.xlsx&amp;sheet=A0&amp;row=5265&amp;col=6&amp;number=134000&amp;sourceID=14","134000")</f>
        <v>134000</v>
      </c>
      <c r="G5265" s="4" t="str">
        <f>HYPERLINK("http://141.218.60.56/~jnz1568/getInfo.php?workbook=10_05.xlsx&amp;sheet=A0&amp;row=5265&amp;col=7&amp;number=0&amp;sourceID=14","0")</f>
        <v>0</v>
      </c>
    </row>
    <row r="5266" spans="1:7">
      <c r="A5266" s="3">
        <v>10</v>
      </c>
      <c r="B5266" s="3">
        <v>5</v>
      </c>
      <c r="C5266" s="3">
        <v>146</v>
      </c>
      <c r="D5266" s="3">
        <v>132</v>
      </c>
      <c r="E5266" s="3">
        <v>-12656.649</v>
      </c>
      <c r="F5266" s="4" t="str">
        <f>HYPERLINK("http://141.218.60.56/~jnz1568/getInfo.php?workbook=10_05.xlsx&amp;sheet=A0&amp;row=5266&amp;col=6&amp;number=27100&amp;sourceID=14","27100")</f>
        <v>27100</v>
      </c>
      <c r="G5266" s="4" t="str">
        <f>HYPERLINK("http://141.218.60.56/~jnz1568/getInfo.php?workbook=10_05.xlsx&amp;sheet=A0&amp;row=5266&amp;col=7&amp;number=0&amp;sourceID=14","0")</f>
        <v>0</v>
      </c>
    </row>
    <row r="5267" spans="1:7">
      <c r="A5267" s="3">
        <v>10</v>
      </c>
      <c r="B5267" s="3">
        <v>5</v>
      </c>
      <c r="C5267" s="3">
        <v>147</v>
      </c>
      <c r="D5267" s="3">
        <v>132</v>
      </c>
      <c r="E5267" s="3">
        <v>-12102.164</v>
      </c>
      <c r="F5267" s="4" t="str">
        <f>HYPERLINK("http://141.218.60.56/~jnz1568/getInfo.php?workbook=10_05.xlsx&amp;sheet=A0&amp;row=5267&amp;col=6&amp;number=9260&amp;sourceID=14","9260")</f>
        <v>9260</v>
      </c>
      <c r="G5267" s="4" t="str">
        <f>HYPERLINK("http://141.218.60.56/~jnz1568/getInfo.php?workbook=10_05.xlsx&amp;sheet=A0&amp;row=5267&amp;col=7&amp;number=0&amp;sourceID=14","0")</f>
        <v>0</v>
      </c>
    </row>
    <row r="5268" spans="1:7">
      <c r="A5268" s="3">
        <v>10</v>
      </c>
      <c r="B5268" s="3">
        <v>5</v>
      </c>
      <c r="C5268" s="3">
        <v>148</v>
      </c>
      <c r="D5268" s="3">
        <v>132</v>
      </c>
      <c r="E5268" s="3">
        <v>-11960.314</v>
      </c>
      <c r="F5268" s="4" t="str">
        <f>HYPERLINK("http://141.218.60.56/~jnz1568/getInfo.php?workbook=10_05.xlsx&amp;sheet=A0&amp;row=5268&amp;col=6&amp;number=434000&amp;sourceID=14","434000")</f>
        <v>434000</v>
      </c>
      <c r="G5268" s="4" t="str">
        <f>HYPERLINK("http://141.218.60.56/~jnz1568/getInfo.php?workbook=10_05.xlsx&amp;sheet=A0&amp;row=5268&amp;col=7&amp;number=0&amp;sourceID=14","0")</f>
        <v>0</v>
      </c>
    </row>
    <row r="5269" spans="1:7">
      <c r="A5269" s="3">
        <v>10</v>
      </c>
      <c r="B5269" s="3">
        <v>5</v>
      </c>
      <c r="C5269" s="3">
        <v>149</v>
      </c>
      <c r="D5269" s="3">
        <v>132</v>
      </c>
      <c r="E5269" s="3">
        <v>-11820.353</v>
      </c>
      <c r="F5269" s="4" t="str">
        <f>HYPERLINK("http://141.218.60.56/~jnz1568/getInfo.php?workbook=10_05.xlsx&amp;sheet=A0&amp;row=5269&amp;col=6&amp;number=1530000&amp;sourceID=14","1530000")</f>
        <v>1530000</v>
      </c>
      <c r="G5269" s="4" t="str">
        <f>HYPERLINK("http://141.218.60.56/~jnz1568/getInfo.php?workbook=10_05.xlsx&amp;sheet=A0&amp;row=5269&amp;col=7&amp;number=0&amp;sourceID=14","0")</f>
        <v>0</v>
      </c>
    </row>
    <row r="5270" spans="1:7">
      <c r="A5270" s="3">
        <v>10</v>
      </c>
      <c r="B5270" s="3">
        <v>5</v>
      </c>
      <c r="C5270" s="3">
        <v>152</v>
      </c>
      <c r="D5270" s="3">
        <v>132</v>
      </c>
      <c r="E5270" s="3">
        <v>-7232.763</v>
      </c>
      <c r="F5270" s="4" t="str">
        <f>HYPERLINK("http://141.218.60.56/~jnz1568/getInfo.php?workbook=10_05.xlsx&amp;sheet=A0&amp;row=5270&amp;col=6&amp;number=46100&amp;sourceID=14","46100")</f>
        <v>46100</v>
      </c>
      <c r="G5270" s="4" t="str">
        <f>HYPERLINK("http://141.218.60.56/~jnz1568/getInfo.php?workbook=10_05.xlsx&amp;sheet=A0&amp;row=5270&amp;col=7&amp;number=0&amp;sourceID=14","0")</f>
        <v>0</v>
      </c>
    </row>
    <row r="5271" spans="1:7">
      <c r="A5271" s="3">
        <v>10</v>
      </c>
      <c r="B5271" s="3">
        <v>5</v>
      </c>
      <c r="C5271" s="3">
        <v>158</v>
      </c>
      <c r="D5271" s="3">
        <v>132</v>
      </c>
      <c r="E5271" s="3">
        <v>-6091.629</v>
      </c>
      <c r="F5271" s="4" t="str">
        <f>HYPERLINK("http://141.218.60.56/~jnz1568/getInfo.php?workbook=10_05.xlsx&amp;sheet=A0&amp;row=5271&amp;col=6&amp;number=19700&amp;sourceID=14","19700")</f>
        <v>19700</v>
      </c>
      <c r="G5271" s="4" t="str">
        <f>HYPERLINK("http://141.218.60.56/~jnz1568/getInfo.php?workbook=10_05.xlsx&amp;sheet=A0&amp;row=5271&amp;col=7&amp;number=0&amp;sourceID=14","0")</f>
        <v>0</v>
      </c>
    </row>
    <row r="5272" spans="1:7">
      <c r="A5272" s="3">
        <v>10</v>
      </c>
      <c r="B5272" s="3">
        <v>5</v>
      </c>
      <c r="C5272" s="3">
        <v>159</v>
      </c>
      <c r="D5272" s="3">
        <v>132</v>
      </c>
      <c r="E5272" s="3">
        <v>-5936.843</v>
      </c>
      <c r="F5272" s="4" t="str">
        <f>HYPERLINK("http://141.218.60.56/~jnz1568/getInfo.php?workbook=10_05.xlsx&amp;sheet=A0&amp;row=5272&amp;col=6&amp;number=37&amp;sourceID=14","37")</f>
        <v>37</v>
      </c>
      <c r="G5272" s="4" t="str">
        <f>HYPERLINK("http://141.218.60.56/~jnz1568/getInfo.php?workbook=10_05.xlsx&amp;sheet=A0&amp;row=5272&amp;col=7&amp;number=0&amp;sourceID=14","0")</f>
        <v>0</v>
      </c>
    </row>
    <row r="5273" spans="1:7">
      <c r="A5273" s="3">
        <v>10</v>
      </c>
      <c r="B5273" s="3">
        <v>5</v>
      </c>
      <c r="C5273" s="3">
        <v>164</v>
      </c>
      <c r="D5273" s="3">
        <v>132</v>
      </c>
      <c r="E5273" s="3">
        <v>-1588.061</v>
      </c>
      <c r="F5273" s="4" t="str">
        <f>HYPERLINK("http://141.218.60.56/~jnz1568/getInfo.php?workbook=10_05.xlsx&amp;sheet=A0&amp;row=5273&amp;col=6&amp;number=1730&amp;sourceID=14","1730")</f>
        <v>1730</v>
      </c>
      <c r="G5273" s="4" t="str">
        <f>HYPERLINK("http://141.218.60.56/~jnz1568/getInfo.php?workbook=10_05.xlsx&amp;sheet=A0&amp;row=5273&amp;col=7&amp;number=0&amp;sourceID=14","0")</f>
        <v>0</v>
      </c>
    </row>
    <row r="5274" spans="1:7">
      <c r="A5274" s="3">
        <v>10</v>
      </c>
      <c r="B5274" s="3">
        <v>5</v>
      </c>
      <c r="C5274" s="3">
        <v>165</v>
      </c>
      <c r="D5274" s="3">
        <v>132</v>
      </c>
      <c r="E5274" s="3">
        <v>-1584.613</v>
      </c>
      <c r="F5274" s="4" t="str">
        <f>HYPERLINK("http://141.218.60.56/~jnz1568/getInfo.php?workbook=10_05.xlsx&amp;sheet=A0&amp;row=5274&amp;col=6&amp;number=3.79&amp;sourceID=14","3.79")</f>
        <v>3.79</v>
      </c>
      <c r="G5274" s="4" t="str">
        <f>HYPERLINK("http://141.218.60.56/~jnz1568/getInfo.php?workbook=10_05.xlsx&amp;sheet=A0&amp;row=5274&amp;col=7&amp;number=0&amp;sourceID=14","0")</f>
        <v>0</v>
      </c>
    </row>
    <row r="5275" spans="1:7">
      <c r="A5275" s="3">
        <v>10</v>
      </c>
      <c r="B5275" s="3">
        <v>5</v>
      </c>
      <c r="C5275" s="3">
        <v>166</v>
      </c>
      <c r="D5275" s="3">
        <v>132</v>
      </c>
      <c r="E5275" s="3">
        <v>-1108.809</v>
      </c>
      <c r="F5275" s="4" t="str">
        <f>HYPERLINK("http://141.218.60.56/~jnz1568/getInfo.php?workbook=10_05.xlsx&amp;sheet=A0&amp;row=5275&amp;col=6&amp;number=17700&amp;sourceID=14","17700")</f>
        <v>17700</v>
      </c>
      <c r="G5275" s="4" t="str">
        <f>HYPERLINK("http://141.218.60.56/~jnz1568/getInfo.php?workbook=10_05.xlsx&amp;sheet=A0&amp;row=5275&amp;col=7&amp;number=0&amp;sourceID=14","0")</f>
        <v>0</v>
      </c>
    </row>
    <row r="5276" spans="1:7">
      <c r="A5276" s="3">
        <v>10</v>
      </c>
      <c r="B5276" s="3">
        <v>5</v>
      </c>
      <c r="C5276" s="3">
        <v>167</v>
      </c>
      <c r="D5276" s="3">
        <v>132</v>
      </c>
      <c r="E5276" s="3">
        <v>-1108.293</v>
      </c>
      <c r="F5276" s="4" t="str">
        <f>HYPERLINK("http://141.218.60.56/~jnz1568/getInfo.php?workbook=10_05.xlsx&amp;sheet=A0&amp;row=5276&amp;col=6&amp;number=23300&amp;sourceID=14","23300")</f>
        <v>23300</v>
      </c>
      <c r="G5276" s="4" t="str">
        <f>HYPERLINK("http://141.218.60.56/~jnz1568/getInfo.php?workbook=10_05.xlsx&amp;sheet=A0&amp;row=5276&amp;col=7&amp;number=0&amp;sourceID=14","0")</f>
        <v>0</v>
      </c>
    </row>
    <row r="5277" spans="1:7">
      <c r="A5277" s="3">
        <v>10</v>
      </c>
      <c r="B5277" s="3">
        <v>5</v>
      </c>
      <c r="C5277" s="3">
        <v>176</v>
      </c>
      <c r="D5277" s="3">
        <v>132</v>
      </c>
      <c r="E5277" s="3">
        <v>-821.66</v>
      </c>
      <c r="F5277" s="4" t="str">
        <f>HYPERLINK("http://141.218.60.56/~jnz1568/getInfo.php?workbook=10_05.xlsx&amp;sheet=A0&amp;row=5277&amp;col=6&amp;number=3910&amp;sourceID=14","3910")</f>
        <v>3910</v>
      </c>
      <c r="G5277" s="4" t="str">
        <f>HYPERLINK("http://141.218.60.56/~jnz1568/getInfo.php?workbook=10_05.xlsx&amp;sheet=A0&amp;row=5277&amp;col=7&amp;number=0&amp;sourceID=14","0")</f>
        <v>0</v>
      </c>
    </row>
    <row r="5278" spans="1:7">
      <c r="A5278" s="3">
        <v>10</v>
      </c>
      <c r="B5278" s="3">
        <v>5</v>
      </c>
      <c r="C5278" s="3">
        <v>177</v>
      </c>
      <c r="D5278" s="3">
        <v>132</v>
      </c>
      <c r="E5278" s="3">
        <v>-815.689</v>
      </c>
      <c r="F5278" s="4" t="str">
        <f>HYPERLINK("http://141.218.60.56/~jnz1568/getInfo.php?workbook=10_05.xlsx&amp;sheet=A0&amp;row=5278&amp;col=6&amp;number=70400&amp;sourceID=14","70400")</f>
        <v>70400</v>
      </c>
      <c r="G5278" s="4" t="str">
        <f>HYPERLINK("http://141.218.60.56/~jnz1568/getInfo.php?workbook=10_05.xlsx&amp;sheet=A0&amp;row=5278&amp;col=7&amp;number=0&amp;sourceID=14","0")</f>
        <v>0</v>
      </c>
    </row>
    <row r="5279" spans="1:7">
      <c r="A5279" s="3">
        <v>10</v>
      </c>
      <c r="B5279" s="3">
        <v>5</v>
      </c>
      <c r="C5279" s="3">
        <v>178</v>
      </c>
      <c r="D5279" s="3">
        <v>132</v>
      </c>
      <c r="E5279" s="3">
        <v>-815.396</v>
      </c>
      <c r="F5279" s="4" t="str">
        <f>HYPERLINK("http://141.218.60.56/~jnz1568/getInfo.php?workbook=10_05.xlsx&amp;sheet=A0&amp;row=5279&amp;col=6&amp;number=17.7&amp;sourceID=14","17.7")</f>
        <v>17.7</v>
      </c>
      <c r="G5279" s="4" t="str">
        <f>HYPERLINK("http://141.218.60.56/~jnz1568/getInfo.php?workbook=10_05.xlsx&amp;sheet=A0&amp;row=5279&amp;col=7&amp;number=0&amp;sourceID=14","0")</f>
        <v>0</v>
      </c>
    </row>
    <row r="5280" spans="1:7">
      <c r="A5280" s="3">
        <v>10</v>
      </c>
      <c r="B5280" s="3">
        <v>5</v>
      </c>
      <c r="C5280" s="3">
        <v>179</v>
      </c>
      <c r="D5280" s="3">
        <v>132</v>
      </c>
      <c r="E5280" s="3">
        <v>-789.324</v>
      </c>
      <c r="F5280" s="4" t="str">
        <f>HYPERLINK("http://141.218.60.56/~jnz1568/getInfo.php?workbook=10_05.xlsx&amp;sheet=A0&amp;row=5280&amp;col=6&amp;number=31700&amp;sourceID=14","31700")</f>
        <v>31700</v>
      </c>
      <c r="G5280" s="4" t="str">
        <f>HYPERLINK("http://141.218.60.56/~jnz1568/getInfo.php?workbook=10_05.xlsx&amp;sheet=A0&amp;row=5280&amp;col=7&amp;number=0&amp;sourceID=14","0")</f>
        <v>0</v>
      </c>
    </row>
    <row r="5281" spans="1:7">
      <c r="A5281" s="3">
        <v>10</v>
      </c>
      <c r="B5281" s="3">
        <v>5</v>
      </c>
      <c r="C5281" s="3">
        <v>180</v>
      </c>
      <c r="D5281" s="3">
        <v>132</v>
      </c>
      <c r="E5281" s="3">
        <v>-789.093</v>
      </c>
      <c r="F5281" s="4" t="str">
        <f>HYPERLINK("http://141.218.60.56/~jnz1568/getInfo.php?workbook=10_05.xlsx&amp;sheet=A0&amp;row=5281&amp;col=6&amp;number=23400&amp;sourceID=14","23400")</f>
        <v>23400</v>
      </c>
      <c r="G5281" s="4" t="str">
        <f>HYPERLINK("http://141.218.60.56/~jnz1568/getInfo.php?workbook=10_05.xlsx&amp;sheet=A0&amp;row=5281&amp;col=7&amp;number=0&amp;sourceID=14","0")</f>
        <v>0</v>
      </c>
    </row>
    <row r="5282" spans="1:7">
      <c r="A5282" s="3">
        <v>10</v>
      </c>
      <c r="B5282" s="3">
        <v>5</v>
      </c>
      <c r="C5282" s="3">
        <v>134</v>
      </c>
      <c r="D5282" s="3">
        <v>133</v>
      </c>
      <c r="E5282" s="3">
        <v>-74074.21</v>
      </c>
      <c r="F5282" s="4" t="str">
        <f>HYPERLINK("http://141.218.60.56/~jnz1568/getInfo.php?workbook=10_05.xlsx&amp;sheet=A0&amp;row=5282&amp;col=6&amp;number=0.0109&amp;sourceID=14","0.0109")</f>
        <v>0.0109</v>
      </c>
      <c r="G5282" s="4" t="str">
        <f>HYPERLINK("http://141.218.60.56/~jnz1568/getInfo.php?workbook=10_05.xlsx&amp;sheet=A0&amp;row=5282&amp;col=7&amp;number=0&amp;sourceID=14","0")</f>
        <v>0</v>
      </c>
    </row>
    <row r="5283" spans="1:7">
      <c r="A5283" s="3">
        <v>10</v>
      </c>
      <c r="B5283" s="3">
        <v>5</v>
      </c>
      <c r="C5283" s="3">
        <v>135</v>
      </c>
      <c r="D5283" s="3">
        <v>133</v>
      </c>
      <c r="E5283" s="3">
        <v>-62853.667</v>
      </c>
      <c r="F5283" s="4" t="str">
        <f>HYPERLINK("http://141.218.60.56/~jnz1568/getInfo.php?workbook=10_05.xlsx&amp;sheet=A0&amp;row=5283&amp;col=6&amp;number=1.34&amp;sourceID=14","1.34")</f>
        <v>1.34</v>
      </c>
      <c r="G5283" s="4" t="str">
        <f>HYPERLINK("http://141.218.60.56/~jnz1568/getInfo.php?workbook=10_05.xlsx&amp;sheet=A0&amp;row=5283&amp;col=7&amp;number=0&amp;sourceID=14","0")</f>
        <v>0</v>
      </c>
    </row>
    <row r="5284" spans="1:7">
      <c r="A5284" s="3">
        <v>10</v>
      </c>
      <c r="B5284" s="3">
        <v>5</v>
      </c>
      <c r="C5284" s="3">
        <v>136</v>
      </c>
      <c r="D5284" s="3">
        <v>133</v>
      </c>
      <c r="E5284" s="3">
        <v>-51203.371</v>
      </c>
      <c r="F5284" s="4" t="str">
        <f>HYPERLINK("http://141.218.60.56/~jnz1568/getInfo.php?workbook=10_05.xlsx&amp;sheet=A0&amp;row=5284&amp;col=6&amp;number=31&amp;sourceID=14","31")</f>
        <v>31</v>
      </c>
      <c r="G5284" s="4" t="str">
        <f>HYPERLINK("http://141.218.60.56/~jnz1568/getInfo.php?workbook=10_05.xlsx&amp;sheet=A0&amp;row=5284&amp;col=7&amp;number=0&amp;sourceID=14","0")</f>
        <v>0</v>
      </c>
    </row>
    <row r="5285" spans="1:7">
      <c r="A5285" s="3">
        <v>10</v>
      </c>
      <c r="B5285" s="3">
        <v>5</v>
      </c>
      <c r="C5285" s="3">
        <v>142</v>
      </c>
      <c r="D5285" s="3">
        <v>133</v>
      </c>
      <c r="E5285" s="3">
        <v>-16390.786</v>
      </c>
      <c r="F5285" s="4" t="str">
        <f>HYPERLINK("http://141.218.60.56/~jnz1568/getInfo.php?workbook=10_05.xlsx&amp;sheet=A0&amp;row=5285&amp;col=6&amp;number=15800&amp;sourceID=14","15800")</f>
        <v>15800</v>
      </c>
      <c r="G5285" s="4" t="str">
        <f>HYPERLINK("http://141.218.60.56/~jnz1568/getInfo.php?workbook=10_05.xlsx&amp;sheet=A0&amp;row=5285&amp;col=7&amp;number=0&amp;sourceID=14","0")</f>
        <v>0</v>
      </c>
    </row>
    <row r="5286" spans="1:7">
      <c r="A5286" s="3">
        <v>10</v>
      </c>
      <c r="B5286" s="3">
        <v>5</v>
      </c>
      <c r="C5286" s="3">
        <v>143</v>
      </c>
      <c r="D5286" s="3">
        <v>133</v>
      </c>
      <c r="E5286" s="3">
        <v>-15738.147</v>
      </c>
      <c r="F5286" s="4" t="str">
        <f>HYPERLINK("http://141.218.60.56/~jnz1568/getInfo.php?workbook=10_05.xlsx&amp;sheet=A0&amp;row=5286&amp;col=6&amp;number=125000&amp;sourceID=14","125000")</f>
        <v>125000</v>
      </c>
      <c r="G5286" s="4" t="str">
        <f>HYPERLINK("http://141.218.60.56/~jnz1568/getInfo.php?workbook=10_05.xlsx&amp;sheet=A0&amp;row=5286&amp;col=7&amp;number=0&amp;sourceID=14","0")</f>
        <v>0</v>
      </c>
    </row>
    <row r="5287" spans="1:7">
      <c r="A5287" s="3">
        <v>10</v>
      </c>
      <c r="B5287" s="3">
        <v>5</v>
      </c>
      <c r="C5287" s="3">
        <v>144</v>
      </c>
      <c r="D5287" s="3">
        <v>133</v>
      </c>
      <c r="E5287" s="3">
        <v>-15264.873</v>
      </c>
      <c r="F5287" s="4" t="str">
        <f>HYPERLINK("http://141.218.60.56/~jnz1568/getInfo.php?workbook=10_05.xlsx&amp;sheet=A0&amp;row=5287&amp;col=6&amp;number=1030000&amp;sourceID=14","1030000")</f>
        <v>1030000</v>
      </c>
      <c r="G5287" s="4" t="str">
        <f>HYPERLINK("http://141.218.60.56/~jnz1568/getInfo.php?workbook=10_05.xlsx&amp;sheet=A0&amp;row=5287&amp;col=7&amp;number=0&amp;sourceID=14","0")</f>
        <v>0</v>
      </c>
    </row>
    <row r="5288" spans="1:7">
      <c r="A5288" s="3">
        <v>10</v>
      </c>
      <c r="B5288" s="3">
        <v>5</v>
      </c>
      <c r="C5288" s="3">
        <v>145</v>
      </c>
      <c r="D5288" s="3">
        <v>133</v>
      </c>
      <c r="E5288" s="3">
        <v>-13421.042</v>
      </c>
      <c r="F5288" s="4" t="str">
        <f>HYPERLINK("http://141.218.60.56/~jnz1568/getInfo.php?workbook=10_05.xlsx&amp;sheet=A0&amp;row=5288&amp;col=6&amp;number=197000&amp;sourceID=14","197000")</f>
        <v>197000</v>
      </c>
      <c r="G5288" s="4" t="str">
        <f>HYPERLINK("http://141.218.60.56/~jnz1568/getInfo.php?workbook=10_05.xlsx&amp;sheet=A0&amp;row=5288&amp;col=7&amp;number=0&amp;sourceID=14","0")</f>
        <v>0</v>
      </c>
    </row>
    <row r="5289" spans="1:7">
      <c r="A5289" s="3">
        <v>10</v>
      </c>
      <c r="B5289" s="3">
        <v>5</v>
      </c>
      <c r="C5289" s="3">
        <v>146</v>
      </c>
      <c r="D5289" s="3">
        <v>133</v>
      </c>
      <c r="E5289" s="3">
        <v>-12998.854</v>
      </c>
      <c r="F5289" s="4" t="str">
        <f>HYPERLINK("http://141.218.60.56/~jnz1568/getInfo.php?workbook=10_05.xlsx&amp;sheet=A0&amp;row=5289&amp;col=6&amp;number=372000&amp;sourceID=14","372000")</f>
        <v>372000</v>
      </c>
      <c r="G5289" s="4" t="str">
        <f>HYPERLINK("http://141.218.60.56/~jnz1568/getInfo.php?workbook=10_05.xlsx&amp;sheet=A0&amp;row=5289&amp;col=7&amp;number=0&amp;sourceID=14","0")</f>
        <v>0</v>
      </c>
    </row>
    <row r="5290" spans="1:7">
      <c r="A5290" s="3">
        <v>10</v>
      </c>
      <c r="B5290" s="3">
        <v>5</v>
      </c>
      <c r="C5290" s="3">
        <v>147</v>
      </c>
      <c r="D5290" s="3">
        <v>133</v>
      </c>
      <c r="E5290" s="3">
        <v>-12414.672</v>
      </c>
      <c r="F5290" s="4" t="str">
        <f>HYPERLINK("http://141.218.60.56/~jnz1568/getInfo.php?workbook=10_05.xlsx&amp;sheet=A0&amp;row=5290&amp;col=6&amp;number=750000&amp;sourceID=14","750000")</f>
        <v>750000</v>
      </c>
      <c r="G5290" s="4" t="str">
        <f>HYPERLINK("http://141.218.60.56/~jnz1568/getInfo.php?workbook=10_05.xlsx&amp;sheet=A0&amp;row=5290&amp;col=7&amp;number=0&amp;sourceID=14","0")</f>
        <v>0</v>
      </c>
    </row>
    <row r="5291" spans="1:7">
      <c r="A5291" s="3">
        <v>10</v>
      </c>
      <c r="B5291" s="3">
        <v>5</v>
      </c>
      <c r="C5291" s="3">
        <v>148</v>
      </c>
      <c r="D5291" s="3">
        <v>133</v>
      </c>
      <c r="E5291" s="3">
        <v>-12265.446</v>
      </c>
      <c r="F5291" s="4" t="str">
        <f>HYPERLINK("http://141.218.60.56/~jnz1568/getInfo.php?workbook=10_05.xlsx&amp;sheet=A0&amp;row=5291&amp;col=6&amp;number=292000&amp;sourceID=14","292000")</f>
        <v>292000</v>
      </c>
      <c r="G5291" s="4" t="str">
        <f>HYPERLINK("http://141.218.60.56/~jnz1568/getInfo.php?workbook=10_05.xlsx&amp;sheet=A0&amp;row=5291&amp;col=7&amp;number=0&amp;sourceID=14","0")</f>
        <v>0</v>
      </c>
    </row>
    <row r="5292" spans="1:7">
      <c r="A5292" s="3">
        <v>10</v>
      </c>
      <c r="B5292" s="3">
        <v>5</v>
      </c>
      <c r="C5292" s="3">
        <v>152</v>
      </c>
      <c r="D5292" s="3">
        <v>133</v>
      </c>
      <c r="E5292" s="3">
        <v>-7343.236</v>
      </c>
      <c r="F5292" s="4" t="str">
        <f>HYPERLINK("http://141.218.60.56/~jnz1568/getInfo.php?workbook=10_05.xlsx&amp;sheet=A0&amp;row=5292&amp;col=6&amp;number=303000&amp;sourceID=14","303000")</f>
        <v>303000</v>
      </c>
      <c r="G5292" s="4" t="str">
        <f>HYPERLINK("http://141.218.60.56/~jnz1568/getInfo.php?workbook=10_05.xlsx&amp;sheet=A0&amp;row=5292&amp;col=7&amp;number=0&amp;sourceID=14","0")</f>
        <v>0</v>
      </c>
    </row>
    <row r="5293" spans="1:7">
      <c r="A5293" s="3">
        <v>10</v>
      </c>
      <c r="B5293" s="3">
        <v>5</v>
      </c>
      <c r="C5293" s="3">
        <v>153</v>
      </c>
      <c r="D5293" s="3">
        <v>133</v>
      </c>
      <c r="E5293" s="3">
        <v>-6935.306</v>
      </c>
      <c r="F5293" s="4" t="str">
        <f>HYPERLINK("http://141.218.60.56/~jnz1568/getInfo.php?workbook=10_05.xlsx&amp;sheet=A0&amp;row=5293&amp;col=6&amp;number=4480000&amp;sourceID=14","4480000")</f>
        <v>4480000</v>
      </c>
      <c r="G5293" s="4" t="str">
        <f>HYPERLINK("http://141.218.60.56/~jnz1568/getInfo.php?workbook=10_05.xlsx&amp;sheet=A0&amp;row=5293&amp;col=7&amp;number=0&amp;sourceID=14","0")</f>
        <v>0</v>
      </c>
    </row>
    <row r="5294" spans="1:7">
      <c r="A5294" s="3">
        <v>10</v>
      </c>
      <c r="B5294" s="3">
        <v>5</v>
      </c>
      <c r="C5294" s="3">
        <v>158</v>
      </c>
      <c r="D5294" s="3">
        <v>133</v>
      </c>
      <c r="E5294" s="3">
        <v>-6169.804</v>
      </c>
      <c r="F5294" s="4" t="str">
        <f>HYPERLINK("http://141.218.60.56/~jnz1568/getInfo.php?workbook=10_05.xlsx&amp;sheet=A0&amp;row=5294&amp;col=6&amp;number=354000&amp;sourceID=14","354000")</f>
        <v>354000</v>
      </c>
      <c r="G5294" s="4" t="str">
        <f>HYPERLINK("http://141.218.60.56/~jnz1568/getInfo.php?workbook=10_05.xlsx&amp;sheet=A0&amp;row=5294&amp;col=7&amp;number=0&amp;sourceID=14","0")</f>
        <v>0</v>
      </c>
    </row>
    <row r="5295" spans="1:7">
      <c r="A5295" s="3">
        <v>10</v>
      </c>
      <c r="B5295" s="3">
        <v>5</v>
      </c>
      <c r="C5295" s="3">
        <v>165</v>
      </c>
      <c r="D5295" s="3">
        <v>133</v>
      </c>
      <c r="E5295" s="3">
        <v>-1589.853</v>
      </c>
      <c r="F5295" s="4" t="str">
        <f>HYPERLINK("http://141.218.60.56/~jnz1568/getInfo.php?workbook=10_05.xlsx&amp;sheet=A0&amp;row=5295&amp;col=6&amp;number=55200&amp;sourceID=14","55200")</f>
        <v>55200</v>
      </c>
      <c r="G5295" s="4" t="str">
        <f>HYPERLINK("http://141.218.60.56/~jnz1568/getInfo.php?workbook=10_05.xlsx&amp;sheet=A0&amp;row=5295&amp;col=7&amp;number=0&amp;sourceID=14","0")</f>
        <v>0</v>
      </c>
    </row>
    <row r="5296" spans="1:7">
      <c r="A5296" s="3">
        <v>10</v>
      </c>
      <c r="B5296" s="3">
        <v>5</v>
      </c>
      <c r="C5296" s="3">
        <v>167</v>
      </c>
      <c r="D5296" s="3">
        <v>133</v>
      </c>
      <c r="E5296" s="3">
        <v>-1110.854</v>
      </c>
      <c r="F5296" s="4" t="str">
        <f>HYPERLINK("http://141.218.60.56/~jnz1568/getInfo.php?workbook=10_05.xlsx&amp;sheet=A0&amp;row=5296&amp;col=6&amp;number=2640000&amp;sourceID=14","2640000")</f>
        <v>2640000</v>
      </c>
      <c r="G5296" s="4" t="str">
        <f>HYPERLINK("http://141.218.60.56/~jnz1568/getInfo.php?workbook=10_05.xlsx&amp;sheet=A0&amp;row=5296&amp;col=7&amp;number=0&amp;sourceID=14","0")</f>
        <v>0</v>
      </c>
    </row>
    <row r="5297" spans="1:7">
      <c r="A5297" s="3">
        <v>10</v>
      </c>
      <c r="B5297" s="3">
        <v>5</v>
      </c>
      <c r="C5297" s="3">
        <v>175</v>
      </c>
      <c r="D5297" s="3">
        <v>133</v>
      </c>
      <c r="E5297" s="3">
        <v>-823.074</v>
      </c>
      <c r="F5297" s="4" t="str">
        <f>HYPERLINK("http://141.218.60.56/~jnz1568/getInfo.php?workbook=10_05.xlsx&amp;sheet=A0&amp;row=5297&amp;col=6&amp;number=128000&amp;sourceID=14","128000")</f>
        <v>128000</v>
      </c>
      <c r="G5297" s="4" t="str">
        <f>HYPERLINK("http://141.218.60.56/~jnz1568/getInfo.php?workbook=10_05.xlsx&amp;sheet=A0&amp;row=5297&amp;col=7&amp;number=0&amp;sourceID=14","0")</f>
        <v>0</v>
      </c>
    </row>
    <row r="5298" spans="1:7">
      <c r="A5298" s="3">
        <v>10</v>
      </c>
      <c r="B5298" s="3">
        <v>5</v>
      </c>
      <c r="C5298" s="3">
        <v>176</v>
      </c>
      <c r="D5298" s="3">
        <v>133</v>
      </c>
      <c r="E5298" s="3">
        <v>-823.067</v>
      </c>
      <c r="F5298" s="4" t="str">
        <f>HYPERLINK("http://141.218.60.56/~jnz1568/getInfo.php?workbook=10_05.xlsx&amp;sheet=A0&amp;row=5298&amp;col=6&amp;number=12200&amp;sourceID=14","12200")</f>
        <v>12200</v>
      </c>
      <c r="G5298" s="4" t="str">
        <f>HYPERLINK("http://141.218.60.56/~jnz1568/getInfo.php?workbook=10_05.xlsx&amp;sheet=A0&amp;row=5298&amp;col=7&amp;number=0&amp;sourceID=14","0")</f>
        <v>0</v>
      </c>
    </row>
    <row r="5299" spans="1:7">
      <c r="A5299" s="3">
        <v>10</v>
      </c>
      <c r="B5299" s="3">
        <v>5</v>
      </c>
      <c r="C5299" s="3">
        <v>177</v>
      </c>
      <c r="D5299" s="3">
        <v>133</v>
      </c>
      <c r="E5299" s="3">
        <v>-817.075</v>
      </c>
      <c r="F5299" s="4" t="str">
        <f>HYPERLINK("http://141.218.60.56/~jnz1568/getInfo.php?workbook=10_05.xlsx&amp;sheet=A0&amp;row=5299&amp;col=6&amp;number=465000&amp;sourceID=14","465000")</f>
        <v>465000</v>
      </c>
      <c r="G5299" s="4" t="str">
        <f>HYPERLINK("http://141.218.60.56/~jnz1568/getInfo.php?workbook=10_05.xlsx&amp;sheet=A0&amp;row=5299&amp;col=7&amp;number=0&amp;sourceID=14","0")</f>
        <v>0</v>
      </c>
    </row>
    <row r="5300" spans="1:7">
      <c r="A5300" s="3">
        <v>10</v>
      </c>
      <c r="B5300" s="3">
        <v>5</v>
      </c>
      <c r="C5300" s="3">
        <v>178</v>
      </c>
      <c r="D5300" s="3">
        <v>133</v>
      </c>
      <c r="E5300" s="3">
        <v>-816.781</v>
      </c>
      <c r="F5300" s="4" t="str">
        <f>HYPERLINK("http://141.218.60.56/~jnz1568/getInfo.php?workbook=10_05.xlsx&amp;sheet=A0&amp;row=5300&amp;col=6&amp;number=4280000&amp;sourceID=14","4280000")</f>
        <v>4280000</v>
      </c>
      <c r="G5300" s="4" t="str">
        <f>HYPERLINK("http://141.218.60.56/~jnz1568/getInfo.php?workbook=10_05.xlsx&amp;sheet=A0&amp;row=5300&amp;col=7&amp;number=0&amp;sourceID=14","0")</f>
        <v>0</v>
      </c>
    </row>
    <row r="5301" spans="1:7">
      <c r="A5301" s="3">
        <v>10</v>
      </c>
      <c r="B5301" s="3">
        <v>5</v>
      </c>
      <c r="C5301" s="3">
        <v>180</v>
      </c>
      <c r="D5301" s="3">
        <v>133</v>
      </c>
      <c r="E5301" s="3">
        <v>-790.39</v>
      </c>
      <c r="F5301" s="4" t="str">
        <f>HYPERLINK("http://141.218.60.56/~jnz1568/getInfo.php?workbook=10_05.xlsx&amp;sheet=A0&amp;row=5301&amp;col=6&amp;number=317000&amp;sourceID=14","317000")</f>
        <v>317000</v>
      </c>
      <c r="G5301" s="4" t="str">
        <f>HYPERLINK("http://141.218.60.56/~jnz1568/getInfo.php?workbook=10_05.xlsx&amp;sheet=A0&amp;row=5301&amp;col=7&amp;number=0&amp;sourceID=14","0")</f>
        <v>0</v>
      </c>
    </row>
    <row r="5302" spans="1:7">
      <c r="A5302" s="3">
        <v>10</v>
      </c>
      <c r="B5302" s="3">
        <v>5</v>
      </c>
      <c r="C5302" s="3">
        <v>140</v>
      </c>
      <c r="D5302" s="3">
        <v>134</v>
      </c>
      <c r="E5302" s="3">
        <v>-28669.778</v>
      </c>
      <c r="F5302" s="4" t="str">
        <f>HYPERLINK("http://141.218.60.56/~jnz1568/getInfo.php?workbook=10_05.xlsx&amp;sheet=A0&amp;row=5302&amp;col=6&amp;number=0.00949&amp;sourceID=14","0.00949")</f>
        <v>0.00949</v>
      </c>
      <c r="G5302" s="4" t="str">
        <f>HYPERLINK("http://141.218.60.56/~jnz1568/getInfo.php?workbook=10_05.xlsx&amp;sheet=A0&amp;row=5302&amp;col=7&amp;number=0&amp;sourceID=14","0")</f>
        <v>0</v>
      </c>
    </row>
    <row r="5303" spans="1:7">
      <c r="A5303" s="3">
        <v>10</v>
      </c>
      <c r="B5303" s="3">
        <v>5</v>
      </c>
      <c r="C5303" s="3">
        <v>150</v>
      </c>
      <c r="D5303" s="3">
        <v>134</v>
      </c>
      <c r="E5303" s="3">
        <v>-9592.344</v>
      </c>
      <c r="F5303" s="4" t="str">
        <f>HYPERLINK("http://141.218.60.56/~jnz1568/getInfo.php?workbook=10_05.xlsx&amp;sheet=A0&amp;row=5303&amp;col=6&amp;number=85.6&amp;sourceID=14","85.6")</f>
        <v>85.6</v>
      </c>
      <c r="G5303" s="4" t="str">
        <f>HYPERLINK("http://141.218.60.56/~jnz1568/getInfo.php?workbook=10_05.xlsx&amp;sheet=A0&amp;row=5303&amp;col=7&amp;number=0&amp;sourceID=14","0")</f>
        <v>0</v>
      </c>
    </row>
    <row r="5304" spans="1:7">
      <c r="A5304" s="3">
        <v>10</v>
      </c>
      <c r="B5304" s="3">
        <v>5</v>
      </c>
      <c r="C5304" s="3">
        <v>151</v>
      </c>
      <c r="D5304" s="3">
        <v>134</v>
      </c>
      <c r="E5304" s="3">
        <v>-9572.144</v>
      </c>
      <c r="F5304" s="4" t="str">
        <f>HYPERLINK("http://141.218.60.56/~jnz1568/getInfo.php?workbook=10_05.xlsx&amp;sheet=A0&amp;row=5304&amp;col=6&amp;number=0.0918&amp;sourceID=14","0.0918")</f>
        <v>0.0918</v>
      </c>
      <c r="G5304" s="4" t="str">
        <f>HYPERLINK("http://141.218.60.56/~jnz1568/getInfo.php?workbook=10_05.xlsx&amp;sheet=A0&amp;row=5304&amp;col=7&amp;number=0&amp;sourceID=14","0")</f>
        <v>0</v>
      </c>
    </row>
    <row r="5305" spans="1:7">
      <c r="A5305" s="3">
        <v>10</v>
      </c>
      <c r="B5305" s="3">
        <v>5</v>
      </c>
      <c r="C5305" s="3">
        <v>155</v>
      </c>
      <c r="D5305" s="3">
        <v>134</v>
      </c>
      <c r="E5305" s="3">
        <v>-7153.089</v>
      </c>
      <c r="F5305" s="4" t="str">
        <f>HYPERLINK("http://141.218.60.56/~jnz1568/getInfo.php?workbook=10_05.xlsx&amp;sheet=A0&amp;row=5305&amp;col=6&amp;number=37&amp;sourceID=14","37")</f>
        <v>37</v>
      </c>
      <c r="G5305" s="4" t="str">
        <f>HYPERLINK("http://141.218.60.56/~jnz1568/getInfo.php?workbook=10_05.xlsx&amp;sheet=A0&amp;row=5305&amp;col=7&amp;number=0&amp;sourceID=14","0")</f>
        <v>0</v>
      </c>
    </row>
    <row r="5306" spans="1:7">
      <c r="A5306" s="3">
        <v>10</v>
      </c>
      <c r="B5306" s="3">
        <v>5</v>
      </c>
      <c r="C5306" s="3">
        <v>156</v>
      </c>
      <c r="D5306" s="3">
        <v>134</v>
      </c>
      <c r="E5306" s="3">
        <v>-6875.228</v>
      </c>
      <c r="F5306" s="4" t="str">
        <f>HYPERLINK("http://141.218.60.56/~jnz1568/getInfo.php?workbook=10_05.xlsx&amp;sheet=A0&amp;row=5306&amp;col=6&amp;number=622&amp;sourceID=14","622")</f>
        <v>622</v>
      </c>
      <c r="G5306" s="4" t="str">
        <f>HYPERLINK("http://141.218.60.56/~jnz1568/getInfo.php?workbook=10_05.xlsx&amp;sheet=A0&amp;row=5306&amp;col=7&amp;number=0&amp;sourceID=14","0")</f>
        <v>0</v>
      </c>
    </row>
    <row r="5307" spans="1:7">
      <c r="A5307" s="3">
        <v>10</v>
      </c>
      <c r="B5307" s="3">
        <v>5</v>
      </c>
      <c r="C5307" s="3">
        <v>157</v>
      </c>
      <c r="D5307" s="3">
        <v>134</v>
      </c>
      <c r="E5307" s="3">
        <v>-6791.645</v>
      </c>
      <c r="F5307" s="4" t="str">
        <f>HYPERLINK("http://141.218.60.56/~jnz1568/getInfo.php?workbook=10_05.xlsx&amp;sheet=A0&amp;row=5307&amp;col=6&amp;number=40.3&amp;sourceID=14","40.3")</f>
        <v>40.3</v>
      </c>
      <c r="G5307" s="4" t="str">
        <f>HYPERLINK("http://141.218.60.56/~jnz1568/getInfo.php?workbook=10_05.xlsx&amp;sheet=A0&amp;row=5307&amp;col=7&amp;number=0&amp;sourceID=14","0")</f>
        <v>0</v>
      </c>
    </row>
    <row r="5308" spans="1:7">
      <c r="A5308" s="3">
        <v>10</v>
      </c>
      <c r="B5308" s="3">
        <v>5</v>
      </c>
      <c r="C5308" s="3">
        <v>160</v>
      </c>
      <c r="D5308" s="3">
        <v>134</v>
      </c>
      <c r="E5308" s="3">
        <v>-6253.92</v>
      </c>
      <c r="F5308" s="4" t="str">
        <f>HYPERLINK("http://141.218.60.56/~jnz1568/getInfo.php?workbook=10_05.xlsx&amp;sheet=A0&amp;row=5308&amp;col=6&amp;number=4.25&amp;sourceID=14","4.25")</f>
        <v>4.25</v>
      </c>
      <c r="G5308" s="4" t="str">
        <f>HYPERLINK("http://141.218.60.56/~jnz1568/getInfo.php?workbook=10_05.xlsx&amp;sheet=A0&amp;row=5308&amp;col=7&amp;number=0&amp;sourceID=14","0")</f>
        <v>0</v>
      </c>
    </row>
    <row r="5309" spans="1:7">
      <c r="A5309" s="3">
        <v>10</v>
      </c>
      <c r="B5309" s="3">
        <v>5</v>
      </c>
      <c r="C5309" s="3">
        <v>161</v>
      </c>
      <c r="D5309" s="3">
        <v>134</v>
      </c>
      <c r="E5309" s="3">
        <v>-6132.347</v>
      </c>
      <c r="F5309" s="4" t="str">
        <f>HYPERLINK("http://141.218.60.56/~jnz1568/getInfo.php?workbook=10_05.xlsx&amp;sheet=A0&amp;row=5309&amp;col=6&amp;number=63.2&amp;sourceID=14","63.2")</f>
        <v>63.2</v>
      </c>
      <c r="G5309" s="4" t="str">
        <f>HYPERLINK("http://141.218.60.56/~jnz1568/getInfo.php?workbook=10_05.xlsx&amp;sheet=A0&amp;row=5309&amp;col=7&amp;number=0&amp;sourceID=14","0")</f>
        <v>0</v>
      </c>
    </row>
    <row r="5310" spans="1:7">
      <c r="A5310" s="3">
        <v>10</v>
      </c>
      <c r="B5310" s="3">
        <v>5</v>
      </c>
      <c r="C5310" s="3">
        <v>162</v>
      </c>
      <c r="D5310" s="3">
        <v>134</v>
      </c>
      <c r="E5310" s="3">
        <v>-6023.019</v>
      </c>
      <c r="F5310" s="4" t="str">
        <f>HYPERLINK("http://141.218.60.56/~jnz1568/getInfo.php?workbook=10_05.xlsx&amp;sheet=A0&amp;row=5310&amp;col=6&amp;number=3.92&amp;sourceID=14","3.92")</f>
        <v>3.92</v>
      </c>
      <c r="G5310" s="4" t="str">
        <f>HYPERLINK("http://141.218.60.56/~jnz1568/getInfo.php?workbook=10_05.xlsx&amp;sheet=A0&amp;row=5310&amp;col=7&amp;number=0&amp;sourceID=14","0")</f>
        <v>0</v>
      </c>
    </row>
    <row r="5311" spans="1:7">
      <c r="A5311" s="3">
        <v>10</v>
      </c>
      <c r="B5311" s="3">
        <v>5</v>
      </c>
      <c r="C5311" s="3">
        <v>163</v>
      </c>
      <c r="D5311" s="3">
        <v>134</v>
      </c>
      <c r="E5311" s="3">
        <v>-3316.096</v>
      </c>
      <c r="F5311" s="4" t="str">
        <f>HYPERLINK("http://141.218.60.56/~jnz1568/getInfo.php?workbook=10_05.xlsx&amp;sheet=A0&amp;row=5311&amp;col=6&amp;number=0.116&amp;sourceID=14","0.116")</f>
        <v>0.116</v>
      </c>
      <c r="G5311" s="4" t="str">
        <f>HYPERLINK("http://141.218.60.56/~jnz1568/getInfo.php?workbook=10_05.xlsx&amp;sheet=A0&amp;row=5311&amp;col=7&amp;number=0&amp;sourceID=14","0")</f>
        <v>0</v>
      </c>
    </row>
    <row r="5312" spans="1:7">
      <c r="A5312" s="3">
        <v>10</v>
      </c>
      <c r="B5312" s="3">
        <v>5</v>
      </c>
      <c r="C5312" s="3">
        <v>168</v>
      </c>
      <c r="D5312" s="3">
        <v>134</v>
      </c>
      <c r="E5312" s="3">
        <v>-1032.793</v>
      </c>
      <c r="F5312" s="4" t="str">
        <f>HYPERLINK("http://141.218.60.56/~jnz1568/getInfo.php?workbook=10_05.xlsx&amp;sheet=A0&amp;row=5312&amp;col=6&amp;number=211&amp;sourceID=14","211")</f>
        <v>211</v>
      </c>
      <c r="G5312" s="4" t="str">
        <f>HYPERLINK("http://141.218.60.56/~jnz1568/getInfo.php?workbook=10_05.xlsx&amp;sheet=A0&amp;row=5312&amp;col=7&amp;number=0&amp;sourceID=14","0")</f>
        <v>0</v>
      </c>
    </row>
    <row r="5313" spans="1:7">
      <c r="A5313" s="3">
        <v>10</v>
      </c>
      <c r="B5313" s="3">
        <v>5</v>
      </c>
      <c r="C5313" s="3">
        <v>169</v>
      </c>
      <c r="D5313" s="3">
        <v>134</v>
      </c>
      <c r="E5313" s="3">
        <v>-1032.281</v>
      </c>
      <c r="F5313" s="4" t="str">
        <f>HYPERLINK("http://141.218.60.56/~jnz1568/getInfo.php?workbook=10_05.xlsx&amp;sheet=A0&amp;row=5313&amp;col=6&amp;number=3330&amp;sourceID=14","3330")</f>
        <v>3330</v>
      </c>
      <c r="G5313" s="4" t="str">
        <f>HYPERLINK("http://141.218.60.56/~jnz1568/getInfo.php?workbook=10_05.xlsx&amp;sheet=A0&amp;row=5313&amp;col=7&amp;number=0&amp;sourceID=14","0")</f>
        <v>0</v>
      </c>
    </row>
    <row r="5314" spans="1:7">
      <c r="A5314" s="3">
        <v>10</v>
      </c>
      <c r="B5314" s="3">
        <v>5</v>
      </c>
      <c r="C5314" s="3">
        <v>170</v>
      </c>
      <c r="D5314" s="3">
        <v>134</v>
      </c>
      <c r="E5314" s="3">
        <v>-941.231</v>
      </c>
      <c r="F5314" s="4" t="str">
        <f>HYPERLINK("http://141.218.60.56/~jnz1568/getInfo.php?workbook=10_05.xlsx&amp;sheet=A0&amp;row=5314&amp;col=6&amp;number=4330&amp;sourceID=14","4330")</f>
        <v>4330</v>
      </c>
      <c r="G5314" s="4" t="str">
        <f>HYPERLINK("http://141.218.60.56/~jnz1568/getInfo.php?workbook=10_05.xlsx&amp;sheet=A0&amp;row=5314&amp;col=7&amp;number=0&amp;sourceID=14","0")</f>
        <v>0</v>
      </c>
    </row>
    <row r="5315" spans="1:7">
      <c r="A5315" s="3">
        <v>10</v>
      </c>
      <c r="B5315" s="3">
        <v>5</v>
      </c>
      <c r="C5315" s="3">
        <v>171</v>
      </c>
      <c r="D5315" s="3">
        <v>134</v>
      </c>
      <c r="E5315" s="3">
        <v>-940.39</v>
      </c>
      <c r="F5315" s="4" t="str">
        <f>HYPERLINK("http://141.218.60.56/~jnz1568/getInfo.php?workbook=10_05.xlsx&amp;sheet=A0&amp;row=5315&amp;col=6&amp;number=1080&amp;sourceID=14","1080")</f>
        <v>1080</v>
      </c>
      <c r="G5315" s="4" t="str">
        <f>HYPERLINK("http://141.218.60.56/~jnz1568/getInfo.php?workbook=10_05.xlsx&amp;sheet=A0&amp;row=5315&amp;col=7&amp;number=0&amp;sourceID=14","0")</f>
        <v>0</v>
      </c>
    </row>
    <row r="5316" spans="1:7">
      <c r="A5316" s="3">
        <v>10</v>
      </c>
      <c r="B5316" s="3">
        <v>5</v>
      </c>
      <c r="C5316" s="3">
        <v>172</v>
      </c>
      <c r="D5316" s="3">
        <v>134</v>
      </c>
      <c r="E5316" s="3">
        <v>-923.457</v>
      </c>
      <c r="F5316" s="4" t="str">
        <f>HYPERLINK("http://141.218.60.56/~jnz1568/getInfo.php?workbook=10_05.xlsx&amp;sheet=A0&amp;row=5316&amp;col=6&amp;number=24000&amp;sourceID=14","24000")</f>
        <v>24000</v>
      </c>
      <c r="G5316" s="4" t="str">
        <f>HYPERLINK("http://141.218.60.56/~jnz1568/getInfo.php?workbook=10_05.xlsx&amp;sheet=A0&amp;row=5316&amp;col=7&amp;number=0&amp;sourceID=14","0")</f>
        <v>0</v>
      </c>
    </row>
    <row r="5317" spans="1:7">
      <c r="A5317" s="3">
        <v>10</v>
      </c>
      <c r="B5317" s="3">
        <v>5</v>
      </c>
      <c r="C5317" s="3">
        <v>173</v>
      </c>
      <c r="D5317" s="3">
        <v>134</v>
      </c>
      <c r="E5317" s="3">
        <v>-923.26</v>
      </c>
      <c r="F5317" s="4" t="str">
        <f>HYPERLINK("http://141.218.60.56/~jnz1568/getInfo.php?workbook=10_05.xlsx&amp;sheet=A0&amp;row=5317&amp;col=6&amp;number=1470&amp;sourceID=14","1470")</f>
        <v>1470</v>
      </c>
      <c r="G5317" s="4" t="str">
        <f>HYPERLINK("http://141.218.60.56/~jnz1568/getInfo.php?workbook=10_05.xlsx&amp;sheet=A0&amp;row=5317&amp;col=7&amp;number=0&amp;sourceID=14","0")</f>
        <v>0</v>
      </c>
    </row>
    <row r="5318" spans="1:7">
      <c r="A5318" s="3">
        <v>10</v>
      </c>
      <c r="B5318" s="3">
        <v>5</v>
      </c>
      <c r="C5318" s="3">
        <v>174</v>
      </c>
      <c r="D5318" s="3">
        <v>134</v>
      </c>
      <c r="E5318" s="3">
        <v>-905.618</v>
      </c>
      <c r="F5318" s="4" t="str">
        <f>HYPERLINK("http://141.218.60.56/~jnz1568/getInfo.php?workbook=10_05.xlsx&amp;sheet=A0&amp;row=5318&amp;col=6&amp;number=144&amp;sourceID=14","144")</f>
        <v>144</v>
      </c>
      <c r="G5318" s="4" t="str">
        <f>HYPERLINK("http://141.218.60.56/~jnz1568/getInfo.php?workbook=10_05.xlsx&amp;sheet=A0&amp;row=5318&amp;col=7&amp;number=0&amp;sourceID=14","0")</f>
        <v>0</v>
      </c>
    </row>
    <row r="5319" spans="1:7">
      <c r="A5319" s="3">
        <v>10</v>
      </c>
      <c r="B5319" s="3">
        <v>5</v>
      </c>
      <c r="C5319" s="3">
        <v>138</v>
      </c>
      <c r="D5319" s="3">
        <v>135</v>
      </c>
      <c r="E5319" s="3">
        <v>-63734.98</v>
      </c>
      <c r="F5319" s="4" t="str">
        <f>HYPERLINK("http://141.218.60.56/~jnz1568/getInfo.php?workbook=10_05.xlsx&amp;sheet=A0&amp;row=5319&amp;col=6&amp;number=0.0286&amp;sourceID=14","0.0286")</f>
        <v>0.0286</v>
      </c>
      <c r="G5319" s="4" t="str">
        <f>HYPERLINK("http://141.218.60.56/~jnz1568/getInfo.php?workbook=10_05.xlsx&amp;sheet=A0&amp;row=5319&amp;col=7&amp;number=0&amp;sourceID=14","0")</f>
        <v>0</v>
      </c>
    </row>
    <row r="5320" spans="1:7">
      <c r="A5320" s="3">
        <v>10</v>
      </c>
      <c r="B5320" s="3">
        <v>5</v>
      </c>
      <c r="C5320" s="3">
        <v>150</v>
      </c>
      <c r="D5320" s="3">
        <v>135</v>
      </c>
      <c r="E5320" s="3">
        <v>-9819.342</v>
      </c>
      <c r="F5320" s="4" t="str">
        <f>HYPERLINK("http://141.218.60.56/~jnz1568/getInfo.php?workbook=10_05.xlsx&amp;sheet=A0&amp;row=5320&amp;col=6&amp;number=0.398&amp;sourceID=14","0.398")</f>
        <v>0.398</v>
      </c>
      <c r="G5320" s="4" t="str">
        <f>HYPERLINK("http://141.218.60.56/~jnz1568/getInfo.php?workbook=10_05.xlsx&amp;sheet=A0&amp;row=5320&amp;col=7&amp;number=0&amp;sourceID=14","0")</f>
        <v>0</v>
      </c>
    </row>
    <row r="5321" spans="1:7">
      <c r="A5321" s="3">
        <v>10</v>
      </c>
      <c r="B5321" s="3">
        <v>5</v>
      </c>
      <c r="C5321" s="3">
        <v>151</v>
      </c>
      <c r="D5321" s="3">
        <v>135</v>
      </c>
      <c r="E5321" s="3">
        <v>-9798.176</v>
      </c>
      <c r="F5321" s="4" t="str">
        <f>HYPERLINK("http://141.218.60.56/~jnz1568/getInfo.php?workbook=10_05.xlsx&amp;sheet=A0&amp;row=5321&amp;col=6&amp;number=31.1&amp;sourceID=14","31.1")</f>
        <v>31.1</v>
      </c>
      <c r="G5321" s="4" t="str">
        <f>HYPERLINK("http://141.218.60.56/~jnz1568/getInfo.php?workbook=10_05.xlsx&amp;sheet=A0&amp;row=5321&amp;col=7&amp;number=0&amp;sourceID=14","0")</f>
        <v>0</v>
      </c>
    </row>
    <row r="5322" spans="1:7">
      <c r="A5322" s="3">
        <v>10</v>
      </c>
      <c r="B5322" s="3">
        <v>5</v>
      </c>
      <c r="C5322" s="3">
        <v>154</v>
      </c>
      <c r="D5322" s="3">
        <v>135</v>
      </c>
      <c r="E5322" s="3">
        <v>-7518.811</v>
      </c>
      <c r="F5322" s="4" t="str">
        <f>HYPERLINK("http://141.218.60.56/~jnz1568/getInfo.php?workbook=10_05.xlsx&amp;sheet=A0&amp;row=5322&amp;col=6&amp;number=4.66&amp;sourceID=14","4.66")</f>
        <v>4.66</v>
      </c>
      <c r="G5322" s="4" t="str">
        <f>HYPERLINK("http://141.218.60.56/~jnz1568/getInfo.php?workbook=10_05.xlsx&amp;sheet=A0&amp;row=5322&amp;col=7&amp;number=0&amp;sourceID=14","0")</f>
        <v>0</v>
      </c>
    </row>
    <row r="5323" spans="1:7">
      <c r="A5323" s="3">
        <v>10</v>
      </c>
      <c r="B5323" s="3">
        <v>5</v>
      </c>
      <c r="C5323" s="3">
        <v>155</v>
      </c>
      <c r="D5323" s="3">
        <v>135</v>
      </c>
      <c r="E5323" s="3">
        <v>-7278.564</v>
      </c>
      <c r="F5323" s="4" t="str">
        <f>HYPERLINK("http://141.218.60.56/~jnz1568/getInfo.php?workbook=10_05.xlsx&amp;sheet=A0&amp;row=5323&amp;col=6&amp;number=29.2&amp;sourceID=14","29.2")</f>
        <v>29.2</v>
      </c>
      <c r="G5323" s="4" t="str">
        <f>HYPERLINK("http://141.218.60.56/~jnz1568/getInfo.php?workbook=10_05.xlsx&amp;sheet=A0&amp;row=5323&amp;col=7&amp;number=0&amp;sourceID=14","0")</f>
        <v>0</v>
      </c>
    </row>
    <row r="5324" spans="1:7">
      <c r="A5324" s="3">
        <v>10</v>
      </c>
      <c r="B5324" s="3">
        <v>5</v>
      </c>
      <c r="C5324" s="3">
        <v>156</v>
      </c>
      <c r="D5324" s="3">
        <v>135</v>
      </c>
      <c r="E5324" s="3">
        <v>-6991.064</v>
      </c>
      <c r="F5324" s="4" t="str">
        <f>HYPERLINK("http://141.218.60.56/~jnz1568/getInfo.php?workbook=10_05.xlsx&amp;sheet=A0&amp;row=5324&amp;col=6&amp;number=53.3&amp;sourceID=14","53.3")</f>
        <v>53.3</v>
      </c>
      <c r="G5324" s="4" t="str">
        <f>HYPERLINK("http://141.218.60.56/~jnz1568/getInfo.php?workbook=10_05.xlsx&amp;sheet=A0&amp;row=5324&amp;col=7&amp;number=0&amp;sourceID=14","0")</f>
        <v>0</v>
      </c>
    </row>
    <row r="5325" spans="1:7">
      <c r="A5325" s="3">
        <v>10</v>
      </c>
      <c r="B5325" s="3">
        <v>5</v>
      </c>
      <c r="C5325" s="3">
        <v>157</v>
      </c>
      <c r="D5325" s="3">
        <v>135</v>
      </c>
      <c r="E5325" s="3">
        <v>-6904.66</v>
      </c>
      <c r="F5325" s="4" t="str">
        <f>HYPERLINK("http://141.218.60.56/~jnz1568/getInfo.php?workbook=10_05.xlsx&amp;sheet=A0&amp;row=5325&amp;col=6&amp;number=331&amp;sourceID=14","331")</f>
        <v>331</v>
      </c>
      <c r="G5325" s="4" t="str">
        <f>HYPERLINK("http://141.218.60.56/~jnz1568/getInfo.php?workbook=10_05.xlsx&amp;sheet=A0&amp;row=5325&amp;col=7&amp;number=0&amp;sourceID=14","0")</f>
        <v>0</v>
      </c>
    </row>
    <row r="5326" spans="1:7">
      <c r="A5326" s="3">
        <v>10</v>
      </c>
      <c r="B5326" s="3">
        <v>5</v>
      </c>
      <c r="C5326" s="3">
        <v>162</v>
      </c>
      <c r="D5326" s="3">
        <v>135</v>
      </c>
      <c r="E5326" s="3">
        <v>-6111.734</v>
      </c>
      <c r="F5326" s="4" t="str">
        <f>HYPERLINK("http://141.218.60.56/~jnz1568/getInfo.php?workbook=10_05.xlsx&amp;sheet=A0&amp;row=5326&amp;col=6&amp;number=21.9&amp;sourceID=14","21.9")</f>
        <v>21.9</v>
      </c>
      <c r="G5326" s="4" t="str">
        <f>HYPERLINK("http://141.218.60.56/~jnz1568/getInfo.php?workbook=10_05.xlsx&amp;sheet=A0&amp;row=5326&amp;col=7&amp;number=0&amp;sourceID=14","0")</f>
        <v>0</v>
      </c>
    </row>
    <row r="5327" spans="1:7">
      <c r="A5327" s="3">
        <v>10</v>
      </c>
      <c r="B5327" s="3">
        <v>5</v>
      </c>
      <c r="C5327" s="3">
        <v>168</v>
      </c>
      <c r="D5327" s="3">
        <v>135</v>
      </c>
      <c r="E5327" s="3">
        <v>-1035.37</v>
      </c>
      <c r="F5327" s="4" t="str">
        <f>HYPERLINK("http://141.218.60.56/~jnz1568/getInfo.php?workbook=10_05.xlsx&amp;sheet=A0&amp;row=5327&amp;col=6&amp;number=817&amp;sourceID=14","817")</f>
        <v>817</v>
      </c>
      <c r="G5327" s="4" t="str">
        <f>HYPERLINK("http://141.218.60.56/~jnz1568/getInfo.php?workbook=10_05.xlsx&amp;sheet=A0&amp;row=5327&amp;col=7&amp;number=0&amp;sourceID=14","0")</f>
        <v>0</v>
      </c>
    </row>
    <row r="5328" spans="1:7">
      <c r="A5328" s="3">
        <v>10</v>
      </c>
      <c r="B5328" s="3">
        <v>5</v>
      </c>
      <c r="C5328" s="3">
        <v>169</v>
      </c>
      <c r="D5328" s="3">
        <v>135</v>
      </c>
      <c r="E5328" s="3">
        <v>-1034.856</v>
      </c>
      <c r="F5328" s="4" t="str">
        <f>HYPERLINK("http://141.218.60.56/~jnz1568/getInfo.php?workbook=10_05.xlsx&amp;sheet=A0&amp;row=5328&amp;col=6&amp;number=1950&amp;sourceID=14","1950")</f>
        <v>1950</v>
      </c>
      <c r="G5328" s="4" t="str">
        <f>HYPERLINK("http://141.218.60.56/~jnz1568/getInfo.php?workbook=10_05.xlsx&amp;sheet=A0&amp;row=5328&amp;col=7&amp;number=0&amp;sourceID=14","0")</f>
        <v>0</v>
      </c>
    </row>
    <row r="5329" spans="1:7">
      <c r="A5329" s="3">
        <v>10</v>
      </c>
      <c r="B5329" s="3">
        <v>5</v>
      </c>
      <c r="C5329" s="3">
        <v>171</v>
      </c>
      <c r="D5329" s="3">
        <v>135</v>
      </c>
      <c r="E5329" s="3">
        <v>-942.527</v>
      </c>
      <c r="F5329" s="4" t="str">
        <f>HYPERLINK("http://141.218.60.56/~jnz1568/getInfo.php?workbook=10_05.xlsx&amp;sheet=A0&amp;row=5329&amp;col=6&amp;number=1770&amp;sourceID=14","1770")</f>
        <v>1770</v>
      </c>
      <c r="G5329" s="4" t="str">
        <f>HYPERLINK("http://141.218.60.56/~jnz1568/getInfo.php?workbook=10_05.xlsx&amp;sheet=A0&amp;row=5329&amp;col=7&amp;number=0&amp;sourceID=14","0")</f>
        <v>0</v>
      </c>
    </row>
    <row r="5330" spans="1:7">
      <c r="A5330" s="3">
        <v>10</v>
      </c>
      <c r="B5330" s="3">
        <v>5</v>
      </c>
      <c r="C5330" s="3">
        <v>172</v>
      </c>
      <c r="D5330" s="3">
        <v>135</v>
      </c>
      <c r="E5330" s="3">
        <v>-925.516</v>
      </c>
      <c r="F5330" s="4" t="str">
        <f>HYPERLINK("http://141.218.60.56/~jnz1568/getInfo.php?workbook=10_05.xlsx&amp;sheet=A0&amp;row=5330&amp;col=6&amp;number=849&amp;sourceID=14","849")</f>
        <v>849</v>
      </c>
      <c r="G5330" s="4" t="str">
        <f>HYPERLINK("http://141.218.60.56/~jnz1568/getInfo.php?workbook=10_05.xlsx&amp;sheet=A0&amp;row=5330&amp;col=7&amp;number=0&amp;sourceID=14","0")</f>
        <v>0</v>
      </c>
    </row>
    <row r="5331" spans="1:7">
      <c r="A5331" s="3">
        <v>10</v>
      </c>
      <c r="B5331" s="3">
        <v>5</v>
      </c>
      <c r="C5331" s="3">
        <v>173</v>
      </c>
      <c r="D5331" s="3">
        <v>135</v>
      </c>
      <c r="E5331" s="3">
        <v>-925.319</v>
      </c>
      <c r="F5331" s="4" t="str">
        <f>HYPERLINK("http://141.218.60.56/~jnz1568/getInfo.php?workbook=10_05.xlsx&amp;sheet=A0&amp;row=5331&amp;col=6&amp;number=9830&amp;sourceID=14","9830")</f>
        <v>9830</v>
      </c>
      <c r="G5331" s="4" t="str">
        <f>HYPERLINK("http://141.218.60.56/~jnz1568/getInfo.php?workbook=10_05.xlsx&amp;sheet=A0&amp;row=5331&amp;col=7&amp;number=0&amp;sourceID=14","0")</f>
        <v>0</v>
      </c>
    </row>
    <row r="5332" spans="1:7">
      <c r="A5332" s="3">
        <v>10</v>
      </c>
      <c r="B5332" s="3">
        <v>5</v>
      </c>
      <c r="C5332" s="3">
        <v>138</v>
      </c>
      <c r="D5332" s="3">
        <v>136</v>
      </c>
      <c r="E5332" s="3">
        <v>-82850.194</v>
      </c>
      <c r="F5332" s="4" t="str">
        <f>HYPERLINK("http://141.218.60.56/~jnz1568/getInfo.php?workbook=10_05.xlsx&amp;sheet=A0&amp;row=5332&amp;col=6&amp;number=0.000431&amp;sourceID=14","0.000431")</f>
        <v>0.000431</v>
      </c>
      <c r="G5332" s="4" t="str">
        <f>HYPERLINK("http://141.218.60.56/~jnz1568/getInfo.php?workbook=10_05.xlsx&amp;sheet=A0&amp;row=5332&amp;col=7&amp;number=0&amp;sourceID=14","0")</f>
        <v>0</v>
      </c>
    </row>
    <row r="5333" spans="1:7">
      <c r="A5333" s="3">
        <v>10</v>
      </c>
      <c r="B5333" s="3">
        <v>5</v>
      </c>
      <c r="C5333" s="3">
        <v>139</v>
      </c>
      <c r="D5333" s="3">
        <v>136</v>
      </c>
      <c r="E5333" s="3">
        <v>-75301.343</v>
      </c>
      <c r="F5333" s="4" t="str">
        <f>HYPERLINK("http://141.218.60.56/~jnz1568/getInfo.php?workbook=10_05.xlsx&amp;sheet=A0&amp;row=5333&amp;col=6&amp;number=0.0261&amp;sourceID=14","0.0261")</f>
        <v>0.0261</v>
      </c>
      <c r="G5333" s="4" t="str">
        <f>HYPERLINK("http://141.218.60.56/~jnz1568/getInfo.php?workbook=10_05.xlsx&amp;sheet=A0&amp;row=5333&amp;col=7&amp;number=0&amp;sourceID=14","0")</f>
        <v>0</v>
      </c>
    </row>
    <row r="5334" spans="1:7">
      <c r="A5334" s="3">
        <v>10</v>
      </c>
      <c r="B5334" s="3">
        <v>5</v>
      </c>
      <c r="C5334" s="3">
        <v>151</v>
      </c>
      <c r="D5334" s="3">
        <v>136</v>
      </c>
      <c r="E5334" s="3">
        <v>-10158.491</v>
      </c>
      <c r="F5334" s="4" t="str">
        <f>HYPERLINK("http://141.218.60.56/~jnz1568/getInfo.php?workbook=10_05.xlsx&amp;sheet=A0&amp;row=5334&amp;col=6&amp;number=7.29&amp;sourceID=14","7.29")</f>
        <v>7.29</v>
      </c>
      <c r="G5334" s="4" t="str">
        <f>HYPERLINK("http://141.218.60.56/~jnz1568/getInfo.php?workbook=10_05.xlsx&amp;sheet=A0&amp;row=5334&amp;col=7&amp;number=0&amp;sourceID=14","0")</f>
        <v>0</v>
      </c>
    </row>
    <row r="5335" spans="1:7">
      <c r="A5335" s="3">
        <v>10</v>
      </c>
      <c r="B5335" s="3">
        <v>5</v>
      </c>
      <c r="C5335" s="3">
        <v>154</v>
      </c>
      <c r="D5335" s="3">
        <v>136</v>
      </c>
      <c r="E5335" s="3">
        <v>-7729.184</v>
      </c>
      <c r="F5335" s="4" t="str">
        <f>HYPERLINK("http://141.218.60.56/~jnz1568/getInfo.php?workbook=10_05.xlsx&amp;sheet=A0&amp;row=5335&amp;col=6&amp;number=8.51&amp;sourceID=14","8.51")</f>
        <v>8.51</v>
      </c>
      <c r="G5335" s="4" t="str">
        <f>HYPERLINK("http://141.218.60.56/~jnz1568/getInfo.php?workbook=10_05.xlsx&amp;sheet=A0&amp;row=5335&amp;col=7&amp;number=0&amp;sourceID=14","0")</f>
        <v>0</v>
      </c>
    </row>
    <row r="5336" spans="1:7">
      <c r="A5336" s="3">
        <v>10</v>
      </c>
      <c r="B5336" s="3">
        <v>5</v>
      </c>
      <c r="C5336" s="3">
        <v>155</v>
      </c>
      <c r="D5336" s="3">
        <v>136</v>
      </c>
      <c r="E5336" s="3">
        <v>-7475.531</v>
      </c>
      <c r="F5336" s="4" t="str">
        <f>HYPERLINK("http://141.218.60.56/~jnz1568/getInfo.php?workbook=10_05.xlsx&amp;sheet=A0&amp;row=5336&amp;col=6&amp;number=4.77&amp;sourceID=14","4.77")</f>
        <v>4.77</v>
      </c>
      <c r="G5336" s="4" t="str">
        <f>HYPERLINK("http://141.218.60.56/~jnz1568/getInfo.php?workbook=10_05.xlsx&amp;sheet=A0&amp;row=5336&amp;col=7&amp;number=0&amp;sourceID=14","0")</f>
        <v>0</v>
      </c>
    </row>
    <row r="5337" spans="1:7">
      <c r="A5337" s="3">
        <v>10</v>
      </c>
      <c r="B5337" s="3">
        <v>5</v>
      </c>
      <c r="C5337" s="3">
        <v>157</v>
      </c>
      <c r="D5337" s="3">
        <v>136</v>
      </c>
      <c r="E5337" s="3">
        <v>-7081.664</v>
      </c>
      <c r="F5337" s="4" t="str">
        <f>HYPERLINK("http://141.218.60.56/~jnz1568/getInfo.php?workbook=10_05.xlsx&amp;sheet=A0&amp;row=5337&amp;col=6&amp;number=205&amp;sourceID=14","205")</f>
        <v>205</v>
      </c>
      <c r="G5337" s="4" t="str">
        <f>HYPERLINK("http://141.218.60.56/~jnz1568/getInfo.php?workbook=10_05.xlsx&amp;sheet=A0&amp;row=5337&amp;col=7&amp;number=0&amp;sourceID=14","0")</f>
        <v>0</v>
      </c>
    </row>
    <row r="5338" spans="1:7">
      <c r="A5338" s="3">
        <v>10</v>
      </c>
      <c r="B5338" s="3">
        <v>5</v>
      </c>
      <c r="C5338" s="3">
        <v>168</v>
      </c>
      <c r="D5338" s="3">
        <v>136</v>
      </c>
      <c r="E5338" s="3">
        <v>-1039.265</v>
      </c>
      <c r="F5338" s="4" t="str">
        <f>HYPERLINK("http://141.218.60.56/~jnz1568/getInfo.php?workbook=10_05.xlsx&amp;sheet=A0&amp;row=5338&amp;col=6&amp;number=1400&amp;sourceID=14","1400")</f>
        <v>1400</v>
      </c>
      <c r="G5338" s="4" t="str">
        <f>HYPERLINK("http://141.218.60.56/~jnz1568/getInfo.php?workbook=10_05.xlsx&amp;sheet=A0&amp;row=5338&amp;col=7&amp;number=0&amp;sourceID=14","0")</f>
        <v>0</v>
      </c>
    </row>
    <row r="5339" spans="1:7">
      <c r="A5339" s="3">
        <v>10</v>
      </c>
      <c r="B5339" s="3">
        <v>5</v>
      </c>
      <c r="C5339" s="3">
        <v>173</v>
      </c>
      <c r="D5339" s="3">
        <v>136</v>
      </c>
      <c r="E5339" s="3">
        <v>-928.429</v>
      </c>
      <c r="F5339" s="4" t="str">
        <f>HYPERLINK("http://141.218.60.56/~jnz1568/getInfo.php?workbook=10_05.xlsx&amp;sheet=A0&amp;row=5339&amp;col=6&amp;number=25.4&amp;sourceID=14","25.4")</f>
        <v>25.4</v>
      </c>
      <c r="G5339" s="4" t="str">
        <f>HYPERLINK("http://141.218.60.56/~jnz1568/getInfo.php?workbook=10_05.xlsx&amp;sheet=A0&amp;row=5339&amp;col=7&amp;number=0&amp;sourceID=14","0")</f>
        <v>0</v>
      </c>
    </row>
    <row r="5340" spans="1:7">
      <c r="A5340" s="3">
        <v>10</v>
      </c>
      <c r="B5340" s="3">
        <v>5</v>
      </c>
      <c r="C5340" s="3">
        <v>138</v>
      </c>
      <c r="D5340" s="3">
        <v>137</v>
      </c>
      <c r="E5340" s="3">
        <v>-142450.405</v>
      </c>
      <c r="F5340" s="4" t="str">
        <f>HYPERLINK("http://141.218.60.56/~jnz1568/getInfo.php?workbook=10_05.xlsx&amp;sheet=A0&amp;row=5340&amp;col=6&amp;number=2.36e-05&amp;sourceID=14","2.36e-05")</f>
        <v>2.36e-05</v>
      </c>
      <c r="G5340" s="4" t="str">
        <f>HYPERLINK("http://141.218.60.56/~jnz1568/getInfo.php?workbook=10_05.xlsx&amp;sheet=A0&amp;row=5340&amp;col=7&amp;number=0&amp;sourceID=14","0")</f>
        <v>0</v>
      </c>
    </row>
    <row r="5341" spans="1:7">
      <c r="A5341" s="3">
        <v>10</v>
      </c>
      <c r="B5341" s="3">
        <v>5</v>
      </c>
      <c r="C5341" s="3">
        <v>139</v>
      </c>
      <c r="D5341" s="3">
        <v>137</v>
      </c>
      <c r="E5341" s="3">
        <v>-121506.906</v>
      </c>
      <c r="F5341" s="4" t="str">
        <f>HYPERLINK("http://141.218.60.56/~jnz1568/getInfo.php?workbook=10_05.xlsx&amp;sheet=A0&amp;row=5341&amp;col=6&amp;number=6.83e-07&amp;sourceID=14","6.83e-07")</f>
        <v>6.83e-07</v>
      </c>
      <c r="G5341" s="4" t="str">
        <f>HYPERLINK("http://141.218.60.56/~jnz1568/getInfo.php?workbook=10_05.xlsx&amp;sheet=A0&amp;row=5341&amp;col=7&amp;number=0&amp;sourceID=14","0")</f>
        <v>0</v>
      </c>
    </row>
    <row r="5342" spans="1:7">
      <c r="A5342" s="3">
        <v>10</v>
      </c>
      <c r="B5342" s="3">
        <v>5</v>
      </c>
      <c r="C5342" s="3">
        <v>154</v>
      </c>
      <c r="D5342" s="3">
        <v>137</v>
      </c>
      <c r="E5342" s="3">
        <v>-8043.126</v>
      </c>
      <c r="F5342" s="4" t="str">
        <f>HYPERLINK("http://141.218.60.56/~jnz1568/getInfo.php?workbook=10_05.xlsx&amp;sheet=A0&amp;row=5342&amp;col=6&amp;number=22.2&amp;sourceID=14","22.2")</f>
        <v>22.2</v>
      </c>
      <c r="G5342" s="4" t="str">
        <f>HYPERLINK("http://141.218.60.56/~jnz1568/getInfo.php?workbook=10_05.xlsx&amp;sheet=A0&amp;row=5342&amp;col=7&amp;number=0&amp;sourceID=14","0")</f>
        <v>0</v>
      </c>
    </row>
    <row r="5343" spans="1:7">
      <c r="A5343" s="3">
        <v>10</v>
      </c>
      <c r="B5343" s="3">
        <v>5</v>
      </c>
      <c r="C5343" s="3">
        <v>143</v>
      </c>
      <c r="D5343" s="3">
        <v>138</v>
      </c>
      <c r="E5343" s="3">
        <v>-31308.761</v>
      </c>
      <c r="F5343" s="4" t="str">
        <f>HYPERLINK("http://141.218.60.56/~jnz1568/getInfo.php?workbook=10_05.xlsx&amp;sheet=A0&amp;row=5343&amp;col=6&amp;number=0.0545&amp;sourceID=14","0.0545")</f>
        <v>0.0545</v>
      </c>
      <c r="G5343" s="4" t="str">
        <f>HYPERLINK("http://141.218.60.56/~jnz1568/getInfo.php?workbook=10_05.xlsx&amp;sheet=A0&amp;row=5343&amp;col=7&amp;number=0&amp;sourceID=14","0")</f>
        <v>0</v>
      </c>
    </row>
    <row r="5344" spans="1:7">
      <c r="A5344" s="3">
        <v>10</v>
      </c>
      <c r="B5344" s="3">
        <v>5</v>
      </c>
      <c r="C5344" s="3">
        <v>144</v>
      </c>
      <c r="D5344" s="3">
        <v>138</v>
      </c>
      <c r="E5344" s="3">
        <v>-29489.88</v>
      </c>
      <c r="F5344" s="4" t="str">
        <f>HYPERLINK("http://141.218.60.56/~jnz1568/getInfo.php?workbook=10_05.xlsx&amp;sheet=A0&amp;row=5344&amp;col=6&amp;number=0.00568&amp;sourceID=14","0.00568")</f>
        <v>0.00568</v>
      </c>
      <c r="G5344" s="4" t="str">
        <f>HYPERLINK("http://141.218.60.56/~jnz1568/getInfo.php?workbook=10_05.xlsx&amp;sheet=A0&amp;row=5344&amp;col=7&amp;number=0&amp;sourceID=14","0")</f>
        <v>0</v>
      </c>
    </row>
    <row r="5345" spans="1:7">
      <c r="A5345" s="3">
        <v>10</v>
      </c>
      <c r="B5345" s="3">
        <v>5</v>
      </c>
      <c r="C5345" s="3">
        <v>146</v>
      </c>
      <c r="D5345" s="3">
        <v>138</v>
      </c>
      <c r="E5345" s="3">
        <v>-22060.486</v>
      </c>
      <c r="F5345" s="4" t="str">
        <f>HYPERLINK("http://141.218.60.56/~jnz1568/getInfo.php?workbook=10_05.xlsx&amp;sheet=A0&amp;row=5345&amp;col=6&amp;number=5.46&amp;sourceID=14","5.46")</f>
        <v>5.46</v>
      </c>
      <c r="G5345" s="4" t="str">
        <f>HYPERLINK("http://141.218.60.56/~jnz1568/getInfo.php?workbook=10_05.xlsx&amp;sheet=A0&amp;row=5345&amp;col=7&amp;number=0&amp;sourceID=14","0")</f>
        <v>0</v>
      </c>
    </row>
    <row r="5346" spans="1:7">
      <c r="A5346" s="3">
        <v>10</v>
      </c>
      <c r="B5346" s="3">
        <v>5</v>
      </c>
      <c r="C5346" s="3">
        <v>147</v>
      </c>
      <c r="D5346" s="3">
        <v>138</v>
      </c>
      <c r="E5346" s="3">
        <v>-20429.047</v>
      </c>
      <c r="F5346" s="4" t="str">
        <f>HYPERLINK("http://141.218.60.56/~jnz1568/getInfo.php?workbook=10_05.xlsx&amp;sheet=A0&amp;row=5346&amp;col=6&amp;number=0.513&amp;sourceID=14","0.513")</f>
        <v>0.513</v>
      </c>
      <c r="G5346" s="4" t="str">
        <f>HYPERLINK("http://141.218.60.56/~jnz1568/getInfo.php?workbook=10_05.xlsx&amp;sheet=A0&amp;row=5346&amp;col=7&amp;number=0&amp;sourceID=14","0")</f>
        <v>0</v>
      </c>
    </row>
    <row r="5347" spans="1:7">
      <c r="A5347" s="3">
        <v>10</v>
      </c>
      <c r="B5347" s="3">
        <v>5</v>
      </c>
      <c r="C5347" s="3">
        <v>152</v>
      </c>
      <c r="D5347" s="3">
        <v>138</v>
      </c>
      <c r="E5347" s="3">
        <v>-9562.075</v>
      </c>
      <c r="F5347" s="4" t="str">
        <f>HYPERLINK("http://141.218.60.56/~jnz1568/getInfo.php?workbook=10_05.xlsx&amp;sheet=A0&amp;row=5347&amp;col=6&amp;number=16300&amp;sourceID=14","16300")</f>
        <v>16300</v>
      </c>
      <c r="G5347" s="4" t="str">
        <f>HYPERLINK("http://141.218.60.56/~jnz1568/getInfo.php?workbook=10_05.xlsx&amp;sheet=A0&amp;row=5347&amp;col=7&amp;number=0&amp;sourceID=14","0")</f>
        <v>0</v>
      </c>
    </row>
    <row r="5348" spans="1:7">
      <c r="A5348" s="3">
        <v>10</v>
      </c>
      <c r="B5348" s="3">
        <v>5</v>
      </c>
      <c r="C5348" s="3">
        <v>153</v>
      </c>
      <c r="D5348" s="3">
        <v>138</v>
      </c>
      <c r="E5348" s="3">
        <v>-8881.8</v>
      </c>
      <c r="F5348" s="4" t="str">
        <f>HYPERLINK("http://141.218.60.56/~jnz1568/getInfo.php?workbook=10_05.xlsx&amp;sheet=A0&amp;row=5348&amp;col=6&amp;number=469&amp;sourceID=14","469")</f>
        <v>469</v>
      </c>
      <c r="G5348" s="4" t="str">
        <f>HYPERLINK("http://141.218.60.56/~jnz1568/getInfo.php?workbook=10_05.xlsx&amp;sheet=A0&amp;row=5348&amp;col=7&amp;number=0&amp;sourceID=14","0")</f>
        <v>0</v>
      </c>
    </row>
    <row r="5349" spans="1:7">
      <c r="A5349" s="3">
        <v>10</v>
      </c>
      <c r="B5349" s="3">
        <v>5</v>
      </c>
      <c r="C5349" s="3">
        <v>175</v>
      </c>
      <c r="D5349" s="3">
        <v>138</v>
      </c>
      <c r="E5349" s="3">
        <v>-845.053</v>
      </c>
      <c r="F5349" s="4" t="str">
        <f>HYPERLINK("http://141.218.60.56/~jnz1568/getInfo.php?workbook=10_05.xlsx&amp;sheet=A0&amp;row=5349&amp;col=6&amp;number=59600&amp;sourceID=14","59600")</f>
        <v>59600</v>
      </c>
      <c r="G5349" s="4" t="str">
        <f>HYPERLINK("http://141.218.60.56/~jnz1568/getInfo.php?workbook=10_05.xlsx&amp;sheet=A0&amp;row=5349&amp;col=7&amp;number=0&amp;sourceID=14","0")</f>
        <v>0</v>
      </c>
    </row>
    <row r="5350" spans="1:7">
      <c r="A5350" s="3">
        <v>10</v>
      </c>
      <c r="B5350" s="3">
        <v>5</v>
      </c>
      <c r="C5350" s="3">
        <v>176</v>
      </c>
      <c r="D5350" s="3">
        <v>138</v>
      </c>
      <c r="E5350" s="3">
        <v>-845.046</v>
      </c>
      <c r="F5350" s="4" t="str">
        <f>HYPERLINK("http://141.218.60.56/~jnz1568/getInfo.php?workbook=10_05.xlsx&amp;sheet=A0&amp;row=5350&amp;col=6&amp;number=2900000&amp;sourceID=14","2900000")</f>
        <v>2900000</v>
      </c>
      <c r="G5350" s="4" t="str">
        <f>HYPERLINK("http://141.218.60.56/~jnz1568/getInfo.php?workbook=10_05.xlsx&amp;sheet=A0&amp;row=5350&amp;col=7&amp;number=0&amp;sourceID=14","0")</f>
        <v>0</v>
      </c>
    </row>
    <row r="5351" spans="1:7">
      <c r="A5351" s="3">
        <v>10</v>
      </c>
      <c r="B5351" s="3">
        <v>5</v>
      </c>
      <c r="C5351" s="3">
        <v>178</v>
      </c>
      <c r="D5351" s="3">
        <v>138</v>
      </c>
      <c r="E5351" s="3">
        <v>-838.421</v>
      </c>
      <c r="F5351" s="4" t="str">
        <f>HYPERLINK("http://141.218.60.56/~jnz1568/getInfo.php?workbook=10_05.xlsx&amp;sheet=A0&amp;row=5351&amp;col=6&amp;number=2390&amp;sourceID=14","2390")</f>
        <v>2390</v>
      </c>
      <c r="G5351" s="4" t="str">
        <f>HYPERLINK("http://141.218.60.56/~jnz1568/getInfo.php?workbook=10_05.xlsx&amp;sheet=A0&amp;row=5351&amp;col=7&amp;number=0&amp;sourceID=14","0")</f>
        <v>0</v>
      </c>
    </row>
    <row r="5352" spans="1:7">
      <c r="A5352" s="3">
        <v>10</v>
      </c>
      <c r="B5352" s="3">
        <v>5</v>
      </c>
      <c r="C5352" s="3">
        <v>144</v>
      </c>
      <c r="D5352" s="3">
        <v>139</v>
      </c>
      <c r="E5352" s="3">
        <v>-30581.096</v>
      </c>
      <c r="F5352" s="4" t="str">
        <f>HYPERLINK("http://141.218.60.56/~jnz1568/getInfo.php?workbook=10_05.xlsx&amp;sheet=A0&amp;row=5352&amp;col=6&amp;number=0.0904&amp;sourceID=14","0.0904")</f>
        <v>0.0904</v>
      </c>
      <c r="G5352" s="4" t="str">
        <f>HYPERLINK("http://141.218.60.56/~jnz1568/getInfo.php?workbook=10_05.xlsx&amp;sheet=A0&amp;row=5352&amp;col=7&amp;number=0&amp;sourceID=14","0")</f>
        <v>0</v>
      </c>
    </row>
    <row r="5353" spans="1:7">
      <c r="A5353" s="3">
        <v>10</v>
      </c>
      <c r="B5353" s="3">
        <v>5</v>
      </c>
      <c r="C5353" s="3">
        <v>153</v>
      </c>
      <c r="D5353" s="3">
        <v>139</v>
      </c>
      <c r="E5353" s="3">
        <v>-8978.289</v>
      </c>
      <c r="F5353" s="4" t="str">
        <f>HYPERLINK("http://141.218.60.56/~jnz1568/getInfo.php?workbook=10_05.xlsx&amp;sheet=A0&amp;row=5353&amp;col=6&amp;number=18400&amp;sourceID=14","18400")</f>
        <v>18400</v>
      </c>
      <c r="G5353" s="4" t="str">
        <f>HYPERLINK("http://141.218.60.56/~jnz1568/getInfo.php?workbook=10_05.xlsx&amp;sheet=A0&amp;row=5353&amp;col=7&amp;number=0&amp;sourceID=14","0")</f>
        <v>0</v>
      </c>
    </row>
    <row r="5354" spans="1:7">
      <c r="A5354" s="3">
        <v>10</v>
      </c>
      <c r="B5354" s="3">
        <v>5</v>
      </c>
      <c r="C5354" s="3">
        <v>175</v>
      </c>
      <c r="D5354" s="3">
        <v>139</v>
      </c>
      <c r="E5354" s="3">
        <v>-845.918</v>
      </c>
      <c r="F5354" s="4" t="str">
        <f>HYPERLINK("http://141.218.60.56/~jnz1568/getInfo.php?workbook=10_05.xlsx&amp;sheet=A0&amp;row=5354&amp;col=6&amp;number=2740000&amp;sourceID=14","2740000")</f>
        <v>2740000</v>
      </c>
      <c r="G5354" s="4" t="str">
        <f>HYPERLINK("http://141.218.60.56/~jnz1568/getInfo.php?workbook=10_05.xlsx&amp;sheet=A0&amp;row=5354&amp;col=7&amp;number=0&amp;sourceID=14","0")</f>
        <v>0</v>
      </c>
    </row>
    <row r="5355" spans="1:7">
      <c r="A5355" s="3">
        <v>10</v>
      </c>
      <c r="B5355" s="3">
        <v>5</v>
      </c>
      <c r="C5355" s="3">
        <v>141</v>
      </c>
      <c r="D5355" s="3">
        <v>140</v>
      </c>
      <c r="E5355" s="3">
        <v>-82034.605</v>
      </c>
      <c r="F5355" s="4" t="str">
        <f>HYPERLINK("http://141.218.60.56/~jnz1568/getInfo.php?workbook=10_05.xlsx&amp;sheet=A0&amp;row=5355&amp;col=6&amp;number=2.22&amp;sourceID=14","2.22")</f>
        <v>2.22</v>
      </c>
      <c r="G5355" s="4" t="str">
        <f>HYPERLINK("http://141.218.60.56/~jnz1568/getInfo.php?workbook=10_05.xlsx&amp;sheet=A0&amp;row=5355&amp;col=7&amp;number=0&amp;sourceID=14","0")</f>
        <v>0</v>
      </c>
    </row>
    <row r="5356" spans="1:7">
      <c r="A5356" s="3">
        <v>10</v>
      </c>
      <c r="B5356" s="3">
        <v>5</v>
      </c>
      <c r="C5356" s="3">
        <v>142</v>
      </c>
      <c r="D5356" s="3">
        <v>140</v>
      </c>
      <c r="E5356" s="3">
        <v>-79176.709</v>
      </c>
      <c r="F5356" s="4" t="str">
        <f>HYPERLINK("http://141.218.60.56/~jnz1568/getInfo.php?workbook=10_05.xlsx&amp;sheet=A0&amp;row=5356&amp;col=6&amp;number=0.91&amp;sourceID=14","0.91")</f>
        <v>0.91</v>
      </c>
      <c r="G5356" s="4" t="str">
        <f>HYPERLINK("http://141.218.60.56/~jnz1568/getInfo.php?workbook=10_05.xlsx&amp;sheet=A0&amp;row=5356&amp;col=7&amp;number=0&amp;sourceID=14","0")</f>
        <v>0</v>
      </c>
    </row>
    <row r="5357" spans="1:7">
      <c r="A5357" s="3">
        <v>10</v>
      </c>
      <c r="B5357" s="3">
        <v>5</v>
      </c>
      <c r="C5357" s="3">
        <v>145</v>
      </c>
      <c r="D5357" s="3">
        <v>140</v>
      </c>
      <c r="E5357" s="3">
        <v>-38270.258</v>
      </c>
      <c r="F5357" s="4" t="str">
        <f>HYPERLINK("http://141.218.60.56/~jnz1568/getInfo.php?workbook=10_05.xlsx&amp;sheet=A0&amp;row=5357&amp;col=6&amp;number=1.18&amp;sourceID=14","1.18")</f>
        <v>1.18</v>
      </c>
      <c r="G5357" s="4" t="str">
        <f>HYPERLINK("http://141.218.60.56/~jnz1568/getInfo.php?workbook=10_05.xlsx&amp;sheet=A0&amp;row=5357&amp;col=7&amp;number=0&amp;sourceID=14","0")</f>
        <v>0</v>
      </c>
    </row>
    <row r="5358" spans="1:7">
      <c r="A5358" s="3">
        <v>10</v>
      </c>
      <c r="B5358" s="3">
        <v>5</v>
      </c>
      <c r="C5358" s="3">
        <v>148</v>
      </c>
      <c r="D5358" s="3">
        <v>140</v>
      </c>
      <c r="E5358" s="3">
        <v>-30165.968</v>
      </c>
      <c r="F5358" s="4" t="str">
        <f>HYPERLINK("http://141.218.60.56/~jnz1568/getInfo.php?workbook=10_05.xlsx&amp;sheet=A0&amp;row=5358&amp;col=6&amp;number=0.605&amp;sourceID=14","0.605")</f>
        <v>0.605</v>
      </c>
      <c r="G5358" s="4" t="str">
        <f>HYPERLINK("http://141.218.60.56/~jnz1568/getInfo.php?workbook=10_05.xlsx&amp;sheet=A0&amp;row=5358&amp;col=7&amp;number=0&amp;sourceID=14","0")</f>
        <v>0</v>
      </c>
    </row>
    <row r="5359" spans="1:7">
      <c r="A5359" s="3">
        <v>10</v>
      </c>
      <c r="B5359" s="3">
        <v>5</v>
      </c>
      <c r="C5359" s="3">
        <v>149</v>
      </c>
      <c r="D5359" s="3">
        <v>140</v>
      </c>
      <c r="E5359" s="3">
        <v>-29291.208</v>
      </c>
      <c r="F5359" s="4" t="str">
        <f>HYPERLINK("http://141.218.60.56/~jnz1568/getInfo.php?workbook=10_05.xlsx&amp;sheet=A0&amp;row=5359&amp;col=6&amp;number=0.0174&amp;sourceID=14","0.0174")</f>
        <v>0.0174</v>
      </c>
      <c r="G5359" s="4" t="str">
        <f>HYPERLINK("http://141.218.60.56/~jnz1568/getInfo.php?workbook=10_05.xlsx&amp;sheet=A0&amp;row=5359&amp;col=7&amp;number=0&amp;sourceID=14","0")</f>
        <v>0</v>
      </c>
    </row>
    <row r="5360" spans="1:7">
      <c r="A5360" s="3">
        <v>10</v>
      </c>
      <c r="B5360" s="3">
        <v>5</v>
      </c>
      <c r="C5360" s="3">
        <v>158</v>
      </c>
      <c r="D5360" s="3">
        <v>140</v>
      </c>
      <c r="E5360" s="3">
        <v>-8795.091</v>
      </c>
      <c r="F5360" s="4" t="str">
        <f>HYPERLINK("http://141.218.60.56/~jnz1568/getInfo.php?workbook=10_05.xlsx&amp;sheet=A0&amp;row=5360&amp;col=6&amp;number=5840000&amp;sourceID=14","5840000")</f>
        <v>5840000</v>
      </c>
      <c r="G5360" s="4" t="str">
        <f>HYPERLINK("http://141.218.60.56/~jnz1568/getInfo.php?workbook=10_05.xlsx&amp;sheet=A0&amp;row=5360&amp;col=7&amp;number=0&amp;sourceID=14","0")</f>
        <v>0</v>
      </c>
    </row>
    <row r="5361" spans="1:7">
      <c r="A5361" s="3">
        <v>10</v>
      </c>
      <c r="B5361" s="3">
        <v>5</v>
      </c>
      <c r="C5361" s="3">
        <v>159</v>
      </c>
      <c r="D5361" s="3">
        <v>140</v>
      </c>
      <c r="E5361" s="3">
        <v>-8476.028</v>
      </c>
      <c r="F5361" s="4" t="str">
        <f>HYPERLINK("http://141.218.60.56/~jnz1568/getInfo.php?workbook=10_05.xlsx&amp;sheet=A0&amp;row=5361&amp;col=6&amp;number=7050000&amp;sourceID=14","7050000")</f>
        <v>7050000</v>
      </c>
      <c r="G5361" s="4" t="str">
        <f>HYPERLINK("http://141.218.60.56/~jnz1568/getInfo.php?workbook=10_05.xlsx&amp;sheet=A0&amp;row=5361&amp;col=7&amp;number=0&amp;sourceID=14","0")</f>
        <v>0</v>
      </c>
    </row>
    <row r="5362" spans="1:7">
      <c r="A5362" s="3">
        <v>10</v>
      </c>
      <c r="B5362" s="3">
        <v>5</v>
      </c>
      <c r="C5362" s="3">
        <v>164</v>
      </c>
      <c r="D5362" s="3">
        <v>140</v>
      </c>
      <c r="E5362" s="3">
        <v>-1726.403</v>
      </c>
      <c r="F5362" s="4" t="str">
        <f>HYPERLINK("http://141.218.60.56/~jnz1568/getInfo.php?workbook=10_05.xlsx&amp;sheet=A0&amp;row=5362&amp;col=6&amp;number=114000000&amp;sourceID=14","114000000")</f>
        <v>114000000</v>
      </c>
      <c r="G5362" s="4" t="str">
        <f>HYPERLINK("http://141.218.60.56/~jnz1568/getInfo.php?workbook=10_05.xlsx&amp;sheet=A0&amp;row=5362&amp;col=7&amp;number=0&amp;sourceID=14","0")</f>
        <v>0</v>
      </c>
    </row>
    <row r="5363" spans="1:7">
      <c r="A5363" s="3">
        <v>10</v>
      </c>
      <c r="B5363" s="3">
        <v>5</v>
      </c>
      <c r="C5363" s="3">
        <v>165</v>
      </c>
      <c r="D5363" s="3">
        <v>140</v>
      </c>
      <c r="E5363" s="3">
        <v>-1722.33</v>
      </c>
      <c r="F5363" s="4" t="str">
        <f>HYPERLINK("http://141.218.60.56/~jnz1568/getInfo.php?workbook=10_05.xlsx&amp;sheet=A0&amp;row=5363&amp;col=6&amp;number=115000000&amp;sourceID=14","115000000")</f>
        <v>115000000</v>
      </c>
      <c r="G5363" s="4" t="str">
        <f>HYPERLINK("http://141.218.60.56/~jnz1568/getInfo.php?workbook=10_05.xlsx&amp;sheet=A0&amp;row=5363&amp;col=7&amp;number=0&amp;sourceID=14","0")</f>
        <v>0</v>
      </c>
    </row>
    <row r="5364" spans="1:7">
      <c r="A5364" s="3">
        <v>10</v>
      </c>
      <c r="B5364" s="3">
        <v>5</v>
      </c>
      <c r="C5364" s="3">
        <v>166</v>
      </c>
      <c r="D5364" s="3">
        <v>140</v>
      </c>
      <c r="E5364" s="3">
        <v>-1174.524</v>
      </c>
      <c r="F5364" s="4" t="str">
        <f>HYPERLINK("http://141.218.60.56/~jnz1568/getInfo.php?workbook=10_05.xlsx&amp;sheet=A0&amp;row=5364&amp;col=6&amp;number=148000&amp;sourceID=14","148000")</f>
        <v>148000</v>
      </c>
      <c r="G5364" s="4" t="str">
        <f>HYPERLINK("http://141.218.60.56/~jnz1568/getInfo.php?workbook=10_05.xlsx&amp;sheet=A0&amp;row=5364&amp;col=7&amp;number=0&amp;sourceID=14","0")</f>
        <v>0</v>
      </c>
    </row>
    <row r="5365" spans="1:7">
      <c r="A5365" s="3">
        <v>10</v>
      </c>
      <c r="B5365" s="3">
        <v>5</v>
      </c>
      <c r="C5365" s="3">
        <v>167</v>
      </c>
      <c r="D5365" s="3">
        <v>140</v>
      </c>
      <c r="E5365" s="3">
        <v>-1173.945</v>
      </c>
      <c r="F5365" s="4" t="str">
        <f>HYPERLINK("http://141.218.60.56/~jnz1568/getInfo.php?workbook=10_05.xlsx&amp;sheet=A0&amp;row=5365&amp;col=6&amp;number=56700&amp;sourceID=14","56700")</f>
        <v>56700</v>
      </c>
      <c r="G5365" s="4" t="str">
        <f>HYPERLINK("http://141.218.60.56/~jnz1568/getInfo.php?workbook=10_05.xlsx&amp;sheet=A0&amp;row=5365&amp;col=7&amp;number=0&amp;sourceID=14","0")</f>
        <v>0</v>
      </c>
    </row>
    <row r="5366" spans="1:7">
      <c r="A5366" s="3">
        <v>10</v>
      </c>
      <c r="B5366" s="3">
        <v>5</v>
      </c>
      <c r="C5366" s="3">
        <v>177</v>
      </c>
      <c r="D5366" s="3">
        <v>140</v>
      </c>
      <c r="E5366" s="3">
        <v>-850.703</v>
      </c>
      <c r="F5366" s="4" t="str">
        <f>HYPERLINK("http://141.218.60.56/~jnz1568/getInfo.php?workbook=10_05.xlsx&amp;sheet=A0&amp;row=5366&amp;col=6&amp;number=496&amp;sourceID=14","496")</f>
        <v>496</v>
      </c>
      <c r="G5366" s="4" t="str">
        <f>HYPERLINK("http://141.218.60.56/~jnz1568/getInfo.php?workbook=10_05.xlsx&amp;sheet=A0&amp;row=5366&amp;col=7&amp;number=0&amp;sourceID=14","0")</f>
        <v>0</v>
      </c>
    </row>
    <row r="5367" spans="1:7">
      <c r="A5367" s="3">
        <v>10</v>
      </c>
      <c r="B5367" s="3">
        <v>5</v>
      </c>
      <c r="C5367" s="3">
        <v>179</v>
      </c>
      <c r="D5367" s="3">
        <v>140</v>
      </c>
      <c r="E5367" s="3">
        <v>-822.066</v>
      </c>
      <c r="F5367" s="4" t="str">
        <f>HYPERLINK("http://141.218.60.56/~jnz1568/getInfo.php?workbook=10_05.xlsx&amp;sheet=A0&amp;row=5367&amp;col=6&amp;number=69600000&amp;sourceID=14","69600000")</f>
        <v>69600000</v>
      </c>
      <c r="G5367" s="4" t="str">
        <f>HYPERLINK("http://141.218.60.56/~jnz1568/getInfo.php?workbook=10_05.xlsx&amp;sheet=A0&amp;row=5367&amp;col=7&amp;number=0&amp;sourceID=14","0")</f>
        <v>0</v>
      </c>
    </row>
    <row r="5368" spans="1:7">
      <c r="A5368" s="3">
        <v>10</v>
      </c>
      <c r="B5368" s="3">
        <v>5</v>
      </c>
      <c r="C5368" s="3">
        <v>180</v>
      </c>
      <c r="D5368" s="3">
        <v>140</v>
      </c>
      <c r="E5368" s="3">
        <v>-821.816</v>
      </c>
      <c r="F5368" s="4" t="str">
        <f>HYPERLINK("http://141.218.60.56/~jnz1568/getInfo.php?workbook=10_05.xlsx&amp;sheet=A0&amp;row=5368&amp;col=6&amp;number=73300000&amp;sourceID=14","73300000")</f>
        <v>73300000</v>
      </c>
      <c r="G5368" s="4" t="str">
        <f>HYPERLINK("http://141.218.60.56/~jnz1568/getInfo.php?workbook=10_05.xlsx&amp;sheet=A0&amp;row=5368&amp;col=7&amp;number=0&amp;sourceID=14","0")</f>
        <v>0</v>
      </c>
    </row>
    <row r="5369" spans="1:7">
      <c r="A5369" s="3">
        <v>10</v>
      </c>
      <c r="B5369" s="3">
        <v>5</v>
      </c>
      <c r="C5369" s="3">
        <v>150</v>
      </c>
      <c r="D5369" s="3">
        <v>141</v>
      </c>
      <c r="E5369" s="3">
        <v>-17488.665</v>
      </c>
      <c r="F5369" s="4" t="str">
        <f>HYPERLINK("http://141.218.60.56/~jnz1568/getInfo.php?workbook=10_05.xlsx&amp;sheet=A0&amp;row=5369&amp;col=6&amp;number=48.9&amp;sourceID=14","48.9")</f>
        <v>48.9</v>
      </c>
      <c r="G5369" s="4" t="str">
        <f>HYPERLINK("http://141.218.60.56/~jnz1568/getInfo.php?workbook=10_05.xlsx&amp;sheet=A0&amp;row=5369&amp;col=7&amp;number=0&amp;sourceID=14","0")</f>
        <v>0</v>
      </c>
    </row>
    <row r="5370" spans="1:7">
      <c r="A5370" s="3">
        <v>10</v>
      </c>
      <c r="B5370" s="3">
        <v>5</v>
      </c>
      <c r="C5370" s="3">
        <v>156</v>
      </c>
      <c r="D5370" s="3">
        <v>141</v>
      </c>
      <c r="E5370" s="3">
        <v>-10164.686</v>
      </c>
      <c r="F5370" s="4" t="str">
        <f>HYPERLINK("http://141.218.60.56/~jnz1568/getInfo.php?workbook=10_05.xlsx&amp;sheet=A0&amp;row=5370&amp;col=6&amp;number=147&amp;sourceID=14","147")</f>
        <v>147</v>
      </c>
      <c r="G5370" s="4" t="str">
        <f>HYPERLINK("http://141.218.60.56/~jnz1568/getInfo.php?workbook=10_05.xlsx&amp;sheet=A0&amp;row=5370&amp;col=7&amp;number=0&amp;sourceID=14","0")</f>
        <v>0</v>
      </c>
    </row>
    <row r="5371" spans="1:7">
      <c r="A5371" s="3">
        <v>10</v>
      </c>
      <c r="B5371" s="3">
        <v>5</v>
      </c>
      <c r="C5371" s="3">
        <v>160</v>
      </c>
      <c r="D5371" s="3">
        <v>141</v>
      </c>
      <c r="E5371" s="3">
        <v>-8862.907</v>
      </c>
      <c r="F5371" s="4" t="str">
        <f>HYPERLINK("http://141.218.60.56/~jnz1568/getInfo.php?workbook=10_05.xlsx&amp;sheet=A0&amp;row=5371&amp;col=6&amp;number=68.6&amp;sourceID=14","68.6")</f>
        <v>68.6</v>
      </c>
      <c r="G5371" s="4" t="str">
        <f>HYPERLINK("http://141.218.60.56/~jnz1568/getInfo.php?workbook=10_05.xlsx&amp;sheet=A0&amp;row=5371&amp;col=7&amp;number=0&amp;sourceID=14","0")</f>
        <v>0</v>
      </c>
    </row>
    <row r="5372" spans="1:7">
      <c r="A5372" s="3">
        <v>10</v>
      </c>
      <c r="B5372" s="3">
        <v>5</v>
      </c>
      <c r="C5372" s="3">
        <v>161</v>
      </c>
      <c r="D5372" s="3">
        <v>141</v>
      </c>
      <c r="E5372" s="3">
        <v>-8620.706</v>
      </c>
      <c r="F5372" s="4" t="str">
        <f>HYPERLINK("http://141.218.60.56/~jnz1568/getInfo.php?workbook=10_05.xlsx&amp;sheet=A0&amp;row=5372&amp;col=6&amp;number=264&amp;sourceID=14","264")</f>
        <v>264</v>
      </c>
      <c r="G5372" s="4" t="str">
        <f>HYPERLINK("http://141.218.60.56/~jnz1568/getInfo.php?workbook=10_05.xlsx&amp;sheet=A0&amp;row=5372&amp;col=7&amp;number=0&amp;sourceID=14","0")</f>
        <v>0</v>
      </c>
    </row>
    <row r="5373" spans="1:7">
      <c r="A5373" s="3">
        <v>10</v>
      </c>
      <c r="B5373" s="3">
        <v>5</v>
      </c>
      <c r="C5373" s="3">
        <v>162</v>
      </c>
      <c r="D5373" s="3">
        <v>141</v>
      </c>
      <c r="E5373" s="3">
        <v>-8406.202</v>
      </c>
      <c r="F5373" s="4" t="str">
        <f>HYPERLINK("http://141.218.60.56/~jnz1568/getInfo.php?workbook=10_05.xlsx&amp;sheet=A0&amp;row=5373&amp;col=6&amp;number=72.6&amp;sourceID=14","72.6")</f>
        <v>72.6</v>
      </c>
      <c r="G5373" s="4" t="str">
        <f>HYPERLINK("http://141.218.60.56/~jnz1568/getInfo.php?workbook=10_05.xlsx&amp;sheet=A0&amp;row=5373&amp;col=7&amp;number=0&amp;sourceID=14","0")</f>
        <v>0</v>
      </c>
    </row>
    <row r="5374" spans="1:7">
      <c r="A5374" s="3">
        <v>10</v>
      </c>
      <c r="B5374" s="3">
        <v>5</v>
      </c>
      <c r="C5374" s="3">
        <v>163</v>
      </c>
      <c r="D5374" s="3">
        <v>141</v>
      </c>
      <c r="E5374" s="3">
        <v>-3929.435</v>
      </c>
      <c r="F5374" s="4" t="str">
        <f>HYPERLINK("http://141.218.60.56/~jnz1568/getInfo.php?workbook=10_05.xlsx&amp;sheet=A0&amp;row=5374&amp;col=6&amp;number=4130&amp;sourceID=14","4130")</f>
        <v>4130</v>
      </c>
      <c r="G5374" s="4" t="str">
        <f>HYPERLINK("http://141.218.60.56/~jnz1568/getInfo.php?workbook=10_05.xlsx&amp;sheet=A0&amp;row=5374&amp;col=7&amp;number=0&amp;sourceID=14","0")</f>
        <v>0</v>
      </c>
    </row>
    <row r="5375" spans="1:7">
      <c r="A5375" s="3">
        <v>10</v>
      </c>
      <c r="B5375" s="3">
        <v>5</v>
      </c>
      <c r="C5375" s="3">
        <v>169</v>
      </c>
      <c r="D5375" s="3">
        <v>141</v>
      </c>
      <c r="E5375" s="3">
        <v>-1085.001</v>
      </c>
      <c r="F5375" s="4" t="str">
        <f>HYPERLINK("http://141.218.60.56/~jnz1568/getInfo.php?workbook=10_05.xlsx&amp;sheet=A0&amp;row=5375&amp;col=6&amp;number=9300&amp;sourceID=14","9300")</f>
        <v>9300</v>
      </c>
      <c r="G5375" s="4" t="str">
        <f>HYPERLINK("http://141.218.60.56/~jnz1568/getInfo.php?workbook=10_05.xlsx&amp;sheet=A0&amp;row=5375&amp;col=7&amp;number=0&amp;sourceID=14","0")</f>
        <v>0</v>
      </c>
    </row>
    <row r="5376" spans="1:7">
      <c r="A5376" s="3">
        <v>10</v>
      </c>
      <c r="B5376" s="3">
        <v>5</v>
      </c>
      <c r="C5376" s="3">
        <v>170</v>
      </c>
      <c r="D5376" s="3">
        <v>141</v>
      </c>
      <c r="E5376" s="3">
        <v>-984.864</v>
      </c>
      <c r="F5376" s="4" t="str">
        <f>HYPERLINK("http://141.218.60.56/~jnz1568/getInfo.php?workbook=10_05.xlsx&amp;sheet=A0&amp;row=5376&amp;col=6&amp;number=19500&amp;sourceID=14","19500")</f>
        <v>19500</v>
      </c>
      <c r="G5376" s="4" t="str">
        <f>HYPERLINK("http://141.218.60.56/~jnz1568/getInfo.php?workbook=10_05.xlsx&amp;sheet=A0&amp;row=5376&amp;col=7&amp;number=0&amp;sourceID=14","0")</f>
        <v>0</v>
      </c>
    </row>
    <row r="5377" spans="1:7">
      <c r="A5377" s="3">
        <v>10</v>
      </c>
      <c r="B5377" s="3">
        <v>5</v>
      </c>
      <c r="C5377" s="3">
        <v>171</v>
      </c>
      <c r="D5377" s="3">
        <v>141</v>
      </c>
      <c r="E5377" s="3">
        <v>-983.944</v>
      </c>
      <c r="F5377" s="4" t="str">
        <f>HYPERLINK("http://141.218.60.56/~jnz1568/getInfo.php?workbook=10_05.xlsx&amp;sheet=A0&amp;row=5377&amp;col=6&amp;number=4670&amp;sourceID=14","4670")</f>
        <v>4670</v>
      </c>
      <c r="G5377" s="4" t="str">
        <f>HYPERLINK("http://141.218.60.56/~jnz1568/getInfo.php?workbook=10_05.xlsx&amp;sheet=A0&amp;row=5377&amp;col=7&amp;number=0&amp;sourceID=14","0")</f>
        <v>0</v>
      </c>
    </row>
    <row r="5378" spans="1:7">
      <c r="A5378" s="3">
        <v>10</v>
      </c>
      <c r="B5378" s="3">
        <v>5</v>
      </c>
      <c r="C5378" s="3">
        <v>172</v>
      </c>
      <c r="D5378" s="3">
        <v>141</v>
      </c>
      <c r="E5378" s="3">
        <v>-965.42</v>
      </c>
      <c r="F5378" s="4" t="str">
        <f>HYPERLINK("http://141.218.60.56/~jnz1568/getInfo.php?workbook=10_05.xlsx&amp;sheet=A0&amp;row=5378&amp;col=6&amp;number=15300&amp;sourceID=14","15300")</f>
        <v>15300</v>
      </c>
      <c r="G5378" s="4" t="str">
        <f>HYPERLINK("http://141.218.60.56/~jnz1568/getInfo.php?workbook=10_05.xlsx&amp;sheet=A0&amp;row=5378&amp;col=7&amp;number=0&amp;sourceID=14","0")</f>
        <v>0</v>
      </c>
    </row>
    <row r="5379" spans="1:7">
      <c r="A5379" s="3">
        <v>10</v>
      </c>
      <c r="B5379" s="3">
        <v>5</v>
      </c>
      <c r="C5379" s="3">
        <v>174</v>
      </c>
      <c r="D5379" s="3">
        <v>141</v>
      </c>
      <c r="E5379" s="3">
        <v>-945.941</v>
      </c>
      <c r="F5379" s="4" t="str">
        <f>HYPERLINK("http://141.218.60.56/~jnz1568/getInfo.php?workbook=10_05.xlsx&amp;sheet=A0&amp;row=5379&amp;col=6&amp;number=23500&amp;sourceID=14","23500")</f>
        <v>23500</v>
      </c>
      <c r="G5379" s="4" t="str">
        <f>HYPERLINK("http://141.218.60.56/~jnz1568/getInfo.php?workbook=10_05.xlsx&amp;sheet=A0&amp;row=5379&amp;col=7&amp;number=0&amp;sourceID=14","0")</f>
        <v>0</v>
      </c>
    </row>
    <row r="5380" spans="1:7">
      <c r="A5380" s="3">
        <v>10</v>
      </c>
      <c r="B5380" s="3">
        <v>5</v>
      </c>
      <c r="C5380" s="3">
        <v>150</v>
      </c>
      <c r="D5380" s="3">
        <v>142</v>
      </c>
      <c r="E5380" s="3">
        <v>-17624.283</v>
      </c>
      <c r="F5380" s="4" t="str">
        <f>HYPERLINK("http://141.218.60.56/~jnz1568/getInfo.php?workbook=10_05.xlsx&amp;sheet=A0&amp;row=5380&amp;col=6&amp;number=3&amp;sourceID=14","3")</f>
        <v>3</v>
      </c>
      <c r="G5380" s="4" t="str">
        <f>HYPERLINK("http://141.218.60.56/~jnz1568/getInfo.php?workbook=10_05.xlsx&amp;sheet=A0&amp;row=5380&amp;col=7&amp;number=0&amp;sourceID=14","0")</f>
        <v>0</v>
      </c>
    </row>
    <row r="5381" spans="1:7">
      <c r="A5381" s="3">
        <v>10</v>
      </c>
      <c r="B5381" s="3">
        <v>5</v>
      </c>
      <c r="C5381" s="3">
        <v>151</v>
      </c>
      <c r="D5381" s="3">
        <v>142</v>
      </c>
      <c r="E5381" s="3">
        <v>-17556.212</v>
      </c>
      <c r="F5381" s="4" t="str">
        <f>HYPERLINK("http://141.218.60.56/~jnz1568/getInfo.php?workbook=10_05.xlsx&amp;sheet=A0&amp;row=5381&amp;col=6&amp;number=33.2&amp;sourceID=14","33.2")</f>
        <v>33.2</v>
      </c>
      <c r="G5381" s="4" t="str">
        <f>HYPERLINK("http://141.218.60.56/~jnz1568/getInfo.php?workbook=10_05.xlsx&amp;sheet=A0&amp;row=5381&amp;col=7&amp;number=0&amp;sourceID=14","0")</f>
        <v>0</v>
      </c>
    </row>
    <row r="5382" spans="1:7">
      <c r="A5382" s="3">
        <v>10</v>
      </c>
      <c r="B5382" s="3">
        <v>5</v>
      </c>
      <c r="C5382" s="3">
        <v>155</v>
      </c>
      <c r="D5382" s="3">
        <v>142</v>
      </c>
      <c r="E5382" s="3">
        <v>11160.735</v>
      </c>
      <c r="F5382" s="4" t="str">
        <f>HYPERLINK("http://141.218.60.56/~jnz1568/getInfo.php?workbook=10_05.xlsx&amp;sheet=A0&amp;row=5382&amp;col=6&amp;number=294&amp;sourceID=14","294")</f>
        <v>294</v>
      </c>
      <c r="G5382" s="4" t="str">
        <f>HYPERLINK("http://141.218.60.56/~jnz1568/getInfo.php?workbook=10_05.xlsx&amp;sheet=A0&amp;row=5382&amp;col=7&amp;number=0&amp;sourceID=14","0")</f>
        <v>0</v>
      </c>
    </row>
    <row r="5383" spans="1:7">
      <c r="A5383" s="3">
        <v>10</v>
      </c>
      <c r="B5383" s="3">
        <v>5</v>
      </c>
      <c r="C5383" s="3">
        <v>156</v>
      </c>
      <c r="D5383" s="3">
        <v>142</v>
      </c>
      <c r="E5383" s="3">
        <v>-10210.352</v>
      </c>
      <c r="F5383" s="4" t="str">
        <f>HYPERLINK("http://141.218.60.56/~jnz1568/getInfo.php?workbook=10_05.xlsx&amp;sheet=A0&amp;row=5383&amp;col=6&amp;number=227&amp;sourceID=14","227")</f>
        <v>227</v>
      </c>
      <c r="G5383" s="4" t="str">
        <f>HYPERLINK("http://141.218.60.56/~jnz1568/getInfo.php?workbook=10_05.xlsx&amp;sheet=A0&amp;row=5383&amp;col=7&amp;number=0&amp;sourceID=14","0")</f>
        <v>0</v>
      </c>
    </row>
    <row r="5384" spans="1:7">
      <c r="A5384" s="3">
        <v>10</v>
      </c>
      <c r="B5384" s="3">
        <v>5</v>
      </c>
      <c r="C5384" s="3">
        <v>157</v>
      </c>
      <c r="D5384" s="3">
        <v>142</v>
      </c>
      <c r="E5384" s="3">
        <v>-10027.092</v>
      </c>
      <c r="F5384" s="4" t="str">
        <f>HYPERLINK("http://141.218.60.56/~jnz1568/getInfo.php?workbook=10_05.xlsx&amp;sheet=A0&amp;row=5384&amp;col=6&amp;number=391&amp;sourceID=14","391")</f>
        <v>391</v>
      </c>
      <c r="G5384" s="4" t="str">
        <f>HYPERLINK("http://141.218.60.56/~jnz1568/getInfo.php?workbook=10_05.xlsx&amp;sheet=A0&amp;row=5384&amp;col=7&amp;number=0&amp;sourceID=14","0")</f>
        <v>0</v>
      </c>
    </row>
    <row r="5385" spans="1:7">
      <c r="A5385" s="3">
        <v>10</v>
      </c>
      <c r="B5385" s="3">
        <v>5</v>
      </c>
      <c r="C5385" s="3">
        <v>160</v>
      </c>
      <c r="D5385" s="3">
        <v>142</v>
      </c>
      <c r="E5385" s="3">
        <v>-8897.605</v>
      </c>
      <c r="F5385" s="4" t="str">
        <f>HYPERLINK("http://141.218.60.56/~jnz1568/getInfo.php?workbook=10_05.xlsx&amp;sheet=A0&amp;row=5385&amp;col=6&amp;number=88.3&amp;sourceID=14","88.3")</f>
        <v>88.3</v>
      </c>
      <c r="G5385" s="4" t="str">
        <f>HYPERLINK("http://141.218.60.56/~jnz1568/getInfo.php?workbook=10_05.xlsx&amp;sheet=A0&amp;row=5385&amp;col=7&amp;number=0&amp;sourceID=14","0")</f>
        <v>0</v>
      </c>
    </row>
    <row r="5386" spans="1:7">
      <c r="A5386" s="3">
        <v>10</v>
      </c>
      <c r="B5386" s="3">
        <v>5</v>
      </c>
      <c r="C5386" s="3">
        <v>161</v>
      </c>
      <c r="D5386" s="3">
        <v>142</v>
      </c>
      <c r="E5386" s="3">
        <v>8658.025</v>
      </c>
      <c r="F5386" s="4" t="str">
        <f>HYPERLINK("http://141.218.60.56/~jnz1568/getInfo.php?workbook=10_05.xlsx&amp;sheet=A0&amp;row=5386&amp;col=6&amp;number=449&amp;sourceID=14","449")</f>
        <v>449</v>
      </c>
      <c r="G5386" s="4" t="str">
        <f>HYPERLINK("http://141.218.60.56/~jnz1568/getInfo.php?workbook=10_05.xlsx&amp;sheet=A0&amp;row=5386&amp;col=7&amp;number=0&amp;sourceID=14","0")</f>
        <v>0</v>
      </c>
    </row>
    <row r="5387" spans="1:7">
      <c r="A5387" s="3">
        <v>10</v>
      </c>
      <c r="B5387" s="3">
        <v>5</v>
      </c>
      <c r="C5387" s="3">
        <v>162</v>
      </c>
      <c r="D5387" s="3">
        <v>142</v>
      </c>
      <c r="E5387" s="3">
        <v>8438.834</v>
      </c>
      <c r="F5387" s="4" t="str">
        <f>HYPERLINK("http://141.218.60.56/~jnz1568/getInfo.php?workbook=10_05.xlsx&amp;sheet=A0&amp;row=5387&amp;col=6&amp;number=427&amp;sourceID=14","427")</f>
        <v>427</v>
      </c>
      <c r="G5387" s="4" t="str">
        <f>HYPERLINK("http://141.218.60.56/~jnz1568/getInfo.php?workbook=10_05.xlsx&amp;sheet=A0&amp;row=5387&amp;col=7&amp;number=0&amp;sourceID=14","0")</f>
        <v>0</v>
      </c>
    </row>
    <row r="5388" spans="1:7">
      <c r="A5388" s="3">
        <v>10</v>
      </c>
      <c r="B5388" s="3">
        <v>5</v>
      </c>
      <c r="C5388" s="3">
        <v>163</v>
      </c>
      <c r="D5388" s="3">
        <v>142</v>
      </c>
      <c r="E5388" s="3">
        <v>-3936.24</v>
      </c>
      <c r="F5388" s="4" t="str">
        <f>HYPERLINK("http://141.218.60.56/~jnz1568/getInfo.php?workbook=10_05.xlsx&amp;sheet=A0&amp;row=5388&amp;col=6&amp;number=9800&amp;sourceID=14","9800")</f>
        <v>9800</v>
      </c>
      <c r="G5388" s="4" t="str">
        <f>HYPERLINK("http://141.218.60.56/~jnz1568/getInfo.php?workbook=10_05.xlsx&amp;sheet=A0&amp;row=5388&amp;col=7&amp;number=0&amp;sourceID=14","0")</f>
        <v>0</v>
      </c>
    </row>
    <row r="5389" spans="1:7">
      <c r="A5389" s="3">
        <v>10</v>
      </c>
      <c r="B5389" s="3">
        <v>5</v>
      </c>
      <c r="C5389" s="3">
        <v>168</v>
      </c>
      <c r="D5389" s="3">
        <v>142</v>
      </c>
      <c r="E5389" s="3">
        <v>-1086.085</v>
      </c>
      <c r="F5389" s="4" t="str">
        <f>HYPERLINK("http://141.218.60.56/~jnz1568/getInfo.php?workbook=10_05.xlsx&amp;sheet=A0&amp;row=5389&amp;col=6&amp;number=16500&amp;sourceID=14","16500")</f>
        <v>16500</v>
      </c>
      <c r="G5389" s="4" t="str">
        <f>HYPERLINK("http://141.218.60.56/~jnz1568/getInfo.php?workbook=10_05.xlsx&amp;sheet=A0&amp;row=5389&amp;col=7&amp;number=0&amp;sourceID=14","0")</f>
        <v>0</v>
      </c>
    </row>
    <row r="5390" spans="1:7">
      <c r="A5390" s="3">
        <v>10</v>
      </c>
      <c r="B5390" s="3">
        <v>5</v>
      </c>
      <c r="C5390" s="3">
        <v>169</v>
      </c>
      <c r="D5390" s="3">
        <v>142</v>
      </c>
      <c r="E5390" s="3">
        <v>-1085.519</v>
      </c>
      <c r="F5390" s="4" t="str">
        <f>HYPERLINK("http://141.218.60.56/~jnz1568/getInfo.php?workbook=10_05.xlsx&amp;sheet=A0&amp;row=5390&amp;col=6&amp;number=357&amp;sourceID=14","357")</f>
        <v>357</v>
      </c>
      <c r="G5390" s="4" t="str">
        <f>HYPERLINK("http://141.218.60.56/~jnz1568/getInfo.php?workbook=10_05.xlsx&amp;sheet=A0&amp;row=5390&amp;col=7&amp;number=0&amp;sourceID=14","0")</f>
        <v>0</v>
      </c>
    </row>
    <row r="5391" spans="1:7">
      <c r="A5391" s="3">
        <v>10</v>
      </c>
      <c r="B5391" s="3">
        <v>5</v>
      </c>
      <c r="C5391" s="3">
        <v>170</v>
      </c>
      <c r="D5391" s="3">
        <v>142</v>
      </c>
      <c r="E5391" s="3">
        <v>-985.291</v>
      </c>
      <c r="F5391" s="4" t="str">
        <f>HYPERLINK("http://141.218.60.56/~jnz1568/getInfo.php?workbook=10_05.xlsx&amp;sheet=A0&amp;row=5391&amp;col=6&amp;number=25800&amp;sourceID=14","25800")</f>
        <v>25800</v>
      </c>
      <c r="G5391" s="4" t="str">
        <f>HYPERLINK("http://141.218.60.56/~jnz1568/getInfo.php?workbook=10_05.xlsx&amp;sheet=A0&amp;row=5391&amp;col=7&amp;number=0&amp;sourceID=14","0")</f>
        <v>0</v>
      </c>
    </row>
    <row r="5392" spans="1:7">
      <c r="A5392" s="3">
        <v>10</v>
      </c>
      <c r="B5392" s="3">
        <v>5</v>
      </c>
      <c r="C5392" s="3">
        <v>171</v>
      </c>
      <c r="D5392" s="3">
        <v>142</v>
      </c>
      <c r="E5392" s="3">
        <v>-984.37</v>
      </c>
      <c r="F5392" s="4" t="str">
        <f>HYPERLINK("http://141.218.60.56/~jnz1568/getInfo.php?workbook=10_05.xlsx&amp;sheet=A0&amp;row=5392&amp;col=6&amp;number=11100&amp;sourceID=14","11100")</f>
        <v>11100</v>
      </c>
      <c r="G5392" s="4" t="str">
        <f>HYPERLINK("http://141.218.60.56/~jnz1568/getInfo.php?workbook=10_05.xlsx&amp;sheet=A0&amp;row=5392&amp;col=7&amp;number=0&amp;sourceID=14","0")</f>
        <v>0</v>
      </c>
    </row>
    <row r="5393" spans="1:7">
      <c r="A5393" s="3">
        <v>10</v>
      </c>
      <c r="B5393" s="3">
        <v>5</v>
      </c>
      <c r="C5393" s="3">
        <v>172</v>
      </c>
      <c r="D5393" s="3">
        <v>142</v>
      </c>
      <c r="E5393" s="3">
        <v>-965.831</v>
      </c>
      <c r="F5393" s="4" t="str">
        <f>HYPERLINK("http://141.218.60.56/~jnz1568/getInfo.php?workbook=10_05.xlsx&amp;sheet=A0&amp;row=5393&amp;col=6&amp;number=15900&amp;sourceID=14","15900")</f>
        <v>15900</v>
      </c>
      <c r="G5393" s="4" t="str">
        <f>HYPERLINK("http://141.218.60.56/~jnz1568/getInfo.php?workbook=10_05.xlsx&amp;sheet=A0&amp;row=5393&amp;col=7&amp;number=0&amp;sourceID=14","0")</f>
        <v>0</v>
      </c>
    </row>
    <row r="5394" spans="1:7">
      <c r="A5394" s="3">
        <v>10</v>
      </c>
      <c r="B5394" s="3">
        <v>5</v>
      </c>
      <c r="C5394" s="3">
        <v>173</v>
      </c>
      <c r="D5394" s="3">
        <v>142</v>
      </c>
      <c r="E5394" s="3">
        <v>-965.616</v>
      </c>
      <c r="F5394" s="4" t="str">
        <f>HYPERLINK("http://141.218.60.56/~jnz1568/getInfo.php?workbook=10_05.xlsx&amp;sheet=A0&amp;row=5394&amp;col=6&amp;number=34400&amp;sourceID=14","34400")</f>
        <v>34400</v>
      </c>
      <c r="G5394" s="4" t="str">
        <f>HYPERLINK("http://141.218.60.56/~jnz1568/getInfo.php?workbook=10_05.xlsx&amp;sheet=A0&amp;row=5394&amp;col=7&amp;number=0&amp;sourceID=14","0")</f>
        <v>0</v>
      </c>
    </row>
    <row r="5395" spans="1:7">
      <c r="A5395" s="3">
        <v>10</v>
      </c>
      <c r="B5395" s="3">
        <v>5</v>
      </c>
      <c r="C5395" s="3">
        <v>174</v>
      </c>
      <c r="D5395" s="3">
        <v>142</v>
      </c>
      <c r="E5395" s="3">
        <v>-946.335</v>
      </c>
      <c r="F5395" s="4" t="str">
        <f>HYPERLINK("http://141.218.60.56/~jnz1568/getInfo.php?workbook=10_05.xlsx&amp;sheet=A0&amp;row=5395&amp;col=6&amp;number=36900&amp;sourceID=14","36900")</f>
        <v>36900</v>
      </c>
      <c r="G5395" s="4" t="str">
        <f>HYPERLINK("http://141.218.60.56/~jnz1568/getInfo.php?workbook=10_05.xlsx&amp;sheet=A0&amp;row=5395&amp;col=7&amp;number=0&amp;sourceID=14","0")</f>
        <v>0</v>
      </c>
    </row>
    <row r="5396" spans="1:7">
      <c r="A5396" s="3">
        <v>10</v>
      </c>
      <c r="B5396" s="3">
        <v>5</v>
      </c>
      <c r="C5396" s="3">
        <v>150</v>
      </c>
      <c r="D5396" s="3">
        <v>143</v>
      </c>
      <c r="E5396" s="3">
        <v>-18446.815</v>
      </c>
      <c r="F5396" s="4" t="str">
        <f>HYPERLINK("http://141.218.60.56/~jnz1568/getInfo.php?workbook=10_05.xlsx&amp;sheet=A0&amp;row=5396&amp;col=6&amp;number=4.26&amp;sourceID=14","4.26")</f>
        <v>4.26</v>
      </c>
      <c r="G5396" s="4" t="str">
        <f>HYPERLINK("http://141.218.60.56/~jnz1568/getInfo.php?workbook=10_05.xlsx&amp;sheet=A0&amp;row=5396&amp;col=7&amp;number=0&amp;sourceID=14","0")</f>
        <v>0</v>
      </c>
    </row>
    <row r="5397" spans="1:7">
      <c r="A5397" s="3">
        <v>10</v>
      </c>
      <c r="B5397" s="3">
        <v>5</v>
      </c>
      <c r="C5397" s="3">
        <v>151</v>
      </c>
      <c r="D5397" s="3">
        <v>143</v>
      </c>
      <c r="E5397" s="3">
        <v>-18372.255</v>
      </c>
      <c r="F5397" s="4" t="str">
        <f>HYPERLINK("http://141.218.60.56/~jnz1568/getInfo.php?workbook=10_05.xlsx&amp;sheet=A0&amp;row=5397&amp;col=6&amp;number=33.1&amp;sourceID=14","33.1")</f>
        <v>33.1</v>
      </c>
      <c r="G5397" s="4" t="str">
        <f>HYPERLINK("http://141.218.60.56/~jnz1568/getInfo.php?workbook=10_05.xlsx&amp;sheet=A0&amp;row=5397&amp;col=7&amp;number=0&amp;sourceID=14","0")</f>
        <v>0</v>
      </c>
    </row>
    <row r="5398" spans="1:7">
      <c r="A5398" s="3">
        <v>10</v>
      </c>
      <c r="B5398" s="3">
        <v>5</v>
      </c>
      <c r="C5398" s="3">
        <v>154</v>
      </c>
      <c r="D5398" s="3">
        <v>143</v>
      </c>
      <c r="E5398" s="3">
        <v>11481.077</v>
      </c>
      <c r="F5398" s="4" t="str">
        <f>HYPERLINK("http://141.218.60.56/~jnz1568/getInfo.php?workbook=10_05.xlsx&amp;sheet=A0&amp;row=5398&amp;col=6&amp;number=8.51&amp;sourceID=14","8.51")</f>
        <v>8.51</v>
      </c>
      <c r="G5398" s="4" t="str">
        <f>HYPERLINK("http://141.218.60.56/~jnz1568/getInfo.php?workbook=10_05.xlsx&amp;sheet=A0&amp;row=5398&amp;col=7&amp;number=0&amp;sourceID=14","0")</f>
        <v>0</v>
      </c>
    </row>
    <row r="5399" spans="1:7">
      <c r="A5399" s="3">
        <v>10</v>
      </c>
      <c r="B5399" s="3">
        <v>5</v>
      </c>
      <c r="C5399" s="3">
        <v>155</v>
      </c>
      <c r="D5399" s="3">
        <v>143</v>
      </c>
      <c r="E5399" s="3">
        <v>11481.077</v>
      </c>
      <c r="F5399" s="4" t="str">
        <f>HYPERLINK("http://141.218.60.56/~jnz1568/getInfo.php?workbook=10_05.xlsx&amp;sheet=A0&amp;row=5399&amp;col=6&amp;number=145&amp;sourceID=14","145")</f>
        <v>145</v>
      </c>
      <c r="G5399" s="4" t="str">
        <f>HYPERLINK("http://141.218.60.56/~jnz1568/getInfo.php?workbook=10_05.xlsx&amp;sheet=A0&amp;row=5399&amp;col=7&amp;number=0&amp;sourceID=14","0")</f>
        <v>0</v>
      </c>
    </row>
    <row r="5400" spans="1:7">
      <c r="A5400" s="3">
        <v>10</v>
      </c>
      <c r="B5400" s="3">
        <v>5</v>
      </c>
      <c r="C5400" s="3">
        <v>156</v>
      </c>
      <c r="D5400" s="3">
        <v>143</v>
      </c>
      <c r="E5400" s="3">
        <v>-10481.101</v>
      </c>
      <c r="F5400" s="4" t="str">
        <f>HYPERLINK("http://141.218.60.56/~jnz1568/getInfo.php?workbook=10_05.xlsx&amp;sheet=A0&amp;row=5400&amp;col=6&amp;number=299&amp;sourceID=14","299")</f>
        <v>299</v>
      </c>
      <c r="G5400" s="4" t="str">
        <f>HYPERLINK("http://141.218.60.56/~jnz1568/getInfo.php?workbook=10_05.xlsx&amp;sheet=A0&amp;row=5400&amp;col=7&amp;number=0&amp;sourceID=14","0")</f>
        <v>0</v>
      </c>
    </row>
    <row r="5401" spans="1:7">
      <c r="A5401" s="3">
        <v>10</v>
      </c>
      <c r="B5401" s="3">
        <v>5</v>
      </c>
      <c r="C5401" s="3">
        <v>157</v>
      </c>
      <c r="D5401" s="3">
        <v>143</v>
      </c>
      <c r="E5401" s="3">
        <v>-10288.085</v>
      </c>
      <c r="F5401" s="4" t="str">
        <f>HYPERLINK("http://141.218.60.56/~jnz1568/getInfo.php?workbook=10_05.xlsx&amp;sheet=A0&amp;row=5401&amp;col=6&amp;number=1270&amp;sourceID=14","1270")</f>
        <v>1270</v>
      </c>
      <c r="G5401" s="4" t="str">
        <f>HYPERLINK("http://141.218.60.56/~jnz1568/getInfo.php?workbook=10_05.xlsx&amp;sheet=A0&amp;row=5401&amp;col=7&amp;number=0&amp;sourceID=14","0")</f>
        <v>0</v>
      </c>
    </row>
    <row r="5402" spans="1:7">
      <c r="A5402" s="3">
        <v>10</v>
      </c>
      <c r="B5402" s="3">
        <v>5</v>
      </c>
      <c r="C5402" s="3">
        <v>162</v>
      </c>
      <c r="D5402" s="3">
        <v>143</v>
      </c>
      <c r="E5402" s="3">
        <v>8620.706</v>
      </c>
      <c r="F5402" s="4" t="str">
        <f>HYPERLINK("http://141.218.60.56/~jnz1568/getInfo.php?workbook=10_05.xlsx&amp;sheet=A0&amp;row=5402&amp;col=6&amp;number=165&amp;sourceID=14","165")</f>
        <v>165</v>
      </c>
      <c r="G5402" s="4" t="str">
        <f>HYPERLINK("http://141.218.60.56/~jnz1568/getInfo.php?workbook=10_05.xlsx&amp;sheet=A0&amp;row=5402&amp;col=7&amp;number=0&amp;sourceID=14","0")</f>
        <v>0</v>
      </c>
    </row>
    <row r="5403" spans="1:7">
      <c r="A5403" s="3">
        <v>10</v>
      </c>
      <c r="B5403" s="3">
        <v>5</v>
      </c>
      <c r="C5403" s="3">
        <v>168</v>
      </c>
      <c r="D5403" s="3">
        <v>143</v>
      </c>
      <c r="E5403" s="3">
        <v>-1089.077</v>
      </c>
      <c r="F5403" s="4" t="str">
        <f>HYPERLINK("http://141.218.60.56/~jnz1568/getInfo.php?workbook=10_05.xlsx&amp;sheet=A0&amp;row=5403&amp;col=6&amp;number=12600&amp;sourceID=14","12600")</f>
        <v>12600</v>
      </c>
      <c r="G5403" s="4" t="str">
        <f>HYPERLINK("http://141.218.60.56/~jnz1568/getInfo.php?workbook=10_05.xlsx&amp;sheet=A0&amp;row=5403&amp;col=7&amp;number=0&amp;sourceID=14","0")</f>
        <v>0</v>
      </c>
    </row>
    <row r="5404" spans="1:7">
      <c r="A5404" s="3">
        <v>10</v>
      </c>
      <c r="B5404" s="3">
        <v>5</v>
      </c>
      <c r="C5404" s="3">
        <v>169</v>
      </c>
      <c r="D5404" s="3">
        <v>143</v>
      </c>
      <c r="E5404" s="3">
        <v>-1088.508</v>
      </c>
      <c r="F5404" s="4" t="str">
        <f>HYPERLINK("http://141.218.60.56/~jnz1568/getInfo.php?workbook=10_05.xlsx&amp;sheet=A0&amp;row=5404&amp;col=6&amp;number=460&amp;sourceID=14","460")</f>
        <v>460</v>
      </c>
      <c r="G5404" s="4" t="str">
        <f>HYPERLINK("http://141.218.60.56/~jnz1568/getInfo.php?workbook=10_05.xlsx&amp;sheet=A0&amp;row=5404&amp;col=7&amp;number=0&amp;sourceID=14","0")</f>
        <v>0</v>
      </c>
    </row>
    <row r="5405" spans="1:7">
      <c r="A5405" s="3">
        <v>10</v>
      </c>
      <c r="B5405" s="3">
        <v>5</v>
      </c>
      <c r="C5405" s="3">
        <v>171</v>
      </c>
      <c r="D5405" s="3">
        <v>143</v>
      </c>
      <c r="E5405" s="3">
        <v>-986.828</v>
      </c>
      <c r="F5405" s="4" t="str">
        <f>HYPERLINK("http://141.218.60.56/~jnz1568/getInfo.php?workbook=10_05.xlsx&amp;sheet=A0&amp;row=5405&amp;col=6&amp;number=16500&amp;sourceID=14","16500")</f>
        <v>16500</v>
      </c>
      <c r="G5405" s="4" t="str">
        <f>HYPERLINK("http://141.218.60.56/~jnz1568/getInfo.php?workbook=10_05.xlsx&amp;sheet=A0&amp;row=5405&amp;col=7&amp;number=0&amp;sourceID=14","0")</f>
        <v>0</v>
      </c>
    </row>
    <row r="5406" spans="1:7">
      <c r="A5406" s="3">
        <v>10</v>
      </c>
      <c r="B5406" s="3">
        <v>5</v>
      </c>
      <c r="C5406" s="3">
        <v>172</v>
      </c>
      <c r="D5406" s="3">
        <v>143</v>
      </c>
      <c r="E5406" s="3">
        <v>-968.197</v>
      </c>
      <c r="F5406" s="4" t="str">
        <f>HYPERLINK("http://141.218.60.56/~jnz1568/getInfo.php?workbook=10_05.xlsx&amp;sheet=A0&amp;row=5406&amp;col=6&amp;number=15200&amp;sourceID=14","15200")</f>
        <v>15200</v>
      </c>
      <c r="G5406" s="4" t="str">
        <f>HYPERLINK("http://141.218.60.56/~jnz1568/getInfo.php?workbook=10_05.xlsx&amp;sheet=A0&amp;row=5406&amp;col=7&amp;number=0&amp;sourceID=14","0")</f>
        <v>0</v>
      </c>
    </row>
    <row r="5407" spans="1:7">
      <c r="A5407" s="3">
        <v>10</v>
      </c>
      <c r="B5407" s="3">
        <v>5</v>
      </c>
      <c r="C5407" s="3">
        <v>173</v>
      </c>
      <c r="D5407" s="3">
        <v>143</v>
      </c>
      <c r="E5407" s="3">
        <v>-967.981</v>
      </c>
      <c r="F5407" s="4" t="str">
        <f>HYPERLINK("http://141.218.60.56/~jnz1568/getInfo.php?workbook=10_05.xlsx&amp;sheet=A0&amp;row=5407&amp;col=6&amp;number=108000&amp;sourceID=14","108000")</f>
        <v>108000</v>
      </c>
      <c r="G5407" s="4" t="str">
        <f>HYPERLINK("http://141.218.60.56/~jnz1568/getInfo.php?workbook=10_05.xlsx&amp;sheet=A0&amp;row=5407&amp;col=7&amp;number=0&amp;sourceID=14","0")</f>
        <v>0</v>
      </c>
    </row>
    <row r="5408" spans="1:7">
      <c r="A5408" s="3">
        <v>10</v>
      </c>
      <c r="B5408" s="3">
        <v>5</v>
      </c>
      <c r="C5408" s="3">
        <v>151</v>
      </c>
      <c r="D5408" s="3">
        <v>144</v>
      </c>
      <c r="E5408" s="3">
        <v>-19062.178</v>
      </c>
      <c r="F5408" s="4" t="str">
        <f>HYPERLINK("http://141.218.60.56/~jnz1568/getInfo.php?workbook=10_05.xlsx&amp;sheet=A0&amp;row=5408&amp;col=6&amp;number=0.887&amp;sourceID=14","0.887")</f>
        <v>0.887</v>
      </c>
      <c r="G5408" s="4" t="str">
        <f>HYPERLINK("http://141.218.60.56/~jnz1568/getInfo.php?workbook=10_05.xlsx&amp;sheet=A0&amp;row=5408&amp;col=7&amp;number=0&amp;sourceID=14","0")</f>
        <v>0</v>
      </c>
    </row>
    <row r="5409" spans="1:7">
      <c r="A5409" s="3">
        <v>10</v>
      </c>
      <c r="B5409" s="3">
        <v>5</v>
      </c>
      <c r="C5409" s="3">
        <v>154</v>
      </c>
      <c r="D5409" s="3">
        <v>144</v>
      </c>
      <c r="E5409" s="3">
        <v>11750.903</v>
      </c>
      <c r="F5409" s="4" t="str">
        <f>HYPERLINK("http://141.218.60.56/~jnz1568/getInfo.php?workbook=10_05.xlsx&amp;sheet=A0&amp;row=5409&amp;col=6&amp;number=0.907&amp;sourceID=14","0.907")</f>
        <v>0.907</v>
      </c>
      <c r="G5409" s="4" t="str">
        <f>HYPERLINK("http://141.218.60.56/~jnz1568/getInfo.php?workbook=10_05.xlsx&amp;sheet=A0&amp;row=5409&amp;col=7&amp;number=0&amp;sourceID=14","0")</f>
        <v>0</v>
      </c>
    </row>
    <row r="5410" spans="1:7">
      <c r="A5410" s="3">
        <v>10</v>
      </c>
      <c r="B5410" s="3">
        <v>5</v>
      </c>
      <c r="C5410" s="3">
        <v>155</v>
      </c>
      <c r="D5410" s="3">
        <v>144</v>
      </c>
      <c r="E5410" s="3">
        <v>11750.903</v>
      </c>
      <c r="F5410" s="4" t="str">
        <f>HYPERLINK("http://141.218.60.56/~jnz1568/getInfo.php?workbook=10_05.xlsx&amp;sheet=A0&amp;row=5410&amp;col=6&amp;number=3.33&amp;sourceID=14","3.33")</f>
        <v>3.33</v>
      </c>
      <c r="G5410" s="4" t="str">
        <f>HYPERLINK("http://141.218.60.56/~jnz1568/getInfo.php?workbook=10_05.xlsx&amp;sheet=A0&amp;row=5410&amp;col=7&amp;number=0&amp;sourceID=14","0")</f>
        <v>0</v>
      </c>
    </row>
    <row r="5411" spans="1:7">
      <c r="A5411" s="3">
        <v>10</v>
      </c>
      <c r="B5411" s="3">
        <v>5</v>
      </c>
      <c r="C5411" s="3">
        <v>157</v>
      </c>
      <c r="D5411" s="3">
        <v>144</v>
      </c>
      <c r="E5411" s="3">
        <v>-10500.912</v>
      </c>
      <c r="F5411" s="4" t="str">
        <f>HYPERLINK("http://141.218.60.56/~jnz1568/getInfo.php?workbook=10_05.xlsx&amp;sheet=A0&amp;row=5411&amp;col=6&amp;number=62.7&amp;sourceID=14","62.7")</f>
        <v>62.7</v>
      </c>
      <c r="G5411" s="4" t="str">
        <f>HYPERLINK("http://141.218.60.56/~jnz1568/getInfo.php?workbook=10_05.xlsx&amp;sheet=A0&amp;row=5411&amp;col=7&amp;number=0&amp;sourceID=14","0")</f>
        <v>0</v>
      </c>
    </row>
    <row r="5412" spans="1:7">
      <c r="A5412" s="3">
        <v>10</v>
      </c>
      <c r="B5412" s="3">
        <v>5</v>
      </c>
      <c r="C5412" s="3">
        <v>168</v>
      </c>
      <c r="D5412" s="3">
        <v>144</v>
      </c>
      <c r="E5412" s="3">
        <v>-1091.419</v>
      </c>
      <c r="F5412" s="4" t="str">
        <f>HYPERLINK("http://141.218.60.56/~jnz1568/getInfo.php?workbook=10_05.xlsx&amp;sheet=A0&amp;row=5412&amp;col=6&amp;number=418&amp;sourceID=14","418")</f>
        <v>418</v>
      </c>
      <c r="G5412" s="4" t="str">
        <f>HYPERLINK("http://141.218.60.56/~jnz1568/getInfo.php?workbook=10_05.xlsx&amp;sheet=A0&amp;row=5412&amp;col=7&amp;number=0&amp;sourceID=14","0")</f>
        <v>0</v>
      </c>
    </row>
    <row r="5413" spans="1:7">
      <c r="A5413" s="3">
        <v>10</v>
      </c>
      <c r="B5413" s="3">
        <v>5</v>
      </c>
      <c r="C5413" s="3">
        <v>173</v>
      </c>
      <c r="D5413" s="3">
        <v>144</v>
      </c>
      <c r="E5413" s="3">
        <v>-969.83</v>
      </c>
      <c r="F5413" s="4" t="str">
        <f>HYPERLINK("http://141.218.60.56/~jnz1568/getInfo.php?workbook=10_05.xlsx&amp;sheet=A0&amp;row=5413&amp;col=6&amp;number=258&amp;sourceID=14","258")</f>
        <v>258</v>
      </c>
      <c r="G5413" s="4" t="str">
        <f>HYPERLINK("http://141.218.60.56/~jnz1568/getInfo.php?workbook=10_05.xlsx&amp;sheet=A0&amp;row=5413&amp;col=7&amp;number=0&amp;sourceID=14","0")</f>
        <v>0</v>
      </c>
    </row>
    <row r="5414" spans="1:7">
      <c r="A5414" s="3">
        <v>10</v>
      </c>
      <c r="B5414" s="3">
        <v>5</v>
      </c>
      <c r="C5414" s="3">
        <v>150</v>
      </c>
      <c r="D5414" s="3">
        <v>145</v>
      </c>
      <c r="E5414" s="3">
        <v>-23126.777</v>
      </c>
      <c r="F5414" s="4" t="str">
        <f>HYPERLINK("http://141.218.60.56/~jnz1568/getInfo.php?workbook=10_05.xlsx&amp;sheet=A0&amp;row=5414&amp;col=6&amp;number=1720&amp;sourceID=14","1720")</f>
        <v>1720</v>
      </c>
      <c r="G5414" s="4" t="str">
        <f>HYPERLINK("http://141.218.60.56/~jnz1568/getInfo.php?workbook=10_05.xlsx&amp;sheet=A0&amp;row=5414&amp;col=7&amp;number=0&amp;sourceID=14","0")</f>
        <v>0</v>
      </c>
    </row>
    <row r="5415" spans="1:7">
      <c r="A5415" s="3">
        <v>10</v>
      </c>
      <c r="B5415" s="3">
        <v>5</v>
      </c>
      <c r="C5415" s="3">
        <v>151</v>
      </c>
      <c r="D5415" s="3">
        <v>145</v>
      </c>
      <c r="E5415" s="3">
        <v>-23009.706</v>
      </c>
      <c r="F5415" s="4" t="str">
        <f>HYPERLINK("http://141.218.60.56/~jnz1568/getInfo.php?workbook=10_05.xlsx&amp;sheet=A0&amp;row=5415&amp;col=6&amp;number=0.951&amp;sourceID=14","0.951")</f>
        <v>0.951</v>
      </c>
      <c r="G5415" s="4" t="str">
        <f>HYPERLINK("http://141.218.60.56/~jnz1568/getInfo.php?workbook=10_05.xlsx&amp;sheet=A0&amp;row=5415&amp;col=7&amp;number=0&amp;sourceID=14","0")</f>
        <v>0</v>
      </c>
    </row>
    <row r="5416" spans="1:7">
      <c r="A5416" s="3">
        <v>10</v>
      </c>
      <c r="B5416" s="3">
        <v>5</v>
      </c>
      <c r="C5416" s="3">
        <v>155</v>
      </c>
      <c r="D5416" s="3">
        <v>145</v>
      </c>
      <c r="E5416" s="3">
        <v>13157.919</v>
      </c>
      <c r="F5416" s="4" t="str">
        <f>HYPERLINK("http://141.218.60.56/~jnz1568/getInfo.php?workbook=10_05.xlsx&amp;sheet=A0&amp;row=5416&amp;col=6&amp;number=604&amp;sourceID=14","604")</f>
        <v>604</v>
      </c>
      <c r="G5416" s="4" t="str">
        <f>HYPERLINK("http://141.218.60.56/~jnz1568/getInfo.php?workbook=10_05.xlsx&amp;sheet=A0&amp;row=5416&amp;col=7&amp;number=0&amp;sourceID=14","0")</f>
        <v>0</v>
      </c>
    </row>
    <row r="5417" spans="1:7">
      <c r="A5417" s="3">
        <v>10</v>
      </c>
      <c r="B5417" s="3">
        <v>5</v>
      </c>
      <c r="C5417" s="3">
        <v>156</v>
      </c>
      <c r="D5417" s="3">
        <v>145</v>
      </c>
      <c r="E5417" s="3">
        <v>-11842.75</v>
      </c>
      <c r="F5417" s="4" t="str">
        <f>HYPERLINK("http://141.218.60.56/~jnz1568/getInfo.php?workbook=10_05.xlsx&amp;sheet=A0&amp;row=5417&amp;col=6&amp;number=77700&amp;sourceID=14","77700")</f>
        <v>77700</v>
      </c>
      <c r="G5417" s="4" t="str">
        <f>HYPERLINK("http://141.218.60.56/~jnz1568/getInfo.php?workbook=10_05.xlsx&amp;sheet=A0&amp;row=5417&amp;col=7&amp;number=0&amp;sourceID=14","0")</f>
        <v>0</v>
      </c>
    </row>
    <row r="5418" spans="1:7">
      <c r="A5418" s="3">
        <v>10</v>
      </c>
      <c r="B5418" s="3">
        <v>5</v>
      </c>
      <c r="C5418" s="3">
        <v>157</v>
      </c>
      <c r="D5418" s="3">
        <v>145</v>
      </c>
      <c r="E5418" s="3">
        <v>-11596.913</v>
      </c>
      <c r="F5418" s="4" t="str">
        <f>HYPERLINK("http://141.218.60.56/~jnz1568/getInfo.php?workbook=10_05.xlsx&amp;sheet=A0&amp;row=5418&amp;col=6&amp;number=4280&amp;sourceID=14","4280")</f>
        <v>4280</v>
      </c>
      <c r="G5418" s="4" t="str">
        <f>HYPERLINK("http://141.218.60.56/~jnz1568/getInfo.php?workbook=10_05.xlsx&amp;sheet=A0&amp;row=5418&amp;col=7&amp;number=0&amp;sourceID=14","0")</f>
        <v>0</v>
      </c>
    </row>
    <row r="5419" spans="1:7">
      <c r="A5419" s="3">
        <v>10</v>
      </c>
      <c r="B5419" s="3">
        <v>5</v>
      </c>
      <c r="C5419" s="3">
        <v>160</v>
      </c>
      <c r="D5419" s="3">
        <v>145</v>
      </c>
      <c r="E5419" s="3">
        <v>-10112.265</v>
      </c>
      <c r="F5419" s="4" t="str">
        <f>HYPERLINK("http://141.218.60.56/~jnz1568/getInfo.php?workbook=10_05.xlsx&amp;sheet=A0&amp;row=5419&amp;col=6&amp;number=1170&amp;sourceID=14","1170")</f>
        <v>1170</v>
      </c>
      <c r="G5419" s="4" t="str">
        <f>HYPERLINK("http://141.218.60.56/~jnz1568/getInfo.php?workbook=10_05.xlsx&amp;sheet=A0&amp;row=5419&amp;col=7&amp;number=0&amp;sourceID=14","0")</f>
        <v>0</v>
      </c>
    </row>
    <row r="5420" spans="1:7">
      <c r="A5420" s="3">
        <v>10</v>
      </c>
      <c r="B5420" s="3">
        <v>5</v>
      </c>
      <c r="C5420" s="3">
        <v>161</v>
      </c>
      <c r="D5420" s="3">
        <v>145</v>
      </c>
      <c r="E5420" s="3">
        <v>9813.561</v>
      </c>
      <c r="F5420" s="4" t="str">
        <f>HYPERLINK("http://141.218.60.56/~jnz1568/getInfo.php?workbook=10_05.xlsx&amp;sheet=A0&amp;row=5420&amp;col=6&amp;number=7620&amp;sourceID=14","7620")</f>
        <v>7620</v>
      </c>
      <c r="G5420" s="4" t="str">
        <f>HYPERLINK("http://141.218.60.56/~jnz1568/getInfo.php?workbook=10_05.xlsx&amp;sheet=A0&amp;row=5420&amp;col=7&amp;number=0&amp;sourceID=14","0")</f>
        <v>0</v>
      </c>
    </row>
    <row r="5421" spans="1:7">
      <c r="A5421" s="3">
        <v>10</v>
      </c>
      <c r="B5421" s="3">
        <v>5</v>
      </c>
      <c r="C5421" s="3">
        <v>162</v>
      </c>
      <c r="D5421" s="3">
        <v>145</v>
      </c>
      <c r="E5421" s="3">
        <v>9532.906</v>
      </c>
      <c r="F5421" s="4" t="str">
        <f>HYPERLINK("http://141.218.60.56/~jnz1568/getInfo.php?workbook=10_05.xlsx&amp;sheet=A0&amp;row=5421&amp;col=6&amp;number=1840&amp;sourceID=14","1840")</f>
        <v>1840</v>
      </c>
      <c r="G5421" s="4" t="str">
        <f>HYPERLINK("http://141.218.60.56/~jnz1568/getInfo.php?workbook=10_05.xlsx&amp;sheet=A0&amp;row=5421&amp;col=7&amp;number=0&amp;sourceID=14","0")</f>
        <v>0</v>
      </c>
    </row>
    <row r="5422" spans="1:7">
      <c r="A5422" s="3">
        <v>10</v>
      </c>
      <c r="B5422" s="3">
        <v>5</v>
      </c>
      <c r="C5422" s="3">
        <v>163</v>
      </c>
      <c r="D5422" s="3">
        <v>145</v>
      </c>
      <c r="E5422" s="3">
        <v>-4157.148</v>
      </c>
      <c r="F5422" s="4" t="str">
        <f>HYPERLINK("http://141.218.60.56/~jnz1568/getInfo.php?workbook=10_05.xlsx&amp;sheet=A0&amp;row=5422&amp;col=6&amp;number=5670&amp;sourceID=14","5670")</f>
        <v>5670</v>
      </c>
      <c r="G5422" s="4" t="str">
        <f>HYPERLINK("http://141.218.60.56/~jnz1568/getInfo.php?workbook=10_05.xlsx&amp;sheet=A0&amp;row=5422&amp;col=7&amp;number=0&amp;sourceID=14","0")</f>
        <v>0</v>
      </c>
    </row>
    <row r="5423" spans="1:7">
      <c r="A5423" s="3">
        <v>10</v>
      </c>
      <c r="B5423" s="3">
        <v>5</v>
      </c>
      <c r="C5423" s="3">
        <v>168</v>
      </c>
      <c r="D5423" s="3">
        <v>145</v>
      </c>
      <c r="E5423" s="3">
        <v>-1102.246</v>
      </c>
      <c r="F5423" s="4" t="str">
        <f>HYPERLINK("http://141.218.60.56/~jnz1568/getInfo.php?workbook=10_05.xlsx&amp;sheet=A0&amp;row=5423&amp;col=6&amp;number=17800&amp;sourceID=14","17800")</f>
        <v>17800</v>
      </c>
      <c r="G5423" s="4" t="str">
        <f>HYPERLINK("http://141.218.60.56/~jnz1568/getInfo.php?workbook=10_05.xlsx&amp;sheet=A0&amp;row=5423&amp;col=7&amp;number=0&amp;sourceID=14","0")</f>
        <v>0</v>
      </c>
    </row>
    <row r="5424" spans="1:7">
      <c r="A5424" s="3">
        <v>10</v>
      </c>
      <c r="B5424" s="3">
        <v>5</v>
      </c>
      <c r="C5424" s="3">
        <v>169</v>
      </c>
      <c r="D5424" s="3">
        <v>145</v>
      </c>
      <c r="E5424" s="3">
        <v>-1101.663</v>
      </c>
      <c r="F5424" s="4" t="str">
        <f>HYPERLINK("http://141.218.60.56/~jnz1568/getInfo.php?workbook=10_05.xlsx&amp;sheet=A0&amp;row=5424&amp;col=6&amp;number=828000&amp;sourceID=14","828000")</f>
        <v>828000</v>
      </c>
      <c r="G5424" s="4" t="str">
        <f>HYPERLINK("http://141.218.60.56/~jnz1568/getInfo.php?workbook=10_05.xlsx&amp;sheet=A0&amp;row=5424&amp;col=7&amp;number=0&amp;sourceID=14","0")</f>
        <v>0</v>
      </c>
    </row>
    <row r="5425" spans="1:7">
      <c r="A5425" s="3">
        <v>10</v>
      </c>
      <c r="B5425" s="3">
        <v>5</v>
      </c>
      <c r="C5425" s="3">
        <v>170</v>
      </c>
      <c r="D5425" s="3">
        <v>145</v>
      </c>
      <c r="E5425" s="3">
        <v>-998.574</v>
      </c>
      <c r="F5425" s="4" t="str">
        <f>HYPERLINK("http://141.218.60.56/~jnz1568/getInfo.php?workbook=10_05.xlsx&amp;sheet=A0&amp;row=5425&amp;col=6&amp;number=1290000&amp;sourceID=14","1290000")</f>
        <v>1290000</v>
      </c>
      <c r="G5425" s="4" t="str">
        <f>HYPERLINK("http://141.218.60.56/~jnz1568/getInfo.php?workbook=10_05.xlsx&amp;sheet=A0&amp;row=5425&amp;col=7&amp;number=0&amp;sourceID=14","0")</f>
        <v>0</v>
      </c>
    </row>
    <row r="5426" spans="1:7">
      <c r="A5426" s="3">
        <v>10</v>
      </c>
      <c r="B5426" s="3">
        <v>5</v>
      </c>
      <c r="C5426" s="3">
        <v>171</v>
      </c>
      <c r="D5426" s="3">
        <v>145</v>
      </c>
      <c r="E5426" s="3">
        <v>-997.627</v>
      </c>
      <c r="F5426" s="4" t="str">
        <f>HYPERLINK("http://141.218.60.56/~jnz1568/getInfo.php?workbook=10_05.xlsx&amp;sheet=A0&amp;row=5426&amp;col=6&amp;number=393000&amp;sourceID=14","393000")</f>
        <v>393000</v>
      </c>
      <c r="G5426" s="4" t="str">
        <f>HYPERLINK("http://141.218.60.56/~jnz1568/getInfo.php?workbook=10_05.xlsx&amp;sheet=A0&amp;row=5426&amp;col=7&amp;number=0&amp;sourceID=14","0")</f>
        <v>0</v>
      </c>
    </row>
    <row r="5427" spans="1:7">
      <c r="A5427" s="3">
        <v>10</v>
      </c>
      <c r="B5427" s="3">
        <v>5</v>
      </c>
      <c r="C5427" s="3">
        <v>172</v>
      </c>
      <c r="D5427" s="3">
        <v>145</v>
      </c>
      <c r="E5427" s="3">
        <v>-978.59</v>
      </c>
      <c r="F5427" s="4" t="str">
        <f>HYPERLINK("http://141.218.60.56/~jnz1568/getInfo.php?workbook=10_05.xlsx&amp;sheet=A0&amp;row=5427&amp;col=6&amp;number=7840000&amp;sourceID=14","7840000")</f>
        <v>7840000</v>
      </c>
      <c r="G5427" s="4" t="str">
        <f>HYPERLINK("http://141.218.60.56/~jnz1568/getInfo.php?workbook=10_05.xlsx&amp;sheet=A0&amp;row=5427&amp;col=7&amp;number=0&amp;sourceID=14","0")</f>
        <v>0</v>
      </c>
    </row>
    <row r="5428" spans="1:7">
      <c r="A5428" s="3">
        <v>10</v>
      </c>
      <c r="B5428" s="3">
        <v>5</v>
      </c>
      <c r="C5428" s="3">
        <v>173</v>
      </c>
      <c r="D5428" s="3">
        <v>145</v>
      </c>
      <c r="E5428" s="3">
        <v>-978.37</v>
      </c>
      <c r="F5428" s="4" t="str">
        <f>HYPERLINK("http://141.218.60.56/~jnz1568/getInfo.php?workbook=10_05.xlsx&amp;sheet=A0&amp;row=5428&amp;col=6&amp;number=339000&amp;sourceID=14","339000")</f>
        <v>339000</v>
      </c>
      <c r="G5428" s="4" t="str">
        <f>HYPERLINK("http://141.218.60.56/~jnz1568/getInfo.php?workbook=10_05.xlsx&amp;sheet=A0&amp;row=5428&amp;col=7&amp;number=0&amp;sourceID=14","0")</f>
        <v>0</v>
      </c>
    </row>
    <row r="5429" spans="1:7">
      <c r="A5429" s="3">
        <v>10</v>
      </c>
      <c r="B5429" s="3">
        <v>5</v>
      </c>
      <c r="C5429" s="3">
        <v>174</v>
      </c>
      <c r="D5429" s="3">
        <v>145</v>
      </c>
      <c r="E5429" s="3">
        <v>-958.582</v>
      </c>
      <c r="F5429" s="4" t="str">
        <f>HYPERLINK("http://141.218.60.56/~jnz1568/getInfo.php?workbook=10_05.xlsx&amp;sheet=A0&amp;row=5429&amp;col=6&amp;number=131000&amp;sourceID=14","131000")</f>
        <v>131000</v>
      </c>
      <c r="G5429" s="4" t="str">
        <f>HYPERLINK("http://141.218.60.56/~jnz1568/getInfo.php?workbook=10_05.xlsx&amp;sheet=A0&amp;row=5429&amp;col=7&amp;number=0&amp;sourceID=14","0")</f>
        <v>0</v>
      </c>
    </row>
    <row r="5430" spans="1:7">
      <c r="A5430" s="3">
        <v>10</v>
      </c>
      <c r="B5430" s="3">
        <v>5</v>
      </c>
      <c r="C5430" s="3">
        <v>150</v>
      </c>
      <c r="D5430" s="3">
        <v>146</v>
      </c>
      <c r="E5430" s="3">
        <v>-24497.84</v>
      </c>
      <c r="F5430" s="4" t="str">
        <f>HYPERLINK("http://141.218.60.56/~jnz1568/getInfo.php?workbook=10_05.xlsx&amp;sheet=A0&amp;row=5430&amp;col=6&amp;number=263&amp;sourceID=14","263")</f>
        <v>263</v>
      </c>
      <c r="G5430" s="4" t="str">
        <f>HYPERLINK("http://141.218.60.56/~jnz1568/getInfo.php?workbook=10_05.xlsx&amp;sheet=A0&amp;row=5430&amp;col=7&amp;number=0&amp;sourceID=14","0")</f>
        <v>0</v>
      </c>
    </row>
    <row r="5431" spans="1:7">
      <c r="A5431" s="3">
        <v>10</v>
      </c>
      <c r="B5431" s="3">
        <v>5</v>
      </c>
      <c r="C5431" s="3">
        <v>151</v>
      </c>
      <c r="D5431" s="3">
        <v>146</v>
      </c>
      <c r="E5431" s="3">
        <v>-24366.517</v>
      </c>
      <c r="F5431" s="4" t="str">
        <f>HYPERLINK("http://141.218.60.56/~jnz1568/getInfo.php?workbook=10_05.xlsx&amp;sheet=A0&amp;row=5431&amp;col=6&amp;number=904&amp;sourceID=14","904")</f>
        <v>904</v>
      </c>
      <c r="G5431" s="4" t="str">
        <f>HYPERLINK("http://141.218.60.56/~jnz1568/getInfo.php?workbook=10_05.xlsx&amp;sheet=A0&amp;row=5431&amp;col=7&amp;number=0&amp;sourceID=14","0")</f>
        <v>0</v>
      </c>
    </row>
    <row r="5432" spans="1:7">
      <c r="A5432" s="3">
        <v>10</v>
      </c>
      <c r="B5432" s="3">
        <v>5</v>
      </c>
      <c r="C5432" s="3">
        <v>154</v>
      </c>
      <c r="D5432" s="3">
        <v>146</v>
      </c>
      <c r="E5432" s="3">
        <v>13157.919</v>
      </c>
      <c r="F5432" s="4" t="str">
        <f>HYPERLINK("http://141.218.60.56/~jnz1568/getInfo.php?workbook=10_05.xlsx&amp;sheet=A0&amp;row=5432&amp;col=6&amp;number=202&amp;sourceID=14","202")</f>
        <v>202</v>
      </c>
      <c r="G5432" s="4" t="str">
        <f>HYPERLINK("http://141.218.60.56/~jnz1568/getInfo.php?workbook=10_05.xlsx&amp;sheet=A0&amp;row=5432&amp;col=7&amp;number=0&amp;sourceID=14","0")</f>
        <v>0</v>
      </c>
    </row>
    <row r="5433" spans="1:7">
      <c r="A5433" s="3">
        <v>10</v>
      </c>
      <c r="B5433" s="3">
        <v>5</v>
      </c>
      <c r="C5433" s="3">
        <v>155</v>
      </c>
      <c r="D5433" s="3">
        <v>146</v>
      </c>
      <c r="E5433" s="3">
        <v>13157.919</v>
      </c>
      <c r="F5433" s="4" t="str">
        <f>HYPERLINK("http://141.218.60.56/~jnz1568/getInfo.php?workbook=10_05.xlsx&amp;sheet=A0&amp;row=5433&amp;col=6&amp;number=7150&amp;sourceID=14","7150")</f>
        <v>7150</v>
      </c>
      <c r="G5433" s="4" t="str">
        <f>HYPERLINK("http://141.218.60.56/~jnz1568/getInfo.php?workbook=10_05.xlsx&amp;sheet=A0&amp;row=5433&amp;col=7&amp;number=0&amp;sourceID=14","0")</f>
        <v>0</v>
      </c>
    </row>
    <row r="5434" spans="1:7">
      <c r="A5434" s="3">
        <v>10</v>
      </c>
      <c r="B5434" s="3">
        <v>5</v>
      </c>
      <c r="C5434" s="3">
        <v>156</v>
      </c>
      <c r="D5434" s="3">
        <v>146</v>
      </c>
      <c r="E5434" s="3">
        <v>-12192.171</v>
      </c>
      <c r="F5434" s="4" t="str">
        <f>HYPERLINK("http://141.218.60.56/~jnz1568/getInfo.php?workbook=10_05.xlsx&amp;sheet=A0&amp;row=5434&amp;col=6&amp;number=15700&amp;sourceID=14","15700")</f>
        <v>15700</v>
      </c>
      <c r="G5434" s="4" t="str">
        <f>HYPERLINK("http://141.218.60.56/~jnz1568/getInfo.php?workbook=10_05.xlsx&amp;sheet=A0&amp;row=5434&amp;col=7&amp;number=0&amp;sourceID=14","0")</f>
        <v>0</v>
      </c>
    </row>
    <row r="5435" spans="1:7">
      <c r="A5435" s="3">
        <v>10</v>
      </c>
      <c r="B5435" s="3">
        <v>5</v>
      </c>
      <c r="C5435" s="3">
        <v>157</v>
      </c>
      <c r="D5435" s="3">
        <v>146</v>
      </c>
      <c r="E5435" s="3">
        <v>-11931.772</v>
      </c>
      <c r="F5435" s="4" t="str">
        <f>HYPERLINK("http://141.218.60.56/~jnz1568/getInfo.php?workbook=10_05.xlsx&amp;sheet=A0&amp;row=5435&amp;col=6&amp;number=94300&amp;sourceID=14","94300")</f>
        <v>94300</v>
      </c>
      <c r="G5435" s="4" t="str">
        <f>HYPERLINK("http://141.218.60.56/~jnz1568/getInfo.php?workbook=10_05.xlsx&amp;sheet=A0&amp;row=5435&amp;col=7&amp;number=0&amp;sourceID=14","0")</f>
        <v>0</v>
      </c>
    </row>
    <row r="5436" spans="1:7">
      <c r="A5436" s="3">
        <v>10</v>
      </c>
      <c r="B5436" s="3">
        <v>5</v>
      </c>
      <c r="C5436" s="3">
        <v>162</v>
      </c>
      <c r="D5436" s="3">
        <v>146</v>
      </c>
      <c r="E5436" s="3">
        <v>9532.906</v>
      </c>
      <c r="F5436" s="4" t="str">
        <f>HYPERLINK("http://141.218.60.56/~jnz1568/getInfo.php?workbook=10_05.xlsx&amp;sheet=A0&amp;row=5436&amp;col=6&amp;number=10700&amp;sourceID=14","10700")</f>
        <v>10700</v>
      </c>
      <c r="G5436" s="4" t="str">
        <f>HYPERLINK("http://141.218.60.56/~jnz1568/getInfo.php?workbook=10_05.xlsx&amp;sheet=A0&amp;row=5436&amp;col=7&amp;number=0&amp;sourceID=14","0")</f>
        <v>0</v>
      </c>
    </row>
    <row r="5437" spans="1:7">
      <c r="A5437" s="3">
        <v>10</v>
      </c>
      <c r="B5437" s="3">
        <v>5</v>
      </c>
      <c r="C5437" s="3">
        <v>168</v>
      </c>
      <c r="D5437" s="3">
        <v>146</v>
      </c>
      <c r="E5437" s="3">
        <v>-1105.194</v>
      </c>
      <c r="F5437" s="4" t="str">
        <f>HYPERLINK("http://141.218.60.56/~jnz1568/getInfo.php?workbook=10_05.xlsx&amp;sheet=A0&amp;row=5437&amp;col=6&amp;number=1010000&amp;sourceID=14","1010000")</f>
        <v>1010000</v>
      </c>
      <c r="G5437" s="4" t="str">
        <f>HYPERLINK("http://141.218.60.56/~jnz1568/getInfo.php?workbook=10_05.xlsx&amp;sheet=A0&amp;row=5437&amp;col=7&amp;number=0&amp;sourceID=14","0")</f>
        <v>0</v>
      </c>
    </row>
    <row r="5438" spans="1:7">
      <c r="A5438" s="3">
        <v>10</v>
      </c>
      <c r="B5438" s="3">
        <v>5</v>
      </c>
      <c r="C5438" s="3">
        <v>169</v>
      </c>
      <c r="D5438" s="3">
        <v>146</v>
      </c>
      <c r="E5438" s="3">
        <v>-1104.608</v>
      </c>
      <c r="F5438" s="4" t="str">
        <f>HYPERLINK("http://141.218.60.56/~jnz1568/getInfo.php?workbook=10_05.xlsx&amp;sheet=A0&amp;row=5438&amp;col=6&amp;number=66900&amp;sourceID=14","66900")</f>
        <v>66900</v>
      </c>
      <c r="G5438" s="4" t="str">
        <f>HYPERLINK("http://141.218.60.56/~jnz1568/getInfo.php?workbook=10_05.xlsx&amp;sheet=A0&amp;row=5438&amp;col=7&amp;number=0&amp;sourceID=14","0")</f>
        <v>0</v>
      </c>
    </row>
    <row r="5439" spans="1:7">
      <c r="A5439" s="3">
        <v>10</v>
      </c>
      <c r="B5439" s="3">
        <v>5</v>
      </c>
      <c r="C5439" s="3">
        <v>171</v>
      </c>
      <c r="D5439" s="3">
        <v>146</v>
      </c>
      <c r="E5439" s="3">
        <v>-1000.042</v>
      </c>
      <c r="F5439" s="4" t="str">
        <f>HYPERLINK("http://141.218.60.56/~jnz1568/getInfo.php?workbook=10_05.xlsx&amp;sheet=A0&amp;row=5439&amp;col=6&amp;number=1790000&amp;sourceID=14","1790000")</f>
        <v>1790000</v>
      </c>
      <c r="G5439" s="4" t="str">
        <f>HYPERLINK("http://141.218.60.56/~jnz1568/getInfo.php?workbook=10_05.xlsx&amp;sheet=A0&amp;row=5439&amp;col=7&amp;number=0&amp;sourceID=14","0")</f>
        <v>0</v>
      </c>
    </row>
    <row r="5440" spans="1:7">
      <c r="A5440" s="3">
        <v>10</v>
      </c>
      <c r="B5440" s="3">
        <v>5</v>
      </c>
      <c r="C5440" s="3">
        <v>172</v>
      </c>
      <c r="D5440" s="3">
        <v>146</v>
      </c>
      <c r="E5440" s="3">
        <v>-980.913</v>
      </c>
      <c r="F5440" s="4" t="str">
        <f>HYPERLINK("http://141.218.60.56/~jnz1568/getInfo.php?workbook=10_05.xlsx&amp;sheet=A0&amp;row=5440&amp;col=6&amp;number=1280000&amp;sourceID=14","1280000")</f>
        <v>1280000</v>
      </c>
      <c r="G5440" s="4" t="str">
        <f>HYPERLINK("http://141.218.60.56/~jnz1568/getInfo.php?workbook=10_05.xlsx&amp;sheet=A0&amp;row=5440&amp;col=7&amp;number=0&amp;sourceID=14","0")</f>
        <v>0</v>
      </c>
    </row>
    <row r="5441" spans="1:7">
      <c r="A5441" s="3">
        <v>10</v>
      </c>
      <c r="B5441" s="3">
        <v>5</v>
      </c>
      <c r="C5441" s="3">
        <v>173</v>
      </c>
      <c r="D5441" s="3">
        <v>146</v>
      </c>
      <c r="E5441" s="3">
        <v>-980.692</v>
      </c>
      <c r="F5441" s="4" t="str">
        <f>HYPERLINK("http://141.218.60.56/~jnz1568/getInfo.php?workbook=10_05.xlsx&amp;sheet=A0&amp;row=5441&amp;col=6&amp;number=10100000&amp;sourceID=14","10100000")</f>
        <v>10100000</v>
      </c>
      <c r="G5441" s="4" t="str">
        <f>HYPERLINK("http://141.218.60.56/~jnz1568/getInfo.php?workbook=10_05.xlsx&amp;sheet=A0&amp;row=5441&amp;col=7&amp;number=0&amp;sourceID=14","0")</f>
        <v>0</v>
      </c>
    </row>
    <row r="5442" spans="1:7">
      <c r="A5442" s="3">
        <v>10</v>
      </c>
      <c r="B5442" s="3">
        <v>5</v>
      </c>
      <c r="C5442" s="3">
        <v>150</v>
      </c>
      <c r="D5442" s="3">
        <v>147</v>
      </c>
      <c r="E5442" s="3">
        <v>-26881.77</v>
      </c>
      <c r="F5442" s="4" t="str">
        <f>HYPERLINK("http://141.218.60.56/~jnz1568/getInfo.php?workbook=10_05.xlsx&amp;sheet=A0&amp;row=5442&amp;col=6&amp;number=19.8&amp;sourceID=14","19.8")</f>
        <v>19.8</v>
      </c>
      <c r="G5442" s="4" t="str">
        <f>HYPERLINK("http://141.218.60.56/~jnz1568/getInfo.php?workbook=10_05.xlsx&amp;sheet=A0&amp;row=5442&amp;col=7&amp;number=0&amp;sourceID=14","0")</f>
        <v>0</v>
      </c>
    </row>
    <row r="5443" spans="1:7">
      <c r="A5443" s="3">
        <v>10</v>
      </c>
      <c r="B5443" s="3">
        <v>5</v>
      </c>
      <c r="C5443" s="3">
        <v>151</v>
      </c>
      <c r="D5443" s="3">
        <v>147</v>
      </c>
      <c r="E5443" s="3">
        <v>-26723.726</v>
      </c>
      <c r="F5443" s="4" t="str">
        <f>HYPERLINK("http://141.218.60.56/~jnz1568/getInfo.php?workbook=10_05.xlsx&amp;sheet=A0&amp;row=5443&amp;col=6&amp;number=64.5&amp;sourceID=14","64.5")</f>
        <v>64.5</v>
      </c>
      <c r="G5443" s="4" t="str">
        <f>HYPERLINK("http://141.218.60.56/~jnz1568/getInfo.php?workbook=10_05.xlsx&amp;sheet=A0&amp;row=5443&amp;col=7&amp;number=0&amp;sourceID=14","0")</f>
        <v>0</v>
      </c>
    </row>
    <row r="5444" spans="1:7">
      <c r="A5444" s="3">
        <v>10</v>
      </c>
      <c r="B5444" s="3">
        <v>5</v>
      </c>
      <c r="C5444" s="3">
        <v>154</v>
      </c>
      <c r="D5444" s="3">
        <v>147</v>
      </c>
      <c r="E5444" s="3">
        <v>14265.361</v>
      </c>
      <c r="F5444" s="4" t="str">
        <f>HYPERLINK("http://141.218.60.56/~jnz1568/getInfo.php?workbook=10_05.xlsx&amp;sheet=A0&amp;row=5444&amp;col=6&amp;number=25.4&amp;sourceID=14","25.4")</f>
        <v>25.4</v>
      </c>
      <c r="G5444" s="4" t="str">
        <f>HYPERLINK("http://141.218.60.56/~jnz1568/getInfo.php?workbook=10_05.xlsx&amp;sheet=A0&amp;row=5444&amp;col=7&amp;number=0&amp;sourceID=14","0")</f>
        <v>0</v>
      </c>
    </row>
    <row r="5445" spans="1:7">
      <c r="A5445" s="3">
        <v>10</v>
      </c>
      <c r="B5445" s="3">
        <v>5</v>
      </c>
      <c r="C5445" s="3">
        <v>155</v>
      </c>
      <c r="D5445" s="3">
        <v>147</v>
      </c>
      <c r="E5445" s="3">
        <v>14265.361</v>
      </c>
      <c r="F5445" s="4" t="str">
        <f>HYPERLINK("http://141.218.60.56/~jnz1568/getInfo.php?workbook=10_05.xlsx&amp;sheet=A0&amp;row=5445&amp;col=6&amp;number=580&amp;sourceID=14","580")</f>
        <v>580</v>
      </c>
      <c r="G5445" s="4" t="str">
        <f>HYPERLINK("http://141.218.60.56/~jnz1568/getInfo.php?workbook=10_05.xlsx&amp;sheet=A0&amp;row=5445&amp;col=7&amp;number=0&amp;sourceID=14","0")</f>
        <v>0</v>
      </c>
    </row>
    <row r="5446" spans="1:7">
      <c r="A5446" s="3">
        <v>10</v>
      </c>
      <c r="B5446" s="3">
        <v>5</v>
      </c>
      <c r="C5446" s="3">
        <v>156</v>
      </c>
      <c r="D5446" s="3">
        <v>147</v>
      </c>
      <c r="E5446" s="3">
        <v>-12755.126</v>
      </c>
      <c r="F5446" s="4" t="str">
        <f>HYPERLINK("http://141.218.60.56/~jnz1568/getInfo.php?workbook=10_05.xlsx&amp;sheet=A0&amp;row=5446&amp;col=6&amp;number=1210&amp;sourceID=14","1210")</f>
        <v>1210</v>
      </c>
      <c r="G5446" s="4" t="str">
        <f>HYPERLINK("http://141.218.60.56/~jnz1568/getInfo.php?workbook=10_05.xlsx&amp;sheet=A0&amp;row=5446&amp;col=7&amp;number=0&amp;sourceID=14","0")</f>
        <v>0</v>
      </c>
    </row>
    <row r="5447" spans="1:7">
      <c r="A5447" s="3">
        <v>10</v>
      </c>
      <c r="B5447" s="3">
        <v>5</v>
      </c>
      <c r="C5447" s="3">
        <v>157</v>
      </c>
      <c r="D5447" s="3">
        <v>147</v>
      </c>
      <c r="E5447" s="3">
        <v>-12470.406</v>
      </c>
      <c r="F5447" s="4" t="str">
        <f>HYPERLINK("http://141.218.60.56/~jnz1568/getInfo.php?workbook=10_05.xlsx&amp;sheet=A0&amp;row=5447&amp;col=6&amp;number=8300&amp;sourceID=14","8300")</f>
        <v>8300</v>
      </c>
      <c r="G5447" s="4" t="str">
        <f>HYPERLINK("http://141.218.60.56/~jnz1568/getInfo.php?workbook=10_05.xlsx&amp;sheet=A0&amp;row=5447&amp;col=7&amp;number=0&amp;sourceID=14","0")</f>
        <v>0</v>
      </c>
    </row>
    <row r="5448" spans="1:7">
      <c r="A5448" s="3">
        <v>10</v>
      </c>
      <c r="B5448" s="3">
        <v>5</v>
      </c>
      <c r="C5448" s="3">
        <v>162</v>
      </c>
      <c r="D5448" s="3">
        <v>147</v>
      </c>
      <c r="E5448" s="3">
        <v>10101.029</v>
      </c>
      <c r="F5448" s="4" t="str">
        <f>HYPERLINK("http://141.218.60.56/~jnz1568/getInfo.php?workbook=10_05.xlsx&amp;sheet=A0&amp;row=5448&amp;col=6&amp;number=983&amp;sourceID=14","983")</f>
        <v>983</v>
      </c>
      <c r="G5448" s="4" t="str">
        <f>HYPERLINK("http://141.218.60.56/~jnz1568/getInfo.php?workbook=10_05.xlsx&amp;sheet=A0&amp;row=5448&amp;col=7&amp;number=0&amp;sourceID=14","0")</f>
        <v>0</v>
      </c>
    </row>
    <row r="5449" spans="1:7">
      <c r="A5449" s="3">
        <v>10</v>
      </c>
      <c r="B5449" s="3">
        <v>5</v>
      </c>
      <c r="C5449" s="3">
        <v>168</v>
      </c>
      <c r="D5449" s="3">
        <v>147</v>
      </c>
      <c r="E5449" s="3">
        <v>-1109.634</v>
      </c>
      <c r="F5449" s="4" t="str">
        <f>HYPERLINK("http://141.218.60.56/~jnz1568/getInfo.php?workbook=10_05.xlsx&amp;sheet=A0&amp;row=5449&amp;col=6&amp;number=108000&amp;sourceID=14","108000")</f>
        <v>108000</v>
      </c>
      <c r="G5449" s="4" t="str">
        <f>HYPERLINK("http://141.218.60.56/~jnz1568/getInfo.php?workbook=10_05.xlsx&amp;sheet=A0&amp;row=5449&amp;col=7&amp;number=0&amp;sourceID=14","0")</f>
        <v>0</v>
      </c>
    </row>
    <row r="5450" spans="1:7">
      <c r="A5450" s="3">
        <v>10</v>
      </c>
      <c r="B5450" s="3">
        <v>5</v>
      </c>
      <c r="C5450" s="3">
        <v>169</v>
      </c>
      <c r="D5450" s="3">
        <v>147</v>
      </c>
      <c r="E5450" s="3">
        <v>-1109.043</v>
      </c>
      <c r="F5450" s="4" t="str">
        <f>HYPERLINK("http://141.218.60.56/~jnz1568/getInfo.php?workbook=10_05.xlsx&amp;sheet=A0&amp;row=5450&amp;col=6&amp;number=8090&amp;sourceID=14","8090")</f>
        <v>8090</v>
      </c>
      <c r="G5450" s="4" t="str">
        <f>HYPERLINK("http://141.218.60.56/~jnz1568/getInfo.php?workbook=10_05.xlsx&amp;sheet=A0&amp;row=5450&amp;col=7&amp;number=0&amp;sourceID=14","0")</f>
        <v>0</v>
      </c>
    </row>
    <row r="5451" spans="1:7">
      <c r="A5451" s="3">
        <v>10</v>
      </c>
      <c r="B5451" s="3">
        <v>5</v>
      </c>
      <c r="C5451" s="3">
        <v>171</v>
      </c>
      <c r="D5451" s="3">
        <v>147</v>
      </c>
      <c r="E5451" s="3">
        <v>-1003.675</v>
      </c>
      <c r="F5451" s="4" t="str">
        <f>HYPERLINK("http://141.218.60.56/~jnz1568/getInfo.php?workbook=10_05.xlsx&amp;sheet=A0&amp;row=5451&amp;col=6&amp;number=204000&amp;sourceID=14","204000")</f>
        <v>204000</v>
      </c>
      <c r="G5451" s="4" t="str">
        <f>HYPERLINK("http://141.218.60.56/~jnz1568/getInfo.php?workbook=10_05.xlsx&amp;sheet=A0&amp;row=5451&amp;col=7&amp;number=0&amp;sourceID=14","0")</f>
        <v>0</v>
      </c>
    </row>
    <row r="5452" spans="1:7">
      <c r="A5452" s="3">
        <v>10</v>
      </c>
      <c r="B5452" s="3">
        <v>5</v>
      </c>
      <c r="C5452" s="3">
        <v>172</v>
      </c>
      <c r="D5452" s="3">
        <v>147</v>
      </c>
      <c r="E5452" s="3">
        <v>-984.409</v>
      </c>
      <c r="F5452" s="4" t="str">
        <f>HYPERLINK("http://141.218.60.56/~jnz1568/getInfo.php?workbook=10_05.xlsx&amp;sheet=A0&amp;row=5452&amp;col=6&amp;number=136000&amp;sourceID=14","136000")</f>
        <v>136000</v>
      </c>
      <c r="G5452" s="4" t="str">
        <f>HYPERLINK("http://141.218.60.56/~jnz1568/getInfo.php?workbook=10_05.xlsx&amp;sheet=A0&amp;row=5452&amp;col=7&amp;number=0&amp;sourceID=14","0")</f>
        <v>0</v>
      </c>
    </row>
    <row r="5453" spans="1:7">
      <c r="A5453" s="3">
        <v>10</v>
      </c>
      <c r="B5453" s="3">
        <v>5</v>
      </c>
      <c r="C5453" s="3">
        <v>173</v>
      </c>
      <c r="D5453" s="3">
        <v>147</v>
      </c>
      <c r="E5453" s="3">
        <v>-984.186</v>
      </c>
      <c r="F5453" s="4" t="str">
        <f>HYPERLINK("http://141.218.60.56/~jnz1568/getInfo.php?workbook=10_05.xlsx&amp;sheet=A0&amp;row=5453&amp;col=6&amp;number=1110000&amp;sourceID=14","1110000")</f>
        <v>1110000</v>
      </c>
      <c r="G5453" s="4" t="str">
        <f>HYPERLINK("http://141.218.60.56/~jnz1568/getInfo.php?workbook=10_05.xlsx&amp;sheet=A0&amp;row=5453&amp;col=7&amp;number=0&amp;sourceID=14","0")</f>
        <v>0</v>
      </c>
    </row>
    <row r="5454" spans="1:7">
      <c r="A5454" s="3">
        <v>10</v>
      </c>
      <c r="B5454" s="3">
        <v>5</v>
      </c>
      <c r="C5454" s="3">
        <v>150</v>
      </c>
      <c r="D5454" s="3">
        <v>148</v>
      </c>
      <c r="E5454" s="3">
        <v>-27609.107</v>
      </c>
      <c r="F5454" s="4" t="str">
        <f>HYPERLINK("http://141.218.60.56/~jnz1568/getInfo.php?workbook=10_05.xlsx&amp;sheet=A0&amp;row=5454&amp;col=6&amp;number=425&amp;sourceID=14","425")</f>
        <v>425</v>
      </c>
      <c r="G5454" s="4" t="str">
        <f>HYPERLINK("http://141.218.60.56/~jnz1568/getInfo.php?workbook=10_05.xlsx&amp;sheet=A0&amp;row=5454&amp;col=7&amp;number=0&amp;sourceID=14","0")</f>
        <v>0</v>
      </c>
    </row>
    <row r="5455" spans="1:7">
      <c r="A5455" s="3">
        <v>10</v>
      </c>
      <c r="B5455" s="3">
        <v>5</v>
      </c>
      <c r="C5455" s="3">
        <v>151</v>
      </c>
      <c r="D5455" s="3">
        <v>148</v>
      </c>
      <c r="E5455" s="3">
        <v>-27442.422</v>
      </c>
      <c r="F5455" s="4" t="str">
        <f>HYPERLINK("http://141.218.60.56/~jnz1568/getInfo.php?workbook=10_05.xlsx&amp;sheet=A0&amp;row=5455&amp;col=6&amp;number=1.9&amp;sourceID=14","1.9")</f>
        <v>1.9</v>
      </c>
      <c r="G5455" s="4" t="str">
        <f>HYPERLINK("http://141.218.60.56/~jnz1568/getInfo.php?workbook=10_05.xlsx&amp;sheet=A0&amp;row=5455&amp;col=7&amp;number=0&amp;sourceID=14","0")</f>
        <v>0</v>
      </c>
    </row>
    <row r="5456" spans="1:7">
      <c r="A5456" s="3">
        <v>10</v>
      </c>
      <c r="B5456" s="3">
        <v>5</v>
      </c>
      <c r="C5456" s="3">
        <v>155</v>
      </c>
      <c r="D5456" s="3">
        <v>148</v>
      </c>
      <c r="E5456" s="3">
        <v>14471.807</v>
      </c>
      <c r="F5456" s="4" t="str">
        <f>HYPERLINK("http://141.218.60.56/~jnz1568/getInfo.php?workbook=10_05.xlsx&amp;sheet=A0&amp;row=5456&amp;col=6&amp;number=329&amp;sourceID=14","329")</f>
        <v>329</v>
      </c>
      <c r="G5456" s="4" t="str">
        <f>HYPERLINK("http://141.218.60.56/~jnz1568/getInfo.php?workbook=10_05.xlsx&amp;sheet=A0&amp;row=5456&amp;col=7&amp;number=0&amp;sourceID=14","0")</f>
        <v>0</v>
      </c>
    </row>
    <row r="5457" spans="1:7">
      <c r="A5457" s="3">
        <v>10</v>
      </c>
      <c r="B5457" s="3">
        <v>5</v>
      </c>
      <c r="C5457" s="3">
        <v>156</v>
      </c>
      <c r="D5457" s="3">
        <v>148</v>
      </c>
      <c r="E5457" s="3">
        <v>-12916.583</v>
      </c>
      <c r="F5457" s="4" t="str">
        <f>HYPERLINK("http://141.218.60.56/~jnz1568/getInfo.php?workbook=10_05.xlsx&amp;sheet=A0&amp;row=5457&amp;col=6&amp;number=26600&amp;sourceID=14","26600")</f>
        <v>26600</v>
      </c>
      <c r="G5457" s="4" t="str">
        <f>HYPERLINK("http://141.218.60.56/~jnz1568/getInfo.php?workbook=10_05.xlsx&amp;sheet=A0&amp;row=5457&amp;col=7&amp;number=0&amp;sourceID=14","0")</f>
        <v>0</v>
      </c>
    </row>
    <row r="5458" spans="1:7">
      <c r="A5458" s="3">
        <v>10</v>
      </c>
      <c r="B5458" s="3">
        <v>5</v>
      </c>
      <c r="C5458" s="3">
        <v>157</v>
      </c>
      <c r="D5458" s="3">
        <v>148</v>
      </c>
      <c r="E5458" s="3">
        <v>-12624.692</v>
      </c>
      <c r="F5458" s="4" t="str">
        <f>HYPERLINK("http://141.218.60.56/~jnz1568/getInfo.php?workbook=10_05.xlsx&amp;sheet=A0&amp;row=5458&amp;col=6&amp;number=1920&amp;sourceID=14","1920")</f>
        <v>1920</v>
      </c>
      <c r="G5458" s="4" t="str">
        <f>HYPERLINK("http://141.218.60.56/~jnz1568/getInfo.php?workbook=10_05.xlsx&amp;sheet=A0&amp;row=5458&amp;col=7&amp;number=0&amp;sourceID=14","0")</f>
        <v>0</v>
      </c>
    </row>
    <row r="5459" spans="1:7">
      <c r="A5459" s="3">
        <v>10</v>
      </c>
      <c r="B5459" s="3">
        <v>5</v>
      </c>
      <c r="C5459" s="3">
        <v>160</v>
      </c>
      <c r="D5459" s="3">
        <v>148</v>
      </c>
      <c r="E5459" s="3">
        <v>-10884.966</v>
      </c>
      <c r="F5459" s="4" t="str">
        <f>HYPERLINK("http://141.218.60.56/~jnz1568/getInfo.php?workbook=10_05.xlsx&amp;sheet=A0&amp;row=5459&amp;col=6&amp;number=101&amp;sourceID=14","101")</f>
        <v>101</v>
      </c>
      <c r="G5459" s="4" t="str">
        <f>HYPERLINK("http://141.218.60.56/~jnz1568/getInfo.php?workbook=10_05.xlsx&amp;sheet=A0&amp;row=5459&amp;col=7&amp;number=0&amp;sourceID=14","0")</f>
        <v>0</v>
      </c>
    </row>
    <row r="5460" spans="1:7">
      <c r="A5460" s="3">
        <v>10</v>
      </c>
      <c r="B5460" s="3">
        <v>5</v>
      </c>
      <c r="C5460" s="3">
        <v>161</v>
      </c>
      <c r="D5460" s="3">
        <v>148</v>
      </c>
      <c r="E5460" s="3">
        <v>10526.335</v>
      </c>
      <c r="F5460" s="4" t="str">
        <f>HYPERLINK("http://141.218.60.56/~jnz1568/getInfo.php?workbook=10_05.xlsx&amp;sheet=A0&amp;row=5460&amp;col=6&amp;number=3480&amp;sourceID=14","3480")</f>
        <v>3480</v>
      </c>
      <c r="G5460" s="4" t="str">
        <f>HYPERLINK("http://141.218.60.56/~jnz1568/getInfo.php?workbook=10_05.xlsx&amp;sheet=A0&amp;row=5460&amp;col=7&amp;number=0&amp;sourceID=14","0")</f>
        <v>0</v>
      </c>
    </row>
    <row r="5461" spans="1:7">
      <c r="A5461" s="3">
        <v>10</v>
      </c>
      <c r="B5461" s="3">
        <v>5</v>
      </c>
      <c r="C5461" s="3">
        <v>162</v>
      </c>
      <c r="D5461" s="3">
        <v>148</v>
      </c>
      <c r="E5461" s="3">
        <v>10204.1</v>
      </c>
      <c r="F5461" s="4" t="str">
        <f>HYPERLINK("http://141.218.60.56/~jnz1568/getInfo.php?workbook=10_05.xlsx&amp;sheet=A0&amp;row=5461&amp;col=6&amp;number=259&amp;sourceID=14","259")</f>
        <v>259</v>
      </c>
      <c r="G5461" s="4" t="str">
        <f>HYPERLINK("http://141.218.60.56/~jnz1568/getInfo.php?workbook=10_05.xlsx&amp;sheet=A0&amp;row=5461&amp;col=7&amp;number=0&amp;sourceID=14","0")</f>
        <v>0</v>
      </c>
    </row>
    <row r="5462" spans="1:7">
      <c r="A5462" s="3">
        <v>10</v>
      </c>
      <c r="B5462" s="3">
        <v>5</v>
      </c>
      <c r="C5462" s="3">
        <v>163</v>
      </c>
      <c r="D5462" s="3">
        <v>148</v>
      </c>
      <c r="E5462" s="3">
        <v>-4282.113</v>
      </c>
      <c r="F5462" s="4" t="str">
        <f>HYPERLINK("http://141.218.60.56/~jnz1568/getInfo.php?workbook=10_05.xlsx&amp;sheet=A0&amp;row=5462&amp;col=6&amp;number=1.34&amp;sourceID=14","1.34")</f>
        <v>1.34</v>
      </c>
      <c r="G5462" s="4" t="str">
        <f>HYPERLINK("http://141.218.60.56/~jnz1568/getInfo.php?workbook=10_05.xlsx&amp;sheet=A0&amp;row=5462&amp;col=7&amp;number=0&amp;sourceID=14","0")</f>
        <v>0</v>
      </c>
    </row>
    <row r="5463" spans="1:7">
      <c r="A5463" s="3">
        <v>10</v>
      </c>
      <c r="B5463" s="3">
        <v>5</v>
      </c>
      <c r="C5463" s="3">
        <v>168</v>
      </c>
      <c r="D5463" s="3">
        <v>148</v>
      </c>
      <c r="E5463" s="3">
        <v>-1110.842</v>
      </c>
      <c r="F5463" s="4" t="str">
        <f>HYPERLINK("http://141.218.60.56/~jnz1568/getInfo.php?workbook=10_05.xlsx&amp;sheet=A0&amp;row=5463&amp;col=6&amp;number=21100&amp;sourceID=14","21100")</f>
        <v>21100</v>
      </c>
      <c r="G5463" s="4" t="str">
        <f>HYPERLINK("http://141.218.60.56/~jnz1568/getInfo.php?workbook=10_05.xlsx&amp;sheet=A0&amp;row=5463&amp;col=7&amp;number=0&amp;sourceID=14","0")</f>
        <v>0</v>
      </c>
    </row>
    <row r="5464" spans="1:7">
      <c r="A5464" s="3">
        <v>10</v>
      </c>
      <c r="B5464" s="3">
        <v>5</v>
      </c>
      <c r="C5464" s="3">
        <v>169</v>
      </c>
      <c r="D5464" s="3">
        <v>148</v>
      </c>
      <c r="E5464" s="3">
        <v>-1110.25</v>
      </c>
      <c r="F5464" s="4" t="str">
        <f>HYPERLINK("http://141.218.60.56/~jnz1568/getInfo.php?workbook=10_05.xlsx&amp;sheet=A0&amp;row=5464&amp;col=6&amp;number=352000&amp;sourceID=14","352000")</f>
        <v>352000</v>
      </c>
      <c r="G5464" s="4" t="str">
        <f>HYPERLINK("http://141.218.60.56/~jnz1568/getInfo.php?workbook=10_05.xlsx&amp;sheet=A0&amp;row=5464&amp;col=7&amp;number=0&amp;sourceID=14","0")</f>
        <v>0</v>
      </c>
    </row>
    <row r="5465" spans="1:7">
      <c r="A5465" s="3">
        <v>10</v>
      </c>
      <c r="B5465" s="3">
        <v>5</v>
      </c>
      <c r="C5465" s="3">
        <v>170</v>
      </c>
      <c r="D5465" s="3">
        <v>148</v>
      </c>
      <c r="E5465" s="3">
        <v>-1005.623</v>
      </c>
      <c r="F5465" s="4" t="str">
        <f>HYPERLINK("http://141.218.60.56/~jnz1568/getInfo.php?workbook=10_05.xlsx&amp;sheet=A0&amp;row=5465&amp;col=6&amp;number=670000&amp;sourceID=14","670000")</f>
        <v>670000</v>
      </c>
      <c r="G5465" s="4" t="str">
        <f>HYPERLINK("http://141.218.60.56/~jnz1568/getInfo.php?workbook=10_05.xlsx&amp;sheet=A0&amp;row=5465&amp;col=7&amp;number=0&amp;sourceID=14","0")</f>
        <v>0</v>
      </c>
    </row>
    <row r="5466" spans="1:7">
      <c r="A5466" s="3">
        <v>10</v>
      </c>
      <c r="B5466" s="3">
        <v>5</v>
      </c>
      <c r="C5466" s="3">
        <v>171</v>
      </c>
      <c r="D5466" s="3">
        <v>148</v>
      </c>
      <c r="E5466" s="3">
        <v>-1004.663</v>
      </c>
      <c r="F5466" s="4" t="str">
        <f>HYPERLINK("http://141.218.60.56/~jnz1568/getInfo.php?workbook=10_05.xlsx&amp;sheet=A0&amp;row=5466&amp;col=6&amp;number=132000&amp;sourceID=14","132000")</f>
        <v>132000</v>
      </c>
      <c r="G5466" s="4" t="str">
        <f>HYPERLINK("http://141.218.60.56/~jnz1568/getInfo.php?workbook=10_05.xlsx&amp;sheet=A0&amp;row=5466&amp;col=7&amp;number=0&amp;sourceID=14","0")</f>
        <v>0</v>
      </c>
    </row>
    <row r="5467" spans="1:7">
      <c r="A5467" s="3">
        <v>10</v>
      </c>
      <c r="B5467" s="3">
        <v>5</v>
      </c>
      <c r="C5467" s="3">
        <v>172</v>
      </c>
      <c r="D5467" s="3">
        <v>148</v>
      </c>
      <c r="E5467" s="3">
        <v>-985.359</v>
      </c>
      <c r="F5467" s="4" t="str">
        <f>HYPERLINK("http://141.218.60.56/~jnz1568/getInfo.php?workbook=10_05.xlsx&amp;sheet=A0&amp;row=5467&amp;col=6&amp;number=3500000&amp;sourceID=14","3500000")</f>
        <v>3500000</v>
      </c>
      <c r="G5467" s="4" t="str">
        <f>HYPERLINK("http://141.218.60.56/~jnz1568/getInfo.php?workbook=10_05.xlsx&amp;sheet=A0&amp;row=5467&amp;col=7&amp;number=0&amp;sourceID=14","0")</f>
        <v>0</v>
      </c>
    </row>
    <row r="5468" spans="1:7">
      <c r="A5468" s="3">
        <v>10</v>
      </c>
      <c r="B5468" s="3">
        <v>5</v>
      </c>
      <c r="C5468" s="3">
        <v>173</v>
      </c>
      <c r="D5468" s="3">
        <v>148</v>
      </c>
      <c r="E5468" s="3">
        <v>-985.136</v>
      </c>
      <c r="F5468" s="4" t="str">
        <f>HYPERLINK("http://141.218.60.56/~jnz1568/getInfo.php?workbook=10_05.xlsx&amp;sheet=A0&amp;row=5468&amp;col=6&amp;number=211000&amp;sourceID=14","211000")</f>
        <v>211000</v>
      </c>
      <c r="G5468" s="4" t="str">
        <f>HYPERLINK("http://141.218.60.56/~jnz1568/getInfo.php?workbook=10_05.xlsx&amp;sheet=A0&amp;row=5468&amp;col=7&amp;number=0&amp;sourceID=14","0")</f>
        <v>0</v>
      </c>
    </row>
    <row r="5469" spans="1:7">
      <c r="A5469" s="3">
        <v>10</v>
      </c>
      <c r="B5469" s="3">
        <v>5</v>
      </c>
      <c r="C5469" s="3">
        <v>174</v>
      </c>
      <c r="D5469" s="3">
        <v>148</v>
      </c>
      <c r="E5469" s="3">
        <v>-965.076</v>
      </c>
      <c r="F5469" s="4" t="str">
        <f>HYPERLINK("http://141.218.60.56/~jnz1568/getInfo.php?workbook=10_05.xlsx&amp;sheet=A0&amp;row=5469&amp;col=6&amp;number=13300&amp;sourceID=14","13300")</f>
        <v>13300</v>
      </c>
      <c r="G5469" s="4" t="str">
        <f>HYPERLINK("http://141.218.60.56/~jnz1568/getInfo.php?workbook=10_05.xlsx&amp;sheet=A0&amp;row=5469&amp;col=7&amp;number=0&amp;sourceID=14","0")</f>
        <v>0</v>
      </c>
    </row>
    <row r="5470" spans="1:7">
      <c r="A5470" s="3">
        <v>10</v>
      </c>
      <c r="B5470" s="3">
        <v>5</v>
      </c>
      <c r="C5470" s="3">
        <v>150</v>
      </c>
      <c r="D5470" s="3">
        <v>149</v>
      </c>
      <c r="E5470" s="3">
        <v>-28384.951</v>
      </c>
      <c r="F5470" s="4" t="str">
        <f>HYPERLINK("http://141.218.60.56/~jnz1568/getInfo.php?workbook=10_05.xlsx&amp;sheet=A0&amp;row=5470&amp;col=6&amp;number=0.285&amp;sourceID=14","0.285")</f>
        <v>0.285</v>
      </c>
      <c r="G5470" s="4" t="str">
        <f>HYPERLINK("http://141.218.60.56/~jnz1568/getInfo.php?workbook=10_05.xlsx&amp;sheet=A0&amp;row=5470&amp;col=7&amp;number=0&amp;sourceID=14","0")</f>
        <v>0</v>
      </c>
    </row>
    <row r="5471" spans="1:7">
      <c r="A5471" s="3">
        <v>10</v>
      </c>
      <c r="B5471" s="3">
        <v>5</v>
      </c>
      <c r="C5471" s="3">
        <v>156</v>
      </c>
      <c r="D5471" s="3">
        <v>149</v>
      </c>
      <c r="E5471" s="3">
        <v>-13083.892</v>
      </c>
      <c r="F5471" s="4" t="str">
        <f>HYPERLINK("http://141.218.60.56/~jnz1568/getInfo.php?workbook=10_05.xlsx&amp;sheet=A0&amp;row=5471&amp;col=6&amp;number=3.61&amp;sourceID=14","3.61")</f>
        <v>3.61</v>
      </c>
      <c r="G5471" s="4" t="str">
        <f>HYPERLINK("http://141.218.60.56/~jnz1568/getInfo.php?workbook=10_05.xlsx&amp;sheet=A0&amp;row=5471&amp;col=7&amp;number=0&amp;sourceID=14","0")</f>
        <v>0</v>
      </c>
    </row>
    <row r="5472" spans="1:7">
      <c r="A5472" s="3">
        <v>10</v>
      </c>
      <c r="B5472" s="3">
        <v>5</v>
      </c>
      <c r="C5472" s="3">
        <v>160</v>
      </c>
      <c r="D5472" s="3">
        <v>149</v>
      </c>
      <c r="E5472" s="3">
        <v>-11003.541</v>
      </c>
      <c r="F5472" s="4" t="str">
        <f>HYPERLINK("http://141.218.60.56/~jnz1568/getInfo.php?workbook=10_05.xlsx&amp;sheet=A0&amp;row=5472&amp;col=6&amp;number=12.1&amp;sourceID=14","12.1")</f>
        <v>12.1</v>
      </c>
      <c r="G5472" s="4" t="str">
        <f>HYPERLINK("http://141.218.60.56/~jnz1568/getInfo.php?workbook=10_05.xlsx&amp;sheet=A0&amp;row=5472&amp;col=7&amp;number=0&amp;sourceID=14","0")</f>
        <v>0</v>
      </c>
    </row>
    <row r="5473" spans="1:7">
      <c r="A5473" s="3">
        <v>10</v>
      </c>
      <c r="B5473" s="3">
        <v>5</v>
      </c>
      <c r="C5473" s="3">
        <v>161</v>
      </c>
      <c r="D5473" s="3">
        <v>149</v>
      </c>
      <c r="E5473" s="3">
        <v>10638.317</v>
      </c>
      <c r="F5473" s="4" t="str">
        <f>HYPERLINK("http://141.218.60.56/~jnz1568/getInfo.php?workbook=10_05.xlsx&amp;sheet=A0&amp;row=5473&amp;col=6&amp;number=8.81&amp;sourceID=14","8.81")</f>
        <v>8.81</v>
      </c>
      <c r="G5473" s="4" t="str">
        <f>HYPERLINK("http://141.218.60.56/~jnz1568/getInfo.php?workbook=10_05.xlsx&amp;sheet=A0&amp;row=5473&amp;col=7&amp;number=0&amp;sourceID=14","0")</f>
        <v>0</v>
      </c>
    </row>
    <row r="5474" spans="1:7">
      <c r="A5474" s="3">
        <v>10</v>
      </c>
      <c r="B5474" s="3">
        <v>5</v>
      </c>
      <c r="C5474" s="3">
        <v>162</v>
      </c>
      <c r="D5474" s="3">
        <v>149</v>
      </c>
      <c r="E5474" s="3">
        <v>10309.297</v>
      </c>
      <c r="F5474" s="4" t="str">
        <f>HYPERLINK("http://141.218.60.56/~jnz1568/getInfo.php?workbook=10_05.xlsx&amp;sheet=A0&amp;row=5474&amp;col=6&amp;number=7.94&amp;sourceID=14","7.94")</f>
        <v>7.94</v>
      </c>
      <c r="G5474" s="4" t="str">
        <f>HYPERLINK("http://141.218.60.56/~jnz1568/getInfo.php?workbook=10_05.xlsx&amp;sheet=A0&amp;row=5474&amp;col=7&amp;number=0&amp;sourceID=14","0")</f>
        <v>0</v>
      </c>
    </row>
    <row r="5475" spans="1:7">
      <c r="A5475" s="3">
        <v>10</v>
      </c>
      <c r="B5475" s="3">
        <v>5</v>
      </c>
      <c r="C5475" s="3">
        <v>163</v>
      </c>
      <c r="D5475" s="3">
        <v>149</v>
      </c>
      <c r="E5475" s="3">
        <v>-4300.343</v>
      </c>
      <c r="F5475" s="4" t="str">
        <f>HYPERLINK("http://141.218.60.56/~jnz1568/getInfo.php?workbook=10_05.xlsx&amp;sheet=A0&amp;row=5475&amp;col=6&amp;number=219&amp;sourceID=14","219")</f>
        <v>219</v>
      </c>
      <c r="G5475" s="4" t="str">
        <f>HYPERLINK("http://141.218.60.56/~jnz1568/getInfo.php?workbook=10_05.xlsx&amp;sheet=A0&amp;row=5475&amp;col=7&amp;number=0&amp;sourceID=14","0")</f>
        <v>0</v>
      </c>
    </row>
    <row r="5476" spans="1:7">
      <c r="A5476" s="3">
        <v>10</v>
      </c>
      <c r="B5476" s="3">
        <v>5</v>
      </c>
      <c r="C5476" s="3">
        <v>169</v>
      </c>
      <c r="D5476" s="3">
        <v>149</v>
      </c>
      <c r="E5476" s="3">
        <v>-1111.471</v>
      </c>
      <c r="F5476" s="4" t="str">
        <f>HYPERLINK("http://141.218.60.56/~jnz1568/getInfo.php?workbook=10_05.xlsx&amp;sheet=A0&amp;row=5476&amp;col=6&amp;number=483&amp;sourceID=14","483")</f>
        <v>483</v>
      </c>
      <c r="G5476" s="4" t="str">
        <f>HYPERLINK("http://141.218.60.56/~jnz1568/getInfo.php?workbook=10_05.xlsx&amp;sheet=A0&amp;row=5476&amp;col=7&amp;number=0&amp;sourceID=14","0")</f>
        <v>0</v>
      </c>
    </row>
    <row r="5477" spans="1:7">
      <c r="A5477" s="3">
        <v>10</v>
      </c>
      <c r="B5477" s="3">
        <v>5</v>
      </c>
      <c r="C5477" s="3">
        <v>170</v>
      </c>
      <c r="D5477" s="3">
        <v>149</v>
      </c>
      <c r="E5477" s="3">
        <v>-1006.625</v>
      </c>
      <c r="F5477" s="4" t="str">
        <f>HYPERLINK("http://141.218.60.56/~jnz1568/getInfo.php?workbook=10_05.xlsx&amp;sheet=A0&amp;row=5477&amp;col=6&amp;number=670&amp;sourceID=14","670")</f>
        <v>670</v>
      </c>
      <c r="G5477" s="4" t="str">
        <f>HYPERLINK("http://141.218.60.56/~jnz1568/getInfo.php?workbook=10_05.xlsx&amp;sheet=A0&amp;row=5477&amp;col=7&amp;number=0&amp;sourceID=14","0")</f>
        <v>0</v>
      </c>
    </row>
    <row r="5478" spans="1:7">
      <c r="A5478" s="3">
        <v>10</v>
      </c>
      <c r="B5478" s="3">
        <v>5</v>
      </c>
      <c r="C5478" s="3">
        <v>171</v>
      </c>
      <c r="D5478" s="3">
        <v>149</v>
      </c>
      <c r="E5478" s="3">
        <v>-1005.664</v>
      </c>
      <c r="F5478" s="4" t="str">
        <f>HYPERLINK("http://141.218.60.56/~jnz1568/getInfo.php?workbook=10_05.xlsx&amp;sheet=A0&amp;row=5478&amp;col=6&amp;number=130&amp;sourceID=14","130")</f>
        <v>130</v>
      </c>
      <c r="G5478" s="4" t="str">
        <f>HYPERLINK("http://141.218.60.56/~jnz1568/getInfo.php?workbook=10_05.xlsx&amp;sheet=A0&amp;row=5478&amp;col=7&amp;number=0&amp;sourceID=14","0")</f>
        <v>0</v>
      </c>
    </row>
    <row r="5479" spans="1:7">
      <c r="A5479" s="3">
        <v>10</v>
      </c>
      <c r="B5479" s="3">
        <v>5</v>
      </c>
      <c r="C5479" s="3">
        <v>172</v>
      </c>
      <c r="D5479" s="3">
        <v>149</v>
      </c>
      <c r="E5479" s="3">
        <v>-986.322</v>
      </c>
      <c r="F5479" s="4" t="str">
        <f>HYPERLINK("http://141.218.60.56/~jnz1568/getInfo.php?workbook=10_05.xlsx&amp;sheet=A0&amp;row=5479&amp;col=6&amp;number=603&amp;sourceID=14","603")</f>
        <v>603</v>
      </c>
      <c r="G5479" s="4" t="str">
        <f>HYPERLINK("http://141.218.60.56/~jnz1568/getInfo.php?workbook=10_05.xlsx&amp;sheet=A0&amp;row=5479&amp;col=7&amp;number=0&amp;sourceID=14","0")</f>
        <v>0</v>
      </c>
    </row>
    <row r="5480" spans="1:7">
      <c r="A5480" s="3">
        <v>10</v>
      </c>
      <c r="B5480" s="3">
        <v>5</v>
      </c>
      <c r="C5480" s="3">
        <v>174</v>
      </c>
      <c r="D5480" s="3">
        <v>149</v>
      </c>
      <c r="E5480" s="3">
        <v>-965.999</v>
      </c>
      <c r="F5480" s="4" t="str">
        <f>HYPERLINK("http://141.218.60.56/~jnz1568/getInfo.php?workbook=10_05.xlsx&amp;sheet=A0&amp;row=5480&amp;col=6&amp;number=1790&amp;sourceID=14","1790")</f>
        <v>1790</v>
      </c>
      <c r="G5480" s="4" t="str">
        <f>HYPERLINK("http://141.218.60.56/~jnz1568/getInfo.php?workbook=10_05.xlsx&amp;sheet=A0&amp;row=5480&amp;col=7&amp;number=0&amp;sourceID=14","0")</f>
        <v>0</v>
      </c>
    </row>
    <row r="5481" spans="1:7">
      <c r="A5481" s="3">
        <v>10</v>
      </c>
      <c r="B5481" s="3">
        <v>5</v>
      </c>
      <c r="C5481" s="3">
        <v>152</v>
      </c>
      <c r="D5481" s="3">
        <v>150</v>
      </c>
      <c r="E5481" s="3">
        <v>-54259.46</v>
      </c>
      <c r="F5481" s="4" t="str">
        <f>HYPERLINK("http://141.218.60.56/~jnz1568/getInfo.php?workbook=10_05.xlsx&amp;sheet=A0&amp;row=5481&amp;col=6&amp;number=131&amp;sourceID=14","131")</f>
        <v>131</v>
      </c>
      <c r="G5481" s="4" t="str">
        <f>HYPERLINK("http://141.218.60.56/~jnz1568/getInfo.php?workbook=10_05.xlsx&amp;sheet=A0&amp;row=5481&amp;col=7&amp;number=0&amp;sourceID=14","0")</f>
        <v>0</v>
      </c>
    </row>
    <row r="5482" spans="1:7">
      <c r="A5482" s="3">
        <v>10</v>
      </c>
      <c r="B5482" s="3">
        <v>5</v>
      </c>
      <c r="C5482" s="3">
        <v>158</v>
      </c>
      <c r="D5482" s="3">
        <v>150</v>
      </c>
      <c r="E5482" s="3">
        <v>-22558.129</v>
      </c>
      <c r="F5482" s="4" t="str">
        <f>HYPERLINK("http://141.218.60.56/~jnz1568/getInfo.php?workbook=10_05.xlsx&amp;sheet=A0&amp;row=5482&amp;col=6&amp;number=161&amp;sourceID=14","161")</f>
        <v>161</v>
      </c>
      <c r="G5482" s="4" t="str">
        <f>HYPERLINK("http://141.218.60.56/~jnz1568/getInfo.php?workbook=10_05.xlsx&amp;sheet=A0&amp;row=5482&amp;col=7&amp;number=0&amp;sourceID=14","0")</f>
        <v>0</v>
      </c>
    </row>
    <row r="5483" spans="1:7">
      <c r="A5483" s="3">
        <v>10</v>
      </c>
      <c r="B5483" s="3">
        <v>5</v>
      </c>
      <c r="C5483" s="3">
        <v>159</v>
      </c>
      <c r="D5483" s="3">
        <v>150</v>
      </c>
      <c r="E5483" s="3">
        <v>-20571.937</v>
      </c>
      <c r="F5483" s="4" t="str">
        <f>HYPERLINK("http://141.218.60.56/~jnz1568/getInfo.php?workbook=10_05.xlsx&amp;sheet=A0&amp;row=5483&amp;col=6&amp;number=2770&amp;sourceID=14","2770")</f>
        <v>2770</v>
      </c>
      <c r="G5483" s="4" t="str">
        <f>HYPERLINK("http://141.218.60.56/~jnz1568/getInfo.php?workbook=10_05.xlsx&amp;sheet=A0&amp;row=5483&amp;col=7&amp;number=0&amp;sourceID=14","0")</f>
        <v>0</v>
      </c>
    </row>
    <row r="5484" spans="1:7">
      <c r="A5484" s="3">
        <v>10</v>
      </c>
      <c r="B5484" s="3">
        <v>5</v>
      </c>
      <c r="C5484" s="3">
        <v>164</v>
      </c>
      <c r="D5484" s="3">
        <v>150</v>
      </c>
      <c r="E5484" s="3">
        <v>-1961.288</v>
      </c>
      <c r="F5484" s="4" t="str">
        <f>HYPERLINK("http://141.218.60.56/~jnz1568/getInfo.php?workbook=10_05.xlsx&amp;sheet=A0&amp;row=5484&amp;col=6&amp;number=1190000&amp;sourceID=14","1190000")</f>
        <v>1190000</v>
      </c>
      <c r="G5484" s="4" t="str">
        <f>HYPERLINK("http://141.218.60.56/~jnz1568/getInfo.php?workbook=10_05.xlsx&amp;sheet=A0&amp;row=5484&amp;col=7&amp;number=0&amp;sourceID=14","0")</f>
        <v>0</v>
      </c>
    </row>
    <row r="5485" spans="1:7">
      <c r="A5485" s="3">
        <v>10</v>
      </c>
      <c r="B5485" s="3">
        <v>5</v>
      </c>
      <c r="C5485" s="3">
        <v>165</v>
      </c>
      <c r="D5485" s="3">
        <v>150</v>
      </c>
      <c r="E5485" s="3">
        <v>-1956.032</v>
      </c>
      <c r="F5485" s="4" t="str">
        <f>HYPERLINK("http://141.218.60.56/~jnz1568/getInfo.php?workbook=10_05.xlsx&amp;sheet=A0&amp;row=5485&amp;col=6&amp;number=143000&amp;sourceID=14","143000")</f>
        <v>143000</v>
      </c>
      <c r="G5485" s="4" t="str">
        <f>HYPERLINK("http://141.218.60.56/~jnz1568/getInfo.php?workbook=10_05.xlsx&amp;sheet=A0&amp;row=5485&amp;col=7&amp;number=0&amp;sourceID=14","0")</f>
        <v>0</v>
      </c>
    </row>
    <row r="5486" spans="1:7">
      <c r="A5486" s="3">
        <v>10</v>
      </c>
      <c r="B5486" s="3">
        <v>5</v>
      </c>
      <c r="C5486" s="3">
        <v>166</v>
      </c>
      <c r="D5486" s="3">
        <v>150</v>
      </c>
      <c r="E5486" s="3">
        <v>-1278.709</v>
      </c>
      <c r="F5486" s="4" t="str">
        <f>HYPERLINK("http://141.218.60.56/~jnz1568/getInfo.php?workbook=10_05.xlsx&amp;sheet=A0&amp;row=5486&amp;col=6&amp;number=1400000&amp;sourceID=14","1400000")</f>
        <v>1400000</v>
      </c>
      <c r="G5486" s="4" t="str">
        <f>HYPERLINK("http://141.218.60.56/~jnz1568/getInfo.php?workbook=10_05.xlsx&amp;sheet=A0&amp;row=5486&amp;col=7&amp;number=0&amp;sourceID=14","0")</f>
        <v>0</v>
      </c>
    </row>
    <row r="5487" spans="1:7">
      <c r="A5487" s="3">
        <v>10</v>
      </c>
      <c r="B5487" s="3">
        <v>5</v>
      </c>
      <c r="C5487" s="3">
        <v>167</v>
      </c>
      <c r="D5487" s="3">
        <v>150</v>
      </c>
      <c r="E5487" s="3">
        <v>-1278.023</v>
      </c>
      <c r="F5487" s="4" t="str">
        <f>HYPERLINK("http://141.218.60.56/~jnz1568/getInfo.php?workbook=10_05.xlsx&amp;sheet=A0&amp;row=5487&amp;col=6&amp;number=144000&amp;sourceID=14","144000")</f>
        <v>144000</v>
      </c>
      <c r="G5487" s="4" t="str">
        <f>HYPERLINK("http://141.218.60.56/~jnz1568/getInfo.php?workbook=10_05.xlsx&amp;sheet=A0&amp;row=5487&amp;col=7&amp;number=0&amp;sourceID=14","0")</f>
        <v>0</v>
      </c>
    </row>
    <row r="5488" spans="1:7">
      <c r="A5488" s="3">
        <v>10</v>
      </c>
      <c r="B5488" s="3">
        <v>5</v>
      </c>
      <c r="C5488" s="3">
        <v>176</v>
      </c>
      <c r="D5488" s="3">
        <v>150</v>
      </c>
      <c r="E5488" s="3">
        <v>-911.396</v>
      </c>
      <c r="F5488" s="4" t="str">
        <f>HYPERLINK("http://141.218.60.56/~jnz1568/getInfo.php?workbook=10_05.xlsx&amp;sheet=A0&amp;row=5488&amp;col=6&amp;number=68900000&amp;sourceID=14","68900000")</f>
        <v>68900000</v>
      </c>
      <c r="G5488" s="4" t="str">
        <f>HYPERLINK("http://141.218.60.56/~jnz1568/getInfo.php?workbook=10_05.xlsx&amp;sheet=A0&amp;row=5488&amp;col=7&amp;number=0&amp;sourceID=14","0")</f>
        <v>0</v>
      </c>
    </row>
    <row r="5489" spans="1:7">
      <c r="A5489" s="3">
        <v>10</v>
      </c>
      <c r="B5489" s="3">
        <v>5</v>
      </c>
      <c r="C5489" s="3">
        <v>177</v>
      </c>
      <c r="D5489" s="3">
        <v>150</v>
      </c>
      <c r="E5489" s="3">
        <v>-904.055</v>
      </c>
      <c r="F5489" s="4" t="str">
        <f>HYPERLINK("http://141.218.60.56/~jnz1568/getInfo.php?workbook=10_05.xlsx&amp;sheet=A0&amp;row=5489&amp;col=6&amp;number=22800000&amp;sourceID=14","22800000")</f>
        <v>22800000</v>
      </c>
      <c r="G5489" s="4" t="str">
        <f>HYPERLINK("http://141.218.60.56/~jnz1568/getInfo.php?workbook=10_05.xlsx&amp;sheet=A0&amp;row=5489&amp;col=7&amp;number=0&amp;sourceID=14","0")</f>
        <v>0</v>
      </c>
    </row>
    <row r="5490" spans="1:7">
      <c r="A5490" s="3">
        <v>10</v>
      </c>
      <c r="B5490" s="3">
        <v>5</v>
      </c>
      <c r="C5490" s="3">
        <v>178</v>
      </c>
      <c r="D5490" s="3">
        <v>150</v>
      </c>
      <c r="E5490" s="3">
        <v>-903.695</v>
      </c>
      <c r="F5490" s="4" t="str">
        <f>HYPERLINK("http://141.218.60.56/~jnz1568/getInfo.php?workbook=10_05.xlsx&amp;sheet=A0&amp;row=5490&amp;col=6&amp;number=1680000&amp;sourceID=14","1680000")</f>
        <v>1680000</v>
      </c>
      <c r="G5490" s="4" t="str">
        <f>HYPERLINK("http://141.218.60.56/~jnz1568/getInfo.php?workbook=10_05.xlsx&amp;sheet=A0&amp;row=5490&amp;col=7&amp;number=0&amp;sourceID=14","0")</f>
        <v>0</v>
      </c>
    </row>
    <row r="5491" spans="1:7">
      <c r="A5491" s="3">
        <v>10</v>
      </c>
      <c r="B5491" s="3">
        <v>5</v>
      </c>
      <c r="C5491" s="3">
        <v>179</v>
      </c>
      <c r="D5491" s="3">
        <v>150</v>
      </c>
      <c r="E5491" s="3">
        <v>-871.78</v>
      </c>
      <c r="F5491" s="4" t="str">
        <f>HYPERLINK("http://141.218.60.56/~jnz1568/getInfo.php?workbook=10_05.xlsx&amp;sheet=A0&amp;row=5491&amp;col=6&amp;number=1190000&amp;sourceID=14","1190000")</f>
        <v>1190000</v>
      </c>
      <c r="G5491" s="4" t="str">
        <f>HYPERLINK("http://141.218.60.56/~jnz1568/getInfo.php?workbook=10_05.xlsx&amp;sheet=A0&amp;row=5491&amp;col=7&amp;number=0&amp;sourceID=14","0")</f>
        <v>0</v>
      </c>
    </row>
    <row r="5492" spans="1:7">
      <c r="A5492" s="3">
        <v>10</v>
      </c>
      <c r="B5492" s="3">
        <v>5</v>
      </c>
      <c r="C5492" s="3">
        <v>180</v>
      </c>
      <c r="D5492" s="3">
        <v>150</v>
      </c>
      <c r="E5492" s="3">
        <v>-871.499</v>
      </c>
      <c r="F5492" s="4" t="str">
        <f>HYPERLINK("http://141.218.60.56/~jnz1568/getInfo.php?workbook=10_05.xlsx&amp;sheet=A0&amp;row=5492&amp;col=6&amp;number=94300&amp;sourceID=14","94300")</f>
        <v>94300</v>
      </c>
      <c r="G5492" s="4" t="str">
        <f>HYPERLINK("http://141.218.60.56/~jnz1568/getInfo.php?workbook=10_05.xlsx&amp;sheet=A0&amp;row=5492&amp;col=7&amp;number=0&amp;sourceID=14","0")</f>
        <v>0</v>
      </c>
    </row>
    <row r="5493" spans="1:7">
      <c r="A5493" s="3">
        <v>10</v>
      </c>
      <c r="B5493" s="3">
        <v>5</v>
      </c>
      <c r="C5493" s="3">
        <v>152</v>
      </c>
      <c r="D5493" s="3">
        <v>151</v>
      </c>
      <c r="E5493" s="3">
        <v>-54914.983</v>
      </c>
      <c r="F5493" s="4" t="str">
        <f>HYPERLINK("http://141.218.60.56/~jnz1568/getInfo.php?workbook=10_05.xlsx&amp;sheet=A0&amp;row=5493&amp;col=6&amp;number=19.1&amp;sourceID=14","19.1")</f>
        <v>19.1</v>
      </c>
      <c r="G5493" s="4" t="str">
        <f>HYPERLINK("http://141.218.60.56/~jnz1568/getInfo.php?workbook=10_05.xlsx&amp;sheet=A0&amp;row=5493&amp;col=7&amp;number=0&amp;sourceID=14","0")</f>
        <v>0</v>
      </c>
    </row>
    <row r="5494" spans="1:7">
      <c r="A5494" s="3">
        <v>10</v>
      </c>
      <c r="B5494" s="3">
        <v>5</v>
      </c>
      <c r="C5494" s="3">
        <v>153</v>
      </c>
      <c r="D5494" s="3">
        <v>151</v>
      </c>
      <c r="E5494" s="3">
        <v>-38138.895</v>
      </c>
      <c r="F5494" s="4" t="str">
        <f>HYPERLINK("http://141.218.60.56/~jnz1568/getInfo.php?workbook=10_05.xlsx&amp;sheet=A0&amp;row=5494&amp;col=6&amp;number=186&amp;sourceID=14","186")</f>
        <v>186</v>
      </c>
      <c r="G5494" s="4" t="str">
        <f>HYPERLINK("http://141.218.60.56/~jnz1568/getInfo.php?workbook=10_05.xlsx&amp;sheet=A0&amp;row=5494&amp;col=7&amp;number=0&amp;sourceID=14","0")</f>
        <v>0</v>
      </c>
    </row>
    <row r="5495" spans="1:7">
      <c r="A5495" s="3">
        <v>10</v>
      </c>
      <c r="B5495" s="3">
        <v>5</v>
      </c>
      <c r="C5495" s="3">
        <v>158</v>
      </c>
      <c r="D5495" s="3">
        <v>151</v>
      </c>
      <c r="E5495" s="3">
        <v>-22670.638</v>
      </c>
      <c r="F5495" s="4" t="str">
        <f>HYPERLINK("http://141.218.60.56/~jnz1568/getInfo.php?workbook=10_05.xlsx&amp;sheet=A0&amp;row=5495&amp;col=6&amp;number=961&amp;sourceID=14","961")</f>
        <v>961</v>
      </c>
      <c r="G5495" s="4" t="str">
        <f>HYPERLINK("http://141.218.60.56/~jnz1568/getInfo.php?workbook=10_05.xlsx&amp;sheet=A0&amp;row=5495&amp;col=7&amp;number=0&amp;sourceID=14","0")</f>
        <v>0</v>
      </c>
    </row>
    <row r="5496" spans="1:7">
      <c r="A5496" s="3">
        <v>10</v>
      </c>
      <c r="B5496" s="3">
        <v>5</v>
      </c>
      <c r="C5496" s="3">
        <v>165</v>
      </c>
      <c r="D5496" s="3">
        <v>151</v>
      </c>
      <c r="E5496" s="3">
        <v>-1956.874</v>
      </c>
      <c r="F5496" s="4" t="str">
        <f>HYPERLINK("http://141.218.60.56/~jnz1568/getInfo.php?workbook=10_05.xlsx&amp;sheet=A0&amp;row=5496&amp;col=6&amp;number=514000&amp;sourceID=14","514000")</f>
        <v>514000</v>
      </c>
      <c r="G5496" s="4" t="str">
        <f>HYPERLINK("http://141.218.60.56/~jnz1568/getInfo.php?workbook=10_05.xlsx&amp;sheet=A0&amp;row=5496&amp;col=7&amp;number=0&amp;sourceID=14","0")</f>
        <v>0</v>
      </c>
    </row>
    <row r="5497" spans="1:7">
      <c r="A5497" s="3">
        <v>10</v>
      </c>
      <c r="B5497" s="3">
        <v>5</v>
      </c>
      <c r="C5497" s="3">
        <v>167</v>
      </c>
      <c r="D5497" s="3">
        <v>151</v>
      </c>
      <c r="E5497" s="3">
        <v>-1278.382</v>
      </c>
      <c r="F5497" s="4" t="str">
        <f>HYPERLINK("http://141.218.60.56/~jnz1568/getInfo.php?workbook=10_05.xlsx&amp;sheet=A0&amp;row=5497&amp;col=6&amp;number=564000&amp;sourceID=14","564000")</f>
        <v>564000</v>
      </c>
      <c r="G5497" s="4" t="str">
        <f>HYPERLINK("http://141.218.60.56/~jnz1568/getInfo.php?workbook=10_05.xlsx&amp;sheet=A0&amp;row=5497&amp;col=7&amp;number=0&amp;sourceID=14","0")</f>
        <v>0</v>
      </c>
    </row>
    <row r="5498" spans="1:7">
      <c r="A5498" s="3">
        <v>10</v>
      </c>
      <c r="B5498" s="3">
        <v>5</v>
      </c>
      <c r="C5498" s="3">
        <v>175</v>
      </c>
      <c r="D5498" s="3">
        <v>151</v>
      </c>
      <c r="E5498" s="3">
        <v>-911.587</v>
      </c>
      <c r="F5498" s="4" t="str">
        <f>HYPERLINK("http://141.218.60.56/~jnz1568/getInfo.php?workbook=10_05.xlsx&amp;sheet=A0&amp;row=5498&amp;col=6&amp;number=32100000&amp;sourceID=14","32100000")</f>
        <v>32100000</v>
      </c>
      <c r="G5498" s="4" t="str">
        <f>HYPERLINK("http://141.218.60.56/~jnz1568/getInfo.php?workbook=10_05.xlsx&amp;sheet=A0&amp;row=5498&amp;col=7&amp;number=0&amp;sourceID=14","0")</f>
        <v>0</v>
      </c>
    </row>
    <row r="5499" spans="1:7">
      <c r="A5499" s="3">
        <v>10</v>
      </c>
      <c r="B5499" s="3">
        <v>5</v>
      </c>
      <c r="C5499" s="3">
        <v>176</v>
      </c>
      <c r="D5499" s="3">
        <v>151</v>
      </c>
      <c r="E5499" s="3">
        <v>-911.579</v>
      </c>
      <c r="F5499" s="4" t="str">
        <f>HYPERLINK("http://141.218.60.56/~jnz1568/getInfo.php?workbook=10_05.xlsx&amp;sheet=A0&amp;row=5499&amp;col=6&amp;number=5420000&amp;sourceID=14","5420000")</f>
        <v>5420000</v>
      </c>
      <c r="G5499" s="4" t="str">
        <f>HYPERLINK("http://141.218.60.56/~jnz1568/getInfo.php?workbook=10_05.xlsx&amp;sheet=A0&amp;row=5499&amp;col=7&amp;number=0&amp;sourceID=14","0")</f>
        <v>0</v>
      </c>
    </row>
    <row r="5500" spans="1:7">
      <c r="A5500" s="3">
        <v>10</v>
      </c>
      <c r="B5500" s="3">
        <v>5</v>
      </c>
      <c r="C5500" s="3">
        <v>177</v>
      </c>
      <c r="D5500" s="3">
        <v>151</v>
      </c>
      <c r="E5500" s="3">
        <v>-904.234</v>
      </c>
      <c r="F5500" s="4" t="str">
        <f>HYPERLINK("http://141.218.60.56/~jnz1568/getInfo.php?workbook=10_05.xlsx&amp;sheet=A0&amp;row=5500&amp;col=6&amp;number=366000&amp;sourceID=14","366000")</f>
        <v>366000</v>
      </c>
      <c r="G5500" s="4" t="str">
        <f>HYPERLINK("http://141.218.60.56/~jnz1568/getInfo.php?workbook=10_05.xlsx&amp;sheet=A0&amp;row=5500&amp;col=7&amp;number=0&amp;sourceID=14","0")</f>
        <v>0</v>
      </c>
    </row>
    <row r="5501" spans="1:7">
      <c r="A5501" s="3">
        <v>10</v>
      </c>
      <c r="B5501" s="3">
        <v>5</v>
      </c>
      <c r="C5501" s="3">
        <v>178</v>
      </c>
      <c r="D5501" s="3">
        <v>151</v>
      </c>
      <c r="E5501" s="3">
        <v>-903.875</v>
      </c>
      <c r="F5501" s="4" t="str">
        <f>HYPERLINK("http://141.218.60.56/~jnz1568/getInfo.php?workbook=10_05.xlsx&amp;sheet=A0&amp;row=5501&amp;col=6&amp;number=11300000&amp;sourceID=14","11300000")</f>
        <v>11300000</v>
      </c>
      <c r="G5501" s="4" t="str">
        <f>HYPERLINK("http://141.218.60.56/~jnz1568/getInfo.php?workbook=10_05.xlsx&amp;sheet=A0&amp;row=5501&amp;col=7&amp;number=0&amp;sourceID=14","0")</f>
        <v>0</v>
      </c>
    </row>
    <row r="5502" spans="1:7">
      <c r="A5502" s="3">
        <v>10</v>
      </c>
      <c r="B5502" s="3">
        <v>5</v>
      </c>
      <c r="C5502" s="3">
        <v>180</v>
      </c>
      <c r="D5502" s="3">
        <v>151</v>
      </c>
      <c r="E5502" s="3">
        <v>-871.666</v>
      </c>
      <c r="F5502" s="4" t="str">
        <f>HYPERLINK("http://141.218.60.56/~jnz1568/getInfo.php?workbook=10_05.xlsx&amp;sheet=A0&amp;row=5502&amp;col=6&amp;number=487000&amp;sourceID=14","487000")</f>
        <v>487000</v>
      </c>
      <c r="G5502" s="4" t="str">
        <f>HYPERLINK("http://141.218.60.56/~jnz1568/getInfo.php?workbook=10_05.xlsx&amp;sheet=A0&amp;row=5502&amp;col=7&amp;number=0&amp;sourceID=14","0")</f>
        <v>0</v>
      </c>
    </row>
    <row r="5503" spans="1:7">
      <c r="A5503" s="3">
        <v>10</v>
      </c>
      <c r="B5503" s="3">
        <v>5</v>
      </c>
      <c r="C5503" s="3">
        <v>154</v>
      </c>
      <c r="D5503" s="3">
        <v>152</v>
      </c>
      <c r="E5503" s="3">
        <v>68965.644</v>
      </c>
      <c r="F5503" s="4" t="str">
        <f>HYPERLINK("http://141.218.60.56/~jnz1568/getInfo.php?workbook=10_05.xlsx&amp;sheet=A0&amp;row=5503&amp;col=6&amp;number=0.0101&amp;sourceID=14","0.0101")</f>
        <v>0.0101</v>
      </c>
      <c r="G5503" s="4" t="str">
        <f>HYPERLINK("http://141.218.60.56/~jnz1568/getInfo.php?workbook=10_05.xlsx&amp;sheet=A0&amp;row=5503&amp;col=7&amp;number=0&amp;sourceID=14","0")</f>
        <v>0</v>
      </c>
    </row>
    <row r="5504" spans="1:7">
      <c r="A5504" s="3">
        <v>10</v>
      </c>
      <c r="B5504" s="3">
        <v>5</v>
      </c>
      <c r="C5504" s="3">
        <v>155</v>
      </c>
      <c r="D5504" s="3">
        <v>152</v>
      </c>
      <c r="E5504" s="3">
        <v>68965.644</v>
      </c>
      <c r="F5504" s="4" t="str">
        <f>HYPERLINK("http://141.218.60.56/~jnz1568/getInfo.php?workbook=10_05.xlsx&amp;sheet=A0&amp;row=5504&amp;col=6&amp;number=2.39&amp;sourceID=14","2.39")</f>
        <v>2.39</v>
      </c>
      <c r="G5504" s="4" t="str">
        <f>HYPERLINK("http://141.218.60.56/~jnz1568/getInfo.php?workbook=10_05.xlsx&amp;sheet=A0&amp;row=5504&amp;col=7&amp;number=0&amp;sourceID=14","0")</f>
        <v>0</v>
      </c>
    </row>
    <row r="5505" spans="1:7">
      <c r="A5505" s="3">
        <v>10</v>
      </c>
      <c r="B5505" s="3">
        <v>5</v>
      </c>
      <c r="C5505" s="3">
        <v>156</v>
      </c>
      <c r="D5505" s="3">
        <v>152</v>
      </c>
      <c r="E5505" s="3">
        <v>-43917.516</v>
      </c>
      <c r="F5505" s="4" t="str">
        <f>HYPERLINK("http://141.218.60.56/~jnz1568/getInfo.php?workbook=10_05.xlsx&amp;sheet=A0&amp;row=5505&amp;col=6&amp;number=16500&amp;sourceID=14","16500")</f>
        <v>16500</v>
      </c>
      <c r="G5505" s="4" t="str">
        <f>HYPERLINK("http://141.218.60.56/~jnz1568/getInfo.php?workbook=10_05.xlsx&amp;sheet=A0&amp;row=5505&amp;col=7&amp;number=0&amp;sourceID=14","0")</f>
        <v>0</v>
      </c>
    </row>
    <row r="5506" spans="1:7">
      <c r="A5506" s="3">
        <v>10</v>
      </c>
      <c r="B5506" s="3">
        <v>5</v>
      </c>
      <c r="C5506" s="3">
        <v>157</v>
      </c>
      <c r="D5506" s="3">
        <v>152</v>
      </c>
      <c r="E5506" s="3">
        <v>-40716.687</v>
      </c>
      <c r="F5506" s="4" t="str">
        <f>HYPERLINK("http://141.218.60.56/~jnz1568/getInfo.php?workbook=10_05.xlsx&amp;sheet=A0&amp;row=5506&amp;col=6&amp;number=1240&amp;sourceID=14","1240")</f>
        <v>1240</v>
      </c>
      <c r="G5506" s="4" t="str">
        <f>HYPERLINK("http://141.218.60.56/~jnz1568/getInfo.php?workbook=10_05.xlsx&amp;sheet=A0&amp;row=5506&amp;col=7&amp;number=0&amp;sourceID=14","0")</f>
        <v>0</v>
      </c>
    </row>
    <row r="5507" spans="1:7">
      <c r="A5507" s="3">
        <v>10</v>
      </c>
      <c r="B5507" s="3">
        <v>5</v>
      </c>
      <c r="C5507" s="3">
        <v>162</v>
      </c>
      <c r="D5507" s="3">
        <v>152</v>
      </c>
      <c r="E5507" s="3">
        <v>23041.517</v>
      </c>
      <c r="F5507" s="4" t="str">
        <f>HYPERLINK("http://141.218.60.56/~jnz1568/getInfo.php?workbook=10_05.xlsx&amp;sheet=A0&amp;row=5507&amp;col=6&amp;number=9.67&amp;sourceID=14","9.67")</f>
        <v>9.67</v>
      </c>
      <c r="G5507" s="4" t="str">
        <f>HYPERLINK("http://141.218.60.56/~jnz1568/getInfo.php?workbook=10_05.xlsx&amp;sheet=A0&amp;row=5507&amp;col=7&amp;number=0&amp;sourceID=14","0")</f>
        <v>0</v>
      </c>
    </row>
    <row r="5508" spans="1:7">
      <c r="A5508" s="3">
        <v>10</v>
      </c>
      <c r="B5508" s="3">
        <v>5</v>
      </c>
      <c r="C5508" s="3">
        <v>168</v>
      </c>
      <c r="D5508" s="3">
        <v>152</v>
      </c>
      <c r="E5508" s="3">
        <v>-1182.636</v>
      </c>
      <c r="F5508" s="4" t="str">
        <f>HYPERLINK("http://141.218.60.56/~jnz1568/getInfo.php?workbook=10_05.xlsx&amp;sheet=A0&amp;row=5508&amp;col=6&amp;number=28200&amp;sourceID=14","28200")</f>
        <v>28200</v>
      </c>
      <c r="G5508" s="4" t="str">
        <f>HYPERLINK("http://141.218.60.56/~jnz1568/getInfo.php?workbook=10_05.xlsx&amp;sheet=A0&amp;row=5508&amp;col=7&amp;number=0&amp;sourceID=14","0")</f>
        <v>0</v>
      </c>
    </row>
    <row r="5509" spans="1:7">
      <c r="A5509" s="3">
        <v>10</v>
      </c>
      <c r="B5509" s="3">
        <v>5</v>
      </c>
      <c r="C5509" s="3">
        <v>169</v>
      </c>
      <c r="D5509" s="3">
        <v>152</v>
      </c>
      <c r="E5509" s="3">
        <v>-1181.965</v>
      </c>
      <c r="F5509" s="4" t="str">
        <f>HYPERLINK("http://141.218.60.56/~jnz1568/getInfo.php?workbook=10_05.xlsx&amp;sheet=A0&amp;row=5509&amp;col=6&amp;number=1080000&amp;sourceID=14","1080000")</f>
        <v>1080000</v>
      </c>
      <c r="G5509" s="4" t="str">
        <f>HYPERLINK("http://141.218.60.56/~jnz1568/getInfo.php?workbook=10_05.xlsx&amp;sheet=A0&amp;row=5509&amp;col=7&amp;number=0&amp;sourceID=14","0")</f>
        <v>0</v>
      </c>
    </row>
    <row r="5510" spans="1:7">
      <c r="A5510" s="3">
        <v>10</v>
      </c>
      <c r="B5510" s="3">
        <v>5</v>
      </c>
      <c r="C5510" s="3">
        <v>171</v>
      </c>
      <c r="D5510" s="3">
        <v>152</v>
      </c>
      <c r="E5510" s="3">
        <v>-1063.029</v>
      </c>
      <c r="F5510" s="4" t="str">
        <f>HYPERLINK("http://141.218.60.56/~jnz1568/getInfo.php?workbook=10_05.xlsx&amp;sheet=A0&amp;row=5510&amp;col=6&amp;number=7670&amp;sourceID=14","7670")</f>
        <v>7670</v>
      </c>
      <c r="G5510" s="4" t="str">
        <f>HYPERLINK("http://141.218.60.56/~jnz1568/getInfo.php?workbook=10_05.xlsx&amp;sheet=A0&amp;row=5510&amp;col=7&amp;number=0&amp;sourceID=14","0")</f>
        <v>0</v>
      </c>
    </row>
    <row r="5511" spans="1:7">
      <c r="A5511" s="3">
        <v>10</v>
      </c>
      <c r="B5511" s="3">
        <v>5</v>
      </c>
      <c r="C5511" s="3">
        <v>172</v>
      </c>
      <c r="D5511" s="3">
        <v>152</v>
      </c>
      <c r="E5511" s="3">
        <v>-1041.441</v>
      </c>
      <c r="F5511" s="4" t="str">
        <f>HYPERLINK("http://141.218.60.56/~jnz1568/getInfo.php?workbook=10_05.xlsx&amp;sheet=A0&amp;row=5511&amp;col=6&amp;number=933000&amp;sourceID=14","933000")</f>
        <v>933000</v>
      </c>
      <c r="G5511" s="4" t="str">
        <f>HYPERLINK("http://141.218.60.56/~jnz1568/getInfo.php?workbook=10_05.xlsx&amp;sheet=A0&amp;row=5511&amp;col=7&amp;number=0&amp;sourceID=14","0")</f>
        <v>0</v>
      </c>
    </row>
    <row r="5512" spans="1:7">
      <c r="A5512" s="3">
        <v>10</v>
      </c>
      <c r="B5512" s="3">
        <v>5</v>
      </c>
      <c r="C5512" s="3">
        <v>173</v>
      </c>
      <c r="D5512" s="3">
        <v>152</v>
      </c>
      <c r="E5512" s="3">
        <v>-1041.191</v>
      </c>
      <c r="F5512" s="4" t="str">
        <f>HYPERLINK("http://141.218.60.56/~jnz1568/getInfo.php?workbook=10_05.xlsx&amp;sheet=A0&amp;row=5512&amp;col=6&amp;number=153000&amp;sourceID=14","153000")</f>
        <v>153000</v>
      </c>
      <c r="G5512" s="4" t="str">
        <f>HYPERLINK("http://141.218.60.56/~jnz1568/getInfo.php?workbook=10_05.xlsx&amp;sheet=A0&amp;row=5512&amp;col=7&amp;number=0&amp;sourceID=14","0")</f>
        <v>0</v>
      </c>
    </row>
    <row r="5513" spans="1:7">
      <c r="A5513" s="3">
        <v>10</v>
      </c>
      <c r="B5513" s="3">
        <v>5</v>
      </c>
      <c r="C5513" s="3">
        <v>154</v>
      </c>
      <c r="D5513" s="3">
        <v>153</v>
      </c>
      <c r="E5513" s="3">
        <v>153846.437</v>
      </c>
      <c r="F5513" s="4" t="str">
        <f>HYPERLINK("http://141.218.60.56/~jnz1568/getInfo.php?workbook=10_05.xlsx&amp;sheet=A0&amp;row=5513&amp;col=6&amp;number=0.108&amp;sourceID=14","0.108")</f>
        <v>0.108</v>
      </c>
      <c r="G5513" s="4" t="str">
        <f>HYPERLINK("http://141.218.60.56/~jnz1568/getInfo.php?workbook=10_05.xlsx&amp;sheet=A0&amp;row=5513&amp;col=7&amp;number=0&amp;sourceID=14","0")</f>
        <v>0</v>
      </c>
    </row>
    <row r="5514" spans="1:7">
      <c r="A5514" s="3">
        <v>10</v>
      </c>
      <c r="B5514" s="3">
        <v>5</v>
      </c>
      <c r="C5514" s="3">
        <v>155</v>
      </c>
      <c r="D5514" s="3">
        <v>153</v>
      </c>
      <c r="E5514" s="3">
        <v>153846.437</v>
      </c>
      <c r="F5514" s="4" t="str">
        <f>HYPERLINK("http://141.218.60.56/~jnz1568/getInfo.php?workbook=10_05.xlsx&amp;sheet=A0&amp;row=5514&amp;col=6&amp;number=21.7&amp;sourceID=14","21.7")</f>
        <v>21.7</v>
      </c>
      <c r="G5514" s="4" t="str">
        <f>HYPERLINK("http://141.218.60.56/~jnz1568/getInfo.php?workbook=10_05.xlsx&amp;sheet=A0&amp;row=5514&amp;col=7&amp;number=0&amp;sourceID=14","0")</f>
        <v>0</v>
      </c>
    </row>
    <row r="5515" spans="1:7">
      <c r="A5515" s="3">
        <v>10</v>
      </c>
      <c r="B5515" s="3">
        <v>5</v>
      </c>
      <c r="C5515" s="3">
        <v>157</v>
      </c>
      <c r="D5515" s="3">
        <v>153</v>
      </c>
      <c r="E5515" s="3">
        <v>-60423.072</v>
      </c>
      <c r="F5515" s="4" t="str">
        <f>HYPERLINK("http://141.218.60.56/~jnz1568/getInfo.php?workbook=10_05.xlsx&amp;sheet=A0&amp;row=5515&amp;col=6&amp;number=6400&amp;sourceID=14","6400")</f>
        <v>6400</v>
      </c>
      <c r="G5515" s="4" t="str">
        <f>HYPERLINK("http://141.218.60.56/~jnz1568/getInfo.php?workbook=10_05.xlsx&amp;sheet=A0&amp;row=5515&amp;col=7&amp;number=0&amp;sourceID=14","0")</f>
        <v>0</v>
      </c>
    </row>
    <row r="5516" spans="1:7">
      <c r="A5516" s="3">
        <v>10</v>
      </c>
      <c r="B5516" s="3">
        <v>5</v>
      </c>
      <c r="C5516" s="3">
        <v>168</v>
      </c>
      <c r="D5516" s="3">
        <v>153</v>
      </c>
      <c r="E5516" s="3">
        <v>-1193.947</v>
      </c>
      <c r="F5516" s="4" t="str">
        <f>HYPERLINK("http://141.218.60.56/~jnz1568/getInfo.php?workbook=10_05.xlsx&amp;sheet=A0&amp;row=5516&amp;col=6&amp;number=909000&amp;sourceID=14","909000")</f>
        <v>909000</v>
      </c>
      <c r="G5516" s="4" t="str">
        <f>HYPERLINK("http://141.218.60.56/~jnz1568/getInfo.php?workbook=10_05.xlsx&amp;sheet=A0&amp;row=5516&amp;col=7&amp;number=0&amp;sourceID=14","0")</f>
        <v>0</v>
      </c>
    </row>
    <row r="5517" spans="1:7">
      <c r="A5517" s="3">
        <v>10</v>
      </c>
      <c r="B5517" s="3">
        <v>5</v>
      </c>
      <c r="C5517" s="3">
        <v>173</v>
      </c>
      <c r="D5517" s="3">
        <v>153</v>
      </c>
      <c r="E5517" s="3">
        <v>-1049.948</v>
      </c>
      <c r="F5517" s="4" t="str">
        <f>HYPERLINK("http://141.218.60.56/~jnz1568/getInfo.php?workbook=10_05.xlsx&amp;sheet=A0&amp;row=5517&amp;col=6&amp;number=932000&amp;sourceID=14","932000")</f>
        <v>932000</v>
      </c>
      <c r="G5517" s="4" t="str">
        <f>HYPERLINK("http://141.218.60.56/~jnz1568/getInfo.php?workbook=10_05.xlsx&amp;sheet=A0&amp;row=5517&amp;col=7&amp;number=0&amp;sourceID=14","0")</f>
        <v>0</v>
      </c>
    </row>
    <row r="5518" spans="1:7">
      <c r="A5518" s="3">
        <v>10</v>
      </c>
      <c r="B5518" s="3">
        <v>5</v>
      </c>
      <c r="C5518" s="3">
        <v>175</v>
      </c>
      <c r="D5518" s="3">
        <v>154</v>
      </c>
      <c r="E5518" s="3">
        <v>-938.044</v>
      </c>
      <c r="F5518" s="4" t="str">
        <f>HYPERLINK("http://141.218.60.56/~jnz1568/getInfo.php?workbook=10_05.xlsx&amp;sheet=A0&amp;row=5518&amp;col=6&amp;number=1130000&amp;sourceID=14","1130000")</f>
        <v>1130000</v>
      </c>
      <c r="G5518" s="4" t="str">
        <f>HYPERLINK("http://141.218.60.56/~jnz1568/getInfo.php?workbook=10_05.xlsx&amp;sheet=A0&amp;row=5518&amp;col=7&amp;number=0&amp;sourceID=14","0")</f>
        <v>0</v>
      </c>
    </row>
    <row r="5519" spans="1:7">
      <c r="A5519" s="3">
        <v>10</v>
      </c>
      <c r="B5519" s="3">
        <v>5</v>
      </c>
      <c r="C5519" s="3">
        <v>176</v>
      </c>
      <c r="D5519" s="3">
        <v>154</v>
      </c>
      <c r="E5519" s="3">
        <v>-938.035</v>
      </c>
      <c r="F5519" s="4" t="str">
        <f>HYPERLINK("http://141.218.60.56/~jnz1568/getInfo.php?workbook=10_05.xlsx&amp;sheet=A0&amp;row=5519&amp;col=6&amp;number=34900&amp;sourceID=14","34900")</f>
        <v>34900</v>
      </c>
      <c r="G5519" s="4" t="str">
        <f>HYPERLINK("http://141.218.60.56/~jnz1568/getInfo.php?workbook=10_05.xlsx&amp;sheet=A0&amp;row=5519&amp;col=7&amp;number=0&amp;sourceID=14","0")</f>
        <v>0</v>
      </c>
    </row>
    <row r="5520" spans="1:7">
      <c r="A5520" s="3">
        <v>10</v>
      </c>
      <c r="B5520" s="3">
        <v>5</v>
      </c>
      <c r="C5520" s="3">
        <v>178</v>
      </c>
      <c r="D5520" s="3">
        <v>154</v>
      </c>
      <c r="E5520" s="3">
        <v>-929.88</v>
      </c>
      <c r="F5520" s="4" t="str">
        <f>HYPERLINK("http://141.218.60.56/~jnz1568/getInfo.php?workbook=10_05.xlsx&amp;sheet=A0&amp;row=5520&amp;col=6&amp;number=349000&amp;sourceID=14","349000")</f>
        <v>349000</v>
      </c>
      <c r="G5520" s="4" t="str">
        <f>HYPERLINK("http://141.218.60.56/~jnz1568/getInfo.php?workbook=10_05.xlsx&amp;sheet=A0&amp;row=5520&amp;col=7&amp;number=0&amp;sourceID=14","0")</f>
        <v>0</v>
      </c>
    </row>
    <row r="5521" spans="1:7">
      <c r="A5521" s="3">
        <v>10</v>
      </c>
      <c r="B5521" s="3">
        <v>5</v>
      </c>
      <c r="C5521" s="3">
        <v>158</v>
      </c>
      <c r="D5521" s="3">
        <v>155</v>
      </c>
      <c r="E5521" s="3">
        <v>-113895.426</v>
      </c>
      <c r="F5521" s="4" t="str">
        <f>HYPERLINK("http://141.218.60.56/~jnz1568/getInfo.php?workbook=10_05.xlsx&amp;sheet=A0&amp;row=5521&amp;col=6&amp;number=10.5&amp;sourceID=14","10.5")</f>
        <v>10.5</v>
      </c>
      <c r="G5521" s="4" t="str">
        <f>HYPERLINK("http://141.218.60.56/~jnz1568/getInfo.php?workbook=10_05.xlsx&amp;sheet=A0&amp;row=5521&amp;col=7&amp;number=0&amp;sourceID=14","0")</f>
        <v>0</v>
      </c>
    </row>
    <row r="5522" spans="1:7">
      <c r="A5522" s="3">
        <v>10</v>
      </c>
      <c r="B5522" s="3">
        <v>5</v>
      </c>
      <c r="C5522" s="3">
        <v>165</v>
      </c>
      <c r="D5522" s="3">
        <v>155</v>
      </c>
      <c r="E5522" s="3">
        <v>-2102.213</v>
      </c>
      <c r="F5522" s="4" t="str">
        <f>HYPERLINK("http://141.218.60.56/~jnz1568/getInfo.php?workbook=10_05.xlsx&amp;sheet=A0&amp;row=5522&amp;col=6&amp;number=459000&amp;sourceID=14","459000")</f>
        <v>459000</v>
      </c>
      <c r="G5522" s="4" t="str">
        <f>HYPERLINK("http://141.218.60.56/~jnz1568/getInfo.php?workbook=10_05.xlsx&amp;sheet=A0&amp;row=5522&amp;col=7&amp;number=0&amp;sourceID=14","0")</f>
        <v>0</v>
      </c>
    </row>
    <row r="5523" spans="1:7">
      <c r="A5523" s="3">
        <v>10</v>
      </c>
      <c r="B5523" s="3">
        <v>5</v>
      </c>
      <c r="C5523" s="3">
        <v>167</v>
      </c>
      <c r="D5523" s="3">
        <v>155</v>
      </c>
      <c r="E5523" s="3">
        <v>-1338.852</v>
      </c>
      <c r="F5523" s="4" t="str">
        <f>HYPERLINK("http://141.218.60.56/~jnz1568/getInfo.php?workbook=10_05.xlsx&amp;sheet=A0&amp;row=5523&amp;col=6&amp;number=473000&amp;sourceID=14","473000")</f>
        <v>473000</v>
      </c>
      <c r="G5523" s="4" t="str">
        <f>HYPERLINK("http://141.218.60.56/~jnz1568/getInfo.php?workbook=10_05.xlsx&amp;sheet=A0&amp;row=5523&amp;col=7&amp;number=0&amp;sourceID=14","0")</f>
        <v>0</v>
      </c>
    </row>
    <row r="5524" spans="1:7">
      <c r="A5524" s="3">
        <v>10</v>
      </c>
      <c r="B5524" s="3">
        <v>5</v>
      </c>
      <c r="C5524" s="3">
        <v>175</v>
      </c>
      <c r="D5524" s="3">
        <v>155</v>
      </c>
      <c r="E5524" s="3">
        <v>-941.923</v>
      </c>
      <c r="F5524" s="4" t="str">
        <f>HYPERLINK("http://141.218.60.56/~jnz1568/getInfo.php?workbook=10_05.xlsx&amp;sheet=A0&amp;row=5524&amp;col=6&amp;number=37700000&amp;sourceID=14","37700000")</f>
        <v>37700000</v>
      </c>
      <c r="G5524" s="4" t="str">
        <f>HYPERLINK("http://141.218.60.56/~jnz1568/getInfo.php?workbook=10_05.xlsx&amp;sheet=A0&amp;row=5524&amp;col=7&amp;number=0&amp;sourceID=14","0")</f>
        <v>0</v>
      </c>
    </row>
    <row r="5525" spans="1:7">
      <c r="A5525" s="3">
        <v>10</v>
      </c>
      <c r="B5525" s="3">
        <v>5</v>
      </c>
      <c r="C5525" s="3">
        <v>176</v>
      </c>
      <c r="D5525" s="3">
        <v>155</v>
      </c>
      <c r="E5525" s="3">
        <v>-941.914</v>
      </c>
      <c r="F5525" s="4" t="str">
        <f>HYPERLINK("http://141.218.60.56/~jnz1568/getInfo.php?workbook=10_05.xlsx&amp;sheet=A0&amp;row=5525&amp;col=6&amp;number=739000&amp;sourceID=14","739000")</f>
        <v>739000</v>
      </c>
      <c r="G5525" s="4" t="str">
        <f>HYPERLINK("http://141.218.60.56/~jnz1568/getInfo.php?workbook=10_05.xlsx&amp;sheet=A0&amp;row=5525&amp;col=7&amp;number=0&amp;sourceID=14","0")</f>
        <v>0</v>
      </c>
    </row>
    <row r="5526" spans="1:7">
      <c r="A5526" s="3">
        <v>10</v>
      </c>
      <c r="B5526" s="3">
        <v>5</v>
      </c>
      <c r="C5526" s="3">
        <v>177</v>
      </c>
      <c r="D5526" s="3">
        <v>155</v>
      </c>
      <c r="E5526" s="3">
        <v>-934.075</v>
      </c>
      <c r="F5526" s="4" t="str">
        <f>HYPERLINK("http://141.218.60.56/~jnz1568/getInfo.php?workbook=10_05.xlsx&amp;sheet=A0&amp;row=5526&amp;col=6&amp;number=2240000&amp;sourceID=14","2240000")</f>
        <v>2240000</v>
      </c>
      <c r="G5526" s="4" t="str">
        <f>HYPERLINK("http://141.218.60.56/~jnz1568/getInfo.php?workbook=10_05.xlsx&amp;sheet=A0&amp;row=5526&amp;col=7&amp;number=0&amp;sourceID=14","0")</f>
        <v>0</v>
      </c>
    </row>
    <row r="5527" spans="1:7">
      <c r="A5527" s="3">
        <v>10</v>
      </c>
      <c r="B5527" s="3">
        <v>5</v>
      </c>
      <c r="C5527" s="3">
        <v>178</v>
      </c>
      <c r="D5527" s="3">
        <v>155</v>
      </c>
      <c r="E5527" s="3">
        <v>-933.691</v>
      </c>
      <c r="F5527" s="4" t="str">
        <f>HYPERLINK("http://141.218.60.56/~jnz1568/getInfo.php?workbook=10_05.xlsx&amp;sheet=A0&amp;row=5527&amp;col=6&amp;number=10600000&amp;sourceID=14","10600000")</f>
        <v>10600000</v>
      </c>
      <c r="G5527" s="4" t="str">
        <f>HYPERLINK("http://141.218.60.56/~jnz1568/getInfo.php?workbook=10_05.xlsx&amp;sheet=A0&amp;row=5527&amp;col=7&amp;number=0&amp;sourceID=14","0")</f>
        <v>0</v>
      </c>
    </row>
    <row r="5528" spans="1:7">
      <c r="A5528" s="3">
        <v>10</v>
      </c>
      <c r="B5528" s="3">
        <v>5</v>
      </c>
      <c r="C5528" s="3">
        <v>180</v>
      </c>
      <c r="D5528" s="3">
        <v>155</v>
      </c>
      <c r="E5528" s="3">
        <v>-899.363</v>
      </c>
      <c r="F5528" s="4" t="str">
        <f>HYPERLINK("http://141.218.60.56/~jnz1568/getInfo.php?workbook=10_05.xlsx&amp;sheet=A0&amp;row=5528&amp;col=6&amp;number=401000&amp;sourceID=14","401000")</f>
        <v>401000</v>
      </c>
      <c r="G5528" s="4" t="str">
        <f>HYPERLINK("http://141.218.60.56/~jnz1568/getInfo.php?workbook=10_05.xlsx&amp;sheet=A0&amp;row=5528&amp;col=7&amp;number=0&amp;sourceID=14","0")</f>
        <v>0</v>
      </c>
    </row>
    <row r="5529" spans="1:7">
      <c r="A5529" s="3">
        <v>10</v>
      </c>
      <c r="B5529" s="3">
        <v>5</v>
      </c>
      <c r="C5529" s="3">
        <v>158</v>
      </c>
      <c r="D5529" s="3">
        <v>156</v>
      </c>
      <c r="E5529" s="3">
        <v>-319489.406</v>
      </c>
      <c r="F5529" s="4" t="str">
        <f>HYPERLINK("http://141.218.60.56/~jnz1568/getInfo.php?workbook=10_05.xlsx&amp;sheet=A0&amp;row=5529&amp;col=6&amp;number=0.0595&amp;sourceID=14","0.0595")</f>
        <v>0.0595</v>
      </c>
      <c r="G5529" s="4" t="str">
        <f>HYPERLINK("http://141.218.60.56/~jnz1568/getInfo.php?workbook=10_05.xlsx&amp;sheet=A0&amp;row=5529&amp;col=7&amp;number=0&amp;sourceID=14","0")</f>
        <v>0</v>
      </c>
    </row>
    <row r="5530" spans="1:7">
      <c r="A5530" s="3">
        <v>10</v>
      </c>
      <c r="B5530" s="3">
        <v>5</v>
      </c>
      <c r="C5530" s="3">
        <v>159</v>
      </c>
      <c r="D5530" s="3">
        <v>156</v>
      </c>
      <c r="E5530" s="3">
        <v>-134953.015</v>
      </c>
      <c r="F5530" s="4" t="str">
        <f>HYPERLINK("http://141.218.60.56/~jnz1568/getInfo.php?workbook=10_05.xlsx&amp;sheet=A0&amp;row=5530&amp;col=6&amp;number=25.1&amp;sourceID=14","25.1")</f>
        <v>25.1</v>
      </c>
      <c r="G5530" s="4" t="str">
        <f>HYPERLINK("http://141.218.60.56/~jnz1568/getInfo.php?workbook=10_05.xlsx&amp;sheet=A0&amp;row=5530&amp;col=7&amp;number=0&amp;sourceID=14","0")</f>
        <v>0</v>
      </c>
    </row>
    <row r="5531" spans="1:7">
      <c r="A5531" s="3">
        <v>10</v>
      </c>
      <c r="B5531" s="3">
        <v>5</v>
      </c>
      <c r="C5531" s="3">
        <v>164</v>
      </c>
      <c r="D5531" s="3">
        <v>156</v>
      </c>
      <c r="E5531" s="3">
        <v>-2133.701</v>
      </c>
      <c r="F5531" s="4" t="str">
        <f>HYPERLINK("http://141.218.60.56/~jnz1568/getInfo.php?workbook=10_05.xlsx&amp;sheet=A0&amp;row=5531&amp;col=6&amp;number=296000&amp;sourceID=14","296000")</f>
        <v>296000</v>
      </c>
      <c r="G5531" s="4" t="str">
        <f>HYPERLINK("http://141.218.60.56/~jnz1568/getInfo.php?workbook=10_05.xlsx&amp;sheet=A0&amp;row=5531&amp;col=7&amp;number=0&amp;sourceID=14","0")</f>
        <v>0</v>
      </c>
    </row>
    <row r="5532" spans="1:7">
      <c r="A5532" s="3">
        <v>10</v>
      </c>
      <c r="B5532" s="3">
        <v>5</v>
      </c>
      <c r="C5532" s="3">
        <v>165</v>
      </c>
      <c r="D5532" s="3">
        <v>156</v>
      </c>
      <c r="E5532" s="3">
        <v>-2127.482</v>
      </c>
      <c r="F5532" s="4" t="str">
        <f>HYPERLINK("http://141.218.60.56/~jnz1568/getInfo.php?workbook=10_05.xlsx&amp;sheet=A0&amp;row=5532&amp;col=6&amp;number=29000&amp;sourceID=14","29000")</f>
        <v>29000</v>
      </c>
      <c r="G5532" s="4" t="str">
        <f>HYPERLINK("http://141.218.60.56/~jnz1568/getInfo.php?workbook=10_05.xlsx&amp;sheet=A0&amp;row=5532&amp;col=7&amp;number=0&amp;sourceID=14","0")</f>
        <v>0</v>
      </c>
    </row>
    <row r="5533" spans="1:7">
      <c r="A5533" s="3">
        <v>10</v>
      </c>
      <c r="B5533" s="3">
        <v>5</v>
      </c>
      <c r="C5533" s="3">
        <v>166</v>
      </c>
      <c r="D5533" s="3">
        <v>156</v>
      </c>
      <c r="E5533" s="3">
        <v>-1349.822</v>
      </c>
      <c r="F5533" s="4" t="str">
        <f>HYPERLINK("http://141.218.60.56/~jnz1568/getInfo.php?workbook=10_05.xlsx&amp;sheet=A0&amp;row=5533&amp;col=6&amp;number=4130000&amp;sourceID=14","4130000")</f>
        <v>4130000</v>
      </c>
      <c r="G5533" s="4" t="str">
        <f>HYPERLINK("http://141.218.60.56/~jnz1568/getInfo.php?workbook=10_05.xlsx&amp;sheet=A0&amp;row=5533&amp;col=7&amp;number=0&amp;sourceID=14","0")</f>
        <v>0</v>
      </c>
    </row>
    <row r="5534" spans="1:7">
      <c r="A5534" s="3">
        <v>10</v>
      </c>
      <c r="B5534" s="3">
        <v>5</v>
      </c>
      <c r="C5534" s="3">
        <v>167</v>
      </c>
      <c r="D5534" s="3">
        <v>156</v>
      </c>
      <c r="E5534" s="3">
        <v>-1349.057</v>
      </c>
      <c r="F5534" s="4" t="str">
        <f>HYPERLINK("http://141.218.60.56/~jnz1568/getInfo.php?workbook=10_05.xlsx&amp;sheet=A0&amp;row=5534&amp;col=6&amp;number=456000&amp;sourceID=14","456000")</f>
        <v>456000</v>
      </c>
      <c r="G5534" s="4" t="str">
        <f>HYPERLINK("http://141.218.60.56/~jnz1568/getInfo.php?workbook=10_05.xlsx&amp;sheet=A0&amp;row=5534&amp;col=7&amp;number=0&amp;sourceID=14","0")</f>
        <v>0</v>
      </c>
    </row>
    <row r="5535" spans="1:7">
      <c r="A5535" s="3">
        <v>10</v>
      </c>
      <c r="B5535" s="3">
        <v>5</v>
      </c>
      <c r="C5535" s="3">
        <v>176</v>
      </c>
      <c r="D5535" s="3">
        <v>156</v>
      </c>
      <c r="E5535" s="3">
        <v>-946.954</v>
      </c>
      <c r="F5535" s="4" t="str">
        <f>HYPERLINK("http://141.218.60.56/~jnz1568/getInfo.php?workbook=10_05.xlsx&amp;sheet=A0&amp;row=5535&amp;col=6&amp;number=1180000&amp;sourceID=14","1180000")</f>
        <v>1180000</v>
      </c>
      <c r="G5535" s="4" t="str">
        <f>HYPERLINK("http://141.218.60.56/~jnz1568/getInfo.php?workbook=10_05.xlsx&amp;sheet=A0&amp;row=5535&amp;col=7&amp;number=0&amp;sourceID=14","0")</f>
        <v>0</v>
      </c>
    </row>
    <row r="5536" spans="1:7">
      <c r="A5536" s="3">
        <v>10</v>
      </c>
      <c r="B5536" s="3">
        <v>5</v>
      </c>
      <c r="C5536" s="3">
        <v>177</v>
      </c>
      <c r="D5536" s="3">
        <v>156</v>
      </c>
      <c r="E5536" s="3">
        <v>-939.031</v>
      </c>
      <c r="F5536" s="4" t="str">
        <f>HYPERLINK("http://141.218.60.56/~jnz1568/getInfo.php?workbook=10_05.xlsx&amp;sheet=A0&amp;row=5536&amp;col=6&amp;number=2390000&amp;sourceID=14","2390000")</f>
        <v>2390000</v>
      </c>
      <c r="G5536" s="4" t="str">
        <f>HYPERLINK("http://141.218.60.56/~jnz1568/getInfo.php?workbook=10_05.xlsx&amp;sheet=A0&amp;row=5536&amp;col=7&amp;number=0&amp;sourceID=14","0")</f>
        <v>0</v>
      </c>
    </row>
    <row r="5537" spans="1:7">
      <c r="A5537" s="3">
        <v>10</v>
      </c>
      <c r="B5537" s="3">
        <v>5</v>
      </c>
      <c r="C5537" s="3">
        <v>178</v>
      </c>
      <c r="D5537" s="3">
        <v>156</v>
      </c>
      <c r="E5537" s="3">
        <v>-938.643</v>
      </c>
      <c r="F5537" s="4" t="str">
        <f>HYPERLINK("http://141.218.60.56/~jnz1568/getInfo.php?workbook=10_05.xlsx&amp;sheet=A0&amp;row=5537&amp;col=6&amp;number=77000&amp;sourceID=14","77000")</f>
        <v>77000</v>
      </c>
      <c r="G5537" s="4" t="str">
        <f>HYPERLINK("http://141.218.60.56/~jnz1568/getInfo.php?workbook=10_05.xlsx&amp;sheet=A0&amp;row=5537&amp;col=7&amp;number=0&amp;sourceID=14","0")</f>
        <v>0</v>
      </c>
    </row>
    <row r="5538" spans="1:7">
      <c r="A5538" s="3">
        <v>10</v>
      </c>
      <c r="B5538" s="3">
        <v>5</v>
      </c>
      <c r="C5538" s="3">
        <v>179</v>
      </c>
      <c r="D5538" s="3">
        <v>156</v>
      </c>
      <c r="E5538" s="3">
        <v>-904.259</v>
      </c>
      <c r="F5538" s="4" t="str">
        <f>HYPERLINK("http://141.218.60.56/~jnz1568/getInfo.php?workbook=10_05.xlsx&amp;sheet=A0&amp;row=5538&amp;col=6&amp;number=3170000&amp;sourceID=14","3170000")</f>
        <v>3170000</v>
      </c>
      <c r="G5538" s="4" t="str">
        <f>HYPERLINK("http://141.218.60.56/~jnz1568/getInfo.php?workbook=10_05.xlsx&amp;sheet=A0&amp;row=5538&amp;col=7&amp;number=0&amp;sourceID=14","0")</f>
        <v>0</v>
      </c>
    </row>
    <row r="5539" spans="1:7">
      <c r="A5539" s="3">
        <v>10</v>
      </c>
      <c r="B5539" s="3">
        <v>5</v>
      </c>
      <c r="C5539" s="3">
        <v>180</v>
      </c>
      <c r="D5539" s="3">
        <v>156</v>
      </c>
      <c r="E5539" s="3">
        <v>-903.956</v>
      </c>
      <c r="F5539" s="4" t="str">
        <f>HYPERLINK("http://141.218.60.56/~jnz1568/getInfo.php?workbook=10_05.xlsx&amp;sheet=A0&amp;row=5539&amp;col=6&amp;number=253000&amp;sourceID=14","253000")</f>
        <v>253000</v>
      </c>
      <c r="G5539" s="4" t="str">
        <f>HYPERLINK("http://141.218.60.56/~jnz1568/getInfo.php?workbook=10_05.xlsx&amp;sheet=A0&amp;row=5539&amp;col=7&amp;number=0&amp;sourceID=14","0")</f>
        <v>0</v>
      </c>
    </row>
    <row r="5540" spans="1:7">
      <c r="A5540" s="3">
        <v>10</v>
      </c>
      <c r="B5540" s="3">
        <v>5</v>
      </c>
      <c r="C5540" s="3">
        <v>158</v>
      </c>
      <c r="D5540" s="3">
        <v>157</v>
      </c>
      <c r="E5540" s="3">
        <v>-746270.03</v>
      </c>
      <c r="F5540" s="4" t="str">
        <f>HYPERLINK("http://141.218.60.56/~jnz1568/getInfo.php?workbook=10_05.xlsx&amp;sheet=A0&amp;row=5540&amp;col=6&amp;number=0.14&amp;sourceID=14","0.14")</f>
        <v>0.14</v>
      </c>
      <c r="G5540" s="4" t="str">
        <f>HYPERLINK("http://141.218.60.56/~jnz1568/getInfo.php?workbook=10_05.xlsx&amp;sheet=A0&amp;row=5540&amp;col=7&amp;number=0&amp;sourceID=14","0")</f>
        <v>0</v>
      </c>
    </row>
    <row r="5541" spans="1:7">
      <c r="A5541" s="3">
        <v>10</v>
      </c>
      <c r="B5541" s="3">
        <v>5</v>
      </c>
      <c r="C5541" s="3">
        <v>165</v>
      </c>
      <c r="D5541" s="3">
        <v>157</v>
      </c>
      <c r="E5541" s="3">
        <v>-2135.615</v>
      </c>
      <c r="F5541" s="4" t="str">
        <f>HYPERLINK("http://141.218.60.56/~jnz1568/getInfo.php?workbook=10_05.xlsx&amp;sheet=A0&amp;row=5541&amp;col=6&amp;number=319000&amp;sourceID=14","319000")</f>
        <v>319000</v>
      </c>
      <c r="G5541" s="4" t="str">
        <f>HYPERLINK("http://141.218.60.56/~jnz1568/getInfo.php?workbook=10_05.xlsx&amp;sheet=A0&amp;row=5541&amp;col=7&amp;number=0&amp;sourceID=14","0")</f>
        <v>0</v>
      </c>
    </row>
    <row r="5542" spans="1:7">
      <c r="A5542" s="3">
        <v>10</v>
      </c>
      <c r="B5542" s="3">
        <v>5</v>
      </c>
      <c r="C5542" s="3">
        <v>167</v>
      </c>
      <c r="D5542" s="3">
        <v>157</v>
      </c>
      <c r="E5542" s="3">
        <v>-1352.322</v>
      </c>
      <c r="F5542" s="4" t="str">
        <f>HYPERLINK("http://141.218.60.56/~jnz1568/getInfo.php?workbook=10_05.xlsx&amp;sheet=A0&amp;row=5542&amp;col=6&amp;number=4050000&amp;sourceID=14","4050000")</f>
        <v>4050000</v>
      </c>
      <c r="G5542" s="4" t="str">
        <f>HYPERLINK("http://141.218.60.56/~jnz1568/getInfo.php?workbook=10_05.xlsx&amp;sheet=A0&amp;row=5542&amp;col=7&amp;number=0&amp;sourceID=14","0")</f>
        <v>0</v>
      </c>
    </row>
    <row r="5543" spans="1:7">
      <c r="A5543" s="3">
        <v>10</v>
      </c>
      <c r="B5543" s="3">
        <v>5</v>
      </c>
      <c r="C5543" s="3">
        <v>175</v>
      </c>
      <c r="D5543" s="3">
        <v>157</v>
      </c>
      <c r="E5543" s="3">
        <v>-948.57</v>
      </c>
      <c r="F5543" s="4" t="str">
        <f>HYPERLINK("http://141.218.60.56/~jnz1568/getInfo.php?workbook=10_05.xlsx&amp;sheet=A0&amp;row=5543&amp;col=6&amp;number=2210000&amp;sourceID=14","2210000")</f>
        <v>2210000</v>
      </c>
      <c r="G5543" s="4" t="str">
        <f>HYPERLINK("http://141.218.60.56/~jnz1568/getInfo.php?workbook=10_05.xlsx&amp;sheet=A0&amp;row=5543&amp;col=7&amp;number=0&amp;sourceID=14","0")</f>
        <v>0</v>
      </c>
    </row>
    <row r="5544" spans="1:7">
      <c r="A5544" s="3">
        <v>10</v>
      </c>
      <c r="B5544" s="3">
        <v>5</v>
      </c>
      <c r="C5544" s="3">
        <v>176</v>
      </c>
      <c r="D5544" s="3">
        <v>157</v>
      </c>
      <c r="E5544" s="3">
        <v>-948.561</v>
      </c>
      <c r="F5544" s="4" t="str">
        <f>HYPERLINK("http://141.218.60.56/~jnz1568/getInfo.php?workbook=10_05.xlsx&amp;sheet=A0&amp;row=5544&amp;col=6&amp;number=120000&amp;sourceID=14","120000")</f>
        <v>120000</v>
      </c>
      <c r="G5544" s="4" t="str">
        <f>HYPERLINK("http://141.218.60.56/~jnz1568/getInfo.php?workbook=10_05.xlsx&amp;sheet=A0&amp;row=5544&amp;col=7&amp;number=0&amp;sourceID=14","0")</f>
        <v>0</v>
      </c>
    </row>
    <row r="5545" spans="1:7">
      <c r="A5545" s="3">
        <v>10</v>
      </c>
      <c r="B5545" s="3">
        <v>5</v>
      </c>
      <c r="C5545" s="3">
        <v>177</v>
      </c>
      <c r="D5545" s="3">
        <v>157</v>
      </c>
      <c r="E5545" s="3">
        <v>-940.612</v>
      </c>
      <c r="F5545" s="4" t="str">
        <f>HYPERLINK("http://141.218.60.56/~jnz1568/getInfo.php?workbook=10_05.xlsx&amp;sheet=A0&amp;row=5545&amp;col=6&amp;number=351000&amp;sourceID=14","351000")</f>
        <v>351000</v>
      </c>
      <c r="G5545" s="4" t="str">
        <f>HYPERLINK("http://141.218.60.56/~jnz1568/getInfo.php?workbook=10_05.xlsx&amp;sheet=A0&amp;row=5545&amp;col=7&amp;number=0&amp;sourceID=14","0")</f>
        <v>0</v>
      </c>
    </row>
    <row r="5546" spans="1:7">
      <c r="A5546" s="3">
        <v>10</v>
      </c>
      <c r="B5546" s="3">
        <v>5</v>
      </c>
      <c r="C5546" s="3">
        <v>178</v>
      </c>
      <c r="D5546" s="3">
        <v>157</v>
      </c>
      <c r="E5546" s="3">
        <v>-940.222</v>
      </c>
      <c r="F5546" s="4" t="str">
        <f>HYPERLINK("http://141.218.60.56/~jnz1568/getInfo.php?workbook=10_05.xlsx&amp;sheet=A0&amp;row=5546&amp;col=6&amp;number=3010000&amp;sourceID=14","3010000")</f>
        <v>3010000</v>
      </c>
      <c r="G5546" s="4" t="str">
        <f>HYPERLINK("http://141.218.60.56/~jnz1568/getInfo.php?workbook=10_05.xlsx&amp;sheet=A0&amp;row=5546&amp;col=7&amp;number=0&amp;sourceID=14","0")</f>
        <v>0</v>
      </c>
    </row>
    <row r="5547" spans="1:7">
      <c r="A5547" s="3">
        <v>10</v>
      </c>
      <c r="B5547" s="3">
        <v>5</v>
      </c>
      <c r="C5547" s="3">
        <v>180</v>
      </c>
      <c r="D5547" s="3">
        <v>157</v>
      </c>
      <c r="E5547" s="3">
        <v>-905.422</v>
      </c>
      <c r="F5547" s="4" t="str">
        <f>HYPERLINK("http://141.218.60.56/~jnz1568/getInfo.php?workbook=10_05.xlsx&amp;sheet=A0&amp;row=5547&amp;col=6&amp;number=2840000&amp;sourceID=14","2840000")</f>
        <v>2840000</v>
      </c>
      <c r="G5547" s="4" t="str">
        <f>HYPERLINK("http://141.218.60.56/~jnz1568/getInfo.php?workbook=10_05.xlsx&amp;sheet=A0&amp;row=5547&amp;col=7&amp;number=0&amp;sourceID=14","0")</f>
        <v>0</v>
      </c>
    </row>
    <row r="5548" spans="1:7">
      <c r="A5548" s="3">
        <v>10</v>
      </c>
      <c r="B5548" s="3">
        <v>5</v>
      </c>
      <c r="C5548" s="3">
        <v>160</v>
      </c>
      <c r="D5548" s="3">
        <v>158</v>
      </c>
      <c r="E5548" s="3">
        <v>-88339.385</v>
      </c>
      <c r="F5548" s="4" t="str">
        <f>HYPERLINK("http://141.218.60.56/~jnz1568/getInfo.php?workbook=10_05.xlsx&amp;sheet=A0&amp;row=5548&amp;col=6&amp;number=3030&amp;sourceID=14","3030")</f>
        <v>3030</v>
      </c>
      <c r="G5548" s="4" t="str">
        <f>HYPERLINK("http://141.218.60.56/~jnz1568/getInfo.php?workbook=10_05.xlsx&amp;sheet=A0&amp;row=5548&amp;col=7&amp;number=0&amp;sourceID=14","0")</f>
        <v>0</v>
      </c>
    </row>
    <row r="5549" spans="1:7">
      <c r="A5549" s="3">
        <v>10</v>
      </c>
      <c r="B5549" s="3">
        <v>5</v>
      </c>
      <c r="C5549" s="3">
        <v>161</v>
      </c>
      <c r="D5549" s="3">
        <v>158</v>
      </c>
      <c r="E5549" s="3">
        <v>-69013.239</v>
      </c>
      <c r="F5549" s="4" t="str">
        <f>HYPERLINK("http://141.218.60.56/~jnz1568/getInfo.php?workbook=10_05.xlsx&amp;sheet=A0&amp;row=5549&amp;col=6&amp;number=2.01&amp;sourceID=14","2.01")</f>
        <v>2.01</v>
      </c>
      <c r="G5549" s="4" t="str">
        <f>HYPERLINK("http://141.218.60.56/~jnz1568/getInfo.php?workbook=10_05.xlsx&amp;sheet=A0&amp;row=5549&amp;col=7&amp;number=0&amp;sourceID=14","0")</f>
        <v>0</v>
      </c>
    </row>
    <row r="5550" spans="1:7">
      <c r="A5550" s="3">
        <v>10</v>
      </c>
      <c r="B5550" s="3">
        <v>5</v>
      </c>
      <c r="C5550" s="3">
        <v>162</v>
      </c>
      <c r="D5550" s="3">
        <v>158</v>
      </c>
      <c r="E5550" s="3">
        <v>-57306.696</v>
      </c>
      <c r="F5550" s="4" t="str">
        <f>HYPERLINK("http://141.218.60.56/~jnz1568/getInfo.php?workbook=10_05.xlsx&amp;sheet=A0&amp;row=5550&amp;col=6&amp;number=7.04&amp;sourceID=14","7.04")</f>
        <v>7.04</v>
      </c>
      <c r="G5550" s="4" t="str">
        <f>HYPERLINK("http://141.218.60.56/~jnz1568/getInfo.php?workbook=10_05.xlsx&amp;sheet=A0&amp;row=5550&amp;col=7&amp;number=0&amp;sourceID=14","0")</f>
        <v>0</v>
      </c>
    </row>
    <row r="5551" spans="1:7">
      <c r="A5551" s="3">
        <v>10</v>
      </c>
      <c r="B5551" s="3">
        <v>5</v>
      </c>
      <c r="C5551" s="3">
        <v>163</v>
      </c>
      <c r="D5551" s="3">
        <v>158</v>
      </c>
      <c r="E5551" s="3">
        <v>-6536.814</v>
      </c>
      <c r="F5551" s="4" t="str">
        <f>HYPERLINK("http://141.218.60.56/~jnz1568/getInfo.php?workbook=10_05.xlsx&amp;sheet=A0&amp;row=5551&amp;col=6&amp;number=374000&amp;sourceID=14","374000")</f>
        <v>374000</v>
      </c>
      <c r="G5551" s="4" t="str">
        <f>HYPERLINK("http://141.218.60.56/~jnz1568/getInfo.php?workbook=10_05.xlsx&amp;sheet=A0&amp;row=5551&amp;col=7&amp;number=0&amp;sourceID=14","0")</f>
        <v>0</v>
      </c>
    </row>
    <row r="5552" spans="1:7">
      <c r="A5552" s="3">
        <v>10</v>
      </c>
      <c r="B5552" s="3">
        <v>5</v>
      </c>
      <c r="C5552" s="3">
        <v>168</v>
      </c>
      <c r="D5552" s="3">
        <v>158</v>
      </c>
      <c r="E5552" s="3">
        <v>-1220.005</v>
      </c>
      <c r="F5552" s="4" t="str">
        <f>HYPERLINK("http://141.218.60.56/~jnz1568/getInfo.php?workbook=10_05.xlsx&amp;sheet=A0&amp;row=5552&amp;col=6&amp;number=2190000&amp;sourceID=14","2190000")</f>
        <v>2190000</v>
      </c>
      <c r="G5552" s="4" t="str">
        <f>HYPERLINK("http://141.218.60.56/~jnz1568/getInfo.php?workbook=10_05.xlsx&amp;sheet=A0&amp;row=5552&amp;col=7&amp;number=0&amp;sourceID=14","0")</f>
        <v>0</v>
      </c>
    </row>
    <row r="5553" spans="1:7">
      <c r="A5553" s="3">
        <v>10</v>
      </c>
      <c r="B5553" s="3">
        <v>5</v>
      </c>
      <c r="C5553" s="3">
        <v>169</v>
      </c>
      <c r="D5553" s="3">
        <v>158</v>
      </c>
      <c r="E5553" s="3">
        <v>-1219.291</v>
      </c>
      <c r="F5553" s="4" t="str">
        <f>HYPERLINK("http://141.218.60.56/~jnz1568/getInfo.php?workbook=10_05.xlsx&amp;sheet=A0&amp;row=5553&amp;col=6&amp;number=302000&amp;sourceID=14","302000")</f>
        <v>302000</v>
      </c>
      <c r="G5553" s="4" t="str">
        <f>HYPERLINK("http://141.218.60.56/~jnz1568/getInfo.php?workbook=10_05.xlsx&amp;sheet=A0&amp;row=5553&amp;col=7&amp;number=0&amp;sourceID=14","0")</f>
        <v>0</v>
      </c>
    </row>
    <row r="5554" spans="1:7">
      <c r="A5554" s="3">
        <v>10</v>
      </c>
      <c r="B5554" s="3">
        <v>5</v>
      </c>
      <c r="C5554" s="3">
        <v>170</v>
      </c>
      <c r="D5554" s="3">
        <v>158</v>
      </c>
      <c r="E5554" s="3">
        <v>-1094.262</v>
      </c>
      <c r="F5554" s="4" t="str">
        <f>HYPERLINK("http://141.218.60.56/~jnz1568/getInfo.php?workbook=10_05.xlsx&amp;sheet=A0&amp;row=5554&amp;col=6&amp;number=5990000&amp;sourceID=14","5990000")</f>
        <v>5990000</v>
      </c>
      <c r="G5554" s="4" t="str">
        <f>HYPERLINK("http://141.218.60.56/~jnz1568/getInfo.php?workbook=10_05.xlsx&amp;sheet=A0&amp;row=5554&amp;col=7&amp;number=0&amp;sourceID=14","0")</f>
        <v>0</v>
      </c>
    </row>
    <row r="5555" spans="1:7">
      <c r="A5555" s="3">
        <v>10</v>
      </c>
      <c r="B5555" s="3">
        <v>5</v>
      </c>
      <c r="C5555" s="3">
        <v>171</v>
      </c>
      <c r="D5555" s="3">
        <v>158</v>
      </c>
      <c r="E5555" s="3">
        <v>-1093.125</v>
      </c>
      <c r="F5555" s="4" t="str">
        <f>HYPERLINK("http://141.218.60.56/~jnz1568/getInfo.php?workbook=10_05.xlsx&amp;sheet=A0&amp;row=5555&amp;col=6&amp;number=13100000&amp;sourceID=14","13100000")</f>
        <v>13100000</v>
      </c>
      <c r="G5555" s="4" t="str">
        <f>HYPERLINK("http://141.218.60.56/~jnz1568/getInfo.php?workbook=10_05.xlsx&amp;sheet=A0&amp;row=5555&amp;col=7&amp;number=0&amp;sourceID=14","0")</f>
        <v>0</v>
      </c>
    </row>
    <row r="5556" spans="1:7">
      <c r="A5556" s="3">
        <v>10</v>
      </c>
      <c r="B5556" s="3">
        <v>5</v>
      </c>
      <c r="C5556" s="3">
        <v>172</v>
      </c>
      <c r="D5556" s="3">
        <v>158</v>
      </c>
      <c r="E5556" s="3">
        <v>-1070.311</v>
      </c>
      <c r="F5556" s="4" t="str">
        <f>HYPERLINK("http://141.218.60.56/~jnz1568/getInfo.php?workbook=10_05.xlsx&amp;sheet=A0&amp;row=5556&amp;col=6&amp;number=486000&amp;sourceID=14","486000")</f>
        <v>486000</v>
      </c>
      <c r="G5556" s="4" t="str">
        <f>HYPERLINK("http://141.218.60.56/~jnz1568/getInfo.php?workbook=10_05.xlsx&amp;sheet=A0&amp;row=5556&amp;col=7&amp;number=0&amp;sourceID=14","0")</f>
        <v>0</v>
      </c>
    </row>
    <row r="5557" spans="1:7">
      <c r="A5557" s="3">
        <v>10</v>
      </c>
      <c r="B5557" s="3">
        <v>5</v>
      </c>
      <c r="C5557" s="3">
        <v>173</v>
      </c>
      <c r="D5557" s="3">
        <v>158</v>
      </c>
      <c r="E5557" s="3">
        <v>-1070.047</v>
      </c>
      <c r="F5557" s="4" t="str">
        <f>HYPERLINK("http://141.218.60.56/~jnz1568/getInfo.php?workbook=10_05.xlsx&amp;sheet=A0&amp;row=5557&amp;col=6&amp;number=5270000&amp;sourceID=14","5270000")</f>
        <v>5270000</v>
      </c>
      <c r="G5557" s="4" t="str">
        <f>HYPERLINK("http://141.218.60.56/~jnz1568/getInfo.php?workbook=10_05.xlsx&amp;sheet=A0&amp;row=5557&amp;col=7&amp;number=0&amp;sourceID=14","0")</f>
        <v>0</v>
      </c>
    </row>
    <row r="5558" spans="1:7">
      <c r="A5558" s="3">
        <v>10</v>
      </c>
      <c r="B5558" s="3">
        <v>5</v>
      </c>
      <c r="C5558" s="3">
        <v>174</v>
      </c>
      <c r="D5558" s="3">
        <v>158</v>
      </c>
      <c r="E5558" s="3">
        <v>-1046.421</v>
      </c>
      <c r="F5558" s="4" t="str">
        <f>HYPERLINK("http://141.218.60.56/~jnz1568/getInfo.php?workbook=10_05.xlsx&amp;sheet=A0&amp;row=5558&amp;col=6&amp;number=32500000&amp;sourceID=14","32500000")</f>
        <v>32500000</v>
      </c>
      <c r="G5558" s="4" t="str">
        <f>HYPERLINK("http://141.218.60.56/~jnz1568/getInfo.php?workbook=10_05.xlsx&amp;sheet=A0&amp;row=5558&amp;col=7&amp;number=0&amp;sourceID=14","0")</f>
        <v>0</v>
      </c>
    </row>
    <row r="5559" spans="1:7">
      <c r="A5559" s="3">
        <v>10</v>
      </c>
      <c r="B5559" s="3">
        <v>5</v>
      </c>
      <c r="C5559" s="3">
        <v>160</v>
      </c>
      <c r="D5559" s="3">
        <v>159</v>
      </c>
      <c r="E5559" s="3">
        <v>-142045.716</v>
      </c>
      <c r="F5559" s="4" t="str">
        <f>HYPERLINK("http://141.218.60.56/~jnz1568/getInfo.php?workbook=10_05.xlsx&amp;sheet=A0&amp;row=5559&amp;col=6&amp;number=381&amp;sourceID=14","381")</f>
        <v>381</v>
      </c>
      <c r="G5559" s="4" t="str">
        <f>HYPERLINK("http://141.218.60.56/~jnz1568/getInfo.php?workbook=10_05.xlsx&amp;sheet=A0&amp;row=5559&amp;col=7&amp;number=0&amp;sourceID=14","0")</f>
        <v>0</v>
      </c>
    </row>
    <row r="5560" spans="1:7">
      <c r="A5560" s="3">
        <v>10</v>
      </c>
      <c r="B5560" s="3">
        <v>5</v>
      </c>
      <c r="C5560" s="3">
        <v>161</v>
      </c>
      <c r="D5560" s="3">
        <v>159</v>
      </c>
      <c r="E5560" s="3">
        <v>-97943.373</v>
      </c>
      <c r="F5560" s="4" t="str">
        <f>HYPERLINK("http://141.218.60.56/~jnz1568/getInfo.php?workbook=10_05.xlsx&amp;sheet=A0&amp;row=5560&amp;col=6&amp;number=1.06&amp;sourceID=14","1.06")</f>
        <v>1.06</v>
      </c>
      <c r="G5560" s="4" t="str">
        <f>HYPERLINK("http://141.218.60.56/~jnz1568/getInfo.php?workbook=10_05.xlsx&amp;sheet=A0&amp;row=5560&amp;col=7&amp;number=0&amp;sourceID=14","0")</f>
        <v>0</v>
      </c>
    </row>
    <row r="5561" spans="1:7">
      <c r="A5561" s="3">
        <v>10</v>
      </c>
      <c r="B5561" s="3">
        <v>5</v>
      </c>
      <c r="C5561" s="3">
        <v>162</v>
      </c>
      <c r="D5561" s="3">
        <v>159</v>
      </c>
      <c r="E5561" s="3">
        <v>-75930.284</v>
      </c>
      <c r="F5561" s="4" t="str">
        <f>HYPERLINK("http://141.218.60.56/~jnz1568/getInfo.php?workbook=10_05.xlsx&amp;sheet=A0&amp;row=5561&amp;col=6&amp;number=0.439&amp;sourceID=14","0.439")</f>
        <v>0.439</v>
      </c>
      <c r="G5561" s="4" t="str">
        <f>HYPERLINK("http://141.218.60.56/~jnz1568/getInfo.php?workbook=10_05.xlsx&amp;sheet=A0&amp;row=5561&amp;col=7&amp;number=0&amp;sourceID=14","0")</f>
        <v>0</v>
      </c>
    </row>
    <row r="5562" spans="1:7">
      <c r="A5562" s="3">
        <v>10</v>
      </c>
      <c r="B5562" s="3">
        <v>5</v>
      </c>
      <c r="C5562" s="3">
        <v>163</v>
      </c>
      <c r="D5562" s="3">
        <v>159</v>
      </c>
      <c r="E5562" s="3">
        <v>-6724.962</v>
      </c>
      <c r="F5562" s="4" t="str">
        <f>HYPERLINK("http://141.218.60.56/~jnz1568/getInfo.php?workbook=10_05.xlsx&amp;sheet=A0&amp;row=5562&amp;col=6&amp;number=168000&amp;sourceID=14","168000")</f>
        <v>168000</v>
      </c>
      <c r="G5562" s="4" t="str">
        <f>HYPERLINK("http://141.218.60.56/~jnz1568/getInfo.php?workbook=10_05.xlsx&amp;sheet=A0&amp;row=5562&amp;col=7&amp;number=0&amp;sourceID=14","0")</f>
        <v>0</v>
      </c>
    </row>
    <row r="5563" spans="1:7">
      <c r="A5563" s="3">
        <v>10</v>
      </c>
      <c r="B5563" s="3">
        <v>5</v>
      </c>
      <c r="C5563" s="3">
        <v>169</v>
      </c>
      <c r="D5563" s="3">
        <v>159</v>
      </c>
      <c r="E5563" s="3">
        <v>-1225.688</v>
      </c>
      <c r="F5563" s="4" t="str">
        <f>HYPERLINK("http://141.218.60.56/~jnz1568/getInfo.php?workbook=10_05.xlsx&amp;sheet=A0&amp;row=5563&amp;col=6&amp;number=1720000&amp;sourceID=14","1720000")</f>
        <v>1720000</v>
      </c>
      <c r="G5563" s="4" t="str">
        <f>HYPERLINK("http://141.218.60.56/~jnz1568/getInfo.php?workbook=10_05.xlsx&amp;sheet=A0&amp;row=5563&amp;col=7&amp;number=0&amp;sourceID=14","0")</f>
        <v>0</v>
      </c>
    </row>
    <row r="5564" spans="1:7">
      <c r="A5564" s="3">
        <v>10</v>
      </c>
      <c r="B5564" s="3">
        <v>5</v>
      </c>
      <c r="C5564" s="3">
        <v>170</v>
      </c>
      <c r="D5564" s="3">
        <v>159</v>
      </c>
      <c r="E5564" s="3">
        <v>-1099.411</v>
      </c>
      <c r="F5564" s="4" t="str">
        <f>HYPERLINK("http://141.218.60.56/~jnz1568/getInfo.php?workbook=10_05.xlsx&amp;sheet=A0&amp;row=5564&amp;col=6&amp;number=10200000&amp;sourceID=14","10200000")</f>
        <v>10200000</v>
      </c>
      <c r="G5564" s="4" t="str">
        <f>HYPERLINK("http://141.218.60.56/~jnz1568/getInfo.php?workbook=10_05.xlsx&amp;sheet=A0&amp;row=5564&amp;col=7&amp;number=0&amp;sourceID=14","0")</f>
        <v>0</v>
      </c>
    </row>
    <row r="5565" spans="1:7">
      <c r="A5565" s="3">
        <v>10</v>
      </c>
      <c r="B5565" s="3">
        <v>5</v>
      </c>
      <c r="C5565" s="3">
        <v>171</v>
      </c>
      <c r="D5565" s="3">
        <v>159</v>
      </c>
      <c r="E5565" s="3">
        <v>-1098.263</v>
      </c>
      <c r="F5565" s="4" t="str">
        <f>HYPERLINK("http://141.218.60.56/~jnz1568/getInfo.php?workbook=10_05.xlsx&amp;sheet=A0&amp;row=5565&amp;col=6&amp;number=2500000&amp;sourceID=14","2500000")</f>
        <v>2500000</v>
      </c>
      <c r="G5565" s="4" t="str">
        <f>HYPERLINK("http://141.218.60.56/~jnz1568/getInfo.php?workbook=10_05.xlsx&amp;sheet=A0&amp;row=5565&amp;col=7&amp;number=0&amp;sourceID=14","0")</f>
        <v>0</v>
      </c>
    </row>
    <row r="5566" spans="1:7">
      <c r="A5566" s="3">
        <v>10</v>
      </c>
      <c r="B5566" s="3">
        <v>5</v>
      </c>
      <c r="C5566" s="3">
        <v>172</v>
      </c>
      <c r="D5566" s="3">
        <v>159</v>
      </c>
      <c r="E5566" s="3">
        <v>-1075.236</v>
      </c>
      <c r="F5566" s="4" t="str">
        <f>HYPERLINK("http://141.218.60.56/~jnz1568/getInfo.php?workbook=10_05.xlsx&amp;sheet=A0&amp;row=5566&amp;col=6&amp;number=4140000&amp;sourceID=14","4140000")</f>
        <v>4140000</v>
      </c>
      <c r="G5566" s="4" t="str">
        <f>HYPERLINK("http://141.218.60.56/~jnz1568/getInfo.php?workbook=10_05.xlsx&amp;sheet=A0&amp;row=5566&amp;col=7&amp;number=0&amp;sourceID=14","0")</f>
        <v>0</v>
      </c>
    </row>
    <row r="5567" spans="1:7">
      <c r="A5567" s="3">
        <v>10</v>
      </c>
      <c r="B5567" s="3">
        <v>5</v>
      </c>
      <c r="C5567" s="3">
        <v>174</v>
      </c>
      <c r="D5567" s="3">
        <v>159</v>
      </c>
      <c r="E5567" s="3">
        <v>-1051.129</v>
      </c>
      <c r="F5567" s="4" t="str">
        <f>HYPERLINK("http://141.218.60.56/~jnz1568/getInfo.php?workbook=10_05.xlsx&amp;sheet=A0&amp;row=5567&amp;col=6&amp;number=16600000&amp;sourceID=14","16600000")</f>
        <v>16600000</v>
      </c>
      <c r="G5567" s="4" t="str">
        <f>HYPERLINK("http://141.218.60.56/~jnz1568/getInfo.php?workbook=10_05.xlsx&amp;sheet=A0&amp;row=5567&amp;col=7&amp;number=0&amp;sourceID=14","0")</f>
        <v>0</v>
      </c>
    </row>
    <row r="5568" spans="1:7">
      <c r="A5568" s="3">
        <v>10</v>
      </c>
      <c r="B5568" s="3">
        <v>5</v>
      </c>
      <c r="C5568" s="3">
        <v>164</v>
      </c>
      <c r="D5568" s="3">
        <v>160</v>
      </c>
      <c r="E5568" s="3">
        <v>-2201.58</v>
      </c>
      <c r="F5568" s="4" t="str">
        <f>HYPERLINK("http://141.218.60.56/~jnz1568/getInfo.php?workbook=10_05.xlsx&amp;sheet=A0&amp;row=5568&amp;col=6&amp;number=124000000&amp;sourceID=14","124000000")</f>
        <v>124000000</v>
      </c>
      <c r="G5568" s="4" t="str">
        <f>HYPERLINK("http://141.218.60.56/~jnz1568/getInfo.php?workbook=10_05.xlsx&amp;sheet=A0&amp;row=5568&amp;col=7&amp;number=0&amp;sourceID=14","0")</f>
        <v>0</v>
      </c>
    </row>
    <row r="5569" spans="1:7">
      <c r="A5569" s="3">
        <v>10</v>
      </c>
      <c r="B5569" s="3">
        <v>5</v>
      </c>
      <c r="C5569" s="3">
        <v>165</v>
      </c>
      <c r="D5569" s="3">
        <v>160</v>
      </c>
      <c r="E5569" s="3">
        <v>-2194.96</v>
      </c>
      <c r="F5569" s="4" t="str">
        <f>HYPERLINK("http://141.218.60.56/~jnz1568/getInfo.php?workbook=10_05.xlsx&amp;sheet=A0&amp;row=5569&amp;col=6&amp;number=125000000&amp;sourceID=14","125000000")</f>
        <v>125000000</v>
      </c>
      <c r="G5569" s="4" t="str">
        <f>HYPERLINK("http://141.218.60.56/~jnz1568/getInfo.php?workbook=10_05.xlsx&amp;sheet=A0&amp;row=5569&amp;col=7&amp;number=0&amp;sourceID=14","0")</f>
        <v>0</v>
      </c>
    </row>
    <row r="5570" spans="1:7">
      <c r="A5570" s="3">
        <v>10</v>
      </c>
      <c r="B5570" s="3">
        <v>5</v>
      </c>
      <c r="C5570" s="3">
        <v>166</v>
      </c>
      <c r="D5570" s="3">
        <v>160</v>
      </c>
      <c r="E5570" s="3">
        <v>-1376.673</v>
      </c>
      <c r="F5570" s="4" t="str">
        <f>HYPERLINK("http://141.218.60.56/~jnz1568/getInfo.php?workbook=10_05.xlsx&amp;sheet=A0&amp;row=5570&amp;col=6&amp;number=23100000&amp;sourceID=14","23100000")</f>
        <v>23100000</v>
      </c>
      <c r="G5570" s="4" t="str">
        <f>HYPERLINK("http://141.218.60.56/~jnz1568/getInfo.php?workbook=10_05.xlsx&amp;sheet=A0&amp;row=5570&amp;col=7&amp;number=0&amp;sourceID=14","0")</f>
        <v>0</v>
      </c>
    </row>
    <row r="5571" spans="1:7">
      <c r="A5571" s="3">
        <v>10</v>
      </c>
      <c r="B5571" s="3">
        <v>5</v>
      </c>
      <c r="C5571" s="3">
        <v>167</v>
      </c>
      <c r="D5571" s="3">
        <v>160</v>
      </c>
      <c r="E5571" s="3">
        <v>-1375.878</v>
      </c>
      <c r="F5571" s="4" t="str">
        <f>HYPERLINK("http://141.218.60.56/~jnz1568/getInfo.php?workbook=10_05.xlsx&amp;sheet=A0&amp;row=5571&amp;col=6&amp;number=22500000&amp;sourceID=14","22500000")</f>
        <v>22500000</v>
      </c>
      <c r="G5571" s="4" t="str">
        <f>HYPERLINK("http://141.218.60.56/~jnz1568/getInfo.php?workbook=10_05.xlsx&amp;sheet=A0&amp;row=5571&amp;col=7&amp;number=0&amp;sourceID=14","0")</f>
        <v>0</v>
      </c>
    </row>
    <row r="5572" spans="1:7">
      <c r="A5572" s="3">
        <v>10</v>
      </c>
      <c r="B5572" s="3">
        <v>5</v>
      </c>
      <c r="C5572" s="3">
        <v>177</v>
      </c>
      <c r="D5572" s="3">
        <v>160</v>
      </c>
      <c r="E5572" s="3">
        <v>-951.948</v>
      </c>
      <c r="F5572" s="4" t="str">
        <f>HYPERLINK("http://141.218.60.56/~jnz1568/getInfo.php?workbook=10_05.xlsx&amp;sheet=A0&amp;row=5572&amp;col=6&amp;number=8530&amp;sourceID=14","8530")</f>
        <v>8530</v>
      </c>
      <c r="G5572" s="4" t="str">
        <f>HYPERLINK("http://141.218.60.56/~jnz1568/getInfo.php?workbook=10_05.xlsx&amp;sheet=A0&amp;row=5572&amp;col=7&amp;number=0&amp;sourceID=14","0")</f>
        <v>0</v>
      </c>
    </row>
    <row r="5573" spans="1:7">
      <c r="A5573" s="3">
        <v>10</v>
      </c>
      <c r="B5573" s="3">
        <v>5</v>
      </c>
      <c r="C5573" s="3">
        <v>179</v>
      </c>
      <c r="D5573" s="3">
        <v>160</v>
      </c>
      <c r="E5573" s="3">
        <v>-916.231</v>
      </c>
      <c r="F5573" s="4" t="str">
        <f>HYPERLINK("http://141.218.60.56/~jnz1568/getInfo.php?workbook=10_05.xlsx&amp;sheet=A0&amp;row=5573&amp;col=6&amp;number=742&amp;sourceID=14","742")</f>
        <v>742</v>
      </c>
      <c r="G5573" s="4" t="str">
        <f>HYPERLINK("http://141.218.60.56/~jnz1568/getInfo.php?workbook=10_05.xlsx&amp;sheet=A0&amp;row=5573&amp;col=7&amp;number=0&amp;sourceID=14","0")</f>
        <v>0</v>
      </c>
    </row>
    <row r="5574" spans="1:7">
      <c r="A5574" s="3">
        <v>10</v>
      </c>
      <c r="B5574" s="3">
        <v>5</v>
      </c>
      <c r="C5574" s="3">
        <v>180</v>
      </c>
      <c r="D5574" s="3">
        <v>160</v>
      </c>
      <c r="E5574" s="3">
        <v>-915.92</v>
      </c>
      <c r="F5574" s="4" t="str">
        <f>HYPERLINK("http://141.218.60.56/~jnz1568/getInfo.php?workbook=10_05.xlsx&amp;sheet=A0&amp;row=5574&amp;col=6&amp;number=12300&amp;sourceID=14","12300")</f>
        <v>12300</v>
      </c>
      <c r="G5574" s="4" t="str">
        <f>HYPERLINK("http://141.218.60.56/~jnz1568/getInfo.php?workbook=10_05.xlsx&amp;sheet=A0&amp;row=5574&amp;col=7&amp;number=0&amp;sourceID=14","0")</f>
        <v>0</v>
      </c>
    </row>
    <row r="5575" spans="1:7">
      <c r="A5575" s="3">
        <v>10</v>
      </c>
      <c r="B5575" s="3">
        <v>5</v>
      </c>
      <c r="C5575" s="3">
        <v>164</v>
      </c>
      <c r="D5575" s="3">
        <v>161</v>
      </c>
      <c r="E5575" s="3">
        <v>-2217.053</v>
      </c>
      <c r="F5575" s="4" t="str">
        <f>HYPERLINK("http://141.218.60.56/~jnz1568/getInfo.php?workbook=10_05.xlsx&amp;sheet=A0&amp;row=5575&amp;col=6&amp;number=622000&amp;sourceID=14","622000")</f>
        <v>622000</v>
      </c>
      <c r="G5575" s="4" t="str">
        <f>HYPERLINK("http://141.218.60.56/~jnz1568/getInfo.php?workbook=10_05.xlsx&amp;sheet=A0&amp;row=5575&amp;col=7&amp;number=0&amp;sourceID=14","0")</f>
        <v>0</v>
      </c>
    </row>
    <row r="5576" spans="1:7">
      <c r="A5576" s="3">
        <v>10</v>
      </c>
      <c r="B5576" s="3">
        <v>5</v>
      </c>
      <c r="C5576" s="3">
        <v>165</v>
      </c>
      <c r="D5576" s="3">
        <v>161</v>
      </c>
      <c r="E5576" s="3">
        <v>-2210.34</v>
      </c>
      <c r="F5576" s="4" t="str">
        <f>HYPERLINK("http://141.218.60.56/~jnz1568/getInfo.php?workbook=10_05.xlsx&amp;sheet=A0&amp;row=5576&amp;col=6&amp;number=217000&amp;sourceID=14","217000")</f>
        <v>217000</v>
      </c>
      <c r="G5576" s="4" t="str">
        <f>HYPERLINK("http://141.218.60.56/~jnz1568/getInfo.php?workbook=10_05.xlsx&amp;sheet=A0&amp;row=5576&amp;col=7&amp;number=0&amp;sourceID=14","0")</f>
        <v>0</v>
      </c>
    </row>
    <row r="5577" spans="1:7">
      <c r="A5577" s="3">
        <v>10</v>
      </c>
      <c r="B5577" s="3">
        <v>5</v>
      </c>
      <c r="C5577" s="3">
        <v>166</v>
      </c>
      <c r="D5577" s="3">
        <v>161</v>
      </c>
      <c r="E5577" s="3">
        <v>-1382.708</v>
      </c>
      <c r="F5577" s="4" t="str">
        <f>HYPERLINK("http://141.218.60.56/~jnz1568/getInfo.php?workbook=10_05.xlsx&amp;sheet=A0&amp;row=5577&amp;col=6&amp;number=9440000&amp;sourceID=14","9440000")</f>
        <v>9440000</v>
      </c>
      <c r="G5577" s="4" t="str">
        <f>HYPERLINK("http://141.218.60.56/~jnz1568/getInfo.php?workbook=10_05.xlsx&amp;sheet=A0&amp;row=5577&amp;col=7&amp;number=0&amp;sourceID=14","0")</f>
        <v>0</v>
      </c>
    </row>
    <row r="5578" spans="1:7">
      <c r="A5578" s="3">
        <v>10</v>
      </c>
      <c r="B5578" s="3">
        <v>5</v>
      </c>
      <c r="C5578" s="3">
        <v>167</v>
      </c>
      <c r="D5578" s="3">
        <v>161</v>
      </c>
      <c r="E5578" s="3">
        <v>-1381.905</v>
      </c>
      <c r="F5578" s="4" t="str">
        <f>HYPERLINK("http://141.218.60.56/~jnz1568/getInfo.php?workbook=10_05.xlsx&amp;sheet=A0&amp;row=5578&amp;col=6&amp;number=2420000&amp;sourceID=14","2420000")</f>
        <v>2420000</v>
      </c>
      <c r="G5578" s="4" t="str">
        <f>HYPERLINK("http://141.218.60.56/~jnz1568/getInfo.php?workbook=10_05.xlsx&amp;sheet=A0&amp;row=5578&amp;col=7&amp;number=0&amp;sourceID=14","0")</f>
        <v>0</v>
      </c>
    </row>
    <row r="5579" spans="1:7">
      <c r="A5579" s="3">
        <v>10</v>
      </c>
      <c r="B5579" s="3">
        <v>5</v>
      </c>
      <c r="C5579" s="3">
        <v>177</v>
      </c>
      <c r="D5579" s="3">
        <v>161</v>
      </c>
      <c r="E5579" s="3">
        <v>-954.829</v>
      </c>
      <c r="F5579" s="4" t="str">
        <f>HYPERLINK("http://141.218.60.56/~jnz1568/getInfo.php?workbook=10_05.xlsx&amp;sheet=A0&amp;row=5579&amp;col=6&amp;number=104000000&amp;sourceID=14","104000000")</f>
        <v>104000000</v>
      </c>
      <c r="G5579" s="4" t="str">
        <f>HYPERLINK("http://141.218.60.56/~jnz1568/getInfo.php?workbook=10_05.xlsx&amp;sheet=A0&amp;row=5579&amp;col=7&amp;number=0&amp;sourceID=14","0")</f>
        <v>0</v>
      </c>
    </row>
    <row r="5580" spans="1:7">
      <c r="A5580" s="3">
        <v>10</v>
      </c>
      <c r="B5580" s="3">
        <v>5</v>
      </c>
      <c r="C5580" s="3">
        <v>179</v>
      </c>
      <c r="D5580" s="3">
        <v>161</v>
      </c>
      <c r="E5580" s="3">
        <v>-918.9</v>
      </c>
      <c r="F5580" s="4" t="str">
        <f>HYPERLINK("http://141.218.60.56/~jnz1568/getInfo.php?workbook=10_05.xlsx&amp;sheet=A0&amp;row=5580&amp;col=6&amp;number=56600000&amp;sourceID=14","56600000")</f>
        <v>56600000</v>
      </c>
      <c r="G5580" s="4" t="str">
        <f>HYPERLINK("http://141.218.60.56/~jnz1568/getInfo.php?workbook=10_05.xlsx&amp;sheet=A0&amp;row=5580&amp;col=7&amp;number=0&amp;sourceID=14","0")</f>
        <v>0</v>
      </c>
    </row>
    <row r="5581" spans="1:7">
      <c r="A5581" s="3">
        <v>10</v>
      </c>
      <c r="B5581" s="3">
        <v>5</v>
      </c>
      <c r="C5581" s="3">
        <v>180</v>
      </c>
      <c r="D5581" s="3">
        <v>161</v>
      </c>
      <c r="E5581" s="3">
        <v>-918.587</v>
      </c>
      <c r="F5581" s="4" t="str">
        <f>HYPERLINK("http://141.218.60.56/~jnz1568/getInfo.php?workbook=10_05.xlsx&amp;sheet=A0&amp;row=5581&amp;col=6&amp;number=14700000&amp;sourceID=14","14700000")</f>
        <v>14700000</v>
      </c>
      <c r="G5581" s="4" t="str">
        <f>HYPERLINK("http://141.218.60.56/~jnz1568/getInfo.php?workbook=10_05.xlsx&amp;sheet=A0&amp;row=5581&amp;col=7&amp;number=0&amp;sourceID=14","0")</f>
        <v>0</v>
      </c>
    </row>
    <row r="5582" spans="1:7">
      <c r="A5582" s="3">
        <v>10</v>
      </c>
      <c r="B5582" s="3">
        <v>5</v>
      </c>
      <c r="C5582" s="3">
        <v>164</v>
      </c>
      <c r="D5582" s="3">
        <v>162</v>
      </c>
      <c r="E5582" s="3">
        <v>-2231.699</v>
      </c>
      <c r="F5582" s="4" t="str">
        <f>HYPERLINK("http://141.218.60.56/~jnz1568/getInfo.php?workbook=10_05.xlsx&amp;sheet=A0&amp;row=5582&amp;col=6&amp;number=341000&amp;sourceID=14","341000")</f>
        <v>341000</v>
      </c>
      <c r="G5582" s="4" t="str">
        <f>HYPERLINK("http://141.218.60.56/~jnz1568/getInfo.php?workbook=10_05.xlsx&amp;sheet=A0&amp;row=5582&amp;col=7&amp;number=0&amp;sourceID=14","0")</f>
        <v>0</v>
      </c>
    </row>
    <row r="5583" spans="1:7">
      <c r="A5583" s="3">
        <v>10</v>
      </c>
      <c r="B5583" s="3">
        <v>5</v>
      </c>
      <c r="C5583" s="3">
        <v>165</v>
      </c>
      <c r="D5583" s="3">
        <v>162</v>
      </c>
      <c r="E5583" s="3">
        <v>-2224.896</v>
      </c>
      <c r="F5583" s="4" t="str">
        <f>HYPERLINK("http://141.218.60.56/~jnz1568/getInfo.php?workbook=10_05.xlsx&amp;sheet=A0&amp;row=5583&amp;col=6&amp;number=869000&amp;sourceID=14","869000")</f>
        <v>869000</v>
      </c>
      <c r="G5583" s="4" t="str">
        <f>HYPERLINK("http://141.218.60.56/~jnz1568/getInfo.php?workbook=10_05.xlsx&amp;sheet=A0&amp;row=5583&amp;col=7&amp;number=0&amp;sourceID=14","0")</f>
        <v>0</v>
      </c>
    </row>
    <row r="5584" spans="1:7">
      <c r="A5584" s="3">
        <v>10</v>
      </c>
      <c r="B5584" s="3">
        <v>5</v>
      </c>
      <c r="C5584" s="3">
        <v>166</v>
      </c>
      <c r="D5584" s="3">
        <v>162</v>
      </c>
      <c r="E5584" s="3">
        <v>-1388.39</v>
      </c>
      <c r="F5584" s="4" t="str">
        <f>HYPERLINK("http://141.218.60.56/~jnz1568/getInfo.php?workbook=10_05.xlsx&amp;sheet=A0&amp;row=5584&amp;col=6&amp;number=4790000&amp;sourceID=14","4790000")</f>
        <v>4790000</v>
      </c>
      <c r="G5584" s="4" t="str">
        <f>HYPERLINK("http://141.218.60.56/~jnz1568/getInfo.php?workbook=10_05.xlsx&amp;sheet=A0&amp;row=5584&amp;col=7&amp;number=0&amp;sourceID=14","0")</f>
        <v>0</v>
      </c>
    </row>
    <row r="5585" spans="1:7">
      <c r="A5585" s="3">
        <v>10</v>
      </c>
      <c r="B5585" s="3">
        <v>5</v>
      </c>
      <c r="C5585" s="3">
        <v>167</v>
      </c>
      <c r="D5585" s="3">
        <v>162</v>
      </c>
      <c r="E5585" s="3">
        <v>-1387.581</v>
      </c>
      <c r="F5585" s="4" t="str">
        <f>HYPERLINK("http://141.218.60.56/~jnz1568/getInfo.php?workbook=10_05.xlsx&amp;sheet=A0&amp;row=5585&amp;col=6&amp;number=11700000&amp;sourceID=14","11700000")</f>
        <v>11700000</v>
      </c>
      <c r="G5585" s="4" t="str">
        <f>HYPERLINK("http://141.218.60.56/~jnz1568/getInfo.php?workbook=10_05.xlsx&amp;sheet=A0&amp;row=5585&amp;col=7&amp;number=0&amp;sourceID=14","0")</f>
        <v>0</v>
      </c>
    </row>
    <row r="5586" spans="1:7">
      <c r="A5586" s="3">
        <v>10</v>
      </c>
      <c r="B5586" s="3">
        <v>5</v>
      </c>
      <c r="C5586" s="3">
        <v>176</v>
      </c>
      <c r="D5586" s="3">
        <v>162</v>
      </c>
      <c r="E5586" s="3">
        <v>-965.775</v>
      </c>
      <c r="F5586" s="4" t="str">
        <f>HYPERLINK("http://141.218.60.56/~jnz1568/getInfo.php?workbook=10_05.xlsx&amp;sheet=A0&amp;row=5586&amp;col=6&amp;number=875&amp;sourceID=14","875")</f>
        <v>875</v>
      </c>
      <c r="G5586" s="4" t="str">
        <f>HYPERLINK("http://141.218.60.56/~jnz1568/getInfo.php?workbook=10_05.xlsx&amp;sheet=A0&amp;row=5586&amp;col=7&amp;number=0&amp;sourceID=14","0")</f>
        <v>0</v>
      </c>
    </row>
    <row r="5587" spans="1:7">
      <c r="A5587" s="3">
        <v>10</v>
      </c>
      <c r="B5587" s="3">
        <v>5</v>
      </c>
      <c r="C5587" s="3">
        <v>177</v>
      </c>
      <c r="D5587" s="3">
        <v>162</v>
      </c>
      <c r="E5587" s="3">
        <v>-957.535</v>
      </c>
      <c r="F5587" s="4" t="str">
        <f>HYPERLINK("http://141.218.60.56/~jnz1568/getInfo.php?workbook=10_05.xlsx&amp;sheet=A0&amp;row=5587&amp;col=6&amp;number=20500000&amp;sourceID=14","20500000")</f>
        <v>20500000</v>
      </c>
      <c r="G5587" s="4" t="str">
        <f>HYPERLINK("http://141.218.60.56/~jnz1568/getInfo.php?workbook=10_05.xlsx&amp;sheet=A0&amp;row=5587&amp;col=7&amp;number=0&amp;sourceID=14","0")</f>
        <v>0</v>
      </c>
    </row>
    <row r="5588" spans="1:7">
      <c r="A5588" s="3">
        <v>10</v>
      </c>
      <c r="B5588" s="3">
        <v>5</v>
      </c>
      <c r="C5588" s="3">
        <v>178</v>
      </c>
      <c r="D5588" s="3">
        <v>162</v>
      </c>
      <c r="E5588" s="3">
        <v>-957.132</v>
      </c>
      <c r="F5588" s="4" t="str">
        <f>HYPERLINK("http://141.218.60.56/~jnz1568/getInfo.php?workbook=10_05.xlsx&amp;sheet=A0&amp;row=5588&amp;col=6&amp;number=124000000&amp;sourceID=14","124000000")</f>
        <v>124000000</v>
      </c>
      <c r="G5588" s="4" t="str">
        <f>HYPERLINK("http://141.218.60.56/~jnz1568/getInfo.php?workbook=10_05.xlsx&amp;sheet=A0&amp;row=5588&amp;col=7&amp;number=0&amp;sourceID=14","0")</f>
        <v>0</v>
      </c>
    </row>
    <row r="5589" spans="1:7">
      <c r="A5589" s="3">
        <v>10</v>
      </c>
      <c r="B5589" s="3">
        <v>5</v>
      </c>
      <c r="C5589" s="3">
        <v>179</v>
      </c>
      <c r="D5589" s="3">
        <v>162</v>
      </c>
      <c r="E5589" s="3">
        <v>-921.406</v>
      </c>
      <c r="F5589" s="4" t="str">
        <f>HYPERLINK("http://141.218.60.56/~jnz1568/getInfo.php?workbook=10_05.xlsx&amp;sheet=A0&amp;row=5589&amp;col=6&amp;number=28400000&amp;sourceID=14","28400000")</f>
        <v>28400000</v>
      </c>
      <c r="G5589" s="4" t="str">
        <f>HYPERLINK("http://141.218.60.56/~jnz1568/getInfo.php?workbook=10_05.xlsx&amp;sheet=A0&amp;row=5589&amp;col=7&amp;number=0&amp;sourceID=14","0")</f>
        <v>0</v>
      </c>
    </row>
    <row r="5590" spans="1:7">
      <c r="A5590" s="3">
        <v>10</v>
      </c>
      <c r="B5590" s="3">
        <v>5</v>
      </c>
      <c r="C5590" s="3">
        <v>180</v>
      </c>
      <c r="D5590" s="3">
        <v>162</v>
      </c>
      <c r="E5590" s="3">
        <v>-921.092</v>
      </c>
      <c r="F5590" s="4" t="str">
        <f>HYPERLINK("http://141.218.60.56/~jnz1568/getInfo.php?workbook=10_05.xlsx&amp;sheet=A0&amp;row=5590&amp;col=6&amp;number=71700000&amp;sourceID=14","71700000")</f>
        <v>71700000</v>
      </c>
      <c r="G5590" s="4" t="str">
        <f>HYPERLINK("http://141.218.60.56/~jnz1568/getInfo.php?workbook=10_05.xlsx&amp;sheet=A0&amp;row=5590&amp;col=7&amp;number=0&amp;sourceID=14","0")</f>
        <v>0</v>
      </c>
    </row>
    <row r="5591" spans="1:7">
      <c r="A5591" s="3">
        <v>10</v>
      </c>
      <c r="B5591" s="3">
        <v>5</v>
      </c>
      <c r="C5591" s="3">
        <v>164</v>
      </c>
      <c r="D5591" s="3">
        <v>163</v>
      </c>
      <c r="E5591" s="3">
        <v>-3199.392</v>
      </c>
      <c r="F5591" s="4" t="str">
        <f>HYPERLINK("http://141.218.60.56/~jnz1568/getInfo.php?workbook=10_05.xlsx&amp;sheet=A0&amp;row=5591&amp;col=6&amp;number=25300000&amp;sourceID=14","25300000")</f>
        <v>25300000</v>
      </c>
      <c r="G5591" s="4" t="str">
        <f>HYPERLINK("http://141.218.60.56/~jnz1568/getInfo.php?workbook=10_05.xlsx&amp;sheet=A0&amp;row=5591&amp;col=7&amp;number=0&amp;sourceID=14","0")</f>
        <v>0</v>
      </c>
    </row>
    <row r="5592" spans="1:7">
      <c r="A5592" s="3">
        <v>10</v>
      </c>
      <c r="B5592" s="3">
        <v>5</v>
      </c>
      <c r="C5592" s="3">
        <v>165</v>
      </c>
      <c r="D5592" s="3">
        <v>163</v>
      </c>
      <c r="E5592" s="3">
        <v>-3185.429</v>
      </c>
      <c r="F5592" s="4" t="str">
        <f>HYPERLINK("http://141.218.60.56/~jnz1568/getInfo.php?workbook=10_05.xlsx&amp;sheet=A0&amp;row=5592&amp;col=6&amp;number=25600000&amp;sourceID=14","25600000")</f>
        <v>25600000</v>
      </c>
      <c r="G5592" s="4" t="str">
        <f>HYPERLINK("http://141.218.60.56/~jnz1568/getInfo.php?workbook=10_05.xlsx&amp;sheet=A0&amp;row=5592&amp;col=7&amp;number=0&amp;sourceID=14","0")</f>
        <v>0</v>
      </c>
    </row>
    <row r="5593" spans="1:7">
      <c r="A5593" s="3">
        <v>10</v>
      </c>
      <c r="B5593" s="3">
        <v>5</v>
      </c>
      <c r="C5593" s="3">
        <v>166</v>
      </c>
      <c r="D5593" s="3">
        <v>163</v>
      </c>
      <c r="E5593" s="3">
        <v>-1710.194</v>
      </c>
      <c r="F5593" s="4" t="str">
        <f>HYPERLINK("http://141.218.60.56/~jnz1568/getInfo.php?workbook=10_05.xlsx&amp;sheet=A0&amp;row=5593&amp;col=6&amp;number=363000&amp;sourceID=14","363000")</f>
        <v>363000</v>
      </c>
      <c r="G5593" s="4" t="str">
        <f>HYPERLINK("http://141.218.60.56/~jnz1568/getInfo.php?workbook=10_05.xlsx&amp;sheet=A0&amp;row=5593&amp;col=7&amp;number=0&amp;sourceID=14","0")</f>
        <v>0</v>
      </c>
    </row>
    <row r="5594" spans="1:7">
      <c r="A5594" s="3">
        <v>10</v>
      </c>
      <c r="B5594" s="3">
        <v>5</v>
      </c>
      <c r="C5594" s="3">
        <v>167</v>
      </c>
      <c r="D5594" s="3">
        <v>163</v>
      </c>
      <c r="E5594" s="3">
        <v>-1708.967</v>
      </c>
      <c r="F5594" s="4" t="str">
        <f>HYPERLINK("http://141.218.60.56/~jnz1568/getInfo.php?workbook=10_05.xlsx&amp;sheet=A0&amp;row=5594&amp;col=6&amp;number=362000&amp;sourceID=14","362000")</f>
        <v>362000</v>
      </c>
      <c r="G5594" s="4" t="str">
        <f>HYPERLINK("http://141.218.60.56/~jnz1568/getInfo.php?workbook=10_05.xlsx&amp;sheet=A0&amp;row=5594&amp;col=7&amp;number=0&amp;sourceID=14","0")</f>
        <v>0</v>
      </c>
    </row>
    <row r="5595" spans="1:7">
      <c r="A5595" s="3">
        <v>10</v>
      </c>
      <c r="B5595" s="3">
        <v>5</v>
      </c>
      <c r="C5595" s="3">
        <v>177</v>
      </c>
      <c r="D5595" s="3">
        <v>163</v>
      </c>
      <c r="E5595" s="3">
        <v>-1100.33</v>
      </c>
      <c r="F5595" s="4" t="str">
        <f>HYPERLINK("http://141.218.60.56/~jnz1568/getInfo.php?workbook=10_05.xlsx&amp;sheet=A0&amp;row=5595&amp;col=6&amp;number=1790&amp;sourceID=14","1790")</f>
        <v>1790</v>
      </c>
      <c r="G5595" s="4" t="str">
        <f>HYPERLINK("http://141.218.60.56/~jnz1568/getInfo.php?workbook=10_05.xlsx&amp;sheet=A0&amp;row=5595&amp;col=7&amp;number=0&amp;sourceID=14","0")</f>
        <v>0</v>
      </c>
    </row>
    <row r="5596" spans="1:7">
      <c r="A5596" s="3">
        <v>10</v>
      </c>
      <c r="B5596" s="3">
        <v>5</v>
      </c>
      <c r="C5596" s="3">
        <v>179</v>
      </c>
      <c r="D5596" s="3">
        <v>163</v>
      </c>
      <c r="E5596" s="3">
        <v>-1052.888</v>
      </c>
      <c r="F5596" s="4" t="str">
        <f>HYPERLINK("http://141.218.60.56/~jnz1568/getInfo.php?workbook=10_05.xlsx&amp;sheet=A0&amp;row=5596&amp;col=6&amp;number=177000000&amp;sourceID=14","177000000")</f>
        <v>177000000</v>
      </c>
      <c r="G5596" s="4" t="str">
        <f>HYPERLINK("http://141.218.60.56/~jnz1568/getInfo.php?workbook=10_05.xlsx&amp;sheet=A0&amp;row=5596&amp;col=7&amp;number=0&amp;sourceID=14","0")</f>
        <v>0</v>
      </c>
    </row>
    <row r="5597" spans="1:7">
      <c r="A5597" s="3">
        <v>10</v>
      </c>
      <c r="B5597" s="3">
        <v>5</v>
      </c>
      <c r="C5597" s="3">
        <v>180</v>
      </c>
      <c r="D5597" s="3">
        <v>163</v>
      </c>
      <c r="E5597" s="3">
        <v>-1052.478</v>
      </c>
      <c r="F5597" s="4" t="str">
        <f>HYPERLINK("http://141.218.60.56/~jnz1568/getInfo.php?workbook=10_05.xlsx&amp;sheet=A0&amp;row=5597&amp;col=6&amp;number=175000000&amp;sourceID=14","175000000")</f>
        <v>175000000</v>
      </c>
      <c r="G5597" s="4" t="str">
        <f>HYPERLINK("http://141.218.60.56/~jnz1568/getInfo.php?workbook=10_05.xlsx&amp;sheet=A0&amp;row=5597&amp;col=7&amp;number=0&amp;sourceID=14","0")</f>
        <v>0</v>
      </c>
    </row>
    <row r="5598" spans="1:7">
      <c r="A5598" s="3">
        <v>10</v>
      </c>
      <c r="B5598" s="3">
        <v>5</v>
      </c>
      <c r="C5598" s="3">
        <v>169</v>
      </c>
      <c r="D5598" s="3">
        <v>164</v>
      </c>
      <c r="E5598" s="3">
        <v>-2820.005</v>
      </c>
      <c r="F5598" s="4" t="str">
        <f>HYPERLINK("http://141.218.60.56/~jnz1568/getInfo.php?workbook=10_05.xlsx&amp;sheet=A0&amp;row=5598&amp;col=6&amp;number=102000000&amp;sourceID=14","102000000")</f>
        <v>102000000</v>
      </c>
      <c r="G5598" s="4" t="str">
        <f>HYPERLINK("http://141.218.60.56/~jnz1568/getInfo.php?workbook=10_05.xlsx&amp;sheet=A0&amp;row=5598&amp;col=7&amp;number=0&amp;sourceID=14","0")</f>
        <v>0</v>
      </c>
    </row>
    <row r="5599" spans="1:7">
      <c r="A5599" s="3">
        <v>10</v>
      </c>
      <c r="B5599" s="3">
        <v>5</v>
      </c>
      <c r="C5599" s="3">
        <v>170</v>
      </c>
      <c r="D5599" s="3">
        <v>164</v>
      </c>
      <c r="E5599" s="3">
        <v>-2230.554</v>
      </c>
      <c r="F5599" s="4" t="str">
        <f>HYPERLINK("http://141.218.60.56/~jnz1568/getInfo.php?workbook=10_05.xlsx&amp;sheet=A0&amp;row=5599&amp;col=6&amp;number=22300000&amp;sourceID=14","22300000")</f>
        <v>22300000</v>
      </c>
      <c r="G5599" s="4" t="str">
        <f>HYPERLINK("http://141.218.60.56/~jnz1568/getInfo.php?workbook=10_05.xlsx&amp;sheet=A0&amp;row=5599&amp;col=7&amp;number=0&amp;sourceID=14","0")</f>
        <v>0</v>
      </c>
    </row>
    <row r="5600" spans="1:7">
      <c r="A5600" s="3">
        <v>10</v>
      </c>
      <c r="B5600" s="3">
        <v>5</v>
      </c>
      <c r="C5600" s="3">
        <v>171</v>
      </c>
      <c r="D5600" s="3">
        <v>164</v>
      </c>
      <c r="E5600" s="3">
        <v>-2225.837</v>
      </c>
      <c r="F5600" s="4" t="str">
        <f>HYPERLINK("http://141.218.60.56/~jnz1568/getInfo.php?workbook=10_05.xlsx&amp;sheet=A0&amp;row=5600&amp;col=6&amp;number=6090000&amp;sourceID=14","6090000")</f>
        <v>6090000</v>
      </c>
      <c r="G5600" s="4" t="str">
        <f>HYPERLINK("http://141.218.60.56/~jnz1568/getInfo.php?workbook=10_05.xlsx&amp;sheet=A0&amp;row=5600&amp;col=7&amp;number=0&amp;sourceID=14","0")</f>
        <v>0</v>
      </c>
    </row>
    <row r="5601" spans="1:7">
      <c r="A5601" s="3">
        <v>10</v>
      </c>
      <c r="B5601" s="3">
        <v>5</v>
      </c>
      <c r="C5601" s="3">
        <v>172</v>
      </c>
      <c r="D5601" s="3">
        <v>164</v>
      </c>
      <c r="E5601" s="3">
        <v>-2133.246</v>
      </c>
      <c r="F5601" s="4" t="str">
        <f>HYPERLINK("http://141.218.60.56/~jnz1568/getInfo.php?workbook=10_05.xlsx&amp;sheet=A0&amp;row=5601&amp;col=6&amp;number=9260000&amp;sourceID=14","9260000")</f>
        <v>9260000</v>
      </c>
      <c r="G5601" s="4" t="str">
        <f>HYPERLINK("http://141.218.60.56/~jnz1568/getInfo.php?workbook=10_05.xlsx&amp;sheet=A0&amp;row=5601&amp;col=7&amp;number=0&amp;sourceID=14","0")</f>
        <v>0</v>
      </c>
    </row>
    <row r="5602" spans="1:7">
      <c r="A5602" s="3">
        <v>10</v>
      </c>
      <c r="B5602" s="3">
        <v>5</v>
      </c>
      <c r="C5602" s="3">
        <v>174</v>
      </c>
      <c r="D5602" s="3">
        <v>164</v>
      </c>
      <c r="E5602" s="3">
        <v>-2040.404</v>
      </c>
      <c r="F5602" s="4" t="str">
        <f>HYPERLINK("http://141.218.60.56/~jnz1568/getInfo.php?workbook=10_05.xlsx&amp;sheet=A0&amp;row=5602&amp;col=6&amp;number=6200000&amp;sourceID=14","6200000")</f>
        <v>6200000</v>
      </c>
      <c r="G5602" s="4" t="str">
        <f>HYPERLINK("http://141.218.60.56/~jnz1568/getInfo.php?workbook=10_05.xlsx&amp;sheet=A0&amp;row=5602&amp;col=7&amp;number=0&amp;sourceID=14","0")</f>
        <v>0</v>
      </c>
    </row>
    <row r="5603" spans="1:7">
      <c r="A5603" s="3">
        <v>10</v>
      </c>
      <c r="B5603" s="3">
        <v>5</v>
      </c>
      <c r="C5603" s="3">
        <v>168</v>
      </c>
      <c r="D5603" s="3">
        <v>165</v>
      </c>
      <c r="E5603" s="3">
        <v>-2834.794</v>
      </c>
      <c r="F5603" s="4" t="str">
        <f>HYPERLINK("http://141.218.60.56/~jnz1568/getInfo.php?workbook=10_05.xlsx&amp;sheet=A0&amp;row=5603&amp;col=6&amp;number=122000000&amp;sourceID=14","122000000")</f>
        <v>122000000</v>
      </c>
      <c r="G5603" s="4" t="str">
        <f>HYPERLINK("http://141.218.60.56/~jnz1568/getInfo.php?workbook=10_05.xlsx&amp;sheet=A0&amp;row=5603&amp;col=7&amp;number=0&amp;sourceID=14","0")</f>
        <v>0</v>
      </c>
    </row>
    <row r="5604" spans="1:7">
      <c r="A5604" s="3">
        <v>10</v>
      </c>
      <c r="B5604" s="3">
        <v>5</v>
      </c>
      <c r="C5604" s="3">
        <v>169</v>
      </c>
      <c r="D5604" s="3">
        <v>165</v>
      </c>
      <c r="E5604" s="3">
        <v>-2830.942</v>
      </c>
      <c r="F5604" s="4" t="str">
        <f>HYPERLINK("http://141.218.60.56/~jnz1568/getInfo.php?workbook=10_05.xlsx&amp;sheet=A0&amp;row=5604&amp;col=6&amp;number=20400000&amp;sourceID=14","20400000")</f>
        <v>20400000</v>
      </c>
      <c r="G5604" s="4" t="str">
        <f>HYPERLINK("http://141.218.60.56/~jnz1568/getInfo.php?workbook=10_05.xlsx&amp;sheet=A0&amp;row=5604&amp;col=7&amp;number=0&amp;sourceID=14","0")</f>
        <v>0</v>
      </c>
    </row>
    <row r="5605" spans="1:7">
      <c r="A5605" s="3">
        <v>10</v>
      </c>
      <c r="B5605" s="3">
        <v>5</v>
      </c>
      <c r="C5605" s="3">
        <v>170</v>
      </c>
      <c r="D5605" s="3">
        <v>165</v>
      </c>
      <c r="E5605" s="3">
        <v>-2237.391</v>
      </c>
      <c r="F5605" s="4" t="str">
        <f>HYPERLINK("http://141.218.60.56/~jnz1568/getInfo.php?workbook=10_05.xlsx&amp;sheet=A0&amp;row=5605&amp;col=6&amp;number=11400000&amp;sourceID=14","11400000")</f>
        <v>11400000</v>
      </c>
      <c r="G5605" s="4" t="str">
        <f>HYPERLINK("http://141.218.60.56/~jnz1568/getInfo.php?workbook=10_05.xlsx&amp;sheet=A0&amp;row=5605&amp;col=7&amp;number=0&amp;sourceID=14","0")</f>
        <v>0</v>
      </c>
    </row>
    <row r="5606" spans="1:7">
      <c r="A5606" s="3">
        <v>10</v>
      </c>
      <c r="B5606" s="3">
        <v>5</v>
      </c>
      <c r="C5606" s="3">
        <v>171</v>
      </c>
      <c r="D5606" s="3">
        <v>165</v>
      </c>
      <c r="E5606" s="3">
        <v>-2232.645</v>
      </c>
      <c r="F5606" s="4" t="str">
        <f>HYPERLINK("http://141.218.60.56/~jnz1568/getInfo.php?workbook=10_05.xlsx&amp;sheet=A0&amp;row=5606&amp;col=6&amp;number=28000000&amp;sourceID=14","28000000")</f>
        <v>28000000</v>
      </c>
      <c r="G5606" s="4" t="str">
        <f>HYPERLINK("http://141.218.60.56/~jnz1568/getInfo.php?workbook=10_05.xlsx&amp;sheet=A0&amp;row=5606&amp;col=7&amp;number=0&amp;sourceID=14","0")</f>
        <v>0</v>
      </c>
    </row>
    <row r="5607" spans="1:7">
      <c r="A5607" s="3">
        <v>10</v>
      </c>
      <c r="B5607" s="3">
        <v>5</v>
      </c>
      <c r="C5607" s="3">
        <v>172</v>
      </c>
      <c r="D5607" s="3">
        <v>165</v>
      </c>
      <c r="E5607" s="3">
        <v>-2139.499</v>
      </c>
      <c r="F5607" s="4" t="str">
        <f>HYPERLINK("http://141.218.60.56/~jnz1568/getInfo.php?workbook=10_05.xlsx&amp;sheet=A0&amp;row=5607&amp;col=6&amp;number=2150000&amp;sourceID=14","2150000")</f>
        <v>2150000</v>
      </c>
      <c r="G5607" s="4" t="str">
        <f>HYPERLINK("http://141.218.60.56/~jnz1568/getInfo.php?workbook=10_05.xlsx&amp;sheet=A0&amp;row=5607&amp;col=7&amp;number=0&amp;sourceID=14","0")</f>
        <v>0</v>
      </c>
    </row>
    <row r="5608" spans="1:7">
      <c r="A5608" s="3">
        <v>10</v>
      </c>
      <c r="B5608" s="3">
        <v>5</v>
      </c>
      <c r="C5608" s="3">
        <v>173</v>
      </c>
      <c r="D5608" s="3">
        <v>165</v>
      </c>
      <c r="E5608" s="3">
        <v>-2138.447</v>
      </c>
      <c r="F5608" s="4" t="str">
        <f>HYPERLINK("http://141.218.60.56/~jnz1568/getInfo.php?workbook=10_05.xlsx&amp;sheet=A0&amp;row=5608&amp;col=6&amp;number=10500000&amp;sourceID=14","10500000")</f>
        <v>10500000</v>
      </c>
      <c r="G5608" s="4" t="str">
        <f>HYPERLINK("http://141.218.60.56/~jnz1568/getInfo.php?workbook=10_05.xlsx&amp;sheet=A0&amp;row=5608&amp;col=7&amp;number=0&amp;sourceID=14","0")</f>
        <v>0</v>
      </c>
    </row>
    <row r="5609" spans="1:7">
      <c r="A5609" s="3">
        <v>10</v>
      </c>
      <c r="B5609" s="3">
        <v>5</v>
      </c>
      <c r="C5609" s="3">
        <v>174</v>
      </c>
      <c r="D5609" s="3">
        <v>165</v>
      </c>
      <c r="E5609" s="3">
        <v>-2046.123</v>
      </c>
      <c r="F5609" s="4" t="str">
        <f>HYPERLINK("http://141.218.60.56/~jnz1568/getInfo.php?workbook=10_05.xlsx&amp;sheet=A0&amp;row=5609&amp;col=6&amp;number=11400000&amp;sourceID=14","11400000")</f>
        <v>11400000</v>
      </c>
      <c r="G5609" s="4" t="str">
        <f>HYPERLINK("http://141.218.60.56/~jnz1568/getInfo.php?workbook=10_05.xlsx&amp;sheet=A0&amp;row=5609&amp;col=7&amp;number=0&amp;sourceID=14","0")</f>
        <v>0</v>
      </c>
    </row>
    <row r="5610" spans="1:7">
      <c r="A5610" s="3">
        <v>10</v>
      </c>
      <c r="B5610" s="3">
        <v>5</v>
      </c>
      <c r="C5610" s="3">
        <v>169</v>
      </c>
      <c r="D5610" s="3">
        <v>166</v>
      </c>
      <c r="E5610" s="3">
        <v>-12130.056</v>
      </c>
      <c r="F5610" s="4" t="str">
        <f>HYPERLINK("http://141.218.60.56/~jnz1568/getInfo.php?workbook=10_05.xlsx&amp;sheet=A0&amp;row=5610&amp;col=6&amp;number=652000&amp;sourceID=14","652000")</f>
        <v>652000</v>
      </c>
      <c r="G5610" s="4" t="str">
        <f>HYPERLINK("http://141.218.60.56/~jnz1568/getInfo.php?workbook=10_05.xlsx&amp;sheet=A0&amp;row=5610&amp;col=7&amp;number=0&amp;sourceID=14","0")</f>
        <v>0</v>
      </c>
    </row>
    <row r="5611" spans="1:7">
      <c r="A5611" s="3">
        <v>10</v>
      </c>
      <c r="B5611" s="3">
        <v>5</v>
      </c>
      <c r="C5611" s="3">
        <v>170</v>
      </c>
      <c r="D5611" s="3">
        <v>166</v>
      </c>
      <c r="E5611" s="3">
        <v>-5676.99</v>
      </c>
      <c r="F5611" s="4" t="str">
        <f>HYPERLINK("http://141.218.60.56/~jnz1568/getInfo.php?workbook=10_05.xlsx&amp;sheet=A0&amp;row=5611&amp;col=6&amp;number=27500000&amp;sourceID=14","27500000")</f>
        <v>27500000</v>
      </c>
      <c r="G5611" s="4" t="str">
        <f>HYPERLINK("http://141.218.60.56/~jnz1568/getInfo.php?workbook=10_05.xlsx&amp;sheet=A0&amp;row=5611&amp;col=7&amp;number=0&amp;sourceID=14","0")</f>
        <v>0</v>
      </c>
    </row>
    <row r="5612" spans="1:7">
      <c r="A5612" s="3">
        <v>10</v>
      </c>
      <c r="B5612" s="3">
        <v>5</v>
      </c>
      <c r="C5612" s="3">
        <v>171</v>
      </c>
      <c r="D5612" s="3">
        <v>166</v>
      </c>
      <c r="E5612" s="3">
        <v>-5646.538</v>
      </c>
      <c r="F5612" s="4" t="str">
        <f>HYPERLINK("http://141.218.60.56/~jnz1568/getInfo.php?workbook=10_05.xlsx&amp;sheet=A0&amp;row=5612&amp;col=6&amp;number=6650000&amp;sourceID=14","6650000")</f>
        <v>6650000</v>
      </c>
      <c r="G5612" s="4" t="str">
        <f>HYPERLINK("http://141.218.60.56/~jnz1568/getInfo.php?workbook=10_05.xlsx&amp;sheet=A0&amp;row=5612&amp;col=7&amp;number=0&amp;sourceID=14","0")</f>
        <v>0</v>
      </c>
    </row>
    <row r="5613" spans="1:7">
      <c r="A5613" s="3">
        <v>10</v>
      </c>
      <c r="B5613" s="3">
        <v>5</v>
      </c>
      <c r="C5613" s="3">
        <v>172</v>
      </c>
      <c r="D5613" s="3">
        <v>166</v>
      </c>
      <c r="E5613" s="3">
        <v>-5086.479</v>
      </c>
      <c r="F5613" s="4" t="str">
        <f>HYPERLINK("http://141.218.60.56/~jnz1568/getInfo.php?workbook=10_05.xlsx&amp;sheet=A0&amp;row=5613&amp;col=6&amp;number=36400000&amp;sourceID=14","36400000")</f>
        <v>36400000</v>
      </c>
      <c r="G5613" s="4" t="str">
        <f>HYPERLINK("http://141.218.60.56/~jnz1568/getInfo.php?workbook=10_05.xlsx&amp;sheet=A0&amp;row=5613&amp;col=7&amp;number=0&amp;sourceID=14","0")</f>
        <v>0</v>
      </c>
    </row>
    <row r="5614" spans="1:7">
      <c r="A5614" s="3">
        <v>10</v>
      </c>
      <c r="B5614" s="3">
        <v>5</v>
      </c>
      <c r="C5614" s="3">
        <v>174</v>
      </c>
      <c r="D5614" s="3">
        <v>166</v>
      </c>
      <c r="E5614" s="3">
        <v>-4588.638</v>
      </c>
      <c r="F5614" s="4" t="str">
        <f>HYPERLINK("http://141.218.60.56/~jnz1568/getInfo.php?workbook=10_05.xlsx&amp;sheet=A0&amp;row=5614&amp;col=6&amp;number=22000000&amp;sourceID=14","22000000")</f>
        <v>22000000</v>
      </c>
      <c r="G5614" s="4" t="str">
        <f>HYPERLINK("http://141.218.60.56/~jnz1568/getInfo.php?workbook=10_05.xlsx&amp;sheet=A0&amp;row=5614&amp;col=7&amp;number=0&amp;sourceID=14","0")</f>
        <v>0</v>
      </c>
    </row>
    <row r="5615" spans="1:7">
      <c r="A5615" s="3">
        <v>10</v>
      </c>
      <c r="B5615" s="3">
        <v>5</v>
      </c>
      <c r="C5615" s="3">
        <v>168</v>
      </c>
      <c r="D5615" s="3">
        <v>167</v>
      </c>
      <c r="E5615" s="3">
        <v>-12263.942</v>
      </c>
      <c r="F5615" s="4" t="str">
        <f>HYPERLINK("http://141.218.60.56/~jnz1568/getInfo.php?workbook=10_05.xlsx&amp;sheet=A0&amp;row=5615&amp;col=6&amp;number=739000&amp;sourceID=14","739000")</f>
        <v>739000</v>
      </c>
      <c r="G5615" s="4" t="str">
        <f>HYPERLINK("http://141.218.60.56/~jnz1568/getInfo.php?workbook=10_05.xlsx&amp;sheet=A0&amp;row=5615&amp;col=7&amp;number=0&amp;sourceID=14","0")</f>
        <v>0</v>
      </c>
    </row>
    <row r="5616" spans="1:7">
      <c r="A5616" s="3">
        <v>10</v>
      </c>
      <c r="B5616" s="3">
        <v>5</v>
      </c>
      <c r="C5616" s="3">
        <v>169</v>
      </c>
      <c r="D5616" s="3">
        <v>167</v>
      </c>
      <c r="E5616" s="3">
        <v>-12192.171</v>
      </c>
      <c r="F5616" s="4" t="str">
        <f>HYPERLINK("http://141.218.60.56/~jnz1568/getInfo.php?workbook=10_05.xlsx&amp;sheet=A0&amp;row=5616&amp;col=6&amp;number=132000&amp;sourceID=14","132000")</f>
        <v>132000</v>
      </c>
      <c r="G5616" s="4" t="str">
        <f>HYPERLINK("http://141.218.60.56/~jnz1568/getInfo.php?workbook=10_05.xlsx&amp;sheet=A0&amp;row=5616&amp;col=7&amp;number=0&amp;sourceID=14","0")</f>
        <v>0</v>
      </c>
    </row>
    <row r="5617" spans="1:7">
      <c r="A5617" s="3">
        <v>10</v>
      </c>
      <c r="B5617" s="3">
        <v>5</v>
      </c>
      <c r="C5617" s="3">
        <v>170</v>
      </c>
      <c r="D5617" s="3">
        <v>167</v>
      </c>
      <c r="E5617" s="3">
        <v>-5690.558</v>
      </c>
      <c r="F5617" s="4" t="str">
        <f>HYPERLINK("http://141.218.60.56/~jnz1568/getInfo.php?workbook=10_05.xlsx&amp;sheet=A0&amp;row=5617&amp;col=6&amp;number=14400000&amp;sourceID=14","14400000")</f>
        <v>14400000</v>
      </c>
      <c r="G5617" s="4" t="str">
        <f>HYPERLINK("http://141.218.60.56/~jnz1568/getInfo.php?workbook=10_05.xlsx&amp;sheet=A0&amp;row=5617&amp;col=7&amp;number=0&amp;sourceID=14","0")</f>
        <v>0</v>
      </c>
    </row>
    <row r="5618" spans="1:7">
      <c r="A5618" s="3">
        <v>10</v>
      </c>
      <c r="B5618" s="3">
        <v>5</v>
      </c>
      <c r="C5618" s="3">
        <v>171</v>
      </c>
      <c r="D5618" s="3">
        <v>167</v>
      </c>
      <c r="E5618" s="3">
        <v>-5659.961</v>
      </c>
      <c r="F5618" s="4" t="str">
        <f>HYPERLINK("http://141.218.60.56/~jnz1568/getInfo.php?workbook=10_05.xlsx&amp;sheet=A0&amp;row=5618&amp;col=6&amp;number=35800000&amp;sourceID=14","35800000")</f>
        <v>35800000</v>
      </c>
      <c r="G5618" s="4" t="str">
        <f>HYPERLINK("http://141.218.60.56/~jnz1568/getInfo.php?workbook=10_05.xlsx&amp;sheet=A0&amp;row=5618&amp;col=7&amp;number=0&amp;sourceID=14","0")</f>
        <v>0</v>
      </c>
    </row>
    <row r="5619" spans="1:7">
      <c r="A5619" s="3">
        <v>10</v>
      </c>
      <c r="B5619" s="3">
        <v>5</v>
      </c>
      <c r="C5619" s="3">
        <v>172</v>
      </c>
      <c r="D5619" s="3">
        <v>167</v>
      </c>
      <c r="E5619" s="3">
        <v>-5097.369</v>
      </c>
      <c r="F5619" s="4" t="str">
        <f>HYPERLINK("http://141.218.60.56/~jnz1568/getInfo.php?workbook=10_05.xlsx&amp;sheet=A0&amp;row=5619&amp;col=6&amp;number=6440000&amp;sourceID=14","6440000")</f>
        <v>6440000</v>
      </c>
      <c r="G5619" s="4" t="str">
        <f>HYPERLINK("http://141.218.60.56/~jnz1568/getInfo.php?workbook=10_05.xlsx&amp;sheet=A0&amp;row=5619&amp;col=7&amp;number=0&amp;sourceID=14","0")</f>
        <v>0</v>
      </c>
    </row>
    <row r="5620" spans="1:7">
      <c r="A5620" s="3">
        <v>10</v>
      </c>
      <c r="B5620" s="3">
        <v>5</v>
      </c>
      <c r="C5620" s="3">
        <v>173</v>
      </c>
      <c r="D5620" s="3">
        <v>167</v>
      </c>
      <c r="E5620" s="3">
        <v>-5091.4</v>
      </c>
      <c r="F5620" s="4" t="str">
        <f>HYPERLINK("http://141.218.60.56/~jnz1568/getInfo.php?workbook=10_05.xlsx&amp;sheet=A0&amp;row=5620&amp;col=6&amp;number=43000000&amp;sourceID=14","43000000")</f>
        <v>43000000</v>
      </c>
      <c r="G5620" s="4" t="str">
        <f>HYPERLINK("http://141.218.60.56/~jnz1568/getInfo.php?workbook=10_05.xlsx&amp;sheet=A0&amp;row=5620&amp;col=7&amp;number=0&amp;sourceID=14","0")</f>
        <v>0</v>
      </c>
    </row>
    <row r="5621" spans="1:7">
      <c r="A5621" s="3">
        <v>10</v>
      </c>
      <c r="B5621" s="3">
        <v>5</v>
      </c>
      <c r="C5621" s="3">
        <v>174</v>
      </c>
      <c r="D5621" s="3">
        <v>167</v>
      </c>
      <c r="E5621" s="3">
        <v>-4597.498</v>
      </c>
      <c r="F5621" s="4" t="str">
        <f>HYPERLINK("http://141.218.60.56/~jnz1568/getInfo.php?workbook=10_05.xlsx&amp;sheet=A0&amp;row=5621&amp;col=6&amp;number=40800000&amp;sourceID=14","40800000")</f>
        <v>40800000</v>
      </c>
      <c r="G5621" s="4" t="str">
        <f>HYPERLINK("http://141.218.60.56/~jnz1568/getInfo.php?workbook=10_05.xlsx&amp;sheet=A0&amp;row=5621&amp;col=7&amp;number=0&amp;sourceID=14","0")</f>
        <v>0</v>
      </c>
    </row>
    <row r="5622" spans="1:7">
      <c r="A5622" s="3">
        <v>10</v>
      </c>
      <c r="B5622" s="3">
        <v>5</v>
      </c>
      <c r="C5622" s="3">
        <v>175</v>
      </c>
      <c r="D5622" s="3">
        <v>168</v>
      </c>
      <c r="E5622" s="3">
        <v>-4287.989</v>
      </c>
      <c r="F5622" s="4" t="str">
        <f>HYPERLINK("http://141.218.60.56/~jnz1568/getInfo.php?workbook=10_05.xlsx&amp;sheet=A0&amp;row=5622&amp;col=6&amp;number=36200000&amp;sourceID=14","36200000")</f>
        <v>36200000</v>
      </c>
      <c r="G5622" s="4" t="str">
        <f>HYPERLINK("http://141.218.60.56/~jnz1568/getInfo.php?workbook=10_05.xlsx&amp;sheet=A0&amp;row=5622&amp;col=7&amp;number=0&amp;sourceID=14","0")</f>
        <v>0</v>
      </c>
    </row>
    <row r="5623" spans="1:7">
      <c r="A5623" s="3">
        <v>10</v>
      </c>
      <c r="B5623" s="3">
        <v>5</v>
      </c>
      <c r="C5623" s="3">
        <v>176</v>
      </c>
      <c r="D5623" s="3">
        <v>168</v>
      </c>
      <c r="E5623" s="3">
        <v>-4287.805</v>
      </c>
      <c r="F5623" s="4" t="str">
        <f>HYPERLINK("http://141.218.60.56/~jnz1568/getInfo.php?workbook=10_05.xlsx&amp;sheet=A0&amp;row=5623&amp;col=6&amp;number=2470000&amp;sourceID=14","2470000")</f>
        <v>2470000</v>
      </c>
      <c r="G5623" s="4" t="str">
        <f>HYPERLINK("http://141.218.60.56/~jnz1568/getInfo.php?workbook=10_05.xlsx&amp;sheet=A0&amp;row=5623&amp;col=7&amp;number=0&amp;sourceID=14","0")</f>
        <v>0</v>
      </c>
    </row>
    <row r="5624" spans="1:7">
      <c r="A5624" s="3">
        <v>10</v>
      </c>
      <c r="B5624" s="3">
        <v>5</v>
      </c>
      <c r="C5624" s="3">
        <v>177</v>
      </c>
      <c r="D5624" s="3">
        <v>168</v>
      </c>
      <c r="E5624" s="3">
        <v>-4130.02</v>
      </c>
      <c r="F5624" s="4" t="str">
        <f>HYPERLINK("http://141.218.60.56/~jnz1568/getInfo.php?workbook=10_05.xlsx&amp;sheet=A0&amp;row=5624&amp;col=6&amp;number=1040000&amp;sourceID=14","1040000")</f>
        <v>1040000</v>
      </c>
      <c r="G5624" s="4" t="str">
        <f>HYPERLINK("http://141.218.60.56/~jnz1568/getInfo.php?workbook=10_05.xlsx&amp;sheet=A0&amp;row=5624&amp;col=7&amp;number=0&amp;sourceID=14","0")</f>
        <v>0</v>
      </c>
    </row>
    <row r="5625" spans="1:7">
      <c r="A5625" s="3">
        <v>10</v>
      </c>
      <c r="B5625" s="3">
        <v>5</v>
      </c>
      <c r="C5625" s="3">
        <v>178</v>
      </c>
      <c r="D5625" s="3">
        <v>168</v>
      </c>
      <c r="E5625" s="3">
        <v>-4122.529</v>
      </c>
      <c r="F5625" s="4" t="str">
        <f>HYPERLINK("http://141.218.60.56/~jnz1568/getInfo.php?workbook=10_05.xlsx&amp;sheet=A0&amp;row=5625&amp;col=6&amp;number=9690000&amp;sourceID=14","9690000")</f>
        <v>9690000</v>
      </c>
      <c r="G5625" s="4" t="str">
        <f>HYPERLINK("http://141.218.60.56/~jnz1568/getInfo.php?workbook=10_05.xlsx&amp;sheet=A0&amp;row=5625&amp;col=7&amp;number=0&amp;sourceID=14","0")</f>
        <v>0</v>
      </c>
    </row>
    <row r="5626" spans="1:7">
      <c r="A5626" s="3">
        <v>10</v>
      </c>
      <c r="B5626" s="3">
        <v>5</v>
      </c>
      <c r="C5626" s="3">
        <v>180</v>
      </c>
      <c r="D5626" s="3">
        <v>168</v>
      </c>
      <c r="E5626" s="3">
        <v>-3527.966</v>
      </c>
      <c r="F5626" s="4" t="str">
        <f>HYPERLINK("http://141.218.60.56/~jnz1568/getInfo.php?workbook=10_05.xlsx&amp;sheet=A0&amp;row=5626&amp;col=6&amp;number=1490000&amp;sourceID=14","1490000")</f>
        <v>1490000</v>
      </c>
      <c r="G5626" s="4" t="str">
        <f>HYPERLINK("http://141.218.60.56/~jnz1568/getInfo.php?workbook=10_05.xlsx&amp;sheet=A0&amp;row=5626&amp;col=7&amp;number=0&amp;sourceID=14","0")</f>
        <v>0</v>
      </c>
    </row>
    <row r="5627" spans="1:7">
      <c r="A5627" s="3">
        <v>10</v>
      </c>
      <c r="B5627" s="3">
        <v>5</v>
      </c>
      <c r="C5627" s="3">
        <v>176</v>
      </c>
      <c r="D5627" s="3">
        <v>169</v>
      </c>
      <c r="E5627" s="3">
        <v>-4296.648</v>
      </c>
      <c r="F5627" s="4" t="str">
        <f>HYPERLINK("http://141.218.60.56/~jnz1568/getInfo.php?workbook=10_05.xlsx&amp;sheet=A0&amp;row=5627&amp;col=6&amp;number=34100000&amp;sourceID=14","34100000")</f>
        <v>34100000</v>
      </c>
      <c r="G5627" s="4" t="str">
        <f>HYPERLINK("http://141.218.60.56/~jnz1568/getInfo.php?workbook=10_05.xlsx&amp;sheet=A0&amp;row=5627&amp;col=7&amp;number=0&amp;sourceID=14","0")</f>
        <v>0</v>
      </c>
    </row>
    <row r="5628" spans="1:7">
      <c r="A5628" s="3">
        <v>10</v>
      </c>
      <c r="B5628" s="3">
        <v>5</v>
      </c>
      <c r="C5628" s="3">
        <v>177</v>
      </c>
      <c r="D5628" s="3">
        <v>169</v>
      </c>
      <c r="E5628" s="3">
        <v>-4138.224</v>
      </c>
      <c r="F5628" s="4" t="str">
        <f>HYPERLINK("http://141.218.60.56/~jnz1568/getInfo.php?workbook=10_05.xlsx&amp;sheet=A0&amp;row=5628&amp;col=6&amp;number=9510000&amp;sourceID=14","9510000")</f>
        <v>9510000</v>
      </c>
      <c r="G5628" s="4" t="str">
        <f>HYPERLINK("http://141.218.60.56/~jnz1568/getInfo.php?workbook=10_05.xlsx&amp;sheet=A0&amp;row=5628&amp;col=7&amp;number=0&amp;sourceID=14","0")</f>
        <v>0</v>
      </c>
    </row>
    <row r="5629" spans="1:7">
      <c r="A5629" s="3">
        <v>10</v>
      </c>
      <c r="B5629" s="3">
        <v>5</v>
      </c>
      <c r="C5629" s="3">
        <v>178</v>
      </c>
      <c r="D5629" s="3">
        <v>169</v>
      </c>
      <c r="E5629" s="3">
        <v>-4130.703</v>
      </c>
      <c r="F5629" s="4" t="str">
        <f>HYPERLINK("http://141.218.60.56/~jnz1568/getInfo.php?workbook=10_05.xlsx&amp;sheet=A0&amp;row=5629&amp;col=6&amp;number=725000&amp;sourceID=14","725000")</f>
        <v>725000</v>
      </c>
      <c r="G5629" s="4" t="str">
        <f>HYPERLINK("http://141.218.60.56/~jnz1568/getInfo.php?workbook=10_05.xlsx&amp;sheet=A0&amp;row=5629&amp;col=7&amp;number=0&amp;sourceID=14","0")</f>
        <v>0</v>
      </c>
    </row>
    <row r="5630" spans="1:7">
      <c r="A5630" s="3">
        <v>10</v>
      </c>
      <c r="B5630" s="3">
        <v>5</v>
      </c>
      <c r="C5630" s="3">
        <v>179</v>
      </c>
      <c r="D5630" s="3">
        <v>169</v>
      </c>
      <c r="E5630" s="3">
        <v>-3538.577</v>
      </c>
      <c r="F5630" s="4" t="str">
        <f>HYPERLINK("http://141.218.60.56/~jnz1568/getInfo.php?workbook=10_05.xlsx&amp;sheet=A0&amp;row=5630&amp;col=6&amp;number=1710000&amp;sourceID=14","1710000")</f>
        <v>1710000</v>
      </c>
      <c r="G5630" s="4" t="str">
        <f>HYPERLINK("http://141.218.60.56/~jnz1568/getInfo.php?workbook=10_05.xlsx&amp;sheet=A0&amp;row=5630&amp;col=7&amp;number=0&amp;sourceID=14","0")</f>
        <v>0</v>
      </c>
    </row>
    <row r="5631" spans="1:7">
      <c r="A5631" s="3">
        <v>10</v>
      </c>
      <c r="B5631" s="3">
        <v>5</v>
      </c>
      <c r="C5631" s="3">
        <v>180</v>
      </c>
      <c r="D5631" s="3">
        <v>169</v>
      </c>
      <c r="E5631" s="3">
        <v>-3533.95</v>
      </c>
      <c r="F5631" s="4" t="str">
        <f>HYPERLINK("http://141.218.60.56/~jnz1568/getInfo.php?workbook=10_05.xlsx&amp;sheet=A0&amp;row=5631&amp;col=6&amp;number=150000&amp;sourceID=14","150000")</f>
        <v>150000</v>
      </c>
      <c r="G5631" s="4" t="str">
        <f>HYPERLINK("http://141.218.60.56/~jnz1568/getInfo.php?workbook=10_05.xlsx&amp;sheet=A0&amp;row=5631&amp;col=7&amp;number=0&amp;sourceID=14","0")</f>
        <v>0</v>
      </c>
    </row>
    <row r="5632" spans="1:7">
      <c r="A5632" s="3">
        <v>10</v>
      </c>
      <c r="B5632" s="3">
        <v>5</v>
      </c>
      <c r="C5632" s="3">
        <v>177</v>
      </c>
      <c r="D5632" s="3">
        <v>170</v>
      </c>
      <c r="E5632" s="3">
        <v>-6759.51</v>
      </c>
      <c r="F5632" s="4" t="str">
        <f>HYPERLINK("http://141.218.60.56/~jnz1568/getInfo.php?workbook=10_05.xlsx&amp;sheet=A0&amp;row=5632&amp;col=6&amp;number=17400000&amp;sourceID=14","17400000")</f>
        <v>17400000</v>
      </c>
      <c r="G5632" s="4" t="str">
        <f>HYPERLINK("http://141.218.60.56/~jnz1568/getInfo.php?workbook=10_05.xlsx&amp;sheet=A0&amp;row=5632&amp;col=7&amp;number=0&amp;sourceID=14","0")</f>
        <v>0</v>
      </c>
    </row>
    <row r="5633" spans="1:7">
      <c r="A5633" s="3">
        <v>10</v>
      </c>
      <c r="B5633" s="3">
        <v>5</v>
      </c>
      <c r="C5633" s="3">
        <v>179</v>
      </c>
      <c r="D5633" s="3">
        <v>170</v>
      </c>
      <c r="E5633" s="3">
        <v>-5294.096</v>
      </c>
      <c r="F5633" s="4" t="str">
        <f>HYPERLINK("http://141.218.60.56/~jnz1568/getInfo.php?workbook=10_05.xlsx&amp;sheet=A0&amp;row=5633&amp;col=6&amp;number=14500000&amp;sourceID=14","14500000")</f>
        <v>14500000</v>
      </c>
      <c r="G5633" s="4" t="str">
        <f>HYPERLINK("http://141.218.60.56/~jnz1568/getInfo.php?workbook=10_05.xlsx&amp;sheet=A0&amp;row=5633&amp;col=7&amp;number=0&amp;sourceID=14","0")</f>
        <v>0</v>
      </c>
    </row>
    <row r="5634" spans="1:7">
      <c r="A5634" s="3">
        <v>10</v>
      </c>
      <c r="B5634" s="3">
        <v>5</v>
      </c>
      <c r="C5634" s="3">
        <v>180</v>
      </c>
      <c r="D5634" s="3">
        <v>170</v>
      </c>
      <c r="E5634" s="3">
        <v>-5283.746</v>
      </c>
      <c r="F5634" s="4" t="str">
        <f>HYPERLINK("http://141.218.60.56/~jnz1568/getInfo.php?workbook=10_05.xlsx&amp;sheet=A0&amp;row=5634&amp;col=6&amp;number=3170000&amp;sourceID=14","3170000")</f>
        <v>3170000</v>
      </c>
      <c r="G5634" s="4" t="str">
        <f>HYPERLINK("http://141.218.60.56/~jnz1568/getInfo.php?workbook=10_05.xlsx&amp;sheet=A0&amp;row=5634&amp;col=7&amp;number=0&amp;sourceID=14","0")</f>
        <v>0</v>
      </c>
    </row>
    <row r="5635" spans="1:7">
      <c r="A5635" s="3">
        <v>10</v>
      </c>
      <c r="B5635" s="3">
        <v>5</v>
      </c>
      <c r="C5635" s="3">
        <v>176</v>
      </c>
      <c r="D5635" s="3">
        <v>171</v>
      </c>
      <c r="E5635" s="3">
        <v>-7242.192</v>
      </c>
      <c r="F5635" s="4" t="str">
        <f>HYPERLINK("http://141.218.60.56/~jnz1568/getInfo.php?workbook=10_05.xlsx&amp;sheet=A0&amp;row=5635&amp;col=6&amp;number=7380&amp;sourceID=14","7380")</f>
        <v>7380</v>
      </c>
      <c r="G5635" s="4" t="str">
        <f>HYPERLINK("http://141.218.60.56/~jnz1568/getInfo.php?workbook=10_05.xlsx&amp;sheet=A0&amp;row=5635&amp;col=7&amp;number=0&amp;sourceID=14","0")</f>
        <v>0</v>
      </c>
    </row>
    <row r="5636" spans="1:7">
      <c r="A5636" s="3">
        <v>10</v>
      </c>
      <c r="B5636" s="3">
        <v>5</v>
      </c>
      <c r="C5636" s="3">
        <v>177</v>
      </c>
      <c r="D5636" s="3">
        <v>171</v>
      </c>
      <c r="E5636" s="3">
        <v>-6803.196</v>
      </c>
      <c r="F5636" s="4" t="str">
        <f>HYPERLINK("http://141.218.60.56/~jnz1568/getInfo.php?workbook=10_05.xlsx&amp;sheet=A0&amp;row=5636&amp;col=6&amp;number=3530000&amp;sourceID=14","3530000")</f>
        <v>3530000</v>
      </c>
      <c r="G5636" s="4" t="str">
        <f>HYPERLINK("http://141.218.60.56/~jnz1568/getInfo.php?workbook=10_05.xlsx&amp;sheet=A0&amp;row=5636&amp;col=7&amp;number=0&amp;sourceID=14","0")</f>
        <v>0</v>
      </c>
    </row>
    <row r="5637" spans="1:7">
      <c r="A5637" s="3">
        <v>10</v>
      </c>
      <c r="B5637" s="3">
        <v>5</v>
      </c>
      <c r="C5637" s="3">
        <v>178</v>
      </c>
      <c r="D5637" s="3">
        <v>171</v>
      </c>
      <c r="E5637" s="3">
        <v>-6782.892</v>
      </c>
      <c r="F5637" s="4" t="str">
        <f>HYPERLINK("http://141.218.60.56/~jnz1568/getInfo.php?workbook=10_05.xlsx&amp;sheet=A0&amp;row=5637&amp;col=6&amp;number=20600000&amp;sourceID=14","20600000")</f>
        <v>20600000</v>
      </c>
      <c r="G5637" s="4" t="str">
        <f>HYPERLINK("http://141.218.60.56/~jnz1568/getInfo.php?workbook=10_05.xlsx&amp;sheet=A0&amp;row=5637&amp;col=7&amp;number=0&amp;sourceID=14","0")</f>
        <v>0</v>
      </c>
    </row>
    <row r="5638" spans="1:7">
      <c r="A5638" s="3">
        <v>10</v>
      </c>
      <c r="B5638" s="3">
        <v>5</v>
      </c>
      <c r="C5638" s="3">
        <v>179</v>
      </c>
      <c r="D5638" s="3">
        <v>171</v>
      </c>
      <c r="E5638" s="3">
        <v>-5320.857</v>
      </c>
      <c r="F5638" s="4" t="str">
        <f>HYPERLINK("http://141.218.60.56/~jnz1568/getInfo.php?workbook=10_05.xlsx&amp;sheet=A0&amp;row=5638&amp;col=6&amp;number=6950000&amp;sourceID=14","6950000")</f>
        <v>6950000</v>
      </c>
      <c r="G5638" s="4" t="str">
        <f>HYPERLINK("http://141.218.60.56/~jnz1568/getInfo.php?workbook=10_05.xlsx&amp;sheet=A0&amp;row=5638&amp;col=7&amp;number=0&amp;sourceID=14","0")</f>
        <v>0</v>
      </c>
    </row>
    <row r="5639" spans="1:7">
      <c r="A5639" s="3">
        <v>10</v>
      </c>
      <c r="B5639" s="3">
        <v>5</v>
      </c>
      <c r="C5639" s="3">
        <v>180</v>
      </c>
      <c r="D5639" s="3">
        <v>171</v>
      </c>
      <c r="E5639" s="3">
        <v>-5310.402</v>
      </c>
      <c r="F5639" s="4" t="str">
        <f>HYPERLINK("http://141.218.60.56/~jnz1568/getInfo.php?workbook=10_05.xlsx&amp;sheet=A0&amp;row=5639&amp;col=6&amp;number=17100000&amp;sourceID=14","17100000")</f>
        <v>17100000</v>
      </c>
      <c r="G5639" s="4" t="str">
        <f>HYPERLINK("http://141.218.60.56/~jnz1568/getInfo.php?workbook=10_05.xlsx&amp;sheet=A0&amp;row=5639&amp;col=7&amp;number=0&amp;sourceID=14","0")</f>
        <v>0</v>
      </c>
    </row>
    <row r="5640" spans="1:7">
      <c r="A5640" s="3">
        <v>10</v>
      </c>
      <c r="B5640" s="3">
        <v>5</v>
      </c>
      <c r="C5640" s="3">
        <v>176</v>
      </c>
      <c r="D5640" s="3">
        <v>172</v>
      </c>
      <c r="E5640" s="3">
        <v>-8433.141</v>
      </c>
      <c r="F5640" s="4" t="str">
        <f>HYPERLINK("http://141.218.60.56/~jnz1568/getInfo.php?workbook=10_05.xlsx&amp;sheet=A0&amp;row=5640&amp;col=6&amp;number=8990000&amp;sourceID=14","8990000")</f>
        <v>8990000</v>
      </c>
      <c r="G5640" s="4" t="str">
        <f>HYPERLINK("http://141.218.60.56/~jnz1568/getInfo.php?workbook=10_05.xlsx&amp;sheet=A0&amp;row=5640&amp;col=7&amp;number=0&amp;sourceID=14","0")</f>
        <v>0</v>
      </c>
    </row>
    <row r="5641" spans="1:7">
      <c r="A5641" s="3">
        <v>10</v>
      </c>
      <c r="B5641" s="3">
        <v>5</v>
      </c>
      <c r="C5641" s="3">
        <v>177</v>
      </c>
      <c r="D5641" s="3">
        <v>172</v>
      </c>
      <c r="E5641" s="3">
        <v>-7843.767</v>
      </c>
      <c r="F5641" s="4" t="str">
        <f>HYPERLINK("http://141.218.60.56/~jnz1568/getInfo.php?workbook=10_05.xlsx&amp;sheet=A0&amp;row=5641&amp;col=6&amp;number=2670000&amp;sourceID=14","2670000")</f>
        <v>2670000</v>
      </c>
      <c r="G5641" s="4" t="str">
        <f>HYPERLINK("http://141.218.60.56/~jnz1568/getInfo.php?workbook=10_05.xlsx&amp;sheet=A0&amp;row=5641&amp;col=7&amp;number=0&amp;sourceID=14","0")</f>
        <v>0</v>
      </c>
    </row>
    <row r="5642" spans="1:7">
      <c r="A5642" s="3">
        <v>10</v>
      </c>
      <c r="B5642" s="3">
        <v>5</v>
      </c>
      <c r="C5642" s="3">
        <v>178</v>
      </c>
      <c r="D5642" s="3">
        <v>172</v>
      </c>
      <c r="E5642" s="3">
        <v>-7816.789</v>
      </c>
      <c r="F5642" s="4" t="str">
        <f>HYPERLINK("http://141.218.60.56/~jnz1568/getInfo.php?workbook=10_05.xlsx&amp;sheet=A0&amp;row=5642&amp;col=6&amp;number=293000&amp;sourceID=14","293000")</f>
        <v>293000</v>
      </c>
      <c r="G5642" s="4" t="str">
        <f>HYPERLINK("http://141.218.60.56/~jnz1568/getInfo.php?workbook=10_05.xlsx&amp;sheet=A0&amp;row=5642&amp;col=7&amp;number=0&amp;sourceID=14","0")</f>
        <v>0</v>
      </c>
    </row>
    <row r="5643" spans="1:7">
      <c r="A5643" s="3">
        <v>10</v>
      </c>
      <c r="B5643" s="3">
        <v>5</v>
      </c>
      <c r="C5643" s="3">
        <v>179</v>
      </c>
      <c r="D5643" s="3">
        <v>172</v>
      </c>
      <c r="E5643" s="3">
        <v>-5936.843</v>
      </c>
      <c r="F5643" s="4" t="str">
        <f>HYPERLINK("http://141.218.60.56/~jnz1568/getInfo.php?workbook=10_05.xlsx&amp;sheet=A0&amp;row=5643&amp;col=6&amp;number=1300000&amp;sourceID=14","1300000")</f>
        <v>1300000</v>
      </c>
      <c r="G5643" s="4" t="str">
        <f>HYPERLINK("http://141.218.60.56/~jnz1568/getInfo.php?workbook=10_05.xlsx&amp;sheet=A0&amp;row=5643&amp;col=7&amp;number=0&amp;sourceID=14","0")</f>
        <v>0</v>
      </c>
    </row>
    <row r="5644" spans="1:7">
      <c r="A5644" s="3">
        <v>10</v>
      </c>
      <c r="B5644" s="3">
        <v>5</v>
      </c>
      <c r="C5644" s="3">
        <v>180</v>
      </c>
      <c r="D5644" s="3">
        <v>172</v>
      </c>
      <c r="E5644" s="3">
        <v>-5923.831</v>
      </c>
      <c r="F5644" s="4" t="str">
        <f>HYPERLINK("http://141.218.60.56/~jnz1568/getInfo.php?workbook=10_05.xlsx&amp;sheet=A0&amp;row=5644&amp;col=6&amp;number=191000&amp;sourceID=14","191000")</f>
        <v>191000</v>
      </c>
      <c r="G5644" s="4" t="str">
        <f>HYPERLINK("http://141.218.60.56/~jnz1568/getInfo.php?workbook=10_05.xlsx&amp;sheet=A0&amp;row=5644&amp;col=7&amp;number=0&amp;sourceID=14","0")</f>
        <v>0</v>
      </c>
    </row>
    <row r="5645" spans="1:7">
      <c r="A5645" s="3">
        <v>10</v>
      </c>
      <c r="B5645" s="3">
        <v>5</v>
      </c>
      <c r="C5645" s="3">
        <v>175</v>
      </c>
      <c r="D5645" s="3">
        <v>173</v>
      </c>
      <c r="E5645" s="3">
        <v>-8450.244</v>
      </c>
      <c r="F5645" s="4" t="str">
        <f>HYPERLINK("http://141.218.60.56/~jnz1568/getInfo.php?workbook=10_05.xlsx&amp;sheet=A0&amp;row=5645&amp;col=6&amp;number=9670000&amp;sourceID=14","9670000")</f>
        <v>9670000</v>
      </c>
      <c r="G5645" s="4" t="str">
        <f>HYPERLINK("http://141.218.60.56/~jnz1568/getInfo.php?workbook=10_05.xlsx&amp;sheet=A0&amp;row=5645&amp;col=7&amp;number=0&amp;sourceID=14","0")</f>
        <v>0</v>
      </c>
    </row>
    <row r="5646" spans="1:7">
      <c r="A5646" s="3">
        <v>10</v>
      </c>
      <c r="B5646" s="3">
        <v>5</v>
      </c>
      <c r="C5646" s="3">
        <v>176</v>
      </c>
      <c r="D5646" s="3">
        <v>173</v>
      </c>
      <c r="E5646" s="3">
        <v>-8449.53</v>
      </c>
      <c r="F5646" s="4" t="str">
        <f>HYPERLINK("http://141.218.60.56/~jnz1568/getInfo.php?workbook=10_05.xlsx&amp;sheet=A0&amp;row=5646&amp;col=6&amp;number=659000&amp;sourceID=14","659000")</f>
        <v>659000</v>
      </c>
      <c r="G5646" s="4" t="str">
        <f>HYPERLINK("http://141.218.60.56/~jnz1568/getInfo.php?workbook=10_05.xlsx&amp;sheet=A0&amp;row=5646&amp;col=7&amp;number=0&amp;sourceID=14","0")</f>
        <v>0</v>
      </c>
    </row>
    <row r="5647" spans="1:7">
      <c r="A5647" s="3">
        <v>10</v>
      </c>
      <c r="B5647" s="3">
        <v>5</v>
      </c>
      <c r="C5647" s="3">
        <v>177</v>
      </c>
      <c r="D5647" s="3">
        <v>173</v>
      </c>
      <c r="E5647" s="3">
        <v>-7857.943</v>
      </c>
      <c r="F5647" s="4" t="str">
        <f>HYPERLINK("http://141.218.60.56/~jnz1568/getInfo.php?workbook=10_05.xlsx&amp;sheet=A0&amp;row=5647&amp;col=6&amp;number=307000&amp;sourceID=14","307000")</f>
        <v>307000</v>
      </c>
      <c r="G5647" s="4" t="str">
        <f>HYPERLINK("http://141.218.60.56/~jnz1568/getInfo.php?workbook=10_05.xlsx&amp;sheet=A0&amp;row=5647&amp;col=7&amp;number=0&amp;sourceID=14","0")</f>
        <v>0</v>
      </c>
    </row>
    <row r="5648" spans="1:7">
      <c r="A5648" s="3">
        <v>10</v>
      </c>
      <c r="B5648" s="3">
        <v>5</v>
      </c>
      <c r="C5648" s="3">
        <v>178</v>
      </c>
      <c r="D5648" s="3">
        <v>173</v>
      </c>
      <c r="E5648" s="3">
        <v>-7830.868</v>
      </c>
      <c r="F5648" s="4" t="str">
        <f>HYPERLINK("http://141.218.60.56/~jnz1568/getInfo.php?workbook=10_05.xlsx&amp;sheet=A0&amp;row=5648&amp;col=6&amp;number=2890000&amp;sourceID=14","2890000")</f>
        <v>2890000</v>
      </c>
      <c r="G5648" s="4" t="str">
        <f>HYPERLINK("http://141.218.60.56/~jnz1568/getInfo.php?workbook=10_05.xlsx&amp;sheet=A0&amp;row=5648&amp;col=7&amp;number=0&amp;sourceID=14","0")</f>
        <v>0</v>
      </c>
    </row>
    <row r="5649" spans="1:7">
      <c r="A5649" s="3">
        <v>10</v>
      </c>
      <c r="B5649" s="3">
        <v>5</v>
      </c>
      <c r="C5649" s="3">
        <v>180</v>
      </c>
      <c r="D5649" s="3">
        <v>173</v>
      </c>
      <c r="E5649" s="3">
        <v>-5931.913</v>
      </c>
      <c r="F5649" s="4" t="str">
        <f>HYPERLINK("http://141.218.60.56/~jnz1568/getInfo.php?workbook=10_05.xlsx&amp;sheet=A0&amp;row=5649&amp;col=6&amp;number=1270000&amp;sourceID=14","1270000")</f>
        <v>1270000</v>
      </c>
      <c r="G5649" s="4" t="str">
        <f>HYPERLINK("http://141.218.60.56/~jnz1568/getInfo.php?workbook=10_05.xlsx&amp;sheet=A0&amp;row=5649&amp;col=7&amp;number=0&amp;sourceID=14","0")</f>
        <v>0</v>
      </c>
    </row>
    <row r="5650" spans="1:7">
      <c r="A5650" s="3">
        <v>10</v>
      </c>
      <c r="B5650" s="3">
        <v>5</v>
      </c>
      <c r="C5650" s="3">
        <v>177</v>
      </c>
      <c r="D5650" s="3">
        <v>174</v>
      </c>
      <c r="E5650" s="3">
        <v>-9419.761</v>
      </c>
      <c r="F5650" s="4" t="str">
        <f>HYPERLINK("http://141.218.60.56/~jnz1568/getInfo.php?workbook=10_05.xlsx&amp;sheet=A0&amp;row=5650&amp;col=6&amp;number=1440&amp;sourceID=14","1440")</f>
        <v>1440</v>
      </c>
      <c r="G5650" s="4" t="str">
        <f>HYPERLINK("http://141.218.60.56/~jnz1568/getInfo.php?workbook=10_05.xlsx&amp;sheet=A0&amp;row=5650&amp;col=7&amp;number=0&amp;sourceID=14","0")</f>
        <v>0</v>
      </c>
    </row>
    <row r="5651" spans="1:7">
      <c r="A5651" s="3">
        <v>10</v>
      </c>
      <c r="B5651" s="3">
        <v>5</v>
      </c>
      <c r="C5651" s="3">
        <v>179</v>
      </c>
      <c r="D5651" s="3">
        <v>174</v>
      </c>
      <c r="E5651" s="3">
        <v>-6797.647</v>
      </c>
      <c r="F5651" s="4" t="str">
        <f>HYPERLINK("http://141.218.60.56/~jnz1568/getInfo.php?workbook=10_05.xlsx&amp;sheet=A0&amp;row=5651&amp;col=6&amp;number=15200000&amp;sourceID=14","15200000")</f>
        <v>15200000</v>
      </c>
      <c r="G5651" s="4" t="str">
        <f>HYPERLINK("http://141.218.60.56/~jnz1568/getInfo.php?workbook=10_05.xlsx&amp;sheet=A0&amp;row=5651&amp;col=7&amp;number=0&amp;sourceID=14","0")</f>
        <v>0</v>
      </c>
    </row>
    <row r="5652" spans="1:7">
      <c r="A5652" s="3">
        <v>10</v>
      </c>
      <c r="B5652" s="3">
        <v>5</v>
      </c>
      <c r="C5652" s="3">
        <v>180</v>
      </c>
      <c r="D5652" s="3">
        <v>174</v>
      </c>
      <c r="E5652" s="3">
        <v>-6780.593</v>
      </c>
      <c r="F5652" s="4" t="str">
        <f>HYPERLINK("http://141.218.60.56/~jnz1568/getInfo.php?workbook=10_05.xlsx&amp;sheet=A0&amp;row=5652&amp;col=6&amp;number=15700000&amp;sourceID=14","15700000")</f>
        <v>15700000</v>
      </c>
      <c r="G5652" s="4" t="str">
        <f>HYPERLINK("http://141.218.60.56/~jnz1568/getInfo.php?workbook=10_05.xlsx&amp;sheet=A0&amp;row=5652&amp;col=7&amp;number=0&amp;sourceID=14","0")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7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58</v>
      </c>
      <c r="F3" s="2" t="s">
        <v>59</v>
      </c>
      <c r="G3" s="2" t="s">
        <v>60</v>
      </c>
    </row>
    <row r="4" spans="1:7">
      <c r="A4" s="3">
        <v>10</v>
      </c>
      <c r="B4" s="3">
        <v>5</v>
      </c>
      <c r="C4" s="3">
        <v>1</v>
      </c>
      <c r="D4" s="3">
        <v>2</v>
      </c>
      <c r="E4" s="3">
        <v>1</v>
      </c>
      <c r="F4" s="4" t="str">
        <f>HYPERLINK("http://141.218.60.56/~jnz1568/getInfo.php?workbook=10_05.xlsx&amp;sheet=U0&amp;row=4&amp;col=6&amp;number=3&amp;sourceID=14","3")</f>
        <v>3</v>
      </c>
      <c r="G4" s="4" t="str">
        <f>HYPERLINK("http://141.218.60.56/~jnz1568/getInfo.php?workbook=10_05.xlsx&amp;sheet=U0&amp;row=4&amp;col=7&amp;number=3.84&amp;sourceID=14","3.84")</f>
        <v>3.84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HYPERLINK("http://141.218.60.56/~jnz1568/getInfo.php?workbook=10_05.xlsx&amp;sheet=U0&amp;row=5&amp;col=6&amp;number=3.1&amp;sourceID=14","3.1")</f>
        <v>3.1</v>
      </c>
      <c r="G5" s="4" t="str">
        <f>HYPERLINK("http://141.218.60.56/~jnz1568/getInfo.php?workbook=10_05.xlsx&amp;sheet=U0&amp;row=5&amp;col=7&amp;number=3.79&amp;sourceID=14","3.79")</f>
        <v>3.79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HYPERLINK("http://141.218.60.56/~jnz1568/getInfo.php?workbook=10_05.xlsx&amp;sheet=U0&amp;row=6&amp;col=6&amp;number=3.2&amp;sourceID=14","3.2")</f>
        <v>3.2</v>
      </c>
      <c r="G6" s="4" t="str">
        <f>HYPERLINK("http://141.218.60.56/~jnz1568/getInfo.php?workbook=10_05.xlsx&amp;sheet=U0&amp;row=6&amp;col=7&amp;number=3.74&amp;sourceID=14","3.74")</f>
        <v>3.74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HYPERLINK("http://141.218.60.56/~jnz1568/getInfo.php?workbook=10_05.xlsx&amp;sheet=U0&amp;row=7&amp;col=6&amp;number=3.3&amp;sourceID=14","3.3")</f>
        <v>3.3</v>
      </c>
      <c r="G7" s="4" t="str">
        <f>HYPERLINK("http://141.218.60.56/~jnz1568/getInfo.php?workbook=10_05.xlsx&amp;sheet=U0&amp;row=7&amp;col=7&amp;number=3.67&amp;sourceID=14","3.67")</f>
        <v>3.67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HYPERLINK("http://141.218.60.56/~jnz1568/getInfo.php?workbook=10_05.xlsx&amp;sheet=U0&amp;row=8&amp;col=6&amp;number=3.4&amp;sourceID=14","3.4")</f>
        <v>3.4</v>
      </c>
      <c r="G8" s="4" t="str">
        <f>HYPERLINK("http://141.218.60.56/~jnz1568/getInfo.php?workbook=10_05.xlsx&amp;sheet=U0&amp;row=8&amp;col=7&amp;number=3.58&amp;sourceID=14","3.58")</f>
        <v>3.58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HYPERLINK("http://141.218.60.56/~jnz1568/getInfo.php?workbook=10_05.xlsx&amp;sheet=U0&amp;row=9&amp;col=6&amp;number=3.5&amp;sourceID=14","3.5")</f>
        <v>3.5</v>
      </c>
      <c r="G9" s="4" t="str">
        <f>HYPERLINK("http://141.218.60.56/~jnz1568/getInfo.php?workbook=10_05.xlsx&amp;sheet=U0&amp;row=9&amp;col=7&amp;number=3.48&amp;sourceID=14","3.48")</f>
        <v>3.48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HYPERLINK("http://141.218.60.56/~jnz1568/getInfo.php?workbook=10_05.xlsx&amp;sheet=U0&amp;row=10&amp;col=6&amp;number=3.6&amp;sourceID=14","3.6")</f>
        <v>3.6</v>
      </c>
      <c r="G10" s="4" t="str">
        <f>HYPERLINK("http://141.218.60.56/~jnz1568/getInfo.php?workbook=10_05.xlsx&amp;sheet=U0&amp;row=10&amp;col=7&amp;number=3.35&amp;sourceID=14","3.35")</f>
        <v>3.35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HYPERLINK("http://141.218.60.56/~jnz1568/getInfo.php?workbook=10_05.xlsx&amp;sheet=U0&amp;row=11&amp;col=6&amp;number=3.7&amp;sourceID=14","3.7")</f>
        <v>3.7</v>
      </c>
      <c r="G11" s="4" t="str">
        <f>HYPERLINK("http://141.218.60.56/~jnz1568/getInfo.php?workbook=10_05.xlsx&amp;sheet=U0&amp;row=11&amp;col=7&amp;number=3.2&amp;sourceID=14","3.2")</f>
        <v>3.2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HYPERLINK("http://141.218.60.56/~jnz1568/getInfo.php?workbook=10_05.xlsx&amp;sheet=U0&amp;row=12&amp;col=6&amp;number=3.8&amp;sourceID=14","3.8")</f>
        <v>3.8</v>
      </c>
      <c r="G12" s="4" t="str">
        <f>HYPERLINK("http://141.218.60.56/~jnz1568/getInfo.php?workbook=10_05.xlsx&amp;sheet=U0&amp;row=12&amp;col=7&amp;number=3.03&amp;sourceID=14","3.03")</f>
        <v>3.03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HYPERLINK("http://141.218.60.56/~jnz1568/getInfo.php?workbook=10_05.xlsx&amp;sheet=U0&amp;row=13&amp;col=6&amp;number=3.9&amp;sourceID=14","3.9")</f>
        <v>3.9</v>
      </c>
      <c r="G13" s="4" t="str">
        <f>HYPERLINK("http://141.218.60.56/~jnz1568/getInfo.php?workbook=10_05.xlsx&amp;sheet=U0&amp;row=13&amp;col=7&amp;number=2.83&amp;sourceID=14","2.83")</f>
        <v>2.83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HYPERLINK("http://141.218.60.56/~jnz1568/getInfo.php?workbook=10_05.xlsx&amp;sheet=U0&amp;row=14&amp;col=6&amp;number=4&amp;sourceID=14","4")</f>
        <v>4</v>
      </c>
      <c r="G14" s="4" t="str">
        <f>HYPERLINK("http://141.218.60.56/~jnz1568/getInfo.php?workbook=10_05.xlsx&amp;sheet=U0&amp;row=14&amp;col=7&amp;number=2.61&amp;sourceID=14","2.61")</f>
        <v>2.61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HYPERLINK("http://141.218.60.56/~jnz1568/getInfo.php?workbook=10_05.xlsx&amp;sheet=U0&amp;row=15&amp;col=6&amp;number=4.1&amp;sourceID=14","4.1")</f>
        <v>4.1</v>
      </c>
      <c r="G15" s="4" t="str">
        <f>HYPERLINK("http://141.218.60.56/~jnz1568/getInfo.php?workbook=10_05.xlsx&amp;sheet=U0&amp;row=15&amp;col=7&amp;number=2.4&amp;sourceID=14","2.4")</f>
        <v>2.4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HYPERLINK("http://141.218.60.56/~jnz1568/getInfo.php?workbook=10_05.xlsx&amp;sheet=U0&amp;row=16&amp;col=6&amp;number=4.2&amp;sourceID=14","4.2")</f>
        <v>4.2</v>
      </c>
      <c r="G16" s="4" t="str">
        <f>HYPERLINK("http://141.218.60.56/~jnz1568/getInfo.php?workbook=10_05.xlsx&amp;sheet=U0&amp;row=16&amp;col=7&amp;number=2.2&amp;sourceID=14","2.2")</f>
        <v>2.2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HYPERLINK("http://141.218.60.56/~jnz1568/getInfo.php?workbook=10_05.xlsx&amp;sheet=U0&amp;row=17&amp;col=6&amp;number=4.3&amp;sourceID=14","4.3")</f>
        <v>4.3</v>
      </c>
      <c r="G17" s="4" t="str">
        <f>HYPERLINK("http://141.218.60.56/~jnz1568/getInfo.php?workbook=10_05.xlsx&amp;sheet=U0&amp;row=17&amp;col=7&amp;number=2.04&amp;sourceID=14","2.04")</f>
        <v>2.04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HYPERLINK("http://141.218.60.56/~jnz1568/getInfo.php?workbook=10_05.xlsx&amp;sheet=U0&amp;row=18&amp;col=6&amp;number=4.4&amp;sourceID=14","4.4")</f>
        <v>4.4</v>
      </c>
      <c r="G18" s="4" t="str">
        <f>HYPERLINK("http://141.218.60.56/~jnz1568/getInfo.php?workbook=10_05.xlsx&amp;sheet=U0&amp;row=18&amp;col=7&amp;number=1.92&amp;sourceID=14","1.92")</f>
        <v>1.92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HYPERLINK("http://141.218.60.56/~jnz1568/getInfo.php?workbook=10_05.xlsx&amp;sheet=U0&amp;row=19&amp;col=6&amp;number=4.5&amp;sourceID=14","4.5")</f>
        <v>4.5</v>
      </c>
      <c r="G19" s="4" t="str">
        <f>HYPERLINK("http://141.218.60.56/~jnz1568/getInfo.php?workbook=10_05.xlsx&amp;sheet=U0&amp;row=19&amp;col=7&amp;number=1.83&amp;sourceID=14","1.83")</f>
        <v>1.83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HYPERLINK("http://141.218.60.56/~jnz1568/getInfo.php?workbook=10_05.xlsx&amp;sheet=U0&amp;row=20&amp;col=6&amp;number=4.6&amp;sourceID=14","4.6")</f>
        <v>4.6</v>
      </c>
      <c r="G20" s="4" t="str">
        <f>HYPERLINK("http://141.218.60.56/~jnz1568/getInfo.php?workbook=10_05.xlsx&amp;sheet=U0&amp;row=20&amp;col=7&amp;number=1.78&amp;sourceID=14","1.78")</f>
        <v>1.78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HYPERLINK("http://141.218.60.56/~jnz1568/getInfo.php?workbook=10_05.xlsx&amp;sheet=U0&amp;row=21&amp;col=6&amp;number=4.7&amp;sourceID=14","4.7")</f>
        <v>4.7</v>
      </c>
      <c r="G21" s="4" t="str">
        <f>HYPERLINK("http://141.218.60.56/~jnz1568/getInfo.php?workbook=10_05.xlsx&amp;sheet=U0&amp;row=21&amp;col=7&amp;number=1.75&amp;sourceID=14","1.75")</f>
        <v>1.75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HYPERLINK("http://141.218.60.56/~jnz1568/getInfo.php?workbook=10_05.xlsx&amp;sheet=U0&amp;row=22&amp;col=6&amp;number=4.8&amp;sourceID=14","4.8")</f>
        <v>4.8</v>
      </c>
      <c r="G22" s="4" t="str">
        <f>HYPERLINK("http://141.218.60.56/~jnz1568/getInfo.php?workbook=10_05.xlsx&amp;sheet=U0&amp;row=22&amp;col=7&amp;number=1.73&amp;sourceID=14","1.73")</f>
        <v>1.73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HYPERLINK("http://141.218.60.56/~jnz1568/getInfo.php?workbook=10_05.xlsx&amp;sheet=U0&amp;row=23&amp;col=6&amp;number=4.9&amp;sourceID=14","4.9")</f>
        <v>4.9</v>
      </c>
      <c r="G23" s="4" t="str">
        <f>HYPERLINK("http://141.218.60.56/~jnz1568/getInfo.php?workbook=10_05.xlsx&amp;sheet=U0&amp;row=23&amp;col=7&amp;number=1.72&amp;sourceID=14","1.72")</f>
        <v>1.72</v>
      </c>
    </row>
    <row r="24" spans="1:7">
      <c r="A24" s="3">
        <v>10</v>
      </c>
      <c r="B24" s="3">
        <v>5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HYPERLINK("http://141.218.60.56/~jnz1568/getInfo.php?workbook=10_05.xlsx&amp;sheet=U0&amp;row=24&amp;col=6&amp;number=3&amp;sourceID=14","3")</f>
        <v>3</v>
      </c>
      <c r="G24" s="4" t="str">
        <f>HYPERLINK("http://141.218.60.56/~jnz1568/getInfo.php?workbook=10_05.xlsx&amp;sheet=U0&amp;row=24&amp;col=7&amp;number=0.253&amp;sourceID=14","0.253")</f>
        <v>0.253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HYPERLINK("http://141.218.60.56/~jnz1568/getInfo.php?workbook=10_05.xlsx&amp;sheet=U0&amp;row=25&amp;col=6&amp;number=3.1&amp;sourceID=14","3.1")</f>
        <v>3.1</v>
      </c>
      <c r="G25" s="4" t="str">
        <f>HYPERLINK("http://141.218.60.56/~jnz1568/getInfo.php?workbook=10_05.xlsx&amp;sheet=U0&amp;row=25&amp;col=7&amp;number=0.246&amp;sourceID=14","0.246")</f>
        <v>0.246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HYPERLINK("http://141.218.60.56/~jnz1568/getInfo.php?workbook=10_05.xlsx&amp;sheet=U0&amp;row=26&amp;col=6&amp;number=3.2&amp;sourceID=14","3.2")</f>
        <v>3.2</v>
      </c>
      <c r="G26" s="4" t="str">
        <f>HYPERLINK("http://141.218.60.56/~jnz1568/getInfo.php?workbook=10_05.xlsx&amp;sheet=U0&amp;row=26&amp;col=7&amp;number=0.238&amp;sourceID=14","0.238")</f>
        <v>0.238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HYPERLINK("http://141.218.60.56/~jnz1568/getInfo.php?workbook=10_05.xlsx&amp;sheet=U0&amp;row=27&amp;col=6&amp;number=3.3&amp;sourceID=14","3.3")</f>
        <v>3.3</v>
      </c>
      <c r="G27" s="4" t="str">
        <f>HYPERLINK("http://141.218.60.56/~jnz1568/getInfo.php?workbook=10_05.xlsx&amp;sheet=U0&amp;row=27&amp;col=7&amp;number=0.227&amp;sourceID=14","0.227")</f>
        <v>0.227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HYPERLINK("http://141.218.60.56/~jnz1568/getInfo.php?workbook=10_05.xlsx&amp;sheet=U0&amp;row=28&amp;col=6&amp;number=3.4&amp;sourceID=14","3.4")</f>
        <v>3.4</v>
      </c>
      <c r="G28" s="4" t="str">
        <f>HYPERLINK("http://141.218.60.56/~jnz1568/getInfo.php?workbook=10_05.xlsx&amp;sheet=U0&amp;row=28&amp;col=7&amp;number=0.215&amp;sourceID=14","0.215")</f>
        <v>0.215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HYPERLINK("http://141.218.60.56/~jnz1568/getInfo.php?workbook=10_05.xlsx&amp;sheet=U0&amp;row=29&amp;col=6&amp;number=3.5&amp;sourceID=14","3.5")</f>
        <v>3.5</v>
      </c>
      <c r="G29" s="4" t="str">
        <f>HYPERLINK("http://141.218.60.56/~jnz1568/getInfo.php?workbook=10_05.xlsx&amp;sheet=U0&amp;row=29&amp;col=7&amp;number=0.201&amp;sourceID=14","0.201")</f>
        <v>0.201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HYPERLINK("http://141.218.60.56/~jnz1568/getInfo.php?workbook=10_05.xlsx&amp;sheet=U0&amp;row=30&amp;col=6&amp;number=3.6&amp;sourceID=14","3.6")</f>
        <v>3.6</v>
      </c>
      <c r="G30" s="4" t="str">
        <f>HYPERLINK("http://141.218.60.56/~jnz1568/getInfo.php?workbook=10_05.xlsx&amp;sheet=U0&amp;row=30&amp;col=7&amp;number=0.184&amp;sourceID=14","0.184")</f>
        <v>0.184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HYPERLINK("http://141.218.60.56/~jnz1568/getInfo.php?workbook=10_05.xlsx&amp;sheet=U0&amp;row=31&amp;col=6&amp;number=3.7&amp;sourceID=14","3.7")</f>
        <v>3.7</v>
      </c>
      <c r="G31" s="4" t="str">
        <f>HYPERLINK("http://141.218.60.56/~jnz1568/getInfo.php?workbook=10_05.xlsx&amp;sheet=U0&amp;row=31&amp;col=7&amp;number=0.165&amp;sourceID=14","0.165")</f>
        <v>0.165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HYPERLINK("http://141.218.60.56/~jnz1568/getInfo.php?workbook=10_05.xlsx&amp;sheet=U0&amp;row=32&amp;col=6&amp;number=3.8&amp;sourceID=14","3.8")</f>
        <v>3.8</v>
      </c>
      <c r="G32" s="4" t="str">
        <f>HYPERLINK("http://141.218.60.56/~jnz1568/getInfo.php?workbook=10_05.xlsx&amp;sheet=U0&amp;row=32&amp;col=7&amp;number=0.146&amp;sourceID=14","0.146")</f>
        <v>0.146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HYPERLINK("http://141.218.60.56/~jnz1568/getInfo.php?workbook=10_05.xlsx&amp;sheet=U0&amp;row=33&amp;col=6&amp;number=3.9&amp;sourceID=14","3.9")</f>
        <v>3.9</v>
      </c>
      <c r="G33" s="4" t="str">
        <f>HYPERLINK("http://141.218.60.56/~jnz1568/getInfo.php?workbook=10_05.xlsx&amp;sheet=U0&amp;row=33&amp;col=7&amp;number=0.129&amp;sourceID=14","0.129")</f>
        <v>0.129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HYPERLINK("http://141.218.60.56/~jnz1568/getInfo.php?workbook=10_05.xlsx&amp;sheet=U0&amp;row=34&amp;col=6&amp;number=4&amp;sourceID=14","4")</f>
        <v>4</v>
      </c>
      <c r="G34" s="4" t="str">
        <f>HYPERLINK("http://141.218.60.56/~jnz1568/getInfo.php?workbook=10_05.xlsx&amp;sheet=U0&amp;row=34&amp;col=7&amp;number=0.117&amp;sourceID=14","0.117")</f>
        <v>0.117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HYPERLINK("http://141.218.60.56/~jnz1568/getInfo.php?workbook=10_05.xlsx&amp;sheet=U0&amp;row=35&amp;col=6&amp;number=4.1&amp;sourceID=14","4.1")</f>
        <v>4.1</v>
      </c>
      <c r="G35" s="4" t="str">
        <f>HYPERLINK("http://141.218.60.56/~jnz1568/getInfo.php?workbook=10_05.xlsx&amp;sheet=U0&amp;row=35&amp;col=7&amp;number=0.11&amp;sourceID=14","0.11")</f>
        <v>0.11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HYPERLINK("http://141.218.60.56/~jnz1568/getInfo.php?workbook=10_05.xlsx&amp;sheet=U0&amp;row=36&amp;col=6&amp;number=4.2&amp;sourceID=14","4.2")</f>
        <v>4.2</v>
      </c>
      <c r="G36" s="4" t="str">
        <f>HYPERLINK("http://141.218.60.56/~jnz1568/getInfo.php?workbook=10_05.xlsx&amp;sheet=U0&amp;row=36&amp;col=7&amp;number=0.109&amp;sourceID=14","0.109")</f>
        <v>0.109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HYPERLINK("http://141.218.60.56/~jnz1568/getInfo.php?workbook=10_05.xlsx&amp;sheet=U0&amp;row=37&amp;col=6&amp;number=4.3&amp;sourceID=14","4.3")</f>
        <v>4.3</v>
      </c>
      <c r="G37" s="4" t="str">
        <f>HYPERLINK("http://141.218.60.56/~jnz1568/getInfo.php?workbook=10_05.xlsx&amp;sheet=U0&amp;row=37&amp;col=7&amp;number=0.107&amp;sourceID=14","0.107")</f>
        <v>0.107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HYPERLINK("http://141.218.60.56/~jnz1568/getInfo.php?workbook=10_05.xlsx&amp;sheet=U0&amp;row=38&amp;col=6&amp;number=4.4&amp;sourceID=14","4.4")</f>
        <v>4.4</v>
      </c>
      <c r="G38" s="4" t="str">
        <f>HYPERLINK("http://141.218.60.56/~jnz1568/getInfo.php?workbook=10_05.xlsx&amp;sheet=U0&amp;row=38&amp;col=7&amp;number=0.103&amp;sourceID=14","0.103")</f>
        <v>0.103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HYPERLINK("http://141.218.60.56/~jnz1568/getInfo.php?workbook=10_05.xlsx&amp;sheet=U0&amp;row=39&amp;col=6&amp;number=4.5&amp;sourceID=14","4.5")</f>
        <v>4.5</v>
      </c>
      <c r="G39" s="4" t="str">
        <f>HYPERLINK("http://141.218.60.56/~jnz1568/getInfo.php?workbook=10_05.xlsx&amp;sheet=U0&amp;row=39&amp;col=7&amp;number=0.0988&amp;sourceID=14","0.0988")</f>
        <v>0.0988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HYPERLINK("http://141.218.60.56/~jnz1568/getInfo.php?workbook=10_05.xlsx&amp;sheet=U0&amp;row=40&amp;col=6&amp;number=4.6&amp;sourceID=14","4.6")</f>
        <v>4.6</v>
      </c>
      <c r="G40" s="4" t="str">
        <f>HYPERLINK("http://141.218.60.56/~jnz1568/getInfo.php?workbook=10_05.xlsx&amp;sheet=U0&amp;row=40&amp;col=7&amp;number=0.0962&amp;sourceID=14","0.0962")</f>
        <v>0.0962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HYPERLINK("http://141.218.60.56/~jnz1568/getInfo.php?workbook=10_05.xlsx&amp;sheet=U0&amp;row=41&amp;col=6&amp;number=4.7&amp;sourceID=14","4.7")</f>
        <v>4.7</v>
      </c>
      <c r="G41" s="4" t="str">
        <f>HYPERLINK("http://141.218.60.56/~jnz1568/getInfo.php?workbook=10_05.xlsx&amp;sheet=U0&amp;row=41&amp;col=7&amp;number=0.0944&amp;sourceID=14","0.0944")</f>
        <v>0.0944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HYPERLINK("http://141.218.60.56/~jnz1568/getInfo.php?workbook=10_05.xlsx&amp;sheet=U0&amp;row=42&amp;col=6&amp;number=4.8&amp;sourceID=14","4.8")</f>
        <v>4.8</v>
      </c>
      <c r="G42" s="4" t="str">
        <f>HYPERLINK("http://141.218.60.56/~jnz1568/getInfo.php?workbook=10_05.xlsx&amp;sheet=U0&amp;row=42&amp;col=7&amp;number=0.0926&amp;sourceID=14","0.0926")</f>
        <v>0.0926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HYPERLINK("http://141.218.60.56/~jnz1568/getInfo.php?workbook=10_05.xlsx&amp;sheet=U0&amp;row=43&amp;col=6&amp;number=4.9&amp;sourceID=14","4.9")</f>
        <v>4.9</v>
      </c>
      <c r="G43" s="4" t="str">
        <f>HYPERLINK("http://141.218.60.56/~jnz1568/getInfo.php?workbook=10_05.xlsx&amp;sheet=U0&amp;row=43&amp;col=7&amp;number=0.0893&amp;sourceID=14","0.0893")</f>
        <v>0.0893</v>
      </c>
    </row>
    <row r="44" spans="1:7">
      <c r="A44" s="3">
        <v>10</v>
      </c>
      <c r="B44" s="3">
        <v>5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HYPERLINK("http://141.218.60.56/~jnz1568/getInfo.php?workbook=10_05.xlsx&amp;sheet=U0&amp;row=44&amp;col=6&amp;number=3&amp;sourceID=14","3")</f>
        <v>3</v>
      </c>
      <c r="G44" s="4" t="str">
        <f>HYPERLINK("http://141.218.60.56/~jnz1568/getInfo.php?workbook=10_05.xlsx&amp;sheet=U0&amp;row=44&amp;col=7&amp;number=0.16&amp;sourceID=14","0.16")</f>
        <v>0.16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HYPERLINK("http://141.218.60.56/~jnz1568/getInfo.php?workbook=10_05.xlsx&amp;sheet=U0&amp;row=45&amp;col=6&amp;number=3.1&amp;sourceID=14","3.1")</f>
        <v>3.1</v>
      </c>
      <c r="G45" s="4" t="str">
        <f>HYPERLINK("http://141.218.60.56/~jnz1568/getInfo.php?workbook=10_05.xlsx&amp;sheet=U0&amp;row=45&amp;col=7&amp;number=0.159&amp;sourceID=14","0.159")</f>
        <v>0.159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HYPERLINK("http://141.218.60.56/~jnz1568/getInfo.php?workbook=10_05.xlsx&amp;sheet=U0&amp;row=46&amp;col=6&amp;number=3.2&amp;sourceID=14","3.2")</f>
        <v>3.2</v>
      </c>
      <c r="G46" s="4" t="str">
        <f>HYPERLINK("http://141.218.60.56/~jnz1568/getInfo.php?workbook=10_05.xlsx&amp;sheet=U0&amp;row=46&amp;col=7&amp;number=0.159&amp;sourceID=14","0.159")</f>
        <v>0.159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HYPERLINK("http://141.218.60.56/~jnz1568/getInfo.php?workbook=10_05.xlsx&amp;sheet=U0&amp;row=47&amp;col=6&amp;number=3.3&amp;sourceID=14","3.3")</f>
        <v>3.3</v>
      </c>
      <c r="G47" s="4" t="str">
        <f>HYPERLINK("http://141.218.60.56/~jnz1568/getInfo.php?workbook=10_05.xlsx&amp;sheet=U0&amp;row=47&amp;col=7&amp;number=0.158&amp;sourceID=14","0.158")</f>
        <v>0.158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HYPERLINK("http://141.218.60.56/~jnz1568/getInfo.php?workbook=10_05.xlsx&amp;sheet=U0&amp;row=48&amp;col=6&amp;number=3.4&amp;sourceID=14","3.4")</f>
        <v>3.4</v>
      </c>
      <c r="G48" s="4" t="str">
        <f>HYPERLINK("http://141.218.60.56/~jnz1568/getInfo.php?workbook=10_05.xlsx&amp;sheet=U0&amp;row=48&amp;col=7&amp;number=0.157&amp;sourceID=14","0.157")</f>
        <v>0.157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HYPERLINK("http://141.218.60.56/~jnz1568/getInfo.php?workbook=10_05.xlsx&amp;sheet=U0&amp;row=49&amp;col=6&amp;number=3.5&amp;sourceID=14","3.5")</f>
        <v>3.5</v>
      </c>
      <c r="G49" s="4" t="str">
        <f>HYPERLINK("http://141.218.60.56/~jnz1568/getInfo.php?workbook=10_05.xlsx&amp;sheet=U0&amp;row=49&amp;col=7&amp;number=0.156&amp;sourceID=14","0.156")</f>
        <v>0.156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HYPERLINK("http://141.218.60.56/~jnz1568/getInfo.php?workbook=10_05.xlsx&amp;sheet=U0&amp;row=50&amp;col=6&amp;number=3.6&amp;sourceID=14","3.6")</f>
        <v>3.6</v>
      </c>
      <c r="G50" s="4" t="str">
        <f>HYPERLINK("http://141.218.60.56/~jnz1568/getInfo.php?workbook=10_05.xlsx&amp;sheet=U0&amp;row=50&amp;col=7&amp;number=0.155&amp;sourceID=14","0.155")</f>
        <v>0.155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HYPERLINK("http://141.218.60.56/~jnz1568/getInfo.php?workbook=10_05.xlsx&amp;sheet=U0&amp;row=51&amp;col=6&amp;number=3.7&amp;sourceID=14","3.7")</f>
        <v>3.7</v>
      </c>
      <c r="G51" s="4" t="str">
        <f>HYPERLINK("http://141.218.60.56/~jnz1568/getInfo.php?workbook=10_05.xlsx&amp;sheet=U0&amp;row=51&amp;col=7&amp;number=0.153&amp;sourceID=14","0.153")</f>
        <v>0.153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HYPERLINK("http://141.218.60.56/~jnz1568/getInfo.php?workbook=10_05.xlsx&amp;sheet=U0&amp;row=52&amp;col=6&amp;number=3.8&amp;sourceID=14","3.8")</f>
        <v>3.8</v>
      </c>
      <c r="G52" s="4" t="str">
        <f>HYPERLINK("http://141.218.60.56/~jnz1568/getInfo.php?workbook=10_05.xlsx&amp;sheet=U0&amp;row=52&amp;col=7&amp;number=0.152&amp;sourceID=14","0.152")</f>
        <v>0.152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HYPERLINK("http://141.218.60.56/~jnz1568/getInfo.php?workbook=10_05.xlsx&amp;sheet=U0&amp;row=53&amp;col=6&amp;number=3.9&amp;sourceID=14","3.9")</f>
        <v>3.9</v>
      </c>
      <c r="G53" s="4" t="str">
        <f>HYPERLINK("http://141.218.60.56/~jnz1568/getInfo.php?workbook=10_05.xlsx&amp;sheet=U0&amp;row=53&amp;col=7&amp;number=0.15&amp;sourceID=14","0.15")</f>
        <v>0.15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HYPERLINK("http://141.218.60.56/~jnz1568/getInfo.php?workbook=10_05.xlsx&amp;sheet=U0&amp;row=54&amp;col=6&amp;number=4&amp;sourceID=14","4")</f>
        <v>4</v>
      </c>
      <c r="G54" s="4" t="str">
        <f>HYPERLINK("http://141.218.60.56/~jnz1568/getInfo.php?workbook=10_05.xlsx&amp;sheet=U0&amp;row=54&amp;col=7&amp;number=0.148&amp;sourceID=14","0.148")</f>
        <v>0.148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HYPERLINK("http://141.218.60.56/~jnz1568/getInfo.php?workbook=10_05.xlsx&amp;sheet=U0&amp;row=55&amp;col=6&amp;number=4.1&amp;sourceID=14","4.1")</f>
        <v>4.1</v>
      </c>
      <c r="G55" s="4" t="str">
        <f>HYPERLINK("http://141.218.60.56/~jnz1568/getInfo.php?workbook=10_05.xlsx&amp;sheet=U0&amp;row=55&amp;col=7&amp;number=0.146&amp;sourceID=14","0.146")</f>
        <v>0.146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HYPERLINK("http://141.218.60.56/~jnz1568/getInfo.php?workbook=10_05.xlsx&amp;sheet=U0&amp;row=56&amp;col=6&amp;number=4.2&amp;sourceID=14","4.2")</f>
        <v>4.2</v>
      </c>
      <c r="G56" s="4" t="str">
        <f>HYPERLINK("http://141.218.60.56/~jnz1568/getInfo.php?workbook=10_05.xlsx&amp;sheet=U0&amp;row=56&amp;col=7&amp;number=0.145&amp;sourceID=14","0.145")</f>
        <v>0.145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HYPERLINK("http://141.218.60.56/~jnz1568/getInfo.php?workbook=10_05.xlsx&amp;sheet=U0&amp;row=57&amp;col=6&amp;number=4.3&amp;sourceID=14","4.3")</f>
        <v>4.3</v>
      </c>
      <c r="G57" s="4" t="str">
        <f>HYPERLINK("http://141.218.60.56/~jnz1568/getInfo.php?workbook=10_05.xlsx&amp;sheet=U0&amp;row=57&amp;col=7&amp;number=0.145&amp;sourceID=14","0.145")</f>
        <v>0.145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HYPERLINK("http://141.218.60.56/~jnz1568/getInfo.php?workbook=10_05.xlsx&amp;sheet=U0&amp;row=58&amp;col=6&amp;number=4.4&amp;sourceID=14","4.4")</f>
        <v>4.4</v>
      </c>
      <c r="G58" s="4" t="str">
        <f>HYPERLINK("http://141.218.60.56/~jnz1568/getInfo.php?workbook=10_05.xlsx&amp;sheet=U0&amp;row=58&amp;col=7&amp;number=0.146&amp;sourceID=14","0.146")</f>
        <v>0.146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HYPERLINK("http://141.218.60.56/~jnz1568/getInfo.php?workbook=10_05.xlsx&amp;sheet=U0&amp;row=59&amp;col=6&amp;number=4.5&amp;sourceID=14","4.5")</f>
        <v>4.5</v>
      </c>
      <c r="G59" s="4" t="str">
        <f>HYPERLINK("http://141.218.60.56/~jnz1568/getInfo.php?workbook=10_05.xlsx&amp;sheet=U0&amp;row=59&amp;col=7&amp;number=0.146&amp;sourceID=14","0.146")</f>
        <v>0.146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HYPERLINK("http://141.218.60.56/~jnz1568/getInfo.php?workbook=10_05.xlsx&amp;sheet=U0&amp;row=60&amp;col=6&amp;number=4.6&amp;sourceID=14","4.6")</f>
        <v>4.6</v>
      </c>
      <c r="G60" s="4" t="str">
        <f>HYPERLINK("http://141.218.60.56/~jnz1568/getInfo.php?workbook=10_05.xlsx&amp;sheet=U0&amp;row=60&amp;col=7&amp;number=0.146&amp;sourceID=14","0.146")</f>
        <v>0.146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HYPERLINK("http://141.218.60.56/~jnz1568/getInfo.php?workbook=10_05.xlsx&amp;sheet=U0&amp;row=61&amp;col=6&amp;number=4.7&amp;sourceID=14","4.7")</f>
        <v>4.7</v>
      </c>
      <c r="G61" s="4" t="str">
        <f>HYPERLINK("http://141.218.60.56/~jnz1568/getInfo.php?workbook=10_05.xlsx&amp;sheet=U0&amp;row=61&amp;col=7&amp;number=0.144&amp;sourceID=14","0.144")</f>
        <v>0.144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HYPERLINK("http://141.218.60.56/~jnz1568/getInfo.php?workbook=10_05.xlsx&amp;sheet=U0&amp;row=62&amp;col=6&amp;number=4.8&amp;sourceID=14","4.8")</f>
        <v>4.8</v>
      </c>
      <c r="G62" s="4" t="str">
        <f>HYPERLINK("http://141.218.60.56/~jnz1568/getInfo.php?workbook=10_05.xlsx&amp;sheet=U0&amp;row=62&amp;col=7&amp;number=0.141&amp;sourceID=14","0.141")</f>
        <v>0.141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HYPERLINK("http://141.218.60.56/~jnz1568/getInfo.php?workbook=10_05.xlsx&amp;sheet=U0&amp;row=63&amp;col=6&amp;number=4.9&amp;sourceID=14","4.9")</f>
        <v>4.9</v>
      </c>
      <c r="G63" s="4" t="str">
        <f>HYPERLINK("http://141.218.60.56/~jnz1568/getInfo.php?workbook=10_05.xlsx&amp;sheet=U0&amp;row=63&amp;col=7&amp;number=0.136&amp;sourceID=14","0.136")</f>
        <v>0.136</v>
      </c>
    </row>
    <row r="64" spans="1:7">
      <c r="A64" s="3">
        <v>10</v>
      </c>
      <c r="B64" s="3">
        <v>5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HYPERLINK("http://141.218.60.56/~jnz1568/getInfo.php?workbook=10_05.xlsx&amp;sheet=U0&amp;row=64&amp;col=6&amp;number=3&amp;sourceID=14","3")</f>
        <v>3</v>
      </c>
      <c r="G64" s="4" t="str">
        <f>HYPERLINK("http://141.218.60.56/~jnz1568/getInfo.php?workbook=10_05.xlsx&amp;sheet=U0&amp;row=64&amp;col=7&amp;number=0.0968&amp;sourceID=14","0.0968")</f>
        <v>0.0968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HYPERLINK("http://141.218.60.56/~jnz1568/getInfo.php?workbook=10_05.xlsx&amp;sheet=U0&amp;row=65&amp;col=6&amp;number=3.1&amp;sourceID=14","3.1")</f>
        <v>3.1</v>
      </c>
      <c r="G65" s="4" t="str">
        <f>HYPERLINK("http://141.218.60.56/~jnz1568/getInfo.php?workbook=10_05.xlsx&amp;sheet=U0&amp;row=65&amp;col=7&amp;number=0.0972&amp;sourceID=14","0.0972")</f>
        <v>0.0972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HYPERLINK("http://141.218.60.56/~jnz1568/getInfo.php?workbook=10_05.xlsx&amp;sheet=U0&amp;row=66&amp;col=6&amp;number=3.2&amp;sourceID=14","3.2")</f>
        <v>3.2</v>
      </c>
      <c r="G66" s="4" t="str">
        <f>HYPERLINK("http://141.218.60.56/~jnz1568/getInfo.php?workbook=10_05.xlsx&amp;sheet=U0&amp;row=66&amp;col=7&amp;number=0.0977&amp;sourceID=14","0.0977")</f>
        <v>0.0977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HYPERLINK("http://141.218.60.56/~jnz1568/getInfo.php?workbook=10_05.xlsx&amp;sheet=U0&amp;row=67&amp;col=6&amp;number=3.3&amp;sourceID=14","3.3")</f>
        <v>3.3</v>
      </c>
      <c r="G67" s="4" t="str">
        <f>HYPERLINK("http://141.218.60.56/~jnz1568/getInfo.php?workbook=10_05.xlsx&amp;sheet=U0&amp;row=67&amp;col=7&amp;number=0.0983&amp;sourceID=14","0.0983")</f>
        <v>0.0983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HYPERLINK("http://141.218.60.56/~jnz1568/getInfo.php?workbook=10_05.xlsx&amp;sheet=U0&amp;row=68&amp;col=6&amp;number=3.4&amp;sourceID=14","3.4")</f>
        <v>3.4</v>
      </c>
      <c r="G68" s="4" t="str">
        <f>HYPERLINK("http://141.218.60.56/~jnz1568/getInfo.php?workbook=10_05.xlsx&amp;sheet=U0&amp;row=68&amp;col=7&amp;number=0.0991&amp;sourceID=14","0.0991")</f>
        <v>0.0991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HYPERLINK("http://141.218.60.56/~jnz1568/getInfo.php?workbook=10_05.xlsx&amp;sheet=U0&amp;row=69&amp;col=6&amp;number=3.5&amp;sourceID=14","3.5")</f>
        <v>3.5</v>
      </c>
      <c r="G69" s="4" t="str">
        <f>HYPERLINK("http://141.218.60.56/~jnz1568/getInfo.php?workbook=10_05.xlsx&amp;sheet=U0&amp;row=69&amp;col=7&amp;number=0.1&amp;sourceID=14","0.1")</f>
        <v>0.1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HYPERLINK("http://141.218.60.56/~jnz1568/getInfo.php?workbook=10_05.xlsx&amp;sheet=U0&amp;row=70&amp;col=6&amp;number=3.6&amp;sourceID=14","3.6")</f>
        <v>3.6</v>
      </c>
      <c r="G70" s="4" t="str">
        <f>HYPERLINK("http://141.218.60.56/~jnz1568/getInfo.php?workbook=10_05.xlsx&amp;sheet=U0&amp;row=70&amp;col=7&amp;number=0.101&amp;sourceID=14","0.101")</f>
        <v>0.101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HYPERLINK("http://141.218.60.56/~jnz1568/getInfo.php?workbook=10_05.xlsx&amp;sheet=U0&amp;row=71&amp;col=6&amp;number=3.7&amp;sourceID=14","3.7")</f>
        <v>3.7</v>
      </c>
      <c r="G71" s="4" t="str">
        <f>HYPERLINK("http://141.218.60.56/~jnz1568/getInfo.php?workbook=10_05.xlsx&amp;sheet=U0&amp;row=71&amp;col=7&amp;number=0.103&amp;sourceID=14","0.103")</f>
        <v>0.103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HYPERLINK("http://141.218.60.56/~jnz1568/getInfo.php?workbook=10_05.xlsx&amp;sheet=U0&amp;row=72&amp;col=6&amp;number=3.8&amp;sourceID=14","3.8")</f>
        <v>3.8</v>
      </c>
      <c r="G72" s="4" t="str">
        <f>HYPERLINK("http://141.218.60.56/~jnz1568/getInfo.php?workbook=10_05.xlsx&amp;sheet=U0&amp;row=72&amp;col=7&amp;number=0.105&amp;sourceID=14","0.105")</f>
        <v>0.105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HYPERLINK("http://141.218.60.56/~jnz1568/getInfo.php?workbook=10_05.xlsx&amp;sheet=U0&amp;row=73&amp;col=6&amp;number=3.9&amp;sourceID=14","3.9")</f>
        <v>3.9</v>
      </c>
      <c r="G73" s="4" t="str">
        <f>HYPERLINK("http://141.218.60.56/~jnz1568/getInfo.php?workbook=10_05.xlsx&amp;sheet=U0&amp;row=73&amp;col=7&amp;number=0.107&amp;sourceID=14","0.107")</f>
        <v>0.107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HYPERLINK("http://141.218.60.56/~jnz1568/getInfo.php?workbook=10_05.xlsx&amp;sheet=U0&amp;row=74&amp;col=6&amp;number=4&amp;sourceID=14","4")</f>
        <v>4</v>
      </c>
      <c r="G74" s="4" t="str">
        <f>HYPERLINK("http://141.218.60.56/~jnz1568/getInfo.php?workbook=10_05.xlsx&amp;sheet=U0&amp;row=74&amp;col=7&amp;number=0.11&amp;sourceID=14","0.11")</f>
        <v>0.11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HYPERLINK("http://141.218.60.56/~jnz1568/getInfo.php?workbook=10_05.xlsx&amp;sheet=U0&amp;row=75&amp;col=6&amp;number=4.1&amp;sourceID=14","4.1")</f>
        <v>4.1</v>
      </c>
      <c r="G75" s="4" t="str">
        <f>HYPERLINK("http://141.218.60.56/~jnz1568/getInfo.php?workbook=10_05.xlsx&amp;sheet=U0&amp;row=75&amp;col=7&amp;number=0.113&amp;sourceID=14","0.113")</f>
        <v>0.113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HYPERLINK("http://141.218.60.56/~jnz1568/getInfo.php?workbook=10_05.xlsx&amp;sheet=U0&amp;row=76&amp;col=6&amp;number=4.2&amp;sourceID=14","4.2")</f>
        <v>4.2</v>
      </c>
      <c r="G76" s="4" t="str">
        <f>HYPERLINK("http://141.218.60.56/~jnz1568/getInfo.php?workbook=10_05.xlsx&amp;sheet=U0&amp;row=76&amp;col=7&amp;number=0.116&amp;sourceID=14","0.116")</f>
        <v>0.116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HYPERLINK("http://141.218.60.56/~jnz1568/getInfo.php?workbook=10_05.xlsx&amp;sheet=U0&amp;row=77&amp;col=6&amp;number=4.3&amp;sourceID=14","4.3")</f>
        <v>4.3</v>
      </c>
      <c r="G77" s="4" t="str">
        <f>HYPERLINK("http://141.218.60.56/~jnz1568/getInfo.php?workbook=10_05.xlsx&amp;sheet=U0&amp;row=77&amp;col=7&amp;number=0.12&amp;sourceID=14","0.12")</f>
        <v>0.12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HYPERLINK("http://141.218.60.56/~jnz1568/getInfo.php?workbook=10_05.xlsx&amp;sheet=U0&amp;row=78&amp;col=6&amp;number=4.4&amp;sourceID=14","4.4")</f>
        <v>4.4</v>
      </c>
      <c r="G78" s="4" t="str">
        <f>HYPERLINK("http://141.218.60.56/~jnz1568/getInfo.php?workbook=10_05.xlsx&amp;sheet=U0&amp;row=78&amp;col=7&amp;number=0.124&amp;sourceID=14","0.124")</f>
        <v>0.124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HYPERLINK("http://141.218.60.56/~jnz1568/getInfo.php?workbook=10_05.xlsx&amp;sheet=U0&amp;row=79&amp;col=6&amp;number=4.5&amp;sourceID=14","4.5")</f>
        <v>4.5</v>
      </c>
      <c r="G79" s="4" t="str">
        <f>HYPERLINK("http://141.218.60.56/~jnz1568/getInfo.php?workbook=10_05.xlsx&amp;sheet=U0&amp;row=79&amp;col=7&amp;number=0.127&amp;sourceID=14","0.127")</f>
        <v>0.127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HYPERLINK("http://141.218.60.56/~jnz1568/getInfo.php?workbook=10_05.xlsx&amp;sheet=U0&amp;row=80&amp;col=6&amp;number=4.6&amp;sourceID=14","4.6")</f>
        <v>4.6</v>
      </c>
      <c r="G80" s="4" t="str">
        <f>HYPERLINK("http://141.218.60.56/~jnz1568/getInfo.php?workbook=10_05.xlsx&amp;sheet=U0&amp;row=80&amp;col=7&amp;number=0.129&amp;sourceID=14","0.129")</f>
        <v>0.129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HYPERLINK("http://141.218.60.56/~jnz1568/getInfo.php?workbook=10_05.xlsx&amp;sheet=U0&amp;row=81&amp;col=6&amp;number=4.7&amp;sourceID=14","4.7")</f>
        <v>4.7</v>
      </c>
      <c r="G81" s="4" t="str">
        <f>HYPERLINK("http://141.218.60.56/~jnz1568/getInfo.php?workbook=10_05.xlsx&amp;sheet=U0&amp;row=81&amp;col=7&amp;number=0.128&amp;sourceID=14","0.128")</f>
        <v>0.128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HYPERLINK("http://141.218.60.56/~jnz1568/getInfo.php?workbook=10_05.xlsx&amp;sheet=U0&amp;row=82&amp;col=6&amp;number=4.8&amp;sourceID=14","4.8")</f>
        <v>4.8</v>
      </c>
      <c r="G82" s="4" t="str">
        <f>HYPERLINK("http://141.218.60.56/~jnz1568/getInfo.php?workbook=10_05.xlsx&amp;sheet=U0&amp;row=82&amp;col=7&amp;number=0.125&amp;sourceID=14","0.125")</f>
        <v>0.125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HYPERLINK("http://141.218.60.56/~jnz1568/getInfo.php?workbook=10_05.xlsx&amp;sheet=U0&amp;row=83&amp;col=6&amp;number=4.9&amp;sourceID=14","4.9")</f>
        <v>4.9</v>
      </c>
      <c r="G83" s="4" t="str">
        <f>HYPERLINK("http://141.218.60.56/~jnz1568/getInfo.php?workbook=10_05.xlsx&amp;sheet=U0&amp;row=83&amp;col=7&amp;number=0.12&amp;sourceID=14","0.12")</f>
        <v>0.12</v>
      </c>
    </row>
    <row r="84" spans="1:7">
      <c r="A84" s="3">
        <v>10</v>
      </c>
      <c r="B84" s="3">
        <v>5</v>
      </c>
      <c r="C84" s="3">
        <v>1</v>
      </c>
      <c r="D84" s="3">
        <v>6</v>
      </c>
      <c r="E84" s="3">
        <v>1</v>
      </c>
      <c r="F84" s="4" t="str">
        <f>HYPERLINK("http://141.218.60.56/~jnz1568/getInfo.php?workbook=10_05.xlsx&amp;sheet=U0&amp;row=84&amp;col=6&amp;number=3&amp;sourceID=14","3")</f>
        <v>3</v>
      </c>
      <c r="G84" s="4" t="str">
        <f>HYPERLINK("http://141.218.60.56/~jnz1568/getInfo.php?workbook=10_05.xlsx&amp;sheet=U0&amp;row=84&amp;col=7&amp;number=0.05&amp;sourceID=14","0.05")</f>
        <v>0.05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HYPERLINK("http://141.218.60.56/~jnz1568/getInfo.php?workbook=10_05.xlsx&amp;sheet=U0&amp;row=85&amp;col=6&amp;number=3.1&amp;sourceID=14","3.1")</f>
        <v>3.1</v>
      </c>
      <c r="G85" s="4" t="str">
        <f>HYPERLINK("http://141.218.60.56/~jnz1568/getInfo.php?workbook=10_05.xlsx&amp;sheet=U0&amp;row=85&amp;col=7&amp;number=0.0568&amp;sourceID=14","0.0568")</f>
        <v>0.0568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HYPERLINK("http://141.218.60.56/~jnz1568/getInfo.php?workbook=10_05.xlsx&amp;sheet=U0&amp;row=86&amp;col=6&amp;number=3.2&amp;sourceID=14","3.2")</f>
        <v>3.2</v>
      </c>
      <c r="G86" s="4" t="str">
        <f>HYPERLINK("http://141.218.60.56/~jnz1568/getInfo.php?workbook=10_05.xlsx&amp;sheet=U0&amp;row=86&amp;col=7&amp;number=0.0653&amp;sourceID=14","0.0653")</f>
        <v>0.0653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HYPERLINK("http://141.218.60.56/~jnz1568/getInfo.php?workbook=10_05.xlsx&amp;sheet=U0&amp;row=87&amp;col=6&amp;number=3.3&amp;sourceID=14","3.3")</f>
        <v>3.3</v>
      </c>
      <c r="G87" s="4" t="str">
        <f>HYPERLINK("http://141.218.60.56/~jnz1568/getInfo.php?workbook=10_05.xlsx&amp;sheet=U0&amp;row=87&amp;col=7&amp;number=0.0758&amp;sourceID=14","0.0758")</f>
        <v>0.0758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HYPERLINK("http://141.218.60.56/~jnz1568/getInfo.php?workbook=10_05.xlsx&amp;sheet=U0&amp;row=88&amp;col=6&amp;number=3.4&amp;sourceID=14","3.4")</f>
        <v>3.4</v>
      </c>
      <c r="G88" s="4" t="str">
        <f>HYPERLINK("http://141.218.60.56/~jnz1568/getInfo.php?workbook=10_05.xlsx&amp;sheet=U0&amp;row=88&amp;col=7&amp;number=0.0887&amp;sourceID=14","0.0887")</f>
        <v>0.0887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HYPERLINK("http://141.218.60.56/~jnz1568/getInfo.php?workbook=10_05.xlsx&amp;sheet=U0&amp;row=89&amp;col=6&amp;number=3.5&amp;sourceID=14","3.5")</f>
        <v>3.5</v>
      </c>
      <c r="G89" s="4" t="str">
        <f>HYPERLINK("http://141.218.60.56/~jnz1568/getInfo.php?workbook=10_05.xlsx&amp;sheet=U0&amp;row=89&amp;col=7&amp;number=0.104&amp;sourceID=14","0.104")</f>
        <v>0.104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HYPERLINK("http://141.218.60.56/~jnz1568/getInfo.php?workbook=10_05.xlsx&amp;sheet=U0&amp;row=90&amp;col=6&amp;number=3.6&amp;sourceID=14","3.6")</f>
        <v>3.6</v>
      </c>
      <c r="G90" s="4" t="str">
        <f>HYPERLINK("http://141.218.60.56/~jnz1568/getInfo.php?workbook=10_05.xlsx&amp;sheet=U0&amp;row=90&amp;col=7&amp;number=0.124&amp;sourceID=14","0.124")</f>
        <v>0.124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HYPERLINK("http://141.218.60.56/~jnz1568/getInfo.php?workbook=10_05.xlsx&amp;sheet=U0&amp;row=91&amp;col=6&amp;number=3.7&amp;sourceID=14","3.7")</f>
        <v>3.7</v>
      </c>
      <c r="G91" s="4" t="str">
        <f>HYPERLINK("http://141.218.60.56/~jnz1568/getInfo.php?workbook=10_05.xlsx&amp;sheet=U0&amp;row=91&amp;col=7&amp;number=0.146&amp;sourceID=14","0.146")</f>
        <v>0.146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HYPERLINK("http://141.218.60.56/~jnz1568/getInfo.php?workbook=10_05.xlsx&amp;sheet=U0&amp;row=92&amp;col=6&amp;number=3.8&amp;sourceID=14","3.8")</f>
        <v>3.8</v>
      </c>
      <c r="G92" s="4" t="str">
        <f>HYPERLINK("http://141.218.60.56/~jnz1568/getInfo.php?workbook=10_05.xlsx&amp;sheet=U0&amp;row=92&amp;col=7&amp;number=0.172&amp;sourceID=14","0.172")</f>
        <v>0.172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HYPERLINK("http://141.218.60.56/~jnz1568/getInfo.php?workbook=10_05.xlsx&amp;sheet=U0&amp;row=93&amp;col=6&amp;number=3.9&amp;sourceID=14","3.9")</f>
        <v>3.9</v>
      </c>
      <c r="G93" s="4" t="str">
        <f>HYPERLINK("http://141.218.60.56/~jnz1568/getInfo.php?workbook=10_05.xlsx&amp;sheet=U0&amp;row=93&amp;col=7&amp;number=0.2&amp;sourceID=14","0.2")</f>
        <v>0.2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HYPERLINK("http://141.218.60.56/~jnz1568/getInfo.php?workbook=10_05.xlsx&amp;sheet=U0&amp;row=94&amp;col=6&amp;number=4&amp;sourceID=14","4")</f>
        <v>4</v>
      </c>
      <c r="G94" s="4" t="str">
        <f>HYPERLINK("http://141.218.60.56/~jnz1568/getInfo.php?workbook=10_05.xlsx&amp;sheet=U0&amp;row=94&amp;col=7&amp;number=0.229&amp;sourceID=14","0.229")</f>
        <v>0.229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HYPERLINK("http://141.218.60.56/~jnz1568/getInfo.php?workbook=10_05.xlsx&amp;sheet=U0&amp;row=95&amp;col=6&amp;number=4.1&amp;sourceID=14","4.1")</f>
        <v>4.1</v>
      </c>
      <c r="G95" s="4" t="str">
        <f>HYPERLINK("http://141.218.60.56/~jnz1568/getInfo.php?workbook=10_05.xlsx&amp;sheet=U0&amp;row=95&amp;col=7&amp;number=0.254&amp;sourceID=14","0.254")</f>
        <v>0.254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HYPERLINK("http://141.218.60.56/~jnz1568/getInfo.php?workbook=10_05.xlsx&amp;sheet=U0&amp;row=96&amp;col=6&amp;number=4.2&amp;sourceID=14","4.2")</f>
        <v>4.2</v>
      </c>
      <c r="G96" s="4" t="str">
        <f>HYPERLINK("http://141.218.60.56/~jnz1568/getInfo.php?workbook=10_05.xlsx&amp;sheet=U0&amp;row=96&amp;col=7&amp;number=0.271&amp;sourceID=14","0.271")</f>
        <v>0.271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HYPERLINK("http://141.218.60.56/~jnz1568/getInfo.php?workbook=10_05.xlsx&amp;sheet=U0&amp;row=97&amp;col=6&amp;number=4.3&amp;sourceID=14","4.3")</f>
        <v>4.3</v>
      </c>
      <c r="G97" s="4" t="str">
        <f>HYPERLINK("http://141.218.60.56/~jnz1568/getInfo.php?workbook=10_05.xlsx&amp;sheet=U0&amp;row=97&amp;col=7&amp;number=0.278&amp;sourceID=14","0.278")</f>
        <v>0.278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HYPERLINK("http://141.218.60.56/~jnz1568/getInfo.php?workbook=10_05.xlsx&amp;sheet=U0&amp;row=98&amp;col=6&amp;number=4.4&amp;sourceID=14","4.4")</f>
        <v>4.4</v>
      </c>
      <c r="G98" s="4" t="str">
        <f>HYPERLINK("http://141.218.60.56/~jnz1568/getInfo.php?workbook=10_05.xlsx&amp;sheet=U0&amp;row=98&amp;col=7&amp;number=0.278&amp;sourceID=14","0.278")</f>
        <v>0.278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HYPERLINK("http://141.218.60.56/~jnz1568/getInfo.php?workbook=10_05.xlsx&amp;sheet=U0&amp;row=99&amp;col=6&amp;number=4.5&amp;sourceID=14","4.5")</f>
        <v>4.5</v>
      </c>
      <c r="G99" s="4" t="str">
        <f>HYPERLINK("http://141.218.60.56/~jnz1568/getInfo.php?workbook=10_05.xlsx&amp;sheet=U0&amp;row=99&amp;col=7&amp;number=0.274&amp;sourceID=14","0.274")</f>
        <v>0.274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HYPERLINK("http://141.218.60.56/~jnz1568/getInfo.php?workbook=10_05.xlsx&amp;sheet=U0&amp;row=100&amp;col=6&amp;number=4.6&amp;sourceID=14","4.6")</f>
        <v>4.6</v>
      </c>
      <c r="G100" s="4" t="str">
        <f>HYPERLINK("http://141.218.60.56/~jnz1568/getInfo.php?workbook=10_05.xlsx&amp;sheet=U0&amp;row=100&amp;col=7&amp;number=0.267&amp;sourceID=14","0.267")</f>
        <v>0.267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HYPERLINK("http://141.218.60.56/~jnz1568/getInfo.php?workbook=10_05.xlsx&amp;sheet=U0&amp;row=101&amp;col=6&amp;number=4.7&amp;sourceID=14","4.7")</f>
        <v>4.7</v>
      </c>
      <c r="G101" s="4" t="str">
        <f>HYPERLINK("http://141.218.60.56/~jnz1568/getInfo.php?workbook=10_05.xlsx&amp;sheet=U0&amp;row=101&amp;col=7&amp;number=0.256&amp;sourceID=14","0.256")</f>
        <v>0.256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HYPERLINK("http://141.218.60.56/~jnz1568/getInfo.php?workbook=10_05.xlsx&amp;sheet=U0&amp;row=102&amp;col=6&amp;number=4.8&amp;sourceID=14","4.8")</f>
        <v>4.8</v>
      </c>
      <c r="G102" s="4" t="str">
        <f>HYPERLINK("http://141.218.60.56/~jnz1568/getInfo.php?workbook=10_05.xlsx&amp;sheet=U0&amp;row=102&amp;col=7&amp;number=0.24&amp;sourceID=14","0.24")</f>
        <v>0.24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HYPERLINK("http://141.218.60.56/~jnz1568/getInfo.php?workbook=10_05.xlsx&amp;sheet=U0&amp;row=103&amp;col=6&amp;number=4.9&amp;sourceID=14","4.9")</f>
        <v>4.9</v>
      </c>
      <c r="G103" s="4" t="str">
        <f>HYPERLINK("http://141.218.60.56/~jnz1568/getInfo.php?workbook=10_05.xlsx&amp;sheet=U0&amp;row=103&amp;col=7&amp;number=0.222&amp;sourceID=14","0.222")</f>
        <v>0.222</v>
      </c>
    </row>
    <row r="104" spans="1:7">
      <c r="A104" s="3">
        <v>10</v>
      </c>
      <c r="B104" s="3">
        <v>5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HYPERLINK("http://141.218.60.56/~jnz1568/getInfo.php?workbook=10_05.xlsx&amp;sheet=U0&amp;row=104&amp;col=6&amp;number=3&amp;sourceID=14","3")</f>
        <v>3</v>
      </c>
      <c r="G104" s="4" t="str">
        <f>HYPERLINK("http://141.218.60.56/~jnz1568/getInfo.php?workbook=10_05.xlsx&amp;sheet=U0&amp;row=104&amp;col=7&amp;number=1.16&amp;sourceID=14","1.16")</f>
        <v>1.16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HYPERLINK("http://141.218.60.56/~jnz1568/getInfo.php?workbook=10_05.xlsx&amp;sheet=U0&amp;row=105&amp;col=6&amp;number=3.1&amp;sourceID=14","3.1")</f>
        <v>3.1</v>
      </c>
      <c r="G105" s="4" t="str">
        <f>HYPERLINK("http://141.218.60.56/~jnz1568/getInfo.php?workbook=10_05.xlsx&amp;sheet=U0&amp;row=105&amp;col=7&amp;number=1.17&amp;sourceID=14","1.17")</f>
        <v>1.17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HYPERLINK("http://141.218.60.56/~jnz1568/getInfo.php?workbook=10_05.xlsx&amp;sheet=U0&amp;row=106&amp;col=6&amp;number=3.2&amp;sourceID=14","3.2")</f>
        <v>3.2</v>
      </c>
      <c r="G106" s="4" t="str">
        <f>HYPERLINK("http://141.218.60.56/~jnz1568/getInfo.php?workbook=10_05.xlsx&amp;sheet=U0&amp;row=106&amp;col=7&amp;number=1.17&amp;sourceID=14","1.17")</f>
        <v>1.17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HYPERLINK("http://141.218.60.56/~jnz1568/getInfo.php?workbook=10_05.xlsx&amp;sheet=U0&amp;row=107&amp;col=6&amp;number=3.3&amp;sourceID=14","3.3")</f>
        <v>3.3</v>
      </c>
      <c r="G107" s="4" t="str">
        <f>HYPERLINK("http://141.218.60.56/~jnz1568/getInfo.php?workbook=10_05.xlsx&amp;sheet=U0&amp;row=107&amp;col=7&amp;number=1.17&amp;sourceID=14","1.17")</f>
        <v>1.17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HYPERLINK("http://141.218.60.56/~jnz1568/getInfo.php?workbook=10_05.xlsx&amp;sheet=U0&amp;row=108&amp;col=6&amp;number=3.4&amp;sourceID=14","3.4")</f>
        <v>3.4</v>
      </c>
      <c r="G108" s="4" t="str">
        <f>HYPERLINK("http://141.218.60.56/~jnz1568/getInfo.php?workbook=10_05.xlsx&amp;sheet=U0&amp;row=108&amp;col=7&amp;number=1.17&amp;sourceID=14","1.17")</f>
        <v>1.17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HYPERLINK("http://141.218.60.56/~jnz1568/getInfo.php?workbook=10_05.xlsx&amp;sheet=U0&amp;row=109&amp;col=6&amp;number=3.5&amp;sourceID=14","3.5")</f>
        <v>3.5</v>
      </c>
      <c r="G109" s="4" t="str">
        <f>HYPERLINK("http://141.218.60.56/~jnz1568/getInfo.php?workbook=10_05.xlsx&amp;sheet=U0&amp;row=109&amp;col=7&amp;number=1.18&amp;sourceID=14","1.18")</f>
        <v>1.18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HYPERLINK("http://141.218.60.56/~jnz1568/getInfo.php?workbook=10_05.xlsx&amp;sheet=U0&amp;row=110&amp;col=6&amp;number=3.6&amp;sourceID=14","3.6")</f>
        <v>3.6</v>
      </c>
      <c r="G110" s="4" t="str">
        <f>HYPERLINK("http://141.218.60.56/~jnz1568/getInfo.php?workbook=10_05.xlsx&amp;sheet=U0&amp;row=110&amp;col=7&amp;number=1.18&amp;sourceID=14","1.18")</f>
        <v>1.18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HYPERLINK("http://141.218.60.56/~jnz1568/getInfo.php?workbook=10_05.xlsx&amp;sheet=U0&amp;row=111&amp;col=6&amp;number=3.7&amp;sourceID=14","3.7")</f>
        <v>3.7</v>
      </c>
      <c r="G111" s="4" t="str">
        <f>HYPERLINK("http://141.218.60.56/~jnz1568/getInfo.php?workbook=10_05.xlsx&amp;sheet=U0&amp;row=111&amp;col=7&amp;number=1.19&amp;sourceID=14","1.19")</f>
        <v>1.19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HYPERLINK("http://141.218.60.56/~jnz1568/getInfo.php?workbook=10_05.xlsx&amp;sheet=U0&amp;row=112&amp;col=6&amp;number=3.8&amp;sourceID=14","3.8")</f>
        <v>3.8</v>
      </c>
      <c r="G112" s="4" t="str">
        <f>HYPERLINK("http://141.218.60.56/~jnz1568/getInfo.php?workbook=10_05.xlsx&amp;sheet=U0&amp;row=112&amp;col=7&amp;number=1.19&amp;sourceID=14","1.19")</f>
        <v>1.19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HYPERLINK("http://141.218.60.56/~jnz1568/getInfo.php?workbook=10_05.xlsx&amp;sheet=U0&amp;row=113&amp;col=6&amp;number=3.9&amp;sourceID=14","3.9")</f>
        <v>3.9</v>
      </c>
      <c r="G113" s="4" t="str">
        <f>HYPERLINK("http://141.218.60.56/~jnz1568/getInfo.php?workbook=10_05.xlsx&amp;sheet=U0&amp;row=113&amp;col=7&amp;number=1.2&amp;sourceID=14","1.2")</f>
        <v>1.2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HYPERLINK("http://141.218.60.56/~jnz1568/getInfo.php?workbook=10_05.xlsx&amp;sheet=U0&amp;row=114&amp;col=6&amp;number=4&amp;sourceID=14","4")</f>
        <v>4</v>
      </c>
      <c r="G114" s="4" t="str">
        <f>HYPERLINK("http://141.218.60.56/~jnz1568/getInfo.php?workbook=10_05.xlsx&amp;sheet=U0&amp;row=114&amp;col=7&amp;number=1.21&amp;sourceID=14","1.21")</f>
        <v>1.21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HYPERLINK("http://141.218.60.56/~jnz1568/getInfo.php?workbook=10_05.xlsx&amp;sheet=U0&amp;row=115&amp;col=6&amp;number=4.1&amp;sourceID=14","4.1")</f>
        <v>4.1</v>
      </c>
      <c r="G115" s="4" t="str">
        <f>HYPERLINK("http://141.218.60.56/~jnz1568/getInfo.php?workbook=10_05.xlsx&amp;sheet=U0&amp;row=115&amp;col=7&amp;number=1.22&amp;sourceID=14","1.22")</f>
        <v>1.22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HYPERLINK("http://141.218.60.56/~jnz1568/getInfo.php?workbook=10_05.xlsx&amp;sheet=U0&amp;row=116&amp;col=6&amp;number=4.2&amp;sourceID=14","4.2")</f>
        <v>4.2</v>
      </c>
      <c r="G116" s="4" t="str">
        <f>HYPERLINK("http://141.218.60.56/~jnz1568/getInfo.php?workbook=10_05.xlsx&amp;sheet=U0&amp;row=116&amp;col=7&amp;number=1.23&amp;sourceID=14","1.23")</f>
        <v>1.23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HYPERLINK("http://141.218.60.56/~jnz1568/getInfo.php?workbook=10_05.xlsx&amp;sheet=U0&amp;row=117&amp;col=6&amp;number=4.3&amp;sourceID=14","4.3")</f>
        <v>4.3</v>
      </c>
      <c r="G117" s="4" t="str">
        <f>HYPERLINK("http://141.218.60.56/~jnz1568/getInfo.php?workbook=10_05.xlsx&amp;sheet=U0&amp;row=117&amp;col=7&amp;number=1.24&amp;sourceID=14","1.24")</f>
        <v>1.24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HYPERLINK("http://141.218.60.56/~jnz1568/getInfo.php?workbook=10_05.xlsx&amp;sheet=U0&amp;row=118&amp;col=6&amp;number=4.4&amp;sourceID=14","4.4")</f>
        <v>4.4</v>
      </c>
      <c r="G118" s="4" t="str">
        <f>HYPERLINK("http://141.218.60.56/~jnz1568/getInfo.php?workbook=10_05.xlsx&amp;sheet=U0&amp;row=118&amp;col=7&amp;number=1.24&amp;sourceID=14","1.24")</f>
        <v>1.24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HYPERLINK("http://141.218.60.56/~jnz1568/getInfo.php?workbook=10_05.xlsx&amp;sheet=U0&amp;row=119&amp;col=6&amp;number=4.5&amp;sourceID=14","4.5")</f>
        <v>4.5</v>
      </c>
      <c r="G119" s="4" t="str">
        <f>HYPERLINK("http://141.218.60.56/~jnz1568/getInfo.php?workbook=10_05.xlsx&amp;sheet=U0&amp;row=119&amp;col=7&amp;number=1.24&amp;sourceID=14","1.24")</f>
        <v>1.24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HYPERLINK("http://141.218.60.56/~jnz1568/getInfo.php?workbook=10_05.xlsx&amp;sheet=U0&amp;row=120&amp;col=6&amp;number=4.6&amp;sourceID=14","4.6")</f>
        <v>4.6</v>
      </c>
      <c r="G120" s="4" t="str">
        <f>HYPERLINK("http://141.218.60.56/~jnz1568/getInfo.php?workbook=10_05.xlsx&amp;sheet=U0&amp;row=120&amp;col=7&amp;number=1.23&amp;sourceID=14","1.23")</f>
        <v>1.23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HYPERLINK("http://141.218.60.56/~jnz1568/getInfo.php?workbook=10_05.xlsx&amp;sheet=U0&amp;row=121&amp;col=6&amp;number=4.7&amp;sourceID=14","4.7")</f>
        <v>4.7</v>
      </c>
      <c r="G121" s="4" t="str">
        <f>HYPERLINK("http://141.218.60.56/~jnz1568/getInfo.php?workbook=10_05.xlsx&amp;sheet=U0&amp;row=121&amp;col=7&amp;number=1.23&amp;sourceID=14","1.23")</f>
        <v>1.23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HYPERLINK("http://141.218.60.56/~jnz1568/getInfo.php?workbook=10_05.xlsx&amp;sheet=U0&amp;row=122&amp;col=6&amp;number=4.8&amp;sourceID=14","4.8")</f>
        <v>4.8</v>
      </c>
      <c r="G122" s="4" t="str">
        <f>HYPERLINK("http://141.218.60.56/~jnz1568/getInfo.php?workbook=10_05.xlsx&amp;sheet=U0&amp;row=122&amp;col=7&amp;number=1.23&amp;sourceID=14","1.23")</f>
        <v>1.23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HYPERLINK("http://141.218.60.56/~jnz1568/getInfo.php?workbook=10_05.xlsx&amp;sheet=U0&amp;row=123&amp;col=6&amp;number=4.9&amp;sourceID=14","4.9")</f>
        <v>4.9</v>
      </c>
      <c r="G123" s="4" t="str">
        <f>HYPERLINK("http://141.218.60.56/~jnz1568/getInfo.php?workbook=10_05.xlsx&amp;sheet=U0&amp;row=123&amp;col=7&amp;number=1.23&amp;sourceID=14","1.23")</f>
        <v>1.23</v>
      </c>
    </row>
    <row r="124" spans="1:7">
      <c r="A124" s="3">
        <v>10</v>
      </c>
      <c r="B124" s="3">
        <v>5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HYPERLINK("http://141.218.60.56/~jnz1568/getInfo.php?workbook=10_05.xlsx&amp;sheet=U0&amp;row=124&amp;col=6&amp;number=3&amp;sourceID=14","3")</f>
        <v>3</v>
      </c>
      <c r="G124" s="4" t="str">
        <f>HYPERLINK("http://141.218.60.56/~jnz1568/getInfo.php?workbook=10_05.xlsx&amp;sheet=U0&amp;row=124&amp;col=7&amp;number=0.53&amp;sourceID=14","0.53")</f>
        <v>0.53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HYPERLINK("http://141.218.60.56/~jnz1568/getInfo.php?workbook=10_05.xlsx&amp;sheet=U0&amp;row=125&amp;col=6&amp;number=3.1&amp;sourceID=14","3.1")</f>
        <v>3.1</v>
      </c>
      <c r="G125" s="4" t="str">
        <f>HYPERLINK("http://141.218.60.56/~jnz1568/getInfo.php?workbook=10_05.xlsx&amp;sheet=U0&amp;row=125&amp;col=7&amp;number=0.53&amp;sourceID=14","0.53")</f>
        <v>0.53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HYPERLINK("http://141.218.60.56/~jnz1568/getInfo.php?workbook=10_05.xlsx&amp;sheet=U0&amp;row=126&amp;col=6&amp;number=3.2&amp;sourceID=14","3.2")</f>
        <v>3.2</v>
      </c>
      <c r="G126" s="4" t="str">
        <f>HYPERLINK("http://141.218.60.56/~jnz1568/getInfo.php?workbook=10_05.xlsx&amp;sheet=U0&amp;row=126&amp;col=7&amp;number=0.531&amp;sourceID=14","0.531")</f>
        <v>0.531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HYPERLINK("http://141.218.60.56/~jnz1568/getInfo.php?workbook=10_05.xlsx&amp;sheet=U0&amp;row=127&amp;col=6&amp;number=3.3&amp;sourceID=14","3.3")</f>
        <v>3.3</v>
      </c>
      <c r="G127" s="4" t="str">
        <f>HYPERLINK("http://141.218.60.56/~jnz1568/getInfo.php?workbook=10_05.xlsx&amp;sheet=U0&amp;row=127&amp;col=7&amp;number=0.531&amp;sourceID=14","0.531")</f>
        <v>0.531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HYPERLINK("http://141.218.60.56/~jnz1568/getInfo.php?workbook=10_05.xlsx&amp;sheet=U0&amp;row=128&amp;col=6&amp;number=3.4&amp;sourceID=14","3.4")</f>
        <v>3.4</v>
      </c>
      <c r="G128" s="4" t="str">
        <f>HYPERLINK("http://141.218.60.56/~jnz1568/getInfo.php?workbook=10_05.xlsx&amp;sheet=U0&amp;row=128&amp;col=7&amp;number=0.532&amp;sourceID=14","0.532")</f>
        <v>0.532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HYPERLINK("http://141.218.60.56/~jnz1568/getInfo.php?workbook=10_05.xlsx&amp;sheet=U0&amp;row=129&amp;col=6&amp;number=3.5&amp;sourceID=14","3.5")</f>
        <v>3.5</v>
      </c>
      <c r="G129" s="4" t="str">
        <f>HYPERLINK("http://141.218.60.56/~jnz1568/getInfo.php?workbook=10_05.xlsx&amp;sheet=U0&amp;row=129&amp;col=7&amp;number=0.532&amp;sourceID=14","0.532")</f>
        <v>0.532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HYPERLINK("http://141.218.60.56/~jnz1568/getInfo.php?workbook=10_05.xlsx&amp;sheet=U0&amp;row=130&amp;col=6&amp;number=3.6&amp;sourceID=14","3.6")</f>
        <v>3.6</v>
      </c>
      <c r="G130" s="4" t="str">
        <f>HYPERLINK("http://141.218.60.56/~jnz1568/getInfo.php?workbook=10_05.xlsx&amp;sheet=U0&amp;row=130&amp;col=7&amp;number=0.533&amp;sourceID=14","0.533")</f>
        <v>0.533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HYPERLINK("http://141.218.60.56/~jnz1568/getInfo.php?workbook=10_05.xlsx&amp;sheet=U0&amp;row=131&amp;col=6&amp;number=3.7&amp;sourceID=14","3.7")</f>
        <v>3.7</v>
      </c>
      <c r="G131" s="4" t="str">
        <f>HYPERLINK("http://141.218.60.56/~jnz1568/getInfo.php?workbook=10_05.xlsx&amp;sheet=U0&amp;row=131&amp;col=7&amp;number=0.534&amp;sourceID=14","0.534")</f>
        <v>0.534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HYPERLINK("http://141.218.60.56/~jnz1568/getInfo.php?workbook=10_05.xlsx&amp;sheet=U0&amp;row=132&amp;col=6&amp;number=3.8&amp;sourceID=14","3.8")</f>
        <v>3.8</v>
      </c>
      <c r="G132" s="4" t="str">
        <f>HYPERLINK("http://141.218.60.56/~jnz1568/getInfo.php?workbook=10_05.xlsx&amp;sheet=U0&amp;row=132&amp;col=7&amp;number=0.534&amp;sourceID=14","0.534")</f>
        <v>0.534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HYPERLINK("http://141.218.60.56/~jnz1568/getInfo.php?workbook=10_05.xlsx&amp;sheet=U0&amp;row=133&amp;col=6&amp;number=3.9&amp;sourceID=14","3.9")</f>
        <v>3.9</v>
      </c>
      <c r="G133" s="4" t="str">
        <f>HYPERLINK("http://141.218.60.56/~jnz1568/getInfo.php?workbook=10_05.xlsx&amp;sheet=U0&amp;row=133&amp;col=7&amp;number=0.534&amp;sourceID=14","0.534")</f>
        <v>0.534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HYPERLINK("http://141.218.60.56/~jnz1568/getInfo.php?workbook=10_05.xlsx&amp;sheet=U0&amp;row=134&amp;col=6&amp;number=4&amp;sourceID=14","4")</f>
        <v>4</v>
      </c>
      <c r="G134" s="4" t="str">
        <f>HYPERLINK("http://141.218.60.56/~jnz1568/getInfo.php?workbook=10_05.xlsx&amp;sheet=U0&amp;row=134&amp;col=7&amp;number=0.533&amp;sourceID=14","0.533")</f>
        <v>0.533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HYPERLINK("http://141.218.60.56/~jnz1568/getInfo.php?workbook=10_05.xlsx&amp;sheet=U0&amp;row=135&amp;col=6&amp;number=4.1&amp;sourceID=14","4.1")</f>
        <v>4.1</v>
      </c>
      <c r="G135" s="4" t="str">
        <f>HYPERLINK("http://141.218.60.56/~jnz1568/getInfo.php?workbook=10_05.xlsx&amp;sheet=U0&amp;row=135&amp;col=7&amp;number=0.528&amp;sourceID=14","0.528")</f>
        <v>0.528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HYPERLINK("http://141.218.60.56/~jnz1568/getInfo.php?workbook=10_05.xlsx&amp;sheet=U0&amp;row=136&amp;col=6&amp;number=4.2&amp;sourceID=14","4.2")</f>
        <v>4.2</v>
      </c>
      <c r="G136" s="4" t="str">
        <f>HYPERLINK("http://141.218.60.56/~jnz1568/getInfo.php?workbook=10_05.xlsx&amp;sheet=U0&amp;row=136&amp;col=7&amp;number=0.521&amp;sourceID=14","0.521")</f>
        <v>0.521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HYPERLINK("http://141.218.60.56/~jnz1568/getInfo.php?workbook=10_05.xlsx&amp;sheet=U0&amp;row=137&amp;col=6&amp;number=4.3&amp;sourceID=14","4.3")</f>
        <v>4.3</v>
      </c>
      <c r="G137" s="4" t="str">
        <f>HYPERLINK("http://141.218.60.56/~jnz1568/getInfo.php?workbook=10_05.xlsx&amp;sheet=U0&amp;row=137&amp;col=7&amp;number=0.511&amp;sourceID=14","0.511")</f>
        <v>0.511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HYPERLINK("http://141.218.60.56/~jnz1568/getInfo.php?workbook=10_05.xlsx&amp;sheet=U0&amp;row=138&amp;col=6&amp;number=4.4&amp;sourceID=14","4.4")</f>
        <v>4.4</v>
      </c>
      <c r="G138" s="4" t="str">
        <f>HYPERLINK("http://141.218.60.56/~jnz1568/getInfo.php?workbook=10_05.xlsx&amp;sheet=U0&amp;row=138&amp;col=7&amp;number=0.502&amp;sourceID=14","0.502")</f>
        <v>0.502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HYPERLINK("http://141.218.60.56/~jnz1568/getInfo.php?workbook=10_05.xlsx&amp;sheet=U0&amp;row=139&amp;col=6&amp;number=4.5&amp;sourceID=14","4.5")</f>
        <v>4.5</v>
      </c>
      <c r="G139" s="4" t="str">
        <f>HYPERLINK("http://141.218.60.56/~jnz1568/getInfo.php?workbook=10_05.xlsx&amp;sheet=U0&amp;row=139&amp;col=7&amp;number=0.496&amp;sourceID=14","0.496")</f>
        <v>0.496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HYPERLINK("http://141.218.60.56/~jnz1568/getInfo.php?workbook=10_05.xlsx&amp;sheet=U0&amp;row=140&amp;col=6&amp;number=4.6&amp;sourceID=14","4.6")</f>
        <v>4.6</v>
      </c>
      <c r="G140" s="4" t="str">
        <f>HYPERLINK("http://141.218.60.56/~jnz1568/getInfo.php?workbook=10_05.xlsx&amp;sheet=U0&amp;row=140&amp;col=7&amp;number=0.494&amp;sourceID=14","0.494")</f>
        <v>0.494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HYPERLINK("http://141.218.60.56/~jnz1568/getInfo.php?workbook=10_05.xlsx&amp;sheet=U0&amp;row=141&amp;col=6&amp;number=4.7&amp;sourceID=14","4.7")</f>
        <v>4.7</v>
      </c>
      <c r="G141" s="4" t="str">
        <f>HYPERLINK("http://141.218.60.56/~jnz1568/getInfo.php?workbook=10_05.xlsx&amp;sheet=U0&amp;row=141&amp;col=7&amp;number=0.492&amp;sourceID=14","0.492")</f>
        <v>0.492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HYPERLINK("http://141.218.60.56/~jnz1568/getInfo.php?workbook=10_05.xlsx&amp;sheet=U0&amp;row=142&amp;col=6&amp;number=4.8&amp;sourceID=14","4.8")</f>
        <v>4.8</v>
      </c>
      <c r="G142" s="4" t="str">
        <f>HYPERLINK("http://141.218.60.56/~jnz1568/getInfo.php?workbook=10_05.xlsx&amp;sheet=U0&amp;row=142&amp;col=7&amp;number=0.49&amp;sourceID=14","0.49")</f>
        <v>0.49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HYPERLINK("http://141.218.60.56/~jnz1568/getInfo.php?workbook=10_05.xlsx&amp;sheet=U0&amp;row=143&amp;col=6&amp;number=4.9&amp;sourceID=14","4.9")</f>
        <v>4.9</v>
      </c>
      <c r="G143" s="4" t="str">
        <f>HYPERLINK("http://141.218.60.56/~jnz1568/getInfo.php?workbook=10_05.xlsx&amp;sheet=U0&amp;row=143&amp;col=7&amp;number=0.489&amp;sourceID=14","0.489")</f>
        <v>0.489</v>
      </c>
    </row>
    <row r="144" spans="1:7">
      <c r="A144" s="3">
        <v>10</v>
      </c>
      <c r="B144" s="3">
        <v>5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HYPERLINK("http://141.218.60.56/~jnz1568/getInfo.php?workbook=10_05.xlsx&amp;sheet=U0&amp;row=144&amp;col=6&amp;number=3&amp;sourceID=14","3")</f>
        <v>3</v>
      </c>
      <c r="G144" s="4" t="str">
        <f>HYPERLINK("http://141.218.60.56/~jnz1568/getInfo.php?workbook=10_05.xlsx&amp;sheet=U0&amp;row=144&amp;col=7&amp;number=0.95&amp;sourceID=14","0.95")</f>
        <v>0.95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HYPERLINK("http://141.218.60.56/~jnz1568/getInfo.php?workbook=10_05.xlsx&amp;sheet=U0&amp;row=145&amp;col=6&amp;number=3.1&amp;sourceID=14","3.1")</f>
        <v>3.1</v>
      </c>
      <c r="G145" s="4" t="str">
        <f>HYPERLINK("http://141.218.60.56/~jnz1568/getInfo.php?workbook=10_05.xlsx&amp;sheet=U0&amp;row=145&amp;col=7&amp;number=0.952&amp;sourceID=14","0.952")</f>
        <v>0.952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HYPERLINK("http://141.218.60.56/~jnz1568/getInfo.php?workbook=10_05.xlsx&amp;sheet=U0&amp;row=146&amp;col=6&amp;number=3.2&amp;sourceID=14","3.2")</f>
        <v>3.2</v>
      </c>
      <c r="G146" s="4" t="str">
        <f>HYPERLINK("http://141.218.60.56/~jnz1568/getInfo.php?workbook=10_05.xlsx&amp;sheet=U0&amp;row=146&amp;col=7&amp;number=0.956&amp;sourceID=14","0.956")</f>
        <v>0.956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HYPERLINK("http://141.218.60.56/~jnz1568/getInfo.php?workbook=10_05.xlsx&amp;sheet=U0&amp;row=147&amp;col=6&amp;number=3.3&amp;sourceID=14","3.3")</f>
        <v>3.3</v>
      </c>
      <c r="G147" s="4" t="str">
        <f>HYPERLINK("http://141.218.60.56/~jnz1568/getInfo.php?workbook=10_05.xlsx&amp;sheet=U0&amp;row=147&amp;col=7&amp;number=0.959&amp;sourceID=14","0.959")</f>
        <v>0.959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HYPERLINK("http://141.218.60.56/~jnz1568/getInfo.php?workbook=10_05.xlsx&amp;sheet=U0&amp;row=148&amp;col=6&amp;number=3.4&amp;sourceID=14","3.4")</f>
        <v>3.4</v>
      </c>
      <c r="G148" s="4" t="str">
        <f>HYPERLINK("http://141.218.60.56/~jnz1568/getInfo.php?workbook=10_05.xlsx&amp;sheet=U0&amp;row=148&amp;col=7&amp;number=0.964&amp;sourceID=14","0.964")</f>
        <v>0.964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HYPERLINK("http://141.218.60.56/~jnz1568/getInfo.php?workbook=10_05.xlsx&amp;sheet=U0&amp;row=149&amp;col=6&amp;number=3.5&amp;sourceID=14","3.5")</f>
        <v>3.5</v>
      </c>
      <c r="G149" s="4" t="str">
        <f>HYPERLINK("http://141.218.60.56/~jnz1568/getInfo.php?workbook=10_05.xlsx&amp;sheet=U0&amp;row=149&amp;col=7&amp;number=0.97&amp;sourceID=14","0.97")</f>
        <v>0.97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HYPERLINK("http://141.218.60.56/~jnz1568/getInfo.php?workbook=10_05.xlsx&amp;sheet=U0&amp;row=150&amp;col=6&amp;number=3.6&amp;sourceID=14","3.6")</f>
        <v>3.6</v>
      </c>
      <c r="G150" s="4" t="str">
        <f>HYPERLINK("http://141.218.60.56/~jnz1568/getInfo.php?workbook=10_05.xlsx&amp;sheet=U0&amp;row=150&amp;col=7&amp;number=0.977&amp;sourceID=14","0.977")</f>
        <v>0.977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HYPERLINK("http://141.218.60.56/~jnz1568/getInfo.php?workbook=10_05.xlsx&amp;sheet=U0&amp;row=151&amp;col=6&amp;number=3.7&amp;sourceID=14","3.7")</f>
        <v>3.7</v>
      </c>
      <c r="G151" s="4" t="str">
        <f>HYPERLINK("http://141.218.60.56/~jnz1568/getInfo.php?workbook=10_05.xlsx&amp;sheet=U0&amp;row=151&amp;col=7&amp;number=0.986&amp;sourceID=14","0.986")</f>
        <v>0.986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HYPERLINK("http://141.218.60.56/~jnz1568/getInfo.php?workbook=10_05.xlsx&amp;sheet=U0&amp;row=152&amp;col=6&amp;number=3.8&amp;sourceID=14","3.8")</f>
        <v>3.8</v>
      </c>
      <c r="G152" s="4" t="str">
        <f>HYPERLINK("http://141.218.60.56/~jnz1568/getInfo.php?workbook=10_05.xlsx&amp;sheet=U0&amp;row=152&amp;col=7&amp;number=0.996&amp;sourceID=14","0.996")</f>
        <v>0.996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HYPERLINK("http://141.218.60.56/~jnz1568/getInfo.php?workbook=10_05.xlsx&amp;sheet=U0&amp;row=153&amp;col=6&amp;number=3.9&amp;sourceID=14","3.9")</f>
        <v>3.9</v>
      </c>
      <c r="G153" s="4" t="str">
        <f>HYPERLINK("http://141.218.60.56/~jnz1568/getInfo.php?workbook=10_05.xlsx&amp;sheet=U0&amp;row=153&amp;col=7&amp;number=1.01&amp;sourceID=14","1.01")</f>
        <v>1.01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HYPERLINK("http://141.218.60.56/~jnz1568/getInfo.php?workbook=10_05.xlsx&amp;sheet=U0&amp;row=154&amp;col=6&amp;number=4&amp;sourceID=14","4")</f>
        <v>4</v>
      </c>
      <c r="G154" s="4" t="str">
        <f>HYPERLINK("http://141.218.60.56/~jnz1568/getInfo.php?workbook=10_05.xlsx&amp;sheet=U0&amp;row=154&amp;col=7&amp;number=1.02&amp;sourceID=14","1.02")</f>
        <v>1.02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HYPERLINK("http://141.218.60.56/~jnz1568/getInfo.php?workbook=10_05.xlsx&amp;sheet=U0&amp;row=155&amp;col=6&amp;number=4.1&amp;sourceID=14","4.1")</f>
        <v>4.1</v>
      </c>
      <c r="G155" s="4" t="str">
        <f>HYPERLINK("http://141.218.60.56/~jnz1568/getInfo.php?workbook=10_05.xlsx&amp;sheet=U0&amp;row=155&amp;col=7&amp;number=1.03&amp;sourceID=14","1.03")</f>
        <v>1.03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HYPERLINK("http://141.218.60.56/~jnz1568/getInfo.php?workbook=10_05.xlsx&amp;sheet=U0&amp;row=156&amp;col=6&amp;number=4.2&amp;sourceID=14","4.2")</f>
        <v>4.2</v>
      </c>
      <c r="G156" s="4" t="str">
        <f>HYPERLINK("http://141.218.60.56/~jnz1568/getInfo.php?workbook=10_05.xlsx&amp;sheet=U0&amp;row=156&amp;col=7&amp;number=1.05&amp;sourceID=14","1.05")</f>
        <v>1.05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HYPERLINK("http://141.218.60.56/~jnz1568/getInfo.php?workbook=10_05.xlsx&amp;sheet=U0&amp;row=157&amp;col=6&amp;number=4.3&amp;sourceID=14","4.3")</f>
        <v>4.3</v>
      </c>
      <c r="G157" s="4" t="str">
        <f>HYPERLINK("http://141.218.60.56/~jnz1568/getInfo.php?workbook=10_05.xlsx&amp;sheet=U0&amp;row=157&amp;col=7&amp;number=1.06&amp;sourceID=14","1.06")</f>
        <v>1.06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HYPERLINK("http://141.218.60.56/~jnz1568/getInfo.php?workbook=10_05.xlsx&amp;sheet=U0&amp;row=158&amp;col=6&amp;number=4.4&amp;sourceID=14","4.4")</f>
        <v>4.4</v>
      </c>
      <c r="G158" s="4" t="str">
        <f>HYPERLINK("http://141.218.60.56/~jnz1568/getInfo.php?workbook=10_05.xlsx&amp;sheet=U0&amp;row=158&amp;col=7&amp;number=1.07&amp;sourceID=14","1.07")</f>
        <v>1.07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HYPERLINK("http://141.218.60.56/~jnz1568/getInfo.php?workbook=10_05.xlsx&amp;sheet=U0&amp;row=159&amp;col=6&amp;number=4.5&amp;sourceID=14","4.5")</f>
        <v>4.5</v>
      </c>
      <c r="G159" s="4" t="str">
        <f>HYPERLINK("http://141.218.60.56/~jnz1568/getInfo.php?workbook=10_05.xlsx&amp;sheet=U0&amp;row=159&amp;col=7&amp;number=1.08&amp;sourceID=14","1.08")</f>
        <v>1.08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HYPERLINK("http://141.218.60.56/~jnz1568/getInfo.php?workbook=10_05.xlsx&amp;sheet=U0&amp;row=160&amp;col=6&amp;number=4.6&amp;sourceID=14","4.6")</f>
        <v>4.6</v>
      </c>
      <c r="G160" s="4" t="str">
        <f>HYPERLINK("http://141.218.60.56/~jnz1568/getInfo.php?workbook=10_05.xlsx&amp;sheet=U0&amp;row=160&amp;col=7&amp;number=1.09&amp;sourceID=14","1.09")</f>
        <v>1.09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HYPERLINK("http://141.218.60.56/~jnz1568/getInfo.php?workbook=10_05.xlsx&amp;sheet=U0&amp;row=161&amp;col=6&amp;number=4.7&amp;sourceID=14","4.7")</f>
        <v>4.7</v>
      </c>
      <c r="G161" s="4" t="str">
        <f>HYPERLINK("http://141.218.60.56/~jnz1568/getInfo.php?workbook=10_05.xlsx&amp;sheet=U0&amp;row=161&amp;col=7&amp;number=1.1&amp;sourceID=14","1.1")</f>
        <v>1.1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HYPERLINK("http://141.218.60.56/~jnz1568/getInfo.php?workbook=10_05.xlsx&amp;sheet=U0&amp;row=162&amp;col=6&amp;number=4.8&amp;sourceID=14","4.8")</f>
        <v>4.8</v>
      </c>
      <c r="G162" s="4" t="str">
        <f>HYPERLINK("http://141.218.60.56/~jnz1568/getInfo.php?workbook=10_05.xlsx&amp;sheet=U0&amp;row=162&amp;col=7&amp;number=1.11&amp;sourceID=14","1.11")</f>
        <v>1.11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HYPERLINK("http://141.218.60.56/~jnz1568/getInfo.php?workbook=10_05.xlsx&amp;sheet=U0&amp;row=163&amp;col=6&amp;number=4.9&amp;sourceID=14","4.9")</f>
        <v>4.9</v>
      </c>
      <c r="G163" s="4" t="str">
        <f>HYPERLINK("http://141.218.60.56/~jnz1568/getInfo.php?workbook=10_05.xlsx&amp;sheet=U0&amp;row=163&amp;col=7&amp;number=1.12&amp;sourceID=14","1.12")</f>
        <v>1.12</v>
      </c>
    </row>
    <row r="164" spans="1:7">
      <c r="A164" s="3">
        <v>10</v>
      </c>
      <c r="B164" s="3">
        <v>5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HYPERLINK("http://141.218.60.56/~jnz1568/getInfo.php?workbook=10_05.xlsx&amp;sheet=U0&amp;row=164&amp;col=6&amp;number=3&amp;sourceID=14","3")</f>
        <v>3</v>
      </c>
      <c r="G164" s="4" t="str">
        <f>HYPERLINK("http://141.218.60.56/~jnz1568/getInfo.php?workbook=10_05.xlsx&amp;sheet=U0&amp;row=164&amp;col=7&amp;number=0.507&amp;sourceID=14","0.507")</f>
        <v>0.507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HYPERLINK("http://141.218.60.56/~jnz1568/getInfo.php?workbook=10_05.xlsx&amp;sheet=U0&amp;row=165&amp;col=6&amp;number=3.1&amp;sourceID=14","3.1")</f>
        <v>3.1</v>
      </c>
      <c r="G165" s="4" t="str">
        <f>HYPERLINK("http://141.218.60.56/~jnz1568/getInfo.php?workbook=10_05.xlsx&amp;sheet=U0&amp;row=165&amp;col=7&amp;number=0.509&amp;sourceID=14","0.509")</f>
        <v>0.509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HYPERLINK("http://141.218.60.56/~jnz1568/getInfo.php?workbook=10_05.xlsx&amp;sheet=U0&amp;row=166&amp;col=6&amp;number=3.2&amp;sourceID=14","3.2")</f>
        <v>3.2</v>
      </c>
      <c r="G166" s="4" t="str">
        <f>HYPERLINK("http://141.218.60.56/~jnz1568/getInfo.php?workbook=10_05.xlsx&amp;sheet=U0&amp;row=166&amp;col=7&amp;number=0.511&amp;sourceID=14","0.511")</f>
        <v>0.511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HYPERLINK("http://141.218.60.56/~jnz1568/getInfo.php?workbook=10_05.xlsx&amp;sheet=U0&amp;row=167&amp;col=6&amp;number=3.3&amp;sourceID=14","3.3")</f>
        <v>3.3</v>
      </c>
      <c r="G167" s="4" t="str">
        <f>HYPERLINK("http://141.218.60.56/~jnz1568/getInfo.php?workbook=10_05.xlsx&amp;sheet=U0&amp;row=167&amp;col=7&amp;number=0.514&amp;sourceID=14","0.514")</f>
        <v>0.514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HYPERLINK("http://141.218.60.56/~jnz1568/getInfo.php?workbook=10_05.xlsx&amp;sheet=U0&amp;row=168&amp;col=6&amp;number=3.4&amp;sourceID=14","3.4")</f>
        <v>3.4</v>
      </c>
      <c r="G168" s="4" t="str">
        <f>HYPERLINK("http://141.218.60.56/~jnz1568/getInfo.php?workbook=10_05.xlsx&amp;sheet=U0&amp;row=168&amp;col=7&amp;number=0.517&amp;sourceID=14","0.517")</f>
        <v>0.517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HYPERLINK("http://141.218.60.56/~jnz1568/getInfo.php?workbook=10_05.xlsx&amp;sheet=U0&amp;row=169&amp;col=6&amp;number=3.5&amp;sourceID=14","3.5")</f>
        <v>3.5</v>
      </c>
      <c r="G169" s="4" t="str">
        <f>HYPERLINK("http://141.218.60.56/~jnz1568/getInfo.php?workbook=10_05.xlsx&amp;sheet=U0&amp;row=169&amp;col=7&amp;number=0.521&amp;sourceID=14","0.521")</f>
        <v>0.521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HYPERLINK("http://141.218.60.56/~jnz1568/getInfo.php?workbook=10_05.xlsx&amp;sheet=U0&amp;row=170&amp;col=6&amp;number=3.6&amp;sourceID=14","3.6")</f>
        <v>3.6</v>
      </c>
      <c r="G170" s="4" t="str">
        <f>HYPERLINK("http://141.218.60.56/~jnz1568/getInfo.php?workbook=10_05.xlsx&amp;sheet=U0&amp;row=170&amp;col=7&amp;number=0.526&amp;sourceID=14","0.526")</f>
        <v>0.526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HYPERLINK("http://141.218.60.56/~jnz1568/getInfo.php?workbook=10_05.xlsx&amp;sheet=U0&amp;row=171&amp;col=6&amp;number=3.7&amp;sourceID=14","3.7")</f>
        <v>3.7</v>
      </c>
      <c r="G171" s="4" t="str">
        <f>HYPERLINK("http://141.218.60.56/~jnz1568/getInfo.php?workbook=10_05.xlsx&amp;sheet=U0&amp;row=171&amp;col=7&amp;number=0.532&amp;sourceID=14","0.532")</f>
        <v>0.532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HYPERLINK("http://141.218.60.56/~jnz1568/getInfo.php?workbook=10_05.xlsx&amp;sheet=U0&amp;row=172&amp;col=6&amp;number=3.8&amp;sourceID=14","3.8")</f>
        <v>3.8</v>
      </c>
      <c r="G172" s="4" t="str">
        <f>HYPERLINK("http://141.218.60.56/~jnz1568/getInfo.php?workbook=10_05.xlsx&amp;sheet=U0&amp;row=172&amp;col=7&amp;number=0.539&amp;sourceID=14","0.539")</f>
        <v>0.539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HYPERLINK("http://141.218.60.56/~jnz1568/getInfo.php?workbook=10_05.xlsx&amp;sheet=U0&amp;row=173&amp;col=6&amp;number=3.9&amp;sourceID=14","3.9")</f>
        <v>3.9</v>
      </c>
      <c r="G173" s="4" t="str">
        <f>HYPERLINK("http://141.218.60.56/~jnz1568/getInfo.php?workbook=10_05.xlsx&amp;sheet=U0&amp;row=173&amp;col=7&amp;number=0.547&amp;sourceID=14","0.547")</f>
        <v>0.547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HYPERLINK("http://141.218.60.56/~jnz1568/getInfo.php?workbook=10_05.xlsx&amp;sheet=U0&amp;row=174&amp;col=6&amp;number=4&amp;sourceID=14","4")</f>
        <v>4</v>
      </c>
      <c r="G174" s="4" t="str">
        <f>HYPERLINK("http://141.218.60.56/~jnz1568/getInfo.php?workbook=10_05.xlsx&amp;sheet=U0&amp;row=174&amp;col=7&amp;number=0.555&amp;sourceID=14","0.555")</f>
        <v>0.555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HYPERLINK("http://141.218.60.56/~jnz1568/getInfo.php?workbook=10_05.xlsx&amp;sheet=U0&amp;row=175&amp;col=6&amp;number=4.1&amp;sourceID=14","4.1")</f>
        <v>4.1</v>
      </c>
      <c r="G175" s="4" t="str">
        <f>HYPERLINK("http://141.218.60.56/~jnz1568/getInfo.php?workbook=10_05.xlsx&amp;sheet=U0&amp;row=175&amp;col=7&amp;number=0.563&amp;sourceID=14","0.563")</f>
        <v>0.563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HYPERLINK("http://141.218.60.56/~jnz1568/getInfo.php?workbook=10_05.xlsx&amp;sheet=U0&amp;row=176&amp;col=6&amp;number=4.2&amp;sourceID=14","4.2")</f>
        <v>4.2</v>
      </c>
      <c r="G176" s="4" t="str">
        <f>HYPERLINK("http://141.218.60.56/~jnz1568/getInfo.php?workbook=10_05.xlsx&amp;sheet=U0&amp;row=176&amp;col=7&amp;number=0.57&amp;sourceID=14","0.57")</f>
        <v>0.57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HYPERLINK("http://141.218.60.56/~jnz1568/getInfo.php?workbook=10_05.xlsx&amp;sheet=U0&amp;row=177&amp;col=6&amp;number=4.3&amp;sourceID=14","4.3")</f>
        <v>4.3</v>
      </c>
      <c r="G177" s="4" t="str">
        <f>HYPERLINK("http://141.218.60.56/~jnz1568/getInfo.php?workbook=10_05.xlsx&amp;sheet=U0&amp;row=177&amp;col=7&amp;number=0.576&amp;sourceID=14","0.576")</f>
        <v>0.576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HYPERLINK("http://141.218.60.56/~jnz1568/getInfo.php?workbook=10_05.xlsx&amp;sheet=U0&amp;row=178&amp;col=6&amp;number=4.4&amp;sourceID=14","4.4")</f>
        <v>4.4</v>
      </c>
      <c r="G178" s="4" t="str">
        <f>HYPERLINK("http://141.218.60.56/~jnz1568/getInfo.php?workbook=10_05.xlsx&amp;sheet=U0&amp;row=178&amp;col=7&amp;number=0.58&amp;sourceID=14","0.58")</f>
        <v>0.58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HYPERLINK("http://141.218.60.56/~jnz1568/getInfo.php?workbook=10_05.xlsx&amp;sheet=U0&amp;row=179&amp;col=6&amp;number=4.5&amp;sourceID=14","4.5")</f>
        <v>4.5</v>
      </c>
      <c r="G179" s="4" t="str">
        <f>HYPERLINK("http://141.218.60.56/~jnz1568/getInfo.php?workbook=10_05.xlsx&amp;sheet=U0&amp;row=179&amp;col=7&amp;number=0.586&amp;sourceID=14","0.586")</f>
        <v>0.586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HYPERLINK("http://141.218.60.56/~jnz1568/getInfo.php?workbook=10_05.xlsx&amp;sheet=U0&amp;row=180&amp;col=6&amp;number=4.6&amp;sourceID=14","4.6")</f>
        <v>4.6</v>
      </c>
      <c r="G180" s="4" t="str">
        <f>HYPERLINK("http://141.218.60.56/~jnz1568/getInfo.php?workbook=10_05.xlsx&amp;sheet=U0&amp;row=180&amp;col=7&amp;number=0.592&amp;sourceID=14","0.592")</f>
        <v>0.592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HYPERLINK("http://141.218.60.56/~jnz1568/getInfo.php?workbook=10_05.xlsx&amp;sheet=U0&amp;row=181&amp;col=6&amp;number=4.7&amp;sourceID=14","4.7")</f>
        <v>4.7</v>
      </c>
      <c r="G181" s="4" t="str">
        <f>HYPERLINK("http://141.218.60.56/~jnz1568/getInfo.php?workbook=10_05.xlsx&amp;sheet=U0&amp;row=181&amp;col=7&amp;number=0.599&amp;sourceID=14","0.599")</f>
        <v>0.599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HYPERLINK("http://141.218.60.56/~jnz1568/getInfo.php?workbook=10_05.xlsx&amp;sheet=U0&amp;row=182&amp;col=6&amp;number=4.8&amp;sourceID=14","4.8")</f>
        <v>4.8</v>
      </c>
      <c r="G182" s="4" t="str">
        <f>HYPERLINK("http://141.218.60.56/~jnz1568/getInfo.php?workbook=10_05.xlsx&amp;sheet=U0&amp;row=182&amp;col=7&amp;number=0.604&amp;sourceID=14","0.604")</f>
        <v>0.604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HYPERLINK("http://141.218.60.56/~jnz1568/getInfo.php?workbook=10_05.xlsx&amp;sheet=U0&amp;row=183&amp;col=6&amp;number=4.9&amp;sourceID=14","4.9")</f>
        <v>4.9</v>
      </c>
      <c r="G183" s="4" t="str">
        <f>HYPERLINK("http://141.218.60.56/~jnz1568/getInfo.php?workbook=10_05.xlsx&amp;sheet=U0&amp;row=183&amp;col=7&amp;number=0.609&amp;sourceID=14","0.609")</f>
        <v>0.609</v>
      </c>
    </row>
    <row r="184" spans="1:7">
      <c r="A184" s="3">
        <v>10</v>
      </c>
      <c r="B184" s="3">
        <v>5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HYPERLINK("http://141.218.60.56/~jnz1568/getInfo.php?workbook=10_05.xlsx&amp;sheet=U0&amp;row=184&amp;col=6&amp;number=3&amp;sourceID=14","3")</f>
        <v>3</v>
      </c>
      <c r="G184" s="4" t="str">
        <f>HYPERLINK("http://141.218.60.56/~jnz1568/getInfo.php?workbook=10_05.xlsx&amp;sheet=U0&amp;row=184&amp;col=7&amp;number=0.00332&amp;sourceID=14","0.00332")</f>
        <v>0.00332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HYPERLINK("http://141.218.60.56/~jnz1568/getInfo.php?workbook=10_05.xlsx&amp;sheet=U0&amp;row=185&amp;col=6&amp;number=3.1&amp;sourceID=14","3.1")</f>
        <v>3.1</v>
      </c>
      <c r="G185" s="4" t="str">
        <f>HYPERLINK("http://141.218.60.56/~jnz1568/getInfo.php?workbook=10_05.xlsx&amp;sheet=U0&amp;row=185&amp;col=7&amp;number=0.00332&amp;sourceID=14","0.00332")</f>
        <v>0.00332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HYPERLINK("http://141.218.60.56/~jnz1568/getInfo.php?workbook=10_05.xlsx&amp;sheet=U0&amp;row=186&amp;col=6&amp;number=3.2&amp;sourceID=14","3.2")</f>
        <v>3.2</v>
      </c>
      <c r="G186" s="4" t="str">
        <f>HYPERLINK("http://141.218.60.56/~jnz1568/getInfo.php?workbook=10_05.xlsx&amp;sheet=U0&amp;row=186&amp;col=7&amp;number=0.00333&amp;sourceID=14","0.00333")</f>
        <v>0.00333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HYPERLINK("http://141.218.60.56/~jnz1568/getInfo.php?workbook=10_05.xlsx&amp;sheet=U0&amp;row=187&amp;col=6&amp;number=3.3&amp;sourceID=14","3.3")</f>
        <v>3.3</v>
      </c>
      <c r="G187" s="4" t="str">
        <f>HYPERLINK("http://141.218.60.56/~jnz1568/getInfo.php?workbook=10_05.xlsx&amp;sheet=U0&amp;row=187&amp;col=7&amp;number=0.00335&amp;sourceID=14","0.00335")</f>
        <v>0.00335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HYPERLINK("http://141.218.60.56/~jnz1568/getInfo.php?workbook=10_05.xlsx&amp;sheet=U0&amp;row=188&amp;col=6&amp;number=3.4&amp;sourceID=14","3.4")</f>
        <v>3.4</v>
      </c>
      <c r="G188" s="4" t="str">
        <f>HYPERLINK("http://141.218.60.56/~jnz1568/getInfo.php?workbook=10_05.xlsx&amp;sheet=U0&amp;row=188&amp;col=7&amp;number=0.00336&amp;sourceID=14","0.00336")</f>
        <v>0.00336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HYPERLINK("http://141.218.60.56/~jnz1568/getInfo.php?workbook=10_05.xlsx&amp;sheet=U0&amp;row=189&amp;col=6&amp;number=3.5&amp;sourceID=14","3.5")</f>
        <v>3.5</v>
      </c>
      <c r="G189" s="4" t="str">
        <f>HYPERLINK("http://141.218.60.56/~jnz1568/getInfo.php?workbook=10_05.xlsx&amp;sheet=U0&amp;row=189&amp;col=7&amp;number=0.00338&amp;sourceID=14","0.00338")</f>
        <v>0.00338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HYPERLINK("http://141.218.60.56/~jnz1568/getInfo.php?workbook=10_05.xlsx&amp;sheet=U0&amp;row=190&amp;col=6&amp;number=3.6&amp;sourceID=14","3.6")</f>
        <v>3.6</v>
      </c>
      <c r="G190" s="4" t="str">
        <f>HYPERLINK("http://141.218.60.56/~jnz1568/getInfo.php?workbook=10_05.xlsx&amp;sheet=U0&amp;row=190&amp;col=7&amp;number=0.0034&amp;sourceID=14","0.0034")</f>
        <v>0.0034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HYPERLINK("http://141.218.60.56/~jnz1568/getInfo.php?workbook=10_05.xlsx&amp;sheet=U0&amp;row=191&amp;col=6&amp;number=3.7&amp;sourceID=14","3.7")</f>
        <v>3.7</v>
      </c>
      <c r="G191" s="4" t="str">
        <f>HYPERLINK("http://141.218.60.56/~jnz1568/getInfo.php?workbook=10_05.xlsx&amp;sheet=U0&amp;row=191&amp;col=7&amp;number=0.00343&amp;sourceID=14","0.00343")</f>
        <v>0.00343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HYPERLINK("http://141.218.60.56/~jnz1568/getInfo.php?workbook=10_05.xlsx&amp;sheet=U0&amp;row=192&amp;col=6&amp;number=3.8&amp;sourceID=14","3.8")</f>
        <v>3.8</v>
      </c>
      <c r="G192" s="4" t="str">
        <f>HYPERLINK("http://141.218.60.56/~jnz1568/getInfo.php?workbook=10_05.xlsx&amp;sheet=U0&amp;row=192&amp;col=7&amp;number=0.00347&amp;sourceID=14","0.00347")</f>
        <v>0.00347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HYPERLINK("http://141.218.60.56/~jnz1568/getInfo.php?workbook=10_05.xlsx&amp;sheet=U0&amp;row=193&amp;col=6&amp;number=3.9&amp;sourceID=14","3.9")</f>
        <v>3.9</v>
      </c>
      <c r="G193" s="4" t="str">
        <f>HYPERLINK("http://141.218.60.56/~jnz1568/getInfo.php?workbook=10_05.xlsx&amp;sheet=U0&amp;row=193&amp;col=7&amp;number=0.00351&amp;sourceID=14","0.00351")</f>
        <v>0.00351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HYPERLINK("http://141.218.60.56/~jnz1568/getInfo.php?workbook=10_05.xlsx&amp;sheet=U0&amp;row=194&amp;col=6&amp;number=4&amp;sourceID=14","4")</f>
        <v>4</v>
      </c>
      <c r="G194" s="4" t="str">
        <f>HYPERLINK("http://141.218.60.56/~jnz1568/getInfo.php?workbook=10_05.xlsx&amp;sheet=U0&amp;row=194&amp;col=7&amp;number=0.00355&amp;sourceID=14","0.00355")</f>
        <v>0.00355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HYPERLINK("http://141.218.60.56/~jnz1568/getInfo.php?workbook=10_05.xlsx&amp;sheet=U0&amp;row=195&amp;col=6&amp;number=4.1&amp;sourceID=14","4.1")</f>
        <v>4.1</v>
      </c>
      <c r="G195" s="4" t="str">
        <f>HYPERLINK("http://141.218.60.56/~jnz1568/getInfo.php?workbook=10_05.xlsx&amp;sheet=U0&amp;row=195&amp;col=7&amp;number=0.0036&amp;sourceID=14","0.0036")</f>
        <v>0.0036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HYPERLINK("http://141.218.60.56/~jnz1568/getInfo.php?workbook=10_05.xlsx&amp;sheet=U0&amp;row=196&amp;col=6&amp;number=4.2&amp;sourceID=14","4.2")</f>
        <v>4.2</v>
      </c>
      <c r="G196" s="4" t="str">
        <f>HYPERLINK("http://141.218.60.56/~jnz1568/getInfo.php?workbook=10_05.xlsx&amp;sheet=U0&amp;row=196&amp;col=7&amp;number=0.00364&amp;sourceID=14","0.00364")</f>
        <v>0.00364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HYPERLINK("http://141.218.60.56/~jnz1568/getInfo.php?workbook=10_05.xlsx&amp;sheet=U0&amp;row=197&amp;col=6&amp;number=4.3&amp;sourceID=14","4.3")</f>
        <v>4.3</v>
      </c>
      <c r="G197" s="4" t="str">
        <f>HYPERLINK("http://141.218.60.56/~jnz1568/getInfo.php?workbook=10_05.xlsx&amp;sheet=U0&amp;row=197&amp;col=7&amp;number=0.00366&amp;sourceID=14","0.00366")</f>
        <v>0.00366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HYPERLINK("http://141.218.60.56/~jnz1568/getInfo.php?workbook=10_05.xlsx&amp;sheet=U0&amp;row=198&amp;col=6&amp;number=4.4&amp;sourceID=14","4.4")</f>
        <v>4.4</v>
      </c>
      <c r="G198" s="4" t="str">
        <f>HYPERLINK("http://141.218.60.56/~jnz1568/getInfo.php?workbook=10_05.xlsx&amp;sheet=U0&amp;row=198&amp;col=7&amp;number=0.00363&amp;sourceID=14","0.00363")</f>
        <v>0.00363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HYPERLINK("http://141.218.60.56/~jnz1568/getInfo.php?workbook=10_05.xlsx&amp;sheet=U0&amp;row=199&amp;col=6&amp;number=4.5&amp;sourceID=14","4.5")</f>
        <v>4.5</v>
      </c>
      <c r="G199" s="4" t="str">
        <f>HYPERLINK("http://141.218.60.56/~jnz1568/getInfo.php?workbook=10_05.xlsx&amp;sheet=U0&amp;row=199&amp;col=7&amp;number=0.00356&amp;sourceID=14","0.00356")</f>
        <v>0.00356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HYPERLINK("http://141.218.60.56/~jnz1568/getInfo.php?workbook=10_05.xlsx&amp;sheet=U0&amp;row=200&amp;col=6&amp;number=4.6&amp;sourceID=14","4.6")</f>
        <v>4.6</v>
      </c>
      <c r="G200" s="4" t="str">
        <f>HYPERLINK("http://141.218.60.56/~jnz1568/getInfo.php?workbook=10_05.xlsx&amp;sheet=U0&amp;row=200&amp;col=7&amp;number=0.00344&amp;sourceID=14","0.00344")</f>
        <v>0.00344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HYPERLINK("http://141.218.60.56/~jnz1568/getInfo.php?workbook=10_05.xlsx&amp;sheet=U0&amp;row=201&amp;col=6&amp;number=4.7&amp;sourceID=14","4.7")</f>
        <v>4.7</v>
      </c>
      <c r="G201" s="4" t="str">
        <f>HYPERLINK("http://141.218.60.56/~jnz1568/getInfo.php?workbook=10_05.xlsx&amp;sheet=U0&amp;row=201&amp;col=7&amp;number=0.00329&amp;sourceID=14","0.00329")</f>
        <v>0.00329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HYPERLINK("http://141.218.60.56/~jnz1568/getInfo.php?workbook=10_05.xlsx&amp;sheet=U0&amp;row=202&amp;col=6&amp;number=4.8&amp;sourceID=14","4.8")</f>
        <v>4.8</v>
      </c>
      <c r="G202" s="4" t="str">
        <f>HYPERLINK("http://141.218.60.56/~jnz1568/getInfo.php?workbook=10_05.xlsx&amp;sheet=U0&amp;row=202&amp;col=7&amp;number=0.00314&amp;sourceID=14","0.00314")</f>
        <v>0.00314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HYPERLINK("http://141.218.60.56/~jnz1568/getInfo.php?workbook=10_05.xlsx&amp;sheet=U0&amp;row=203&amp;col=6&amp;number=4.9&amp;sourceID=14","4.9")</f>
        <v>4.9</v>
      </c>
      <c r="G203" s="4" t="str">
        <f>HYPERLINK("http://141.218.60.56/~jnz1568/getInfo.php?workbook=10_05.xlsx&amp;sheet=U0&amp;row=203&amp;col=7&amp;number=0.00303&amp;sourceID=14","0.00303")</f>
        <v>0.00303</v>
      </c>
    </row>
    <row r="204" spans="1:7">
      <c r="A204" s="3">
        <v>10</v>
      </c>
      <c r="B204" s="3">
        <v>5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HYPERLINK("http://141.218.60.56/~jnz1568/getInfo.php?workbook=10_05.xlsx&amp;sheet=U0&amp;row=204&amp;col=6&amp;number=3&amp;sourceID=14","3")</f>
        <v>3</v>
      </c>
      <c r="G204" s="4" t="str">
        <f>HYPERLINK("http://141.218.60.56/~jnz1568/getInfo.php?workbook=10_05.xlsx&amp;sheet=U0&amp;row=204&amp;col=7&amp;number=0.0308&amp;sourceID=14","0.0308")</f>
        <v>0.0308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HYPERLINK("http://141.218.60.56/~jnz1568/getInfo.php?workbook=10_05.xlsx&amp;sheet=U0&amp;row=205&amp;col=6&amp;number=3.1&amp;sourceID=14","3.1")</f>
        <v>3.1</v>
      </c>
      <c r="G205" s="4" t="str">
        <f>HYPERLINK("http://141.218.60.56/~jnz1568/getInfo.php?workbook=10_05.xlsx&amp;sheet=U0&amp;row=205&amp;col=7&amp;number=0.0308&amp;sourceID=14","0.0308")</f>
        <v>0.0308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HYPERLINK("http://141.218.60.56/~jnz1568/getInfo.php?workbook=10_05.xlsx&amp;sheet=U0&amp;row=206&amp;col=6&amp;number=3.2&amp;sourceID=14","3.2")</f>
        <v>3.2</v>
      </c>
      <c r="G206" s="4" t="str">
        <f>HYPERLINK("http://141.218.60.56/~jnz1568/getInfo.php?workbook=10_05.xlsx&amp;sheet=U0&amp;row=206&amp;col=7&amp;number=0.0308&amp;sourceID=14","0.0308")</f>
        <v>0.0308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HYPERLINK("http://141.218.60.56/~jnz1568/getInfo.php?workbook=10_05.xlsx&amp;sheet=U0&amp;row=207&amp;col=6&amp;number=3.3&amp;sourceID=14","3.3")</f>
        <v>3.3</v>
      </c>
      <c r="G207" s="4" t="str">
        <f>HYPERLINK("http://141.218.60.56/~jnz1568/getInfo.php?workbook=10_05.xlsx&amp;sheet=U0&amp;row=207&amp;col=7&amp;number=0.0307&amp;sourceID=14","0.0307")</f>
        <v>0.0307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HYPERLINK("http://141.218.60.56/~jnz1568/getInfo.php?workbook=10_05.xlsx&amp;sheet=U0&amp;row=208&amp;col=6&amp;number=3.4&amp;sourceID=14","3.4")</f>
        <v>3.4</v>
      </c>
      <c r="G208" s="4" t="str">
        <f>HYPERLINK("http://141.218.60.56/~jnz1568/getInfo.php?workbook=10_05.xlsx&amp;sheet=U0&amp;row=208&amp;col=7&amp;number=0.0307&amp;sourceID=14","0.0307")</f>
        <v>0.0307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HYPERLINK("http://141.218.60.56/~jnz1568/getInfo.php?workbook=10_05.xlsx&amp;sheet=U0&amp;row=209&amp;col=6&amp;number=3.5&amp;sourceID=14","3.5")</f>
        <v>3.5</v>
      </c>
      <c r="G209" s="4" t="str">
        <f>HYPERLINK("http://141.218.60.56/~jnz1568/getInfo.php?workbook=10_05.xlsx&amp;sheet=U0&amp;row=209&amp;col=7&amp;number=0.0307&amp;sourceID=14","0.0307")</f>
        <v>0.0307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HYPERLINK("http://141.218.60.56/~jnz1568/getInfo.php?workbook=10_05.xlsx&amp;sheet=U0&amp;row=210&amp;col=6&amp;number=3.6&amp;sourceID=14","3.6")</f>
        <v>3.6</v>
      </c>
      <c r="G210" s="4" t="str">
        <f>HYPERLINK("http://141.218.60.56/~jnz1568/getInfo.php?workbook=10_05.xlsx&amp;sheet=U0&amp;row=210&amp;col=7&amp;number=0.0307&amp;sourceID=14","0.0307")</f>
        <v>0.0307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HYPERLINK("http://141.218.60.56/~jnz1568/getInfo.php?workbook=10_05.xlsx&amp;sheet=U0&amp;row=211&amp;col=6&amp;number=3.7&amp;sourceID=14","3.7")</f>
        <v>3.7</v>
      </c>
      <c r="G211" s="4" t="str">
        <f>HYPERLINK("http://141.218.60.56/~jnz1568/getInfo.php?workbook=10_05.xlsx&amp;sheet=U0&amp;row=211&amp;col=7&amp;number=0.0307&amp;sourceID=14","0.0307")</f>
        <v>0.0307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HYPERLINK("http://141.218.60.56/~jnz1568/getInfo.php?workbook=10_05.xlsx&amp;sheet=U0&amp;row=212&amp;col=6&amp;number=3.8&amp;sourceID=14","3.8")</f>
        <v>3.8</v>
      </c>
      <c r="G212" s="4" t="str">
        <f>HYPERLINK("http://141.218.60.56/~jnz1568/getInfo.php?workbook=10_05.xlsx&amp;sheet=U0&amp;row=212&amp;col=7&amp;number=0.0307&amp;sourceID=14","0.0307")</f>
        <v>0.0307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HYPERLINK("http://141.218.60.56/~jnz1568/getInfo.php?workbook=10_05.xlsx&amp;sheet=U0&amp;row=213&amp;col=6&amp;number=3.9&amp;sourceID=14","3.9")</f>
        <v>3.9</v>
      </c>
      <c r="G213" s="4" t="str">
        <f>HYPERLINK("http://141.218.60.56/~jnz1568/getInfo.php?workbook=10_05.xlsx&amp;sheet=U0&amp;row=213&amp;col=7&amp;number=0.0306&amp;sourceID=14","0.0306")</f>
        <v>0.0306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HYPERLINK("http://141.218.60.56/~jnz1568/getInfo.php?workbook=10_05.xlsx&amp;sheet=U0&amp;row=214&amp;col=6&amp;number=4&amp;sourceID=14","4")</f>
        <v>4</v>
      </c>
      <c r="G214" s="4" t="str">
        <f>HYPERLINK("http://141.218.60.56/~jnz1568/getInfo.php?workbook=10_05.xlsx&amp;sheet=U0&amp;row=214&amp;col=7&amp;number=0.0306&amp;sourceID=14","0.0306")</f>
        <v>0.0306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HYPERLINK("http://141.218.60.56/~jnz1568/getInfo.php?workbook=10_05.xlsx&amp;sheet=U0&amp;row=215&amp;col=6&amp;number=4.1&amp;sourceID=14","4.1")</f>
        <v>4.1</v>
      </c>
      <c r="G215" s="4" t="str">
        <f>HYPERLINK("http://141.218.60.56/~jnz1568/getInfo.php?workbook=10_05.xlsx&amp;sheet=U0&amp;row=215&amp;col=7&amp;number=0.0306&amp;sourceID=14","0.0306")</f>
        <v>0.0306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HYPERLINK("http://141.218.60.56/~jnz1568/getInfo.php?workbook=10_05.xlsx&amp;sheet=U0&amp;row=216&amp;col=6&amp;number=4.2&amp;sourceID=14","4.2")</f>
        <v>4.2</v>
      </c>
      <c r="G216" s="4" t="str">
        <f>HYPERLINK("http://141.218.60.56/~jnz1568/getInfo.php?workbook=10_05.xlsx&amp;sheet=U0&amp;row=216&amp;col=7&amp;number=0.0305&amp;sourceID=14","0.0305")</f>
        <v>0.0305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HYPERLINK("http://141.218.60.56/~jnz1568/getInfo.php?workbook=10_05.xlsx&amp;sheet=U0&amp;row=217&amp;col=6&amp;number=4.3&amp;sourceID=14","4.3")</f>
        <v>4.3</v>
      </c>
      <c r="G217" s="4" t="str">
        <f>HYPERLINK("http://141.218.60.56/~jnz1568/getInfo.php?workbook=10_05.xlsx&amp;sheet=U0&amp;row=217&amp;col=7&amp;number=0.0304&amp;sourceID=14","0.0304")</f>
        <v>0.0304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HYPERLINK("http://141.218.60.56/~jnz1568/getInfo.php?workbook=10_05.xlsx&amp;sheet=U0&amp;row=218&amp;col=6&amp;number=4.4&amp;sourceID=14","4.4")</f>
        <v>4.4</v>
      </c>
      <c r="G218" s="4" t="str">
        <f>HYPERLINK("http://141.218.60.56/~jnz1568/getInfo.php?workbook=10_05.xlsx&amp;sheet=U0&amp;row=218&amp;col=7&amp;number=0.0303&amp;sourceID=14","0.0303")</f>
        <v>0.0303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HYPERLINK("http://141.218.60.56/~jnz1568/getInfo.php?workbook=10_05.xlsx&amp;sheet=U0&amp;row=219&amp;col=6&amp;number=4.5&amp;sourceID=14","4.5")</f>
        <v>4.5</v>
      </c>
      <c r="G219" s="4" t="str">
        <f>HYPERLINK("http://141.218.60.56/~jnz1568/getInfo.php?workbook=10_05.xlsx&amp;sheet=U0&amp;row=219&amp;col=7&amp;number=0.0302&amp;sourceID=14","0.0302")</f>
        <v>0.0302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HYPERLINK("http://141.218.60.56/~jnz1568/getInfo.php?workbook=10_05.xlsx&amp;sheet=U0&amp;row=220&amp;col=6&amp;number=4.6&amp;sourceID=14","4.6")</f>
        <v>4.6</v>
      </c>
      <c r="G220" s="4" t="str">
        <f>HYPERLINK("http://141.218.60.56/~jnz1568/getInfo.php?workbook=10_05.xlsx&amp;sheet=U0&amp;row=220&amp;col=7&amp;number=0.03&amp;sourceID=14","0.03")</f>
        <v>0.03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HYPERLINK("http://141.218.60.56/~jnz1568/getInfo.php?workbook=10_05.xlsx&amp;sheet=U0&amp;row=221&amp;col=6&amp;number=4.7&amp;sourceID=14","4.7")</f>
        <v>4.7</v>
      </c>
      <c r="G221" s="4" t="str">
        <f>HYPERLINK("http://141.218.60.56/~jnz1568/getInfo.php?workbook=10_05.xlsx&amp;sheet=U0&amp;row=221&amp;col=7&amp;number=0.0299&amp;sourceID=14","0.0299")</f>
        <v>0.0299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HYPERLINK("http://141.218.60.56/~jnz1568/getInfo.php?workbook=10_05.xlsx&amp;sheet=U0&amp;row=222&amp;col=6&amp;number=4.8&amp;sourceID=14","4.8")</f>
        <v>4.8</v>
      </c>
      <c r="G222" s="4" t="str">
        <f>HYPERLINK("http://141.218.60.56/~jnz1568/getInfo.php?workbook=10_05.xlsx&amp;sheet=U0&amp;row=222&amp;col=7&amp;number=0.0298&amp;sourceID=14","0.0298")</f>
        <v>0.0298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HYPERLINK("http://141.218.60.56/~jnz1568/getInfo.php?workbook=10_05.xlsx&amp;sheet=U0&amp;row=223&amp;col=6&amp;number=4.9&amp;sourceID=14","4.9")</f>
        <v>4.9</v>
      </c>
      <c r="G223" s="4" t="str">
        <f>HYPERLINK("http://141.218.60.56/~jnz1568/getInfo.php?workbook=10_05.xlsx&amp;sheet=U0&amp;row=223&amp;col=7&amp;number=0.0298&amp;sourceID=14","0.0298")</f>
        <v>0.0298</v>
      </c>
    </row>
    <row r="224" spans="1:7">
      <c r="A224" s="3">
        <v>10</v>
      </c>
      <c r="B224" s="3">
        <v>5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HYPERLINK("http://141.218.60.56/~jnz1568/getInfo.php?workbook=10_05.xlsx&amp;sheet=U0&amp;row=224&amp;col=6&amp;number=3&amp;sourceID=14","3")</f>
        <v>3</v>
      </c>
      <c r="G224" s="4" t="str">
        <f>HYPERLINK("http://141.218.60.56/~jnz1568/getInfo.php?workbook=10_05.xlsx&amp;sheet=U0&amp;row=224&amp;col=7&amp;number=0.024&amp;sourceID=14","0.024")</f>
        <v>0.024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HYPERLINK("http://141.218.60.56/~jnz1568/getInfo.php?workbook=10_05.xlsx&amp;sheet=U0&amp;row=225&amp;col=6&amp;number=3.1&amp;sourceID=14","3.1")</f>
        <v>3.1</v>
      </c>
      <c r="G225" s="4" t="str">
        <f>HYPERLINK("http://141.218.60.56/~jnz1568/getInfo.php?workbook=10_05.xlsx&amp;sheet=U0&amp;row=225&amp;col=7&amp;number=0.024&amp;sourceID=14","0.024")</f>
        <v>0.024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HYPERLINK("http://141.218.60.56/~jnz1568/getInfo.php?workbook=10_05.xlsx&amp;sheet=U0&amp;row=226&amp;col=6&amp;number=3.2&amp;sourceID=14","3.2")</f>
        <v>3.2</v>
      </c>
      <c r="G226" s="4" t="str">
        <f>HYPERLINK("http://141.218.60.56/~jnz1568/getInfo.php?workbook=10_05.xlsx&amp;sheet=U0&amp;row=226&amp;col=7&amp;number=0.024&amp;sourceID=14","0.024")</f>
        <v>0.024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HYPERLINK("http://141.218.60.56/~jnz1568/getInfo.php?workbook=10_05.xlsx&amp;sheet=U0&amp;row=227&amp;col=6&amp;number=3.3&amp;sourceID=14","3.3")</f>
        <v>3.3</v>
      </c>
      <c r="G227" s="4" t="str">
        <f>HYPERLINK("http://141.218.60.56/~jnz1568/getInfo.php?workbook=10_05.xlsx&amp;sheet=U0&amp;row=227&amp;col=7&amp;number=0.024&amp;sourceID=14","0.024")</f>
        <v>0.024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HYPERLINK("http://141.218.60.56/~jnz1568/getInfo.php?workbook=10_05.xlsx&amp;sheet=U0&amp;row=228&amp;col=6&amp;number=3.4&amp;sourceID=14","3.4")</f>
        <v>3.4</v>
      </c>
      <c r="G228" s="4" t="str">
        <f>HYPERLINK("http://141.218.60.56/~jnz1568/getInfo.php?workbook=10_05.xlsx&amp;sheet=U0&amp;row=228&amp;col=7&amp;number=0.0239&amp;sourceID=14","0.0239")</f>
        <v>0.0239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HYPERLINK("http://141.218.60.56/~jnz1568/getInfo.php?workbook=10_05.xlsx&amp;sheet=U0&amp;row=229&amp;col=6&amp;number=3.5&amp;sourceID=14","3.5")</f>
        <v>3.5</v>
      </c>
      <c r="G229" s="4" t="str">
        <f>HYPERLINK("http://141.218.60.56/~jnz1568/getInfo.php?workbook=10_05.xlsx&amp;sheet=U0&amp;row=229&amp;col=7&amp;number=0.0239&amp;sourceID=14","0.0239")</f>
        <v>0.0239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HYPERLINK("http://141.218.60.56/~jnz1568/getInfo.php?workbook=10_05.xlsx&amp;sheet=U0&amp;row=230&amp;col=6&amp;number=3.6&amp;sourceID=14","3.6")</f>
        <v>3.6</v>
      </c>
      <c r="G230" s="4" t="str">
        <f>HYPERLINK("http://141.218.60.56/~jnz1568/getInfo.php?workbook=10_05.xlsx&amp;sheet=U0&amp;row=230&amp;col=7&amp;number=0.0238&amp;sourceID=14","0.0238")</f>
        <v>0.0238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HYPERLINK("http://141.218.60.56/~jnz1568/getInfo.php?workbook=10_05.xlsx&amp;sheet=U0&amp;row=231&amp;col=6&amp;number=3.7&amp;sourceID=14","3.7")</f>
        <v>3.7</v>
      </c>
      <c r="G231" s="4" t="str">
        <f>HYPERLINK("http://141.218.60.56/~jnz1568/getInfo.php?workbook=10_05.xlsx&amp;sheet=U0&amp;row=231&amp;col=7&amp;number=0.0237&amp;sourceID=14","0.0237")</f>
        <v>0.0237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HYPERLINK("http://141.218.60.56/~jnz1568/getInfo.php?workbook=10_05.xlsx&amp;sheet=U0&amp;row=232&amp;col=6&amp;number=3.8&amp;sourceID=14","3.8")</f>
        <v>3.8</v>
      </c>
      <c r="G232" s="4" t="str">
        <f>HYPERLINK("http://141.218.60.56/~jnz1568/getInfo.php?workbook=10_05.xlsx&amp;sheet=U0&amp;row=232&amp;col=7&amp;number=0.0236&amp;sourceID=14","0.0236")</f>
        <v>0.0236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HYPERLINK("http://141.218.60.56/~jnz1568/getInfo.php?workbook=10_05.xlsx&amp;sheet=U0&amp;row=233&amp;col=6&amp;number=3.9&amp;sourceID=14","3.9")</f>
        <v>3.9</v>
      </c>
      <c r="G233" s="4" t="str">
        <f>HYPERLINK("http://141.218.60.56/~jnz1568/getInfo.php?workbook=10_05.xlsx&amp;sheet=U0&amp;row=233&amp;col=7&amp;number=0.0235&amp;sourceID=14","0.0235")</f>
        <v>0.0235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HYPERLINK("http://141.218.60.56/~jnz1568/getInfo.php?workbook=10_05.xlsx&amp;sheet=U0&amp;row=234&amp;col=6&amp;number=4&amp;sourceID=14","4")</f>
        <v>4</v>
      </c>
      <c r="G234" s="4" t="str">
        <f>HYPERLINK("http://141.218.60.56/~jnz1568/getInfo.php?workbook=10_05.xlsx&amp;sheet=U0&amp;row=234&amp;col=7&amp;number=0.0234&amp;sourceID=14","0.0234")</f>
        <v>0.0234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HYPERLINK("http://141.218.60.56/~jnz1568/getInfo.php?workbook=10_05.xlsx&amp;sheet=U0&amp;row=235&amp;col=6&amp;number=4.1&amp;sourceID=14","4.1")</f>
        <v>4.1</v>
      </c>
      <c r="G235" s="4" t="str">
        <f>HYPERLINK("http://141.218.60.56/~jnz1568/getInfo.php?workbook=10_05.xlsx&amp;sheet=U0&amp;row=235&amp;col=7&amp;number=0.0232&amp;sourceID=14","0.0232")</f>
        <v>0.0232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HYPERLINK("http://141.218.60.56/~jnz1568/getInfo.php?workbook=10_05.xlsx&amp;sheet=U0&amp;row=236&amp;col=6&amp;number=4.2&amp;sourceID=14","4.2")</f>
        <v>4.2</v>
      </c>
      <c r="G236" s="4" t="str">
        <f>HYPERLINK("http://141.218.60.56/~jnz1568/getInfo.php?workbook=10_05.xlsx&amp;sheet=U0&amp;row=236&amp;col=7&amp;number=0.023&amp;sourceID=14","0.023")</f>
        <v>0.023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HYPERLINK("http://141.218.60.56/~jnz1568/getInfo.php?workbook=10_05.xlsx&amp;sheet=U0&amp;row=237&amp;col=6&amp;number=4.3&amp;sourceID=14","4.3")</f>
        <v>4.3</v>
      </c>
      <c r="G237" s="4" t="str">
        <f>HYPERLINK("http://141.218.60.56/~jnz1568/getInfo.php?workbook=10_05.xlsx&amp;sheet=U0&amp;row=237&amp;col=7&amp;number=0.0228&amp;sourceID=14","0.0228")</f>
        <v>0.0228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HYPERLINK("http://141.218.60.56/~jnz1568/getInfo.php?workbook=10_05.xlsx&amp;sheet=U0&amp;row=238&amp;col=6&amp;number=4.4&amp;sourceID=14","4.4")</f>
        <v>4.4</v>
      </c>
      <c r="G238" s="4" t="str">
        <f>HYPERLINK("http://141.218.60.56/~jnz1568/getInfo.php?workbook=10_05.xlsx&amp;sheet=U0&amp;row=238&amp;col=7&amp;number=0.0226&amp;sourceID=14","0.0226")</f>
        <v>0.0226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HYPERLINK("http://141.218.60.56/~jnz1568/getInfo.php?workbook=10_05.xlsx&amp;sheet=U0&amp;row=239&amp;col=6&amp;number=4.5&amp;sourceID=14","4.5")</f>
        <v>4.5</v>
      </c>
      <c r="G239" s="4" t="str">
        <f>HYPERLINK("http://141.218.60.56/~jnz1568/getInfo.php?workbook=10_05.xlsx&amp;sheet=U0&amp;row=239&amp;col=7&amp;number=0.0224&amp;sourceID=14","0.0224")</f>
        <v>0.0224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HYPERLINK("http://141.218.60.56/~jnz1568/getInfo.php?workbook=10_05.xlsx&amp;sheet=U0&amp;row=240&amp;col=6&amp;number=4.6&amp;sourceID=14","4.6")</f>
        <v>4.6</v>
      </c>
      <c r="G240" s="4" t="str">
        <f>HYPERLINK("http://141.218.60.56/~jnz1568/getInfo.php?workbook=10_05.xlsx&amp;sheet=U0&amp;row=240&amp;col=7&amp;number=0.0222&amp;sourceID=14","0.0222")</f>
        <v>0.0222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HYPERLINK("http://141.218.60.56/~jnz1568/getInfo.php?workbook=10_05.xlsx&amp;sheet=U0&amp;row=241&amp;col=6&amp;number=4.7&amp;sourceID=14","4.7")</f>
        <v>4.7</v>
      </c>
      <c r="G241" s="4" t="str">
        <f>HYPERLINK("http://141.218.60.56/~jnz1568/getInfo.php?workbook=10_05.xlsx&amp;sheet=U0&amp;row=241&amp;col=7&amp;number=0.022&amp;sourceID=14","0.022")</f>
        <v>0.022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HYPERLINK("http://141.218.60.56/~jnz1568/getInfo.php?workbook=10_05.xlsx&amp;sheet=U0&amp;row=242&amp;col=6&amp;number=4.8&amp;sourceID=14","4.8")</f>
        <v>4.8</v>
      </c>
      <c r="G242" s="4" t="str">
        <f>HYPERLINK("http://141.218.60.56/~jnz1568/getInfo.php?workbook=10_05.xlsx&amp;sheet=U0&amp;row=242&amp;col=7&amp;number=0.0218&amp;sourceID=14","0.0218")</f>
        <v>0.0218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HYPERLINK("http://141.218.60.56/~jnz1568/getInfo.php?workbook=10_05.xlsx&amp;sheet=U0&amp;row=243&amp;col=6&amp;number=4.9&amp;sourceID=14","4.9")</f>
        <v>4.9</v>
      </c>
      <c r="G243" s="4" t="str">
        <f>HYPERLINK("http://141.218.60.56/~jnz1568/getInfo.php?workbook=10_05.xlsx&amp;sheet=U0&amp;row=243&amp;col=7&amp;number=0.0218&amp;sourceID=14","0.0218")</f>
        <v>0.0218</v>
      </c>
    </row>
    <row r="244" spans="1:7">
      <c r="A244" s="3">
        <v>10</v>
      </c>
      <c r="B244" s="3">
        <v>5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HYPERLINK("http://141.218.60.56/~jnz1568/getInfo.php?workbook=10_05.xlsx&amp;sheet=U0&amp;row=244&amp;col=6&amp;number=3&amp;sourceID=14","3")</f>
        <v>3</v>
      </c>
      <c r="G244" s="4" t="str">
        <f>HYPERLINK("http://141.218.60.56/~jnz1568/getInfo.php?workbook=10_05.xlsx&amp;sheet=U0&amp;row=244&amp;col=7&amp;number=0.0118&amp;sourceID=14","0.0118")</f>
        <v>0.0118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HYPERLINK("http://141.218.60.56/~jnz1568/getInfo.php?workbook=10_05.xlsx&amp;sheet=U0&amp;row=245&amp;col=6&amp;number=3.1&amp;sourceID=14","3.1")</f>
        <v>3.1</v>
      </c>
      <c r="G245" s="4" t="str">
        <f>HYPERLINK("http://141.218.60.56/~jnz1568/getInfo.php?workbook=10_05.xlsx&amp;sheet=U0&amp;row=245&amp;col=7&amp;number=0.0119&amp;sourceID=14","0.0119")</f>
        <v>0.0119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HYPERLINK("http://141.218.60.56/~jnz1568/getInfo.php?workbook=10_05.xlsx&amp;sheet=U0&amp;row=246&amp;col=6&amp;number=3.2&amp;sourceID=14","3.2")</f>
        <v>3.2</v>
      </c>
      <c r="G246" s="4" t="str">
        <f>HYPERLINK("http://141.218.60.56/~jnz1568/getInfo.php?workbook=10_05.xlsx&amp;sheet=U0&amp;row=246&amp;col=7&amp;number=0.0119&amp;sourceID=14","0.0119")</f>
        <v>0.0119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HYPERLINK("http://141.218.60.56/~jnz1568/getInfo.php?workbook=10_05.xlsx&amp;sheet=U0&amp;row=247&amp;col=6&amp;number=3.3&amp;sourceID=14","3.3")</f>
        <v>3.3</v>
      </c>
      <c r="G247" s="4" t="str">
        <f>HYPERLINK("http://141.218.60.56/~jnz1568/getInfo.php?workbook=10_05.xlsx&amp;sheet=U0&amp;row=247&amp;col=7&amp;number=0.012&amp;sourceID=14","0.012")</f>
        <v>0.012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HYPERLINK("http://141.218.60.56/~jnz1568/getInfo.php?workbook=10_05.xlsx&amp;sheet=U0&amp;row=248&amp;col=6&amp;number=3.4&amp;sourceID=14","3.4")</f>
        <v>3.4</v>
      </c>
      <c r="G248" s="4" t="str">
        <f>HYPERLINK("http://141.218.60.56/~jnz1568/getInfo.php?workbook=10_05.xlsx&amp;sheet=U0&amp;row=248&amp;col=7&amp;number=0.012&amp;sourceID=14","0.012")</f>
        <v>0.012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HYPERLINK("http://141.218.60.56/~jnz1568/getInfo.php?workbook=10_05.xlsx&amp;sheet=U0&amp;row=249&amp;col=6&amp;number=3.5&amp;sourceID=14","3.5")</f>
        <v>3.5</v>
      </c>
      <c r="G249" s="4" t="str">
        <f>HYPERLINK("http://141.218.60.56/~jnz1568/getInfo.php?workbook=10_05.xlsx&amp;sheet=U0&amp;row=249&amp;col=7&amp;number=0.0121&amp;sourceID=14","0.0121")</f>
        <v>0.0121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HYPERLINK("http://141.218.60.56/~jnz1568/getInfo.php?workbook=10_05.xlsx&amp;sheet=U0&amp;row=250&amp;col=6&amp;number=3.6&amp;sourceID=14","3.6")</f>
        <v>3.6</v>
      </c>
      <c r="G250" s="4" t="str">
        <f>HYPERLINK("http://141.218.60.56/~jnz1568/getInfo.php?workbook=10_05.xlsx&amp;sheet=U0&amp;row=250&amp;col=7&amp;number=0.0123&amp;sourceID=14","0.0123")</f>
        <v>0.0123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HYPERLINK("http://141.218.60.56/~jnz1568/getInfo.php?workbook=10_05.xlsx&amp;sheet=U0&amp;row=251&amp;col=6&amp;number=3.7&amp;sourceID=14","3.7")</f>
        <v>3.7</v>
      </c>
      <c r="G251" s="4" t="str">
        <f>HYPERLINK("http://141.218.60.56/~jnz1568/getInfo.php?workbook=10_05.xlsx&amp;sheet=U0&amp;row=251&amp;col=7&amp;number=0.0124&amp;sourceID=14","0.0124")</f>
        <v>0.0124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HYPERLINK("http://141.218.60.56/~jnz1568/getInfo.php?workbook=10_05.xlsx&amp;sheet=U0&amp;row=252&amp;col=6&amp;number=3.8&amp;sourceID=14","3.8")</f>
        <v>3.8</v>
      </c>
      <c r="G252" s="4" t="str">
        <f>HYPERLINK("http://141.218.60.56/~jnz1568/getInfo.php?workbook=10_05.xlsx&amp;sheet=U0&amp;row=252&amp;col=7&amp;number=0.0126&amp;sourceID=14","0.0126")</f>
        <v>0.0126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HYPERLINK("http://141.218.60.56/~jnz1568/getInfo.php?workbook=10_05.xlsx&amp;sheet=U0&amp;row=253&amp;col=6&amp;number=3.9&amp;sourceID=14","3.9")</f>
        <v>3.9</v>
      </c>
      <c r="G253" s="4" t="str">
        <f>HYPERLINK("http://141.218.60.56/~jnz1568/getInfo.php?workbook=10_05.xlsx&amp;sheet=U0&amp;row=253&amp;col=7&amp;number=0.0128&amp;sourceID=14","0.0128")</f>
        <v>0.0128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HYPERLINK("http://141.218.60.56/~jnz1568/getInfo.php?workbook=10_05.xlsx&amp;sheet=U0&amp;row=254&amp;col=6&amp;number=4&amp;sourceID=14","4")</f>
        <v>4</v>
      </c>
      <c r="G254" s="4" t="str">
        <f>HYPERLINK("http://141.218.60.56/~jnz1568/getInfo.php?workbook=10_05.xlsx&amp;sheet=U0&amp;row=254&amp;col=7&amp;number=0.0131&amp;sourceID=14","0.0131")</f>
        <v>0.0131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HYPERLINK("http://141.218.60.56/~jnz1568/getInfo.php?workbook=10_05.xlsx&amp;sheet=U0&amp;row=255&amp;col=6&amp;number=4.1&amp;sourceID=14","4.1")</f>
        <v>4.1</v>
      </c>
      <c r="G255" s="4" t="str">
        <f>HYPERLINK("http://141.218.60.56/~jnz1568/getInfo.php?workbook=10_05.xlsx&amp;sheet=U0&amp;row=255&amp;col=7&amp;number=0.0134&amp;sourceID=14","0.0134")</f>
        <v>0.0134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HYPERLINK("http://141.218.60.56/~jnz1568/getInfo.php?workbook=10_05.xlsx&amp;sheet=U0&amp;row=256&amp;col=6&amp;number=4.2&amp;sourceID=14","4.2")</f>
        <v>4.2</v>
      </c>
      <c r="G256" s="4" t="str">
        <f>HYPERLINK("http://141.218.60.56/~jnz1568/getInfo.php?workbook=10_05.xlsx&amp;sheet=U0&amp;row=256&amp;col=7&amp;number=0.0137&amp;sourceID=14","0.0137")</f>
        <v>0.0137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HYPERLINK("http://141.218.60.56/~jnz1568/getInfo.php?workbook=10_05.xlsx&amp;sheet=U0&amp;row=257&amp;col=6&amp;number=4.3&amp;sourceID=14","4.3")</f>
        <v>4.3</v>
      </c>
      <c r="G257" s="4" t="str">
        <f>HYPERLINK("http://141.218.60.56/~jnz1568/getInfo.php?workbook=10_05.xlsx&amp;sheet=U0&amp;row=257&amp;col=7&amp;number=0.0141&amp;sourceID=14","0.0141")</f>
        <v>0.0141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HYPERLINK("http://141.218.60.56/~jnz1568/getInfo.php?workbook=10_05.xlsx&amp;sheet=U0&amp;row=258&amp;col=6&amp;number=4.4&amp;sourceID=14","4.4")</f>
        <v>4.4</v>
      </c>
      <c r="G258" s="4" t="str">
        <f>HYPERLINK("http://141.218.60.56/~jnz1568/getInfo.php?workbook=10_05.xlsx&amp;sheet=U0&amp;row=258&amp;col=7&amp;number=0.0145&amp;sourceID=14","0.0145")</f>
        <v>0.0145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HYPERLINK("http://141.218.60.56/~jnz1568/getInfo.php?workbook=10_05.xlsx&amp;sheet=U0&amp;row=259&amp;col=6&amp;number=4.5&amp;sourceID=14","4.5")</f>
        <v>4.5</v>
      </c>
      <c r="G259" s="4" t="str">
        <f>HYPERLINK("http://141.218.60.56/~jnz1568/getInfo.php?workbook=10_05.xlsx&amp;sheet=U0&amp;row=259&amp;col=7&amp;number=0.0149&amp;sourceID=14","0.0149")</f>
        <v>0.0149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HYPERLINK("http://141.218.60.56/~jnz1568/getInfo.php?workbook=10_05.xlsx&amp;sheet=U0&amp;row=260&amp;col=6&amp;number=4.6&amp;sourceID=14","4.6")</f>
        <v>4.6</v>
      </c>
      <c r="G260" s="4" t="str">
        <f>HYPERLINK("http://141.218.60.56/~jnz1568/getInfo.php?workbook=10_05.xlsx&amp;sheet=U0&amp;row=260&amp;col=7&amp;number=0.0153&amp;sourceID=14","0.0153")</f>
        <v>0.0153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HYPERLINK("http://141.218.60.56/~jnz1568/getInfo.php?workbook=10_05.xlsx&amp;sheet=U0&amp;row=261&amp;col=6&amp;number=4.7&amp;sourceID=14","4.7")</f>
        <v>4.7</v>
      </c>
      <c r="G261" s="4" t="str">
        <f>HYPERLINK("http://141.218.60.56/~jnz1568/getInfo.php?workbook=10_05.xlsx&amp;sheet=U0&amp;row=261&amp;col=7&amp;number=0.0154&amp;sourceID=14","0.0154")</f>
        <v>0.0154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HYPERLINK("http://141.218.60.56/~jnz1568/getInfo.php?workbook=10_05.xlsx&amp;sheet=U0&amp;row=262&amp;col=6&amp;number=4.8&amp;sourceID=14","4.8")</f>
        <v>4.8</v>
      </c>
      <c r="G262" s="4" t="str">
        <f>HYPERLINK("http://141.218.60.56/~jnz1568/getInfo.php?workbook=10_05.xlsx&amp;sheet=U0&amp;row=262&amp;col=7&amp;number=0.0155&amp;sourceID=14","0.0155")</f>
        <v>0.0155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HYPERLINK("http://141.218.60.56/~jnz1568/getInfo.php?workbook=10_05.xlsx&amp;sheet=U0&amp;row=263&amp;col=6&amp;number=4.9&amp;sourceID=14","4.9")</f>
        <v>4.9</v>
      </c>
      <c r="G263" s="4" t="str">
        <f>HYPERLINK("http://141.218.60.56/~jnz1568/getInfo.php?workbook=10_05.xlsx&amp;sheet=U0&amp;row=263&amp;col=7&amp;number=0.0157&amp;sourceID=14","0.0157")</f>
        <v>0.0157</v>
      </c>
    </row>
    <row r="264" spans="1:7">
      <c r="A264" s="3">
        <v>10</v>
      </c>
      <c r="B264" s="3">
        <v>5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HYPERLINK("http://141.218.60.56/~jnz1568/getInfo.php?workbook=10_05.xlsx&amp;sheet=U0&amp;row=264&amp;col=6&amp;number=3&amp;sourceID=14","3")</f>
        <v>3</v>
      </c>
      <c r="G264" s="4" t="str">
        <f>HYPERLINK("http://141.218.60.56/~jnz1568/getInfo.php?workbook=10_05.xlsx&amp;sheet=U0&amp;row=264&amp;col=7&amp;number=0.0185&amp;sourceID=14","0.0185")</f>
        <v>0.0185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HYPERLINK("http://141.218.60.56/~jnz1568/getInfo.php?workbook=10_05.xlsx&amp;sheet=U0&amp;row=265&amp;col=6&amp;number=3.1&amp;sourceID=14","3.1")</f>
        <v>3.1</v>
      </c>
      <c r="G265" s="4" t="str">
        <f>HYPERLINK("http://141.218.60.56/~jnz1568/getInfo.php?workbook=10_05.xlsx&amp;sheet=U0&amp;row=265&amp;col=7&amp;number=0.0185&amp;sourceID=14","0.0185")</f>
        <v>0.0185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HYPERLINK("http://141.218.60.56/~jnz1568/getInfo.php?workbook=10_05.xlsx&amp;sheet=U0&amp;row=266&amp;col=6&amp;number=3.2&amp;sourceID=14","3.2")</f>
        <v>3.2</v>
      </c>
      <c r="G266" s="4" t="str">
        <f>HYPERLINK("http://141.218.60.56/~jnz1568/getInfo.php?workbook=10_05.xlsx&amp;sheet=U0&amp;row=266&amp;col=7&amp;number=0.0185&amp;sourceID=14","0.0185")</f>
        <v>0.0185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HYPERLINK("http://141.218.60.56/~jnz1568/getInfo.php?workbook=10_05.xlsx&amp;sheet=U0&amp;row=267&amp;col=6&amp;number=3.3&amp;sourceID=14","3.3")</f>
        <v>3.3</v>
      </c>
      <c r="G267" s="4" t="str">
        <f>HYPERLINK("http://141.218.60.56/~jnz1568/getInfo.php?workbook=10_05.xlsx&amp;sheet=U0&amp;row=267&amp;col=7&amp;number=0.0186&amp;sourceID=14","0.0186")</f>
        <v>0.0186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HYPERLINK("http://141.218.60.56/~jnz1568/getInfo.php?workbook=10_05.xlsx&amp;sheet=U0&amp;row=268&amp;col=6&amp;number=3.4&amp;sourceID=14","3.4")</f>
        <v>3.4</v>
      </c>
      <c r="G268" s="4" t="str">
        <f>HYPERLINK("http://141.218.60.56/~jnz1568/getInfo.php?workbook=10_05.xlsx&amp;sheet=U0&amp;row=268&amp;col=7&amp;number=0.0186&amp;sourceID=14","0.0186")</f>
        <v>0.0186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HYPERLINK("http://141.218.60.56/~jnz1568/getInfo.php?workbook=10_05.xlsx&amp;sheet=U0&amp;row=269&amp;col=6&amp;number=3.5&amp;sourceID=14","3.5")</f>
        <v>3.5</v>
      </c>
      <c r="G269" s="4" t="str">
        <f>HYPERLINK("http://141.218.60.56/~jnz1568/getInfo.php?workbook=10_05.xlsx&amp;sheet=U0&amp;row=269&amp;col=7&amp;number=0.0187&amp;sourceID=14","0.0187")</f>
        <v>0.0187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HYPERLINK("http://141.218.60.56/~jnz1568/getInfo.php?workbook=10_05.xlsx&amp;sheet=U0&amp;row=270&amp;col=6&amp;number=3.6&amp;sourceID=14","3.6")</f>
        <v>3.6</v>
      </c>
      <c r="G270" s="4" t="str">
        <f>HYPERLINK("http://141.218.60.56/~jnz1568/getInfo.php?workbook=10_05.xlsx&amp;sheet=U0&amp;row=270&amp;col=7&amp;number=0.0188&amp;sourceID=14","0.0188")</f>
        <v>0.0188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HYPERLINK("http://141.218.60.56/~jnz1568/getInfo.php?workbook=10_05.xlsx&amp;sheet=U0&amp;row=271&amp;col=6&amp;number=3.7&amp;sourceID=14","3.7")</f>
        <v>3.7</v>
      </c>
      <c r="G271" s="4" t="str">
        <f>HYPERLINK("http://141.218.60.56/~jnz1568/getInfo.php?workbook=10_05.xlsx&amp;sheet=U0&amp;row=271&amp;col=7&amp;number=0.019&amp;sourceID=14","0.019")</f>
        <v>0.019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HYPERLINK("http://141.218.60.56/~jnz1568/getInfo.php?workbook=10_05.xlsx&amp;sheet=U0&amp;row=272&amp;col=6&amp;number=3.8&amp;sourceID=14","3.8")</f>
        <v>3.8</v>
      </c>
      <c r="G272" s="4" t="str">
        <f>HYPERLINK("http://141.218.60.56/~jnz1568/getInfo.php?workbook=10_05.xlsx&amp;sheet=U0&amp;row=272&amp;col=7&amp;number=0.0191&amp;sourceID=14","0.0191")</f>
        <v>0.0191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HYPERLINK("http://141.218.60.56/~jnz1568/getInfo.php?workbook=10_05.xlsx&amp;sheet=U0&amp;row=273&amp;col=6&amp;number=3.9&amp;sourceID=14","3.9")</f>
        <v>3.9</v>
      </c>
      <c r="G273" s="4" t="str">
        <f>HYPERLINK("http://141.218.60.56/~jnz1568/getInfo.php?workbook=10_05.xlsx&amp;sheet=U0&amp;row=273&amp;col=7&amp;number=0.0193&amp;sourceID=14","0.0193")</f>
        <v>0.0193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HYPERLINK("http://141.218.60.56/~jnz1568/getInfo.php?workbook=10_05.xlsx&amp;sheet=U0&amp;row=274&amp;col=6&amp;number=4&amp;sourceID=14","4")</f>
        <v>4</v>
      </c>
      <c r="G274" s="4" t="str">
        <f>HYPERLINK("http://141.218.60.56/~jnz1568/getInfo.php?workbook=10_05.xlsx&amp;sheet=U0&amp;row=274&amp;col=7&amp;number=0.0195&amp;sourceID=14","0.0195")</f>
        <v>0.0195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HYPERLINK("http://141.218.60.56/~jnz1568/getInfo.php?workbook=10_05.xlsx&amp;sheet=U0&amp;row=275&amp;col=6&amp;number=4.1&amp;sourceID=14","4.1")</f>
        <v>4.1</v>
      </c>
      <c r="G275" s="4" t="str">
        <f>HYPERLINK("http://141.218.60.56/~jnz1568/getInfo.php?workbook=10_05.xlsx&amp;sheet=U0&amp;row=275&amp;col=7&amp;number=0.0198&amp;sourceID=14","0.0198")</f>
        <v>0.0198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HYPERLINK("http://141.218.60.56/~jnz1568/getInfo.php?workbook=10_05.xlsx&amp;sheet=U0&amp;row=276&amp;col=6&amp;number=4.2&amp;sourceID=14","4.2")</f>
        <v>4.2</v>
      </c>
      <c r="G276" s="4" t="str">
        <f>HYPERLINK("http://141.218.60.56/~jnz1568/getInfo.php?workbook=10_05.xlsx&amp;sheet=U0&amp;row=276&amp;col=7&amp;number=0.02&amp;sourceID=14","0.02")</f>
        <v>0.02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HYPERLINK("http://141.218.60.56/~jnz1568/getInfo.php?workbook=10_05.xlsx&amp;sheet=U0&amp;row=277&amp;col=6&amp;number=4.3&amp;sourceID=14","4.3")</f>
        <v>4.3</v>
      </c>
      <c r="G277" s="4" t="str">
        <f>HYPERLINK("http://141.218.60.56/~jnz1568/getInfo.php?workbook=10_05.xlsx&amp;sheet=U0&amp;row=277&amp;col=7&amp;number=0.0203&amp;sourceID=14","0.0203")</f>
        <v>0.0203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HYPERLINK("http://141.218.60.56/~jnz1568/getInfo.php?workbook=10_05.xlsx&amp;sheet=U0&amp;row=278&amp;col=6&amp;number=4.4&amp;sourceID=14","4.4")</f>
        <v>4.4</v>
      </c>
      <c r="G278" s="4" t="str">
        <f>HYPERLINK("http://141.218.60.56/~jnz1568/getInfo.php?workbook=10_05.xlsx&amp;sheet=U0&amp;row=278&amp;col=7&amp;number=0.0206&amp;sourceID=14","0.0206")</f>
        <v>0.0206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HYPERLINK("http://141.218.60.56/~jnz1568/getInfo.php?workbook=10_05.xlsx&amp;sheet=U0&amp;row=279&amp;col=6&amp;number=4.5&amp;sourceID=14","4.5")</f>
        <v>4.5</v>
      </c>
      <c r="G279" s="4" t="str">
        <f>HYPERLINK("http://141.218.60.56/~jnz1568/getInfo.php?workbook=10_05.xlsx&amp;sheet=U0&amp;row=279&amp;col=7&amp;number=0.0209&amp;sourceID=14","0.0209")</f>
        <v>0.0209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HYPERLINK("http://141.218.60.56/~jnz1568/getInfo.php?workbook=10_05.xlsx&amp;sheet=U0&amp;row=280&amp;col=6&amp;number=4.6&amp;sourceID=14","4.6")</f>
        <v>4.6</v>
      </c>
      <c r="G280" s="4" t="str">
        <f>HYPERLINK("http://141.218.60.56/~jnz1568/getInfo.php?workbook=10_05.xlsx&amp;sheet=U0&amp;row=280&amp;col=7&amp;number=0.0211&amp;sourceID=14","0.0211")</f>
        <v>0.0211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HYPERLINK("http://141.218.60.56/~jnz1568/getInfo.php?workbook=10_05.xlsx&amp;sheet=U0&amp;row=281&amp;col=6&amp;number=4.7&amp;sourceID=14","4.7")</f>
        <v>4.7</v>
      </c>
      <c r="G281" s="4" t="str">
        <f>HYPERLINK("http://141.218.60.56/~jnz1568/getInfo.php?workbook=10_05.xlsx&amp;sheet=U0&amp;row=281&amp;col=7&amp;number=0.0213&amp;sourceID=14","0.0213")</f>
        <v>0.0213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HYPERLINK("http://141.218.60.56/~jnz1568/getInfo.php?workbook=10_05.xlsx&amp;sheet=U0&amp;row=282&amp;col=6&amp;number=4.8&amp;sourceID=14","4.8")</f>
        <v>4.8</v>
      </c>
      <c r="G282" s="4" t="str">
        <f>HYPERLINK("http://141.218.60.56/~jnz1568/getInfo.php?workbook=10_05.xlsx&amp;sheet=U0&amp;row=282&amp;col=7&amp;number=0.0215&amp;sourceID=14","0.0215")</f>
        <v>0.0215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HYPERLINK("http://141.218.60.56/~jnz1568/getInfo.php?workbook=10_05.xlsx&amp;sheet=U0&amp;row=283&amp;col=6&amp;number=4.9&amp;sourceID=14","4.9")</f>
        <v>4.9</v>
      </c>
      <c r="G283" s="4" t="str">
        <f>HYPERLINK("http://141.218.60.56/~jnz1568/getInfo.php?workbook=10_05.xlsx&amp;sheet=U0&amp;row=283&amp;col=7&amp;number=0.0218&amp;sourceID=14","0.0218")</f>
        <v>0.0218</v>
      </c>
    </row>
    <row r="284" spans="1:7">
      <c r="A284" s="3">
        <v>10</v>
      </c>
      <c r="B284" s="3">
        <v>5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HYPERLINK("http://141.218.60.56/~jnz1568/getInfo.php?workbook=10_05.xlsx&amp;sheet=U0&amp;row=284&amp;col=6&amp;number=3&amp;sourceID=14","3")</f>
        <v>3</v>
      </c>
      <c r="G284" s="4" t="str">
        <f>HYPERLINK("http://141.218.60.56/~jnz1568/getInfo.php?workbook=10_05.xlsx&amp;sheet=U0&amp;row=284&amp;col=7&amp;number=0.158&amp;sourceID=14","0.158")</f>
        <v>0.158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HYPERLINK("http://141.218.60.56/~jnz1568/getInfo.php?workbook=10_05.xlsx&amp;sheet=U0&amp;row=285&amp;col=6&amp;number=3.1&amp;sourceID=14","3.1")</f>
        <v>3.1</v>
      </c>
      <c r="G285" s="4" t="str">
        <f>HYPERLINK("http://141.218.60.56/~jnz1568/getInfo.php?workbook=10_05.xlsx&amp;sheet=U0&amp;row=285&amp;col=7&amp;number=0.159&amp;sourceID=14","0.159")</f>
        <v>0.159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HYPERLINK("http://141.218.60.56/~jnz1568/getInfo.php?workbook=10_05.xlsx&amp;sheet=U0&amp;row=286&amp;col=6&amp;number=3.2&amp;sourceID=14","3.2")</f>
        <v>3.2</v>
      </c>
      <c r="G286" s="4" t="str">
        <f>HYPERLINK("http://141.218.60.56/~jnz1568/getInfo.php?workbook=10_05.xlsx&amp;sheet=U0&amp;row=286&amp;col=7&amp;number=0.161&amp;sourceID=14","0.161")</f>
        <v>0.161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HYPERLINK("http://141.218.60.56/~jnz1568/getInfo.php?workbook=10_05.xlsx&amp;sheet=U0&amp;row=287&amp;col=6&amp;number=3.3&amp;sourceID=14","3.3")</f>
        <v>3.3</v>
      </c>
      <c r="G287" s="4" t="str">
        <f>HYPERLINK("http://141.218.60.56/~jnz1568/getInfo.php?workbook=10_05.xlsx&amp;sheet=U0&amp;row=287&amp;col=7&amp;number=0.163&amp;sourceID=14","0.163")</f>
        <v>0.163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HYPERLINK("http://141.218.60.56/~jnz1568/getInfo.php?workbook=10_05.xlsx&amp;sheet=U0&amp;row=288&amp;col=6&amp;number=3.4&amp;sourceID=14","3.4")</f>
        <v>3.4</v>
      </c>
      <c r="G288" s="4" t="str">
        <f>HYPERLINK("http://141.218.60.56/~jnz1568/getInfo.php?workbook=10_05.xlsx&amp;sheet=U0&amp;row=288&amp;col=7&amp;number=0.166&amp;sourceID=14","0.166")</f>
        <v>0.166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HYPERLINK("http://141.218.60.56/~jnz1568/getInfo.php?workbook=10_05.xlsx&amp;sheet=U0&amp;row=289&amp;col=6&amp;number=3.5&amp;sourceID=14","3.5")</f>
        <v>3.5</v>
      </c>
      <c r="G289" s="4" t="str">
        <f>HYPERLINK("http://141.218.60.56/~jnz1568/getInfo.php?workbook=10_05.xlsx&amp;sheet=U0&amp;row=289&amp;col=7&amp;number=0.169&amp;sourceID=14","0.169")</f>
        <v>0.169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HYPERLINK("http://141.218.60.56/~jnz1568/getInfo.php?workbook=10_05.xlsx&amp;sheet=U0&amp;row=290&amp;col=6&amp;number=3.6&amp;sourceID=14","3.6")</f>
        <v>3.6</v>
      </c>
      <c r="G290" s="4" t="str">
        <f>HYPERLINK("http://141.218.60.56/~jnz1568/getInfo.php?workbook=10_05.xlsx&amp;sheet=U0&amp;row=290&amp;col=7&amp;number=0.174&amp;sourceID=14","0.174")</f>
        <v>0.174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HYPERLINK("http://141.218.60.56/~jnz1568/getInfo.php?workbook=10_05.xlsx&amp;sheet=U0&amp;row=291&amp;col=6&amp;number=3.7&amp;sourceID=14","3.7")</f>
        <v>3.7</v>
      </c>
      <c r="G291" s="4" t="str">
        <f>HYPERLINK("http://141.218.60.56/~jnz1568/getInfo.php?workbook=10_05.xlsx&amp;sheet=U0&amp;row=291&amp;col=7&amp;number=0.179&amp;sourceID=14","0.179")</f>
        <v>0.179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HYPERLINK("http://141.218.60.56/~jnz1568/getInfo.php?workbook=10_05.xlsx&amp;sheet=U0&amp;row=292&amp;col=6&amp;number=3.8&amp;sourceID=14","3.8")</f>
        <v>3.8</v>
      </c>
      <c r="G292" s="4" t="str">
        <f>HYPERLINK("http://141.218.60.56/~jnz1568/getInfo.php?workbook=10_05.xlsx&amp;sheet=U0&amp;row=292&amp;col=7&amp;number=0.186&amp;sourceID=14","0.186")</f>
        <v>0.186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HYPERLINK("http://141.218.60.56/~jnz1568/getInfo.php?workbook=10_05.xlsx&amp;sheet=U0&amp;row=293&amp;col=6&amp;number=3.9&amp;sourceID=14","3.9")</f>
        <v>3.9</v>
      </c>
      <c r="G293" s="4" t="str">
        <f>HYPERLINK("http://141.218.60.56/~jnz1568/getInfo.php?workbook=10_05.xlsx&amp;sheet=U0&amp;row=293&amp;col=7&amp;number=0.193&amp;sourceID=14","0.193")</f>
        <v>0.193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HYPERLINK("http://141.218.60.56/~jnz1568/getInfo.php?workbook=10_05.xlsx&amp;sheet=U0&amp;row=294&amp;col=6&amp;number=4&amp;sourceID=14","4")</f>
        <v>4</v>
      </c>
      <c r="G294" s="4" t="str">
        <f>HYPERLINK("http://141.218.60.56/~jnz1568/getInfo.php?workbook=10_05.xlsx&amp;sheet=U0&amp;row=294&amp;col=7&amp;number=0.203&amp;sourceID=14","0.203")</f>
        <v>0.203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HYPERLINK("http://141.218.60.56/~jnz1568/getInfo.php?workbook=10_05.xlsx&amp;sheet=U0&amp;row=295&amp;col=6&amp;number=4.1&amp;sourceID=14","4.1")</f>
        <v>4.1</v>
      </c>
      <c r="G295" s="4" t="str">
        <f>HYPERLINK("http://141.218.60.56/~jnz1568/getInfo.php?workbook=10_05.xlsx&amp;sheet=U0&amp;row=295&amp;col=7&amp;number=0.213&amp;sourceID=14","0.213")</f>
        <v>0.213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HYPERLINK("http://141.218.60.56/~jnz1568/getInfo.php?workbook=10_05.xlsx&amp;sheet=U0&amp;row=296&amp;col=6&amp;number=4.2&amp;sourceID=14","4.2")</f>
        <v>4.2</v>
      </c>
      <c r="G296" s="4" t="str">
        <f>HYPERLINK("http://141.218.60.56/~jnz1568/getInfo.php?workbook=10_05.xlsx&amp;sheet=U0&amp;row=296&amp;col=7&amp;number=0.224&amp;sourceID=14","0.224")</f>
        <v>0.224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HYPERLINK("http://141.218.60.56/~jnz1568/getInfo.php?workbook=10_05.xlsx&amp;sheet=U0&amp;row=297&amp;col=6&amp;number=4.3&amp;sourceID=14","4.3")</f>
        <v>4.3</v>
      </c>
      <c r="G297" s="4" t="str">
        <f>HYPERLINK("http://141.218.60.56/~jnz1568/getInfo.php?workbook=10_05.xlsx&amp;sheet=U0&amp;row=297&amp;col=7&amp;number=0.235&amp;sourceID=14","0.235")</f>
        <v>0.235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HYPERLINK("http://141.218.60.56/~jnz1568/getInfo.php?workbook=10_05.xlsx&amp;sheet=U0&amp;row=298&amp;col=6&amp;number=4.4&amp;sourceID=14","4.4")</f>
        <v>4.4</v>
      </c>
      <c r="G298" s="4" t="str">
        <f>HYPERLINK("http://141.218.60.56/~jnz1568/getInfo.php?workbook=10_05.xlsx&amp;sheet=U0&amp;row=298&amp;col=7&amp;number=0.243&amp;sourceID=14","0.243")</f>
        <v>0.243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HYPERLINK("http://141.218.60.56/~jnz1568/getInfo.php?workbook=10_05.xlsx&amp;sheet=U0&amp;row=299&amp;col=6&amp;number=4.5&amp;sourceID=14","4.5")</f>
        <v>4.5</v>
      </c>
      <c r="G299" s="4" t="str">
        <f>HYPERLINK("http://141.218.60.56/~jnz1568/getInfo.php?workbook=10_05.xlsx&amp;sheet=U0&amp;row=299&amp;col=7&amp;number=0.245&amp;sourceID=14","0.245")</f>
        <v>0.245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HYPERLINK("http://141.218.60.56/~jnz1568/getInfo.php?workbook=10_05.xlsx&amp;sheet=U0&amp;row=300&amp;col=6&amp;number=4.6&amp;sourceID=14","4.6")</f>
        <v>4.6</v>
      </c>
      <c r="G300" s="4" t="str">
        <f>HYPERLINK("http://141.218.60.56/~jnz1568/getInfo.php?workbook=10_05.xlsx&amp;sheet=U0&amp;row=300&amp;col=7&amp;number=0.241&amp;sourceID=14","0.241")</f>
        <v>0.241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HYPERLINK("http://141.218.60.56/~jnz1568/getInfo.php?workbook=10_05.xlsx&amp;sheet=U0&amp;row=301&amp;col=6&amp;number=4.7&amp;sourceID=14","4.7")</f>
        <v>4.7</v>
      </c>
      <c r="G301" s="4" t="str">
        <f>HYPERLINK("http://141.218.60.56/~jnz1568/getInfo.php?workbook=10_05.xlsx&amp;sheet=U0&amp;row=301&amp;col=7&amp;number=0.229&amp;sourceID=14","0.229")</f>
        <v>0.229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HYPERLINK("http://141.218.60.56/~jnz1568/getInfo.php?workbook=10_05.xlsx&amp;sheet=U0&amp;row=302&amp;col=6&amp;number=4.8&amp;sourceID=14","4.8")</f>
        <v>4.8</v>
      </c>
      <c r="G302" s="4" t="str">
        <f>HYPERLINK("http://141.218.60.56/~jnz1568/getInfo.php?workbook=10_05.xlsx&amp;sheet=U0&amp;row=302&amp;col=7&amp;number=0.213&amp;sourceID=14","0.213")</f>
        <v>0.213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HYPERLINK("http://141.218.60.56/~jnz1568/getInfo.php?workbook=10_05.xlsx&amp;sheet=U0&amp;row=303&amp;col=6&amp;number=4.9&amp;sourceID=14","4.9")</f>
        <v>4.9</v>
      </c>
      <c r="G303" s="4" t="str">
        <f>HYPERLINK("http://141.218.60.56/~jnz1568/getInfo.php?workbook=10_05.xlsx&amp;sheet=U0&amp;row=303&amp;col=7&amp;number=0.197&amp;sourceID=14","0.197")</f>
        <v>0.197</v>
      </c>
    </row>
    <row r="304" spans="1:7">
      <c r="A304" s="3">
        <v>10</v>
      </c>
      <c r="B304" s="3">
        <v>5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HYPERLINK("http://141.218.60.56/~jnz1568/getInfo.php?workbook=10_05.xlsx&amp;sheet=U0&amp;row=304&amp;col=6&amp;number=3&amp;sourceID=14","3")</f>
        <v>3</v>
      </c>
      <c r="G304" s="4" t="str">
        <f>HYPERLINK("http://141.218.60.56/~jnz1568/getInfo.php?workbook=10_05.xlsx&amp;sheet=U0&amp;row=304&amp;col=7&amp;number=0.252&amp;sourceID=14","0.252")</f>
        <v>0.252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HYPERLINK("http://141.218.60.56/~jnz1568/getInfo.php?workbook=10_05.xlsx&amp;sheet=U0&amp;row=305&amp;col=6&amp;number=3.1&amp;sourceID=14","3.1")</f>
        <v>3.1</v>
      </c>
      <c r="G305" s="4" t="str">
        <f>HYPERLINK("http://141.218.60.56/~jnz1568/getInfo.php?workbook=10_05.xlsx&amp;sheet=U0&amp;row=305&amp;col=7&amp;number=0.252&amp;sourceID=14","0.252")</f>
        <v>0.252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HYPERLINK("http://141.218.60.56/~jnz1568/getInfo.php?workbook=10_05.xlsx&amp;sheet=U0&amp;row=306&amp;col=6&amp;number=3.2&amp;sourceID=14","3.2")</f>
        <v>3.2</v>
      </c>
      <c r="G306" s="4" t="str">
        <f>HYPERLINK("http://141.218.60.56/~jnz1568/getInfo.php?workbook=10_05.xlsx&amp;sheet=U0&amp;row=306&amp;col=7&amp;number=0.252&amp;sourceID=14","0.252")</f>
        <v>0.252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HYPERLINK("http://141.218.60.56/~jnz1568/getInfo.php?workbook=10_05.xlsx&amp;sheet=U0&amp;row=307&amp;col=6&amp;number=3.3&amp;sourceID=14","3.3")</f>
        <v>3.3</v>
      </c>
      <c r="G307" s="4" t="str">
        <f>HYPERLINK("http://141.218.60.56/~jnz1568/getInfo.php?workbook=10_05.xlsx&amp;sheet=U0&amp;row=307&amp;col=7&amp;number=0.251&amp;sourceID=14","0.251")</f>
        <v>0.251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HYPERLINK("http://141.218.60.56/~jnz1568/getInfo.php?workbook=10_05.xlsx&amp;sheet=U0&amp;row=308&amp;col=6&amp;number=3.4&amp;sourceID=14","3.4")</f>
        <v>3.4</v>
      </c>
      <c r="G308" s="4" t="str">
        <f>HYPERLINK("http://141.218.60.56/~jnz1568/getInfo.php?workbook=10_05.xlsx&amp;sheet=U0&amp;row=308&amp;col=7&amp;number=0.25&amp;sourceID=14","0.25")</f>
        <v>0.25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HYPERLINK("http://141.218.60.56/~jnz1568/getInfo.php?workbook=10_05.xlsx&amp;sheet=U0&amp;row=309&amp;col=6&amp;number=3.5&amp;sourceID=14","3.5")</f>
        <v>3.5</v>
      </c>
      <c r="G309" s="4" t="str">
        <f>HYPERLINK("http://141.218.60.56/~jnz1568/getInfo.php?workbook=10_05.xlsx&amp;sheet=U0&amp;row=309&amp;col=7&amp;number=0.25&amp;sourceID=14","0.25")</f>
        <v>0.25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HYPERLINK("http://141.218.60.56/~jnz1568/getInfo.php?workbook=10_05.xlsx&amp;sheet=U0&amp;row=310&amp;col=6&amp;number=3.6&amp;sourceID=14","3.6")</f>
        <v>3.6</v>
      </c>
      <c r="G310" s="4" t="str">
        <f>HYPERLINK("http://141.218.60.56/~jnz1568/getInfo.php?workbook=10_05.xlsx&amp;sheet=U0&amp;row=310&amp;col=7&amp;number=0.249&amp;sourceID=14","0.249")</f>
        <v>0.249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HYPERLINK("http://141.218.60.56/~jnz1568/getInfo.php?workbook=10_05.xlsx&amp;sheet=U0&amp;row=311&amp;col=6&amp;number=3.7&amp;sourceID=14","3.7")</f>
        <v>3.7</v>
      </c>
      <c r="G311" s="4" t="str">
        <f>HYPERLINK("http://141.218.60.56/~jnz1568/getInfo.php?workbook=10_05.xlsx&amp;sheet=U0&amp;row=311&amp;col=7&amp;number=0.247&amp;sourceID=14","0.247")</f>
        <v>0.247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HYPERLINK("http://141.218.60.56/~jnz1568/getInfo.php?workbook=10_05.xlsx&amp;sheet=U0&amp;row=312&amp;col=6&amp;number=3.8&amp;sourceID=14","3.8")</f>
        <v>3.8</v>
      </c>
      <c r="G312" s="4" t="str">
        <f>HYPERLINK("http://141.218.60.56/~jnz1568/getInfo.php?workbook=10_05.xlsx&amp;sheet=U0&amp;row=312&amp;col=7&amp;number=0.246&amp;sourceID=14","0.246")</f>
        <v>0.246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HYPERLINK("http://141.218.60.56/~jnz1568/getInfo.php?workbook=10_05.xlsx&amp;sheet=U0&amp;row=313&amp;col=6&amp;number=3.9&amp;sourceID=14","3.9")</f>
        <v>3.9</v>
      </c>
      <c r="G313" s="4" t="str">
        <f>HYPERLINK("http://141.218.60.56/~jnz1568/getInfo.php?workbook=10_05.xlsx&amp;sheet=U0&amp;row=313&amp;col=7&amp;number=0.244&amp;sourceID=14","0.244")</f>
        <v>0.244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HYPERLINK("http://141.218.60.56/~jnz1568/getInfo.php?workbook=10_05.xlsx&amp;sheet=U0&amp;row=314&amp;col=6&amp;number=4&amp;sourceID=14","4")</f>
        <v>4</v>
      </c>
      <c r="G314" s="4" t="str">
        <f>HYPERLINK("http://141.218.60.56/~jnz1568/getInfo.php?workbook=10_05.xlsx&amp;sheet=U0&amp;row=314&amp;col=7&amp;number=0.242&amp;sourceID=14","0.242")</f>
        <v>0.242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HYPERLINK("http://141.218.60.56/~jnz1568/getInfo.php?workbook=10_05.xlsx&amp;sheet=U0&amp;row=315&amp;col=6&amp;number=4.1&amp;sourceID=14","4.1")</f>
        <v>4.1</v>
      </c>
      <c r="G315" s="4" t="str">
        <f>HYPERLINK("http://141.218.60.56/~jnz1568/getInfo.php?workbook=10_05.xlsx&amp;sheet=U0&amp;row=315&amp;col=7&amp;number=0.24&amp;sourceID=14","0.24")</f>
        <v>0.24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HYPERLINK("http://141.218.60.56/~jnz1568/getInfo.php?workbook=10_05.xlsx&amp;sheet=U0&amp;row=316&amp;col=6&amp;number=4.2&amp;sourceID=14","4.2")</f>
        <v>4.2</v>
      </c>
      <c r="G316" s="4" t="str">
        <f>HYPERLINK("http://141.218.60.56/~jnz1568/getInfo.php?workbook=10_05.xlsx&amp;sheet=U0&amp;row=316&amp;col=7&amp;number=0.237&amp;sourceID=14","0.237")</f>
        <v>0.237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HYPERLINK("http://141.218.60.56/~jnz1568/getInfo.php?workbook=10_05.xlsx&amp;sheet=U0&amp;row=317&amp;col=6&amp;number=4.3&amp;sourceID=14","4.3")</f>
        <v>4.3</v>
      </c>
      <c r="G317" s="4" t="str">
        <f>HYPERLINK("http://141.218.60.56/~jnz1568/getInfo.php?workbook=10_05.xlsx&amp;sheet=U0&amp;row=317&amp;col=7&amp;number=0.234&amp;sourceID=14","0.234")</f>
        <v>0.234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HYPERLINK("http://141.218.60.56/~jnz1568/getInfo.php?workbook=10_05.xlsx&amp;sheet=U0&amp;row=318&amp;col=6&amp;number=4.4&amp;sourceID=14","4.4")</f>
        <v>4.4</v>
      </c>
      <c r="G318" s="4" t="str">
        <f>HYPERLINK("http://141.218.60.56/~jnz1568/getInfo.php?workbook=10_05.xlsx&amp;sheet=U0&amp;row=318&amp;col=7&amp;number=0.23&amp;sourceID=14","0.23")</f>
        <v>0.23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HYPERLINK("http://141.218.60.56/~jnz1568/getInfo.php?workbook=10_05.xlsx&amp;sheet=U0&amp;row=319&amp;col=6&amp;number=4.5&amp;sourceID=14","4.5")</f>
        <v>4.5</v>
      </c>
      <c r="G319" s="4" t="str">
        <f>HYPERLINK("http://141.218.60.56/~jnz1568/getInfo.php?workbook=10_05.xlsx&amp;sheet=U0&amp;row=319&amp;col=7&amp;number=0.226&amp;sourceID=14","0.226")</f>
        <v>0.226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HYPERLINK("http://141.218.60.56/~jnz1568/getInfo.php?workbook=10_05.xlsx&amp;sheet=U0&amp;row=320&amp;col=6&amp;number=4.6&amp;sourceID=14","4.6")</f>
        <v>4.6</v>
      </c>
      <c r="G320" s="4" t="str">
        <f>HYPERLINK("http://141.218.60.56/~jnz1568/getInfo.php?workbook=10_05.xlsx&amp;sheet=U0&amp;row=320&amp;col=7&amp;number=0.219&amp;sourceID=14","0.219")</f>
        <v>0.219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HYPERLINK("http://141.218.60.56/~jnz1568/getInfo.php?workbook=10_05.xlsx&amp;sheet=U0&amp;row=321&amp;col=6&amp;number=4.7&amp;sourceID=14","4.7")</f>
        <v>4.7</v>
      </c>
      <c r="G321" s="4" t="str">
        <f>HYPERLINK("http://141.218.60.56/~jnz1568/getInfo.php?workbook=10_05.xlsx&amp;sheet=U0&amp;row=321&amp;col=7&amp;number=0.21&amp;sourceID=14","0.21")</f>
        <v>0.21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HYPERLINK("http://141.218.60.56/~jnz1568/getInfo.php?workbook=10_05.xlsx&amp;sheet=U0&amp;row=322&amp;col=6&amp;number=4.8&amp;sourceID=14","4.8")</f>
        <v>4.8</v>
      </c>
      <c r="G322" s="4" t="str">
        <f>HYPERLINK("http://141.218.60.56/~jnz1568/getInfo.php?workbook=10_05.xlsx&amp;sheet=U0&amp;row=322&amp;col=7&amp;number=0.199&amp;sourceID=14","0.199")</f>
        <v>0.199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HYPERLINK("http://141.218.60.56/~jnz1568/getInfo.php?workbook=10_05.xlsx&amp;sheet=U0&amp;row=323&amp;col=6&amp;number=4.9&amp;sourceID=14","4.9")</f>
        <v>4.9</v>
      </c>
      <c r="G323" s="4" t="str">
        <f>HYPERLINK("http://141.218.60.56/~jnz1568/getInfo.php?workbook=10_05.xlsx&amp;sheet=U0&amp;row=323&amp;col=7&amp;number=0.188&amp;sourceID=14","0.188")</f>
        <v>0.188</v>
      </c>
    </row>
    <row r="324" spans="1:7">
      <c r="A324" s="3">
        <v>10</v>
      </c>
      <c r="B324" s="3">
        <v>5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HYPERLINK("http://141.218.60.56/~jnz1568/getInfo.php?workbook=10_05.xlsx&amp;sheet=U0&amp;row=324&amp;col=6&amp;number=3&amp;sourceID=14","3")</f>
        <v>3</v>
      </c>
      <c r="G324" s="4" t="str">
        <f>HYPERLINK("http://141.218.60.56/~jnz1568/getInfo.php?workbook=10_05.xlsx&amp;sheet=U0&amp;row=324&amp;col=7&amp;number=0.239&amp;sourceID=14","0.239")</f>
        <v>0.239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HYPERLINK("http://141.218.60.56/~jnz1568/getInfo.php?workbook=10_05.xlsx&amp;sheet=U0&amp;row=325&amp;col=6&amp;number=3.1&amp;sourceID=14","3.1")</f>
        <v>3.1</v>
      </c>
      <c r="G325" s="4" t="str">
        <f>HYPERLINK("http://141.218.60.56/~jnz1568/getInfo.php?workbook=10_05.xlsx&amp;sheet=U0&amp;row=325&amp;col=7&amp;number=0.239&amp;sourceID=14","0.239")</f>
        <v>0.239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HYPERLINK("http://141.218.60.56/~jnz1568/getInfo.php?workbook=10_05.xlsx&amp;sheet=U0&amp;row=326&amp;col=6&amp;number=3.2&amp;sourceID=14","3.2")</f>
        <v>3.2</v>
      </c>
      <c r="G326" s="4" t="str">
        <f>HYPERLINK("http://141.218.60.56/~jnz1568/getInfo.php?workbook=10_05.xlsx&amp;sheet=U0&amp;row=326&amp;col=7&amp;number=0.238&amp;sourceID=14","0.238")</f>
        <v>0.238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HYPERLINK("http://141.218.60.56/~jnz1568/getInfo.php?workbook=10_05.xlsx&amp;sheet=U0&amp;row=327&amp;col=6&amp;number=3.3&amp;sourceID=14","3.3")</f>
        <v>3.3</v>
      </c>
      <c r="G327" s="4" t="str">
        <f>HYPERLINK("http://141.218.60.56/~jnz1568/getInfo.php?workbook=10_05.xlsx&amp;sheet=U0&amp;row=327&amp;col=7&amp;number=0.238&amp;sourceID=14","0.238")</f>
        <v>0.238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HYPERLINK("http://141.218.60.56/~jnz1568/getInfo.php?workbook=10_05.xlsx&amp;sheet=U0&amp;row=328&amp;col=6&amp;number=3.4&amp;sourceID=14","3.4")</f>
        <v>3.4</v>
      </c>
      <c r="G328" s="4" t="str">
        <f>HYPERLINK("http://141.218.60.56/~jnz1568/getInfo.php?workbook=10_05.xlsx&amp;sheet=U0&amp;row=328&amp;col=7&amp;number=0.237&amp;sourceID=14","0.237")</f>
        <v>0.237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HYPERLINK("http://141.218.60.56/~jnz1568/getInfo.php?workbook=10_05.xlsx&amp;sheet=U0&amp;row=329&amp;col=6&amp;number=3.5&amp;sourceID=14","3.5")</f>
        <v>3.5</v>
      </c>
      <c r="G329" s="4" t="str">
        <f>HYPERLINK("http://141.218.60.56/~jnz1568/getInfo.php?workbook=10_05.xlsx&amp;sheet=U0&amp;row=329&amp;col=7&amp;number=0.236&amp;sourceID=14","0.236")</f>
        <v>0.236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HYPERLINK("http://141.218.60.56/~jnz1568/getInfo.php?workbook=10_05.xlsx&amp;sheet=U0&amp;row=330&amp;col=6&amp;number=3.6&amp;sourceID=14","3.6")</f>
        <v>3.6</v>
      </c>
      <c r="G330" s="4" t="str">
        <f>HYPERLINK("http://141.218.60.56/~jnz1568/getInfo.php?workbook=10_05.xlsx&amp;sheet=U0&amp;row=330&amp;col=7&amp;number=0.235&amp;sourceID=14","0.235")</f>
        <v>0.235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HYPERLINK("http://141.218.60.56/~jnz1568/getInfo.php?workbook=10_05.xlsx&amp;sheet=U0&amp;row=331&amp;col=6&amp;number=3.7&amp;sourceID=14","3.7")</f>
        <v>3.7</v>
      </c>
      <c r="G331" s="4" t="str">
        <f>HYPERLINK("http://141.218.60.56/~jnz1568/getInfo.php?workbook=10_05.xlsx&amp;sheet=U0&amp;row=331&amp;col=7&amp;number=0.234&amp;sourceID=14","0.234")</f>
        <v>0.234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HYPERLINK("http://141.218.60.56/~jnz1568/getInfo.php?workbook=10_05.xlsx&amp;sheet=U0&amp;row=332&amp;col=6&amp;number=3.8&amp;sourceID=14","3.8")</f>
        <v>3.8</v>
      </c>
      <c r="G332" s="4" t="str">
        <f>HYPERLINK("http://141.218.60.56/~jnz1568/getInfo.php?workbook=10_05.xlsx&amp;sheet=U0&amp;row=332&amp;col=7&amp;number=0.232&amp;sourceID=14","0.232")</f>
        <v>0.232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HYPERLINK("http://141.218.60.56/~jnz1568/getInfo.php?workbook=10_05.xlsx&amp;sheet=U0&amp;row=333&amp;col=6&amp;number=3.9&amp;sourceID=14","3.9")</f>
        <v>3.9</v>
      </c>
      <c r="G333" s="4" t="str">
        <f>HYPERLINK("http://141.218.60.56/~jnz1568/getInfo.php?workbook=10_05.xlsx&amp;sheet=U0&amp;row=333&amp;col=7&amp;number=0.23&amp;sourceID=14","0.23")</f>
        <v>0.23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HYPERLINK("http://141.218.60.56/~jnz1568/getInfo.php?workbook=10_05.xlsx&amp;sheet=U0&amp;row=334&amp;col=6&amp;number=4&amp;sourceID=14","4")</f>
        <v>4</v>
      </c>
      <c r="G334" s="4" t="str">
        <f>HYPERLINK("http://141.218.60.56/~jnz1568/getInfo.php?workbook=10_05.xlsx&amp;sheet=U0&amp;row=334&amp;col=7&amp;number=0.228&amp;sourceID=14","0.228")</f>
        <v>0.228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HYPERLINK("http://141.218.60.56/~jnz1568/getInfo.php?workbook=10_05.xlsx&amp;sheet=U0&amp;row=335&amp;col=6&amp;number=4.1&amp;sourceID=14","4.1")</f>
        <v>4.1</v>
      </c>
      <c r="G335" s="4" t="str">
        <f>HYPERLINK("http://141.218.60.56/~jnz1568/getInfo.php?workbook=10_05.xlsx&amp;sheet=U0&amp;row=335&amp;col=7&amp;number=0.225&amp;sourceID=14","0.225")</f>
        <v>0.225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HYPERLINK("http://141.218.60.56/~jnz1568/getInfo.php?workbook=10_05.xlsx&amp;sheet=U0&amp;row=336&amp;col=6&amp;number=4.2&amp;sourceID=14","4.2")</f>
        <v>4.2</v>
      </c>
      <c r="G336" s="4" t="str">
        <f>HYPERLINK("http://141.218.60.56/~jnz1568/getInfo.php?workbook=10_05.xlsx&amp;sheet=U0&amp;row=336&amp;col=7&amp;number=0.223&amp;sourceID=14","0.223")</f>
        <v>0.223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HYPERLINK("http://141.218.60.56/~jnz1568/getInfo.php?workbook=10_05.xlsx&amp;sheet=U0&amp;row=337&amp;col=6&amp;number=4.3&amp;sourceID=14","4.3")</f>
        <v>4.3</v>
      </c>
      <c r="G337" s="4" t="str">
        <f>HYPERLINK("http://141.218.60.56/~jnz1568/getInfo.php?workbook=10_05.xlsx&amp;sheet=U0&amp;row=337&amp;col=7&amp;number=0.219&amp;sourceID=14","0.219")</f>
        <v>0.219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HYPERLINK("http://141.218.60.56/~jnz1568/getInfo.php?workbook=10_05.xlsx&amp;sheet=U0&amp;row=338&amp;col=6&amp;number=4.4&amp;sourceID=14","4.4")</f>
        <v>4.4</v>
      </c>
      <c r="G338" s="4" t="str">
        <f>HYPERLINK("http://141.218.60.56/~jnz1568/getInfo.php?workbook=10_05.xlsx&amp;sheet=U0&amp;row=338&amp;col=7&amp;number=0.216&amp;sourceID=14","0.216")</f>
        <v>0.216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HYPERLINK("http://141.218.60.56/~jnz1568/getInfo.php?workbook=10_05.xlsx&amp;sheet=U0&amp;row=339&amp;col=6&amp;number=4.5&amp;sourceID=14","4.5")</f>
        <v>4.5</v>
      </c>
      <c r="G339" s="4" t="str">
        <f>HYPERLINK("http://141.218.60.56/~jnz1568/getInfo.php?workbook=10_05.xlsx&amp;sheet=U0&amp;row=339&amp;col=7&amp;number=0.212&amp;sourceID=14","0.212")</f>
        <v>0.212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HYPERLINK("http://141.218.60.56/~jnz1568/getInfo.php?workbook=10_05.xlsx&amp;sheet=U0&amp;row=340&amp;col=6&amp;number=4.6&amp;sourceID=14","4.6")</f>
        <v>4.6</v>
      </c>
      <c r="G340" s="4" t="str">
        <f>HYPERLINK("http://141.218.60.56/~jnz1568/getInfo.php?workbook=10_05.xlsx&amp;sheet=U0&amp;row=340&amp;col=7&amp;number=0.205&amp;sourceID=14","0.205")</f>
        <v>0.205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HYPERLINK("http://141.218.60.56/~jnz1568/getInfo.php?workbook=10_05.xlsx&amp;sheet=U0&amp;row=341&amp;col=6&amp;number=4.7&amp;sourceID=14","4.7")</f>
        <v>4.7</v>
      </c>
      <c r="G341" s="4" t="str">
        <f>HYPERLINK("http://141.218.60.56/~jnz1568/getInfo.php?workbook=10_05.xlsx&amp;sheet=U0&amp;row=341&amp;col=7&amp;number=0.196&amp;sourceID=14","0.196")</f>
        <v>0.196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HYPERLINK("http://141.218.60.56/~jnz1568/getInfo.php?workbook=10_05.xlsx&amp;sheet=U0&amp;row=342&amp;col=6&amp;number=4.8&amp;sourceID=14","4.8")</f>
        <v>4.8</v>
      </c>
      <c r="G342" s="4" t="str">
        <f>HYPERLINK("http://141.218.60.56/~jnz1568/getInfo.php?workbook=10_05.xlsx&amp;sheet=U0&amp;row=342&amp;col=7&amp;number=0.185&amp;sourceID=14","0.185")</f>
        <v>0.185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HYPERLINK("http://141.218.60.56/~jnz1568/getInfo.php?workbook=10_05.xlsx&amp;sheet=U0&amp;row=343&amp;col=6&amp;number=4.9&amp;sourceID=14","4.9")</f>
        <v>4.9</v>
      </c>
      <c r="G343" s="4" t="str">
        <f>HYPERLINK("http://141.218.60.56/~jnz1568/getInfo.php?workbook=10_05.xlsx&amp;sheet=U0&amp;row=343&amp;col=7&amp;number=0.172&amp;sourceID=14","0.172")</f>
        <v>0.172</v>
      </c>
    </row>
    <row r="344" spans="1:7">
      <c r="A344" s="3">
        <v>10</v>
      </c>
      <c r="B344" s="3">
        <v>5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HYPERLINK("http://141.218.60.56/~jnz1568/getInfo.php?workbook=10_05.xlsx&amp;sheet=U0&amp;row=344&amp;col=6&amp;number=3&amp;sourceID=14","3")</f>
        <v>3</v>
      </c>
      <c r="G344" s="4" t="str">
        <f>HYPERLINK("http://141.218.60.56/~jnz1568/getInfo.php?workbook=10_05.xlsx&amp;sheet=U0&amp;row=344&amp;col=7&amp;number=0.407&amp;sourceID=14","0.407")</f>
        <v>0.407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HYPERLINK("http://141.218.60.56/~jnz1568/getInfo.php?workbook=10_05.xlsx&amp;sheet=U0&amp;row=345&amp;col=6&amp;number=3.1&amp;sourceID=14","3.1")</f>
        <v>3.1</v>
      </c>
      <c r="G345" s="4" t="str">
        <f>HYPERLINK("http://141.218.60.56/~jnz1568/getInfo.php?workbook=10_05.xlsx&amp;sheet=U0&amp;row=345&amp;col=7&amp;number=0.407&amp;sourceID=14","0.407")</f>
        <v>0.407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HYPERLINK("http://141.218.60.56/~jnz1568/getInfo.php?workbook=10_05.xlsx&amp;sheet=U0&amp;row=346&amp;col=6&amp;number=3.2&amp;sourceID=14","3.2")</f>
        <v>3.2</v>
      </c>
      <c r="G346" s="4" t="str">
        <f>HYPERLINK("http://141.218.60.56/~jnz1568/getInfo.php?workbook=10_05.xlsx&amp;sheet=U0&amp;row=346&amp;col=7&amp;number=0.407&amp;sourceID=14","0.407")</f>
        <v>0.407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HYPERLINK("http://141.218.60.56/~jnz1568/getInfo.php?workbook=10_05.xlsx&amp;sheet=U0&amp;row=347&amp;col=6&amp;number=3.3&amp;sourceID=14","3.3")</f>
        <v>3.3</v>
      </c>
      <c r="G347" s="4" t="str">
        <f>HYPERLINK("http://141.218.60.56/~jnz1568/getInfo.php?workbook=10_05.xlsx&amp;sheet=U0&amp;row=347&amp;col=7&amp;number=0.406&amp;sourceID=14","0.406")</f>
        <v>0.406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HYPERLINK("http://141.218.60.56/~jnz1568/getInfo.php?workbook=10_05.xlsx&amp;sheet=U0&amp;row=348&amp;col=6&amp;number=3.4&amp;sourceID=14","3.4")</f>
        <v>3.4</v>
      </c>
      <c r="G348" s="4" t="str">
        <f>HYPERLINK("http://141.218.60.56/~jnz1568/getInfo.php?workbook=10_05.xlsx&amp;sheet=U0&amp;row=348&amp;col=7&amp;number=0.406&amp;sourceID=14","0.406")</f>
        <v>0.406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HYPERLINK("http://141.218.60.56/~jnz1568/getInfo.php?workbook=10_05.xlsx&amp;sheet=U0&amp;row=349&amp;col=6&amp;number=3.5&amp;sourceID=14","3.5")</f>
        <v>3.5</v>
      </c>
      <c r="G349" s="4" t="str">
        <f>HYPERLINK("http://141.218.60.56/~jnz1568/getInfo.php?workbook=10_05.xlsx&amp;sheet=U0&amp;row=349&amp;col=7&amp;number=0.405&amp;sourceID=14","0.405")</f>
        <v>0.405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HYPERLINK("http://141.218.60.56/~jnz1568/getInfo.php?workbook=10_05.xlsx&amp;sheet=U0&amp;row=350&amp;col=6&amp;number=3.6&amp;sourceID=14","3.6")</f>
        <v>3.6</v>
      </c>
      <c r="G350" s="4" t="str">
        <f>HYPERLINK("http://141.218.60.56/~jnz1568/getInfo.php?workbook=10_05.xlsx&amp;sheet=U0&amp;row=350&amp;col=7&amp;number=0.404&amp;sourceID=14","0.404")</f>
        <v>0.404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HYPERLINK("http://141.218.60.56/~jnz1568/getInfo.php?workbook=10_05.xlsx&amp;sheet=U0&amp;row=351&amp;col=6&amp;number=3.7&amp;sourceID=14","3.7")</f>
        <v>3.7</v>
      </c>
      <c r="G351" s="4" t="str">
        <f>HYPERLINK("http://141.218.60.56/~jnz1568/getInfo.php?workbook=10_05.xlsx&amp;sheet=U0&amp;row=351&amp;col=7&amp;number=0.404&amp;sourceID=14","0.404")</f>
        <v>0.404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HYPERLINK("http://141.218.60.56/~jnz1568/getInfo.php?workbook=10_05.xlsx&amp;sheet=U0&amp;row=352&amp;col=6&amp;number=3.8&amp;sourceID=14","3.8")</f>
        <v>3.8</v>
      </c>
      <c r="G352" s="4" t="str">
        <f>HYPERLINK("http://141.218.60.56/~jnz1568/getInfo.php?workbook=10_05.xlsx&amp;sheet=U0&amp;row=352&amp;col=7&amp;number=0.402&amp;sourceID=14","0.402")</f>
        <v>0.402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HYPERLINK("http://141.218.60.56/~jnz1568/getInfo.php?workbook=10_05.xlsx&amp;sheet=U0&amp;row=353&amp;col=6&amp;number=3.9&amp;sourceID=14","3.9")</f>
        <v>3.9</v>
      </c>
      <c r="G353" s="4" t="str">
        <f>HYPERLINK("http://141.218.60.56/~jnz1568/getInfo.php?workbook=10_05.xlsx&amp;sheet=U0&amp;row=353&amp;col=7&amp;number=0.401&amp;sourceID=14","0.401")</f>
        <v>0.401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HYPERLINK("http://141.218.60.56/~jnz1568/getInfo.php?workbook=10_05.xlsx&amp;sheet=U0&amp;row=354&amp;col=6&amp;number=4&amp;sourceID=14","4")</f>
        <v>4</v>
      </c>
      <c r="G354" s="4" t="str">
        <f>HYPERLINK("http://141.218.60.56/~jnz1568/getInfo.php?workbook=10_05.xlsx&amp;sheet=U0&amp;row=354&amp;col=7&amp;number=0.399&amp;sourceID=14","0.399")</f>
        <v>0.399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HYPERLINK("http://141.218.60.56/~jnz1568/getInfo.php?workbook=10_05.xlsx&amp;sheet=U0&amp;row=355&amp;col=6&amp;number=4.1&amp;sourceID=14","4.1")</f>
        <v>4.1</v>
      </c>
      <c r="G355" s="4" t="str">
        <f>HYPERLINK("http://141.218.60.56/~jnz1568/getInfo.php?workbook=10_05.xlsx&amp;sheet=U0&amp;row=355&amp;col=7&amp;number=0.397&amp;sourceID=14","0.397")</f>
        <v>0.397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HYPERLINK("http://141.218.60.56/~jnz1568/getInfo.php?workbook=10_05.xlsx&amp;sheet=U0&amp;row=356&amp;col=6&amp;number=4.2&amp;sourceID=14","4.2")</f>
        <v>4.2</v>
      </c>
      <c r="G356" s="4" t="str">
        <f>HYPERLINK("http://141.218.60.56/~jnz1568/getInfo.php?workbook=10_05.xlsx&amp;sheet=U0&amp;row=356&amp;col=7&amp;number=0.394&amp;sourceID=14","0.394")</f>
        <v>0.394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HYPERLINK("http://141.218.60.56/~jnz1568/getInfo.php?workbook=10_05.xlsx&amp;sheet=U0&amp;row=357&amp;col=6&amp;number=4.3&amp;sourceID=14","4.3")</f>
        <v>4.3</v>
      </c>
      <c r="G357" s="4" t="str">
        <f>HYPERLINK("http://141.218.60.56/~jnz1568/getInfo.php?workbook=10_05.xlsx&amp;sheet=U0&amp;row=357&amp;col=7&amp;number=0.391&amp;sourceID=14","0.391")</f>
        <v>0.391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HYPERLINK("http://141.218.60.56/~jnz1568/getInfo.php?workbook=10_05.xlsx&amp;sheet=U0&amp;row=358&amp;col=6&amp;number=4.4&amp;sourceID=14","4.4")</f>
        <v>4.4</v>
      </c>
      <c r="G358" s="4" t="str">
        <f>HYPERLINK("http://141.218.60.56/~jnz1568/getInfo.php?workbook=10_05.xlsx&amp;sheet=U0&amp;row=358&amp;col=7&amp;number=0.387&amp;sourceID=14","0.387")</f>
        <v>0.387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HYPERLINK("http://141.218.60.56/~jnz1568/getInfo.php?workbook=10_05.xlsx&amp;sheet=U0&amp;row=359&amp;col=6&amp;number=4.5&amp;sourceID=14","4.5")</f>
        <v>4.5</v>
      </c>
      <c r="G359" s="4" t="str">
        <f>HYPERLINK("http://141.218.60.56/~jnz1568/getInfo.php?workbook=10_05.xlsx&amp;sheet=U0&amp;row=359&amp;col=7&amp;number=0.383&amp;sourceID=14","0.383")</f>
        <v>0.383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HYPERLINK("http://141.218.60.56/~jnz1568/getInfo.php?workbook=10_05.xlsx&amp;sheet=U0&amp;row=360&amp;col=6&amp;number=4.6&amp;sourceID=14","4.6")</f>
        <v>4.6</v>
      </c>
      <c r="G360" s="4" t="str">
        <f>HYPERLINK("http://141.218.60.56/~jnz1568/getInfo.php?workbook=10_05.xlsx&amp;sheet=U0&amp;row=360&amp;col=7&amp;number=0.378&amp;sourceID=14","0.378")</f>
        <v>0.378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HYPERLINK("http://141.218.60.56/~jnz1568/getInfo.php?workbook=10_05.xlsx&amp;sheet=U0&amp;row=361&amp;col=6&amp;number=4.7&amp;sourceID=14","4.7")</f>
        <v>4.7</v>
      </c>
      <c r="G361" s="4" t="str">
        <f>HYPERLINK("http://141.218.60.56/~jnz1568/getInfo.php?workbook=10_05.xlsx&amp;sheet=U0&amp;row=361&amp;col=7&amp;number=0.373&amp;sourceID=14","0.373")</f>
        <v>0.373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HYPERLINK("http://141.218.60.56/~jnz1568/getInfo.php?workbook=10_05.xlsx&amp;sheet=U0&amp;row=362&amp;col=6&amp;number=4.8&amp;sourceID=14","4.8")</f>
        <v>4.8</v>
      </c>
      <c r="G362" s="4" t="str">
        <f>HYPERLINK("http://141.218.60.56/~jnz1568/getInfo.php?workbook=10_05.xlsx&amp;sheet=U0&amp;row=362&amp;col=7&amp;number=0.367&amp;sourceID=14","0.367")</f>
        <v>0.367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HYPERLINK("http://141.218.60.56/~jnz1568/getInfo.php?workbook=10_05.xlsx&amp;sheet=U0&amp;row=363&amp;col=6&amp;number=4.9&amp;sourceID=14","4.9")</f>
        <v>4.9</v>
      </c>
      <c r="G363" s="4" t="str">
        <f>HYPERLINK("http://141.218.60.56/~jnz1568/getInfo.php?workbook=10_05.xlsx&amp;sheet=U0&amp;row=363&amp;col=7&amp;number=0.363&amp;sourceID=14","0.363")</f>
        <v>0.363</v>
      </c>
    </row>
    <row r="364" spans="1:7">
      <c r="A364" s="3">
        <v>10</v>
      </c>
      <c r="B364" s="3">
        <v>5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HYPERLINK("http://141.218.60.56/~jnz1568/getInfo.php?workbook=10_05.xlsx&amp;sheet=U0&amp;row=364&amp;col=6&amp;number=3&amp;sourceID=14","3")</f>
        <v>3</v>
      </c>
      <c r="G364" s="4" t="str">
        <f>HYPERLINK("http://141.218.60.56/~jnz1568/getInfo.php?workbook=10_05.xlsx&amp;sheet=U0&amp;row=364&amp;col=7&amp;number=0.212&amp;sourceID=14","0.212")</f>
        <v>0.212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HYPERLINK("http://141.218.60.56/~jnz1568/getInfo.php?workbook=10_05.xlsx&amp;sheet=U0&amp;row=365&amp;col=6&amp;number=3.1&amp;sourceID=14","3.1")</f>
        <v>3.1</v>
      </c>
      <c r="G365" s="4" t="str">
        <f>HYPERLINK("http://141.218.60.56/~jnz1568/getInfo.php?workbook=10_05.xlsx&amp;sheet=U0&amp;row=365&amp;col=7&amp;number=0.212&amp;sourceID=14","0.212")</f>
        <v>0.212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HYPERLINK("http://141.218.60.56/~jnz1568/getInfo.php?workbook=10_05.xlsx&amp;sheet=U0&amp;row=366&amp;col=6&amp;number=3.2&amp;sourceID=14","3.2")</f>
        <v>3.2</v>
      </c>
      <c r="G366" s="4" t="str">
        <f>HYPERLINK("http://141.218.60.56/~jnz1568/getInfo.php?workbook=10_05.xlsx&amp;sheet=U0&amp;row=366&amp;col=7&amp;number=0.211&amp;sourceID=14","0.211")</f>
        <v>0.211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HYPERLINK("http://141.218.60.56/~jnz1568/getInfo.php?workbook=10_05.xlsx&amp;sheet=U0&amp;row=367&amp;col=6&amp;number=3.3&amp;sourceID=14","3.3")</f>
        <v>3.3</v>
      </c>
      <c r="G367" s="4" t="str">
        <f>HYPERLINK("http://141.218.60.56/~jnz1568/getInfo.php?workbook=10_05.xlsx&amp;sheet=U0&amp;row=367&amp;col=7&amp;number=0.211&amp;sourceID=14","0.211")</f>
        <v>0.211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HYPERLINK("http://141.218.60.56/~jnz1568/getInfo.php?workbook=10_05.xlsx&amp;sheet=U0&amp;row=368&amp;col=6&amp;number=3.4&amp;sourceID=14","3.4")</f>
        <v>3.4</v>
      </c>
      <c r="G368" s="4" t="str">
        <f>HYPERLINK("http://141.218.60.56/~jnz1568/getInfo.php?workbook=10_05.xlsx&amp;sheet=U0&amp;row=368&amp;col=7&amp;number=0.21&amp;sourceID=14","0.21")</f>
        <v>0.21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HYPERLINK("http://141.218.60.56/~jnz1568/getInfo.php?workbook=10_05.xlsx&amp;sheet=U0&amp;row=369&amp;col=6&amp;number=3.5&amp;sourceID=14","3.5")</f>
        <v>3.5</v>
      </c>
      <c r="G369" s="4" t="str">
        <f>HYPERLINK("http://141.218.60.56/~jnz1568/getInfo.php?workbook=10_05.xlsx&amp;sheet=U0&amp;row=369&amp;col=7&amp;number=0.209&amp;sourceID=14","0.209")</f>
        <v>0.209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HYPERLINK("http://141.218.60.56/~jnz1568/getInfo.php?workbook=10_05.xlsx&amp;sheet=U0&amp;row=370&amp;col=6&amp;number=3.6&amp;sourceID=14","3.6")</f>
        <v>3.6</v>
      </c>
      <c r="G370" s="4" t="str">
        <f>HYPERLINK("http://141.218.60.56/~jnz1568/getInfo.php?workbook=10_05.xlsx&amp;sheet=U0&amp;row=370&amp;col=7&amp;number=0.208&amp;sourceID=14","0.208")</f>
        <v>0.208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HYPERLINK("http://141.218.60.56/~jnz1568/getInfo.php?workbook=10_05.xlsx&amp;sheet=U0&amp;row=371&amp;col=6&amp;number=3.7&amp;sourceID=14","3.7")</f>
        <v>3.7</v>
      </c>
      <c r="G371" s="4" t="str">
        <f>HYPERLINK("http://141.218.60.56/~jnz1568/getInfo.php?workbook=10_05.xlsx&amp;sheet=U0&amp;row=371&amp;col=7&amp;number=0.206&amp;sourceID=14","0.206")</f>
        <v>0.206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HYPERLINK("http://141.218.60.56/~jnz1568/getInfo.php?workbook=10_05.xlsx&amp;sheet=U0&amp;row=372&amp;col=6&amp;number=3.8&amp;sourceID=14","3.8")</f>
        <v>3.8</v>
      </c>
      <c r="G372" s="4" t="str">
        <f>HYPERLINK("http://141.218.60.56/~jnz1568/getInfo.php?workbook=10_05.xlsx&amp;sheet=U0&amp;row=372&amp;col=7&amp;number=0.204&amp;sourceID=14","0.204")</f>
        <v>0.204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HYPERLINK("http://141.218.60.56/~jnz1568/getInfo.php?workbook=10_05.xlsx&amp;sheet=U0&amp;row=373&amp;col=6&amp;number=3.9&amp;sourceID=14","3.9")</f>
        <v>3.9</v>
      </c>
      <c r="G373" s="4" t="str">
        <f>HYPERLINK("http://141.218.60.56/~jnz1568/getInfo.php?workbook=10_05.xlsx&amp;sheet=U0&amp;row=373&amp;col=7&amp;number=0.202&amp;sourceID=14","0.202")</f>
        <v>0.202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HYPERLINK("http://141.218.60.56/~jnz1568/getInfo.php?workbook=10_05.xlsx&amp;sheet=U0&amp;row=374&amp;col=6&amp;number=4&amp;sourceID=14","4")</f>
        <v>4</v>
      </c>
      <c r="G374" s="4" t="str">
        <f>HYPERLINK("http://141.218.60.56/~jnz1568/getInfo.php?workbook=10_05.xlsx&amp;sheet=U0&amp;row=374&amp;col=7&amp;number=0.199&amp;sourceID=14","0.199")</f>
        <v>0.199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HYPERLINK("http://141.218.60.56/~jnz1568/getInfo.php?workbook=10_05.xlsx&amp;sheet=U0&amp;row=375&amp;col=6&amp;number=4.1&amp;sourceID=14","4.1")</f>
        <v>4.1</v>
      </c>
      <c r="G375" s="4" t="str">
        <f>HYPERLINK("http://141.218.60.56/~jnz1568/getInfo.php?workbook=10_05.xlsx&amp;sheet=U0&amp;row=375&amp;col=7&amp;number=0.196&amp;sourceID=14","0.196")</f>
        <v>0.196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HYPERLINK("http://141.218.60.56/~jnz1568/getInfo.php?workbook=10_05.xlsx&amp;sheet=U0&amp;row=376&amp;col=6&amp;number=4.2&amp;sourceID=14","4.2")</f>
        <v>4.2</v>
      </c>
      <c r="G376" s="4" t="str">
        <f>HYPERLINK("http://141.218.60.56/~jnz1568/getInfo.php?workbook=10_05.xlsx&amp;sheet=U0&amp;row=376&amp;col=7&amp;number=0.192&amp;sourceID=14","0.192")</f>
        <v>0.192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HYPERLINK("http://141.218.60.56/~jnz1568/getInfo.php?workbook=10_05.xlsx&amp;sheet=U0&amp;row=377&amp;col=6&amp;number=4.3&amp;sourceID=14","4.3")</f>
        <v>4.3</v>
      </c>
      <c r="G377" s="4" t="str">
        <f>HYPERLINK("http://141.218.60.56/~jnz1568/getInfo.php?workbook=10_05.xlsx&amp;sheet=U0&amp;row=377&amp;col=7&amp;number=0.187&amp;sourceID=14","0.187")</f>
        <v>0.187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HYPERLINK("http://141.218.60.56/~jnz1568/getInfo.php?workbook=10_05.xlsx&amp;sheet=U0&amp;row=378&amp;col=6&amp;number=4.4&amp;sourceID=14","4.4")</f>
        <v>4.4</v>
      </c>
      <c r="G378" s="4" t="str">
        <f>HYPERLINK("http://141.218.60.56/~jnz1568/getInfo.php?workbook=10_05.xlsx&amp;sheet=U0&amp;row=378&amp;col=7&amp;number=0.182&amp;sourceID=14","0.182")</f>
        <v>0.182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HYPERLINK("http://141.218.60.56/~jnz1568/getInfo.php?workbook=10_05.xlsx&amp;sheet=U0&amp;row=379&amp;col=6&amp;number=4.5&amp;sourceID=14","4.5")</f>
        <v>4.5</v>
      </c>
      <c r="G379" s="4" t="str">
        <f>HYPERLINK("http://141.218.60.56/~jnz1568/getInfo.php?workbook=10_05.xlsx&amp;sheet=U0&amp;row=379&amp;col=7&amp;number=0.176&amp;sourceID=14","0.176")</f>
        <v>0.176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HYPERLINK("http://141.218.60.56/~jnz1568/getInfo.php?workbook=10_05.xlsx&amp;sheet=U0&amp;row=380&amp;col=6&amp;number=4.6&amp;sourceID=14","4.6")</f>
        <v>4.6</v>
      </c>
      <c r="G380" s="4" t="str">
        <f>HYPERLINK("http://141.218.60.56/~jnz1568/getInfo.php?workbook=10_05.xlsx&amp;sheet=U0&amp;row=380&amp;col=7&amp;number=0.17&amp;sourceID=14","0.17")</f>
        <v>0.17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HYPERLINK("http://141.218.60.56/~jnz1568/getInfo.php?workbook=10_05.xlsx&amp;sheet=U0&amp;row=381&amp;col=6&amp;number=4.7&amp;sourceID=14","4.7")</f>
        <v>4.7</v>
      </c>
      <c r="G381" s="4" t="str">
        <f>HYPERLINK("http://141.218.60.56/~jnz1568/getInfo.php?workbook=10_05.xlsx&amp;sheet=U0&amp;row=381&amp;col=7&amp;number=0.164&amp;sourceID=14","0.164")</f>
        <v>0.164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HYPERLINK("http://141.218.60.56/~jnz1568/getInfo.php?workbook=10_05.xlsx&amp;sheet=U0&amp;row=382&amp;col=6&amp;number=4.8&amp;sourceID=14","4.8")</f>
        <v>4.8</v>
      </c>
      <c r="G382" s="4" t="str">
        <f>HYPERLINK("http://141.218.60.56/~jnz1568/getInfo.php?workbook=10_05.xlsx&amp;sheet=U0&amp;row=382&amp;col=7&amp;number=0.158&amp;sourceID=14","0.158")</f>
        <v>0.158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HYPERLINK("http://141.218.60.56/~jnz1568/getInfo.php?workbook=10_05.xlsx&amp;sheet=U0&amp;row=383&amp;col=6&amp;number=4.9&amp;sourceID=14","4.9")</f>
        <v>4.9</v>
      </c>
      <c r="G383" s="4" t="str">
        <f>HYPERLINK("http://141.218.60.56/~jnz1568/getInfo.php?workbook=10_05.xlsx&amp;sheet=U0&amp;row=383&amp;col=7&amp;number=0.151&amp;sourceID=14","0.151")</f>
        <v>0.151</v>
      </c>
    </row>
    <row r="384" spans="1:7">
      <c r="A384" s="3">
        <v>10</v>
      </c>
      <c r="B384" s="3">
        <v>5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HYPERLINK("http://141.218.60.56/~jnz1568/getInfo.php?workbook=10_05.xlsx&amp;sheet=U0&amp;row=384&amp;col=6&amp;number=3&amp;sourceID=14","3")</f>
        <v>3</v>
      </c>
      <c r="G384" s="4" t="str">
        <f>HYPERLINK("http://141.218.60.56/~jnz1568/getInfo.php?workbook=10_05.xlsx&amp;sheet=U0&amp;row=384&amp;col=7&amp;number=0.0544&amp;sourceID=14","0.0544")</f>
        <v>0.0544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HYPERLINK("http://141.218.60.56/~jnz1568/getInfo.php?workbook=10_05.xlsx&amp;sheet=U0&amp;row=385&amp;col=6&amp;number=3.1&amp;sourceID=14","3.1")</f>
        <v>3.1</v>
      </c>
      <c r="G385" s="4" t="str">
        <f>HYPERLINK("http://141.218.60.56/~jnz1568/getInfo.php?workbook=10_05.xlsx&amp;sheet=U0&amp;row=385&amp;col=7&amp;number=0.0542&amp;sourceID=14","0.0542")</f>
        <v>0.0542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HYPERLINK("http://141.218.60.56/~jnz1568/getInfo.php?workbook=10_05.xlsx&amp;sheet=U0&amp;row=386&amp;col=6&amp;number=3.2&amp;sourceID=14","3.2")</f>
        <v>3.2</v>
      </c>
      <c r="G386" s="4" t="str">
        <f>HYPERLINK("http://141.218.60.56/~jnz1568/getInfo.php?workbook=10_05.xlsx&amp;sheet=U0&amp;row=386&amp;col=7&amp;number=0.054&amp;sourceID=14","0.054")</f>
        <v>0.054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HYPERLINK("http://141.218.60.56/~jnz1568/getInfo.php?workbook=10_05.xlsx&amp;sheet=U0&amp;row=387&amp;col=6&amp;number=3.3&amp;sourceID=14","3.3")</f>
        <v>3.3</v>
      </c>
      <c r="G387" s="4" t="str">
        <f>HYPERLINK("http://141.218.60.56/~jnz1568/getInfo.php?workbook=10_05.xlsx&amp;sheet=U0&amp;row=387&amp;col=7&amp;number=0.0538&amp;sourceID=14","0.0538")</f>
        <v>0.0538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HYPERLINK("http://141.218.60.56/~jnz1568/getInfo.php?workbook=10_05.xlsx&amp;sheet=U0&amp;row=388&amp;col=6&amp;number=3.4&amp;sourceID=14","3.4")</f>
        <v>3.4</v>
      </c>
      <c r="G388" s="4" t="str">
        <f>HYPERLINK("http://141.218.60.56/~jnz1568/getInfo.php?workbook=10_05.xlsx&amp;sheet=U0&amp;row=388&amp;col=7&amp;number=0.0535&amp;sourceID=14","0.0535")</f>
        <v>0.0535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HYPERLINK("http://141.218.60.56/~jnz1568/getInfo.php?workbook=10_05.xlsx&amp;sheet=U0&amp;row=389&amp;col=6&amp;number=3.5&amp;sourceID=14","3.5")</f>
        <v>3.5</v>
      </c>
      <c r="G389" s="4" t="str">
        <f>HYPERLINK("http://141.218.60.56/~jnz1568/getInfo.php?workbook=10_05.xlsx&amp;sheet=U0&amp;row=389&amp;col=7&amp;number=0.0531&amp;sourceID=14","0.0531")</f>
        <v>0.0531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HYPERLINK("http://141.218.60.56/~jnz1568/getInfo.php?workbook=10_05.xlsx&amp;sheet=U0&amp;row=390&amp;col=6&amp;number=3.6&amp;sourceID=14","3.6")</f>
        <v>3.6</v>
      </c>
      <c r="G390" s="4" t="str">
        <f>HYPERLINK("http://141.218.60.56/~jnz1568/getInfo.php?workbook=10_05.xlsx&amp;sheet=U0&amp;row=390&amp;col=7&amp;number=0.0526&amp;sourceID=14","0.0526")</f>
        <v>0.0526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HYPERLINK("http://141.218.60.56/~jnz1568/getInfo.php?workbook=10_05.xlsx&amp;sheet=U0&amp;row=391&amp;col=6&amp;number=3.7&amp;sourceID=14","3.7")</f>
        <v>3.7</v>
      </c>
      <c r="G391" s="4" t="str">
        <f>HYPERLINK("http://141.218.60.56/~jnz1568/getInfo.php?workbook=10_05.xlsx&amp;sheet=U0&amp;row=391&amp;col=7&amp;number=0.052&amp;sourceID=14","0.052")</f>
        <v>0.052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HYPERLINK("http://141.218.60.56/~jnz1568/getInfo.php?workbook=10_05.xlsx&amp;sheet=U0&amp;row=392&amp;col=6&amp;number=3.8&amp;sourceID=14","3.8")</f>
        <v>3.8</v>
      </c>
      <c r="G392" s="4" t="str">
        <f>HYPERLINK("http://141.218.60.56/~jnz1568/getInfo.php?workbook=10_05.xlsx&amp;sheet=U0&amp;row=392&amp;col=7&amp;number=0.0512&amp;sourceID=14","0.0512")</f>
        <v>0.0512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HYPERLINK("http://141.218.60.56/~jnz1568/getInfo.php?workbook=10_05.xlsx&amp;sheet=U0&amp;row=393&amp;col=6&amp;number=3.9&amp;sourceID=14","3.9")</f>
        <v>3.9</v>
      </c>
      <c r="G393" s="4" t="str">
        <f>HYPERLINK("http://141.218.60.56/~jnz1568/getInfo.php?workbook=10_05.xlsx&amp;sheet=U0&amp;row=393&amp;col=7&amp;number=0.0503&amp;sourceID=14","0.0503")</f>
        <v>0.0503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HYPERLINK("http://141.218.60.56/~jnz1568/getInfo.php?workbook=10_05.xlsx&amp;sheet=U0&amp;row=394&amp;col=6&amp;number=4&amp;sourceID=14","4")</f>
        <v>4</v>
      </c>
      <c r="G394" s="4" t="str">
        <f>HYPERLINK("http://141.218.60.56/~jnz1568/getInfo.php?workbook=10_05.xlsx&amp;sheet=U0&amp;row=394&amp;col=7&amp;number=0.0492&amp;sourceID=14","0.0492")</f>
        <v>0.0492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HYPERLINK("http://141.218.60.56/~jnz1568/getInfo.php?workbook=10_05.xlsx&amp;sheet=U0&amp;row=395&amp;col=6&amp;number=4.1&amp;sourceID=14","4.1")</f>
        <v>4.1</v>
      </c>
      <c r="G395" s="4" t="str">
        <f>HYPERLINK("http://141.218.60.56/~jnz1568/getInfo.php?workbook=10_05.xlsx&amp;sheet=U0&amp;row=395&amp;col=7&amp;number=0.0479&amp;sourceID=14","0.0479")</f>
        <v>0.0479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HYPERLINK("http://141.218.60.56/~jnz1568/getInfo.php?workbook=10_05.xlsx&amp;sheet=U0&amp;row=396&amp;col=6&amp;number=4.2&amp;sourceID=14","4.2")</f>
        <v>4.2</v>
      </c>
      <c r="G396" s="4" t="str">
        <f>HYPERLINK("http://141.218.60.56/~jnz1568/getInfo.php?workbook=10_05.xlsx&amp;sheet=U0&amp;row=396&amp;col=7&amp;number=0.0463&amp;sourceID=14","0.0463")</f>
        <v>0.0463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HYPERLINK("http://141.218.60.56/~jnz1568/getInfo.php?workbook=10_05.xlsx&amp;sheet=U0&amp;row=397&amp;col=6&amp;number=4.3&amp;sourceID=14","4.3")</f>
        <v>4.3</v>
      </c>
      <c r="G397" s="4" t="str">
        <f>HYPERLINK("http://141.218.60.56/~jnz1568/getInfo.php?workbook=10_05.xlsx&amp;sheet=U0&amp;row=397&amp;col=7&amp;number=0.0445&amp;sourceID=14","0.0445")</f>
        <v>0.0445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HYPERLINK("http://141.218.60.56/~jnz1568/getInfo.php?workbook=10_05.xlsx&amp;sheet=U0&amp;row=398&amp;col=6&amp;number=4.4&amp;sourceID=14","4.4")</f>
        <v>4.4</v>
      </c>
      <c r="G398" s="4" t="str">
        <f>HYPERLINK("http://141.218.60.56/~jnz1568/getInfo.php?workbook=10_05.xlsx&amp;sheet=U0&amp;row=398&amp;col=7&amp;number=0.0424&amp;sourceID=14","0.0424")</f>
        <v>0.0424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HYPERLINK("http://141.218.60.56/~jnz1568/getInfo.php?workbook=10_05.xlsx&amp;sheet=U0&amp;row=399&amp;col=6&amp;number=4.5&amp;sourceID=14","4.5")</f>
        <v>4.5</v>
      </c>
      <c r="G399" s="4" t="str">
        <f>HYPERLINK("http://141.218.60.56/~jnz1568/getInfo.php?workbook=10_05.xlsx&amp;sheet=U0&amp;row=399&amp;col=7&amp;number=0.0401&amp;sourceID=14","0.0401")</f>
        <v>0.0401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HYPERLINK("http://141.218.60.56/~jnz1568/getInfo.php?workbook=10_05.xlsx&amp;sheet=U0&amp;row=400&amp;col=6&amp;number=4.6&amp;sourceID=14","4.6")</f>
        <v>4.6</v>
      </c>
      <c r="G400" s="4" t="str">
        <f>HYPERLINK("http://141.218.60.56/~jnz1568/getInfo.php?workbook=10_05.xlsx&amp;sheet=U0&amp;row=400&amp;col=7&amp;number=0.0375&amp;sourceID=14","0.0375")</f>
        <v>0.0375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HYPERLINK("http://141.218.60.56/~jnz1568/getInfo.php?workbook=10_05.xlsx&amp;sheet=U0&amp;row=401&amp;col=6&amp;number=4.7&amp;sourceID=14","4.7")</f>
        <v>4.7</v>
      </c>
      <c r="G401" s="4" t="str">
        <f>HYPERLINK("http://141.218.60.56/~jnz1568/getInfo.php?workbook=10_05.xlsx&amp;sheet=U0&amp;row=401&amp;col=7&amp;number=0.0347&amp;sourceID=14","0.0347")</f>
        <v>0.0347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HYPERLINK("http://141.218.60.56/~jnz1568/getInfo.php?workbook=10_05.xlsx&amp;sheet=U0&amp;row=402&amp;col=6&amp;number=4.8&amp;sourceID=14","4.8")</f>
        <v>4.8</v>
      </c>
      <c r="G402" s="4" t="str">
        <f>HYPERLINK("http://141.218.60.56/~jnz1568/getInfo.php?workbook=10_05.xlsx&amp;sheet=U0&amp;row=402&amp;col=7&amp;number=0.0318&amp;sourceID=14","0.0318")</f>
        <v>0.0318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HYPERLINK("http://141.218.60.56/~jnz1568/getInfo.php?workbook=10_05.xlsx&amp;sheet=U0&amp;row=403&amp;col=6&amp;number=4.9&amp;sourceID=14","4.9")</f>
        <v>4.9</v>
      </c>
      <c r="G403" s="4" t="str">
        <f>HYPERLINK("http://141.218.60.56/~jnz1568/getInfo.php?workbook=10_05.xlsx&amp;sheet=U0&amp;row=403&amp;col=7&amp;number=0.0288&amp;sourceID=14","0.0288")</f>
        <v>0.0288</v>
      </c>
    </row>
    <row r="404" spans="1:7">
      <c r="A404" s="3">
        <v>10</v>
      </c>
      <c r="B404" s="3">
        <v>5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HYPERLINK("http://141.218.60.56/~jnz1568/getInfo.php?workbook=10_05.xlsx&amp;sheet=U0&amp;row=404&amp;col=6&amp;number=3&amp;sourceID=14","3")</f>
        <v>3</v>
      </c>
      <c r="G404" s="4" t="str">
        <f>HYPERLINK("http://141.218.60.56/~jnz1568/getInfo.php?workbook=10_05.xlsx&amp;sheet=U0&amp;row=404&amp;col=7&amp;number=0.103&amp;sourceID=14","0.103")</f>
        <v>0.103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HYPERLINK("http://141.218.60.56/~jnz1568/getInfo.php?workbook=10_05.xlsx&amp;sheet=U0&amp;row=405&amp;col=6&amp;number=3.1&amp;sourceID=14","3.1")</f>
        <v>3.1</v>
      </c>
      <c r="G405" s="4" t="str">
        <f>HYPERLINK("http://141.218.60.56/~jnz1568/getInfo.php?workbook=10_05.xlsx&amp;sheet=U0&amp;row=405&amp;col=7&amp;number=0.102&amp;sourceID=14","0.102")</f>
        <v>0.102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HYPERLINK("http://141.218.60.56/~jnz1568/getInfo.php?workbook=10_05.xlsx&amp;sheet=U0&amp;row=406&amp;col=6&amp;number=3.2&amp;sourceID=14","3.2")</f>
        <v>3.2</v>
      </c>
      <c r="G406" s="4" t="str">
        <f>HYPERLINK("http://141.218.60.56/~jnz1568/getInfo.php?workbook=10_05.xlsx&amp;sheet=U0&amp;row=406&amp;col=7&amp;number=0.102&amp;sourceID=14","0.102")</f>
        <v>0.102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HYPERLINK("http://141.218.60.56/~jnz1568/getInfo.php?workbook=10_05.xlsx&amp;sheet=U0&amp;row=407&amp;col=6&amp;number=3.3&amp;sourceID=14","3.3")</f>
        <v>3.3</v>
      </c>
      <c r="G407" s="4" t="str">
        <f>HYPERLINK("http://141.218.60.56/~jnz1568/getInfo.php?workbook=10_05.xlsx&amp;sheet=U0&amp;row=407&amp;col=7&amp;number=0.101&amp;sourceID=14","0.101")</f>
        <v>0.101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HYPERLINK("http://141.218.60.56/~jnz1568/getInfo.php?workbook=10_05.xlsx&amp;sheet=U0&amp;row=408&amp;col=6&amp;number=3.4&amp;sourceID=14","3.4")</f>
        <v>3.4</v>
      </c>
      <c r="G408" s="4" t="str">
        <f>HYPERLINK("http://141.218.60.56/~jnz1568/getInfo.php?workbook=10_05.xlsx&amp;sheet=U0&amp;row=408&amp;col=7&amp;number=0.0999&amp;sourceID=14","0.0999")</f>
        <v>0.0999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HYPERLINK("http://141.218.60.56/~jnz1568/getInfo.php?workbook=10_05.xlsx&amp;sheet=U0&amp;row=409&amp;col=6&amp;number=3.5&amp;sourceID=14","3.5")</f>
        <v>3.5</v>
      </c>
      <c r="G409" s="4" t="str">
        <f>HYPERLINK("http://141.218.60.56/~jnz1568/getInfo.php?workbook=10_05.xlsx&amp;sheet=U0&amp;row=409&amp;col=7&amp;number=0.0987&amp;sourceID=14","0.0987")</f>
        <v>0.0987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HYPERLINK("http://141.218.60.56/~jnz1568/getInfo.php?workbook=10_05.xlsx&amp;sheet=U0&amp;row=410&amp;col=6&amp;number=3.6&amp;sourceID=14","3.6")</f>
        <v>3.6</v>
      </c>
      <c r="G410" s="4" t="str">
        <f>HYPERLINK("http://141.218.60.56/~jnz1568/getInfo.php?workbook=10_05.xlsx&amp;sheet=U0&amp;row=410&amp;col=7&amp;number=0.0971&amp;sourceID=14","0.0971")</f>
        <v>0.0971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HYPERLINK("http://141.218.60.56/~jnz1568/getInfo.php?workbook=10_05.xlsx&amp;sheet=U0&amp;row=411&amp;col=6&amp;number=3.7&amp;sourceID=14","3.7")</f>
        <v>3.7</v>
      </c>
      <c r="G411" s="4" t="str">
        <f>HYPERLINK("http://141.218.60.56/~jnz1568/getInfo.php?workbook=10_05.xlsx&amp;sheet=U0&amp;row=411&amp;col=7&amp;number=0.0952&amp;sourceID=14","0.0952")</f>
        <v>0.0952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HYPERLINK("http://141.218.60.56/~jnz1568/getInfo.php?workbook=10_05.xlsx&amp;sheet=U0&amp;row=412&amp;col=6&amp;number=3.8&amp;sourceID=14","3.8")</f>
        <v>3.8</v>
      </c>
      <c r="G412" s="4" t="str">
        <f>HYPERLINK("http://141.218.60.56/~jnz1568/getInfo.php?workbook=10_05.xlsx&amp;sheet=U0&amp;row=412&amp;col=7&amp;number=0.0929&amp;sourceID=14","0.0929")</f>
        <v>0.0929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HYPERLINK("http://141.218.60.56/~jnz1568/getInfo.php?workbook=10_05.xlsx&amp;sheet=U0&amp;row=413&amp;col=6&amp;number=3.9&amp;sourceID=14","3.9")</f>
        <v>3.9</v>
      </c>
      <c r="G413" s="4" t="str">
        <f>HYPERLINK("http://141.218.60.56/~jnz1568/getInfo.php?workbook=10_05.xlsx&amp;sheet=U0&amp;row=413&amp;col=7&amp;number=0.0901&amp;sourceID=14","0.0901")</f>
        <v>0.0901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HYPERLINK("http://141.218.60.56/~jnz1568/getInfo.php?workbook=10_05.xlsx&amp;sheet=U0&amp;row=414&amp;col=6&amp;number=4&amp;sourceID=14","4")</f>
        <v>4</v>
      </c>
      <c r="G414" s="4" t="str">
        <f>HYPERLINK("http://141.218.60.56/~jnz1568/getInfo.php?workbook=10_05.xlsx&amp;sheet=U0&amp;row=414&amp;col=7&amp;number=0.0868&amp;sourceID=14","0.0868")</f>
        <v>0.0868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HYPERLINK("http://141.218.60.56/~jnz1568/getInfo.php?workbook=10_05.xlsx&amp;sheet=U0&amp;row=415&amp;col=6&amp;number=4.1&amp;sourceID=14","4.1")</f>
        <v>4.1</v>
      </c>
      <c r="G415" s="4" t="str">
        <f>HYPERLINK("http://141.218.60.56/~jnz1568/getInfo.php?workbook=10_05.xlsx&amp;sheet=U0&amp;row=415&amp;col=7&amp;number=0.0831&amp;sourceID=14","0.0831")</f>
        <v>0.0831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HYPERLINK("http://141.218.60.56/~jnz1568/getInfo.php?workbook=10_05.xlsx&amp;sheet=U0&amp;row=416&amp;col=6&amp;number=4.2&amp;sourceID=14","4.2")</f>
        <v>4.2</v>
      </c>
      <c r="G416" s="4" t="str">
        <f>HYPERLINK("http://141.218.60.56/~jnz1568/getInfo.php?workbook=10_05.xlsx&amp;sheet=U0&amp;row=416&amp;col=7&amp;number=0.0789&amp;sourceID=14","0.0789")</f>
        <v>0.0789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HYPERLINK("http://141.218.60.56/~jnz1568/getInfo.php?workbook=10_05.xlsx&amp;sheet=U0&amp;row=417&amp;col=6&amp;number=4.3&amp;sourceID=14","4.3")</f>
        <v>4.3</v>
      </c>
      <c r="G417" s="4" t="str">
        <f>HYPERLINK("http://141.218.60.56/~jnz1568/getInfo.php?workbook=10_05.xlsx&amp;sheet=U0&amp;row=417&amp;col=7&amp;number=0.0746&amp;sourceID=14","0.0746")</f>
        <v>0.0746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HYPERLINK("http://141.218.60.56/~jnz1568/getInfo.php?workbook=10_05.xlsx&amp;sheet=U0&amp;row=418&amp;col=6&amp;number=4.4&amp;sourceID=14","4.4")</f>
        <v>4.4</v>
      </c>
      <c r="G418" s="4" t="str">
        <f>HYPERLINK("http://141.218.60.56/~jnz1568/getInfo.php?workbook=10_05.xlsx&amp;sheet=U0&amp;row=418&amp;col=7&amp;number=0.0704&amp;sourceID=14","0.0704")</f>
        <v>0.0704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HYPERLINK("http://141.218.60.56/~jnz1568/getInfo.php?workbook=10_05.xlsx&amp;sheet=U0&amp;row=419&amp;col=6&amp;number=4.5&amp;sourceID=14","4.5")</f>
        <v>4.5</v>
      </c>
      <c r="G419" s="4" t="str">
        <f>HYPERLINK("http://141.218.60.56/~jnz1568/getInfo.php?workbook=10_05.xlsx&amp;sheet=U0&amp;row=419&amp;col=7&amp;number=0.0662&amp;sourceID=14","0.0662")</f>
        <v>0.0662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HYPERLINK("http://141.218.60.56/~jnz1568/getInfo.php?workbook=10_05.xlsx&amp;sheet=U0&amp;row=420&amp;col=6&amp;number=4.6&amp;sourceID=14","4.6")</f>
        <v>4.6</v>
      </c>
      <c r="G420" s="4" t="str">
        <f>HYPERLINK("http://141.218.60.56/~jnz1568/getInfo.php?workbook=10_05.xlsx&amp;sheet=U0&amp;row=420&amp;col=7&amp;number=0.0618&amp;sourceID=14","0.0618")</f>
        <v>0.0618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HYPERLINK("http://141.218.60.56/~jnz1568/getInfo.php?workbook=10_05.xlsx&amp;sheet=U0&amp;row=421&amp;col=6&amp;number=4.7&amp;sourceID=14","4.7")</f>
        <v>4.7</v>
      </c>
      <c r="G421" s="4" t="str">
        <f>HYPERLINK("http://141.218.60.56/~jnz1568/getInfo.php?workbook=10_05.xlsx&amp;sheet=U0&amp;row=421&amp;col=7&amp;number=0.0568&amp;sourceID=14","0.0568")</f>
        <v>0.0568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HYPERLINK("http://141.218.60.56/~jnz1568/getInfo.php?workbook=10_05.xlsx&amp;sheet=U0&amp;row=422&amp;col=6&amp;number=4.8&amp;sourceID=14","4.8")</f>
        <v>4.8</v>
      </c>
      <c r="G422" s="4" t="str">
        <f>HYPERLINK("http://141.218.60.56/~jnz1568/getInfo.php?workbook=10_05.xlsx&amp;sheet=U0&amp;row=422&amp;col=7&amp;number=0.0513&amp;sourceID=14","0.0513")</f>
        <v>0.0513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HYPERLINK("http://141.218.60.56/~jnz1568/getInfo.php?workbook=10_05.xlsx&amp;sheet=U0&amp;row=423&amp;col=6&amp;number=4.9&amp;sourceID=14","4.9")</f>
        <v>4.9</v>
      </c>
      <c r="G423" s="4" t="str">
        <f>HYPERLINK("http://141.218.60.56/~jnz1568/getInfo.php?workbook=10_05.xlsx&amp;sheet=U0&amp;row=423&amp;col=7&amp;number=0.0459&amp;sourceID=14","0.0459")</f>
        <v>0.0459</v>
      </c>
    </row>
    <row r="424" spans="1:7">
      <c r="A424" s="3">
        <v>10</v>
      </c>
      <c r="B424" s="3">
        <v>5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HYPERLINK("http://141.218.60.56/~jnz1568/getInfo.php?workbook=10_05.xlsx&amp;sheet=U0&amp;row=424&amp;col=6&amp;number=3&amp;sourceID=14","3")</f>
        <v>3</v>
      </c>
      <c r="G424" s="4" t="str">
        <f>HYPERLINK("http://141.218.60.56/~jnz1568/getInfo.php?workbook=10_05.xlsx&amp;sheet=U0&amp;row=424&amp;col=7&amp;number=0.0756&amp;sourceID=14","0.0756")</f>
        <v>0.0756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HYPERLINK("http://141.218.60.56/~jnz1568/getInfo.php?workbook=10_05.xlsx&amp;sheet=U0&amp;row=425&amp;col=6&amp;number=3.1&amp;sourceID=14","3.1")</f>
        <v>3.1</v>
      </c>
      <c r="G425" s="4" t="str">
        <f>HYPERLINK("http://141.218.60.56/~jnz1568/getInfo.php?workbook=10_05.xlsx&amp;sheet=U0&amp;row=425&amp;col=7&amp;number=0.0754&amp;sourceID=14","0.0754")</f>
        <v>0.0754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HYPERLINK("http://141.218.60.56/~jnz1568/getInfo.php?workbook=10_05.xlsx&amp;sheet=U0&amp;row=426&amp;col=6&amp;number=3.2&amp;sourceID=14","3.2")</f>
        <v>3.2</v>
      </c>
      <c r="G426" s="4" t="str">
        <f>HYPERLINK("http://141.218.60.56/~jnz1568/getInfo.php?workbook=10_05.xlsx&amp;sheet=U0&amp;row=426&amp;col=7&amp;number=0.0752&amp;sourceID=14","0.0752")</f>
        <v>0.0752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HYPERLINK("http://141.218.60.56/~jnz1568/getInfo.php?workbook=10_05.xlsx&amp;sheet=U0&amp;row=427&amp;col=6&amp;number=3.3&amp;sourceID=14","3.3")</f>
        <v>3.3</v>
      </c>
      <c r="G427" s="4" t="str">
        <f>HYPERLINK("http://141.218.60.56/~jnz1568/getInfo.php?workbook=10_05.xlsx&amp;sheet=U0&amp;row=427&amp;col=7&amp;number=0.075&amp;sourceID=14","0.075")</f>
        <v>0.075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HYPERLINK("http://141.218.60.56/~jnz1568/getInfo.php?workbook=10_05.xlsx&amp;sheet=U0&amp;row=428&amp;col=6&amp;number=3.4&amp;sourceID=14","3.4")</f>
        <v>3.4</v>
      </c>
      <c r="G428" s="4" t="str">
        <f>HYPERLINK("http://141.218.60.56/~jnz1568/getInfo.php?workbook=10_05.xlsx&amp;sheet=U0&amp;row=428&amp;col=7&amp;number=0.0747&amp;sourceID=14","0.0747")</f>
        <v>0.0747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HYPERLINK("http://141.218.60.56/~jnz1568/getInfo.php?workbook=10_05.xlsx&amp;sheet=U0&amp;row=429&amp;col=6&amp;number=3.5&amp;sourceID=14","3.5")</f>
        <v>3.5</v>
      </c>
      <c r="G429" s="4" t="str">
        <f>HYPERLINK("http://141.218.60.56/~jnz1568/getInfo.php?workbook=10_05.xlsx&amp;sheet=U0&amp;row=429&amp;col=7&amp;number=0.0743&amp;sourceID=14","0.0743")</f>
        <v>0.0743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HYPERLINK("http://141.218.60.56/~jnz1568/getInfo.php?workbook=10_05.xlsx&amp;sheet=U0&amp;row=430&amp;col=6&amp;number=3.6&amp;sourceID=14","3.6")</f>
        <v>3.6</v>
      </c>
      <c r="G430" s="4" t="str">
        <f>HYPERLINK("http://141.218.60.56/~jnz1568/getInfo.php?workbook=10_05.xlsx&amp;sheet=U0&amp;row=430&amp;col=7&amp;number=0.0738&amp;sourceID=14","0.0738")</f>
        <v>0.0738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HYPERLINK("http://141.218.60.56/~jnz1568/getInfo.php?workbook=10_05.xlsx&amp;sheet=U0&amp;row=431&amp;col=6&amp;number=3.7&amp;sourceID=14","3.7")</f>
        <v>3.7</v>
      </c>
      <c r="G431" s="4" t="str">
        <f>HYPERLINK("http://141.218.60.56/~jnz1568/getInfo.php?workbook=10_05.xlsx&amp;sheet=U0&amp;row=431&amp;col=7&amp;number=0.0733&amp;sourceID=14","0.0733")</f>
        <v>0.0733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HYPERLINK("http://141.218.60.56/~jnz1568/getInfo.php?workbook=10_05.xlsx&amp;sheet=U0&amp;row=432&amp;col=6&amp;number=3.8&amp;sourceID=14","3.8")</f>
        <v>3.8</v>
      </c>
      <c r="G432" s="4" t="str">
        <f>HYPERLINK("http://141.218.60.56/~jnz1568/getInfo.php?workbook=10_05.xlsx&amp;sheet=U0&amp;row=432&amp;col=7&amp;number=0.0725&amp;sourceID=14","0.0725")</f>
        <v>0.0725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HYPERLINK("http://141.218.60.56/~jnz1568/getInfo.php?workbook=10_05.xlsx&amp;sheet=U0&amp;row=433&amp;col=6&amp;number=3.9&amp;sourceID=14","3.9")</f>
        <v>3.9</v>
      </c>
      <c r="G433" s="4" t="str">
        <f>HYPERLINK("http://141.218.60.56/~jnz1568/getInfo.php?workbook=10_05.xlsx&amp;sheet=U0&amp;row=433&amp;col=7&amp;number=0.0715&amp;sourceID=14","0.0715")</f>
        <v>0.0715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HYPERLINK("http://141.218.60.56/~jnz1568/getInfo.php?workbook=10_05.xlsx&amp;sheet=U0&amp;row=434&amp;col=6&amp;number=4&amp;sourceID=14","4")</f>
        <v>4</v>
      </c>
      <c r="G434" s="4" t="str">
        <f>HYPERLINK("http://141.218.60.56/~jnz1568/getInfo.php?workbook=10_05.xlsx&amp;sheet=U0&amp;row=434&amp;col=7&amp;number=0.0703&amp;sourceID=14","0.0703")</f>
        <v>0.0703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HYPERLINK("http://141.218.60.56/~jnz1568/getInfo.php?workbook=10_05.xlsx&amp;sheet=U0&amp;row=435&amp;col=6&amp;number=4.1&amp;sourceID=14","4.1")</f>
        <v>4.1</v>
      </c>
      <c r="G435" s="4" t="str">
        <f>HYPERLINK("http://141.218.60.56/~jnz1568/getInfo.php?workbook=10_05.xlsx&amp;sheet=U0&amp;row=435&amp;col=7&amp;number=0.0687&amp;sourceID=14","0.0687")</f>
        <v>0.0687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HYPERLINK("http://141.218.60.56/~jnz1568/getInfo.php?workbook=10_05.xlsx&amp;sheet=U0&amp;row=436&amp;col=6&amp;number=4.2&amp;sourceID=14","4.2")</f>
        <v>4.2</v>
      </c>
      <c r="G436" s="4" t="str">
        <f>HYPERLINK("http://141.218.60.56/~jnz1568/getInfo.php?workbook=10_05.xlsx&amp;sheet=U0&amp;row=436&amp;col=7&amp;number=0.0666&amp;sourceID=14","0.0666")</f>
        <v>0.0666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HYPERLINK("http://141.218.60.56/~jnz1568/getInfo.php?workbook=10_05.xlsx&amp;sheet=U0&amp;row=437&amp;col=6&amp;number=4.3&amp;sourceID=14","4.3")</f>
        <v>4.3</v>
      </c>
      <c r="G437" s="4" t="str">
        <f>HYPERLINK("http://141.218.60.56/~jnz1568/getInfo.php?workbook=10_05.xlsx&amp;sheet=U0&amp;row=437&amp;col=7&amp;number=0.0637&amp;sourceID=14","0.0637")</f>
        <v>0.0637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HYPERLINK("http://141.218.60.56/~jnz1568/getInfo.php?workbook=10_05.xlsx&amp;sheet=U0&amp;row=438&amp;col=6&amp;number=4.4&amp;sourceID=14","4.4")</f>
        <v>4.4</v>
      </c>
      <c r="G438" s="4" t="str">
        <f>HYPERLINK("http://141.218.60.56/~jnz1568/getInfo.php?workbook=10_05.xlsx&amp;sheet=U0&amp;row=438&amp;col=7&amp;number=0.06&amp;sourceID=14","0.06")</f>
        <v>0.06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HYPERLINK("http://141.218.60.56/~jnz1568/getInfo.php?workbook=10_05.xlsx&amp;sheet=U0&amp;row=439&amp;col=6&amp;number=4.5&amp;sourceID=14","4.5")</f>
        <v>4.5</v>
      </c>
      <c r="G439" s="4" t="str">
        <f>HYPERLINK("http://141.218.60.56/~jnz1568/getInfo.php?workbook=10_05.xlsx&amp;sheet=U0&amp;row=439&amp;col=7&amp;number=0.0555&amp;sourceID=14","0.0555")</f>
        <v>0.0555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HYPERLINK("http://141.218.60.56/~jnz1568/getInfo.php?workbook=10_05.xlsx&amp;sheet=U0&amp;row=440&amp;col=6&amp;number=4.6&amp;sourceID=14","4.6")</f>
        <v>4.6</v>
      </c>
      <c r="G440" s="4" t="str">
        <f>HYPERLINK("http://141.218.60.56/~jnz1568/getInfo.php?workbook=10_05.xlsx&amp;sheet=U0&amp;row=440&amp;col=7&amp;number=0.0505&amp;sourceID=14","0.0505")</f>
        <v>0.0505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HYPERLINK("http://141.218.60.56/~jnz1568/getInfo.php?workbook=10_05.xlsx&amp;sheet=U0&amp;row=441&amp;col=6&amp;number=4.7&amp;sourceID=14","4.7")</f>
        <v>4.7</v>
      </c>
      <c r="G441" s="4" t="str">
        <f>HYPERLINK("http://141.218.60.56/~jnz1568/getInfo.php?workbook=10_05.xlsx&amp;sheet=U0&amp;row=441&amp;col=7&amp;number=0.0456&amp;sourceID=14","0.0456")</f>
        <v>0.0456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HYPERLINK("http://141.218.60.56/~jnz1568/getInfo.php?workbook=10_05.xlsx&amp;sheet=U0&amp;row=442&amp;col=6&amp;number=4.8&amp;sourceID=14","4.8")</f>
        <v>4.8</v>
      </c>
      <c r="G442" s="4" t="str">
        <f>HYPERLINK("http://141.218.60.56/~jnz1568/getInfo.php?workbook=10_05.xlsx&amp;sheet=U0&amp;row=442&amp;col=7&amp;number=0.0409&amp;sourceID=14","0.0409")</f>
        <v>0.0409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HYPERLINK("http://141.218.60.56/~jnz1568/getInfo.php?workbook=10_05.xlsx&amp;sheet=U0&amp;row=443&amp;col=6&amp;number=4.9&amp;sourceID=14","4.9")</f>
        <v>4.9</v>
      </c>
      <c r="G443" s="4" t="str">
        <f>HYPERLINK("http://141.218.60.56/~jnz1568/getInfo.php?workbook=10_05.xlsx&amp;sheet=U0&amp;row=443&amp;col=7&amp;number=0.0362&amp;sourceID=14","0.0362")</f>
        <v>0.0362</v>
      </c>
    </row>
    <row r="444" spans="1:7">
      <c r="A444" s="3">
        <v>10</v>
      </c>
      <c r="B444" s="3">
        <v>5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HYPERLINK("http://141.218.60.56/~jnz1568/getInfo.php?workbook=10_05.xlsx&amp;sheet=U0&amp;row=444&amp;col=6&amp;number=3&amp;sourceID=14","3")</f>
        <v>3</v>
      </c>
      <c r="G444" s="4" t="str">
        <f>HYPERLINK("http://141.218.60.56/~jnz1568/getInfo.php?workbook=10_05.xlsx&amp;sheet=U0&amp;row=444&amp;col=7&amp;number=0.224&amp;sourceID=14","0.224")</f>
        <v>0.224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HYPERLINK("http://141.218.60.56/~jnz1568/getInfo.php?workbook=10_05.xlsx&amp;sheet=U0&amp;row=445&amp;col=6&amp;number=3.1&amp;sourceID=14","3.1")</f>
        <v>3.1</v>
      </c>
      <c r="G445" s="4" t="str">
        <f>HYPERLINK("http://141.218.60.56/~jnz1568/getInfo.php?workbook=10_05.xlsx&amp;sheet=U0&amp;row=445&amp;col=7&amp;number=0.224&amp;sourceID=14","0.224")</f>
        <v>0.224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HYPERLINK("http://141.218.60.56/~jnz1568/getInfo.php?workbook=10_05.xlsx&amp;sheet=U0&amp;row=446&amp;col=6&amp;number=3.2&amp;sourceID=14","3.2")</f>
        <v>3.2</v>
      </c>
      <c r="G446" s="4" t="str">
        <f>HYPERLINK("http://141.218.60.56/~jnz1568/getInfo.php?workbook=10_05.xlsx&amp;sheet=U0&amp;row=446&amp;col=7&amp;number=0.223&amp;sourceID=14","0.223")</f>
        <v>0.223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HYPERLINK("http://141.218.60.56/~jnz1568/getInfo.php?workbook=10_05.xlsx&amp;sheet=U0&amp;row=447&amp;col=6&amp;number=3.3&amp;sourceID=14","3.3")</f>
        <v>3.3</v>
      </c>
      <c r="G447" s="4" t="str">
        <f>HYPERLINK("http://141.218.60.56/~jnz1568/getInfo.php?workbook=10_05.xlsx&amp;sheet=U0&amp;row=447&amp;col=7&amp;number=0.223&amp;sourceID=14","0.223")</f>
        <v>0.223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HYPERLINK("http://141.218.60.56/~jnz1568/getInfo.php?workbook=10_05.xlsx&amp;sheet=U0&amp;row=448&amp;col=6&amp;number=3.4&amp;sourceID=14","3.4")</f>
        <v>3.4</v>
      </c>
      <c r="G448" s="4" t="str">
        <f>HYPERLINK("http://141.218.60.56/~jnz1568/getInfo.php?workbook=10_05.xlsx&amp;sheet=U0&amp;row=448&amp;col=7&amp;number=0.222&amp;sourceID=14","0.222")</f>
        <v>0.222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HYPERLINK("http://141.218.60.56/~jnz1568/getInfo.php?workbook=10_05.xlsx&amp;sheet=U0&amp;row=449&amp;col=6&amp;number=3.5&amp;sourceID=14","3.5")</f>
        <v>3.5</v>
      </c>
      <c r="G449" s="4" t="str">
        <f>HYPERLINK("http://141.218.60.56/~jnz1568/getInfo.php?workbook=10_05.xlsx&amp;sheet=U0&amp;row=449&amp;col=7&amp;number=0.221&amp;sourceID=14","0.221")</f>
        <v>0.221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HYPERLINK("http://141.218.60.56/~jnz1568/getInfo.php?workbook=10_05.xlsx&amp;sheet=U0&amp;row=450&amp;col=6&amp;number=3.6&amp;sourceID=14","3.6")</f>
        <v>3.6</v>
      </c>
      <c r="G450" s="4" t="str">
        <f>HYPERLINK("http://141.218.60.56/~jnz1568/getInfo.php?workbook=10_05.xlsx&amp;sheet=U0&amp;row=450&amp;col=7&amp;number=0.219&amp;sourceID=14","0.219")</f>
        <v>0.219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HYPERLINK("http://141.218.60.56/~jnz1568/getInfo.php?workbook=10_05.xlsx&amp;sheet=U0&amp;row=451&amp;col=6&amp;number=3.7&amp;sourceID=14","3.7")</f>
        <v>3.7</v>
      </c>
      <c r="G451" s="4" t="str">
        <f>HYPERLINK("http://141.218.60.56/~jnz1568/getInfo.php?workbook=10_05.xlsx&amp;sheet=U0&amp;row=451&amp;col=7&amp;number=0.218&amp;sourceID=14","0.218")</f>
        <v>0.218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HYPERLINK("http://141.218.60.56/~jnz1568/getInfo.php?workbook=10_05.xlsx&amp;sheet=U0&amp;row=452&amp;col=6&amp;number=3.8&amp;sourceID=14","3.8")</f>
        <v>3.8</v>
      </c>
      <c r="G452" s="4" t="str">
        <f>HYPERLINK("http://141.218.60.56/~jnz1568/getInfo.php?workbook=10_05.xlsx&amp;sheet=U0&amp;row=452&amp;col=7&amp;number=0.216&amp;sourceID=14","0.216")</f>
        <v>0.216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HYPERLINK("http://141.218.60.56/~jnz1568/getInfo.php?workbook=10_05.xlsx&amp;sheet=U0&amp;row=453&amp;col=6&amp;number=3.9&amp;sourceID=14","3.9")</f>
        <v>3.9</v>
      </c>
      <c r="G453" s="4" t="str">
        <f>HYPERLINK("http://141.218.60.56/~jnz1568/getInfo.php?workbook=10_05.xlsx&amp;sheet=U0&amp;row=453&amp;col=7&amp;number=0.214&amp;sourceID=14","0.214")</f>
        <v>0.214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HYPERLINK("http://141.218.60.56/~jnz1568/getInfo.php?workbook=10_05.xlsx&amp;sheet=U0&amp;row=454&amp;col=6&amp;number=4&amp;sourceID=14","4")</f>
        <v>4</v>
      </c>
      <c r="G454" s="4" t="str">
        <f>HYPERLINK("http://141.218.60.56/~jnz1568/getInfo.php?workbook=10_05.xlsx&amp;sheet=U0&amp;row=454&amp;col=7&amp;number=0.211&amp;sourceID=14","0.211")</f>
        <v>0.211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HYPERLINK("http://141.218.60.56/~jnz1568/getInfo.php?workbook=10_05.xlsx&amp;sheet=U0&amp;row=455&amp;col=6&amp;number=4.1&amp;sourceID=14","4.1")</f>
        <v>4.1</v>
      </c>
      <c r="G455" s="4" t="str">
        <f>HYPERLINK("http://141.218.60.56/~jnz1568/getInfo.php?workbook=10_05.xlsx&amp;sheet=U0&amp;row=455&amp;col=7&amp;number=0.208&amp;sourceID=14","0.208")</f>
        <v>0.208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HYPERLINK("http://141.218.60.56/~jnz1568/getInfo.php?workbook=10_05.xlsx&amp;sheet=U0&amp;row=456&amp;col=6&amp;number=4.2&amp;sourceID=14","4.2")</f>
        <v>4.2</v>
      </c>
      <c r="G456" s="4" t="str">
        <f>HYPERLINK("http://141.218.60.56/~jnz1568/getInfo.php?workbook=10_05.xlsx&amp;sheet=U0&amp;row=456&amp;col=7&amp;number=0.205&amp;sourceID=14","0.205")</f>
        <v>0.205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HYPERLINK("http://141.218.60.56/~jnz1568/getInfo.php?workbook=10_05.xlsx&amp;sheet=U0&amp;row=457&amp;col=6&amp;number=4.3&amp;sourceID=14","4.3")</f>
        <v>4.3</v>
      </c>
      <c r="G457" s="4" t="str">
        <f>HYPERLINK("http://141.218.60.56/~jnz1568/getInfo.php?workbook=10_05.xlsx&amp;sheet=U0&amp;row=457&amp;col=7&amp;number=0.202&amp;sourceID=14","0.202")</f>
        <v>0.202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HYPERLINK("http://141.218.60.56/~jnz1568/getInfo.php?workbook=10_05.xlsx&amp;sheet=U0&amp;row=458&amp;col=6&amp;number=4.4&amp;sourceID=14","4.4")</f>
        <v>4.4</v>
      </c>
      <c r="G458" s="4" t="str">
        <f>HYPERLINK("http://141.218.60.56/~jnz1568/getInfo.php?workbook=10_05.xlsx&amp;sheet=U0&amp;row=458&amp;col=7&amp;number=0.2&amp;sourceID=14","0.2")</f>
        <v>0.2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HYPERLINK("http://141.218.60.56/~jnz1568/getInfo.php?workbook=10_05.xlsx&amp;sheet=U0&amp;row=459&amp;col=6&amp;number=4.5&amp;sourceID=14","4.5")</f>
        <v>4.5</v>
      </c>
      <c r="G459" s="4" t="str">
        <f>HYPERLINK("http://141.218.60.56/~jnz1568/getInfo.php?workbook=10_05.xlsx&amp;sheet=U0&amp;row=459&amp;col=7&amp;number=0.198&amp;sourceID=14","0.198")</f>
        <v>0.198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HYPERLINK("http://141.218.60.56/~jnz1568/getInfo.php?workbook=10_05.xlsx&amp;sheet=U0&amp;row=460&amp;col=6&amp;number=4.6&amp;sourceID=14","4.6")</f>
        <v>4.6</v>
      </c>
      <c r="G460" s="4" t="str">
        <f>HYPERLINK("http://141.218.60.56/~jnz1568/getInfo.php?workbook=10_05.xlsx&amp;sheet=U0&amp;row=460&amp;col=7&amp;number=0.196&amp;sourceID=14","0.196")</f>
        <v>0.196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HYPERLINK("http://141.218.60.56/~jnz1568/getInfo.php?workbook=10_05.xlsx&amp;sheet=U0&amp;row=461&amp;col=6&amp;number=4.7&amp;sourceID=14","4.7")</f>
        <v>4.7</v>
      </c>
      <c r="G461" s="4" t="str">
        <f>HYPERLINK("http://141.218.60.56/~jnz1568/getInfo.php?workbook=10_05.xlsx&amp;sheet=U0&amp;row=461&amp;col=7&amp;number=0.194&amp;sourceID=14","0.194")</f>
        <v>0.194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HYPERLINK("http://141.218.60.56/~jnz1568/getInfo.php?workbook=10_05.xlsx&amp;sheet=U0&amp;row=462&amp;col=6&amp;number=4.8&amp;sourceID=14","4.8")</f>
        <v>4.8</v>
      </c>
      <c r="G462" s="4" t="str">
        <f>HYPERLINK("http://141.218.60.56/~jnz1568/getInfo.php?workbook=10_05.xlsx&amp;sheet=U0&amp;row=462&amp;col=7&amp;number=0.19&amp;sourceID=14","0.19")</f>
        <v>0.19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HYPERLINK("http://141.218.60.56/~jnz1568/getInfo.php?workbook=10_05.xlsx&amp;sheet=U0&amp;row=463&amp;col=6&amp;number=4.9&amp;sourceID=14","4.9")</f>
        <v>4.9</v>
      </c>
      <c r="G463" s="4" t="str">
        <f>HYPERLINK("http://141.218.60.56/~jnz1568/getInfo.php?workbook=10_05.xlsx&amp;sheet=U0&amp;row=463&amp;col=7&amp;number=0.188&amp;sourceID=14","0.188")</f>
        <v>0.188</v>
      </c>
    </row>
    <row r="464" spans="1:7">
      <c r="A464" s="3">
        <v>10</v>
      </c>
      <c r="B464" s="3">
        <v>5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HYPERLINK("http://141.218.60.56/~jnz1568/getInfo.php?workbook=10_05.xlsx&amp;sheet=U0&amp;row=464&amp;col=6&amp;number=3&amp;sourceID=14","3")</f>
        <v>3</v>
      </c>
      <c r="G464" s="4" t="str">
        <f>HYPERLINK("http://141.218.60.56/~jnz1568/getInfo.php?workbook=10_05.xlsx&amp;sheet=U0&amp;row=464&amp;col=7&amp;number=0.0764&amp;sourceID=14","0.0764")</f>
        <v>0.0764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HYPERLINK("http://141.218.60.56/~jnz1568/getInfo.php?workbook=10_05.xlsx&amp;sheet=U0&amp;row=465&amp;col=6&amp;number=3.1&amp;sourceID=14","3.1")</f>
        <v>3.1</v>
      </c>
      <c r="G465" s="4" t="str">
        <f>HYPERLINK("http://141.218.60.56/~jnz1568/getInfo.php?workbook=10_05.xlsx&amp;sheet=U0&amp;row=465&amp;col=7&amp;number=0.0763&amp;sourceID=14","0.0763")</f>
        <v>0.0763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HYPERLINK("http://141.218.60.56/~jnz1568/getInfo.php?workbook=10_05.xlsx&amp;sheet=U0&amp;row=466&amp;col=6&amp;number=3.2&amp;sourceID=14","3.2")</f>
        <v>3.2</v>
      </c>
      <c r="G466" s="4" t="str">
        <f>HYPERLINK("http://141.218.60.56/~jnz1568/getInfo.php?workbook=10_05.xlsx&amp;sheet=U0&amp;row=466&amp;col=7&amp;number=0.0761&amp;sourceID=14","0.0761")</f>
        <v>0.0761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HYPERLINK("http://141.218.60.56/~jnz1568/getInfo.php?workbook=10_05.xlsx&amp;sheet=U0&amp;row=467&amp;col=6&amp;number=3.3&amp;sourceID=14","3.3")</f>
        <v>3.3</v>
      </c>
      <c r="G467" s="4" t="str">
        <f>HYPERLINK("http://141.218.60.56/~jnz1568/getInfo.php?workbook=10_05.xlsx&amp;sheet=U0&amp;row=467&amp;col=7&amp;number=0.0759&amp;sourceID=14","0.0759")</f>
        <v>0.0759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HYPERLINK("http://141.218.60.56/~jnz1568/getInfo.php?workbook=10_05.xlsx&amp;sheet=U0&amp;row=468&amp;col=6&amp;number=3.4&amp;sourceID=14","3.4")</f>
        <v>3.4</v>
      </c>
      <c r="G468" s="4" t="str">
        <f>HYPERLINK("http://141.218.60.56/~jnz1568/getInfo.php?workbook=10_05.xlsx&amp;sheet=U0&amp;row=468&amp;col=7&amp;number=0.0756&amp;sourceID=14","0.0756")</f>
        <v>0.0756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HYPERLINK("http://141.218.60.56/~jnz1568/getInfo.php?workbook=10_05.xlsx&amp;sheet=U0&amp;row=469&amp;col=6&amp;number=3.5&amp;sourceID=14","3.5")</f>
        <v>3.5</v>
      </c>
      <c r="G469" s="4" t="str">
        <f>HYPERLINK("http://141.218.60.56/~jnz1568/getInfo.php?workbook=10_05.xlsx&amp;sheet=U0&amp;row=469&amp;col=7&amp;number=0.0752&amp;sourceID=14","0.0752")</f>
        <v>0.0752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HYPERLINK("http://141.218.60.56/~jnz1568/getInfo.php?workbook=10_05.xlsx&amp;sheet=U0&amp;row=470&amp;col=6&amp;number=3.6&amp;sourceID=14","3.6")</f>
        <v>3.6</v>
      </c>
      <c r="G470" s="4" t="str">
        <f>HYPERLINK("http://141.218.60.56/~jnz1568/getInfo.php?workbook=10_05.xlsx&amp;sheet=U0&amp;row=470&amp;col=7&amp;number=0.0748&amp;sourceID=14","0.0748")</f>
        <v>0.0748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HYPERLINK("http://141.218.60.56/~jnz1568/getInfo.php?workbook=10_05.xlsx&amp;sheet=U0&amp;row=471&amp;col=6&amp;number=3.7&amp;sourceID=14","3.7")</f>
        <v>3.7</v>
      </c>
      <c r="G471" s="4" t="str">
        <f>HYPERLINK("http://141.218.60.56/~jnz1568/getInfo.php?workbook=10_05.xlsx&amp;sheet=U0&amp;row=471&amp;col=7&amp;number=0.0742&amp;sourceID=14","0.0742")</f>
        <v>0.0742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HYPERLINK("http://141.218.60.56/~jnz1568/getInfo.php?workbook=10_05.xlsx&amp;sheet=U0&amp;row=472&amp;col=6&amp;number=3.8&amp;sourceID=14","3.8")</f>
        <v>3.8</v>
      </c>
      <c r="G472" s="4" t="str">
        <f>HYPERLINK("http://141.218.60.56/~jnz1568/getInfo.php?workbook=10_05.xlsx&amp;sheet=U0&amp;row=472&amp;col=7&amp;number=0.0735&amp;sourceID=14","0.0735")</f>
        <v>0.0735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HYPERLINK("http://141.218.60.56/~jnz1568/getInfo.php?workbook=10_05.xlsx&amp;sheet=U0&amp;row=473&amp;col=6&amp;number=3.9&amp;sourceID=14","3.9")</f>
        <v>3.9</v>
      </c>
      <c r="G473" s="4" t="str">
        <f>HYPERLINK("http://141.218.60.56/~jnz1568/getInfo.php?workbook=10_05.xlsx&amp;sheet=U0&amp;row=473&amp;col=7&amp;number=0.0726&amp;sourceID=14","0.0726")</f>
        <v>0.0726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HYPERLINK("http://141.218.60.56/~jnz1568/getInfo.php?workbook=10_05.xlsx&amp;sheet=U0&amp;row=474&amp;col=6&amp;number=4&amp;sourceID=14","4")</f>
        <v>4</v>
      </c>
      <c r="G474" s="4" t="str">
        <f>HYPERLINK("http://141.218.60.56/~jnz1568/getInfo.php?workbook=10_05.xlsx&amp;sheet=U0&amp;row=474&amp;col=7&amp;number=0.0715&amp;sourceID=14","0.0715")</f>
        <v>0.0715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HYPERLINK("http://141.218.60.56/~jnz1568/getInfo.php?workbook=10_05.xlsx&amp;sheet=U0&amp;row=475&amp;col=6&amp;number=4.1&amp;sourceID=14","4.1")</f>
        <v>4.1</v>
      </c>
      <c r="G475" s="4" t="str">
        <f>HYPERLINK("http://141.218.60.56/~jnz1568/getInfo.php?workbook=10_05.xlsx&amp;sheet=U0&amp;row=475&amp;col=7&amp;number=0.0701&amp;sourceID=14","0.0701")</f>
        <v>0.0701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HYPERLINK("http://141.218.60.56/~jnz1568/getInfo.php?workbook=10_05.xlsx&amp;sheet=U0&amp;row=476&amp;col=6&amp;number=4.2&amp;sourceID=14","4.2")</f>
        <v>4.2</v>
      </c>
      <c r="G476" s="4" t="str">
        <f>HYPERLINK("http://141.218.60.56/~jnz1568/getInfo.php?workbook=10_05.xlsx&amp;sheet=U0&amp;row=476&amp;col=7&amp;number=0.0684&amp;sourceID=14","0.0684")</f>
        <v>0.0684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HYPERLINK("http://141.218.60.56/~jnz1568/getInfo.php?workbook=10_05.xlsx&amp;sheet=U0&amp;row=477&amp;col=6&amp;number=4.3&amp;sourceID=14","4.3")</f>
        <v>4.3</v>
      </c>
      <c r="G477" s="4" t="str">
        <f>HYPERLINK("http://141.218.60.56/~jnz1568/getInfo.php?workbook=10_05.xlsx&amp;sheet=U0&amp;row=477&amp;col=7&amp;number=0.0663&amp;sourceID=14","0.0663")</f>
        <v>0.0663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HYPERLINK("http://141.218.60.56/~jnz1568/getInfo.php?workbook=10_05.xlsx&amp;sheet=U0&amp;row=478&amp;col=6&amp;number=4.4&amp;sourceID=14","4.4")</f>
        <v>4.4</v>
      </c>
      <c r="G478" s="4" t="str">
        <f>HYPERLINK("http://141.218.60.56/~jnz1568/getInfo.php?workbook=10_05.xlsx&amp;sheet=U0&amp;row=478&amp;col=7&amp;number=0.0636&amp;sourceID=14","0.0636")</f>
        <v>0.0636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HYPERLINK("http://141.218.60.56/~jnz1568/getInfo.php?workbook=10_05.xlsx&amp;sheet=U0&amp;row=479&amp;col=6&amp;number=4.5&amp;sourceID=14","4.5")</f>
        <v>4.5</v>
      </c>
      <c r="G479" s="4" t="str">
        <f>HYPERLINK("http://141.218.60.56/~jnz1568/getInfo.php?workbook=10_05.xlsx&amp;sheet=U0&amp;row=479&amp;col=7&amp;number=0.0604&amp;sourceID=14","0.0604")</f>
        <v>0.0604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HYPERLINK("http://141.218.60.56/~jnz1568/getInfo.php?workbook=10_05.xlsx&amp;sheet=U0&amp;row=480&amp;col=6&amp;number=4.6&amp;sourceID=14","4.6")</f>
        <v>4.6</v>
      </c>
      <c r="G480" s="4" t="str">
        <f>HYPERLINK("http://141.218.60.56/~jnz1568/getInfo.php?workbook=10_05.xlsx&amp;sheet=U0&amp;row=480&amp;col=7&amp;number=0.0566&amp;sourceID=14","0.0566")</f>
        <v>0.0566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HYPERLINK("http://141.218.60.56/~jnz1568/getInfo.php?workbook=10_05.xlsx&amp;sheet=U0&amp;row=481&amp;col=6&amp;number=4.7&amp;sourceID=14","4.7")</f>
        <v>4.7</v>
      </c>
      <c r="G481" s="4" t="str">
        <f>HYPERLINK("http://141.218.60.56/~jnz1568/getInfo.php?workbook=10_05.xlsx&amp;sheet=U0&amp;row=481&amp;col=7&amp;number=0.0523&amp;sourceID=14","0.0523")</f>
        <v>0.0523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HYPERLINK("http://141.218.60.56/~jnz1568/getInfo.php?workbook=10_05.xlsx&amp;sheet=U0&amp;row=482&amp;col=6&amp;number=4.8&amp;sourceID=14","4.8")</f>
        <v>4.8</v>
      </c>
      <c r="G482" s="4" t="str">
        <f>HYPERLINK("http://141.218.60.56/~jnz1568/getInfo.php?workbook=10_05.xlsx&amp;sheet=U0&amp;row=482&amp;col=7&amp;number=0.0477&amp;sourceID=14","0.0477")</f>
        <v>0.0477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HYPERLINK("http://141.218.60.56/~jnz1568/getInfo.php?workbook=10_05.xlsx&amp;sheet=U0&amp;row=483&amp;col=6&amp;number=4.9&amp;sourceID=14","4.9")</f>
        <v>4.9</v>
      </c>
      <c r="G483" s="4" t="str">
        <f>HYPERLINK("http://141.218.60.56/~jnz1568/getInfo.php?workbook=10_05.xlsx&amp;sheet=U0&amp;row=483&amp;col=7&amp;number=0.043&amp;sourceID=14","0.043")</f>
        <v>0.043</v>
      </c>
    </row>
    <row r="484" spans="1:7">
      <c r="A484" s="3">
        <v>10</v>
      </c>
      <c r="B484" s="3">
        <v>5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HYPERLINK("http://141.218.60.56/~jnz1568/getInfo.php?workbook=10_05.xlsx&amp;sheet=U0&amp;row=484&amp;col=6&amp;number=3&amp;sourceID=14","3")</f>
        <v>3</v>
      </c>
      <c r="G484" s="4" t="str">
        <f>HYPERLINK("http://141.218.60.56/~jnz1568/getInfo.php?workbook=10_05.xlsx&amp;sheet=U0&amp;row=484&amp;col=7&amp;number=0.0321&amp;sourceID=14","0.0321")</f>
        <v>0.0321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HYPERLINK("http://141.218.60.56/~jnz1568/getInfo.php?workbook=10_05.xlsx&amp;sheet=U0&amp;row=485&amp;col=6&amp;number=3.1&amp;sourceID=14","3.1")</f>
        <v>3.1</v>
      </c>
      <c r="G485" s="4" t="str">
        <f>HYPERLINK("http://141.218.60.56/~jnz1568/getInfo.php?workbook=10_05.xlsx&amp;sheet=U0&amp;row=485&amp;col=7&amp;number=0.0321&amp;sourceID=14","0.0321")</f>
        <v>0.0321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HYPERLINK("http://141.218.60.56/~jnz1568/getInfo.php?workbook=10_05.xlsx&amp;sheet=U0&amp;row=486&amp;col=6&amp;number=3.2&amp;sourceID=14","3.2")</f>
        <v>3.2</v>
      </c>
      <c r="G486" s="4" t="str">
        <f>HYPERLINK("http://141.218.60.56/~jnz1568/getInfo.php?workbook=10_05.xlsx&amp;sheet=U0&amp;row=486&amp;col=7&amp;number=0.032&amp;sourceID=14","0.032")</f>
        <v>0.032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HYPERLINK("http://141.218.60.56/~jnz1568/getInfo.php?workbook=10_05.xlsx&amp;sheet=U0&amp;row=487&amp;col=6&amp;number=3.3&amp;sourceID=14","3.3")</f>
        <v>3.3</v>
      </c>
      <c r="G487" s="4" t="str">
        <f>HYPERLINK("http://141.218.60.56/~jnz1568/getInfo.php?workbook=10_05.xlsx&amp;sheet=U0&amp;row=487&amp;col=7&amp;number=0.032&amp;sourceID=14","0.032")</f>
        <v>0.032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HYPERLINK("http://141.218.60.56/~jnz1568/getInfo.php?workbook=10_05.xlsx&amp;sheet=U0&amp;row=488&amp;col=6&amp;number=3.4&amp;sourceID=14","3.4")</f>
        <v>3.4</v>
      </c>
      <c r="G488" s="4" t="str">
        <f>HYPERLINK("http://141.218.60.56/~jnz1568/getInfo.php?workbook=10_05.xlsx&amp;sheet=U0&amp;row=488&amp;col=7&amp;number=0.0319&amp;sourceID=14","0.0319")</f>
        <v>0.0319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HYPERLINK("http://141.218.60.56/~jnz1568/getInfo.php?workbook=10_05.xlsx&amp;sheet=U0&amp;row=489&amp;col=6&amp;number=3.5&amp;sourceID=14","3.5")</f>
        <v>3.5</v>
      </c>
      <c r="G489" s="4" t="str">
        <f>HYPERLINK("http://141.218.60.56/~jnz1568/getInfo.php?workbook=10_05.xlsx&amp;sheet=U0&amp;row=489&amp;col=7&amp;number=0.0318&amp;sourceID=14","0.0318")</f>
        <v>0.0318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HYPERLINK("http://141.218.60.56/~jnz1568/getInfo.php?workbook=10_05.xlsx&amp;sheet=U0&amp;row=490&amp;col=6&amp;number=3.6&amp;sourceID=14","3.6")</f>
        <v>3.6</v>
      </c>
      <c r="G490" s="4" t="str">
        <f>HYPERLINK("http://141.218.60.56/~jnz1568/getInfo.php?workbook=10_05.xlsx&amp;sheet=U0&amp;row=490&amp;col=7&amp;number=0.0317&amp;sourceID=14","0.0317")</f>
        <v>0.0317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HYPERLINK("http://141.218.60.56/~jnz1568/getInfo.php?workbook=10_05.xlsx&amp;sheet=U0&amp;row=491&amp;col=6&amp;number=3.7&amp;sourceID=14","3.7")</f>
        <v>3.7</v>
      </c>
      <c r="G491" s="4" t="str">
        <f>HYPERLINK("http://141.218.60.56/~jnz1568/getInfo.php?workbook=10_05.xlsx&amp;sheet=U0&amp;row=491&amp;col=7&amp;number=0.0316&amp;sourceID=14","0.0316")</f>
        <v>0.0316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HYPERLINK("http://141.218.60.56/~jnz1568/getInfo.php?workbook=10_05.xlsx&amp;sheet=U0&amp;row=492&amp;col=6&amp;number=3.8&amp;sourceID=14","3.8")</f>
        <v>3.8</v>
      </c>
      <c r="G492" s="4" t="str">
        <f>HYPERLINK("http://141.218.60.56/~jnz1568/getInfo.php?workbook=10_05.xlsx&amp;sheet=U0&amp;row=492&amp;col=7&amp;number=0.0315&amp;sourceID=14","0.0315")</f>
        <v>0.0315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HYPERLINK("http://141.218.60.56/~jnz1568/getInfo.php?workbook=10_05.xlsx&amp;sheet=U0&amp;row=493&amp;col=6&amp;number=3.9&amp;sourceID=14","3.9")</f>
        <v>3.9</v>
      </c>
      <c r="G493" s="4" t="str">
        <f>HYPERLINK("http://141.218.60.56/~jnz1568/getInfo.php?workbook=10_05.xlsx&amp;sheet=U0&amp;row=493&amp;col=7&amp;number=0.0313&amp;sourceID=14","0.0313")</f>
        <v>0.0313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HYPERLINK("http://141.218.60.56/~jnz1568/getInfo.php?workbook=10_05.xlsx&amp;sheet=U0&amp;row=494&amp;col=6&amp;number=4&amp;sourceID=14","4")</f>
        <v>4</v>
      </c>
      <c r="G494" s="4" t="str">
        <f>HYPERLINK("http://141.218.60.56/~jnz1568/getInfo.php?workbook=10_05.xlsx&amp;sheet=U0&amp;row=494&amp;col=7&amp;number=0.031&amp;sourceID=14","0.031")</f>
        <v>0.031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HYPERLINK("http://141.218.60.56/~jnz1568/getInfo.php?workbook=10_05.xlsx&amp;sheet=U0&amp;row=495&amp;col=6&amp;number=4.1&amp;sourceID=14","4.1")</f>
        <v>4.1</v>
      </c>
      <c r="G495" s="4" t="str">
        <f>HYPERLINK("http://141.218.60.56/~jnz1568/getInfo.php?workbook=10_05.xlsx&amp;sheet=U0&amp;row=495&amp;col=7&amp;number=0.0307&amp;sourceID=14","0.0307")</f>
        <v>0.0307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HYPERLINK("http://141.218.60.56/~jnz1568/getInfo.php?workbook=10_05.xlsx&amp;sheet=U0&amp;row=496&amp;col=6&amp;number=4.2&amp;sourceID=14","4.2")</f>
        <v>4.2</v>
      </c>
      <c r="G496" s="4" t="str">
        <f>HYPERLINK("http://141.218.60.56/~jnz1568/getInfo.php?workbook=10_05.xlsx&amp;sheet=U0&amp;row=496&amp;col=7&amp;number=0.0303&amp;sourceID=14","0.0303")</f>
        <v>0.0303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HYPERLINK("http://141.218.60.56/~jnz1568/getInfo.php?workbook=10_05.xlsx&amp;sheet=U0&amp;row=497&amp;col=6&amp;number=4.3&amp;sourceID=14","4.3")</f>
        <v>4.3</v>
      </c>
      <c r="G497" s="4" t="str">
        <f>HYPERLINK("http://141.218.60.56/~jnz1568/getInfo.php?workbook=10_05.xlsx&amp;sheet=U0&amp;row=497&amp;col=7&amp;number=0.0299&amp;sourceID=14","0.0299")</f>
        <v>0.0299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HYPERLINK("http://141.218.60.56/~jnz1568/getInfo.php?workbook=10_05.xlsx&amp;sheet=U0&amp;row=498&amp;col=6&amp;number=4.4&amp;sourceID=14","4.4")</f>
        <v>4.4</v>
      </c>
      <c r="G498" s="4" t="str">
        <f>HYPERLINK("http://141.218.60.56/~jnz1568/getInfo.php?workbook=10_05.xlsx&amp;sheet=U0&amp;row=498&amp;col=7&amp;number=0.0293&amp;sourceID=14","0.0293")</f>
        <v>0.0293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HYPERLINK("http://141.218.60.56/~jnz1568/getInfo.php?workbook=10_05.xlsx&amp;sheet=U0&amp;row=499&amp;col=6&amp;number=4.5&amp;sourceID=14","4.5")</f>
        <v>4.5</v>
      </c>
      <c r="G499" s="4" t="str">
        <f>HYPERLINK("http://141.218.60.56/~jnz1568/getInfo.php?workbook=10_05.xlsx&amp;sheet=U0&amp;row=499&amp;col=7&amp;number=0.0286&amp;sourceID=14","0.0286")</f>
        <v>0.0286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HYPERLINK("http://141.218.60.56/~jnz1568/getInfo.php?workbook=10_05.xlsx&amp;sheet=U0&amp;row=500&amp;col=6&amp;number=4.6&amp;sourceID=14","4.6")</f>
        <v>4.6</v>
      </c>
      <c r="G500" s="4" t="str">
        <f>HYPERLINK("http://141.218.60.56/~jnz1568/getInfo.php?workbook=10_05.xlsx&amp;sheet=U0&amp;row=500&amp;col=7&amp;number=0.0278&amp;sourceID=14","0.0278")</f>
        <v>0.0278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HYPERLINK("http://141.218.60.56/~jnz1568/getInfo.php?workbook=10_05.xlsx&amp;sheet=U0&amp;row=501&amp;col=6&amp;number=4.7&amp;sourceID=14","4.7")</f>
        <v>4.7</v>
      </c>
      <c r="G501" s="4" t="str">
        <f>HYPERLINK("http://141.218.60.56/~jnz1568/getInfo.php?workbook=10_05.xlsx&amp;sheet=U0&amp;row=501&amp;col=7&amp;number=0.0268&amp;sourceID=14","0.0268")</f>
        <v>0.0268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HYPERLINK("http://141.218.60.56/~jnz1568/getInfo.php?workbook=10_05.xlsx&amp;sheet=U0&amp;row=502&amp;col=6&amp;number=4.8&amp;sourceID=14","4.8")</f>
        <v>4.8</v>
      </c>
      <c r="G502" s="4" t="str">
        <f>HYPERLINK("http://141.218.60.56/~jnz1568/getInfo.php?workbook=10_05.xlsx&amp;sheet=U0&amp;row=502&amp;col=7&amp;number=0.0257&amp;sourceID=14","0.0257")</f>
        <v>0.0257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HYPERLINK("http://141.218.60.56/~jnz1568/getInfo.php?workbook=10_05.xlsx&amp;sheet=U0&amp;row=503&amp;col=6&amp;number=4.9&amp;sourceID=14","4.9")</f>
        <v>4.9</v>
      </c>
      <c r="G503" s="4" t="str">
        <f>HYPERLINK("http://141.218.60.56/~jnz1568/getInfo.php?workbook=10_05.xlsx&amp;sheet=U0&amp;row=503&amp;col=7&amp;number=0.0244&amp;sourceID=14","0.0244")</f>
        <v>0.0244</v>
      </c>
    </row>
    <row r="504" spans="1:7">
      <c r="A504" s="3">
        <v>10</v>
      </c>
      <c r="B504" s="3">
        <v>5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HYPERLINK("http://141.218.60.56/~jnz1568/getInfo.php?workbook=10_05.xlsx&amp;sheet=U0&amp;row=504&amp;col=6&amp;number=3&amp;sourceID=14","3")</f>
        <v>3</v>
      </c>
      <c r="G504" s="4" t="str">
        <f>HYPERLINK("http://141.218.60.56/~jnz1568/getInfo.php?workbook=10_05.xlsx&amp;sheet=U0&amp;row=504&amp;col=7&amp;number=0.0388&amp;sourceID=14","0.0388")</f>
        <v>0.0388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HYPERLINK("http://141.218.60.56/~jnz1568/getInfo.php?workbook=10_05.xlsx&amp;sheet=U0&amp;row=505&amp;col=6&amp;number=3.1&amp;sourceID=14","3.1")</f>
        <v>3.1</v>
      </c>
      <c r="G505" s="4" t="str">
        <f>HYPERLINK("http://141.218.60.56/~jnz1568/getInfo.php?workbook=10_05.xlsx&amp;sheet=U0&amp;row=505&amp;col=7&amp;number=0.0388&amp;sourceID=14","0.0388")</f>
        <v>0.0388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HYPERLINK("http://141.218.60.56/~jnz1568/getInfo.php?workbook=10_05.xlsx&amp;sheet=U0&amp;row=506&amp;col=6&amp;number=3.2&amp;sourceID=14","3.2")</f>
        <v>3.2</v>
      </c>
      <c r="G506" s="4" t="str">
        <f>HYPERLINK("http://141.218.60.56/~jnz1568/getInfo.php?workbook=10_05.xlsx&amp;sheet=U0&amp;row=506&amp;col=7&amp;number=0.0387&amp;sourceID=14","0.0387")</f>
        <v>0.0387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HYPERLINK("http://141.218.60.56/~jnz1568/getInfo.php?workbook=10_05.xlsx&amp;sheet=U0&amp;row=507&amp;col=6&amp;number=3.3&amp;sourceID=14","3.3")</f>
        <v>3.3</v>
      </c>
      <c r="G507" s="4" t="str">
        <f>HYPERLINK("http://141.218.60.56/~jnz1568/getInfo.php?workbook=10_05.xlsx&amp;sheet=U0&amp;row=507&amp;col=7&amp;number=0.0387&amp;sourceID=14","0.0387")</f>
        <v>0.0387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HYPERLINK("http://141.218.60.56/~jnz1568/getInfo.php?workbook=10_05.xlsx&amp;sheet=U0&amp;row=508&amp;col=6&amp;number=3.4&amp;sourceID=14","3.4")</f>
        <v>3.4</v>
      </c>
      <c r="G508" s="4" t="str">
        <f>HYPERLINK("http://141.218.60.56/~jnz1568/getInfo.php?workbook=10_05.xlsx&amp;sheet=U0&amp;row=508&amp;col=7&amp;number=0.0386&amp;sourceID=14","0.0386")</f>
        <v>0.0386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HYPERLINK("http://141.218.60.56/~jnz1568/getInfo.php?workbook=10_05.xlsx&amp;sheet=U0&amp;row=509&amp;col=6&amp;number=3.5&amp;sourceID=14","3.5")</f>
        <v>3.5</v>
      </c>
      <c r="G509" s="4" t="str">
        <f>HYPERLINK("http://141.218.60.56/~jnz1568/getInfo.php?workbook=10_05.xlsx&amp;sheet=U0&amp;row=509&amp;col=7&amp;number=0.0385&amp;sourceID=14","0.0385")</f>
        <v>0.0385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HYPERLINK("http://141.218.60.56/~jnz1568/getInfo.php?workbook=10_05.xlsx&amp;sheet=U0&amp;row=510&amp;col=6&amp;number=3.6&amp;sourceID=14","3.6")</f>
        <v>3.6</v>
      </c>
      <c r="G510" s="4" t="str">
        <f>HYPERLINK("http://141.218.60.56/~jnz1568/getInfo.php?workbook=10_05.xlsx&amp;sheet=U0&amp;row=510&amp;col=7&amp;number=0.0384&amp;sourceID=14","0.0384")</f>
        <v>0.0384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HYPERLINK("http://141.218.60.56/~jnz1568/getInfo.php?workbook=10_05.xlsx&amp;sheet=U0&amp;row=511&amp;col=6&amp;number=3.7&amp;sourceID=14","3.7")</f>
        <v>3.7</v>
      </c>
      <c r="G511" s="4" t="str">
        <f>HYPERLINK("http://141.218.60.56/~jnz1568/getInfo.php?workbook=10_05.xlsx&amp;sheet=U0&amp;row=511&amp;col=7&amp;number=0.0383&amp;sourceID=14","0.0383")</f>
        <v>0.0383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HYPERLINK("http://141.218.60.56/~jnz1568/getInfo.php?workbook=10_05.xlsx&amp;sheet=U0&amp;row=512&amp;col=6&amp;number=3.8&amp;sourceID=14","3.8")</f>
        <v>3.8</v>
      </c>
      <c r="G512" s="4" t="str">
        <f>HYPERLINK("http://141.218.60.56/~jnz1568/getInfo.php?workbook=10_05.xlsx&amp;sheet=U0&amp;row=512&amp;col=7&amp;number=0.0382&amp;sourceID=14","0.0382")</f>
        <v>0.0382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HYPERLINK("http://141.218.60.56/~jnz1568/getInfo.php?workbook=10_05.xlsx&amp;sheet=U0&amp;row=513&amp;col=6&amp;number=3.9&amp;sourceID=14","3.9")</f>
        <v>3.9</v>
      </c>
      <c r="G513" s="4" t="str">
        <f>HYPERLINK("http://141.218.60.56/~jnz1568/getInfo.php?workbook=10_05.xlsx&amp;sheet=U0&amp;row=513&amp;col=7&amp;number=0.038&amp;sourceID=14","0.038")</f>
        <v>0.038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HYPERLINK("http://141.218.60.56/~jnz1568/getInfo.php?workbook=10_05.xlsx&amp;sheet=U0&amp;row=514&amp;col=6&amp;number=4&amp;sourceID=14","4")</f>
        <v>4</v>
      </c>
      <c r="G514" s="4" t="str">
        <f>HYPERLINK("http://141.218.60.56/~jnz1568/getInfo.php?workbook=10_05.xlsx&amp;sheet=U0&amp;row=514&amp;col=7&amp;number=0.0377&amp;sourceID=14","0.0377")</f>
        <v>0.0377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HYPERLINK("http://141.218.60.56/~jnz1568/getInfo.php?workbook=10_05.xlsx&amp;sheet=U0&amp;row=515&amp;col=6&amp;number=4.1&amp;sourceID=14","4.1")</f>
        <v>4.1</v>
      </c>
      <c r="G515" s="4" t="str">
        <f>HYPERLINK("http://141.218.60.56/~jnz1568/getInfo.php?workbook=10_05.xlsx&amp;sheet=U0&amp;row=515&amp;col=7&amp;number=0.0374&amp;sourceID=14","0.0374")</f>
        <v>0.0374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HYPERLINK("http://141.218.60.56/~jnz1568/getInfo.php?workbook=10_05.xlsx&amp;sheet=U0&amp;row=516&amp;col=6&amp;number=4.2&amp;sourceID=14","4.2")</f>
        <v>4.2</v>
      </c>
      <c r="G516" s="4" t="str">
        <f>HYPERLINK("http://141.218.60.56/~jnz1568/getInfo.php?workbook=10_05.xlsx&amp;sheet=U0&amp;row=516&amp;col=7&amp;number=0.0371&amp;sourceID=14","0.0371")</f>
        <v>0.0371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HYPERLINK("http://141.218.60.56/~jnz1568/getInfo.php?workbook=10_05.xlsx&amp;sheet=U0&amp;row=517&amp;col=6&amp;number=4.3&amp;sourceID=14","4.3")</f>
        <v>4.3</v>
      </c>
      <c r="G517" s="4" t="str">
        <f>HYPERLINK("http://141.218.60.56/~jnz1568/getInfo.php?workbook=10_05.xlsx&amp;sheet=U0&amp;row=517&amp;col=7&amp;number=0.0366&amp;sourceID=14","0.0366")</f>
        <v>0.0366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HYPERLINK("http://141.218.60.56/~jnz1568/getInfo.php?workbook=10_05.xlsx&amp;sheet=U0&amp;row=518&amp;col=6&amp;number=4.4&amp;sourceID=14","4.4")</f>
        <v>4.4</v>
      </c>
      <c r="G518" s="4" t="str">
        <f>HYPERLINK("http://141.218.60.56/~jnz1568/getInfo.php?workbook=10_05.xlsx&amp;sheet=U0&amp;row=518&amp;col=7&amp;number=0.0359&amp;sourceID=14","0.0359")</f>
        <v>0.0359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HYPERLINK("http://141.218.60.56/~jnz1568/getInfo.php?workbook=10_05.xlsx&amp;sheet=U0&amp;row=519&amp;col=6&amp;number=4.5&amp;sourceID=14","4.5")</f>
        <v>4.5</v>
      </c>
      <c r="G519" s="4" t="str">
        <f>HYPERLINK("http://141.218.60.56/~jnz1568/getInfo.php?workbook=10_05.xlsx&amp;sheet=U0&amp;row=519&amp;col=7&amp;number=0.035&amp;sourceID=14","0.035")</f>
        <v>0.035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HYPERLINK("http://141.218.60.56/~jnz1568/getInfo.php?workbook=10_05.xlsx&amp;sheet=U0&amp;row=520&amp;col=6&amp;number=4.6&amp;sourceID=14","4.6")</f>
        <v>4.6</v>
      </c>
      <c r="G520" s="4" t="str">
        <f>HYPERLINK("http://141.218.60.56/~jnz1568/getInfo.php?workbook=10_05.xlsx&amp;sheet=U0&amp;row=520&amp;col=7&amp;number=0.0339&amp;sourceID=14","0.0339")</f>
        <v>0.0339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HYPERLINK("http://141.218.60.56/~jnz1568/getInfo.php?workbook=10_05.xlsx&amp;sheet=U0&amp;row=521&amp;col=6&amp;number=4.7&amp;sourceID=14","4.7")</f>
        <v>4.7</v>
      </c>
      <c r="G521" s="4" t="str">
        <f>HYPERLINK("http://141.218.60.56/~jnz1568/getInfo.php?workbook=10_05.xlsx&amp;sheet=U0&amp;row=521&amp;col=7&amp;number=0.0322&amp;sourceID=14","0.0322")</f>
        <v>0.0322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HYPERLINK("http://141.218.60.56/~jnz1568/getInfo.php?workbook=10_05.xlsx&amp;sheet=U0&amp;row=522&amp;col=6&amp;number=4.8&amp;sourceID=14","4.8")</f>
        <v>4.8</v>
      </c>
      <c r="G522" s="4" t="str">
        <f>HYPERLINK("http://141.218.60.56/~jnz1568/getInfo.php?workbook=10_05.xlsx&amp;sheet=U0&amp;row=522&amp;col=7&amp;number=0.0301&amp;sourceID=14","0.0301")</f>
        <v>0.0301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HYPERLINK("http://141.218.60.56/~jnz1568/getInfo.php?workbook=10_05.xlsx&amp;sheet=U0&amp;row=523&amp;col=6&amp;number=4.9&amp;sourceID=14","4.9")</f>
        <v>4.9</v>
      </c>
      <c r="G523" s="4" t="str">
        <f>HYPERLINK("http://141.218.60.56/~jnz1568/getInfo.php?workbook=10_05.xlsx&amp;sheet=U0&amp;row=523&amp;col=7&amp;number=0.0276&amp;sourceID=14","0.0276")</f>
        <v>0.0276</v>
      </c>
    </row>
    <row r="524" spans="1:7">
      <c r="A524" s="3">
        <v>10</v>
      </c>
      <c r="B524" s="3">
        <v>5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HYPERLINK("http://141.218.60.56/~jnz1568/getInfo.php?workbook=10_05.xlsx&amp;sheet=U0&amp;row=524&amp;col=6&amp;number=3&amp;sourceID=14","3")</f>
        <v>3</v>
      </c>
      <c r="G524" s="4" t="str">
        <f>HYPERLINK("http://141.218.60.56/~jnz1568/getInfo.php?workbook=10_05.xlsx&amp;sheet=U0&amp;row=524&amp;col=7&amp;number=0.0188&amp;sourceID=14","0.0188")</f>
        <v>0.0188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HYPERLINK("http://141.218.60.56/~jnz1568/getInfo.php?workbook=10_05.xlsx&amp;sheet=U0&amp;row=525&amp;col=6&amp;number=3.1&amp;sourceID=14","3.1")</f>
        <v>3.1</v>
      </c>
      <c r="G525" s="4" t="str">
        <f>HYPERLINK("http://141.218.60.56/~jnz1568/getInfo.php?workbook=10_05.xlsx&amp;sheet=U0&amp;row=525&amp;col=7&amp;number=0.0188&amp;sourceID=14","0.0188")</f>
        <v>0.0188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HYPERLINK("http://141.218.60.56/~jnz1568/getInfo.php?workbook=10_05.xlsx&amp;sheet=U0&amp;row=526&amp;col=6&amp;number=3.2&amp;sourceID=14","3.2")</f>
        <v>3.2</v>
      </c>
      <c r="G526" s="4" t="str">
        <f>HYPERLINK("http://141.218.60.56/~jnz1568/getInfo.php?workbook=10_05.xlsx&amp;sheet=U0&amp;row=526&amp;col=7&amp;number=0.0188&amp;sourceID=14","0.0188")</f>
        <v>0.0188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HYPERLINK("http://141.218.60.56/~jnz1568/getInfo.php?workbook=10_05.xlsx&amp;sheet=U0&amp;row=527&amp;col=6&amp;number=3.3&amp;sourceID=14","3.3")</f>
        <v>3.3</v>
      </c>
      <c r="G527" s="4" t="str">
        <f>HYPERLINK("http://141.218.60.56/~jnz1568/getInfo.php?workbook=10_05.xlsx&amp;sheet=U0&amp;row=527&amp;col=7&amp;number=0.0187&amp;sourceID=14","0.0187")</f>
        <v>0.0187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HYPERLINK("http://141.218.60.56/~jnz1568/getInfo.php?workbook=10_05.xlsx&amp;sheet=U0&amp;row=528&amp;col=6&amp;number=3.4&amp;sourceID=14","3.4")</f>
        <v>3.4</v>
      </c>
      <c r="G528" s="4" t="str">
        <f>HYPERLINK("http://141.218.60.56/~jnz1568/getInfo.php?workbook=10_05.xlsx&amp;sheet=U0&amp;row=528&amp;col=7&amp;number=0.0187&amp;sourceID=14","0.0187")</f>
        <v>0.0187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HYPERLINK("http://141.218.60.56/~jnz1568/getInfo.php?workbook=10_05.xlsx&amp;sheet=U0&amp;row=529&amp;col=6&amp;number=3.5&amp;sourceID=14","3.5")</f>
        <v>3.5</v>
      </c>
      <c r="G529" s="4" t="str">
        <f>HYPERLINK("http://141.218.60.56/~jnz1568/getInfo.php?workbook=10_05.xlsx&amp;sheet=U0&amp;row=529&amp;col=7&amp;number=0.0187&amp;sourceID=14","0.0187")</f>
        <v>0.0187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HYPERLINK("http://141.218.60.56/~jnz1568/getInfo.php?workbook=10_05.xlsx&amp;sheet=U0&amp;row=530&amp;col=6&amp;number=3.6&amp;sourceID=14","3.6")</f>
        <v>3.6</v>
      </c>
      <c r="G530" s="4" t="str">
        <f>HYPERLINK("http://141.218.60.56/~jnz1568/getInfo.php?workbook=10_05.xlsx&amp;sheet=U0&amp;row=530&amp;col=7&amp;number=0.0186&amp;sourceID=14","0.0186")</f>
        <v>0.0186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HYPERLINK("http://141.218.60.56/~jnz1568/getInfo.php?workbook=10_05.xlsx&amp;sheet=U0&amp;row=531&amp;col=6&amp;number=3.7&amp;sourceID=14","3.7")</f>
        <v>3.7</v>
      </c>
      <c r="G531" s="4" t="str">
        <f>HYPERLINK("http://141.218.60.56/~jnz1568/getInfo.php?workbook=10_05.xlsx&amp;sheet=U0&amp;row=531&amp;col=7&amp;number=0.0185&amp;sourceID=14","0.0185")</f>
        <v>0.0185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HYPERLINK("http://141.218.60.56/~jnz1568/getInfo.php?workbook=10_05.xlsx&amp;sheet=U0&amp;row=532&amp;col=6&amp;number=3.8&amp;sourceID=14","3.8")</f>
        <v>3.8</v>
      </c>
      <c r="G532" s="4" t="str">
        <f>HYPERLINK("http://141.218.60.56/~jnz1568/getInfo.php?workbook=10_05.xlsx&amp;sheet=U0&amp;row=532&amp;col=7&amp;number=0.0185&amp;sourceID=14","0.0185")</f>
        <v>0.0185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HYPERLINK("http://141.218.60.56/~jnz1568/getInfo.php?workbook=10_05.xlsx&amp;sheet=U0&amp;row=533&amp;col=6&amp;number=3.9&amp;sourceID=14","3.9")</f>
        <v>3.9</v>
      </c>
      <c r="G533" s="4" t="str">
        <f>HYPERLINK("http://141.218.60.56/~jnz1568/getInfo.php?workbook=10_05.xlsx&amp;sheet=U0&amp;row=533&amp;col=7&amp;number=0.0183&amp;sourceID=14","0.0183")</f>
        <v>0.0183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HYPERLINK("http://141.218.60.56/~jnz1568/getInfo.php?workbook=10_05.xlsx&amp;sheet=U0&amp;row=534&amp;col=6&amp;number=4&amp;sourceID=14","4")</f>
        <v>4</v>
      </c>
      <c r="G534" s="4" t="str">
        <f>HYPERLINK("http://141.218.60.56/~jnz1568/getInfo.php?workbook=10_05.xlsx&amp;sheet=U0&amp;row=534&amp;col=7&amp;number=0.0182&amp;sourceID=14","0.0182")</f>
        <v>0.0182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HYPERLINK("http://141.218.60.56/~jnz1568/getInfo.php?workbook=10_05.xlsx&amp;sheet=U0&amp;row=535&amp;col=6&amp;number=4.1&amp;sourceID=14","4.1")</f>
        <v>4.1</v>
      </c>
      <c r="G535" s="4" t="str">
        <f>HYPERLINK("http://141.218.60.56/~jnz1568/getInfo.php?workbook=10_05.xlsx&amp;sheet=U0&amp;row=535&amp;col=7&amp;number=0.018&amp;sourceID=14","0.018")</f>
        <v>0.018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HYPERLINK("http://141.218.60.56/~jnz1568/getInfo.php?workbook=10_05.xlsx&amp;sheet=U0&amp;row=536&amp;col=6&amp;number=4.2&amp;sourceID=14","4.2")</f>
        <v>4.2</v>
      </c>
      <c r="G536" s="4" t="str">
        <f>HYPERLINK("http://141.218.60.56/~jnz1568/getInfo.php?workbook=10_05.xlsx&amp;sheet=U0&amp;row=536&amp;col=7&amp;number=0.0177&amp;sourceID=14","0.0177")</f>
        <v>0.0177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HYPERLINK("http://141.218.60.56/~jnz1568/getInfo.php?workbook=10_05.xlsx&amp;sheet=U0&amp;row=537&amp;col=6&amp;number=4.3&amp;sourceID=14","4.3")</f>
        <v>4.3</v>
      </c>
      <c r="G537" s="4" t="str">
        <f>HYPERLINK("http://141.218.60.56/~jnz1568/getInfo.php?workbook=10_05.xlsx&amp;sheet=U0&amp;row=537&amp;col=7&amp;number=0.0173&amp;sourceID=14","0.0173")</f>
        <v>0.0173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HYPERLINK("http://141.218.60.56/~jnz1568/getInfo.php?workbook=10_05.xlsx&amp;sheet=U0&amp;row=538&amp;col=6&amp;number=4.4&amp;sourceID=14","4.4")</f>
        <v>4.4</v>
      </c>
      <c r="G538" s="4" t="str">
        <f>HYPERLINK("http://141.218.60.56/~jnz1568/getInfo.php?workbook=10_05.xlsx&amp;sheet=U0&amp;row=538&amp;col=7&amp;number=0.0167&amp;sourceID=14","0.0167")</f>
        <v>0.0167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HYPERLINK("http://141.218.60.56/~jnz1568/getInfo.php?workbook=10_05.xlsx&amp;sheet=U0&amp;row=539&amp;col=6&amp;number=4.5&amp;sourceID=14","4.5")</f>
        <v>4.5</v>
      </c>
      <c r="G539" s="4" t="str">
        <f>HYPERLINK("http://141.218.60.56/~jnz1568/getInfo.php?workbook=10_05.xlsx&amp;sheet=U0&amp;row=539&amp;col=7&amp;number=0.016&amp;sourceID=14","0.016")</f>
        <v>0.016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HYPERLINK("http://141.218.60.56/~jnz1568/getInfo.php?workbook=10_05.xlsx&amp;sheet=U0&amp;row=540&amp;col=6&amp;number=4.6&amp;sourceID=14","4.6")</f>
        <v>4.6</v>
      </c>
      <c r="G540" s="4" t="str">
        <f>HYPERLINK("http://141.218.60.56/~jnz1568/getInfo.php?workbook=10_05.xlsx&amp;sheet=U0&amp;row=540&amp;col=7&amp;number=0.0151&amp;sourceID=14","0.0151")</f>
        <v>0.0151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HYPERLINK("http://141.218.60.56/~jnz1568/getInfo.php?workbook=10_05.xlsx&amp;sheet=U0&amp;row=541&amp;col=6&amp;number=4.7&amp;sourceID=14","4.7")</f>
        <v>4.7</v>
      </c>
      <c r="G541" s="4" t="str">
        <f>HYPERLINK("http://141.218.60.56/~jnz1568/getInfo.php?workbook=10_05.xlsx&amp;sheet=U0&amp;row=541&amp;col=7&amp;number=0.0143&amp;sourceID=14","0.0143")</f>
        <v>0.0143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HYPERLINK("http://141.218.60.56/~jnz1568/getInfo.php?workbook=10_05.xlsx&amp;sheet=U0&amp;row=542&amp;col=6&amp;number=4.8&amp;sourceID=14","4.8")</f>
        <v>4.8</v>
      </c>
      <c r="G542" s="4" t="str">
        <f>HYPERLINK("http://141.218.60.56/~jnz1568/getInfo.php?workbook=10_05.xlsx&amp;sheet=U0&amp;row=542&amp;col=7&amp;number=0.0134&amp;sourceID=14","0.0134")</f>
        <v>0.0134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HYPERLINK("http://141.218.60.56/~jnz1568/getInfo.php?workbook=10_05.xlsx&amp;sheet=U0&amp;row=543&amp;col=6&amp;number=4.9&amp;sourceID=14","4.9")</f>
        <v>4.9</v>
      </c>
      <c r="G543" s="4" t="str">
        <f>HYPERLINK("http://141.218.60.56/~jnz1568/getInfo.php?workbook=10_05.xlsx&amp;sheet=U0&amp;row=543&amp;col=7&amp;number=0.0125&amp;sourceID=14","0.0125")</f>
        <v>0.0125</v>
      </c>
    </row>
    <row r="544" spans="1:7">
      <c r="A544" s="3">
        <v>10</v>
      </c>
      <c r="B544" s="3">
        <v>5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HYPERLINK("http://141.218.60.56/~jnz1568/getInfo.php?workbook=10_05.xlsx&amp;sheet=U0&amp;row=544&amp;col=6&amp;number=3&amp;sourceID=14","3")</f>
        <v>3</v>
      </c>
      <c r="G544" s="4" t="str">
        <f>HYPERLINK("http://141.218.60.56/~jnz1568/getInfo.php?workbook=10_05.xlsx&amp;sheet=U0&amp;row=544&amp;col=7&amp;number=0.0331&amp;sourceID=14","0.0331")</f>
        <v>0.0331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HYPERLINK("http://141.218.60.56/~jnz1568/getInfo.php?workbook=10_05.xlsx&amp;sheet=U0&amp;row=545&amp;col=6&amp;number=3.1&amp;sourceID=14","3.1")</f>
        <v>3.1</v>
      </c>
      <c r="G545" s="4" t="str">
        <f>HYPERLINK("http://141.218.60.56/~jnz1568/getInfo.php?workbook=10_05.xlsx&amp;sheet=U0&amp;row=545&amp;col=7&amp;number=0.0331&amp;sourceID=14","0.0331")</f>
        <v>0.0331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HYPERLINK("http://141.218.60.56/~jnz1568/getInfo.php?workbook=10_05.xlsx&amp;sheet=U0&amp;row=546&amp;col=6&amp;number=3.2&amp;sourceID=14","3.2")</f>
        <v>3.2</v>
      </c>
      <c r="G546" s="4" t="str">
        <f>HYPERLINK("http://141.218.60.56/~jnz1568/getInfo.php?workbook=10_05.xlsx&amp;sheet=U0&amp;row=546&amp;col=7&amp;number=0.033&amp;sourceID=14","0.033")</f>
        <v>0.033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HYPERLINK("http://141.218.60.56/~jnz1568/getInfo.php?workbook=10_05.xlsx&amp;sheet=U0&amp;row=547&amp;col=6&amp;number=3.3&amp;sourceID=14","3.3")</f>
        <v>3.3</v>
      </c>
      <c r="G547" s="4" t="str">
        <f>HYPERLINK("http://141.218.60.56/~jnz1568/getInfo.php?workbook=10_05.xlsx&amp;sheet=U0&amp;row=547&amp;col=7&amp;number=0.033&amp;sourceID=14","0.033")</f>
        <v>0.033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HYPERLINK("http://141.218.60.56/~jnz1568/getInfo.php?workbook=10_05.xlsx&amp;sheet=U0&amp;row=548&amp;col=6&amp;number=3.4&amp;sourceID=14","3.4")</f>
        <v>3.4</v>
      </c>
      <c r="G548" s="4" t="str">
        <f>HYPERLINK("http://141.218.60.56/~jnz1568/getInfo.php?workbook=10_05.xlsx&amp;sheet=U0&amp;row=548&amp;col=7&amp;number=0.033&amp;sourceID=14","0.033")</f>
        <v>0.033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HYPERLINK("http://141.218.60.56/~jnz1568/getInfo.php?workbook=10_05.xlsx&amp;sheet=U0&amp;row=549&amp;col=6&amp;number=3.5&amp;sourceID=14","3.5")</f>
        <v>3.5</v>
      </c>
      <c r="G549" s="4" t="str">
        <f>HYPERLINK("http://141.218.60.56/~jnz1568/getInfo.php?workbook=10_05.xlsx&amp;sheet=U0&amp;row=549&amp;col=7&amp;number=0.033&amp;sourceID=14","0.033")</f>
        <v>0.033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HYPERLINK("http://141.218.60.56/~jnz1568/getInfo.php?workbook=10_05.xlsx&amp;sheet=U0&amp;row=550&amp;col=6&amp;number=3.6&amp;sourceID=14","3.6")</f>
        <v>3.6</v>
      </c>
      <c r="G550" s="4" t="str">
        <f>HYPERLINK("http://141.218.60.56/~jnz1568/getInfo.php?workbook=10_05.xlsx&amp;sheet=U0&amp;row=550&amp;col=7&amp;number=0.0329&amp;sourceID=14","0.0329")</f>
        <v>0.0329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HYPERLINK("http://141.218.60.56/~jnz1568/getInfo.php?workbook=10_05.xlsx&amp;sheet=U0&amp;row=551&amp;col=6&amp;number=3.7&amp;sourceID=14","3.7")</f>
        <v>3.7</v>
      </c>
      <c r="G551" s="4" t="str">
        <f>HYPERLINK("http://141.218.60.56/~jnz1568/getInfo.php?workbook=10_05.xlsx&amp;sheet=U0&amp;row=551&amp;col=7&amp;number=0.0329&amp;sourceID=14","0.0329")</f>
        <v>0.0329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HYPERLINK("http://141.218.60.56/~jnz1568/getInfo.php?workbook=10_05.xlsx&amp;sheet=U0&amp;row=552&amp;col=6&amp;number=3.8&amp;sourceID=14","3.8")</f>
        <v>3.8</v>
      </c>
      <c r="G552" s="4" t="str">
        <f>HYPERLINK("http://141.218.60.56/~jnz1568/getInfo.php?workbook=10_05.xlsx&amp;sheet=U0&amp;row=552&amp;col=7&amp;number=0.0328&amp;sourceID=14","0.0328")</f>
        <v>0.0328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HYPERLINK("http://141.218.60.56/~jnz1568/getInfo.php?workbook=10_05.xlsx&amp;sheet=U0&amp;row=553&amp;col=6&amp;number=3.9&amp;sourceID=14","3.9")</f>
        <v>3.9</v>
      </c>
      <c r="G553" s="4" t="str">
        <f>HYPERLINK("http://141.218.60.56/~jnz1568/getInfo.php?workbook=10_05.xlsx&amp;sheet=U0&amp;row=553&amp;col=7&amp;number=0.0327&amp;sourceID=14","0.0327")</f>
        <v>0.0327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HYPERLINK("http://141.218.60.56/~jnz1568/getInfo.php?workbook=10_05.xlsx&amp;sheet=U0&amp;row=554&amp;col=6&amp;number=4&amp;sourceID=14","4")</f>
        <v>4</v>
      </c>
      <c r="G554" s="4" t="str">
        <f>HYPERLINK("http://141.218.60.56/~jnz1568/getInfo.php?workbook=10_05.xlsx&amp;sheet=U0&amp;row=554&amp;col=7&amp;number=0.0326&amp;sourceID=14","0.0326")</f>
        <v>0.0326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HYPERLINK("http://141.218.60.56/~jnz1568/getInfo.php?workbook=10_05.xlsx&amp;sheet=U0&amp;row=555&amp;col=6&amp;number=4.1&amp;sourceID=14","4.1")</f>
        <v>4.1</v>
      </c>
      <c r="G555" s="4" t="str">
        <f>HYPERLINK("http://141.218.60.56/~jnz1568/getInfo.php?workbook=10_05.xlsx&amp;sheet=U0&amp;row=555&amp;col=7&amp;number=0.0323&amp;sourceID=14","0.0323")</f>
        <v>0.0323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HYPERLINK("http://141.218.60.56/~jnz1568/getInfo.php?workbook=10_05.xlsx&amp;sheet=U0&amp;row=556&amp;col=6&amp;number=4.2&amp;sourceID=14","4.2")</f>
        <v>4.2</v>
      </c>
      <c r="G556" s="4" t="str">
        <f>HYPERLINK("http://141.218.60.56/~jnz1568/getInfo.php?workbook=10_05.xlsx&amp;sheet=U0&amp;row=556&amp;col=7&amp;number=0.0319&amp;sourceID=14","0.0319")</f>
        <v>0.0319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HYPERLINK("http://141.218.60.56/~jnz1568/getInfo.php?workbook=10_05.xlsx&amp;sheet=U0&amp;row=557&amp;col=6&amp;number=4.3&amp;sourceID=14","4.3")</f>
        <v>4.3</v>
      </c>
      <c r="G557" s="4" t="str">
        <f>HYPERLINK("http://141.218.60.56/~jnz1568/getInfo.php?workbook=10_05.xlsx&amp;sheet=U0&amp;row=557&amp;col=7&amp;number=0.0312&amp;sourceID=14","0.0312")</f>
        <v>0.0312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HYPERLINK("http://141.218.60.56/~jnz1568/getInfo.php?workbook=10_05.xlsx&amp;sheet=U0&amp;row=558&amp;col=6&amp;number=4.4&amp;sourceID=14","4.4")</f>
        <v>4.4</v>
      </c>
      <c r="G558" s="4" t="str">
        <f>HYPERLINK("http://141.218.60.56/~jnz1568/getInfo.php?workbook=10_05.xlsx&amp;sheet=U0&amp;row=558&amp;col=7&amp;number=0.0302&amp;sourceID=14","0.0302")</f>
        <v>0.0302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HYPERLINK("http://141.218.60.56/~jnz1568/getInfo.php?workbook=10_05.xlsx&amp;sheet=U0&amp;row=559&amp;col=6&amp;number=4.5&amp;sourceID=14","4.5")</f>
        <v>4.5</v>
      </c>
      <c r="G559" s="4" t="str">
        <f>HYPERLINK("http://141.218.60.56/~jnz1568/getInfo.php?workbook=10_05.xlsx&amp;sheet=U0&amp;row=559&amp;col=7&amp;number=0.0287&amp;sourceID=14","0.0287")</f>
        <v>0.0287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HYPERLINK("http://141.218.60.56/~jnz1568/getInfo.php?workbook=10_05.xlsx&amp;sheet=U0&amp;row=560&amp;col=6&amp;number=4.6&amp;sourceID=14","4.6")</f>
        <v>4.6</v>
      </c>
      <c r="G560" s="4" t="str">
        <f>HYPERLINK("http://141.218.60.56/~jnz1568/getInfo.php?workbook=10_05.xlsx&amp;sheet=U0&amp;row=560&amp;col=7&amp;number=0.027&amp;sourceID=14","0.027")</f>
        <v>0.027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HYPERLINK("http://141.218.60.56/~jnz1568/getInfo.php?workbook=10_05.xlsx&amp;sheet=U0&amp;row=561&amp;col=6&amp;number=4.7&amp;sourceID=14","4.7")</f>
        <v>4.7</v>
      </c>
      <c r="G561" s="4" t="str">
        <f>HYPERLINK("http://141.218.60.56/~jnz1568/getInfo.php?workbook=10_05.xlsx&amp;sheet=U0&amp;row=561&amp;col=7&amp;number=0.0253&amp;sourceID=14","0.0253")</f>
        <v>0.0253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HYPERLINK("http://141.218.60.56/~jnz1568/getInfo.php?workbook=10_05.xlsx&amp;sheet=U0&amp;row=562&amp;col=6&amp;number=4.8&amp;sourceID=14","4.8")</f>
        <v>4.8</v>
      </c>
      <c r="G562" s="4" t="str">
        <f>HYPERLINK("http://141.218.60.56/~jnz1568/getInfo.php?workbook=10_05.xlsx&amp;sheet=U0&amp;row=562&amp;col=7&amp;number=0.0236&amp;sourceID=14","0.0236")</f>
        <v>0.0236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HYPERLINK("http://141.218.60.56/~jnz1568/getInfo.php?workbook=10_05.xlsx&amp;sheet=U0&amp;row=563&amp;col=6&amp;number=4.9&amp;sourceID=14","4.9")</f>
        <v>4.9</v>
      </c>
      <c r="G563" s="4" t="str">
        <f>HYPERLINK("http://141.218.60.56/~jnz1568/getInfo.php?workbook=10_05.xlsx&amp;sheet=U0&amp;row=563&amp;col=7&amp;number=0.0219&amp;sourceID=14","0.0219")</f>
        <v>0.0219</v>
      </c>
    </row>
    <row r="564" spans="1:7">
      <c r="A564" s="3">
        <v>10</v>
      </c>
      <c r="B564" s="3">
        <v>5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HYPERLINK("http://141.218.60.56/~jnz1568/getInfo.php?workbook=10_05.xlsx&amp;sheet=U0&amp;row=564&amp;col=6&amp;number=3&amp;sourceID=14","3")</f>
        <v>3</v>
      </c>
      <c r="G564" s="4" t="str">
        <f>HYPERLINK("http://141.218.60.56/~jnz1568/getInfo.php?workbook=10_05.xlsx&amp;sheet=U0&amp;row=564&amp;col=7&amp;number=0.0439&amp;sourceID=14","0.0439")</f>
        <v>0.0439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HYPERLINK("http://141.218.60.56/~jnz1568/getInfo.php?workbook=10_05.xlsx&amp;sheet=U0&amp;row=565&amp;col=6&amp;number=3.1&amp;sourceID=14","3.1")</f>
        <v>3.1</v>
      </c>
      <c r="G565" s="4" t="str">
        <f>HYPERLINK("http://141.218.60.56/~jnz1568/getInfo.php?workbook=10_05.xlsx&amp;sheet=U0&amp;row=565&amp;col=7&amp;number=0.0438&amp;sourceID=14","0.0438")</f>
        <v>0.0438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HYPERLINK("http://141.218.60.56/~jnz1568/getInfo.php?workbook=10_05.xlsx&amp;sheet=U0&amp;row=566&amp;col=6&amp;number=3.2&amp;sourceID=14","3.2")</f>
        <v>3.2</v>
      </c>
      <c r="G566" s="4" t="str">
        <f>HYPERLINK("http://141.218.60.56/~jnz1568/getInfo.php?workbook=10_05.xlsx&amp;sheet=U0&amp;row=566&amp;col=7&amp;number=0.0436&amp;sourceID=14","0.0436")</f>
        <v>0.0436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HYPERLINK("http://141.218.60.56/~jnz1568/getInfo.php?workbook=10_05.xlsx&amp;sheet=U0&amp;row=567&amp;col=6&amp;number=3.3&amp;sourceID=14","3.3")</f>
        <v>3.3</v>
      </c>
      <c r="G567" s="4" t="str">
        <f>HYPERLINK("http://141.218.60.56/~jnz1568/getInfo.php?workbook=10_05.xlsx&amp;sheet=U0&amp;row=567&amp;col=7&amp;number=0.0435&amp;sourceID=14","0.0435")</f>
        <v>0.0435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HYPERLINK("http://141.218.60.56/~jnz1568/getInfo.php?workbook=10_05.xlsx&amp;sheet=U0&amp;row=568&amp;col=6&amp;number=3.4&amp;sourceID=14","3.4")</f>
        <v>3.4</v>
      </c>
      <c r="G568" s="4" t="str">
        <f>HYPERLINK("http://141.218.60.56/~jnz1568/getInfo.php?workbook=10_05.xlsx&amp;sheet=U0&amp;row=568&amp;col=7&amp;number=0.0433&amp;sourceID=14","0.0433")</f>
        <v>0.0433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HYPERLINK("http://141.218.60.56/~jnz1568/getInfo.php?workbook=10_05.xlsx&amp;sheet=U0&amp;row=569&amp;col=6&amp;number=3.5&amp;sourceID=14","3.5")</f>
        <v>3.5</v>
      </c>
      <c r="G569" s="4" t="str">
        <f>HYPERLINK("http://141.218.60.56/~jnz1568/getInfo.php?workbook=10_05.xlsx&amp;sheet=U0&amp;row=569&amp;col=7&amp;number=0.0431&amp;sourceID=14","0.0431")</f>
        <v>0.0431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HYPERLINK("http://141.218.60.56/~jnz1568/getInfo.php?workbook=10_05.xlsx&amp;sheet=U0&amp;row=570&amp;col=6&amp;number=3.6&amp;sourceID=14","3.6")</f>
        <v>3.6</v>
      </c>
      <c r="G570" s="4" t="str">
        <f>HYPERLINK("http://141.218.60.56/~jnz1568/getInfo.php?workbook=10_05.xlsx&amp;sheet=U0&amp;row=570&amp;col=7&amp;number=0.0427&amp;sourceID=14","0.0427")</f>
        <v>0.0427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HYPERLINK("http://141.218.60.56/~jnz1568/getInfo.php?workbook=10_05.xlsx&amp;sheet=U0&amp;row=571&amp;col=6&amp;number=3.7&amp;sourceID=14","3.7")</f>
        <v>3.7</v>
      </c>
      <c r="G571" s="4" t="str">
        <f>HYPERLINK("http://141.218.60.56/~jnz1568/getInfo.php?workbook=10_05.xlsx&amp;sheet=U0&amp;row=571&amp;col=7&amp;number=0.0424&amp;sourceID=14","0.0424")</f>
        <v>0.0424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HYPERLINK("http://141.218.60.56/~jnz1568/getInfo.php?workbook=10_05.xlsx&amp;sheet=U0&amp;row=572&amp;col=6&amp;number=3.8&amp;sourceID=14","3.8")</f>
        <v>3.8</v>
      </c>
      <c r="G572" s="4" t="str">
        <f>HYPERLINK("http://141.218.60.56/~jnz1568/getInfo.php?workbook=10_05.xlsx&amp;sheet=U0&amp;row=572&amp;col=7&amp;number=0.0419&amp;sourceID=14","0.0419")</f>
        <v>0.0419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HYPERLINK("http://141.218.60.56/~jnz1568/getInfo.php?workbook=10_05.xlsx&amp;sheet=U0&amp;row=573&amp;col=6&amp;number=3.9&amp;sourceID=14","3.9")</f>
        <v>3.9</v>
      </c>
      <c r="G573" s="4" t="str">
        <f>HYPERLINK("http://141.218.60.56/~jnz1568/getInfo.php?workbook=10_05.xlsx&amp;sheet=U0&amp;row=573&amp;col=7&amp;number=0.0413&amp;sourceID=14","0.0413")</f>
        <v>0.0413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HYPERLINK("http://141.218.60.56/~jnz1568/getInfo.php?workbook=10_05.xlsx&amp;sheet=U0&amp;row=574&amp;col=6&amp;number=4&amp;sourceID=14","4")</f>
        <v>4</v>
      </c>
      <c r="G574" s="4" t="str">
        <f>HYPERLINK("http://141.218.60.56/~jnz1568/getInfo.php?workbook=10_05.xlsx&amp;sheet=U0&amp;row=574&amp;col=7&amp;number=0.0406&amp;sourceID=14","0.0406")</f>
        <v>0.0406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HYPERLINK("http://141.218.60.56/~jnz1568/getInfo.php?workbook=10_05.xlsx&amp;sheet=U0&amp;row=575&amp;col=6&amp;number=4.1&amp;sourceID=14","4.1")</f>
        <v>4.1</v>
      </c>
      <c r="G575" s="4" t="str">
        <f>HYPERLINK("http://141.218.60.56/~jnz1568/getInfo.php?workbook=10_05.xlsx&amp;sheet=U0&amp;row=575&amp;col=7&amp;number=0.0397&amp;sourceID=14","0.0397")</f>
        <v>0.0397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HYPERLINK("http://141.218.60.56/~jnz1568/getInfo.php?workbook=10_05.xlsx&amp;sheet=U0&amp;row=576&amp;col=6&amp;number=4.2&amp;sourceID=14","4.2")</f>
        <v>4.2</v>
      </c>
      <c r="G576" s="4" t="str">
        <f>HYPERLINK("http://141.218.60.56/~jnz1568/getInfo.php?workbook=10_05.xlsx&amp;sheet=U0&amp;row=576&amp;col=7&amp;number=0.0387&amp;sourceID=14","0.0387")</f>
        <v>0.0387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HYPERLINK("http://141.218.60.56/~jnz1568/getInfo.php?workbook=10_05.xlsx&amp;sheet=U0&amp;row=577&amp;col=6&amp;number=4.3&amp;sourceID=14","4.3")</f>
        <v>4.3</v>
      </c>
      <c r="G577" s="4" t="str">
        <f>HYPERLINK("http://141.218.60.56/~jnz1568/getInfo.php?workbook=10_05.xlsx&amp;sheet=U0&amp;row=577&amp;col=7&amp;number=0.0373&amp;sourceID=14","0.0373")</f>
        <v>0.0373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HYPERLINK("http://141.218.60.56/~jnz1568/getInfo.php?workbook=10_05.xlsx&amp;sheet=U0&amp;row=578&amp;col=6&amp;number=4.4&amp;sourceID=14","4.4")</f>
        <v>4.4</v>
      </c>
      <c r="G578" s="4" t="str">
        <f>HYPERLINK("http://141.218.60.56/~jnz1568/getInfo.php?workbook=10_05.xlsx&amp;sheet=U0&amp;row=578&amp;col=7&amp;number=0.0357&amp;sourceID=14","0.0357")</f>
        <v>0.0357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HYPERLINK("http://141.218.60.56/~jnz1568/getInfo.php?workbook=10_05.xlsx&amp;sheet=U0&amp;row=579&amp;col=6&amp;number=4.5&amp;sourceID=14","4.5")</f>
        <v>4.5</v>
      </c>
      <c r="G579" s="4" t="str">
        <f>HYPERLINK("http://141.218.60.56/~jnz1568/getInfo.php?workbook=10_05.xlsx&amp;sheet=U0&amp;row=579&amp;col=7&amp;number=0.0338&amp;sourceID=14","0.0338")</f>
        <v>0.0338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HYPERLINK("http://141.218.60.56/~jnz1568/getInfo.php?workbook=10_05.xlsx&amp;sheet=U0&amp;row=580&amp;col=6&amp;number=4.6&amp;sourceID=14","4.6")</f>
        <v>4.6</v>
      </c>
      <c r="G580" s="4" t="str">
        <f>HYPERLINK("http://141.218.60.56/~jnz1568/getInfo.php?workbook=10_05.xlsx&amp;sheet=U0&amp;row=580&amp;col=7&amp;number=0.0317&amp;sourceID=14","0.0317")</f>
        <v>0.0317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HYPERLINK("http://141.218.60.56/~jnz1568/getInfo.php?workbook=10_05.xlsx&amp;sheet=U0&amp;row=581&amp;col=6&amp;number=4.7&amp;sourceID=14","4.7")</f>
        <v>4.7</v>
      </c>
      <c r="G581" s="4" t="str">
        <f>HYPERLINK("http://141.218.60.56/~jnz1568/getInfo.php?workbook=10_05.xlsx&amp;sheet=U0&amp;row=581&amp;col=7&amp;number=0.0294&amp;sourceID=14","0.0294")</f>
        <v>0.0294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HYPERLINK("http://141.218.60.56/~jnz1568/getInfo.php?workbook=10_05.xlsx&amp;sheet=U0&amp;row=582&amp;col=6&amp;number=4.8&amp;sourceID=14","4.8")</f>
        <v>4.8</v>
      </c>
      <c r="G582" s="4" t="str">
        <f>HYPERLINK("http://141.218.60.56/~jnz1568/getInfo.php?workbook=10_05.xlsx&amp;sheet=U0&amp;row=582&amp;col=7&amp;number=0.0271&amp;sourceID=14","0.0271")</f>
        <v>0.0271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HYPERLINK("http://141.218.60.56/~jnz1568/getInfo.php?workbook=10_05.xlsx&amp;sheet=U0&amp;row=583&amp;col=6&amp;number=4.9&amp;sourceID=14","4.9")</f>
        <v>4.9</v>
      </c>
      <c r="G583" s="4" t="str">
        <f>HYPERLINK("http://141.218.60.56/~jnz1568/getInfo.php?workbook=10_05.xlsx&amp;sheet=U0&amp;row=583&amp;col=7&amp;number=0.0248&amp;sourceID=14","0.0248")</f>
        <v>0.0248</v>
      </c>
    </row>
    <row r="584" spans="1:7">
      <c r="A584" s="3">
        <v>10</v>
      </c>
      <c r="B584" s="3">
        <v>5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HYPERLINK("http://141.218.60.56/~jnz1568/getInfo.php?workbook=10_05.xlsx&amp;sheet=U0&amp;row=584&amp;col=6&amp;number=3&amp;sourceID=14","3")</f>
        <v>3</v>
      </c>
      <c r="G584" s="4" t="str">
        <f>HYPERLINK("http://141.218.60.56/~jnz1568/getInfo.php?workbook=10_05.xlsx&amp;sheet=U0&amp;row=584&amp;col=7&amp;number=0.0261&amp;sourceID=14","0.0261")</f>
        <v>0.0261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HYPERLINK("http://141.218.60.56/~jnz1568/getInfo.php?workbook=10_05.xlsx&amp;sheet=U0&amp;row=585&amp;col=6&amp;number=3.1&amp;sourceID=14","3.1")</f>
        <v>3.1</v>
      </c>
      <c r="G585" s="4" t="str">
        <f>HYPERLINK("http://141.218.60.56/~jnz1568/getInfo.php?workbook=10_05.xlsx&amp;sheet=U0&amp;row=585&amp;col=7&amp;number=0.0262&amp;sourceID=14","0.0262")</f>
        <v>0.0262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HYPERLINK("http://141.218.60.56/~jnz1568/getInfo.php?workbook=10_05.xlsx&amp;sheet=U0&amp;row=586&amp;col=6&amp;number=3.2&amp;sourceID=14","3.2")</f>
        <v>3.2</v>
      </c>
      <c r="G586" s="4" t="str">
        <f>HYPERLINK("http://141.218.60.56/~jnz1568/getInfo.php?workbook=10_05.xlsx&amp;sheet=U0&amp;row=586&amp;col=7&amp;number=0.0264&amp;sourceID=14","0.0264")</f>
        <v>0.0264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HYPERLINK("http://141.218.60.56/~jnz1568/getInfo.php?workbook=10_05.xlsx&amp;sheet=U0&amp;row=587&amp;col=6&amp;number=3.3&amp;sourceID=14","3.3")</f>
        <v>3.3</v>
      </c>
      <c r="G587" s="4" t="str">
        <f>HYPERLINK("http://141.218.60.56/~jnz1568/getInfo.php?workbook=10_05.xlsx&amp;sheet=U0&amp;row=587&amp;col=7&amp;number=0.0265&amp;sourceID=14","0.0265")</f>
        <v>0.0265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HYPERLINK("http://141.218.60.56/~jnz1568/getInfo.php?workbook=10_05.xlsx&amp;sheet=U0&amp;row=588&amp;col=6&amp;number=3.4&amp;sourceID=14","3.4")</f>
        <v>3.4</v>
      </c>
      <c r="G588" s="4" t="str">
        <f>HYPERLINK("http://141.218.60.56/~jnz1568/getInfo.php?workbook=10_05.xlsx&amp;sheet=U0&amp;row=588&amp;col=7&amp;number=0.0267&amp;sourceID=14","0.0267")</f>
        <v>0.0267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HYPERLINK("http://141.218.60.56/~jnz1568/getInfo.php?workbook=10_05.xlsx&amp;sheet=U0&amp;row=589&amp;col=6&amp;number=3.5&amp;sourceID=14","3.5")</f>
        <v>3.5</v>
      </c>
      <c r="G589" s="4" t="str">
        <f>HYPERLINK("http://141.218.60.56/~jnz1568/getInfo.php?workbook=10_05.xlsx&amp;sheet=U0&amp;row=589&amp;col=7&amp;number=0.0269&amp;sourceID=14","0.0269")</f>
        <v>0.0269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HYPERLINK("http://141.218.60.56/~jnz1568/getInfo.php?workbook=10_05.xlsx&amp;sheet=U0&amp;row=590&amp;col=6&amp;number=3.6&amp;sourceID=14","3.6")</f>
        <v>3.6</v>
      </c>
      <c r="G590" s="4" t="str">
        <f>HYPERLINK("http://141.218.60.56/~jnz1568/getInfo.php?workbook=10_05.xlsx&amp;sheet=U0&amp;row=590&amp;col=7&amp;number=0.0272&amp;sourceID=14","0.0272")</f>
        <v>0.0272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HYPERLINK("http://141.218.60.56/~jnz1568/getInfo.php?workbook=10_05.xlsx&amp;sheet=U0&amp;row=591&amp;col=6&amp;number=3.7&amp;sourceID=14","3.7")</f>
        <v>3.7</v>
      </c>
      <c r="G591" s="4" t="str">
        <f>HYPERLINK("http://141.218.60.56/~jnz1568/getInfo.php?workbook=10_05.xlsx&amp;sheet=U0&amp;row=591&amp;col=7&amp;number=0.0274&amp;sourceID=14","0.0274")</f>
        <v>0.0274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HYPERLINK("http://141.218.60.56/~jnz1568/getInfo.php?workbook=10_05.xlsx&amp;sheet=U0&amp;row=592&amp;col=6&amp;number=3.8&amp;sourceID=14","3.8")</f>
        <v>3.8</v>
      </c>
      <c r="G592" s="4" t="str">
        <f>HYPERLINK("http://141.218.60.56/~jnz1568/getInfo.php?workbook=10_05.xlsx&amp;sheet=U0&amp;row=592&amp;col=7&amp;number=0.0277&amp;sourceID=14","0.0277")</f>
        <v>0.0277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HYPERLINK("http://141.218.60.56/~jnz1568/getInfo.php?workbook=10_05.xlsx&amp;sheet=U0&amp;row=593&amp;col=6&amp;number=3.9&amp;sourceID=14","3.9")</f>
        <v>3.9</v>
      </c>
      <c r="G593" s="4" t="str">
        <f>HYPERLINK("http://141.218.60.56/~jnz1568/getInfo.php?workbook=10_05.xlsx&amp;sheet=U0&amp;row=593&amp;col=7&amp;number=0.0278&amp;sourceID=14","0.0278")</f>
        <v>0.0278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HYPERLINK("http://141.218.60.56/~jnz1568/getInfo.php?workbook=10_05.xlsx&amp;sheet=U0&amp;row=594&amp;col=6&amp;number=4&amp;sourceID=14","4")</f>
        <v>4</v>
      </c>
      <c r="G594" s="4" t="str">
        <f>HYPERLINK("http://141.218.60.56/~jnz1568/getInfo.php?workbook=10_05.xlsx&amp;sheet=U0&amp;row=594&amp;col=7&amp;number=0.0276&amp;sourceID=14","0.0276")</f>
        <v>0.0276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HYPERLINK("http://141.218.60.56/~jnz1568/getInfo.php?workbook=10_05.xlsx&amp;sheet=U0&amp;row=595&amp;col=6&amp;number=4.1&amp;sourceID=14","4.1")</f>
        <v>4.1</v>
      </c>
      <c r="G595" s="4" t="str">
        <f>HYPERLINK("http://141.218.60.56/~jnz1568/getInfo.php?workbook=10_05.xlsx&amp;sheet=U0&amp;row=595&amp;col=7&amp;number=0.0271&amp;sourceID=14","0.0271")</f>
        <v>0.0271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HYPERLINK("http://141.218.60.56/~jnz1568/getInfo.php?workbook=10_05.xlsx&amp;sheet=U0&amp;row=596&amp;col=6&amp;number=4.2&amp;sourceID=14","4.2")</f>
        <v>4.2</v>
      </c>
      <c r="G596" s="4" t="str">
        <f>HYPERLINK("http://141.218.60.56/~jnz1568/getInfo.php?workbook=10_05.xlsx&amp;sheet=U0&amp;row=596&amp;col=7&amp;number=0.0261&amp;sourceID=14","0.0261")</f>
        <v>0.0261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HYPERLINK("http://141.218.60.56/~jnz1568/getInfo.php?workbook=10_05.xlsx&amp;sheet=U0&amp;row=597&amp;col=6&amp;number=4.3&amp;sourceID=14","4.3")</f>
        <v>4.3</v>
      </c>
      <c r="G597" s="4" t="str">
        <f>HYPERLINK("http://141.218.60.56/~jnz1568/getInfo.php?workbook=10_05.xlsx&amp;sheet=U0&amp;row=597&amp;col=7&amp;number=0.0248&amp;sourceID=14","0.0248")</f>
        <v>0.0248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HYPERLINK("http://141.218.60.56/~jnz1568/getInfo.php?workbook=10_05.xlsx&amp;sheet=U0&amp;row=598&amp;col=6&amp;number=4.4&amp;sourceID=14","4.4")</f>
        <v>4.4</v>
      </c>
      <c r="G598" s="4" t="str">
        <f>HYPERLINK("http://141.218.60.56/~jnz1568/getInfo.php?workbook=10_05.xlsx&amp;sheet=U0&amp;row=598&amp;col=7&amp;number=0.0232&amp;sourceID=14","0.0232")</f>
        <v>0.0232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HYPERLINK("http://141.218.60.56/~jnz1568/getInfo.php?workbook=10_05.xlsx&amp;sheet=U0&amp;row=599&amp;col=6&amp;number=4.5&amp;sourceID=14","4.5")</f>
        <v>4.5</v>
      </c>
      <c r="G599" s="4" t="str">
        <f>HYPERLINK("http://141.218.60.56/~jnz1568/getInfo.php?workbook=10_05.xlsx&amp;sheet=U0&amp;row=599&amp;col=7&amp;number=0.0216&amp;sourceID=14","0.0216")</f>
        <v>0.0216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HYPERLINK("http://141.218.60.56/~jnz1568/getInfo.php?workbook=10_05.xlsx&amp;sheet=U0&amp;row=600&amp;col=6&amp;number=4.6&amp;sourceID=14","4.6")</f>
        <v>4.6</v>
      </c>
      <c r="G600" s="4" t="str">
        <f>HYPERLINK("http://141.218.60.56/~jnz1568/getInfo.php?workbook=10_05.xlsx&amp;sheet=U0&amp;row=600&amp;col=7&amp;number=0.0198&amp;sourceID=14","0.0198")</f>
        <v>0.0198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HYPERLINK("http://141.218.60.56/~jnz1568/getInfo.php?workbook=10_05.xlsx&amp;sheet=U0&amp;row=601&amp;col=6&amp;number=4.7&amp;sourceID=14","4.7")</f>
        <v>4.7</v>
      </c>
      <c r="G601" s="4" t="str">
        <f>HYPERLINK("http://141.218.60.56/~jnz1568/getInfo.php?workbook=10_05.xlsx&amp;sheet=U0&amp;row=601&amp;col=7&amp;number=0.0178&amp;sourceID=14","0.0178")</f>
        <v>0.0178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HYPERLINK("http://141.218.60.56/~jnz1568/getInfo.php?workbook=10_05.xlsx&amp;sheet=U0&amp;row=602&amp;col=6&amp;number=4.8&amp;sourceID=14","4.8")</f>
        <v>4.8</v>
      </c>
      <c r="G602" s="4" t="str">
        <f>HYPERLINK("http://141.218.60.56/~jnz1568/getInfo.php?workbook=10_05.xlsx&amp;sheet=U0&amp;row=602&amp;col=7&amp;number=0.0158&amp;sourceID=14","0.0158")</f>
        <v>0.0158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HYPERLINK("http://141.218.60.56/~jnz1568/getInfo.php?workbook=10_05.xlsx&amp;sheet=U0&amp;row=603&amp;col=6&amp;number=4.9&amp;sourceID=14","4.9")</f>
        <v>4.9</v>
      </c>
      <c r="G603" s="4" t="str">
        <f>HYPERLINK("http://141.218.60.56/~jnz1568/getInfo.php?workbook=10_05.xlsx&amp;sheet=U0&amp;row=603&amp;col=7&amp;number=0.0139&amp;sourceID=14","0.0139")</f>
        <v>0.0139</v>
      </c>
    </row>
    <row r="604" spans="1:7">
      <c r="A604" s="3">
        <v>10</v>
      </c>
      <c r="B604" s="3">
        <v>5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HYPERLINK("http://141.218.60.56/~jnz1568/getInfo.php?workbook=10_05.xlsx&amp;sheet=U0&amp;row=604&amp;col=6&amp;number=3&amp;sourceID=14","3")</f>
        <v>3</v>
      </c>
      <c r="G604" s="4" t="str">
        <f>HYPERLINK("http://141.218.60.56/~jnz1568/getInfo.php?workbook=10_05.xlsx&amp;sheet=U0&amp;row=604&amp;col=7&amp;number=0.0284&amp;sourceID=14","0.0284")</f>
        <v>0.0284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HYPERLINK("http://141.218.60.56/~jnz1568/getInfo.php?workbook=10_05.xlsx&amp;sheet=U0&amp;row=605&amp;col=6&amp;number=3.1&amp;sourceID=14","3.1")</f>
        <v>3.1</v>
      </c>
      <c r="G605" s="4" t="str">
        <f>HYPERLINK("http://141.218.60.56/~jnz1568/getInfo.php?workbook=10_05.xlsx&amp;sheet=U0&amp;row=605&amp;col=7&amp;number=0.0282&amp;sourceID=14","0.0282")</f>
        <v>0.0282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HYPERLINK("http://141.218.60.56/~jnz1568/getInfo.php?workbook=10_05.xlsx&amp;sheet=U0&amp;row=606&amp;col=6&amp;number=3.2&amp;sourceID=14","3.2")</f>
        <v>3.2</v>
      </c>
      <c r="G606" s="4" t="str">
        <f>HYPERLINK("http://141.218.60.56/~jnz1568/getInfo.php?workbook=10_05.xlsx&amp;sheet=U0&amp;row=606&amp;col=7&amp;number=0.0281&amp;sourceID=14","0.0281")</f>
        <v>0.0281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HYPERLINK("http://141.218.60.56/~jnz1568/getInfo.php?workbook=10_05.xlsx&amp;sheet=U0&amp;row=607&amp;col=6&amp;number=3.3&amp;sourceID=14","3.3")</f>
        <v>3.3</v>
      </c>
      <c r="G607" s="4" t="str">
        <f>HYPERLINK("http://141.218.60.56/~jnz1568/getInfo.php?workbook=10_05.xlsx&amp;sheet=U0&amp;row=607&amp;col=7&amp;number=0.0278&amp;sourceID=14","0.0278")</f>
        <v>0.0278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HYPERLINK("http://141.218.60.56/~jnz1568/getInfo.php?workbook=10_05.xlsx&amp;sheet=U0&amp;row=608&amp;col=6&amp;number=3.4&amp;sourceID=14","3.4")</f>
        <v>3.4</v>
      </c>
      <c r="G608" s="4" t="str">
        <f>HYPERLINK("http://141.218.60.56/~jnz1568/getInfo.php?workbook=10_05.xlsx&amp;sheet=U0&amp;row=608&amp;col=7&amp;number=0.0275&amp;sourceID=14","0.0275")</f>
        <v>0.0275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HYPERLINK("http://141.218.60.56/~jnz1568/getInfo.php?workbook=10_05.xlsx&amp;sheet=U0&amp;row=609&amp;col=6&amp;number=3.5&amp;sourceID=14","3.5")</f>
        <v>3.5</v>
      </c>
      <c r="G609" s="4" t="str">
        <f>HYPERLINK("http://141.218.60.56/~jnz1568/getInfo.php?workbook=10_05.xlsx&amp;sheet=U0&amp;row=609&amp;col=7&amp;number=0.0272&amp;sourceID=14","0.0272")</f>
        <v>0.0272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HYPERLINK("http://141.218.60.56/~jnz1568/getInfo.php?workbook=10_05.xlsx&amp;sheet=U0&amp;row=610&amp;col=6&amp;number=3.6&amp;sourceID=14","3.6")</f>
        <v>3.6</v>
      </c>
      <c r="G610" s="4" t="str">
        <f>HYPERLINK("http://141.218.60.56/~jnz1568/getInfo.php?workbook=10_05.xlsx&amp;sheet=U0&amp;row=610&amp;col=7&amp;number=0.0267&amp;sourceID=14","0.0267")</f>
        <v>0.0267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HYPERLINK("http://141.218.60.56/~jnz1568/getInfo.php?workbook=10_05.xlsx&amp;sheet=U0&amp;row=611&amp;col=6&amp;number=3.7&amp;sourceID=14","3.7")</f>
        <v>3.7</v>
      </c>
      <c r="G611" s="4" t="str">
        <f>HYPERLINK("http://141.218.60.56/~jnz1568/getInfo.php?workbook=10_05.xlsx&amp;sheet=U0&amp;row=611&amp;col=7&amp;number=0.0262&amp;sourceID=14","0.0262")</f>
        <v>0.0262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HYPERLINK("http://141.218.60.56/~jnz1568/getInfo.php?workbook=10_05.xlsx&amp;sheet=U0&amp;row=612&amp;col=6&amp;number=3.8&amp;sourceID=14","3.8")</f>
        <v>3.8</v>
      </c>
      <c r="G612" s="4" t="str">
        <f>HYPERLINK("http://141.218.60.56/~jnz1568/getInfo.php?workbook=10_05.xlsx&amp;sheet=U0&amp;row=612&amp;col=7&amp;number=0.0255&amp;sourceID=14","0.0255")</f>
        <v>0.0255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HYPERLINK("http://141.218.60.56/~jnz1568/getInfo.php?workbook=10_05.xlsx&amp;sheet=U0&amp;row=613&amp;col=6&amp;number=3.9&amp;sourceID=14","3.9")</f>
        <v>3.9</v>
      </c>
      <c r="G613" s="4" t="str">
        <f>HYPERLINK("http://141.218.60.56/~jnz1568/getInfo.php?workbook=10_05.xlsx&amp;sheet=U0&amp;row=613&amp;col=7&amp;number=0.0247&amp;sourceID=14","0.0247")</f>
        <v>0.0247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HYPERLINK("http://141.218.60.56/~jnz1568/getInfo.php?workbook=10_05.xlsx&amp;sheet=U0&amp;row=614&amp;col=6&amp;number=4&amp;sourceID=14","4")</f>
        <v>4</v>
      </c>
      <c r="G614" s="4" t="str">
        <f>HYPERLINK("http://141.218.60.56/~jnz1568/getInfo.php?workbook=10_05.xlsx&amp;sheet=U0&amp;row=614&amp;col=7&amp;number=0.0238&amp;sourceID=14","0.0238")</f>
        <v>0.0238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HYPERLINK("http://141.218.60.56/~jnz1568/getInfo.php?workbook=10_05.xlsx&amp;sheet=U0&amp;row=615&amp;col=6&amp;number=4.1&amp;sourceID=14","4.1")</f>
        <v>4.1</v>
      </c>
      <c r="G615" s="4" t="str">
        <f>HYPERLINK("http://141.218.60.56/~jnz1568/getInfo.php?workbook=10_05.xlsx&amp;sheet=U0&amp;row=615&amp;col=7&amp;number=0.0227&amp;sourceID=14","0.0227")</f>
        <v>0.0227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HYPERLINK("http://141.218.60.56/~jnz1568/getInfo.php?workbook=10_05.xlsx&amp;sheet=U0&amp;row=616&amp;col=6&amp;number=4.2&amp;sourceID=14","4.2")</f>
        <v>4.2</v>
      </c>
      <c r="G616" s="4" t="str">
        <f>HYPERLINK("http://141.218.60.56/~jnz1568/getInfo.php?workbook=10_05.xlsx&amp;sheet=U0&amp;row=616&amp;col=7&amp;number=0.0215&amp;sourceID=14","0.0215")</f>
        <v>0.0215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HYPERLINK("http://141.218.60.56/~jnz1568/getInfo.php?workbook=10_05.xlsx&amp;sheet=U0&amp;row=617&amp;col=6&amp;number=4.3&amp;sourceID=14","4.3")</f>
        <v>4.3</v>
      </c>
      <c r="G617" s="4" t="str">
        <f>HYPERLINK("http://141.218.60.56/~jnz1568/getInfo.php?workbook=10_05.xlsx&amp;sheet=U0&amp;row=617&amp;col=7&amp;number=0.0202&amp;sourceID=14","0.0202")</f>
        <v>0.0202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HYPERLINK("http://141.218.60.56/~jnz1568/getInfo.php?workbook=10_05.xlsx&amp;sheet=U0&amp;row=618&amp;col=6&amp;number=4.4&amp;sourceID=14","4.4")</f>
        <v>4.4</v>
      </c>
      <c r="G618" s="4" t="str">
        <f>HYPERLINK("http://141.218.60.56/~jnz1568/getInfo.php?workbook=10_05.xlsx&amp;sheet=U0&amp;row=618&amp;col=7&amp;number=0.0189&amp;sourceID=14","0.0189")</f>
        <v>0.0189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HYPERLINK("http://141.218.60.56/~jnz1568/getInfo.php?workbook=10_05.xlsx&amp;sheet=U0&amp;row=619&amp;col=6&amp;number=4.5&amp;sourceID=14","4.5")</f>
        <v>4.5</v>
      </c>
      <c r="G619" s="4" t="str">
        <f>HYPERLINK("http://141.218.60.56/~jnz1568/getInfo.php?workbook=10_05.xlsx&amp;sheet=U0&amp;row=619&amp;col=7&amp;number=0.0178&amp;sourceID=14","0.0178")</f>
        <v>0.0178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HYPERLINK("http://141.218.60.56/~jnz1568/getInfo.php?workbook=10_05.xlsx&amp;sheet=U0&amp;row=620&amp;col=6&amp;number=4.6&amp;sourceID=14","4.6")</f>
        <v>4.6</v>
      </c>
      <c r="G620" s="4" t="str">
        <f>HYPERLINK("http://141.218.60.56/~jnz1568/getInfo.php?workbook=10_05.xlsx&amp;sheet=U0&amp;row=620&amp;col=7&amp;number=0.0166&amp;sourceID=14","0.0166")</f>
        <v>0.0166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HYPERLINK("http://141.218.60.56/~jnz1568/getInfo.php?workbook=10_05.xlsx&amp;sheet=U0&amp;row=621&amp;col=6&amp;number=4.7&amp;sourceID=14","4.7")</f>
        <v>4.7</v>
      </c>
      <c r="G621" s="4" t="str">
        <f>HYPERLINK("http://141.218.60.56/~jnz1568/getInfo.php?workbook=10_05.xlsx&amp;sheet=U0&amp;row=621&amp;col=7&amp;number=0.0155&amp;sourceID=14","0.0155")</f>
        <v>0.0155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HYPERLINK("http://141.218.60.56/~jnz1568/getInfo.php?workbook=10_05.xlsx&amp;sheet=U0&amp;row=622&amp;col=6&amp;number=4.8&amp;sourceID=14","4.8")</f>
        <v>4.8</v>
      </c>
      <c r="G622" s="4" t="str">
        <f>HYPERLINK("http://141.218.60.56/~jnz1568/getInfo.php?workbook=10_05.xlsx&amp;sheet=U0&amp;row=622&amp;col=7&amp;number=0.0144&amp;sourceID=14","0.0144")</f>
        <v>0.0144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HYPERLINK("http://141.218.60.56/~jnz1568/getInfo.php?workbook=10_05.xlsx&amp;sheet=U0&amp;row=623&amp;col=6&amp;number=4.9&amp;sourceID=14","4.9")</f>
        <v>4.9</v>
      </c>
      <c r="G623" s="4" t="str">
        <f>HYPERLINK("http://141.218.60.56/~jnz1568/getInfo.php?workbook=10_05.xlsx&amp;sheet=U0&amp;row=623&amp;col=7&amp;number=0.0133&amp;sourceID=14","0.0133")</f>
        <v>0.0133</v>
      </c>
    </row>
    <row r="624" spans="1:7">
      <c r="A624" s="3">
        <v>10</v>
      </c>
      <c r="B624" s="3">
        <v>5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HYPERLINK("http://141.218.60.56/~jnz1568/getInfo.php?workbook=10_05.xlsx&amp;sheet=U0&amp;row=624&amp;col=6&amp;number=3&amp;sourceID=14","3")</f>
        <v>3</v>
      </c>
      <c r="G624" s="4" t="str">
        <f>HYPERLINK("http://141.218.60.56/~jnz1568/getInfo.php?workbook=10_05.xlsx&amp;sheet=U0&amp;row=624&amp;col=7&amp;number=0.0108&amp;sourceID=14","0.0108")</f>
        <v>0.0108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HYPERLINK("http://141.218.60.56/~jnz1568/getInfo.php?workbook=10_05.xlsx&amp;sheet=U0&amp;row=625&amp;col=6&amp;number=3.1&amp;sourceID=14","3.1")</f>
        <v>3.1</v>
      </c>
      <c r="G625" s="4" t="str">
        <f>HYPERLINK("http://141.218.60.56/~jnz1568/getInfo.php?workbook=10_05.xlsx&amp;sheet=U0&amp;row=625&amp;col=7&amp;number=0.0108&amp;sourceID=14","0.0108")</f>
        <v>0.0108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HYPERLINK("http://141.218.60.56/~jnz1568/getInfo.php?workbook=10_05.xlsx&amp;sheet=U0&amp;row=626&amp;col=6&amp;number=3.2&amp;sourceID=14","3.2")</f>
        <v>3.2</v>
      </c>
      <c r="G626" s="4" t="str">
        <f>HYPERLINK("http://141.218.60.56/~jnz1568/getInfo.php?workbook=10_05.xlsx&amp;sheet=U0&amp;row=626&amp;col=7&amp;number=0.0108&amp;sourceID=14","0.0108")</f>
        <v>0.0108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HYPERLINK("http://141.218.60.56/~jnz1568/getInfo.php?workbook=10_05.xlsx&amp;sheet=U0&amp;row=627&amp;col=6&amp;number=3.3&amp;sourceID=14","3.3")</f>
        <v>3.3</v>
      </c>
      <c r="G627" s="4" t="str">
        <f>HYPERLINK("http://141.218.60.56/~jnz1568/getInfo.php?workbook=10_05.xlsx&amp;sheet=U0&amp;row=627&amp;col=7&amp;number=0.0108&amp;sourceID=14","0.0108")</f>
        <v>0.0108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HYPERLINK("http://141.218.60.56/~jnz1568/getInfo.php?workbook=10_05.xlsx&amp;sheet=U0&amp;row=628&amp;col=6&amp;number=3.4&amp;sourceID=14","3.4")</f>
        <v>3.4</v>
      </c>
      <c r="G628" s="4" t="str">
        <f>HYPERLINK("http://141.218.60.56/~jnz1568/getInfo.php?workbook=10_05.xlsx&amp;sheet=U0&amp;row=628&amp;col=7&amp;number=0.0108&amp;sourceID=14","0.0108")</f>
        <v>0.0108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HYPERLINK("http://141.218.60.56/~jnz1568/getInfo.php?workbook=10_05.xlsx&amp;sheet=U0&amp;row=629&amp;col=6&amp;number=3.5&amp;sourceID=14","3.5")</f>
        <v>3.5</v>
      </c>
      <c r="G629" s="4" t="str">
        <f>HYPERLINK("http://141.218.60.56/~jnz1568/getInfo.php?workbook=10_05.xlsx&amp;sheet=U0&amp;row=629&amp;col=7&amp;number=0.0109&amp;sourceID=14","0.0109")</f>
        <v>0.0109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HYPERLINK("http://141.218.60.56/~jnz1568/getInfo.php?workbook=10_05.xlsx&amp;sheet=U0&amp;row=630&amp;col=6&amp;number=3.6&amp;sourceID=14","3.6")</f>
        <v>3.6</v>
      </c>
      <c r="G630" s="4" t="str">
        <f>HYPERLINK("http://141.218.60.56/~jnz1568/getInfo.php?workbook=10_05.xlsx&amp;sheet=U0&amp;row=630&amp;col=7&amp;number=0.0109&amp;sourceID=14","0.0109")</f>
        <v>0.0109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HYPERLINK("http://141.218.60.56/~jnz1568/getInfo.php?workbook=10_05.xlsx&amp;sheet=U0&amp;row=631&amp;col=6&amp;number=3.7&amp;sourceID=14","3.7")</f>
        <v>3.7</v>
      </c>
      <c r="G631" s="4" t="str">
        <f>HYPERLINK("http://141.218.60.56/~jnz1568/getInfo.php?workbook=10_05.xlsx&amp;sheet=U0&amp;row=631&amp;col=7&amp;number=0.0109&amp;sourceID=14","0.0109")</f>
        <v>0.0109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HYPERLINK("http://141.218.60.56/~jnz1568/getInfo.php?workbook=10_05.xlsx&amp;sheet=U0&amp;row=632&amp;col=6&amp;number=3.8&amp;sourceID=14","3.8")</f>
        <v>3.8</v>
      </c>
      <c r="G632" s="4" t="str">
        <f>HYPERLINK("http://141.218.60.56/~jnz1568/getInfo.php?workbook=10_05.xlsx&amp;sheet=U0&amp;row=632&amp;col=7&amp;number=0.0109&amp;sourceID=14","0.0109")</f>
        <v>0.0109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HYPERLINK("http://141.218.60.56/~jnz1568/getInfo.php?workbook=10_05.xlsx&amp;sheet=U0&amp;row=633&amp;col=6&amp;number=3.9&amp;sourceID=14","3.9")</f>
        <v>3.9</v>
      </c>
      <c r="G633" s="4" t="str">
        <f>HYPERLINK("http://141.218.60.56/~jnz1568/getInfo.php?workbook=10_05.xlsx&amp;sheet=U0&amp;row=633&amp;col=7&amp;number=0.0109&amp;sourceID=14","0.0109")</f>
        <v>0.0109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HYPERLINK("http://141.218.60.56/~jnz1568/getInfo.php?workbook=10_05.xlsx&amp;sheet=U0&amp;row=634&amp;col=6&amp;number=4&amp;sourceID=14","4")</f>
        <v>4</v>
      </c>
      <c r="G634" s="4" t="str">
        <f>HYPERLINK("http://141.218.60.56/~jnz1568/getInfo.php?workbook=10_05.xlsx&amp;sheet=U0&amp;row=634&amp;col=7&amp;number=0.0109&amp;sourceID=14","0.0109")</f>
        <v>0.0109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HYPERLINK("http://141.218.60.56/~jnz1568/getInfo.php?workbook=10_05.xlsx&amp;sheet=U0&amp;row=635&amp;col=6&amp;number=4.1&amp;sourceID=14","4.1")</f>
        <v>4.1</v>
      </c>
      <c r="G635" s="4" t="str">
        <f>HYPERLINK("http://141.218.60.56/~jnz1568/getInfo.php?workbook=10_05.xlsx&amp;sheet=U0&amp;row=635&amp;col=7&amp;number=0.0109&amp;sourceID=14","0.0109")</f>
        <v>0.0109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HYPERLINK("http://141.218.60.56/~jnz1568/getInfo.php?workbook=10_05.xlsx&amp;sheet=U0&amp;row=636&amp;col=6&amp;number=4.2&amp;sourceID=14","4.2")</f>
        <v>4.2</v>
      </c>
      <c r="G636" s="4" t="str">
        <f>HYPERLINK("http://141.218.60.56/~jnz1568/getInfo.php?workbook=10_05.xlsx&amp;sheet=U0&amp;row=636&amp;col=7&amp;number=0.0109&amp;sourceID=14","0.0109")</f>
        <v>0.0109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HYPERLINK("http://141.218.60.56/~jnz1568/getInfo.php?workbook=10_05.xlsx&amp;sheet=U0&amp;row=637&amp;col=6&amp;number=4.3&amp;sourceID=14","4.3")</f>
        <v>4.3</v>
      </c>
      <c r="G637" s="4" t="str">
        <f>HYPERLINK("http://141.218.60.56/~jnz1568/getInfo.php?workbook=10_05.xlsx&amp;sheet=U0&amp;row=637&amp;col=7&amp;number=0.0107&amp;sourceID=14","0.0107")</f>
        <v>0.0107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HYPERLINK("http://141.218.60.56/~jnz1568/getInfo.php?workbook=10_05.xlsx&amp;sheet=U0&amp;row=638&amp;col=6&amp;number=4.4&amp;sourceID=14","4.4")</f>
        <v>4.4</v>
      </c>
      <c r="G638" s="4" t="str">
        <f>HYPERLINK("http://141.218.60.56/~jnz1568/getInfo.php?workbook=10_05.xlsx&amp;sheet=U0&amp;row=638&amp;col=7&amp;number=0.0105&amp;sourceID=14","0.0105")</f>
        <v>0.0105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HYPERLINK("http://141.218.60.56/~jnz1568/getInfo.php?workbook=10_05.xlsx&amp;sheet=U0&amp;row=639&amp;col=6&amp;number=4.5&amp;sourceID=14","4.5")</f>
        <v>4.5</v>
      </c>
      <c r="G639" s="4" t="str">
        <f>HYPERLINK("http://141.218.60.56/~jnz1568/getInfo.php?workbook=10_05.xlsx&amp;sheet=U0&amp;row=639&amp;col=7&amp;number=0.0101&amp;sourceID=14","0.0101")</f>
        <v>0.0101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HYPERLINK("http://141.218.60.56/~jnz1568/getInfo.php?workbook=10_05.xlsx&amp;sheet=U0&amp;row=640&amp;col=6&amp;number=4.6&amp;sourceID=14","4.6")</f>
        <v>4.6</v>
      </c>
      <c r="G640" s="4" t="str">
        <f>HYPERLINK("http://141.218.60.56/~jnz1568/getInfo.php?workbook=10_05.xlsx&amp;sheet=U0&amp;row=640&amp;col=7&amp;number=0.00969&amp;sourceID=14","0.00969")</f>
        <v>0.00969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HYPERLINK("http://141.218.60.56/~jnz1568/getInfo.php?workbook=10_05.xlsx&amp;sheet=U0&amp;row=641&amp;col=6&amp;number=4.7&amp;sourceID=14","4.7")</f>
        <v>4.7</v>
      </c>
      <c r="G641" s="4" t="str">
        <f>HYPERLINK("http://141.218.60.56/~jnz1568/getInfo.php?workbook=10_05.xlsx&amp;sheet=U0&amp;row=641&amp;col=7&amp;number=0.00919&amp;sourceID=14","0.00919")</f>
        <v>0.00919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HYPERLINK("http://141.218.60.56/~jnz1568/getInfo.php?workbook=10_05.xlsx&amp;sheet=U0&amp;row=642&amp;col=6&amp;number=4.8&amp;sourceID=14","4.8")</f>
        <v>4.8</v>
      </c>
      <c r="G642" s="4" t="str">
        <f>HYPERLINK("http://141.218.60.56/~jnz1568/getInfo.php?workbook=10_05.xlsx&amp;sheet=U0&amp;row=642&amp;col=7&amp;number=0.0087&amp;sourceID=14","0.0087")</f>
        <v>0.0087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HYPERLINK("http://141.218.60.56/~jnz1568/getInfo.php?workbook=10_05.xlsx&amp;sheet=U0&amp;row=643&amp;col=6&amp;number=4.9&amp;sourceID=14","4.9")</f>
        <v>4.9</v>
      </c>
      <c r="G643" s="4" t="str">
        <f>HYPERLINK("http://141.218.60.56/~jnz1568/getInfo.php?workbook=10_05.xlsx&amp;sheet=U0&amp;row=643&amp;col=7&amp;number=0.00821&amp;sourceID=14","0.00821")</f>
        <v>0.00821</v>
      </c>
    </row>
    <row r="644" spans="1:7">
      <c r="A644" s="3">
        <v>10</v>
      </c>
      <c r="B644" s="3">
        <v>5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HYPERLINK("http://141.218.60.56/~jnz1568/getInfo.php?workbook=10_05.xlsx&amp;sheet=U0&amp;row=644&amp;col=6&amp;number=3&amp;sourceID=14","3")</f>
        <v>3</v>
      </c>
      <c r="G644" s="4" t="str">
        <f>HYPERLINK("http://141.218.60.56/~jnz1568/getInfo.php?workbook=10_05.xlsx&amp;sheet=U0&amp;row=644&amp;col=7&amp;number=0.0164&amp;sourceID=14","0.0164")</f>
        <v>0.0164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HYPERLINK("http://141.218.60.56/~jnz1568/getInfo.php?workbook=10_05.xlsx&amp;sheet=U0&amp;row=645&amp;col=6&amp;number=3.1&amp;sourceID=14","3.1")</f>
        <v>3.1</v>
      </c>
      <c r="G645" s="4" t="str">
        <f>HYPERLINK("http://141.218.60.56/~jnz1568/getInfo.php?workbook=10_05.xlsx&amp;sheet=U0&amp;row=645&amp;col=7&amp;number=0.0164&amp;sourceID=14","0.0164")</f>
        <v>0.0164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HYPERLINK("http://141.218.60.56/~jnz1568/getInfo.php?workbook=10_05.xlsx&amp;sheet=U0&amp;row=646&amp;col=6&amp;number=3.2&amp;sourceID=14","3.2")</f>
        <v>3.2</v>
      </c>
      <c r="G646" s="4" t="str">
        <f>HYPERLINK("http://141.218.60.56/~jnz1568/getInfo.php?workbook=10_05.xlsx&amp;sheet=U0&amp;row=646&amp;col=7&amp;number=0.0164&amp;sourceID=14","0.0164")</f>
        <v>0.0164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HYPERLINK("http://141.218.60.56/~jnz1568/getInfo.php?workbook=10_05.xlsx&amp;sheet=U0&amp;row=647&amp;col=6&amp;number=3.3&amp;sourceID=14","3.3")</f>
        <v>3.3</v>
      </c>
      <c r="G647" s="4" t="str">
        <f>HYPERLINK("http://141.218.60.56/~jnz1568/getInfo.php?workbook=10_05.xlsx&amp;sheet=U0&amp;row=647&amp;col=7&amp;number=0.0165&amp;sourceID=14","0.0165")</f>
        <v>0.0165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HYPERLINK("http://141.218.60.56/~jnz1568/getInfo.php?workbook=10_05.xlsx&amp;sheet=U0&amp;row=648&amp;col=6&amp;number=3.4&amp;sourceID=14","3.4")</f>
        <v>3.4</v>
      </c>
      <c r="G648" s="4" t="str">
        <f>HYPERLINK("http://141.218.60.56/~jnz1568/getInfo.php?workbook=10_05.xlsx&amp;sheet=U0&amp;row=648&amp;col=7&amp;number=0.0166&amp;sourceID=14","0.0166")</f>
        <v>0.0166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HYPERLINK("http://141.218.60.56/~jnz1568/getInfo.php?workbook=10_05.xlsx&amp;sheet=U0&amp;row=649&amp;col=6&amp;number=3.5&amp;sourceID=14","3.5")</f>
        <v>3.5</v>
      </c>
      <c r="G649" s="4" t="str">
        <f>HYPERLINK("http://141.218.60.56/~jnz1568/getInfo.php?workbook=10_05.xlsx&amp;sheet=U0&amp;row=649&amp;col=7&amp;number=0.0167&amp;sourceID=14","0.0167")</f>
        <v>0.0167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HYPERLINK("http://141.218.60.56/~jnz1568/getInfo.php?workbook=10_05.xlsx&amp;sheet=U0&amp;row=650&amp;col=6&amp;number=3.6&amp;sourceID=14","3.6")</f>
        <v>3.6</v>
      </c>
      <c r="G650" s="4" t="str">
        <f>HYPERLINK("http://141.218.60.56/~jnz1568/getInfo.php?workbook=10_05.xlsx&amp;sheet=U0&amp;row=650&amp;col=7&amp;number=0.0168&amp;sourceID=14","0.0168")</f>
        <v>0.0168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HYPERLINK("http://141.218.60.56/~jnz1568/getInfo.php?workbook=10_05.xlsx&amp;sheet=U0&amp;row=651&amp;col=6&amp;number=3.7&amp;sourceID=14","3.7")</f>
        <v>3.7</v>
      </c>
      <c r="G651" s="4" t="str">
        <f>HYPERLINK("http://141.218.60.56/~jnz1568/getInfo.php?workbook=10_05.xlsx&amp;sheet=U0&amp;row=651&amp;col=7&amp;number=0.0169&amp;sourceID=14","0.0169")</f>
        <v>0.0169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HYPERLINK("http://141.218.60.56/~jnz1568/getInfo.php?workbook=10_05.xlsx&amp;sheet=U0&amp;row=652&amp;col=6&amp;number=3.8&amp;sourceID=14","3.8")</f>
        <v>3.8</v>
      </c>
      <c r="G652" s="4" t="str">
        <f>HYPERLINK("http://141.218.60.56/~jnz1568/getInfo.php?workbook=10_05.xlsx&amp;sheet=U0&amp;row=652&amp;col=7&amp;number=0.017&amp;sourceID=14","0.017")</f>
        <v>0.017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HYPERLINK("http://141.218.60.56/~jnz1568/getInfo.php?workbook=10_05.xlsx&amp;sheet=U0&amp;row=653&amp;col=6&amp;number=3.9&amp;sourceID=14","3.9")</f>
        <v>3.9</v>
      </c>
      <c r="G653" s="4" t="str">
        <f>HYPERLINK("http://141.218.60.56/~jnz1568/getInfo.php?workbook=10_05.xlsx&amp;sheet=U0&amp;row=653&amp;col=7&amp;number=0.0172&amp;sourceID=14","0.0172")</f>
        <v>0.0172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HYPERLINK("http://141.218.60.56/~jnz1568/getInfo.php?workbook=10_05.xlsx&amp;sheet=U0&amp;row=654&amp;col=6&amp;number=4&amp;sourceID=14","4")</f>
        <v>4</v>
      </c>
      <c r="G654" s="4" t="str">
        <f>HYPERLINK("http://141.218.60.56/~jnz1568/getInfo.php?workbook=10_05.xlsx&amp;sheet=U0&amp;row=654&amp;col=7&amp;number=0.0174&amp;sourceID=14","0.0174")</f>
        <v>0.0174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HYPERLINK("http://141.218.60.56/~jnz1568/getInfo.php?workbook=10_05.xlsx&amp;sheet=U0&amp;row=655&amp;col=6&amp;number=4.1&amp;sourceID=14","4.1")</f>
        <v>4.1</v>
      </c>
      <c r="G655" s="4" t="str">
        <f>HYPERLINK("http://141.218.60.56/~jnz1568/getInfo.php?workbook=10_05.xlsx&amp;sheet=U0&amp;row=655&amp;col=7&amp;number=0.0175&amp;sourceID=14","0.0175")</f>
        <v>0.0175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HYPERLINK("http://141.218.60.56/~jnz1568/getInfo.php?workbook=10_05.xlsx&amp;sheet=U0&amp;row=656&amp;col=6&amp;number=4.2&amp;sourceID=14","4.2")</f>
        <v>4.2</v>
      </c>
      <c r="G656" s="4" t="str">
        <f>HYPERLINK("http://141.218.60.56/~jnz1568/getInfo.php?workbook=10_05.xlsx&amp;sheet=U0&amp;row=656&amp;col=7&amp;number=0.0176&amp;sourceID=14","0.0176")</f>
        <v>0.0176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HYPERLINK("http://141.218.60.56/~jnz1568/getInfo.php?workbook=10_05.xlsx&amp;sheet=U0&amp;row=657&amp;col=6&amp;number=4.3&amp;sourceID=14","4.3")</f>
        <v>4.3</v>
      </c>
      <c r="G657" s="4" t="str">
        <f>HYPERLINK("http://141.218.60.56/~jnz1568/getInfo.php?workbook=10_05.xlsx&amp;sheet=U0&amp;row=657&amp;col=7&amp;number=0.0174&amp;sourceID=14","0.0174")</f>
        <v>0.0174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HYPERLINK("http://141.218.60.56/~jnz1568/getInfo.php?workbook=10_05.xlsx&amp;sheet=U0&amp;row=658&amp;col=6&amp;number=4.4&amp;sourceID=14","4.4")</f>
        <v>4.4</v>
      </c>
      <c r="G658" s="4" t="str">
        <f>HYPERLINK("http://141.218.60.56/~jnz1568/getInfo.php?workbook=10_05.xlsx&amp;sheet=U0&amp;row=658&amp;col=7&amp;number=0.017&amp;sourceID=14","0.017")</f>
        <v>0.017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HYPERLINK("http://141.218.60.56/~jnz1568/getInfo.php?workbook=10_05.xlsx&amp;sheet=U0&amp;row=659&amp;col=6&amp;number=4.5&amp;sourceID=14","4.5")</f>
        <v>4.5</v>
      </c>
      <c r="G659" s="4" t="str">
        <f>HYPERLINK("http://141.218.60.56/~jnz1568/getInfo.php?workbook=10_05.xlsx&amp;sheet=U0&amp;row=659&amp;col=7&amp;number=0.0162&amp;sourceID=14","0.0162")</f>
        <v>0.0162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HYPERLINK("http://141.218.60.56/~jnz1568/getInfo.php?workbook=10_05.xlsx&amp;sheet=U0&amp;row=660&amp;col=6&amp;number=4.6&amp;sourceID=14","4.6")</f>
        <v>4.6</v>
      </c>
      <c r="G660" s="4" t="str">
        <f>HYPERLINK("http://141.218.60.56/~jnz1568/getInfo.php?workbook=10_05.xlsx&amp;sheet=U0&amp;row=660&amp;col=7&amp;number=0.0153&amp;sourceID=14","0.0153")</f>
        <v>0.0153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HYPERLINK("http://141.218.60.56/~jnz1568/getInfo.php?workbook=10_05.xlsx&amp;sheet=U0&amp;row=661&amp;col=6&amp;number=4.7&amp;sourceID=14","4.7")</f>
        <v>4.7</v>
      </c>
      <c r="G661" s="4" t="str">
        <f>HYPERLINK("http://141.218.60.56/~jnz1568/getInfo.php?workbook=10_05.xlsx&amp;sheet=U0&amp;row=661&amp;col=7&amp;number=0.0144&amp;sourceID=14","0.0144")</f>
        <v>0.0144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HYPERLINK("http://141.218.60.56/~jnz1568/getInfo.php?workbook=10_05.xlsx&amp;sheet=U0&amp;row=662&amp;col=6&amp;number=4.8&amp;sourceID=14","4.8")</f>
        <v>4.8</v>
      </c>
      <c r="G662" s="4" t="str">
        <f>HYPERLINK("http://141.218.60.56/~jnz1568/getInfo.php?workbook=10_05.xlsx&amp;sheet=U0&amp;row=662&amp;col=7&amp;number=0.0136&amp;sourceID=14","0.0136")</f>
        <v>0.0136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HYPERLINK("http://141.218.60.56/~jnz1568/getInfo.php?workbook=10_05.xlsx&amp;sheet=U0&amp;row=663&amp;col=6&amp;number=4.9&amp;sourceID=14","4.9")</f>
        <v>4.9</v>
      </c>
      <c r="G663" s="4" t="str">
        <f>HYPERLINK("http://141.218.60.56/~jnz1568/getInfo.php?workbook=10_05.xlsx&amp;sheet=U0&amp;row=663&amp;col=7&amp;number=0.0128&amp;sourceID=14","0.0128")</f>
        <v>0.0128</v>
      </c>
    </row>
    <row r="664" spans="1:7">
      <c r="A664" s="3">
        <v>10</v>
      </c>
      <c r="B664" s="3">
        <v>5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HYPERLINK("http://141.218.60.56/~jnz1568/getInfo.php?workbook=10_05.xlsx&amp;sheet=U0&amp;row=664&amp;col=6&amp;number=3&amp;sourceID=14","3")</f>
        <v>3</v>
      </c>
      <c r="G664" s="4" t="str">
        <f>HYPERLINK("http://141.218.60.56/~jnz1568/getInfo.php?workbook=10_05.xlsx&amp;sheet=U0&amp;row=664&amp;col=7&amp;number=0.019&amp;sourceID=14","0.019")</f>
        <v>0.019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HYPERLINK("http://141.218.60.56/~jnz1568/getInfo.php?workbook=10_05.xlsx&amp;sheet=U0&amp;row=665&amp;col=6&amp;number=3.1&amp;sourceID=14","3.1")</f>
        <v>3.1</v>
      </c>
      <c r="G665" s="4" t="str">
        <f>HYPERLINK("http://141.218.60.56/~jnz1568/getInfo.php?workbook=10_05.xlsx&amp;sheet=U0&amp;row=665&amp;col=7&amp;number=0.019&amp;sourceID=14","0.019")</f>
        <v>0.019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HYPERLINK("http://141.218.60.56/~jnz1568/getInfo.php?workbook=10_05.xlsx&amp;sheet=U0&amp;row=666&amp;col=6&amp;number=3.2&amp;sourceID=14","3.2")</f>
        <v>3.2</v>
      </c>
      <c r="G666" s="4" t="str">
        <f>HYPERLINK("http://141.218.60.56/~jnz1568/getInfo.php?workbook=10_05.xlsx&amp;sheet=U0&amp;row=666&amp;col=7&amp;number=0.019&amp;sourceID=14","0.019")</f>
        <v>0.019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HYPERLINK("http://141.218.60.56/~jnz1568/getInfo.php?workbook=10_05.xlsx&amp;sheet=U0&amp;row=667&amp;col=6&amp;number=3.3&amp;sourceID=14","3.3")</f>
        <v>3.3</v>
      </c>
      <c r="G667" s="4" t="str">
        <f>HYPERLINK("http://141.218.60.56/~jnz1568/getInfo.php?workbook=10_05.xlsx&amp;sheet=U0&amp;row=667&amp;col=7&amp;number=0.019&amp;sourceID=14","0.019")</f>
        <v>0.019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HYPERLINK("http://141.218.60.56/~jnz1568/getInfo.php?workbook=10_05.xlsx&amp;sheet=U0&amp;row=668&amp;col=6&amp;number=3.4&amp;sourceID=14","3.4")</f>
        <v>3.4</v>
      </c>
      <c r="G668" s="4" t="str">
        <f>HYPERLINK("http://141.218.60.56/~jnz1568/getInfo.php?workbook=10_05.xlsx&amp;sheet=U0&amp;row=668&amp;col=7&amp;number=0.019&amp;sourceID=14","0.019")</f>
        <v>0.019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HYPERLINK("http://141.218.60.56/~jnz1568/getInfo.php?workbook=10_05.xlsx&amp;sheet=U0&amp;row=669&amp;col=6&amp;number=3.5&amp;sourceID=14","3.5")</f>
        <v>3.5</v>
      </c>
      <c r="G669" s="4" t="str">
        <f>HYPERLINK("http://141.218.60.56/~jnz1568/getInfo.php?workbook=10_05.xlsx&amp;sheet=U0&amp;row=669&amp;col=7&amp;number=0.019&amp;sourceID=14","0.019")</f>
        <v>0.019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HYPERLINK("http://141.218.60.56/~jnz1568/getInfo.php?workbook=10_05.xlsx&amp;sheet=U0&amp;row=670&amp;col=6&amp;number=3.6&amp;sourceID=14","3.6")</f>
        <v>3.6</v>
      </c>
      <c r="G670" s="4" t="str">
        <f>HYPERLINK("http://141.218.60.56/~jnz1568/getInfo.php?workbook=10_05.xlsx&amp;sheet=U0&amp;row=670&amp;col=7&amp;number=0.019&amp;sourceID=14","0.019")</f>
        <v>0.019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HYPERLINK("http://141.218.60.56/~jnz1568/getInfo.php?workbook=10_05.xlsx&amp;sheet=U0&amp;row=671&amp;col=6&amp;number=3.7&amp;sourceID=14","3.7")</f>
        <v>3.7</v>
      </c>
      <c r="G671" s="4" t="str">
        <f>HYPERLINK("http://141.218.60.56/~jnz1568/getInfo.php?workbook=10_05.xlsx&amp;sheet=U0&amp;row=671&amp;col=7&amp;number=0.019&amp;sourceID=14","0.019")</f>
        <v>0.019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HYPERLINK("http://141.218.60.56/~jnz1568/getInfo.php?workbook=10_05.xlsx&amp;sheet=U0&amp;row=672&amp;col=6&amp;number=3.8&amp;sourceID=14","3.8")</f>
        <v>3.8</v>
      </c>
      <c r="G672" s="4" t="str">
        <f>HYPERLINK("http://141.218.60.56/~jnz1568/getInfo.php?workbook=10_05.xlsx&amp;sheet=U0&amp;row=672&amp;col=7&amp;number=0.019&amp;sourceID=14","0.019")</f>
        <v>0.019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HYPERLINK("http://141.218.60.56/~jnz1568/getInfo.php?workbook=10_05.xlsx&amp;sheet=U0&amp;row=673&amp;col=6&amp;number=3.9&amp;sourceID=14","3.9")</f>
        <v>3.9</v>
      </c>
      <c r="G673" s="4" t="str">
        <f>HYPERLINK("http://141.218.60.56/~jnz1568/getInfo.php?workbook=10_05.xlsx&amp;sheet=U0&amp;row=673&amp;col=7&amp;number=0.0189&amp;sourceID=14","0.0189")</f>
        <v>0.0189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HYPERLINK("http://141.218.60.56/~jnz1568/getInfo.php?workbook=10_05.xlsx&amp;sheet=U0&amp;row=674&amp;col=6&amp;number=4&amp;sourceID=14","4")</f>
        <v>4</v>
      </c>
      <c r="G674" s="4" t="str">
        <f>HYPERLINK("http://141.218.60.56/~jnz1568/getInfo.php?workbook=10_05.xlsx&amp;sheet=U0&amp;row=674&amp;col=7&amp;number=0.0189&amp;sourceID=14","0.0189")</f>
        <v>0.0189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HYPERLINK("http://141.218.60.56/~jnz1568/getInfo.php?workbook=10_05.xlsx&amp;sheet=U0&amp;row=675&amp;col=6&amp;number=4.1&amp;sourceID=14","4.1")</f>
        <v>4.1</v>
      </c>
      <c r="G675" s="4" t="str">
        <f>HYPERLINK("http://141.218.60.56/~jnz1568/getInfo.php?workbook=10_05.xlsx&amp;sheet=U0&amp;row=675&amp;col=7&amp;number=0.0188&amp;sourceID=14","0.0188")</f>
        <v>0.0188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HYPERLINK("http://141.218.60.56/~jnz1568/getInfo.php?workbook=10_05.xlsx&amp;sheet=U0&amp;row=676&amp;col=6&amp;number=4.2&amp;sourceID=14","4.2")</f>
        <v>4.2</v>
      </c>
      <c r="G676" s="4" t="str">
        <f>HYPERLINK("http://141.218.60.56/~jnz1568/getInfo.php?workbook=10_05.xlsx&amp;sheet=U0&amp;row=676&amp;col=7&amp;number=0.0185&amp;sourceID=14","0.0185")</f>
        <v>0.0185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HYPERLINK("http://141.218.60.56/~jnz1568/getInfo.php?workbook=10_05.xlsx&amp;sheet=U0&amp;row=677&amp;col=6&amp;number=4.3&amp;sourceID=14","4.3")</f>
        <v>4.3</v>
      </c>
      <c r="G677" s="4" t="str">
        <f>HYPERLINK("http://141.218.60.56/~jnz1568/getInfo.php?workbook=10_05.xlsx&amp;sheet=U0&amp;row=677&amp;col=7&amp;number=0.0182&amp;sourceID=14","0.0182")</f>
        <v>0.0182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HYPERLINK("http://141.218.60.56/~jnz1568/getInfo.php?workbook=10_05.xlsx&amp;sheet=U0&amp;row=678&amp;col=6&amp;number=4.4&amp;sourceID=14","4.4")</f>
        <v>4.4</v>
      </c>
      <c r="G678" s="4" t="str">
        <f>HYPERLINK("http://141.218.60.56/~jnz1568/getInfo.php?workbook=10_05.xlsx&amp;sheet=U0&amp;row=678&amp;col=7&amp;number=0.0176&amp;sourceID=14","0.0176")</f>
        <v>0.0176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HYPERLINK("http://141.218.60.56/~jnz1568/getInfo.php?workbook=10_05.xlsx&amp;sheet=U0&amp;row=679&amp;col=6&amp;number=4.5&amp;sourceID=14","4.5")</f>
        <v>4.5</v>
      </c>
      <c r="G679" s="4" t="str">
        <f>HYPERLINK("http://141.218.60.56/~jnz1568/getInfo.php?workbook=10_05.xlsx&amp;sheet=U0&amp;row=679&amp;col=7&amp;number=0.0167&amp;sourceID=14","0.0167")</f>
        <v>0.0167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HYPERLINK("http://141.218.60.56/~jnz1568/getInfo.php?workbook=10_05.xlsx&amp;sheet=U0&amp;row=680&amp;col=6&amp;number=4.6&amp;sourceID=14","4.6")</f>
        <v>4.6</v>
      </c>
      <c r="G680" s="4" t="str">
        <f>HYPERLINK("http://141.218.60.56/~jnz1568/getInfo.php?workbook=10_05.xlsx&amp;sheet=U0&amp;row=680&amp;col=7&amp;number=0.0156&amp;sourceID=14","0.0156")</f>
        <v>0.0156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HYPERLINK("http://141.218.60.56/~jnz1568/getInfo.php?workbook=10_05.xlsx&amp;sheet=U0&amp;row=681&amp;col=6&amp;number=4.7&amp;sourceID=14","4.7")</f>
        <v>4.7</v>
      </c>
      <c r="G681" s="4" t="str">
        <f>HYPERLINK("http://141.218.60.56/~jnz1568/getInfo.php?workbook=10_05.xlsx&amp;sheet=U0&amp;row=681&amp;col=7&amp;number=0.0145&amp;sourceID=14","0.0145")</f>
        <v>0.0145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HYPERLINK("http://141.218.60.56/~jnz1568/getInfo.php?workbook=10_05.xlsx&amp;sheet=U0&amp;row=682&amp;col=6&amp;number=4.8&amp;sourceID=14","4.8")</f>
        <v>4.8</v>
      </c>
      <c r="G682" s="4" t="str">
        <f>HYPERLINK("http://141.218.60.56/~jnz1568/getInfo.php?workbook=10_05.xlsx&amp;sheet=U0&amp;row=682&amp;col=7&amp;number=0.0135&amp;sourceID=14","0.0135")</f>
        <v>0.0135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HYPERLINK("http://141.218.60.56/~jnz1568/getInfo.php?workbook=10_05.xlsx&amp;sheet=U0&amp;row=683&amp;col=6&amp;number=4.9&amp;sourceID=14","4.9")</f>
        <v>4.9</v>
      </c>
      <c r="G683" s="4" t="str">
        <f>HYPERLINK("http://141.218.60.56/~jnz1568/getInfo.php?workbook=10_05.xlsx&amp;sheet=U0&amp;row=683&amp;col=7&amp;number=0.0124&amp;sourceID=14","0.0124")</f>
        <v>0.0124</v>
      </c>
    </row>
    <row r="684" spans="1:7">
      <c r="A684" s="3">
        <v>10</v>
      </c>
      <c r="B684" s="3">
        <v>5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HYPERLINK("http://141.218.60.56/~jnz1568/getInfo.php?workbook=10_05.xlsx&amp;sheet=U0&amp;row=684&amp;col=6&amp;number=3&amp;sourceID=14","3")</f>
        <v>3</v>
      </c>
      <c r="G684" s="4" t="str">
        <f>HYPERLINK("http://141.218.60.56/~jnz1568/getInfo.php?workbook=10_05.xlsx&amp;sheet=U0&amp;row=684&amp;col=7&amp;number=0.0752&amp;sourceID=14","0.0752")</f>
        <v>0.0752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HYPERLINK("http://141.218.60.56/~jnz1568/getInfo.php?workbook=10_05.xlsx&amp;sheet=U0&amp;row=685&amp;col=6&amp;number=3.1&amp;sourceID=14","3.1")</f>
        <v>3.1</v>
      </c>
      <c r="G685" s="4" t="str">
        <f>HYPERLINK("http://141.218.60.56/~jnz1568/getInfo.php?workbook=10_05.xlsx&amp;sheet=U0&amp;row=685&amp;col=7&amp;number=0.0751&amp;sourceID=14","0.0751")</f>
        <v>0.0751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HYPERLINK("http://141.218.60.56/~jnz1568/getInfo.php?workbook=10_05.xlsx&amp;sheet=U0&amp;row=686&amp;col=6&amp;number=3.2&amp;sourceID=14","3.2")</f>
        <v>3.2</v>
      </c>
      <c r="G686" s="4" t="str">
        <f>HYPERLINK("http://141.218.60.56/~jnz1568/getInfo.php?workbook=10_05.xlsx&amp;sheet=U0&amp;row=686&amp;col=7&amp;number=0.0749&amp;sourceID=14","0.0749")</f>
        <v>0.0749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HYPERLINK("http://141.218.60.56/~jnz1568/getInfo.php?workbook=10_05.xlsx&amp;sheet=U0&amp;row=687&amp;col=6&amp;number=3.3&amp;sourceID=14","3.3")</f>
        <v>3.3</v>
      </c>
      <c r="G687" s="4" t="str">
        <f>HYPERLINK("http://141.218.60.56/~jnz1568/getInfo.php?workbook=10_05.xlsx&amp;sheet=U0&amp;row=687&amp;col=7&amp;number=0.0747&amp;sourceID=14","0.0747")</f>
        <v>0.0747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HYPERLINK("http://141.218.60.56/~jnz1568/getInfo.php?workbook=10_05.xlsx&amp;sheet=U0&amp;row=688&amp;col=6&amp;number=3.4&amp;sourceID=14","3.4")</f>
        <v>3.4</v>
      </c>
      <c r="G688" s="4" t="str">
        <f>HYPERLINK("http://141.218.60.56/~jnz1568/getInfo.php?workbook=10_05.xlsx&amp;sheet=U0&amp;row=688&amp;col=7&amp;number=0.0744&amp;sourceID=14","0.0744")</f>
        <v>0.0744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HYPERLINK("http://141.218.60.56/~jnz1568/getInfo.php?workbook=10_05.xlsx&amp;sheet=U0&amp;row=689&amp;col=6&amp;number=3.5&amp;sourceID=14","3.5")</f>
        <v>3.5</v>
      </c>
      <c r="G689" s="4" t="str">
        <f>HYPERLINK("http://141.218.60.56/~jnz1568/getInfo.php?workbook=10_05.xlsx&amp;sheet=U0&amp;row=689&amp;col=7&amp;number=0.0741&amp;sourceID=14","0.0741")</f>
        <v>0.0741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HYPERLINK("http://141.218.60.56/~jnz1568/getInfo.php?workbook=10_05.xlsx&amp;sheet=U0&amp;row=690&amp;col=6&amp;number=3.6&amp;sourceID=14","3.6")</f>
        <v>3.6</v>
      </c>
      <c r="G690" s="4" t="str">
        <f>HYPERLINK("http://141.218.60.56/~jnz1568/getInfo.php?workbook=10_05.xlsx&amp;sheet=U0&amp;row=690&amp;col=7&amp;number=0.0737&amp;sourceID=14","0.0737")</f>
        <v>0.0737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HYPERLINK("http://141.218.60.56/~jnz1568/getInfo.php?workbook=10_05.xlsx&amp;sheet=U0&amp;row=691&amp;col=6&amp;number=3.7&amp;sourceID=14","3.7")</f>
        <v>3.7</v>
      </c>
      <c r="G691" s="4" t="str">
        <f>HYPERLINK("http://141.218.60.56/~jnz1568/getInfo.php?workbook=10_05.xlsx&amp;sheet=U0&amp;row=691&amp;col=7&amp;number=0.0731&amp;sourceID=14","0.0731")</f>
        <v>0.0731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HYPERLINK("http://141.218.60.56/~jnz1568/getInfo.php?workbook=10_05.xlsx&amp;sheet=U0&amp;row=692&amp;col=6&amp;number=3.8&amp;sourceID=14","3.8")</f>
        <v>3.8</v>
      </c>
      <c r="G692" s="4" t="str">
        <f>HYPERLINK("http://141.218.60.56/~jnz1568/getInfo.php?workbook=10_05.xlsx&amp;sheet=U0&amp;row=692&amp;col=7&amp;number=0.0725&amp;sourceID=14","0.0725")</f>
        <v>0.0725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HYPERLINK("http://141.218.60.56/~jnz1568/getInfo.php?workbook=10_05.xlsx&amp;sheet=U0&amp;row=693&amp;col=6&amp;number=3.9&amp;sourceID=14","3.9")</f>
        <v>3.9</v>
      </c>
      <c r="G693" s="4" t="str">
        <f>HYPERLINK("http://141.218.60.56/~jnz1568/getInfo.php?workbook=10_05.xlsx&amp;sheet=U0&amp;row=693&amp;col=7&amp;number=0.0716&amp;sourceID=14","0.0716")</f>
        <v>0.0716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HYPERLINK("http://141.218.60.56/~jnz1568/getInfo.php?workbook=10_05.xlsx&amp;sheet=U0&amp;row=694&amp;col=6&amp;number=4&amp;sourceID=14","4")</f>
        <v>4</v>
      </c>
      <c r="G694" s="4" t="str">
        <f>HYPERLINK("http://141.218.60.56/~jnz1568/getInfo.php?workbook=10_05.xlsx&amp;sheet=U0&amp;row=694&amp;col=7&amp;number=0.0706&amp;sourceID=14","0.0706")</f>
        <v>0.0706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HYPERLINK("http://141.218.60.56/~jnz1568/getInfo.php?workbook=10_05.xlsx&amp;sheet=U0&amp;row=695&amp;col=6&amp;number=4.1&amp;sourceID=14","4.1")</f>
        <v>4.1</v>
      </c>
      <c r="G695" s="4" t="str">
        <f>HYPERLINK("http://141.218.60.56/~jnz1568/getInfo.php?workbook=10_05.xlsx&amp;sheet=U0&amp;row=695&amp;col=7&amp;number=0.0694&amp;sourceID=14","0.0694")</f>
        <v>0.0694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HYPERLINK("http://141.218.60.56/~jnz1568/getInfo.php?workbook=10_05.xlsx&amp;sheet=U0&amp;row=696&amp;col=6&amp;number=4.2&amp;sourceID=14","4.2")</f>
        <v>4.2</v>
      </c>
      <c r="G696" s="4" t="str">
        <f>HYPERLINK("http://141.218.60.56/~jnz1568/getInfo.php?workbook=10_05.xlsx&amp;sheet=U0&amp;row=696&amp;col=7&amp;number=0.0678&amp;sourceID=14","0.0678")</f>
        <v>0.0678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HYPERLINK("http://141.218.60.56/~jnz1568/getInfo.php?workbook=10_05.xlsx&amp;sheet=U0&amp;row=697&amp;col=6&amp;number=4.3&amp;sourceID=14","4.3")</f>
        <v>4.3</v>
      </c>
      <c r="G697" s="4" t="str">
        <f>HYPERLINK("http://141.218.60.56/~jnz1568/getInfo.php?workbook=10_05.xlsx&amp;sheet=U0&amp;row=697&amp;col=7&amp;number=0.066&amp;sourceID=14","0.066")</f>
        <v>0.066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HYPERLINK("http://141.218.60.56/~jnz1568/getInfo.php?workbook=10_05.xlsx&amp;sheet=U0&amp;row=698&amp;col=6&amp;number=4.4&amp;sourceID=14","4.4")</f>
        <v>4.4</v>
      </c>
      <c r="G698" s="4" t="str">
        <f>HYPERLINK("http://141.218.60.56/~jnz1568/getInfo.php?workbook=10_05.xlsx&amp;sheet=U0&amp;row=698&amp;col=7&amp;number=0.0638&amp;sourceID=14","0.0638")</f>
        <v>0.0638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HYPERLINK("http://141.218.60.56/~jnz1568/getInfo.php?workbook=10_05.xlsx&amp;sheet=U0&amp;row=699&amp;col=6&amp;number=4.5&amp;sourceID=14","4.5")</f>
        <v>4.5</v>
      </c>
      <c r="G699" s="4" t="str">
        <f>HYPERLINK("http://141.218.60.56/~jnz1568/getInfo.php?workbook=10_05.xlsx&amp;sheet=U0&amp;row=699&amp;col=7&amp;number=0.0613&amp;sourceID=14","0.0613")</f>
        <v>0.0613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HYPERLINK("http://141.218.60.56/~jnz1568/getInfo.php?workbook=10_05.xlsx&amp;sheet=U0&amp;row=700&amp;col=6&amp;number=4.6&amp;sourceID=14","4.6")</f>
        <v>4.6</v>
      </c>
      <c r="G700" s="4" t="str">
        <f>HYPERLINK("http://141.218.60.56/~jnz1568/getInfo.php?workbook=10_05.xlsx&amp;sheet=U0&amp;row=700&amp;col=7&amp;number=0.0586&amp;sourceID=14","0.0586")</f>
        <v>0.0586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HYPERLINK("http://141.218.60.56/~jnz1568/getInfo.php?workbook=10_05.xlsx&amp;sheet=U0&amp;row=701&amp;col=6&amp;number=4.7&amp;sourceID=14","4.7")</f>
        <v>4.7</v>
      </c>
      <c r="G701" s="4" t="str">
        <f>HYPERLINK("http://141.218.60.56/~jnz1568/getInfo.php?workbook=10_05.xlsx&amp;sheet=U0&amp;row=701&amp;col=7&amp;number=0.0556&amp;sourceID=14","0.0556")</f>
        <v>0.0556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HYPERLINK("http://141.218.60.56/~jnz1568/getInfo.php?workbook=10_05.xlsx&amp;sheet=U0&amp;row=702&amp;col=6&amp;number=4.8&amp;sourceID=14","4.8")</f>
        <v>4.8</v>
      </c>
      <c r="G702" s="4" t="str">
        <f>HYPERLINK("http://141.218.60.56/~jnz1568/getInfo.php?workbook=10_05.xlsx&amp;sheet=U0&amp;row=702&amp;col=7&amp;number=0.0527&amp;sourceID=14","0.0527")</f>
        <v>0.0527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HYPERLINK("http://141.218.60.56/~jnz1568/getInfo.php?workbook=10_05.xlsx&amp;sheet=U0&amp;row=703&amp;col=6&amp;number=4.9&amp;sourceID=14","4.9")</f>
        <v>4.9</v>
      </c>
      <c r="G703" s="4" t="str">
        <f>HYPERLINK("http://141.218.60.56/~jnz1568/getInfo.php?workbook=10_05.xlsx&amp;sheet=U0&amp;row=703&amp;col=7&amp;number=0.0498&amp;sourceID=14","0.0498")</f>
        <v>0.0498</v>
      </c>
    </row>
    <row r="704" spans="1:7">
      <c r="A704" s="3">
        <v>10</v>
      </c>
      <c r="B704" s="3">
        <v>5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HYPERLINK("http://141.218.60.56/~jnz1568/getInfo.php?workbook=10_05.xlsx&amp;sheet=U0&amp;row=704&amp;col=6&amp;number=3&amp;sourceID=14","3")</f>
        <v>3</v>
      </c>
      <c r="G704" s="4" t="str">
        <f>HYPERLINK("http://141.218.60.56/~jnz1568/getInfo.php?workbook=10_05.xlsx&amp;sheet=U0&amp;row=704&amp;col=7&amp;number=0.0388&amp;sourceID=14","0.0388")</f>
        <v>0.0388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HYPERLINK("http://141.218.60.56/~jnz1568/getInfo.php?workbook=10_05.xlsx&amp;sheet=U0&amp;row=705&amp;col=6&amp;number=3.1&amp;sourceID=14","3.1")</f>
        <v>3.1</v>
      </c>
      <c r="G705" s="4" t="str">
        <f>HYPERLINK("http://141.218.60.56/~jnz1568/getInfo.php?workbook=10_05.xlsx&amp;sheet=U0&amp;row=705&amp;col=7&amp;number=0.0387&amp;sourceID=14","0.0387")</f>
        <v>0.0387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HYPERLINK("http://141.218.60.56/~jnz1568/getInfo.php?workbook=10_05.xlsx&amp;sheet=U0&amp;row=706&amp;col=6&amp;number=3.2&amp;sourceID=14","3.2")</f>
        <v>3.2</v>
      </c>
      <c r="G706" s="4" t="str">
        <f>HYPERLINK("http://141.218.60.56/~jnz1568/getInfo.php?workbook=10_05.xlsx&amp;sheet=U0&amp;row=706&amp;col=7&amp;number=0.0386&amp;sourceID=14","0.0386")</f>
        <v>0.0386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HYPERLINK("http://141.218.60.56/~jnz1568/getInfo.php?workbook=10_05.xlsx&amp;sheet=U0&amp;row=707&amp;col=6&amp;number=3.3&amp;sourceID=14","3.3")</f>
        <v>3.3</v>
      </c>
      <c r="G707" s="4" t="str">
        <f>HYPERLINK("http://141.218.60.56/~jnz1568/getInfo.php?workbook=10_05.xlsx&amp;sheet=U0&amp;row=707&amp;col=7&amp;number=0.0385&amp;sourceID=14","0.0385")</f>
        <v>0.0385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HYPERLINK("http://141.218.60.56/~jnz1568/getInfo.php?workbook=10_05.xlsx&amp;sheet=U0&amp;row=708&amp;col=6&amp;number=3.4&amp;sourceID=14","3.4")</f>
        <v>3.4</v>
      </c>
      <c r="G708" s="4" t="str">
        <f>HYPERLINK("http://141.218.60.56/~jnz1568/getInfo.php?workbook=10_05.xlsx&amp;sheet=U0&amp;row=708&amp;col=7&amp;number=0.0383&amp;sourceID=14","0.0383")</f>
        <v>0.0383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HYPERLINK("http://141.218.60.56/~jnz1568/getInfo.php?workbook=10_05.xlsx&amp;sheet=U0&amp;row=709&amp;col=6&amp;number=3.5&amp;sourceID=14","3.5")</f>
        <v>3.5</v>
      </c>
      <c r="G709" s="4" t="str">
        <f>HYPERLINK("http://141.218.60.56/~jnz1568/getInfo.php?workbook=10_05.xlsx&amp;sheet=U0&amp;row=709&amp;col=7&amp;number=0.0381&amp;sourceID=14","0.0381")</f>
        <v>0.0381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HYPERLINK("http://141.218.60.56/~jnz1568/getInfo.php?workbook=10_05.xlsx&amp;sheet=U0&amp;row=710&amp;col=6&amp;number=3.6&amp;sourceID=14","3.6")</f>
        <v>3.6</v>
      </c>
      <c r="G710" s="4" t="str">
        <f>HYPERLINK("http://141.218.60.56/~jnz1568/getInfo.php?workbook=10_05.xlsx&amp;sheet=U0&amp;row=710&amp;col=7&amp;number=0.0379&amp;sourceID=14","0.0379")</f>
        <v>0.0379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HYPERLINK("http://141.218.60.56/~jnz1568/getInfo.php?workbook=10_05.xlsx&amp;sheet=U0&amp;row=711&amp;col=6&amp;number=3.7&amp;sourceID=14","3.7")</f>
        <v>3.7</v>
      </c>
      <c r="G711" s="4" t="str">
        <f>HYPERLINK("http://141.218.60.56/~jnz1568/getInfo.php?workbook=10_05.xlsx&amp;sheet=U0&amp;row=711&amp;col=7&amp;number=0.0376&amp;sourceID=14","0.0376")</f>
        <v>0.0376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HYPERLINK("http://141.218.60.56/~jnz1568/getInfo.php?workbook=10_05.xlsx&amp;sheet=U0&amp;row=712&amp;col=6&amp;number=3.8&amp;sourceID=14","3.8")</f>
        <v>3.8</v>
      </c>
      <c r="G712" s="4" t="str">
        <f>HYPERLINK("http://141.218.60.56/~jnz1568/getInfo.php?workbook=10_05.xlsx&amp;sheet=U0&amp;row=712&amp;col=7&amp;number=0.0372&amp;sourceID=14","0.0372")</f>
        <v>0.0372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HYPERLINK("http://141.218.60.56/~jnz1568/getInfo.php?workbook=10_05.xlsx&amp;sheet=U0&amp;row=713&amp;col=6&amp;number=3.9&amp;sourceID=14","3.9")</f>
        <v>3.9</v>
      </c>
      <c r="G713" s="4" t="str">
        <f>HYPERLINK("http://141.218.60.56/~jnz1568/getInfo.php?workbook=10_05.xlsx&amp;sheet=U0&amp;row=713&amp;col=7&amp;number=0.0367&amp;sourceID=14","0.0367")</f>
        <v>0.0367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HYPERLINK("http://141.218.60.56/~jnz1568/getInfo.php?workbook=10_05.xlsx&amp;sheet=U0&amp;row=714&amp;col=6&amp;number=4&amp;sourceID=14","4")</f>
        <v>4</v>
      </c>
      <c r="G714" s="4" t="str">
        <f>HYPERLINK("http://141.218.60.56/~jnz1568/getInfo.php?workbook=10_05.xlsx&amp;sheet=U0&amp;row=714&amp;col=7&amp;number=0.0361&amp;sourceID=14","0.0361")</f>
        <v>0.0361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HYPERLINK("http://141.218.60.56/~jnz1568/getInfo.php?workbook=10_05.xlsx&amp;sheet=U0&amp;row=715&amp;col=6&amp;number=4.1&amp;sourceID=14","4.1")</f>
        <v>4.1</v>
      </c>
      <c r="G715" s="4" t="str">
        <f>HYPERLINK("http://141.218.60.56/~jnz1568/getInfo.php?workbook=10_05.xlsx&amp;sheet=U0&amp;row=715&amp;col=7&amp;number=0.0353&amp;sourceID=14","0.0353")</f>
        <v>0.0353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HYPERLINK("http://141.218.60.56/~jnz1568/getInfo.php?workbook=10_05.xlsx&amp;sheet=U0&amp;row=716&amp;col=6&amp;number=4.2&amp;sourceID=14","4.2")</f>
        <v>4.2</v>
      </c>
      <c r="G716" s="4" t="str">
        <f>HYPERLINK("http://141.218.60.56/~jnz1568/getInfo.php?workbook=10_05.xlsx&amp;sheet=U0&amp;row=716&amp;col=7&amp;number=0.0344&amp;sourceID=14","0.0344")</f>
        <v>0.0344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HYPERLINK("http://141.218.60.56/~jnz1568/getInfo.php?workbook=10_05.xlsx&amp;sheet=U0&amp;row=717&amp;col=6&amp;number=4.3&amp;sourceID=14","4.3")</f>
        <v>4.3</v>
      </c>
      <c r="G717" s="4" t="str">
        <f>HYPERLINK("http://141.218.60.56/~jnz1568/getInfo.php?workbook=10_05.xlsx&amp;sheet=U0&amp;row=717&amp;col=7&amp;number=0.0332&amp;sourceID=14","0.0332")</f>
        <v>0.0332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HYPERLINK("http://141.218.60.56/~jnz1568/getInfo.php?workbook=10_05.xlsx&amp;sheet=U0&amp;row=718&amp;col=6&amp;number=4.4&amp;sourceID=14","4.4")</f>
        <v>4.4</v>
      </c>
      <c r="G718" s="4" t="str">
        <f>HYPERLINK("http://141.218.60.56/~jnz1568/getInfo.php?workbook=10_05.xlsx&amp;sheet=U0&amp;row=718&amp;col=7&amp;number=0.0316&amp;sourceID=14","0.0316")</f>
        <v>0.0316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HYPERLINK("http://141.218.60.56/~jnz1568/getInfo.php?workbook=10_05.xlsx&amp;sheet=U0&amp;row=719&amp;col=6&amp;number=4.5&amp;sourceID=14","4.5")</f>
        <v>4.5</v>
      </c>
      <c r="G719" s="4" t="str">
        <f>HYPERLINK("http://141.218.60.56/~jnz1568/getInfo.php?workbook=10_05.xlsx&amp;sheet=U0&amp;row=719&amp;col=7&amp;number=0.0297&amp;sourceID=14","0.0297")</f>
        <v>0.0297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HYPERLINK("http://141.218.60.56/~jnz1568/getInfo.php?workbook=10_05.xlsx&amp;sheet=U0&amp;row=720&amp;col=6&amp;number=4.6&amp;sourceID=14","4.6")</f>
        <v>4.6</v>
      </c>
      <c r="G720" s="4" t="str">
        <f>HYPERLINK("http://141.218.60.56/~jnz1568/getInfo.php?workbook=10_05.xlsx&amp;sheet=U0&amp;row=720&amp;col=7&amp;number=0.0275&amp;sourceID=14","0.0275")</f>
        <v>0.0275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HYPERLINK("http://141.218.60.56/~jnz1568/getInfo.php?workbook=10_05.xlsx&amp;sheet=U0&amp;row=721&amp;col=6&amp;number=4.7&amp;sourceID=14","4.7")</f>
        <v>4.7</v>
      </c>
      <c r="G721" s="4" t="str">
        <f>HYPERLINK("http://141.218.60.56/~jnz1568/getInfo.php?workbook=10_05.xlsx&amp;sheet=U0&amp;row=721&amp;col=7&amp;number=0.0252&amp;sourceID=14","0.0252")</f>
        <v>0.0252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HYPERLINK("http://141.218.60.56/~jnz1568/getInfo.php?workbook=10_05.xlsx&amp;sheet=U0&amp;row=722&amp;col=6&amp;number=4.8&amp;sourceID=14","4.8")</f>
        <v>4.8</v>
      </c>
      <c r="G722" s="4" t="str">
        <f>HYPERLINK("http://141.218.60.56/~jnz1568/getInfo.php?workbook=10_05.xlsx&amp;sheet=U0&amp;row=722&amp;col=7&amp;number=0.023&amp;sourceID=14","0.023")</f>
        <v>0.023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HYPERLINK("http://141.218.60.56/~jnz1568/getInfo.php?workbook=10_05.xlsx&amp;sheet=U0&amp;row=723&amp;col=6&amp;number=4.9&amp;sourceID=14","4.9")</f>
        <v>4.9</v>
      </c>
      <c r="G723" s="4" t="str">
        <f>HYPERLINK("http://141.218.60.56/~jnz1568/getInfo.php?workbook=10_05.xlsx&amp;sheet=U0&amp;row=723&amp;col=7&amp;number=0.0207&amp;sourceID=14","0.0207")</f>
        <v>0.0207</v>
      </c>
    </row>
    <row r="724" spans="1:7">
      <c r="A724" s="3">
        <v>10</v>
      </c>
      <c r="B724" s="3">
        <v>5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HYPERLINK("http://141.218.60.56/~jnz1568/getInfo.php?workbook=10_05.xlsx&amp;sheet=U0&amp;row=724&amp;col=6&amp;number=3&amp;sourceID=14","3")</f>
        <v>3</v>
      </c>
      <c r="G724" s="4" t="str">
        <f>HYPERLINK("http://141.218.60.56/~jnz1568/getInfo.php?workbook=10_05.xlsx&amp;sheet=U0&amp;row=724&amp;col=7&amp;number=0.0296&amp;sourceID=14","0.0296")</f>
        <v>0.0296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HYPERLINK("http://141.218.60.56/~jnz1568/getInfo.php?workbook=10_05.xlsx&amp;sheet=U0&amp;row=725&amp;col=6&amp;number=3.1&amp;sourceID=14","3.1")</f>
        <v>3.1</v>
      </c>
      <c r="G725" s="4" t="str">
        <f>HYPERLINK("http://141.218.60.56/~jnz1568/getInfo.php?workbook=10_05.xlsx&amp;sheet=U0&amp;row=725&amp;col=7&amp;number=0.0295&amp;sourceID=14","0.0295")</f>
        <v>0.0295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HYPERLINK("http://141.218.60.56/~jnz1568/getInfo.php?workbook=10_05.xlsx&amp;sheet=U0&amp;row=726&amp;col=6&amp;number=3.2&amp;sourceID=14","3.2")</f>
        <v>3.2</v>
      </c>
      <c r="G726" s="4" t="str">
        <f>HYPERLINK("http://141.218.60.56/~jnz1568/getInfo.php?workbook=10_05.xlsx&amp;sheet=U0&amp;row=726&amp;col=7&amp;number=0.0295&amp;sourceID=14","0.0295")</f>
        <v>0.0295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HYPERLINK("http://141.218.60.56/~jnz1568/getInfo.php?workbook=10_05.xlsx&amp;sheet=U0&amp;row=727&amp;col=6&amp;number=3.3&amp;sourceID=14","3.3")</f>
        <v>3.3</v>
      </c>
      <c r="G727" s="4" t="str">
        <f>HYPERLINK("http://141.218.60.56/~jnz1568/getInfo.php?workbook=10_05.xlsx&amp;sheet=U0&amp;row=727&amp;col=7&amp;number=0.0294&amp;sourceID=14","0.0294")</f>
        <v>0.0294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HYPERLINK("http://141.218.60.56/~jnz1568/getInfo.php?workbook=10_05.xlsx&amp;sheet=U0&amp;row=728&amp;col=6&amp;number=3.4&amp;sourceID=14","3.4")</f>
        <v>3.4</v>
      </c>
      <c r="G728" s="4" t="str">
        <f>HYPERLINK("http://141.218.60.56/~jnz1568/getInfo.php?workbook=10_05.xlsx&amp;sheet=U0&amp;row=728&amp;col=7&amp;number=0.0294&amp;sourceID=14","0.0294")</f>
        <v>0.0294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HYPERLINK("http://141.218.60.56/~jnz1568/getInfo.php?workbook=10_05.xlsx&amp;sheet=U0&amp;row=729&amp;col=6&amp;number=3.5&amp;sourceID=14","3.5")</f>
        <v>3.5</v>
      </c>
      <c r="G729" s="4" t="str">
        <f>HYPERLINK("http://141.218.60.56/~jnz1568/getInfo.php?workbook=10_05.xlsx&amp;sheet=U0&amp;row=729&amp;col=7&amp;number=0.0293&amp;sourceID=14","0.0293")</f>
        <v>0.0293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HYPERLINK("http://141.218.60.56/~jnz1568/getInfo.php?workbook=10_05.xlsx&amp;sheet=U0&amp;row=730&amp;col=6&amp;number=3.6&amp;sourceID=14","3.6")</f>
        <v>3.6</v>
      </c>
      <c r="G730" s="4" t="str">
        <f>HYPERLINK("http://141.218.60.56/~jnz1568/getInfo.php?workbook=10_05.xlsx&amp;sheet=U0&amp;row=730&amp;col=7&amp;number=0.0292&amp;sourceID=14","0.0292")</f>
        <v>0.0292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HYPERLINK("http://141.218.60.56/~jnz1568/getInfo.php?workbook=10_05.xlsx&amp;sheet=U0&amp;row=731&amp;col=6&amp;number=3.7&amp;sourceID=14","3.7")</f>
        <v>3.7</v>
      </c>
      <c r="G731" s="4" t="str">
        <f>HYPERLINK("http://141.218.60.56/~jnz1568/getInfo.php?workbook=10_05.xlsx&amp;sheet=U0&amp;row=731&amp;col=7&amp;number=0.029&amp;sourceID=14","0.029")</f>
        <v>0.029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HYPERLINK("http://141.218.60.56/~jnz1568/getInfo.php?workbook=10_05.xlsx&amp;sheet=U0&amp;row=732&amp;col=6&amp;number=3.8&amp;sourceID=14","3.8")</f>
        <v>3.8</v>
      </c>
      <c r="G732" s="4" t="str">
        <f>HYPERLINK("http://141.218.60.56/~jnz1568/getInfo.php?workbook=10_05.xlsx&amp;sheet=U0&amp;row=732&amp;col=7&amp;number=0.0289&amp;sourceID=14","0.0289")</f>
        <v>0.0289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HYPERLINK("http://141.218.60.56/~jnz1568/getInfo.php?workbook=10_05.xlsx&amp;sheet=U0&amp;row=733&amp;col=6&amp;number=3.9&amp;sourceID=14","3.9")</f>
        <v>3.9</v>
      </c>
      <c r="G733" s="4" t="str">
        <f>HYPERLINK("http://141.218.60.56/~jnz1568/getInfo.php?workbook=10_05.xlsx&amp;sheet=U0&amp;row=733&amp;col=7&amp;number=0.0286&amp;sourceID=14","0.0286")</f>
        <v>0.0286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HYPERLINK("http://141.218.60.56/~jnz1568/getInfo.php?workbook=10_05.xlsx&amp;sheet=U0&amp;row=734&amp;col=6&amp;number=4&amp;sourceID=14","4")</f>
        <v>4</v>
      </c>
      <c r="G734" s="4" t="str">
        <f>HYPERLINK("http://141.218.60.56/~jnz1568/getInfo.php?workbook=10_05.xlsx&amp;sheet=U0&amp;row=734&amp;col=7&amp;number=0.0284&amp;sourceID=14","0.0284")</f>
        <v>0.0284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HYPERLINK("http://141.218.60.56/~jnz1568/getInfo.php?workbook=10_05.xlsx&amp;sheet=U0&amp;row=735&amp;col=6&amp;number=4.1&amp;sourceID=14","4.1")</f>
        <v>4.1</v>
      </c>
      <c r="G735" s="4" t="str">
        <f>HYPERLINK("http://141.218.60.56/~jnz1568/getInfo.php?workbook=10_05.xlsx&amp;sheet=U0&amp;row=735&amp;col=7&amp;number=0.028&amp;sourceID=14","0.028")</f>
        <v>0.028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HYPERLINK("http://141.218.60.56/~jnz1568/getInfo.php?workbook=10_05.xlsx&amp;sheet=U0&amp;row=736&amp;col=6&amp;number=4.2&amp;sourceID=14","4.2")</f>
        <v>4.2</v>
      </c>
      <c r="G736" s="4" t="str">
        <f>HYPERLINK("http://141.218.60.56/~jnz1568/getInfo.php?workbook=10_05.xlsx&amp;sheet=U0&amp;row=736&amp;col=7&amp;number=0.0276&amp;sourceID=14","0.0276")</f>
        <v>0.0276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HYPERLINK("http://141.218.60.56/~jnz1568/getInfo.php?workbook=10_05.xlsx&amp;sheet=U0&amp;row=737&amp;col=6&amp;number=4.3&amp;sourceID=14","4.3")</f>
        <v>4.3</v>
      </c>
      <c r="G737" s="4" t="str">
        <f>HYPERLINK("http://141.218.60.56/~jnz1568/getInfo.php?workbook=10_05.xlsx&amp;sheet=U0&amp;row=737&amp;col=7&amp;number=0.0271&amp;sourceID=14","0.0271")</f>
        <v>0.0271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HYPERLINK("http://141.218.60.56/~jnz1568/getInfo.php?workbook=10_05.xlsx&amp;sheet=U0&amp;row=738&amp;col=6&amp;number=4.4&amp;sourceID=14","4.4")</f>
        <v>4.4</v>
      </c>
      <c r="G738" s="4" t="str">
        <f>HYPERLINK("http://141.218.60.56/~jnz1568/getInfo.php?workbook=10_05.xlsx&amp;sheet=U0&amp;row=738&amp;col=7&amp;number=0.0265&amp;sourceID=14","0.0265")</f>
        <v>0.0265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HYPERLINK("http://141.218.60.56/~jnz1568/getInfo.php?workbook=10_05.xlsx&amp;sheet=U0&amp;row=739&amp;col=6&amp;number=4.5&amp;sourceID=14","4.5")</f>
        <v>4.5</v>
      </c>
      <c r="G739" s="4" t="str">
        <f>HYPERLINK("http://141.218.60.56/~jnz1568/getInfo.php?workbook=10_05.xlsx&amp;sheet=U0&amp;row=739&amp;col=7&amp;number=0.0258&amp;sourceID=14","0.0258")</f>
        <v>0.0258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HYPERLINK("http://141.218.60.56/~jnz1568/getInfo.php?workbook=10_05.xlsx&amp;sheet=U0&amp;row=740&amp;col=6&amp;number=4.6&amp;sourceID=14","4.6")</f>
        <v>4.6</v>
      </c>
      <c r="G740" s="4" t="str">
        <f>HYPERLINK("http://141.218.60.56/~jnz1568/getInfo.php?workbook=10_05.xlsx&amp;sheet=U0&amp;row=740&amp;col=7&amp;number=0.0249&amp;sourceID=14","0.0249")</f>
        <v>0.0249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HYPERLINK("http://141.218.60.56/~jnz1568/getInfo.php?workbook=10_05.xlsx&amp;sheet=U0&amp;row=741&amp;col=6&amp;number=4.7&amp;sourceID=14","4.7")</f>
        <v>4.7</v>
      </c>
      <c r="G741" s="4" t="str">
        <f>HYPERLINK("http://141.218.60.56/~jnz1568/getInfo.php?workbook=10_05.xlsx&amp;sheet=U0&amp;row=741&amp;col=7&amp;number=0.0239&amp;sourceID=14","0.0239")</f>
        <v>0.0239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HYPERLINK("http://141.218.60.56/~jnz1568/getInfo.php?workbook=10_05.xlsx&amp;sheet=U0&amp;row=742&amp;col=6&amp;number=4.8&amp;sourceID=14","4.8")</f>
        <v>4.8</v>
      </c>
      <c r="G742" s="4" t="str">
        <f>HYPERLINK("http://141.218.60.56/~jnz1568/getInfo.php?workbook=10_05.xlsx&amp;sheet=U0&amp;row=742&amp;col=7&amp;number=0.0228&amp;sourceID=14","0.0228")</f>
        <v>0.0228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HYPERLINK("http://141.218.60.56/~jnz1568/getInfo.php?workbook=10_05.xlsx&amp;sheet=U0&amp;row=743&amp;col=6&amp;number=4.9&amp;sourceID=14","4.9")</f>
        <v>4.9</v>
      </c>
      <c r="G743" s="4" t="str">
        <f>HYPERLINK("http://141.218.60.56/~jnz1568/getInfo.php?workbook=10_05.xlsx&amp;sheet=U0&amp;row=743&amp;col=7&amp;number=0.0219&amp;sourceID=14","0.0219")</f>
        <v>0.0219</v>
      </c>
    </row>
    <row r="744" spans="1:7">
      <c r="A744" s="3">
        <v>10</v>
      </c>
      <c r="B744" s="3">
        <v>5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HYPERLINK("http://141.218.60.56/~jnz1568/getInfo.php?workbook=10_05.xlsx&amp;sheet=U0&amp;row=744&amp;col=6&amp;number=3&amp;sourceID=14","3")</f>
        <v>3</v>
      </c>
      <c r="G744" s="4" t="str">
        <f>HYPERLINK("http://141.218.60.56/~jnz1568/getInfo.php?workbook=10_05.xlsx&amp;sheet=U0&amp;row=744&amp;col=7&amp;number=0.0372&amp;sourceID=14","0.0372")</f>
        <v>0.0372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HYPERLINK("http://141.218.60.56/~jnz1568/getInfo.php?workbook=10_05.xlsx&amp;sheet=U0&amp;row=745&amp;col=6&amp;number=3.1&amp;sourceID=14","3.1")</f>
        <v>3.1</v>
      </c>
      <c r="G745" s="4" t="str">
        <f>HYPERLINK("http://141.218.60.56/~jnz1568/getInfo.php?workbook=10_05.xlsx&amp;sheet=U0&amp;row=745&amp;col=7&amp;number=0.0371&amp;sourceID=14","0.0371")</f>
        <v>0.0371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HYPERLINK("http://141.218.60.56/~jnz1568/getInfo.php?workbook=10_05.xlsx&amp;sheet=U0&amp;row=746&amp;col=6&amp;number=3.2&amp;sourceID=14","3.2")</f>
        <v>3.2</v>
      </c>
      <c r="G746" s="4" t="str">
        <f>HYPERLINK("http://141.218.60.56/~jnz1568/getInfo.php?workbook=10_05.xlsx&amp;sheet=U0&amp;row=746&amp;col=7&amp;number=0.0371&amp;sourceID=14","0.0371")</f>
        <v>0.0371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HYPERLINK("http://141.218.60.56/~jnz1568/getInfo.php?workbook=10_05.xlsx&amp;sheet=U0&amp;row=747&amp;col=6&amp;number=3.3&amp;sourceID=14","3.3")</f>
        <v>3.3</v>
      </c>
      <c r="G747" s="4" t="str">
        <f>HYPERLINK("http://141.218.60.56/~jnz1568/getInfo.php?workbook=10_05.xlsx&amp;sheet=U0&amp;row=747&amp;col=7&amp;number=0.037&amp;sourceID=14","0.037")</f>
        <v>0.037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HYPERLINK("http://141.218.60.56/~jnz1568/getInfo.php?workbook=10_05.xlsx&amp;sheet=U0&amp;row=748&amp;col=6&amp;number=3.4&amp;sourceID=14","3.4")</f>
        <v>3.4</v>
      </c>
      <c r="G748" s="4" t="str">
        <f>HYPERLINK("http://141.218.60.56/~jnz1568/getInfo.php?workbook=10_05.xlsx&amp;sheet=U0&amp;row=748&amp;col=7&amp;number=0.037&amp;sourceID=14","0.037")</f>
        <v>0.037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HYPERLINK("http://141.218.60.56/~jnz1568/getInfo.php?workbook=10_05.xlsx&amp;sheet=U0&amp;row=749&amp;col=6&amp;number=3.5&amp;sourceID=14","3.5")</f>
        <v>3.5</v>
      </c>
      <c r="G749" s="4" t="str">
        <f>HYPERLINK("http://141.218.60.56/~jnz1568/getInfo.php?workbook=10_05.xlsx&amp;sheet=U0&amp;row=749&amp;col=7&amp;number=0.0369&amp;sourceID=14","0.0369")</f>
        <v>0.0369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HYPERLINK("http://141.218.60.56/~jnz1568/getInfo.php?workbook=10_05.xlsx&amp;sheet=U0&amp;row=750&amp;col=6&amp;number=3.6&amp;sourceID=14","3.6")</f>
        <v>3.6</v>
      </c>
      <c r="G750" s="4" t="str">
        <f>HYPERLINK("http://141.218.60.56/~jnz1568/getInfo.php?workbook=10_05.xlsx&amp;sheet=U0&amp;row=750&amp;col=7&amp;number=0.0367&amp;sourceID=14","0.0367")</f>
        <v>0.0367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HYPERLINK("http://141.218.60.56/~jnz1568/getInfo.php?workbook=10_05.xlsx&amp;sheet=U0&amp;row=751&amp;col=6&amp;number=3.7&amp;sourceID=14","3.7")</f>
        <v>3.7</v>
      </c>
      <c r="G751" s="4" t="str">
        <f>HYPERLINK("http://141.218.60.56/~jnz1568/getInfo.php?workbook=10_05.xlsx&amp;sheet=U0&amp;row=751&amp;col=7&amp;number=0.0366&amp;sourceID=14","0.0366")</f>
        <v>0.0366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HYPERLINK("http://141.218.60.56/~jnz1568/getInfo.php?workbook=10_05.xlsx&amp;sheet=U0&amp;row=752&amp;col=6&amp;number=3.8&amp;sourceID=14","3.8")</f>
        <v>3.8</v>
      </c>
      <c r="G752" s="4" t="str">
        <f>HYPERLINK("http://141.218.60.56/~jnz1568/getInfo.php?workbook=10_05.xlsx&amp;sheet=U0&amp;row=752&amp;col=7&amp;number=0.0364&amp;sourceID=14","0.0364")</f>
        <v>0.0364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HYPERLINK("http://141.218.60.56/~jnz1568/getInfo.php?workbook=10_05.xlsx&amp;sheet=U0&amp;row=753&amp;col=6&amp;number=3.9&amp;sourceID=14","3.9")</f>
        <v>3.9</v>
      </c>
      <c r="G753" s="4" t="str">
        <f>HYPERLINK("http://141.218.60.56/~jnz1568/getInfo.php?workbook=10_05.xlsx&amp;sheet=U0&amp;row=753&amp;col=7&amp;number=0.0362&amp;sourceID=14","0.0362")</f>
        <v>0.0362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HYPERLINK("http://141.218.60.56/~jnz1568/getInfo.php?workbook=10_05.xlsx&amp;sheet=U0&amp;row=754&amp;col=6&amp;number=4&amp;sourceID=14","4")</f>
        <v>4</v>
      </c>
      <c r="G754" s="4" t="str">
        <f>HYPERLINK("http://141.218.60.56/~jnz1568/getInfo.php?workbook=10_05.xlsx&amp;sheet=U0&amp;row=754&amp;col=7&amp;number=0.0358&amp;sourceID=14","0.0358")</f>
        <v>0.0358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HYPERLINK("http://141.218.60.56/~jnz1568/getInfo.php?workbook=10_05.xlsx&amp;sheet=U0&amp;row=755&amp;col=6&amp;number=4.1&amp;sourceID=14","4.1")</f>
        <v>4.1</v>
      </c>
      <c r="G755" s="4" t="str">
        <f>HYPERLINK("http://141.218.60.56/~jnz1568/getInfo.php?workbook=10_05.xlsx&amp;sheet=U0&amp;row=755&amp;col=7&amp;number=0.0354&amp;sourceID=14","0.0354")</f>
        <v>0.0354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HYPERLINK("http://141.218.60.56/~jnz1568/getInfo.php?workbook=10_05.xlsx&amp;sheet=U0&amp;row=756&amp;col=6&amp;number=4.2&amp;sourceID=14","4.2")</f>
        <v>4.2</v>
      </c>
      <c r="G756" s="4" t="str">
        <f>HYPERLINK("http://141.218.60.56/~jnz1568/getInfo.php?workbook=10_05.xlsx&amp;sheet=U0&amp;row=756&amp;col=7&amp;number=0.0349&amp;sourceID=14","0.0349")</f>
        <v>0.0349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HYPERLINK("http://141.218.60.56/~jnz1568/getInfo.php?workbook=10_05.xlsx&amp;sheet=U0&amp;row=757&amp;col=6&amp;number=4.3&amp;sourceID=14","4.3")</f>
        <v>4.3</v>
      </c>
      <c r="G757" s="4" t="str">
        <f>HYPERLINK("http://141.218.60.56/~jnz1568/getInfo.php?workbook=10_05.xlsx&amp;sheet=U0&amp;row=757&amp;col=7&amp;number=0.0341&amp;sourceID=14","0.0341")</f>
        <v>0.0341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HYPERLINK("http://141.218.60.56/~jnz1568/getInfo.php?workbook=10_05.xlsx&amp;sheet=U0&amp;row=758&amp;col=6&amp;number=4.4&amp;sourceID=14","4.4")</f>
        <v>4.4</v>
      </c>
      <c r="G758" s="4" t="str">
        <f>HYPERLINK("http://141.218.60.56/~jnz1568/getInfo.php?workbook=10_05.xlsx&amp;sheet=U0&amp;row=758&amp;col=7&amp;number=0.0331&amp;sourceID=14","0.0331")</f>
        <v>0.0331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HYPERLINK("http://141.218.60.56/~jnz1568/getInfo.php?workbook=10_05.xlsx&amp;sheet=U0&amp;row=759&amp;col=6&amp;number=4.5&amp;sourceID=14","4.5")</f>
        <v>4.5</v>
      </c>
      <c r="G759" s="4" t="str">
        <f>HYPERLINK("http://141.218.60.56/~jnz1568/getInfo.php?workbook=10_05.xlsx&amp;sheet=U0&amp;row=759&amp;col=7&amp;number=0.0319&amp;sourceID=14","0.0319")</f>
        <v>0.0319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HYPERLINK("http://141.218.60.56/~jnz1568/getInfo.php?workbook=10_05.xlsx&amp;sheet=U0&amp;row=760&amp;col=6&amp;number=4.6&amp;sourceID=14","4.6")</f>
        <v>4.6</v>
      </c>
      <c r="G760" s="4" t="str">
        <f>HYPERLINK("http://141.218.60.56/~jnz1568/getInfo.php?workbook=10_05.xlsx&amp;sheet=U0&amp;row=760&amp;col=7&amp;number=0.0305&amp;sourceID=14","0.0305")</f>
        <v>0.0305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HYPERLINK("http://141.218.60.56/~jnz1568/getInfo.php?workbook=10_05.xlsx&amp;sheet=U0&amp;row=761&amp;col=6&amp;number=4.7&amp;sourceID=14","4.7")</f>
        <v>4.7</v>
      </c>
      <c r="G761" s="4" t="str">
        <f>HYPERLINK("http://141.218.60.56/~jnz1568/getInfo.php?workbook=10_05.xlsx&amp;sheet=U0&amp;row=761&amp;col=7&amp;number=0.0291&amp;sourceID=14","0.0291")</f>
        <v>0.0291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HYPERLINK("http://141.218.60.56/~jnz1568/getInfo.php?workbook=10_05.xlsx&amp;sheet=U0&amp;row=762&amp;col=6&amp;number=4.8&amp;sourceID=14","4.8")</f>
        <v>4.8</v>
      </c>
      <c r="G762" s="4" t="str">
        <f>HYPERLINK("http://141.218.60.56/~jnz1568/getInfo.php?workbook=10_05.xlsx&amp;sheet=U0&amp;row=762&amp;col=7&amp;number=0.0279&amp;sourceID=14","0.0279")</f>
        <v>0.0279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HYPERLINK("http://141.218.60.56/~jnz1568/getInfo.php?workbook=10_05.xlsx&amp;sheet=U0&amp;row=763&amp;col=6&amp;number=4.9&amp;sourceID=14","4.9")</f>
        <v>4.9</v>
      </c>
      <c r="G763" s="4" t="str">
        <f>HYPERLINK("http://141.218.60.56/~jnz1568/getInfo.php?workbook=10_05.xlsx&amp;sheet=U0&amp;row=763&amp;col=7&amp;number=0.0267&amp;sourceID=14","0.0267")</f>
        <v>0.0267</v>
      </c>
    </row>
    <row r="764" spans="1:7">
      <c r="A764" s="3">
        <v>10</v>
      </c>
      <c r="B764" s="3">
        <v>5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HYPERLINK("http://141.218.60.56/~jnz1568/getInfo.php?workbook=10_05.xlsx&amp;sheet=U0&amp;row=764&amp;col=6&amp;number=3&amp;sourceID=14","3")</f>
        <v>3</v>
      </c>
      <c r="G764" s="4" t="str">
        <f>HYPERLINK("http://141.218.60.56/~jnz1568/getInfo.php?workbook=10_05.xlsx&amp;sheet=U0&amp;row=764&amp;col=7&amp;number=0.0222&amp;sourceID=14","0.0222")</f>
        <v>0.0222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HYPERLINK("http://141.218.60.56/~jnz1568/getInfo.php?workbook=10_05.xlsx&amp;sheet=U0&amp;row=765&amp;col=6&amp;number=3.1&amp;sourceID=14","3.1")</f>
        <v>3.1</v>
      </c>
      <c r="G765" s="4" t="str">
        <f>HYPERLINK("http://141.218.60.56/~jnz1568/getInfo.php?workbook=10_05.xlsx&amp;sheet=U0&amp;row=765&amp;col=7&amp;number=0.0222&amp;sourceID=14","0.0222")</f>
        <v>0.0222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HYPERLINK("http://141.218.60.56/~jnz1568/getInfo.php?workbook=10_05.xlsx&amp;sheet=U0&amp;row=766&amp;col=6&amp;number=3.2&amp;sourceID=14","3.2")</f>
        <v>3.2</v>
      </c>
      <c r="G766" s="4" t="str">
        <f>HYPERLINK("http://141.218.60.56/~jnz1568/getInfo.php?workbook=10_05.xlsx&amp;sheet=U0&amp;row=766&amp;col=7&amp;number=0.0221&amp;sourceID=14","0.0221")</f>
        <v>0.0221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HYPERLINK("http://141.218.60.56/~jnz1568/getInfo.php?workbook=10_05.xlsx&amp;sheet=U0&amp;row=767&amp;col=6&amp;number=3.3&amp;sourceID=14","3.3")</f>
        <v>3.3</v>
      </c>
      <c r="G767" s="4" t="str">
        <f>HYPERLINK("http://141.218.60.56/~jnz1568/getInfo.php?workbook=10_05.xlsx&amp;sheet=U0&amp;row=767&amp;col=7&amp;number=0.022&amp;sourceID=14","0.022")</f>
        <v>0.022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HYPERLINK("http://141.218.60.56/~jnz1568/getInfo.php?workbook=10_05.xlsx&amp;sheet=U0&amp;row=768&amp;col=6&amp;number=3.4&amp;sourceID=14","3.4")</f>
        <v>3.4</v>
      </c>
      <c r="G768" s="4" t="str">
        <f>HYPERLINK("http://141.218.60.56/~jnz1568/getInfo.php?workbook=10_05.xlsx&amp;sheet=U0&amp;row=768&amp;col=7&amp;number=0.022&amp;sourceID=14","0.022")</f>
        <v>0.022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HYPERLINK("http://141.218.60.56/~jnz1568/getInfo.php?workbook=10_05.xlsx&amp;sheet=U0&amp;row=769&amp;col=6&amp;number=3.5&amp;sourceID=14","3.5")</f>
        <v>3.5</v>
      </c>
      <c r="G769" s="4" t="str">
        <f>HYPERLINK("http://141.218.60.56/~jnz1568/getInfo.php?workbook=10_05.xlsx&amp;sheet=U0&amp;row=769&amp;col=7&amp;number=0.0218&amp;sourceID=14","0.0218")</f>
        <v>0.0218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HYPERLINK("http://141.218.60.56/~jnz1568/getInfo.php?workbook=10_05.xlsx&amp;sheet=U0&amp;row=770&amp;col=6&amp;number=3.6&amp;sourceID=14","3.6")</f>
        <v>3.6</v>
      </c>
      <c r="G770" s="4" t="str">
        <f>HYPERLINK("http://141.218.60.56/~jnz1568/getInfo.php?workbook=10_05.xlsx&amp;sheet=U0&amp;row=770&amp;col=7&amp;number=0.0217&amp;sourceID=14","0.0217")</f>
        <v>0.0217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HYPERLINK("http://141.218.60.56/~jnz1568/getInfo.php?workbook=10_05.xlsx&amp;sheet=U0&amp;row=771&amp;col=6&amp;number=3.7&amp;sourceID=14","3.7")</f>
        <v>3.7</v>
      </c>
      <c r="G771" s="4" t="str">
        <f>HYPERLINK("http://141.218.60.56/~jnz1568/getInfo.php?workbook=10_05.xlsx&amp;sheet=U0&amp;row=771&amp;col=7&amp;number=0.0215&amp;sourceID=14","0.0215")</f>
        <v>0.0215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HYPERLINK("http://141.218.60.56/~jnz1568/getInfo.php?workbook=10_05.xlsx&amp;sheet=U0&amp;row=772&amp;col=6&amp;number=3.8&amp;sourceID=14","3.8")</f>
        <v>3.8</v>
      </c>
      <c r="G772" s="4" t="str">
        <f>HYPERLINK("http://141.218.60.56/~jnz1568/getInfo.php?workbook=10_05.xlsx&amp;sheet=U0&amp;row=772&amp;col=7&amp;number=0.0213&amp;sourceID=14","0.0213")</f>
        <v>0.0213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HYPERLINK("http://141.218.60.56/~jnz1568/getInfo.php?workbook=10_05.xlsx&amp;sheet=U0&amp;row=773&amp;col=6&amp;number=3.9&amp;sourceID=14","3.9")</f>
        <v>3.9</v>
      </c>
      <c r="G773" s="4" t="str">
        <f>HYPERLINK("http://141.218.60.56/~jnz1568/getInfo.php?workbook=10_05.xlsx&amp;sheet=U0&amp;row=773&amp;col=7&amp;number=0.021&amp;sourceID=14","0.021")</f>
        <v>0.021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HYPERLINK("http://141.218.60.56/~jnz1568/getInfo.php?workbook=10_05.xlsx&amp;sheet=U0&amp;row=774&amp;col=6&amp;number=4&amp;sourceID=14","4")</f>
        <v>4</v>
      </c>
      <c r="G774" s="4" t="str">
        <f>HYPERLINK("http://141.218.60.56/~jnz1568/getInfo.php?workbook=10_05.xlsx&amp;sheet=U0&amp;row=774&amp;col=7&amp;number=0.0206&amp;sourceID=14","0.0206")</f>
        <v>0.0206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HYPERLINK("http://141.218.60.56/~jnz1568/getInfo.php?workbook=10_05.xlsx&amp;sheet=U0&amp;row=775&amp;col=6&amp;number=4.1&amp;sourceID=14","4.1")</f>
        <v>4.1</v>
      </c>
      <c r="G775" s="4" t="str">
        <f>HYPERLINK("http://141.218.60.56/~jnz1568/getInfo.php?workbook=10_05.xlsx&amp;sheet=U0&amp;row=775&amp;col=7&amp;number=0.0202&amp;sourceID=14","0.0202")</f>
        <v>0.0202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HYPERLINK("http://141.218.60.56/~jnz1568/getInfo.php?workbook=10_05.xlsx&amp;sheet=U0&amp;row=776&amp;col=6&amp;number=4.2&amp;sourceID=14","4.2")</f>
        <v>4.2</v>
      </c>
      <c r="G776" s="4" t="str">
        <f>HYPERLINK("http://141.218.60.56/~jnz1568/getInfo.php?workbook=10_05.xlsx&amp;sheet=U0&amp;row=776&amp;col=7&amp;number=0.0196&amp;sourceID=14","0.0196")</f>
        <v>0.0196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HYPERLINK("http://141.218.60.56/~jnz1568/getInfo.php?workbook=10_05.xlsx&amp;sheet=U0&amp;row=777&amp;col=6&amp;number=4.3&amp;sourceID=14","4.3")</f>
        <v>4.3</v>
      </c>
      <c r="G777" s="4" t="str">
        <f>HYPERLINK("http://141.218.60.56/~jnz1568/getInfo.php?workbook=10_05.xlsx&amp;sheet=U0&amp;row=777&amp;col=7&amp;number=0.019&amp;sourceID=14","0.019")</f>
        <v>0.019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HYPERLINK("http://141.218.60.56/~jnz1568/getInfo.php?workbook=10_05.xlsx&amp;sheet=U0&amp;row=778&amp;col=6&amp;number=4.4&amp;sourceID=14","4.4")</f>
        <v>4.4</v>
      </c>
      <c r="G778" s="4" t="str">
        <f>HYPERLINK("http://141.218.60.56/~jnz1568/getInfo.php?workbook=10_05.xlsx&amp;sheet=U0&amp;row=778&amp;col=7&amp;number=0.0182&amp;sourceID=14","0.0182")</f>
        <v>0.0182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HYPERLINK("http://141.218.60.56/~jnz1568/getInfo.php?workbook=10_05.xlsx&amp;sheet=U0&amp;row=779&amp;col=6&amp;number=4.5&amp;sourceID=14","4.5")</f>
        <v>4.5</v>
      </c>
      <c r="G779" s="4" t="str">
        <f>HYPERLINK("http://141.218.60.56/~jnz1568/getInfo.php?workbook=10_05.xlsx&amp;sheet=U0&amp;row=779&amp;col=7&amp;number=0.0173&amp;sourceID=14","0.0173")</f>
        <v>0.0173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HYPERLINK("http://141.218.60.56/~jnz1568/getInfo.php?workbook=10_05.xlsx&amp;sheet=U0&amp;row=780&amp;col=6&amp;number=4.6&amp;sourceID=14","4.6")</f>
        <v>4.6</v>
      </c>
      <c r="G780" s="4" t="str">
        <f>HYPERLINK("http://141.218.60.56/~jnz1568/getInfo.php?workbook=10_05.xlsx&amp;sheet=U0&amp;row=780&amp;col=7&amp;number=0.0164&amp;sourceID=14","0.0164")</f>
        <v>0.0164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HYPERLINK("http://141.218.60.56/~jnz1568/getInfo.php?workbook=10_05.xlsx&amp;sheet=U0&amp;row=781&amp;col=6&amp;number=4.7&amp;sourceID=14","4.7")</f>
        <v>4.7</v>
      </c>
      <c r="G781" s="4" t="str">
        <f>HYPERLINK("http://141.218.60.56/~jnz1568/getInfo.php?workbook=10_05.xlsx&amp;sheet=U0&amp;row=781&amp;col=7&amp;number=0.0153&amp;sourceID=14","0.0153")</f>
        <v>0.0153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HYPERLINK("http://141.218.60.56/~jnz1568/getInfo.php?workbook=10_05.xlsx&amp;sheet=U0&amp;row=782&amp;col=6&amp;number=4.8&amp;sourceID=14","4.8")</f>
        <v>4.8</v>
      </c>
      <c r="G782" s="4" t="str">
        <f>HYPERLINK("http://141.218.60.56/~jnz1568/getInfo.php?workbook=10_05.xlsx&amp;sheet=U0&amp;row=782&amp;col=7&amp;number=0.0142&amp;sourceID=14","0.0142")</f>
        <v>0.0142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HYPERLINK("http://141.218.60.56/~jnz1568/getInfo.php?workbook=10_05.xlsx&amp;sheet=U0&amp;row=783&amp;col=6&amp;number=4.9&amp;sourceID=14","4.9")</f>
        <v>4.9</v>
      </c>
      <c r="G783" s="4" t="str">
        <f>HYPERLINK("http://141.218.60.56/~jnz1568/getInfo.php?workbook=10_05.xlsx&amp;sheet=U0&amp;row=783&amp;col=7&amp;number=0.0132&amp;sourceID=14","0.0132")</f>
        <v>0.0132</v>
      </c>
    </row>
    <row r="784" spans="1:7">
      <c r="A784" s="3">
        <v>10</v>
      </c>
      <c r="B784" s="3">
        <v>5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HYPERLINK("http://141.218.60.56/~jnz1568/getInfo.php?workbook=10_05.xlsx&amp;sheet=U0&amp;row=784&amp;col=6&amp;number=3&amp;sourceID=14","3")</f>
        <v>3</v>
      </c>
      <c r="G784" s="4" t="str">
        <f>HYPERLINK("http://141.218.60.56/~jnz1568/getInfo.php?workbook=10_05.xlsx&amp;sheet=U0&amp;row=784&amp;col=7&amp;number=0.0371&amp;sourceID=14","0.0371")</f>
        <v>0.0371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HYPERLINK("http://141.218.60.56/~jnz1568/getInfo.php?workbook=10_05.xlsx&amp;sheet=U0&amp;row=785&amp;col=6&amp;number=3.1&amp;sourceID=14","3.1")</f>
        <v>3.1</v>
      </c>
      <c r="G785" s="4" t="str">
        <f>HYPERLINK("http://141.218.60.56/~jnz1568/getInfo.php?workbook=10_05.xlsx&amp;sheet=U0&amp;row=785&amp;col=7&amp;number=0.037&amp;sourceID=14","0.037")</f>
        <v>0.037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HYPERLINK("http://141.218.60.56/~jnz1568/getInfo.php?workbook=10_05.xlsx&amp;sheet=U0&amp;row=786&amp;col=6&amp;number=3.2&amp;sourceID=14","3.2")</f>
        <v>3.2</v>
      </c>
      <c r="G786" s="4" t="str">
        <f>HYPERLINK("http://141.218.60.56/~jnz1568/getInfo.php?workbook=10_05.xlsx&amp;sheet=U0&amp;row=786&amp;col=7&amp;number=0.0369&amp;sourceID=14","0.0369")</f>
        <v>0.0369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HYPERLINK("http://141.218.60.56/~jnz1568/getInfo.php?workbook=10_05.xlsx&amp;sheet=U0&amp;row=787&amp;col=6&amp;number=3.3&amp;sourceID=14","3.3")</f>
        <v>3.3</v>
      </c>
      <c r="G787" s="4" t="str">
        <f>HYPERLINK("http://141.218.60.56/~jnz1568/getInfo.php?workbook=10_05.xlsx&amp;sheet=U0&amp;row=787&amp;col=7&amp;number=0.0368&amp;sourceID=14","0.0368")</f>
        <v>0.0368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HYPERLINK("http://141.218.60.56/~jnz1568/getInfo.php?workbook=10_05.xlsx&amp;sheet=U0&amp;row=788&amp;col=6&amp;number=3.4&amp;sourceID=14","3.4")</f>
        <v>3.4</v>
      </c>
      <c r="G788" s="4" t="str">
        <f>HYPERLINK("http://141.218.60.56/~jnz1568/getInfo.php?workbook=10_05.xlsx&amp;sheet=U0&amp;row=788&amp;col=7&amp;number=0.0367&amp;sourceID=14","0.0367")</f>
        <v>0.0367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HYPERLINK("http://141.218.60.56/~jnz1568/getInfo.php?workbook=10_05.xlsx&amp;sheet=U0&amp;row=789&amp;col=6&amp;number=3.5&amp;sourceID=14","3.5")</f>
        <v>3.5</v>
      </c>
      <c r="G789" s="4" t="str">
        <f>HYPERLINK("http://141.218.60.56/~jnz1568/getInfo.php?workbook=10_05.xlsx&amp;sheet=U0&amp;row=789&amp;col=7&amp;number=0.0365&amp;sourceID=14","0.0365")</f>
        <v>0.0365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HYPERLINK("http://141.218.60.56/~jnz1568/getInfo.php?workbook=10_05.xlsx&amp;sheet=U0&amp;row=790&amp;col=6&amp;number=3.6&amp;sourceID=14","3.6")</f>
        <v>3.6</v>
      </c>
      <c r="G790" s="4" t="str">
        <f>HYPERLINK("http://141.218.60.56/~jnz1568/getInfo.php?workbook=10_05.xlsx&amp;sheet=U0&amp;row=790&amp;col=7&amp;number=0.0362&amp;sourceID=14","0.0362")</f>
        <v>0.0362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HYPERLINK("http://141.218.60.56/~jnz1568/getInfo.php?workbook=10_05.xlsx&amp;sheet=U0&amp;row=791&amp;col=6&amp;number=3.7&amp;sourceID=14","3.7")</f>
        <v>3.7</v>
      </c>
      <c r="G791" s="4" t="str">
        <f>HYPERLINK("http://141.218.60.56/~jnz1568/getInfo.php?workbook=10_05.xlsx&amp;sheet=U0&amp;row=791&amp;col=7&amp;number=0.036&amp;sourceID=14","0.036")</f>
        <v>0.036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HYPERLINK("http://141.218.60.56/~jnz1568/getInfo.php?workbook=10_05.xlsx&amp;sheet=U0&amp;row=792&amp;col=6&amp;number=3.8&amp;sourceID=14","3.8")</f>
        <v>3.8</v>
      </c>
      <c r="G792" s="4" t="str">
        <f>HYPERLINK("http://141.218.60.56/~jnz1568/getInfo.php?workbook=10_05.xlsx&amp;sheet=U0&amp;row=792&amp;col=7&amp;number=0.0356&amp;sourceID=14","0.0356")</f>
        <v>0.0356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HYPERLINK("http://141.218.60.56/~jnz1568/getInfo.php?workbook=10_05.xlsx&amp;sheet=U0&amp;row=793&amp;col=6&amp;number=3.9&amp;sourceID=14","3.9")</f>
        <v>3.9</v>
      </c>
      <c r="G793" s="4" t="str">
        <f>HYPERLINK("http://141.218.60.56/~jnz1568/getInfo.php?workbook=10_05.xlsx&amp;sheet=U0&amp;row=793&amp;col=7&amp;number=0.0352&amp;sourceID=14","0.0352")</f>
        <v>0.0352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HYPERLINK("http://141.218.60.56/~jnz1568/getInfo.php?workbook=10_05.xlsx&amp;sheet=U0&amp;row=794&amp;col=6&amp;number=4&amp;sourceID=14","4")</f>
        <v>4</v>
      </c>
      <c r="G794" s="4" t="str">
        <f>HYPERLINK("http://141.218.60.56/~jnz1568/getInfo.php?workbook=10_05.xlsx&amp;sheet=U0&amp;row=794&amp;col=7&amp;number=0.0346&amp;sourceID=14","0.0346")</f>
        <v>0.0346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HYPERLINK("http://141.218.60.56/~jnz1568/getInfo.php?workbook=10_05.xlsx&amp;sheet=U0&amp;row=795&amp;col=6&amp;number=4.1&amp;sourceID=14","4.1")</f>
        <v>4.1</v>
      </c>
      <c r="G795" s="4" t="str">
        <f>HYPERLINK("http://141.218.60.56/~jnz1568/getInfo.php?workbook=10_05.xlsx&amp;sheet=U0&amp;row=795&amp;col=7&amp;number=0.034&amp;sourceID=14","0.034")</f>
        <v>0.034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HYPERLINK("http://141.218.60.56/~jnz1568/getInfo.php?workbook=10_05.xlsx&amp;sheet=U0&amp;row=796&amp;col=6&amp;number=4.2&amp;sourceID=14","4.2")</f>
        <v>4.2</v>
      </c>
      <c r="G796" s="4" t="str">
        <f>HYPERLINK("http://141.218.60.56/~jnz1568/getInfo.php?workbook=10_05.xlsx&amp;sheet=U0&amp;row=796&amp;col=7&amp;number=0.0331&amp;sourceID=14","0.0331")</f>
        <v>0.0331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HYPERLINK("http://141.218.60.56/~jnz1568/getInfo.php?workbook=10_05.xlsx&amp;sheet=U0&amp;row=797&amp;col=6&amp;number=4.3&amp;sourceID=14","4.3")</f>
        <v>4.3</v>
      </c>
      <c r="G797" s="4" t="str">
        <f>HYPERLINK("http://141.218.60.56/~jnz1568/getInfo.php?workbook=10_05.xlsx&amp;sheet=U0&amp;row=797&amp;col=7&amp;number=0.0321&amp;sourceID=14","0.0321")</f>
        <v>0.0321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HYPERLINK("http://141.218.60.56/~jnz1568/getInfo.php?workbook=10_05.xlsx&amp;sheet=U0&amp;row=798&amp;col=6&amp;number=4.4&amp;sourceID=14","4.4")</f>
        <v>4.4</v>
      </c>
      <c r="G798" s="4" t="str">
        <f>HYPERLINK("http://141.218.60.56/~jnz1568/getInfo.php?workbook=10_05.xlsx&amp;sheet=U0&amp;row=798&amp;col=7&amp;number=0.0308&amp;sourceID=14","0.0308")</f>
        <v>0.0308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HYPERLINK("http://141.218.60.56/~jnz1568/getInfo.php?workbook=10_05.xlsx&amp;sheet=U0&amp;row=799&amp;col=6&amp;number=4.5&amp;sourceID=14","4.5")</f>
        <v>4.5</v>
      </c>
      <c r="G799" s="4" t="str">
        <f>HYPERLINK("http://141.218.60.56/~jnz1568/getInfo.php?workbook=10_05.xlsx&amp;sheet=U0&amp;row=799&amp;col=7&amp;number=0.0294&amp;sourceID=14","0.0294")</f>
        <v>0.0294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HYPERLINK("http://141.218.60.56/~jnz1568/getInfo.php?workbook=10_05.xlsx&amp;sheet=U0&amp;row=800&amp;col=6&amp;number=4.6&amp;sourceID=14","4.6")</f>
        <v>4.6</v>
      </c>
      <c r="G800" s="4" t="str">
        <f>HYPERLINK("http://141.218.60.56/~jnz1568/getInfo.php?workbook=10_05.xlsx&amp;sheet=U0&amp;row=800&amp;col=7&amp;number=0.0278&amp;sourceID=14","0.0278")</f>
        <v>0.0278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HYPERLINK("http://141.218.60.56/~jnz1568/getInfo.php?workbook=10_05.xlsx&amp;sheet=U0&amp;row=801&amp;col=6&amp;number=4.7&amp;sourceID=14","4.7")</f>
        <v>4.7</v>
      </c>
      <c r="G801" s="4" t="str">
        <f>HYPERLINK("http://141.218.60.56/~jnz1568/getInfo.php?workbook=10_05.xlsx&amp;sheet=U0&amp;row=801&amp;col=7&amp;number=0.0262&amp;sourceID=14","0.0262")</f>
        <v>0.0262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HYPERLINK("http://141.218.60.56/~jnz1568/getInfo.php?workbook=10_05.xlsx&amp;sheet=U0&amp;row=802&amp;col=6&amp;number=4.8&amp;sourceID=14","4.8")</f>
        <v>4.8</v>
      </c>
      <c r="G802" s="4" t="str">
        <f>HYPERLINK("http://141.218.60.56/~jnz1568/getInfo.php?workbook=10_05.xlsx&amp;sheet=U0&amp;row=802&amp;col=7&amp;number=0.0249&amp;sourceID=14","0.0249")</f>
        <v>0.0249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HYPERLINK("http://141.218.60.56/~jnz1568/getInfo.php?workbook=10_05.xlsx&amp;sheet=U0&amp;row=803&amp;col=6&amp;number=4.9&amp;sourceID=14","4.9")</f>
        <v>4.9</v>
      </c>
      <c r="G803" s="4" t="str">
        <f>HYPERLINK("http://141.218.60.56/~jnz1568/getInfo.php?workbook=10_05.xlsx&amp;sheet=U0&amp;row=803&amp;col=7&amp;number=0.0236&amp;sourceID=14","0.0236")</f>
        <v>0.0236</v>
      </c>
    </row>
    <row r="804" spans="1:7">
      <c r="A804" s="3">
        <v>10</v>
      </c>
      <c r="B804" s="3">
        <v>5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HYPERLINK("http://141.218.60.56/~jnz1568/getInfo.php?workbook=10_05.xlsx&amp;sheet=U0&amp;row=804&amp;col=6&amp;number=3&amp;sourceID=14","3")</f>
        <v>3</v>
      </c>
      <c r="G804" s="4" t="str">
        <f>HYPERLINK("http://141.218.60.56/~jnz1568/getInfo.php?workbook=10_05.xlsx&amp;sheet=U0&amp;row=804&amp;col=7&amp;number=0.0207&amp;sourceID=14","0.0207")</f>
        <v>0.0207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HYPERLINK("http://141.218.60.56/~jnz1568/getInfo.php?workbook=10_05.xlsx&amp;sheet=U0&amp;row=805&amp;col=6&amp;number=3.1&amp;sourceID=14","3.1")</f>
        <v>3.1</v>
      </c>
      <c r="G805" s="4" t="str">
        <f>HYPERLINK("http://141.218.60.56/~jnz1568/getInfo.php?workbook=10_05.xlsx&amp;sheet=U0&amp;row=805&amp;col=7&amp;number=0.0207&amp;sourceID=14","0.0207")</f>
        <v>0.0207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HYPERLINK("http://141.218.60.56/~jnz1568/getInfo.php?workbook=10_05.xlsx&amp;sheet=U0&amp;row=806&amp;col=6&amp;number=3.2&amp;sourceID=14","3.2")</f>
        <v>3.2</v>
      </c>
      <c r="G806" s="4" t="str">
        <f>HYPERLINK("http://141.218.60.56/~jnz1568/getInfo.php?workbook=10_05.xlsx&amp;sheet=U0&amp;row=806&amp;col=7&amp;number=0.0206&amp;sourceID=14","0.0206")</f>
        <v>0.0206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HYPERLINK("http://141.218.60.56/~jnz1568/getInfo.php?workbook=10_05.xlsx&amp;sheet=U0&amp;row=807&amp;col=6&amp;number=3.3&amp;sourceID=14","3.3")</f>
        <v>3.3</v>
      </c>
      <c r="G807" s="4" t="str">
        <f>HYPERLINK("http://141.218.60.56/~jnz1568/getInfo.php?workbook=10_05.xlsx&amp;sheet=U0&amp;row=807&amp;col=7&amp;number=0.0205&amp;sourceID=14","0.0205")</f>
        <v>0.0205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HYPERLINK("http://141.218.60.56/~jnz1568/getInfo.php?workbook=10_05.xlsx&amp;sheet=U0&amp;row=808&amp;col=6&amp;number=3.4&amp;sourceID=14","3.4")</f>
        <v>3.4</v>
      </c>
      <c r="G808" s="4" t="str">
        <f>HYPERLINK("http://141.218.60.56/~jnz1568/getInfo.php?workbook=10_05.xlsx&amp;sheet=U0&amp;row=808&amp;col=7&amp;number=0.0203&amp;sourceID=14","0.0203")</f>
        <v>0.0203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HYPERLINK("http://141.218.60.56/~jnz1568/getInfo.php?workbook=10_05.xlsx&amp;sheet=U0&amp;row=809&amp;col=6&amp;number=3.5&amp;sourceID=14","3.5")</f>
        <v>3.5</v>
      </c>
      <c r="G809" s="4" t="str">
        <f>HYPERLINK("http://141.218.60.56/~jnz1568/getInfo.php?workbook=10_05.xlsx&amp;sheet=U0&amp;row=809&amp;col=7&amp;number=0.0201&amp;sourceID=14","0.0201")</f>
        <v>0.0201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HYPERLINK("http://141.218.60.56/~jnz1568/getInfo.php?workbook=10_05.xlsx&amp;sheet=U0&amp;row=810&amp;col=6&amp;number=3.6&amp;sourceID=14","3.6")</f>
        <v>3.6</v>
      </c>
      <c r="G810" s="4" t="str">
        <f>HYPERLINK("http://141.218.60.56/~jnz1568/getInfo.php?workbook=10_05.xlsx&amp;sheet=U0&amp;row=810&amp;col=7&amp;number=0.0199&amp;sourceID=14","0.0199")</f>
        <v>0.0199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HYPERLINK("http://141.218.60.56/~jnz1568/getInfo.php?workbook=10_05.xlsx&amp;sheet=U0&amp;row=811&amp;col=6&amp;number=3.7&amp;sourceID=14","3.7")</f>
        <v>3.7</v>
      </c>
      <c r="G811" s="4" t="str">
        <f>HYPERLINK("http://141.218.60.56/~jnz1568/getInfo.php?workbook=10_05.xlsx&amp;sheet=U0&amp;row=811&amp;col=7&amp;number=0.0196&amp;sourceID=14","0.0196")</f>
        <v>0.0196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HYPERLINK("http://141.218.60.56/~jnz1568/getInfo.php?workbook=10_05.xlsx&amp;sheet=U0&amp;row=812&amp;col=6&amp;number=3.8&amp;sourceID=14","3.8")</f>
        <v>3.8</v>
      </c>
      <c r="G812" s="4" t="str">
        <f>HYPERLINK("http://141.218.60.56/~jnz1568/getInfo.php?workbook=10_05.xlsx&amp;sheet=U0&amp;row=812&amp;col=7&amp;number=0.0193&amp;sourceID=14","0.0193")</f>
        <v>0.0193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HYPERLINK("http://141.218.60.56/~jnz1568/getInfo.php?workbook=10_05.xlsx&amp;sheet=U0&amp;row=813&amp;col=6&amp;number=3.9&amp;sourceID=14","3.9")</f>
        <v>3.9</v>
      </c>
      <c r="G813" s="4" t="str">
        <f>HYPERLINK("http://141.218.60.56/~jnz1568/getInfo.php?workbook=10_05.xlsx&amp;sheet=U0&amp;row=813&amp;col=7&amp;number=0.0189&amp;sourceID=14","0.0189")</f>
        <v>0.0189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HYPERLINK("http://141.218.60.56/~jnz1568/getInfo.php?workbook=10_05.xlsx&amp;sheet=U0&amp;row=814&amp;col=6&amp;number=4&amp;sourceID=14","4")</f>
        <v>4</v>
      </c>
      <c r="G814" s="4" t="str">
        <f>HYPERLINK("http://141.218.60.56/~jnz1568/getInfo.php?workbook=10_05.xlsx&amp;sheet=U0&amp;row=814&amp;col=7&amp;number=0.0183&amp;sourceID=14","0.0183")</f>
        <v>0.0183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HYPERLINK("http://141.218.60.56/~jnz1568/getInfo.php?workbook=10_05.xlsx&amp;sheet=U0&amp;row=815&amp;col=6&amp;number=4.1&amp;sourceID=14","4.1")</f>
        <v>4.1</v>
      </c>
      <c r="G815" s="4" t="str">
        <f>HYPERLINK("http://141.218.60.56/~jnz1568/getInfo.php?workbook=10_05.xlsx&amp;sheet=U0&amp;row=815&amp;col=7&amp;number=0.0177&amp;sourceID=14","0.0177")</f>
        <v>0.0177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HYPERLINK("http://141.218.60.56/~jnz1568/getInfo.php?workbook=10_05.xlsx&amp;sheet=U0&amp;row=816&amp;col=6&amp;number=4.2&amp;sourceID=14","4.2")</f>
        <v>4.2</v>
      </c>
      <c r="G816" s="4" t="str">
        <f>HYPERLINK("http://141.218.60.56/~jnz1568/getInfo.php?workbook=10_05.xlsx&amp;sheet=U0&amp;row=816&amp;col=7&amp;number=0.0169&amp;sourceID=14","0.0169")</f>
        <v>0.0169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HYPERLINK("http://141.218.60.56/~jnz1568/getInfo.php?workbook=10_05.xlsx&amp;sheet=U0&amp;row=817&amp;col=6&amp;number=4.3&amp;sourceID=14","4.3")</f>
        <v>4.3</v>
      </c>
      <c r="G817" s="4" t="str">
        <f>HYPERLINK("http://141.218.60.56/~jnz1568/getInfo.php?workbook=10_05.xlsx&amp;sheet=U0&amp;row=817&amp;col=7&amp;number=0.016&amp;sourceID=14","0.016")</f>
        <v>0.016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HYPERLINK("http://141.218.60.56/~jnz1568/getInfo.php?workbook=10_05.xlsx&amp;sheet=U0&amp;row=818&amp;col=6&amp;number=4.4&amp;sourceID=14","4.4")</f>
        <v>4.4</v>
      </c>
      <c r="G818" s="4" t="str">
        <f>HYPERLINK("http://141.218.60.56/~jnz1568/getInfo.php?workbook=10_05.xlsx&amp;sheet=U0&amp;row=818&amp;col=7&amp;number=0.0148&amp;sourceID=14","0.0148")</f>
        <v>0.0148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HYPERLINK("http://141.218.60.56/~jnz1568/getInfo.php?workbook=10_05.xlsx&amp;sheet=U0&amp;row=819&amp;col=6&amp;number=4.5&amp;sourceID=14","4.5")</f>
        <v>4.5</v>
      </c>
      <c r="G819" s="4" t="str">
        <f>HYPERLINK("http://141.218.60.56/~jnz1568/getInfo.php?workbook=10_05.xlsx&amp;sheet=U0&amp;row=819&amp;col=7&amp;number=0.0135&amp;sourceID=14","0.0135")</f>
        <v>0.0135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HYPERLINK("http://141.218.60.56/~jnz1568/getInfo.php?workbook=10_05.xlsx&amp;sheet=U0&amp;row=820&amp;col=6&amp;number=4.6&amp;sourceID=14","4.6")</f>
        <v>4.6</v>
      </c>
      <c r="G820" s="4" t="str">
        <f>HYPERLINK("http://141.218.60.56/~jnz1568/getInfo.php?workbook=10_05.xlsx&amp;sheet=U0&amp;row=820&amp;col=7&amp;number=0.0121&amp;sourceID=14","0.0121")</f>
        <v>0.0121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HYPERLINK("http://141.218.60.56/~jnz1568/getInfo.php?workbook=10_05.xlsx&amp;sheet=U0&amp;row=821&amp;col=6&amp;number=4.7&amp;sourceID=14","4.7")</f>
        <v>4.7</v>
      </c>
      <c r="G821" s="4" t="str">
        <f>HYPERLINK("http://141.218.60.56/~jnz1568/getInfo.php?workbook=10_05.xlsx&amp;sheet=U0&amp;row=821&amp;col=7&amp;number=0.0108&amp;sourceID=14","0.0108")</f>
        <v>0.0108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HYPERLINK("http://141.218.60.56/~jnz1568/getInfo.php?workbook=10_05.xlsx&amp;sheet=U0&amp;row=822&amp;col=6&amp;number=4.8&amp;sourceID=14","4.8")</f>
        <v>4.8</v>
      </c>
      <c r="G822" s="4" t="str">
        <f>HYPERLINK("http://141.218.60.56/~jnz1568/getInfo.php?workbook=10_05.xlsx&amp;sheet=U0&amp;row=822&amp;col=7&amp;number=0.00955&amp;sourceID=14","0.00955")</f>
        <v>0.00955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HYPERLINK("http://141.218.60.56/~jnz1568/getInfo.php?workbook=10_05.xlsx&amp;sheet=U0&amp;row=823&amp;col=6&amp;number=4.9&amp;sourceID=14","4.9")</f>
        <v>4.9</v>
      </c>
      <c r="G823" s="4" t="str">
        <f>HYPERLINK("http://141.218.60.56/~jnz1568/getInfo.php?workbook=10_05.xlsx&amp;sheet=U0&amp;row=823&amp;col=7&amp;number=0.00847&amp;sourceID=14","0.00847")</f>
        <v>0.00847</v>
      </c>
    </row>
    <row r="824" spans="1:7">
      <c r="A824" s="3">
        <v>10</v>
      </c>
      <c r="B824" s="3">
        <v>5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HYPERLINK("http://141.218.60.56/~jnz1568/getInfo.php?workbook=10_05.xlsx&amp;sheet=U0&amp;row=824&amp;col=6&amp;number=3&amp;sourceID=14","3")</f>
        <v>3</v>
      </c>
      <c r="G824" s="4" t="str">
        <f>HYPERLINK("http://141.218.60.56/~jnz1568/getInfo.php?workbook=10_05.xlsx&amp;sheet=U0&amp;row=824&amp;col=7&amp;number=0.00872&amp;sourceID=14","0.00872")</f>
        <v>0.00872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HYPERLINK("http://141.218.60.56/~jnz1568/getInfo.php?workbook=10_05.xlsx&amp;sheet=U0&amp;row=825&amp;col=6&amp;number=3.1&amp;sourceID=14","3.1")</f>
        <v>3.1</v>
      </c>
      <c r="G825" s="4" t="str">
        <f>HYPERLINK("http://141.218.60.56/~jnz1568/getInfo.php?workbook=10_05.xlsx&amp;sheet=U0&amp;row=825&amp;col=7&amp;number=0.0087&amp;sourceID=14","0.0087")</f>
        <v>0.0087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HYPERLINK("http://141.218.60.56/~jnz1568/getInfo.php?workbook=10_05.xlsx&amp;sheet=U0&amp;row=826&amp;col=6&amp;number=3.2&amp;sourceID=14","3.2")</f>
        <v>3.2</v>
      </c>
      <c r="G826" s="4" t="str">
        <f>HYPERLINK("http://141.218.60.56/~jnz1568/getInfo.php?workbook=10_05.xlsx&amp;sheet=U0&amp;row=826&amp;col=7&amp;number=0.00867&amp;sourceID=14","0.00867")</f>
        <v>0.00867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HYPERLINK("http://141.218.60.56/~jnz1568/getInfo.php?workbook=10_05.xlsx&amp;sheet=U0&amp;row=827&amp;col=6&amp;number=3.3&amp;sourceID=14","3.3")</f>
        <v>3.3</v>
      </c>
      <c r="G827" s="4" t="str">
        <f>HYPERLINK("http://141.218.60.56/~jnz1568/getInfo.php?workbook=10_05.xlsx&amp;sheet=U0&amp;row=827&amp;col=7&amp;number=0.00863&amp;sourceID=14","0.00863")</f>
        <v>0.00863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HYPERLINK("http://141.218.60.56/~jnz1568/getInfo.php?workbook=10_05.xlsx&amp;sheet=U0&amp;row=828&amp;col=6&amp;number=3.4&amp;sourceID=14","3.4")</f>
        <v>3.4</v>
      </c>
      <c r="G828" s="4" t="str">
        <f>HYPERLINK("http://141.218.60.56/~jnz1568/getInfo.php?workbook=10_05.xlsx&amp;sheet=U0&amp;row=828&amp;col=7&amp;number=0.00858&amp;sourceID=14","0.00858")</f>
        <v>0.00858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HYPERLINK("http://141.218.60.56/~jnz1568/getInfo.php?workbook=10_05.xlsx&amp;sheet=U0&amp;row=829&amp;col=6&amp;number=3.5&amp;sourceID=14","3.5")</f>
        <v>3.5</v>
      </c>
      <c r="G829" s="4" t="str">
        <f>HYPERLINK("http://141.218.60.56/~jnz1568/getInfo.php?workbook=10_05.xlsx&amp;sheet=U0&amp;row=829&amp;col=7&amp;number=0.00853&amp;sourceID=14","0.00853")</f>
        <v>0.00853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HYPERLINK("http://141.218.60.56/~jnz1568/getInfo.php?workbook=10_05.xlsx&amp;sheet=U0&amp;row=830&amp;col=6&amp;number=3.6&amp;sourceID=14","3.6")</f>
        <v>3.6</v>
      </c>
      <c r="G830" s="4" t="str">
        <f>HYPERLINK("http://141.218.60.56/~jnz1568/getInfo.php?workbook=10_05.xlsx&amp;sheet=U0&amp;row=830&amp;col=7&amp;number=0.00846&amp;sourceID=14","0.00846")</f>
        <v>0.00846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HYPERLINK("http://141.218.60.56/~jnz1568/getInfo.php?workbook=10_05.xlsx&amp;sheet=U0&amp;row=831&amp;col=6&amp;number=3.7&amp;sourceID=14","3.7")</f>
        <v>3.7</v>
      </c>
      <c r="G831" s="4" t="str">
        <f>HYPERLINK("http://141.218.60.56/~jnz1568/getInfo.php?workbook=10_05.xlsx&amp;sheet=U0&amp;row=831&amp;col=7&amp;number=0.00837&amp;sourceID=14","0.00837")</f>
        <v>0.00837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HYPERLINK("http://141.218.60.56/~jnz1568/getInfo.php?workbook=10_05.xlsx&amp;sheet=U0&amp;row=832&amp;col=6&amp;number=3.8&amp;sourceID=14","3.8")</f>
        <v>3.8</v>
      </c>
      <c r="G832" s="4" t="str">
        <f>HYPERLINK("http://141.218.60.56/~jnz1568/getInfo.php?workbook=10_05.xlsx&amp;sheet=U0&amp;row=832&amp;col=7&amp;number=0.00826&amp;sourceID=14","0.00826")</f>
        <v>0.00826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HYPERLINK("http://141.218.60.56/~jnz1568/getInfo.php?workbook=10_05.xlsx&amp;sheet=U0&amp;row=833&amp;col=6&amp;number=3.9&amp;sourceID=14","3.9")</f>
        <v>3.9</v>
      </c>
      <c r="G833" s="4" t="str">
        <f>HYPERLINK("http://141.218.60.56/~jnz1568/getInfo.php?workbook=10_05.xlsx&amp;sheet=U0&amp;row=833&amp;col=7&amp;number=0.00813&amp;sourceID=14","0.00813")</f>
        <v>0.00813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HYPERLINK("http://141.218.60.56/~jnz1568/getInfo.php?workbook=10_05.xlsx&amp;sheet=U0&amp;row=834&amp;col=6&amp;number=4&amp;sourceID=14","4")</f>
        <v>4</v>
      </c>
      <c r="G834" s="4" t="str">
        <f>HYPERLINK("http://141.218.60.56/~jnz1568/getInfo.php?workbook=10_05.xlsx&amp;sheet=U0&amp;row=834&amp;col=7&amp;number=0.00798&amp;sourceID=14","0.00798")</f>
        <v>0.00798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HYPERLINK("http://141.218.60.56/~jnz1568/getInfo.php?workbook=10_05.xlsx&amp;sheet=U0&amp;row=835&amp;col=6&amp;number=4.1&amp;sourceID=14","4.1")</f>
        <v>4.1</v>
      </c>
      <c r="G835" s="4" t="str">
        <f>HYPERLINK("http://141.218.60.56/~jnz1568/getInfo.php?workbook=10_05.xlsx&amp;sheet=U0&amp;row=835&amp;col=7&amp;number=0.0078&amp;sourceID=14","0.0078")</f>
        <v>0.0078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HYPERLINK("http://141.218.60.56/~jnz1568/getInfo.php?workbook=10_05.xlsx&amp;sheet=U0&amp;row=836&amp;col=6&amp;number=4.2&amp;sourceID=14","4.2")</f>
        <v>4.2</v>
      </c>
      <c r="G836" s="4" t="str">
        <f>HYPERLINK("http://141.218.60.56/~jnz1568/getInfo.php?workbook=10_05.xlsx&amp;sheet=U0&amp;row=836&amp;col=7&amp;number=0.0076&amp;sourceID=14","0.0076")</f>
        <v>0.0076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HYPERLINK("http://141.218.60.56/~jnz1568/getInfo.php?workbook=10_05.xlsx&amp;sheet=U0&amp;row=837&amp;col=6&amp;number=4.3&amp;sourceID=14","4.3")</f>
        <v>4.3</v>
      </c>
      <c r="G837" s="4" t="str">
        <f>HYPERLINK("http://141.218.60.56/~jnz1568/getInfo.php?workbook=10_05.xlsx&amp;sheet=U0&amp;row=837&amp;col=7&amp;number=0.00739&amp;sourceID=14","0.00739")</f>
        <v>0.00739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HYPERLINK("http://141.218.60.56/~jnz1568/getInfo.php?workbook=10_05.xlsx&amp;sheet=U0&amp;row=838&amp;col=6&amp;number=4.4&amp;sourceID=14","4.4")</f>
        <v>4.4</v>
      </c>
      <c r="G838" s="4" t="str">
        <f>HYPERLINK("http://141.218.60.56/~jnz1568/getInfo.php?workbook=10_05.xlsx&amp;sheet=U0&amp;row=838&amp;col=7&amp;number=0.00719&amp;sourceID=14","0.00719")</f>
        <v>0.00719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HYPERLINK("http://141.218.60.56/~jnz1568/getInfo.php?workbook=10_05.xlsx&amp;sheet=U0&amp;row=839&amp;col=6&amp;number=4.5&amp;sourceID=14","4.5")</f>
        <v>4.5</v>
      </c>
      <c r="G839" s="4" t="str">
        <f>HYPERLINK("http://141.218.60.56/~jnz1568/getInfo.php?workbook=10_05.xlsx&amp;sheet=U0&amp;row=839&amp;col=7&amp;number=0.00701&amp;sourceID=14","0.00701")</f>
        <v>0.00701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HYPERLINK("http://141.218.60.56/~jnz1568/getInfo.php?workbook=10_05.xlsx&amp;sheet=U0&amp;row=840&amp;col=6&amp;number=4.6&amp;sourceID=14","4.6")</f>
        <v>4.6</v>
      </c>
      <c r="G840" s="4" t="str">
        <f>HYPERLINK("http://141.218.60.56/~jnz1568/getInfo.php?workbook=10_05.xlsx&amp;sheet=U0&amp;row=840&amp;col=7&amp;number=0.00684&amp;sourceID=14","0.00684")</f>
        <v>0.00684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HYPERLINK("http://141.218.60.56/~jnz1568/getInfo.php?workbook=10_05.xlsx&amp;sheet=U0&amp;row=841&amp;col=6&amp;number=4.7&amp;sourceID=14","4.7")</f>
        <v>4.7</v>
      </c>
      <c r="G841" s="4" t="str">
        <f>HYPERLINK("http://141.218.60.56/~jnz1568/getInfo.php?workbook=10_05.xlsx&amp;sheet=U0&amp;row=841&amp;col=7&amp;number=0.00667&amp;sourceID=14","0.00667")</f>
        <v>0.00667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HYPERLINK("http://141.218.60.56/~jnz1568/getInfo.php?workbook=10_05.xlsx&amp;sheet=U0&amp;row=842&amp;col=6&amp;number=4.8&amp;sourceID=14","4.8")</f>
        <v>4.8</v>
      </c>
      <c r="G842" s="4" t="str">
        <f>HYPERLINK("http://141.218.60.56/~jnz1568/getInfo.php?workbook=10_05.xlsx&amp;sheet=U0&amp;row=842&amp;col=7&amp;number=0.0065&amp;sourceID=14","0.0065")</f>
        <v>0.0065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HYPERLINK("http://141.218.60.56/~jnz1568/getInfo.php?workbook=10_05.xlsx&amp;sheet=U0&amp;row=843&amp;col=6&amp;number=4.9&amp;sourceID=14","4.9")</f>
        <v>4.9</v>
      </c>
      <c r="G843" s="4" t="str">
        <f>HYPERLINK("http://141.218.60.56/~jnz1568/getInfo.php?workbook=10_05.xlsx&amp;sheet=U0&amp;row=843&amp;col=7&amp;number=0.00631&amp;sourceID=14","0.00631")</f>
        <v>0.00631</v>
      </c>
    </row>
    <row r="844" spans="1:7">
      <c r="A844" s="3">
        <v>10</v>
      </c>
      <c r="B844" s="3">
        <v>5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HYPERLINK("http://141.218.60.56/~jnz1568/getInfo.php?workbook=10_05.xlsx&amp;sheet=U0&amp;row=844&amp;col=6&amp;number=3&amp;sourceID=14","3")</f>
        <v>3</v>
      </c>
      <c r="G844" s="4" t="str">
        <f>HYPERLINK("http://141.218.60.56/~jnz1568/getInfo.php?workbook=10_05.xlsx&amp;sheet=U0&amp;row=844&amp;col=7&amp;number=0.0159&amp;sourceID=14","0.0159")</f>
        <v>0.0159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HYPERLINK("http://141.218.60.56/~jnz1568/getInfo.php?workbook=10_05.xlsx&amp;sheet=U0&amp;row=845&amp;col=6&amp;number=3.1&amp;sourceID=14","3.1")</f>
        <v>3.1</v>
      </c>
      <c r="G845" s="4" t="str">
        <f>HYPERLINK("http://141.218.60.56/~jnz1568/getInfo.php?workbook=10_05.xlsx&amp;sheet=U0&amp;row=845&amp;col=7&amp;number=0.0159&amp;sourceID=14","0.0159")</f>
        <v>0.0159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HYPERLINK("http://141.218.60.56/~jnz1568/getInfo.php?workbook=10_05.xlsx&amp;sheet=U0&amp;row=846&amp;col=6&amp;number=3.2&amp;sourceID=14","3.2")</f>
        <v>3.2</v>
      </c>
      <c r="G846" s="4" t="str">
        <f>HYPERLINK("http://141.218.60.56/~jnz1568/getInfo.php?workbook=10_05.xlsx&amp;sheet=U0&amp;row=846&amp;col=7&amp;number=0.0158&amp;sourceID=14","0.0158")</f>
        <v>0.0158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HYPERLINK("http://141.218.60.56/~jnz1568/getInfo.php?workbook=10_05.xlsx&amp;sheet=U0&amp;row=847&amp;col=6&amp;number=3.3&amp;sourceID=14","3.3")</f>
        <v>3.3</v>
      </c>
      <c r="G847" s="4" t="str">
        <f>HYPERLINK("http://141.218.60.56/~jnz1568/getInfo.php?workbook=10_05.xlsx&amp;sheet=U0&amp;row=847&amp;col=7&amp;number=0.0158&amp;sourceID=14","0.0158")</f>
        <v>0.0158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HYPERLINK("http://141.218.60.56/~jnz1568/getInfo.php?workbook=10_05.xlsx&amp;sheet=U0&amp;row=848&amp;col=6&amp;number=3.4&amp;sourceID=14","3.4")</f>
        <v>3.4</v>
      </c>
      <c r="G848" s="4" t="str">
        <f>HYPERLINK("http://141.218.60.56/~jnz1568/getInfo.php?workbook=10_05.xlsx&amp;sheet=U0&amp;row=848&amp;col=7&amp;number=0.0157&amp;sourceID=14","0.0157")</f>
        <v>0.0157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HYPERLINK("http://141.218.60.56/~jnz1568/getInfo.php?workbook=10_05.xlsx&amp;sheet=U0&amp;row=849&amp;col=6&amp;number=3.5&amp;sourceID=14","3.5")</f>
        <v>3.5</v>
      </c>
      <c r="G849" s="4" t="str">
        <f>HYPERLINK("http://141.218.60.56/~jnz1568/getInfo.php?workbook=10_05.xlsx&amp;sheet=U0&amp;row=849&amp;col=7&amp;number=0.0156&amp;sourceID=14","0.0156")</f>
        <v>0.0156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HYPERLINK("http://141.218.60.56/~jnz1568/getInfo.php?workbook=10_05.xlsx&amp;sheet=U0&amp;row=850&amp;col=6&amp;number=3.6&amp;sourceID=14","3.6")</f>
        <v>3.6</v>
      </c>
      <c r="G850" s="4" t="str">
        <f>HYPERLINK("http://141.218.60.56/~jnz1568/getInfo.php?workbook=10_05.xlsx&amp;sheet=U0&amp;row=850&amp;col=7&amp;number=0.0155&amp;sourceID=14","0.0155")</f>
        <v>0.0155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HYPERLINK("http://141.218.60.56/~jnz1568/getInfo.php?workbook=10_05.xlsx&amp;sheet=U0&amp;row=851&amp;col=6&amp;number=3.7&amp;sourceID=14","3.7")</f>
        <v>3.7</v>
      </c>
      <c r="G851" s="4" t="str">
        <f>HYPERLINK("http://141.218.60.56/~jnz1568/getInfo.php?workbook=10_05.xlsx&amp;sheet=U0&amp;row=851&amp;col=7&amp;number=0.0154&amp;sourceID=14","0.0154")</f>
        <v>0.0154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HYPERLINK("http://141.218.60.56/~jnz1568/getInfo.php?workbook=10_05.xlsx&amp;sheet=U0&amp;row=852&amp;col=6&amp;number=3.8&amp;sourceID=14","3.8")</f>
        <v>3.8</v>
      </c>
      <c r="G852" s="4" t="str">
        <f>HYPERLINK("http://141.218.60.56/~jnz1568/getInfo.php?workbook=10_05.xlsx&amp;sheet=U0&amp;row=852&amp;col=7&amp;number=0.0153&amp;sourceID=14","0.0153")</f>
        <v>0.0153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HYPERLINK("http://141.218.60.56/~jnz1568/getInfo.php?workbook=10_05.xlsx&amp;sheet=U0&amp;row=853&amp;col=6&amp;number=3.9&amp;sourceID=14","3.9")</f>
        <v>3.9</v>
      </c>
      <c r="G853" s="4" t="str">
        <f>HYPERLINK("http://141.218.60.56/~jnz1568/getInfo.php?workbook=10_05.xlsx&amp;sheet=U0&amp;row=853&amp;col=7&amp;number=0.0151&amp;sourceID=14","0.0151")</f>
        <v>0.0151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HYPERLINK("http://141.218.60.56/~jnz1568/getInfo.php?workbook=10_05.xlsx&amp;sheet=U0&amp;row=854&amp;col=6&amp;number=4&amp;sourceID=14","4")</f>
        <v>4</v>
      </c>
      <c r="G854" s="4" t="str">
        <f>HYPERLINK("http://141.218.60.56/~jnz1568/getInfo.php?workbook=10_05.xlsx&amp;sheet=U0&amp;row=854&amp;col=7&amp;number=0.0148&amp;sourceID=14","0.0148")</f>
        <v>0.0148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HYPERLINK("http://141.218.60.56/~jnz1568/getInfo.php?workbook=10_05.xlsx&amp;sheet=U0&amp;row=855&amp;col=6&amp;number=4.1&amp;sourceID=14","4.1")</f>
        <v>4.1</v>
      </c>
      <c r="G855" s="4" t="str">
        <f>HYPERLINK("http://141.218.60.56/~jnz1568/getInfo.php?workbook=10_05.xlsx&amp;sheet=U0&amp;row=855&amp;col=7&amp;number=0.0146&amp;sourceID=14","0.0146")</f>
        <v>0.0146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HYPERLINK("http://141.218.60.56/~jnz1568/getInfo.php?workbook=10_05.xlsx&amp;sheet=U0&amp;row=856&amp;col=6&amp;number=4.2&amp;sourceID=14","4.2")</f>
        <v>4.2</v>
      </c>
      <c r="G856" s="4" t="str">
        <f>HYPERLINK("http://141.218.60.56/~jnz1568/getInfo.php?workbook=10_05.xlsx&amp;sheet=U0&amp;row=856&amp;col=7&amp;number=0.0142&amp;sourceID=14","0.0142")</f>
        <v>0.0142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HYPERLINK("http://141.218.60.56/~jnz1568/getInfo.php?workbook=10_05.xlsx&amp;sheet=U0&amp;row=857&amp;col=6&amp;number=4.3&amp;sourceID=14","4.3")</f>
        <v>4.3</v>
      </c>
      <c r="G857" s="4" t="str">
        <f>HYPERLINK("http://141.218.60.56/~jnz1568/getInfo.php?workbook=10_05.xlsx&amp;sheet=U0&amp;row=857&amp;col=7&amp;number=0.0139&amp;sourceID=14","0.0139")</f>
        <v>0.0139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HYPERLINK("http://141.218.60.56/~jnz1568/getInfo.php?workbook=10_05.xlsx&amp;sheet=U0&amp;row=858&amp;col=6&amp;number=4.4&amp;sourceID=14","4.4")</f>
        <v>4.4</v>
      </c>
      <c r="G858" s="4" t="str">
        <f>HYPERLINK("http://141.218.60.56/~jnz1568/getInfo.php?workbook=10_05.xlsx&amp;sheet=U0&amp;row=858&amp;col=7&amp;number=0.0135&amp;sourceID=14","0.0135")</f>
        <v>0.0135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HYPERLINK("http://141.218.60.56/~jnz1568/getInfo.php?workbook=10_05.xlsx&amp;sheet=U0&amp;row=859&amp;col=6&amp;number=4.5&amp;sourceID=14","4.5")</f>
        <v>4.5</v>
      </c>
      <c r="G859" s="4" t="str">
        <f>HYPERLINK("http://141.218.60.56/~jnz1568/getInfo.php?workbook=10_05.xlsx&amp;sheet=U0&amp;row=859&amp;col=7&amp;number=0.0132&amp;sourceID=14","0.0132")</f>
        <v>0.0132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HYPERLINK("http://141.218.60.56/~jnz1568/getInfo.php?workbook=10_05.xlsx&amp;sheet=U0&amp;row=860&amp;col=6&amp;number=4.6&amp;sourceID=14","4.6")</f>
        <v>4.6</v>
      </c>
      <c r="G860" s="4" t="str">
        <f>HYPERLINK("http://141.218.60.56/~jnz1568/getInfo.php?workbook=10_05.xlsx&amp;sheet=U0&amp;row=860&amp;col=7&amp;number=0.0128&amp;sourceID=14","0.0128")</f>
        <v>0.0128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HYPERLINK("http://141.218.60.56/~jnz1568/getInfo.php?workbook=10_05.xlsx&amp;sheet=U0&amp;row=861&amp;col=6&amp;number=4.7&amp;sourceID=14","4.7")</f>
        <v>4.7</v>
      </c>
      <c r="G861" s="4" t="str">
        <f>HYPERLINK("http://141.218.60.56/~jnz1568/getInfo.php?workbook=10_05.xlsx&amp;sheet=U0&amp;row=861&amp;col=7&amp;number=0.0125&amp;sourceID=14","0.0125")</f>
        <v>0.0125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HYPERLINK("http://141.218.60.56/~jnz1568/getInfo.php?workbook=10_05.xlsx&amp;sheet=U0&amp;row=862&amp;col=6&amp;number=4.8&amp;sourceID=14","4.8")</f>
        <v>4.8</v>
      </c>
      <c r="G862" s="4" t="str">
        <f>HYPERLINK("http://141.218.60.56/~jnz1568/getInfo.php?workbook=10_05.xlsx&amp;sheet=U0&amp;row=862&amp;col=7&amp;number=0.0122&amp;sourceID=14","0.0122")</f>
        <v>0.0122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HYPERLINK("http://141.218.60.56/~jnz1568/getInfo.php?workbook=10_05.xlsx&amp;sheet=U0&amp;row=863&amp;col=6&amp;number=4.9&amp;sourceID=14","4.9")</f>
        <v>4.9</v>
      </c>
      <c r="G863" s="4" t="str">
        <f>HYPERLINK("http://141.218.60.56/~jnz1568/getInfo.php?workbook=10_05.xlsx&amp;sheet=U0&amp;row=863&amp;col=7&amp;number=0.0119&amp;sourceID=14","0.0119")</f>
        <v>0.0119</v>
      </c>
    </row>
    <row r="864" spans="1:7">
      <c r="A864" s="3">
        <v>10</v>
      </c>
      <c r="B864" s="3">
        <v>5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HYPERLINK("http://141.218.60.56/~jnz1568/getInfo.php?workbook=10_05.xlsx&amp;sheet=U0&amp;row=864&amp;col=6&amp;number=3&amp;sourceID=14","3")</f>
        <v>3</v>
      </c>
      <c r="G864" s="4" t="str">
        <f>HYPERLINK("http://141.218.60.56/~jnz1568/getInfo.php?workbook=10_05.xlsx&amp;sheet=U0&amp;row=864&amp;col=7&amp;number=0.0202&amp;sourceID=14","0.0202")</f>
        <v>0.0202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HYPERLINK("http://141.218.60.56/~jnz1568/getInfo.php?workbook=10_05.xlsx&amp;sheet=U0&amp;row=865&amp;col=6&amp;number=3.1&amp;sourceID=14","3.1")</f>
        <v>3.1</v>
      </c>
      <c r="G865" s="4" t="str">
        <f>HYPERLINK("http://141.218.60.56/~jnz1568/getInfo.php?workbook=10_05.xlsx&amp;sheet=U0&amp;row=865&amp;col=7&amp;number=0.0202&amp;sourceID=14","0.0202")</f>
        <v>0.0202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HYPERLINK("http://141.218.60.56/~jnz1568/getInfo.php?workbook=10_05.xlsx&amp;sheet=U0&amp;row=866&amp;col=6&amp;number=3.2&amp;sourceID=14","3.2")</f>
        <v>3.2</v>
      </c>
      <c r="G866" s="4" t="str">
        <f>HYPERLINK("http://141.218.60.56/~jnz1568/getInfo.php?workbook=10_05.xlsx&amp;sheet=U0&amp;row=866&amp;col=7&amp;number=0.0201&amp;sourceID=14","0.0201")</f>
        <v>0.0201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HYPERLINK("http://141.218.60.56/~jnz1568/getInfo.php?workbook=10_05.xlsx&amp;sheet=U0&amp;row=867&amp;col=6&amp;number=3.3&amp;sourceID=14","3.3")</f>
        <v>3.3</v>
      </c>
      <c r="G867" s="4" t="str">
        <f>HYPERLINK("http://141.218.60.56/~jnz1568/getInfo.php?workbook=10_05.xlsx&amp;sheet=U0&amp;row=867&amp;col=7&amp;number=0.0201&amp;sourceID=14","0.0201")</f>
        <v>0.0201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HYPERLINK("http://141.218.60.56/~jnz1568/getInfo.php?workbook=10_05.xlsx&amp;sheet=U0&amp;row=868&amp;col=6&amp;number=3.4&amp;sourceID=14","3.4")</f>
        <v>3.4</v>
      </c>
      <c r="G868" s="4" t="str">
        <f>HYPERLINK("http://141.218.60.56/~jnz1568/getInfo.php?workbook=10_05.xlsx&amp;sheet=U0&amp;row=868&amp;col=7&amp;number=0.02&amp;sourceID=14","0.02")</f>
        <v>0.02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HYPERLINK("http://141.218.60.56/~jnz1568/getInfo.php?workbook=10_05.xlsx&amp;sheet=U0&amp;row=869&amp;col=6&amp;number=3.5&amp;sourceID=14","3.5")</f>
        <v>3.5</v>
      </c>
      <c r="G869" s="4" t="str">
        <f>HYPERLINK("http://141.218.60.56/~jnz1568/getInfo.php?workbook=10_05.xlsx&amp;sheet=U0&amp;row=869&amp;col=7&amp;number=0.0199&amp;sourceID=14","0.0199")</f>
        <v>0.0199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HYPERLINK("http://141.218.60.56/~jnz1568/getInfo.php?workbook=10_05.xlsx&amp;sheet=U0&amp;row=870&amp;col=6&amp;number=3.6&amp;sourceID=14","3.6")</f>
        <v>3.6</v>
      </c>
      <c r="G870" s="4" t="str">
        <f>HYPERLINK("http://141.218.60.56/~jnz1568/getInfo.php?workbook=10_05.xlsx&amp;sheet=U0&amp;row=870&amp;col=7&amp;number=0.0198&amp;sourceID=14","0.0198")</f>
        <v>0.0198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HYPERLINK("http://141.218.60.56/~jnz1568/getInfo.php?workbook=10_05.xlsx&amp;sheet=U0&amp;row=871&amp;col=6&amp;number=3.7&amp;sourceID=14","3.7")</f>
        <v>3.7</v>
      </c>
      <c r="G871" s="4" t="str">
        <f>HYPERLINK("http://141.218.60.56/~jnz1568/getInfo.php?workbook=10_05.xlsx&amp;sheet=U0&amp;row=871&amp;col=7&amp;number=0.0197&amp;sourceID=14","0.0197")</f>
        <v>0.0197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HYPERLINK("http://141.218.60.56/~jnz1568/getInfo.php?workbook=10_05.xlsx&amp;sheet=U0&amp;row=872&amp;col=6&amp;number=3.8&amp;sourceID=14","3.8")</f>
        <v>3.8</v>
      </c>
      <c r="G872" s="4" t="str">
        <f>HYPERLINK("http://141.218.60.56/~jnz1568/getInfo.php?workbook=10_05.xlsx&amp;sheet=U0&amp;row=872&amp;col=7&amp;number=0.0195&amp;sourceID=14","0.0195")</f>
        <v>0.0195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HYPERLINK("http://141.218.60.56/~jnz1568/getInfo.php?workbook=10_05.xlsx&amp;sheet=U0&amp;row=873&amp;col=6&amp;number=3.9&amp;sourceID=14","3.9")</f>
        <v>3.9</v>
      </c>
      <c r="G873" s="4" t="str">
        <f>HYPERLINK("http://141.218.60.56/~jnz1568/getInfo.php?workbook=10_05.xlsx&amp;sheet=U0&amp;row=873&amp;col=7&amp;number=0.0193&amp;sourceID=14","0.0193")</f>
        <v>0.0193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HYPERLINK("http://141.218.60.56/~jnz1568/getInfo.php?workbook=10_05.xlsx&amp;sheet=U0&amp;row=874&amp;col=6&amp;number=4&amp;sourceID=14","4")</f>
        <v>4</v>
      </c>
      <c r="G874" s="4" t="str">
        <f>HYPERLINK("http://141.218.60.56/~jnz1568/getInfo.php?workbook=10_05.xlsx&amp;sheet=U0&amp;row=874&amp;col=7&amp;number=0.019&amp;sourceID=14","0.019")</f>
        <v>0.019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HYPERLINK("http://141.218.60.56/~jnz1568/getInfo.php?workbook=10_05.xlsx&amp;sheet=U0&amp;row=875&amp;col=6&amp;number=4.1&amp;sourceID=14","4.1")</f>
        <v>4.1</v>
      </c>
      <c r="G875" s="4" t="str">
        <f>HYPERLINK("http://141.218.60.56/~jnz1568/getInfo.php?workbook=10_05.xlsx&amp;sheet=U0&amp;row=875&amp;col=7&amp;number=0.0187&amp;sourceID=14","0.0187")</f>
        <v>0.0187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HYPERLINK("http://141.218.60.56/~jnz1568/getInfo.php?workbook=10_05.xlsx&amp;sheet=U0&amp;row=876&amp;col=6&amp;number=4.2&amp;sourceID=14","4.2")</f>
        <v>4.2</v>
      </c>
      <c r="G876" s="4" t="str">
        <f>HYPERLINK("http://141.218.60.56/~jnz1568/getInfo.php?workbook=10_05.xlsx&amp;sheet=U0&amp;row=876&amp;col=7&amp;number=0.0183&amp;sourceID=14","0.0183")</f>
        <v>0.0183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HYPERLINK("http://141.218.60.56/~jnz1568/getInfo.php?workbook=10_05.xlsx&amp;sheet=U0&amp;row=877&amp;col=6&amp;number=4.3&amp;sourceID=14","4.3")</f>
        <v>4.3</v>
      </c>
      <c r="G877" s="4" t="str">
        <f>HYPERLINK("http://141.218.60.56/~jnz1568/getInfo.php?workbook=10_05.xlsx&amp;sheet=U0&amp;row=877&amp;col=7&amp;number=0.0179&amp;sourceID=14","0.0179")</f>
        <v>0.0179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HYPERLINK("http://141.218.60.56/~jnz1568/getInfo.php?workbook=10_05.xlsx&amp;sheet=U0&amp;row=878&amp;col=6&amp;number=4.4&amp;sourceID=14","4.4")</f>
        <v>4.4</v>
      </c>
      <c r="G878" s="4" t="str">
        <f>HYPERLINK("http://141.218.60.56/~jnz1568/getInfo.php?workbook=10_05.xlsx&amp;sheet=U0&amp;row=878&amp;col=7&amp;number=0.0174&amp;sourceID=14","0.0174")</f>
        <v>0.0174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HYPERLINK("http://141.218.60.56/~jnz1568/getInfo.php?workbook=10_05.xlsx&amp;sheet=U0&amp;row=879&amp;col=6&amp;number=4.5&amp;sourceID=14","4.5")</f>
        <v>4.5</v>
      </c>
      <c r="G879" s="4" t="str">
        <f>HYPERLINK("http://141.218.60.56/~jnz1568/getInfo.php?workbook=10_05.xlsx&amp;sheet=U0&amp;row=879&amp;col=7&amp;number=0.0169&amp;sourceID=14","0.0169")</f>
        <v>0.0169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HYPERLINK("http://141.218.60.56/~jnz1568/getInfo.php?workbook=10_05.xlsx&amp;sheet=U0&amp;row=880&amp;col=6&amp;number=4.6&amp;sourceID=14","4.6")</f>
        <v>4.6</v>
      </c>
      <c r="G880" s="4" t="str">
        <f>HYPERLINK("http://141.218.60.56/~jnz1568/getInfo.php?workbook=10_05.xlsx&amp;sheet=U0&amp;row=880&amp;col=7&amp;number=0.0164&amp;sourceID=14","0.0164")</f>
        <v>0.0164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HYPERLINK("http://141.218.60.56/~jnz1568/getInfo.php?workbook=10_05.xlsx&amp;sheet=U0&amp;row=881&amp;col=6&amp;number=4.7&amp;sourceID=14","4.7")</f>
        <v>4.7</v>
      </c>
      <c r="G881" s="4" t="str">
        <f>HYPERLINK("http://141.218.60.56/~jnz1568/getInfo.php?workbook=10_05.xlsx&amp;sheet=U0&amp;row=881&amp;col=7&amp;number=0.016&amp;sourceID=14","0.016")</f>
        <v>0.016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HYPERLINK("http://141.218.60.56/~jnz1568/getInfo.php?workbook=10_05.xlsx&amp;sheet=U0&amp;row=882&amp;col=6&amp;number=4.8&amp;sourceID=14","4.8")</f>
        <v>4.8</v>
      </c>
      <c r="G882" s="4" t="str">
        <f>HYPERLINK("http://141.218.60.56/~jnz1568/getInfo.php?workbook=10_05.xlsx&amp;sheet=U0&amp;row=882&amp;col=7&amp;number=0.0156&amp;sourceID=14","0.0156")</f>
        <v>0.0156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HYPERLINK("http://141.218.60.56/~jnz1568/getInfo.php?workbook=10_05.xlsx&amp;sheet=U0&amp;row=883&amp;col=6&amp;number=4.9&amp;sourceID=14","4.9")</f>
        <v>4.9</v>
      </c>
      <c r="G883" s="4" t="str">
        <f>HYPERLINK("http://141.218.60.56/~jnz1568/getInfo.php?workbook=10_05.xlsx&amp;sheet=U0&amp;row=883&amp;col=7&amp;number=0.0152&amp;sourceID=14","0.0152")</f>
        <v>0.0152</v>
      </c>
    </row>
    <row r="884" spans="1:7">
      <c r="A884" s="3">
        <v>10</v>
      </c>
      <c r="B884" s="3">
        <v>5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HYPERLINK("http://141.218.60.56/~jnz1568/getInfo.php?workbook=10_05.xlsx&amp;sheet=U0&amp;row=884&amp;col=6&amp;number=3&amp;sourceID=14","3")</f>
        <v>3</v>
      </c>
      <c r="G884" s="4" t="str">
        <f>HYPERLINK("http://141.218.60.56/~jnz1568/getInfo.php?workbook=10_05.xlsx&amp;sheet=U0&amp;row=884&amp;col=7&amp;number=0.0174&amp;sourceID=14","0.0174")</f>
        <v>0.0174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HYPERLINK("http://141.218.60.56/~jnz1568/getInfo.php?workbook=10_05.xlsx&amp;sheet=U0&amp;row=885&amp;col=6&amp;number=3.1&amp;sourceID=14","3.1")</f>
        <v>3.1</v>
      </c>
      <c r="G885" s="4" t="str">
        <f>HYPERLINK("http://141.218.60.56/~jnz1568/getInfo.php?workbook=10_05.xlsx&amp;sheet=U0&amp;row=885&amp;col=7&amp;number=0.0174&amp;sourceID=14","0.0174")</f>
        <v>0.0174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HYPERLINK("http://141.218.60.56/~jnz1568/getInfo.php?workbook=10_05.xlsx&amp;sheet=U0&amp;row=886&amp;col=6&amp;number=3.2&amp;sourceID=14","3.2")</f>
        <v>3.2</v>
      </c>
      <c r="G886" s="4" t="str">
        <f>HYPERLINK("http://141.218.60.56/~jnz1568/getInfo.php?workbook=10_05.xlsx&amp;sheet=U0&amp;row=886&amp;col=7&amp;number=0.0174&amp;sourceID=14","0.0174")</f>
        <v>0.0174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HYPERLINK("http://141.218.60.56/~jnz1568/getInfo.php?workbook=10_05.xlsx&amp;sheet=U0&amp;row=887&amp;col=6&amp;number=3.3&amp;sourceID=14","3.3")</f>
        <v>3.3</v>
      </c>
      <c r="G887" s="4" t="str">
        <f>HYPERLINK("http://141.218.60.56/~jnz1568/getInfo.php?workbook=10_05.xlsx&amp;sheet=U0&amp;row=887&amp;col=7&amp;number=0.0173&amp;sourceID=14","0.0173")</f>
        <v>0.0173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HYPERLINK("http://141.218.60.56/~jnz1568/getInfo.php?workbook=10_05.xlsx&amp;sheet=U0&amp;row=888&amp;col=6&amp;number=3.4&amp;sourceID=14","3.4")</f>
        <v>3.4</v>
      </c>
      <c r="G888" s="4" t="str">
        <f>HYPERLINK("http://141.218.60.56/~jnz1568/getInfo.php?workbook=10_05.xlsx&amp;sheet=U0&amp;row=888&amp;col=7&amp;number=0.0173&amp;sourceID=14","0.0173")</f>
        <v>0.0173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HYPERLINK("http://141.218.60.56/~jnz1568/getInfo.php?workbook=10_05.xlsx&amp;sheet=U0&amp;row=889&amp;col=6&amp;number=3.5&amp;sourceID=14","3.5")</f>
        <v>3.5</v>
      </c>
      <c r="G889" s="4" t="str">
        <f>HYPERLINK("http://141.218.60.56/~jnz1568/getInfo.php?workbook=10_05.xlsx&amp;sheet=U0&amp;row=889&amp;col=7&amp;number=0.0172&amp;sourceID=14","0.0172")</f>
        <v>0.0172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HYPERLINK("http://141.218.60.56/~jnz1568/getInfo.php?workbook=10_05.xlsx&amp;sheet=U0&amp;row=890&amp;col=6&amp;number=3.6&amp;sourceID=14","3.6")</f>
        <v>3.6</v>
      </c>
      <c r="G890" s="4" t="str">
        <f>HYPERLINK("http://141.218.60.56/~jnz1568/getInfo.php?workbook=10_05.xlsx&amp;sheet=U0&amp;row=890&amp;col=7&amp;number=0.0171&amp;sourceID=14","0.0171")</f>
        <v>0.0171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HYPERLINK("http://141.218.60.56/~jnz1568/getInfo.php?workbook=10_05.xlsx&amp;sheet=U0&amp;row=891&amp;col=6&amp;number=3.7&amp;sourceID=14","3.7")</f>
        <v>3.7</v>
      </c>
      <c r="G891" s="4" t="str">
        <f>HYPERLINK("http://141.218.60.56/~jnz1568/getInfo.php?workbook=10_05.xlsx&amp;sheet=U0&amp;row=891&amp;col=7&amp;number=0.017&amp;sourceID=14","0.017")</f>
        <v>0.017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HYPERLINK("http://141.218.60.56/~jnz1568/getInfo.php?workbook=10_05.xlsx&amp;sheet=U0&amp;row=892&amp;col=6&amp;number=3.8&amp;sourceID=14","3.8")</f>
        <v>3.8</v>
      </c>
      <c r="G892" s="4" t="str">
        <f>HYPERLINK("http://141.218.60.56/~jnz1568/getInfo.php?workbook=10_05.xlsx&amp;sheet=U0&amp;row=892&amp;col=7&amp;number=0.0169&amp;sourceID=14","0.0169")</f>
        <v>0.0169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HYPERLINK("http://141.218.60.56/~jnz1568/getInfo.php?workbook=10_05.xlsx&amp;sheet=U0&amp;row=893&amp;col=6&amp;number=3.9&amp;sourceID=14","3.9")</f>
        <v>3.9</v>
      </c>
      <c r="G893" s="4" t="str">
        <f>HYPERLINK("http://141.218.60.56/~jnz1568/getInfo.php?workbook=10_05.xlsx&amp;sheet=U0&amp;row=893&amp;col=7&amp;number=0.0167&amp;sourceID=14","0.0167")</f>
        <v>0.0167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HYPERLINK("http://141.218.60.56/~jnz1568/getInfo.php?workbook=10_05.xlsx&amp;sheet=U0&amp;row=894&amp;col=6&amp;number=4&amp;sourceID=14","4")</f>
        <v>4</v>
      </c>
      <c r="G894" s="4" t="str">
        <f>HYPERLINK("http://141.218.60.56/~jnz1568/getInfo.php?workbook=10_05.xlsx&amp;sheet=U0&amp;row=894&amp;col=7&amp;number=0.0165&amp;sourceID=14","0.0165")</f>
        <v>0.0165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HYPERLINK("http://141.218.60.56/~jnz1568/getInfo.php?workbook=10_05.xlsx&amp;sheet=U0&amp;row=895&amp;col=6&amp;number=4.1&amp;sourceID=14","4.1")</f>
        <v>4.1</v>
      </c>
      <c r="G895" s="4" t="str">
        <f>HYPERLINK("http://141.218.60.56/~jnz1568/getInfo.php?workbook=10_05.xlsx&amp;sheet=U0&amp;row=895&amp;col=7&amp;number=0.0163&amp;sourceID=14","0.0163")</f>
        <v>0.0163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HYPERLINK("http://141.218.60.56/~jnz1568/getInfo.php?workbook=10_05.xlsx&amp;sheet=U0&amp;row=896&amp;col=6&amp;number=4.2&amp;sourceID=14","4.2")</f>
        <v>4.2</v>
      </c>
      <c r="G896" s="4" t="str">
        <f>HYPERLINK("http://141.218.60.56/~jnz1568/getInfo.php?workbook=10_05.xlsx&amp;sheet=U0&amp;row=896&amp;col=7&amp;number=0.0159&amp;sourceID=14","0.0159")</f>
        <v>0.0159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HYPERLINK("http://141.218.60.56/~jnz1568/getInfo.php?workbook=10_05.xlsx&amp;sheet=U0&amp;row=897&amp;col=6&amp;number=4.3&amp;sourceID=14","4.3")</f>
        <v>4.3</v>
      </c>
      <c r="G897" s="4" t="str">
        <f>HYPERLINK("http://141.218.60.56/~jnz1568/getInfo.php?workbook=10_05.xlsx&amp;sheet=U0&amp;row=897&amp;col=7&amp;number=0.0155&amp;sourceID=14","0.0155")</f>
        <v>0.0155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HYPERLINK("http://141.218.60.56/~jnz1568/getInfo.php?workbook=10_05.xlsx&amp;sheet=U0&amp;row=898&amp;col=6&amp;number=4.4&amp;sourceID=14","4.4")</f>
        <v>4.4</v>
      </c>
      <c r="G898" s="4" t="str">
        <f>HYPERLINK("http://141.218.60.56/~jnz1568/getInfo.php?workbook=10_05.xlsx&amp;sheet=U0&amp;row=898&amp;col=7&amp;number=0.015&amp;sourceID=14","0.015")</f>
        <v>0.015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HYPERLINK("http://141.218.60.56/~jnz1568/getInfo.php?workbook=10_05.xlsx&amp;sheet=U0&amp;row=899&amp;col=6&amp;number=4.5&amp;sourceID=14","4.5")</f>
        <v>4.5</v>
      </c>
      <c r="G899" s="4" t="str">
        <f>HYPERLINK("http://141.218.60.56/~jnz1568/getInfo.php?workbook=10_05.xlsx&amp;sheet=U0&amp;row=899&amp;col=7&amp;number=0.0144&amp;sourceID=14","0.0144")</f>
        <v>0.0144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HYPERLINK("http://141.218.60.56/~jnz1568/getInfo.php?workbook=10_05.xlsx&amp;sheet=U0&amp;row=900&amp;col=6&amp;number=4.6&amp;sourceID=14","4.6")</f>
        <v>4.6</v>
      </c>
      <c r="G900" s="4" t="str">
        <f>HYPERLINK("http://141.218.60.56/~jnz1568/getInfo.php?workbook=10_05.xlsx&amp;sheet=U0&amp;row=900&amp;col=7&amp;number=0.0138&amp;sourceID=14","0.0138")</f>
        <v>0.0138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HYPERLINK("http://141.218.60.56/~jnz1568/getInfo.php?workbook=10_05.xlsx&amp;sheet=U0&amp;row=901&amp;col=6&amp;number=4.7&amp;sourceID=14","4.7")</f>
        <v>4.7</v>
      </c>
      <c r="G901" s="4" t="str">
        <f>HYPERLINK("http://141.218.60.56/~jnz1568/getInfo.php?workbook=10_05.xlsx&amp;sheet=U0&amp;row=901&amp;col=7&amp;number=0.0132&amp;sourceID=14","0.0132")</f>
        <v>0.0132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HYPERLINK("http://141.218.60.56/~jnz1568/getInfo.php?workbook=10_05.xlsx&amp;sheet=U0&amp;row=902&amp;col=6&amp;number=4.8&amp;sourceID=14","4.8")</f>
        <v>4.8</v>
      </c>
      <c r="G902" s="4" t="str">
        <f>HYPERLINK("http://141.218.60.56/~jnz1568/getInfo.php?workbook=10_05.xlsx&amp;sheet=U0&amp;row=902&amp;col=7&amp;number=0.0128&amp;sourceID=14","0.0128")</f>
        <v>0.0128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HYPERLINK("http://141.218.60.56/~jnz1568/getInfo.php?workbook=10_05.xlsx&amp;sheet=U0&amp;row=903&amp;col=6&amp;number=4.9&amp;sourceID=14","4.9")</f>
        <v>4.9</v>
      </c>
      <c r="G903" s="4" t="str">
        <f>HYPERLINK("http://141.218.60.56/~jnz1568/getInfo.php?workbook=10_05.xlsx&amp;sheet=U0&amp;row=903&amp;col=7&amp;number=0.0124&amp;sourceID=14","0.0124")</f>
        <v>0.0124</v>
      </c>
    </row>
    <row r="904" spans="1:7">
      <c r="A904" s="3">
        <v>10</v>
      </c>
      <c r="B904" s="3">
        <v>5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HYPERLINK("http://141.218.60.56/~jnz1568/getInfo.php?workbook=10_05.xlsx&amp;sheet=U0&amp;row=904&amp;col=6&amp;number=3&amp;sourceID=14","3")</f>
        <v>3</v>
      </c>
      <c r="G904" s="4" t="str">
        <f>HYPERLINK("http://141.218.60.56/~jnz1568/getInfo.php?workbook=10_05.xlsx&amp;sheet=U0&amp;row=904&amp;col=7&amp;number=0.0403&amp;sourceID=14","0.0403")</f>
        <v>0.0403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HYPERLINK("http://141.218.60.56/~jnz1568/getInfo.php?workbook=10_05.xlsx&amp;sheet=U0&amp;row=905&amp;col=6&amp;number=3.1&amp;sourceID=14","3.1")</f>
        <v>3.1</v>
      </c>
      <c r="G905" s="4" t="str">
        <f>HYPERLINK("http://141.218.60.56/~jnz1568/getInfo.php?workbook=10_05.xlsx&amp;sheet=U0&amp;row=905&amp;col=7&amp;number=0.0402&amp;sourceID=14","0.0402")</f>
        <v>0.0402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HYPERLINK("http://141.218.60.56/~jnz1568/getInfo.php?workbook=10_05.xlsx&amp;sheet=U0&amp;row=906&amp;col=6&amp;number=3.2&amp;sourceID=14","3.2")</f>
        <v>3.2</v>
      </c>
      <c r="G906" s="4" t="str">
        <f>HYPERLINK("http://141.218.60.56/~jnz1568/getInfo.php?workbook=10_05.xlsx&amp;sheet=U0&amp;row=906&amp;col=7&amp;number=0.0401&amp;sourceID=14","0.0401")</f>
        <v>0.0401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HYPERLINK("http://141.218.60.56/~jnz1568/getInfo.php?workbook=10_05.xlsx&amp;sheet=U0&amp;row=907&amp;col=6&amp;number=3.3&amp;sourceID=14","3.3")</f>
        <v>3.3</v>
      </c>
      <c r="G907" s="4" t="str">
        <f>HYPERLINK("http://141.218.60.56/~jnz1568/getInfo.php?workbook=10_05.xlsx&amp;sheet=U0&amp;row=907&amp;col=7&amp;number=0.0399&amp;sourceID=14","0.0399")</f>
        <v>0.0399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HYPERLINK("http://141.218.60.56/~jnz1568/getInfo.php?workbook=10_05.xlsx&amp;sheet=U0&amp;row=908&amp;col=6&amp;number=3.4&amp;sourceID=14","3.4")</f>
        <v>3.4</v>
      </c>
      <c r="G908" s="4" t="str">
        <f>HYPERLINK("http://141.218.60.56/~jnz1568/getInfo.php?workbook=10_05.xlsx&amp;sheet=U0&amp;row=908&amp;col=7&amp;number=0.0397&amp;sourceID=14","0.0397")</f>
        <v>0.0397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HYPERLINK("http://141.218.60.56/~jnz1568/getInfo.php?workbook=10_05.xlsx&amp;sheet=U0&amp;row=909&amp;col=6&amp;number=3.5&amp;sourceID=14","3.5")</f>
        <v>3.5</v>
      </c>
      <c r="G909" s="4" t="str">
        <f>HYPERLINK("http://141.218.60.56/~jnz1568/getInfo.php?workbook=10_05.xlsx&amp;sheet=U0&amp;row=909&amp;col=7&amp;number=0.0395&amp;sourceID=14","0.0395")</f>
        <v>0.0395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HYPERLINK("http://141.218.60.56/~jnz1568/getInfo.php?workbook=10_05.xlsx&amp;sheet=U0&amp;row=910&amp;col=6&amp;number=3.6&amp;sourceID=14","3.6")</f>
        <v>3.6</v>
      </c>
      <c r="G910" s="4" t="str">
        <f>HYPERLINK("http://141.218.60.56/~jnz1568/getInfo.php?workbook=10_05.xlsx&amp;sheet=U0&amp;row=910&amp;col=7&amp;number=0.0392&amp;sourceID=14","0.0392")</f>
        <v>0.0392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HYPERLINK("http://141.218.60.56/~jnz1568/getInfo.php?workbook=10_05.xlsx&amp;sheet=U0&amp;row=911&amp;col=6&amp;number=3.7&amp;sourceID=14","3.7")</f>
        <v>3.7</v>
      </c>
      <c r="G911" s="4" t="str">
        <f>HYPERLINK("http://141.218.60.56/~jnz1568/getInfo.php?workbook=10_05.xlsx&amp;sheet=U0&amp;row=911&amp;col=7&amp;number=0.0388&amp;sourceID=14","0.0388")</f>
        <v>0.0388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HYPERLINK("http://141.218.60.56/~jnz1568/getInfo.php?workbook=10_05.xlsx&amp;sheet=U0&amp;row=912&amp;col=6&amp;number=3.8&amp;sourceID=14","3.8")</f>
        <v>3.8</v>
      </c>
      <c r="G912" s="4" t="str">
        <f>HYPERLINK("http://141.218.60.56/~jnz1568/getInfo.php?workbook=10_05.xlsx&amp;sheet=U0&amp;row=912&amp;col=7&amp;number=0.0384&amp;sourceID=14","0.0384")</f>
        <v>0.0384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HYPERLINK("http://141.218.60.56/~jnz1568/getInfo.php?workbook=10_05.xlsx&amp;sheet=U0&amp;row=913&amp;col=6&amp;number=3.9&amp;sourceID=14","3.9")</f>
        <v>3.9</v>
      </c>
      <c r="G913" s="4" t="str">
        <f>HYPERLINK("http://141.218.60.56/~jnz1568/getInfo.php?workbook=10_05.xlsx&amp;sheet=U0&amp;row=913&amp;col=7&amp;number=0.0378&amp;sourceID=14","0.0378")</f>
        <v>0.0378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HYPERLINK("http://141.218.60.56/~jnz1568/getInfo.php?workbook=10_05.xlsx&amp;sheet=U0&amp;row=914&amp;col=6&amp;number=4&amp;sourceID=14","4")</f>
        <v>4</v>
      </c>
      <c r="G914" s="4" t="str">
        <f>HYPERLINK("http://141.218.60.56/~jnz1568/getInfo.php?workbook=10_05.xlsx&amp;sheet=U0&amp;row=914&amp;col=7&amp;number=0.0372&amp;sourceID=14","0.0372")</f>
        <v>0.0372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HYPERLINK("http://141.218.60.56/~jnz1568/getInfo.php?workbook=10_05.xlsx&amp;sheet=U0&amp;row=915&amp;col=6&amp;number=4.1&amp;sourceID=14","4.1")</f>
        <v>4.1</v>
      </c>
      <c r="G915" s="4" t="str">
        <f>HYPERLINK("http://141.218.60.56/~jnz1568/getInfo.php?workbook=10_05.xlsx&amp;sheet=U0&amp;row=915&amp;col=7&amp;number=0.0364&amp;sourceID=14","0.0364")</f>
        <v>0.0364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HYPERLINK("http://141.218.60.56/~jnz1568/getInfo.php?workbook=10_05.xlsx&amp;sheet=U0&amp;row=916&amp;col=6&amp;number=4.2&amp;sourceID=14","4.2")</f>
        <v>4.2</v>
      </c>
      <c r="G916" s="4" t="str">
        <f>HYPERLINK("http://141.218.60.56/~jnz1568/getInfo.php?workbook=10_05.xlsx&amp;sheet=U0&amp;row=916&amp;col=7&amp;number=0.0354&amp;sourceID=14","0.0354")</f>
        <v>0.0354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HYPERLINK("http://141.218.60.56/~jnz1568/getInfo.php?workbook=10_05.xlsx&amp;sheet=U0&amp;row=917&amp;col=6&amp;number=4.3&amp;sourceID=14","4.3")</f>
        <v>4.3</v>
      </c>
      <c r="G917" s="4" t="str">
        <f>HYPERLINK("http://141.218.60.56/~jnz1568/getInfo.php?workbook=10_05.xlsx&amp;sheet=U0&amp;row=917&amp;col=7&amp;number=0.0344&amp;sourceID=14","0.0344")</f>
        <v>0.0344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HYPERLINK("http://141.218.60.56/~jnz1568/getInfo.php?workbook=10_05.xlsx&amp;sheet=U0&amp;row=918&amp;col=6&amp;number=4.4&amp;sourceID=14","4.4")</f>
        <v>4.4</v>
      </c>
      <c r="G918" s="4" t="str">
        <f>HYPERLINK("http://141.218.60.56/~jnz1568/getInfo.php?workbook=10_05.xlsx&amp;sheet=U0&amp;row=918&amp;col=7&amp;number=0.0333&amp;sourceID=14","0.0333")</f>
        <v>0.0333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HYPERLINK("http://141.218.60.56/~jnz1568/getInfo.php?workbook=10_05.xlsx&amp;sheet=U0&amp;row=919&amp;col=6&amp;number=4.5&amp;sourceID=14","4.5")</f>
        <v>4.5</v>
      </c>
      <c r="G919" s="4" t="str">
        <f>HYPERLINK("http://141.218.60.56/~jnz1568/getInfo.php?workbook=10_05.xlsx&amp;sheet=U0&amp;row=919&amp;col=7&amp;number=0.0322&amp;sourceID=14","0.0322")</f>
        <v>0.0322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HYPERLINK("http://141.218.60.56/~jnz1568/getInfo.php?workbook=10_05.xlsx&amp;sheet=U0&amp;row=920&amp;col=6&amp;number=4.6&amp;sourceID=14","4.6")</f>
        <v>4.6</v>
      </c>
      <c r="G920" s="4" t="str">
        <f>HYPERLINK("http://141.218.60.56/~jnz1568/getInfo.php?workbook=10_05.xlsx&amp;sheet=U0&amp;row=920&amp;col=7&amp;number=0.0313&amp;sourceID=14","0.0313")</f>
        <v>0.0313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HYPERLINK("http://141.218.60.56/~jnz1568/getInfo.php?workbook=10_05.xlsx&amp;sheet=U0&amp;row=921&amp;col=6&amp;number=4.7&amp;sourceID=14","4.7")</f>
        <v>4.7</v>
      </c>
      <c r="G921" s="4" t="str">
        <f>HYPERLINK("http://141.218.60.56/~jnz1568/getInfo.php?workbook=10_05.xlsx&amp;sheet=U0&amp;row=921&amp;col=7&amp;number=0.0306&amp;sourceID=14","0.0306")</f>
        <v>0.0306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HYPERLINK("http://141.218.60.56/~jnz1568/getInfo.php?workbook=10_05.xlsx&amp;sheet=U0&amp;row=922&amp;col=6&amp;number=4.8&amp;sourceID=14","4.8")</f>
        <v>4.8</v>
      </c>
      <c r="G922" s="4" t="str">
        <f>HYPERLINK("http://141.218.60.56/~jnz1568/getInfo.php?workbook=10_05.xlsx&amp;sheet=U0&amp;row=922&amp;col=7&amp;number=0.0302&amp;sourceID=14","0.0302")</f>
        <v>0.0302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HYPERLINK("http://141.218.60.56/~jnz1568/getInfo.php?workbook=10_05.xlsx&amp;sheet=U0&amp;row=923&amp;col=6&amp;number=4.9&amp;sourceID=14","4.9")</f>
        <v>4.9</v>
      </c>
      <c r="G923" s="4" t="str">
        <f>HYPERLINK("http://141.218.60.56/~jnz1568/getInfo.php?workbook=10_05.xlsx&amp;sheet=U0&amp;row=923&amp;col=7&amp;number=0.0298&amp;sourceID=14","0.0298")</f>
        <v>0.0298</v>
      </c>
    </row>
    <row r="924" spans="1:7">
      <c r="A924" s="3">
        <v>10</v>
      </c>
      <c r="B924" s="3">
        <v>5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HYPERLINK("http://141.218.60.56/~jnz1568/getInfo.php?workbook=10_05.xlsx&amp;sheet=U0&amp;row=924&amp;col=6&amp;number=3&amp;sourceID=14","3")</f>
        <v>3</v>
      </c>
      <c r="G924" s="4" t="str">
        <f>HYPERLINK("http://141.218.60.56/~jnz1568/getInfo.php?workbook=10_05.xlsx&amp;sheet=U0&amp;row=924&amp;col=7&amp;number=0.0461&amp;sourceID=14","0.0461")</f>
        <v>0.0461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HYPERLINK("http://141.218.60.56/~jnz1568/getInfo.php?workbook=10_05.xlsx&amp;sheet=U0&amp;row=925&amp;col=6&amp;number=3.1&amp;sourceID=14","3.1")</f>
        <v>3.1</v>
      </c>
      <c r="G925" s="4" t="str">
        <f>HYPERLINK("http://141.218.60.56/~jnz1568/getInfo.php?workbook=10_05.xlsx&amp;sheet=U0&amp;row=925&amp;col=7&amp;number=0.0459&amp;sourceID=14","0.0459")</f>
        <v>0.0459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HYPERLINK("http://141.218.60.56/~jnz1568/getInfo.php?workbook=10_05.xlsx&amp;sheet=U0&amp;row=926&amp;col=6&amp;number=3.2&amp;sourceID=14","3.2")</f>
        <v>3.2</v>
      </c>
      <c r="G926" s="4" t="str">
        <f>HYPERLINK("http://141.218.60.56/~jnz1568/getInfo.php?workbook=10_05.xlsx&amp;sheet=U0&amp;row=926&amp;col=7&amp;number=0.0457&amp;sourceID=14","0.0457")</f>
        <v>0.0457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HYPERLINK("http://141.218.60.56/~jnz1568/getInfo.php?workbook=10_05.xlsx&amp;sheet=U0&amp;row=927&amp;col=6&amp;number=3.3&amp;sourceID=14","3.3")</f>
        <v>3.3</v>
      </c>
      <c r="G927" s="4" t="str">
        <f>HYPERLINK("http://141.218.60.56/~jnz1568/getInfo.php?workbook=10_05.xlsx&amp;sheet=U0&amp;row=927&amp;col=7&amp;number=0.0455&amp;sourceID=14","0.0455")</f>
        <v>0.0455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HYPERLINK("http://141.218.60.56/~jnz1568/getInfo.php?workbook=10_05.xlsx&amp;sheet=U0&amp;row=928&amp;col=6&amp;number=3.4&amp;sourceID=14","3.4")</f>
        <v>3.4</v>
      </c>
      <c r="G928" s="4" t="str">
        <f>HYPERLINK("http://141.218.60.56/~jnz1568/getInfo.php?workbook=10_05.xlsx&amp;sheet=U0&amp;row=928&amp;col=7&amp;number=0.0452&amp;sourceID=14","0.0452")</f>
        <v>0.0452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HYPERLINK("http://141.218.60.56/~jnz1568/getInfo.php?workbook=10_05.xlsx&amp;sheet=U0&amp;row=929&amp;col=6&amp;number=3.5&amp;sourceID=14","3.5")</f>
        <v>3.5</v>
      </c>
      <c r="G929" s="4" t="str">
        <f>HYPERLINK("http://141.218.60.56/~jnz1568/getInfo.php?workbook=10_05.xlsx&amp;sheet=U0&amp;row=929&amp;col=7&amp;number=0.0448&amp;sourceID=14","0.0448")</f>
        <v>0.0448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HYPERLINK("http://141.218.60.56/~jnz1568/getInfo.php?workbook=10_05.xlsx&amp;sheet=U0&amp;row=930&amp;col=6&amp;number=3.6&amp;sourceID=14","3.6")</f>
        <v>3.6</v>
      </c>
      <c r="G930" s="4" t="str">
        <f>HYPERLINK("http://141.218.60.56/~jnz1568/getInfo.php?workbook=10_05.xlsx&amp;sheet=U0&amp;row=930&amp;col=7&amp;number=0.0443&amp;sourceID=14","0.0443")</f>
        <v>0.0443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HYPERLINK("http://141.218.60.56/~jnz1568/getInfo.php?workbook=10_05.xlsx&amp;sheet=U0&amp;row=931&amp;col=6&amp;number=3.7&amp;sourceID=14","3.7")</f>
        <v>3.7</v>
      </c>
      <c r="G931" s="4" t="str">
        <f>HYPERLINK("http://141.218.60.56/~jnz1568/getInfo.php?workbook=10_05.xlsx&amp;sheet=U0&amp;row=931&amp;col=7&amp;number=0.0437&amp;sourceID=14","0.0437")</f>
        <v>0.0437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HYPERLINK("http://141.218.60.56/~jnz1568/getInfo.php?workbook=10_05.xlsx&amp;sheet=U0&amp;row=932&amp;col=6&amp;number=3.8&amp;sourceID=14","3.8")</f>
        <v>3.8</v>
      </c>
      <c r="G932" s="4" t="str">
        <f>HYPERLINK("http://141.218.60.56/~jnz1568/getInfo.php?workbook=10_05.xlsx&amp;sheet=U0&amp;row=932&amp;col=7&amp;number=0.043&amp;sourceID=14","0.043")</f>
        <v>0.043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HYPERLINK("http://141.218.60.56/~jnz1568/getInfo.php?workbook=10_05.xlsx&amp;sheet=U0&amp;row=933&amp;col=6&amp;number=3.9&amp;sourceID=14","3.9")</f>
        <v>3.9</v>
      </c>
      <c r="G933" s="4" t="str">
        <f>HYPERLINK("http://141.218.60.56/~jnz1568/getInfo.php?workbook=10_05.xlsx&amp;sheet=U0&amp;row=933&amp;col=7&amp;number=0.0422&amp;sourceID=14","0.0422")</f>
        <v>0.0422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HYPERLINK("http://141.218.60.56/~jnz1568/getInfo.php?workbook=10_05.xlsx&amp;sheet=U0&amp;row=934&amp;col=6&amp;number=4&amp;sourceID=14","4")</f>
        <v>4</v>
      </c>
      <c r="G934" s="4" t="str">
        <f>HYPERLINK("http://141.218.60.56/~jnz1568/getInfo.php?workbook=10_05.xlsx&amp;sheet=U0&amp;row=934&amp;col=7&amp;number=0.0411&amp;sourceID=14","0.0411")</f>
        <v>0.0411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HYPERLINK("http://141.218.60.56/~jnz1568/getInfo.php?workbook=10_05.xlsx&amp;sheet=U0&amp;row=935&amp;col=6&amp;number=4.1&amp;sourceID=14","4.1")</f>
        <v>4.1</v>
      </c>
      <c r="G935" s="4" t="str">
        <f>HYPERLINK("http://141.218.60.56/~jnz1568/getInfo.php?workbook=10_05.xlsx&amp;sheet=U0&amp;row=935&amp;col=7&amp;number=0.0399&amp;sourceID=14","0.0399")</f>
        <v>0.0399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HYPERLINK("http://141.218.60.56/~jnz1568/getInfo.php?workbook=10_05.xlsx&amp;sheet=U0&amp;row=936&amp;col=6&amp;number=4.2&amp;sourceID=14","4.2")</f>
        <v>4.2</v>
      </c>
      <c r="G936" s="4" t="str">
        <f>HYPERLINK("http://141.218.60.56/~jnz1568/getInfo.php?workbook=10_05.xlsx&amp;sheet=U0&amp;row=936&amp;col=7&amp;number=0.0385&amp;sourceID=14","0.0385")</f>
        <v>0.0385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HYPERLINK("http://141.218.60.56/~jnz1568/getInfo.php?workbook=10_05.xlsx&amp;sheet=U0&amp;row=937&amp;col=6&amp;number=4.3&amp;sourceID=14","4.3")</f>
        <v>4.3</v>
      </c>
      <c r="G937" s="4" t="str">
        <f>HYPERLINK("http://141.218.60.56/~jnz1568/getInfo.php?workbook=10_05.xlsx&amp;sheet=U0&amp;row=937&amp;col=7&amp;number=0.037&amp;sourceID=14","0.037")</f>
        <v>0.037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HYPERLINK("http://141.218.60.56/~jnz1568/getInfo.php?workbook=10_05.xlsx&amp;sheet=U0&amp;row=938&amp;col=6&amp;number=4.4&amp;sourceID=14","4.4")</f>
        <v>4.4</v>
      </c>
      <c r="G938" s="4" t="str">
        <f>HYPERLINK("http://141.218.60.56/~jnz1568/getInfo.php?workbook=10_05.xlsx&amp;sheet=U0&amp;row=938&amp;col=7&amp;number=0.0354&amp;sourceID=14","0.0354")</f>
        <v>0.0354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HYPERLINK("http://141.218.60.56/~jnz1568/getInfo.php?workbook=10_05.xlsx&amp;sheet=U0&amp;row=939&amp;col=6&amp;number=4.5&amp;sourceID=14","4.5")</f>
        <v>4.5</v>
      </c>
      <c r="G939" s="4" t="str">
        <f>HYPERLINK("http://141.218.60.56/~jnz1568/getInfo.php?workbook=10_05.xlsx&amp;sheet=U0&amp;row=939&amp;col=7&amp;number=0.0339&amp;sourceID=14","0.0339")</f>
        <v>0.0339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HYPERLINK("http://141.218.60.56/~jnz1568/getInfo.php?workbook=10_05.xlsx&amp;sheet=U0&amp;row=940&amp;col=6&amp;number=4.6&amp;sourceID=14","4.6")</f>
        <v>4.6</v>
      </c>
      <c r="G940" s="4" t="str">
        <f>HYPERLINK("http://141.218.60.56/~jnz1568/getInfo.php?workbook=10_05.xlsx&amp;sheet=U0&amp;row=940&amp;col=7&amp;number=0.0325&amp;sourceID=14","0.0325")</f>
        <v>0.0325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HYPERLINK("http://141.218.60.56/~jnz1568/getInfo.php?workbook=10_05.xlsx&amp;sheet=U0&amp;row=941&amp;col=6&amp;number=4.7&amp;sourceID=14","4.7")</f>
        <v>4.7</v>
      </c>
      <c r="G941" s="4" t="str">
        <f>HYPERLINK("http://141.218.60.56/~jnz1568/getInfo.php?workbook=10_05.xlsx&amp;sheet=U0&amp;row=941&amp;col=7&amp;number=0.0313&amp;sourceID=14","0.0313")</f>
        <v>0.0313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HYPERLINK("http://141.218.60.56/~jnz1568/getInfo.php?workbook=10_05.xlsx&amp;sheet=U0&amp;row=942&amp;col=6&amp;number=4.8&amp;sourceID=14","4.8")</f>
        <v>4.8</v>
      </c>
      <c r="G942" s="4" t="str">
        <f>HYPERLINK("http://141.218.60.56/~jnz1568/getInfo.php?workbook=10_05.xlsx&amp;sheet=U0&amp;row=942&amp;col=7&amp;number=0.0302&amp;sourceID=14","0.0302")</f>
        <v>0.0302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HYPERLINK("http://141.218.60.56/~jnz1568/getInfo.php?workbook=10_05.xlsx&amp;sheet=U0&amp;row=943&amp;col=6&amp;number=4.9&amp;sourceID=14","4.9")</f>
        <v>4.9</v>
      </c>
      <c r="G943" s="4" t="str">
        <f>HYPERLINK("http://141.218.60.56/~jnz1568/getInfo.php?workbook=10_05.xlsx&amp;sheet=U0&amp;row=943&amp;col=7&amp;number=0.0293&amp;sourceID=14","0.0293")</f>
        <v>0.0293</v>
      </c>
    </row>
    <row r="944" spans="1:7">
      <c r="A944" s="3">
        <v>10</v>
      </c>
      <c r="B944" s="3">
        <v>5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HYPERLINK("http://141.218.60.56/~jnz1568/getInfo.php?workbook=10_05.xlsx&amp;sheet=U0&amp;row=944&amp;col=6&amp;number=3&amp;sourceID=14","3")</f>
        <v>3</v>
      </c>
      <c r="G944" s="4" t="str">
        <f>HYPERLINK("http://141.218.60.56/~jnz1568/getInfo.php?workbook=10_05.xlsx&amp;sheet=U0&amp;row=944&amp;col=7&amp;number=0.0201&amp;sourceID=14","0.0201")</f>
        <v>0.0201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HYPERLINK("http://141.218.60.56/~jnz1568/getInfo.php?workbook=10_05.xlsx&amp;sheet=U0&amp;row=945&amp;col=6&amp;number=3.1&amp;sourceID=14","3.1")</f>
        <v>3.1</v>
      </c>
      <c r="G945" s="4" t="str">
        <f>HYPERLINK("http://141.218.60.56/~jnz1568/getInfo.php?workbook=10_05.xlsx&amp;sheet=U0&amp;row=945&amp;col=7&amp;number=0.0201&amp;sourceID=14","0.0201")</f>
        <v>0.0201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HYPERLINK("http://141.218.60.56/~jnz1568/getInfo.php?workbook=10_05.xlsx&amp;sheet=U0&amp;row=946&amp;col=6&amp;number=3.2&amp;sourceID=14","3.2")</f>
        <v>3.2</v>
      </c>
      <c r="G946" s="4" t="str">
        <f>HYPERLINK("http://141.218.60.56/~jnz1568/getInfo.php?workbook=10_05.xlsx&amp;sheet=U0&amp;row=946&amp;col=7&amp;number=0.02&amp;sourceID=14","0.02")</f>
        <v>0.02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HYPERLINK("http://141.218.60.56/~jnz1568/getInfo.php?workbook=10_05.xlsx&amp;sheet=U0&amp;row=947&amp;col=6&amp;number=3.3&amp;sourceID=14","3.3")</f>
        <v>3.3</v>
      </c>
      <c r="G947" s="4" t="str">
        <f>HYPERLINK("http://141.218.60.56/~jnz1568/getInfo.php?workbook=10_05.xlsx&amp;sheet=U0&amp;row=947&amp;col=7&amp;number=0.0199&amp;sourceID=14","0.0199")</f>
        <v>0.0199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HYPERLINK("http://141.218.60.56/~jnz1568/getInfo.php?workbook=10_05.xlsx&amp;sheet=U0&amp;row=948&amp;col=6&amp;number=3.4&amp;sourceID=14","3.4")</f>
        <v>3.4</v>
      </c>
      <c r="G948" s="4" t="str">
        <f>HYPERLINK("http://141.218.60.56/~jnz1568/getInfo.php?workbook=10_05.xlsx&amp;sheet=U0&amp;row=948&amp;col=7&amp;number=0.0198&amp;sourceID=14","0.0198")</f>
        <v>0.0198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HYPERLINK("http://141.218.60.56/~jnz1568/getInfo.php?workbook=10_05.xlsx&amp;sheet=U0&amp;row=949&amp;col=6&amp;number=3.5&amp;sourceID=14","3.5")</f>
        <v>3.5</v>
      </c>
      <c r="G949" s="4" t="str">
        <f>HYPERLINK("http://141.218.60.56/~jnz1568/getInfo.php?workbook=10_05.xlsx&amp;sheet=U0&amp;row=949&amp;col=7&amp;number=0.0197&amp;sourceID=14","0.0197")</f>
        <v>0.0197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HYPERLINK("http://141.218.60.56/~jnz1568/getInfo.php?workbook=10_05.xlsx&amp;sheet=U0&amp;row=950&amp;col=6&amp;number=3.6&amp;sourceID=14","3.6")</f>
        <v>3.6</v>
      </c>
      <c r="G950" s="4" t="str">
        <f>HYPERLINK("http://141.218.60.56/~jnz1568/getInfo.php?workbook=10_05.xlsx&amp;sheet=U0&amp;row=950&amp;col=7&amp;number=0.0195&amp;sourceID=14","0.0195")</f>
        <v>0.0195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HYPERLINK("http://141.218.60.56/~jnz1568/getInfo.php?workbook=10_05.xlsx&amp;sheet=U0&amp;row=951&amp;col=6&amp;number=3.7&amp;sourceID=14","3.7")</f>
        <v>3.7</v>
      </c>
      <c r="G951" s="4" t="str">
        <f>HYPERLINK("http://141.218.60.56/~jnz1568/getInfo.php?workbook=10_05.xlsx&amp;sheet=U0&amp;row=951&amp;col=7&amp;number=0.0193&amp;sourceID=14","0.0193")</f>
        <v>0.0193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HYPERLINK("http://141.218.60.56/~jnz1568/getInfo.php?workbook=10_05.xlsx&amp;sheet=U0&amp;row=952&amp;col=6&amp;number=3.8&amp;sourceID=14","3.8")</f>
        <v>3.8</v>
      </c>
      <c r="G952" s="4" t="str">
        <f>HYPERLINK("http://141.218.60.56/~jnz1568/getInfo.php?workbook=10_05.xlsx&amp;sheet=U0&amp;row=952&amp;col=7&amp;number=0.019&amp;sourceID=14","0.019")</f>
        <v>0.019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HYPERLINK("http://141.218.60.56/~jnz1568/getInfo.php?workbook=10_05.xlsx&amp;sheet=U0&amp;row=953&amp;col=6&amp;number=3.9&amp;sourceID=14","3.9")</f>
        <v>3.9</v>
      </c>
      <c r="G953" s="4" t="str">
        <f>HYPERLINK("http://141.218.60.56/~jnz1568/getInfo.php?workbook=10_05.xlsx&amp;sheet=U0&amp;row=953&amp;col=7&amp;number=0.0187&amp;sourceID=14","0.0187")</f>
        <v>0.0187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HYPERLINK("http://141.218.60.56/~jnz1568/getInfo.php?workbook=10_05.xlsx&amp;sheet=U0&amp;row=954&amp;col=6&amp;number=4&amp;sourceID=14","4")</f>
        <v>4</v>
      </c>
      <c r="G954" s="4" t="str">
        <f>HYPERLINK("http://141.218.60.56/~jnz1568/getInfo.php?workbook=10_05.xlsx&amp;sheet=U0&amp;row=954&amp;col=7&amp;number=0.0183&amp;sourceID=14","0.0183")</f>
        <v>0.0183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HYPERLINK("http://141.218.60.56/~jnz1568/getInfo.php?workbook=10_05.xlsx&amp;sheet=U0&amp;row=955&amp;col=6&amp;number=4.1&amp;sourceID=14","4.1")</f>
        <v>4.1</v>
      </c>
      <c r="G955" s="4" t="str">
        <f>HYPERLINK("http://141.218.60.56/~jnz1568/getInfo.php?workbook=10_05.xlsx&amp;sheet=U0&amp;row=955&amp;col=7&amp;number=0.0178&amp;sourceID=14","0.0178")</f>
        <v>0.0178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HYPERLINK("http://141.218.60.56/~jnz1568/getInfo.php?workbook=10_05.xlsx&amp;sheet=U0&amp;row=956&amp;col=6&amp;number=4.2&amp;sourceID=14","4.2")</f>
        <v>4.2</v>
      </c>
      <c r="G956" s="4" t="str">
        <f>HYPERLINK("http://141.218.60.56/~jnz1568/getInfo.php?workbook=10_05.xlsx&amp;sheet=U0&amp;row=956&amp;col=7&amp;number=0.0173&amp;sourceID=14","0.0173")</f>
        <v>0.0173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HYPERLINK("http://141.218.60.56/~jnz1568/getInfo.php?workbook=10_05.xlsx&amp;sheet=U0&amp;row=957&amp;col=6&amp;number=4.3&amp;sourceID=14","4.3")</f>
        <v>4.3</v>
      </c>
      <c r="G957" s="4" t="str">
        <f>HYPERLINK("http://141.218.60.56/~jnz1568/getInfo.php?workbook=10_05.xlsx&amp;sheet=U0&amp;row=957&amp;col=7&amp;number=0.0167&amp;sourceID=14","0.0167")</f>
        <v>0.0167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HYPERLINK("http://141.218.60.56/~jnz1568/getInfo.php?workbook=10_05.xlsx&amp;sheet=U0&amp;row=958&amp;col=6&amp;number=4.4&amp;sourceID=14","4.4")</f>
        <v>4.4</v>
      </c>
      <c r="G958" s="4" t="str">
        <f>HYPERLINK("http://141.218.60.56/~jnz1568/getInfo.php?workbook=10_05.xlsx&amp;sheet=U0&amp;row=958&amp;col=7&amp;number=0.0162&amp;sourceID=14","0.0162")</f>
        <v>0.0162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HYPERLINK("http://141.218.60.56/~jnz1568/getInfo.php?workbook=10_05.xlsx&amp;sheet=U0&amp;row=959&amp;col=6&amp;number=4.5&amp;sourceID=14","4.5")</f>
        <v>4.5</v>
      </c>
      <c r="G959" s="4" t="str">
        <f>HYPERLINK("http://141.218.60.56/~jnz1568/getInfo.php?workbook=10_05.xlsx&amp;sheet=U0&amp;row=959&amp;col=7&amp;number=0.0157&amp;sourceID=14","0.0157")</f>
        <v>0.0157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HYPERLINK("http://141.218.60.56/~jnz1568/getInfo.php?workbook=10_05.xlsx&amp;sheet=U0&amp;row=960&amp;col=6&amp;number=4.6&amp;sourceID=14","4.6")</f>
        <v>4.6</v>
      </c>
      <c r="G960" s="4" t="str">
        <f>HYPERLINK("http://141.218.60.56/~jnz1568/getInfo.php?workbook=10_05.xlsx&amp;sheet=U0&amp;row=960&amp;col=7&amp;number=0.0152&amp;sourceID=14","0.0152")</f>
        <v>0.0152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HYPERLINK("http://141.218.60.56/~jnz1568/getInfo.php?workbook=10_05.xlsx&amp;sheet=U0&amp;row=961&amp;col=6&amp;number=4.7&amp;sourceID=14","4.7")</f>
        <v>4.7</v>
      </c>
      <c r="G961" s="4" t="str">
        <f>HYPERLINK("http://141.218.60.56/~jnz1568/getInfo.php?workbook=10_05.xlsx&amp;sheet=U0&amp;row=961&amp;col=7&amp;number=0.0147&amp;sourceID=14","0.0147")</f>
        <v>0.0147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HYPERLINK("http://141.218.60.56/~jnz1568/getInfo.php?workbook=10_05.xlsx&amp;sheet=U0&amp;row=962&amp;col=6&amp;number=4.8&amp;sourceID=14","4.8")</f>
        <v>4.8</v>
      </c>
      <c r="G962" s="4" t="str">
        <f>HYPERLINK("http://141.218.60.56/~jnz1568/getInfo.php?workbook=10_05.xlsx&amp;sheet=U0&amp;row=962&amp;col=7&amp;number=0.0143&amp;sourceID=14","0.0143")</f>
        <v>0.0143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HYPERLINK("http://141.218.60.56/~jnz1568/getInfo.php?workbook=10_05.xlsx&amp;sheet=U0&amp;row=963&amp;col=6&amp;number=4.9&amp;sourceID=14","4.9")</f>
        <v>4.9</v>
      </c>
      <c r="G963" s="4" t="str">
        <f>HYPERLINK("http://141.218.60.56/~jnz1568/getInfo.php?workbook=10_05.xlsx&amp;sheet=U0&amp;row=963&amp;col=7&amp;number=0.0138&amp;sourceID=14","0.0138")</f>
        <v>0.0138</v>
      </c>
    </row>
    <row r="964" spans="1:7">
      <c r="A964" s="3">
        <v>10</v>
      </c>
      <c r="B964" s="3">
        <v>5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HYPERLINK("http://141.218.60.56/~jnz1568/getInfo.php?workbook=10_05.xlsx&amp;sheet=U0&amp;row=964&amp;col=6&amp;number=3&amp;sourceID=14","3")</f>
        <v>3</v>
      </c>
      <c r="G964" s="4" t="str">
        <f>HYPERLINK("http://141.218.60.56/~jnz1568/getInfo.php?workbook=10_05.xlsx&amp;sheet=U0&amp;row=964&amp;col=7&amp;number=0.0101&amp;sourceID=14","0.0101")</f>
        <v>0.0101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HYPERLINK("http://141.218.60.56/~jnz1568/getInfo.php?workbook=10_05.xlsx&amp;sheet=U0&amp;row=965&amp;col=6&amp;number=3.1&amp;sourceID=14","3.1")</f>
        <v>3.1</v>
      </c>
      <c r="G965" s="4" t="str">
        <f>HYPERLINK("http://141.218.60.56/~jnz1568/getInfo.php?workbook=10_05.xlsx&amp;sheet=U0&amp;row=965&amp;col=7&amp;number=0.01&amp;sourceID=14","0.01")</f>
        <v>0.01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HYPERLINK("http://141.218.60.56/~jnz1568/getInfo.php?workbook=10_05.xlsx&amp;sheet=U0&amp;row=966&amp;col=6&amp;number=3.2&amp;sourceID=14","3.2")</f>
        <v>3.2</v>
      </c>
      <c r="G966" s="4" t="str">
        <f>HYPERLINK("http://141.218.60.56/~jnz1568/getInfo.php?workbook=10_05.xlsx&amp;sheet=U0&amp;row=966&amp;col=7&amp;number=0.00998&amp;sourceID=14","0.00998")</f>
        <v>0.00998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HYPERLINK("http://141.218.60.56/~jnz1568/getInfo.php?workbook=10_05.xlsx&amp;sheet=U0&amp;row=967&amp;col=6&amp;number=3.3&amp;sourceID=14","3.3")</f>
        <v>3.3</v>
      </c>
      <c r="G967" s="4" t="str">
        <f>HYPERLINK("http://141.218.60.56/~jnz1568/getInfo.php?workbook=10_05.xlsx&amp;sheet=U0&amp;row=967&amp;col=7&amp;number=0.00992&amp;sourceID=14","0.00992")</f>
        <v>0.00992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HYPERLINK("http://141.218.60.56/~jnz1568/getInfo.php?workbook=10_05.xlsx&amp;sheet=U0&amp;row=968&amp;col=6&amp;number=3.4&amp;sourceID=14","3.4")</f>
        <v>3.4</v>
      </c>
      <c r="G968" s="4" t="str">
        <f>HYPERLINK("http://141.218.60.56/~jnz1568/getInfo.php?workbook=10_05.xlsx&amp;sheet=U0&amp;row=968&amp;col=7&amp;number=0.00984&amp;sourceID=14","0.00984")</f>
        <v>0.00984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HYPERLINK("http://141.218.60.56/~jnz1568/getInfo.php?workbook=10_05.xlsx&amp;sheet=U0&amp;row=969&amp;col=6&amp;number=3.5&amp;sourceID=14","3.5")</f>
        <v>3.5</v>
      </c>
      <c r="G969" s="4" t="str">
        <f>HYPERLINK("http://141.218.60.56/~jnz1568/getInfo.php?workbook=10_05.xlsx&amp;sheet=U0&amp;row=969&amp;col=7&amp;number=0.00975&amp;sourceID=14","0.00975")</f>
        <v>0.00975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HYPERLINK("http://141.218.60.56/~jnz1568/getInfo.php?workbook=10_05.xlsx&amp;sheet=U0&amp;row=970&amp;col=6&amp;number=3.6&amp;sourceID=14","3.6")</f>
        <v>3.6</v>
      </c>
      <c r="G970" s="4" t="str">
        <f>HYPERLINK("http://141.218.60.56/~jnz1568/getInfo.php?workbook=10_05.xlsx&amp;sheet=U0&amp;row=970&amp;col=7&amp;number=0.00963&amp;sourceID=14","0.00963")</f>
        <v>0.00963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HYPERLINK("http://141.218.60.56/~jnz1568/getInfo.php?workbook=10_05.xlsx&amp;sheet=U0&amp;row=971&amp;col=6&amp;number=3.7&amp;sourceID=14","3.7")</f>
        <v>3.7</v>
      </c>
      <c r="G971" s="4" t="str">
        <f>HYPERLINK("http://141.218.60.56/~jnz1568/getInfo.php?workbook=10_05.xlsx&amp;sheet=U0&amp;row=971&amp;col=7&amp;number=0.00948&amp;sourceID=14","0.00948")</f>
        <v>0.00948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HYPERLINK("http://141.218.60.56/~jnz1568/getInfo.php?workbook=10_05.xlsx&amp;sheet=U0&amp;row=972&amp;col=6&amp;number=3.8&amp;sourceID=14","3.8")</f>
        <v>3.8</v>
      </c>
      <c r="G972" s="4" t="str">
        <f>HYPERLINK("http://141.218.60.56/~jnz1568/getInfo.php?workbook=10_05.xlsx&amp;sheet=U0&amp;row=972&amp;col=7&amp;number=0.0093&amp;sourceID=14","0.0093")</f>
        <v>0.0093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HYPERLINK("http://141.218.60.56/~jnz1568/getInfo.php?workbook=10_05.xlsx&amp;sheet=U0&amp;row=973&amp;col=6&amp;number=3.9&amp;sourceID=14","3.9")</f>
        <v>3.9</v>
      </c>
      <c r="G973" s="4" t="str">
        <f>HYPERLINK("http://141.218.60.56/~jnz1568/getInfo.php?workbook=10_05.xlsx&amp;sheet=U0&amp;row=973&amp;col=7&amp;number=0.00908&amp;sourceID=14","0.00908")</f>
        <v>0.00908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HYPERLINK("http://141.218.60.56/~jnz1568/getInfo.php?workbook=10_05.xlsx&amp;sheet=U0&amp;row=974&amp;col=6&amp;number=4&amp;sourceID=14","4")</f>
        <v>4</v>
      </c>
      <c r="G974" s="4" t="str">
        <f>HYPERLINK("http://141.218.60.56/~jnz1568/getInfo.php?workbook=10_05.xlsx&amp;sheet=U0&amp;row=974&amp;col=7&amp;number=0.00883&amp;sourceID=14","0.00883")</f>
        <v>0.00883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HYPERLINK("http://141.218.60.56/~jnz1568/getInfo.php?workbook=10_05.xlsx&amp;sheet=U0&amp;row=975&amp;col=6&amp;number=4.1&amp;sourceID=14","4.1")</f>
        <v>4.1</v>
      </c>
      <c r="G975" s="4" t="str">
        <f>HYPERLINK("http://141.218.60.56/~jnz1568/getInfo.php?workbook=10_05.xlsx&amp;sheet=U0&amp;row=975&amp;col=7&amp;number=0.00853&amp;sourceID=14","0.00853")</f>
        <v>0.00853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HYPERLINK("http://141.218.60.56/~jnz1568/getInfo.php?workbook=10_05.xlsx&amp;sheet=U0&amp;row=976&amp;col=6&amp;number=4.2&amp;sourceID=14","4.2")</f>
        <v>4.2</v>
      </c>
      <c r="G976" s="4" t="str">
        <f>HYPERLINK("http://141.218.60.56/~jnz1568/getInfo.php?workbook=10_05.xlsx&amp;sheet=U0&amp;row=976&amp;col=7&amp;number=0.00821&amp;sourceID=14","0.00821")</f>
        <v>0.00821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HYPERLINK("http://141.218.60.56/~jnz1568/getInfo.php?workbook=10_05.xlsx&amp;sheet=U0&amp;row=977&amp;col=6&amp;number=4.3&amp;sourceID=14","4.3")</f>
        <v>4.3</v>
      </c>
      <c r="G977" s="4" t="str">
        <f>HYPERLINK("http://141.218.60.56/~jnz1568/getInfo.php?workbook=10_05.xlsx&amp;sheet=U0&amp;row=977&amp;col=7&amp;number=0.00788&amp;sourceID=14","0.00788")</f>
        <v>0.00788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HYPERLINK("http://141.218.60.56/~jnz1568/getInfo.php?workbook=10_05.xlsx&amp;sheet=U0&amp;row=978&amp;col=6&amp;number=4.4&amp;sourceID=14","4.4")</f>
        <v>4.4</v>
      </c>
      <c r="G978" s="4" t="str">
        <f>HYPERLINK("http://141.218.60.56/~jnz1568/getInfo.php?workbook=10_05.xlsx&amp;sheet=U0&amp;row=978&amp;col=7&amp;number=0.00758&amp;sourceID=14","0.00758")</f>
        <v>0.00758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HYPERLINK("http://141.218.60.56/~jnz1568/getInfo.php?workbook=10_05.xlsx&amp;sheet=U0&amp;row=979&amp;col=6&amp;number=4.5&amp;sourceID=14","4.5")</f>
        <v>4.5</v>
      </c>
      <c r="G979" s="4" t="str">
        <f>HYPERLINK("http://141.218.60.56/~jnz1568/getInfo.php?workbook=10_05.xlsx&amp;sheet=U0&amp;row=979&amp;col=7&amp;number=0.00732&amp;sourceID=14","0.00732")</f>
        <v>0.00732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HYPERLINK("http://141.218.60.56/~jnz1568/getInfo.php?workbook=10_05.xlsx&amp;sheet=U0&amp;row=980&amp;col=6&amp;number=4.6&amp;sourceID=14","4.6")</f>
        <v>4.6</v>
      </c>
      <c r="G980" s="4" t="str">
        <f>HYPERLINK("http://141.218.60.56/~jnz1568/getInfo.php?workbook=10_05.xlsx&amp;sheet=U0&amp;row=980&amp;col=7&amp;number=0.0071&amp;sourceID=14","0.0071")</f>
        <v>0.0071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HYPERLINK("http://141.218.60.56/~jnz1568/getInfo.php?workbook=10_05.xlsx&amp;sheet=U0&amp;row=981&amp;col=6&amp;number=4.7&amp;sourceID=14","4.7")</f>
        <v>4.7</v>
      </c>
      <c r="G981" s="4" t="str">
        <f>HYPERLINK("http://141.218.60.56/~jnz1568/getInfo.php?workbook=10_05.xlsx&amp;sheet=U0&amp;row=981&amp;col=7&amp;number=0.00691&amp;sourceID=14","0.00691")</f>
        <v>0.00691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HYPERLINK("http://141.218.60.56/~jnz1568/getInfo.php?workbook=10_05.xlsx&amp;sheet=U0&amp;row=982&amp;col=6&amp;number=4.8&amp;sourceID=14","4.8")</f>
        <v>4.8</v>
      </c>
      <c r="G982" s="4" t="str">
        <f>HYPERLINK("http://141.218.60.56/~jnz1568/getInfo.php?workbook=10_05.xlsx&amp;sheet=U0&amp;row=982&amp;col=7&amp;number=0.00671&amp;sourceID=14","0.00671")</f>
        <v>0.00671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HYPERLINK("http://141.218.60.56/~jnz1568/getInfo.php?workbook=10_05.xlsx&amp;sheet=U0&amp;row=983&amp;col=6&amp;number=4.9&amp;sourceID=14","4.9")</f>
        <v>4.9</v>
      </c>
      <c r="G983" s="4" t="str">
        <f>HYPERLINK("http://141.218.60.56/~jnz1568/getInfo.php?workbook=10_05.xlsx&amp;sheet=U0&amp;row=983&amp;col=7&amp;number=0.00649&amp;sourceID=14","0.00649")</f>
        <v>0.00649</v>
      </c>
    </row>
    <row r="984" spans="1:7">
      <c r="A984" s="3">
        <v>10</v>
      </c>
      <c r="B984" s="3">
        <v>5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HYPERLINK("http://141.218.60.56/~jnz1568/getInfo.php?workbook=10_05.xlsx&amp;sheet=U0&amp;row=984&amp;col=6&amp;number=3&amp;sourceID=14","3")</f>
        <v>3</v>
      </c>
      <c r="G984" s="4" t="str">
        <f>HYPERLINK("http://141.218.60.56/~jnz1568/getInfo.php?workbook=10_05.xlsx&amp;sheet=U0&amp;row=984&amp;col=7&amp;number=0.00429&amp;sourceID=14","0.00429")</f>
        <v>0.00429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HYPERLINK("http://141.218.60.56/~jnz1568/getInfo.php?workbook=10_05.xlsx&amp;sheet=U0&amp;row=985&amp;col=6&amp;number=3.1&amp;sourceID=14","3.1")</f>
        <v>3.1</v>
      </c>
      <c r="G985" s="4" t="str">
        <f>HYPERLINK("http://141.218.60.56/~jnz1568/getInfo.php?workbook=10_05.xlsx&amp;sheet=U0&amp;row=985&amp;col=7&amp;number=0.00425&amp;sourceID=14","0.00425")</f>
        <v>0.00425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HYPERLINK("http://141.218.60.56/~jnz1568/getInfo.php?workbook=10_05.xlsx&amp;sheet=U0&amp;row=986&amp;col=6&amp;number=3.2&amp;sourceID=14","3.2")</f>
        <v>3.2</v>
      </c>
      <c r="G986" s="4" t="str">
        <f>HYPERLINK("http://141.218.60.56/~jnz1568/getInfo.php?workbook=10_05.xlsx&amp;sheet=U0&amp;row=986&amp;col=7&amp;number=0.00421&amp;sourceID=14","0.00421")</f>
        <v>0.00421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HYPERLINK("http://141.218.60.56/~jnz1568/getInfo.php?workbook=10_05.xlsx&amp;sheet=U0&amp;row=987&amp;col=6&amp;number=3.3&amp;sourceID=14","3.3")</f>
        <v>3.3</v>
      </c>
      <c r="G987" s="4" t="str">
        <f>HYPERLINK("http://141.218.60.56/~jnz1568/getInfo.php?workbook=10_05.xlsx&amp;sheet=U0&amp;row=987&amp;col=7&amp;number=0.00415&amp;sourceID=14","0.00415")</f>
        <v>0.00415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HYPERLINK("http://141.218.60.56/~jnz1568/getInfo.php?workbook=10_05.xlsx&amp;sheet=U0&amp;row=988&amp;col=6&amp;number=3.4&amp;sourceID=14","3.4")</f>
        <v>3.4</v>
      </c>
      <c r="G988" s="4" t="str">
        <f>HYPERLINK("http://141.218.60.56/~jnz1568/getInfo.php?workbook=10_05.xlsx&amp;sheet=U0&amp;row=988&amp;col=7&amp;number=0.00408&amp;sourceID=14","0.00408")</f>
        <v>0.00408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HYPERLINK("http://141.218.60.56/~jnz1568/getInfo.php?workbook=10_05.xlsx&amp;sheet=U0&amp;row=989&amp;col=6&amp;number=3.5&amp;sourceID=14","3.5")</f>
        <v>3.5</v>
      </c>
      <c r="G989" s="4" t="str">
        <f>HYPERLINK("http://141.218.60.56/~jnz1568/getInfo.php?workbook=10_05.xlsx&amp;sheet=U0&amp;row=989&amp;col=7&amp;number=0.00399&amp;sourceID=14","0.00399")</f>
        <v>0.00399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HYPERLINK("http://141.218.60.56/~jnz1568/getInfo.php?workbook=10_05.xlsx&amp;sheet=U0&amp;row=990&amp;col=6&amp;number=3.6&amp;sourceID=14","3.6")</f>
        <v>3.6</v>
      </c>
      <c r="G990" s="4" t="str">
        <f>HYPERLINK("http://141.218.60.56/~jnz1568/getInfo.php?workbook=10_05.xlsx&amp;sheet=U0&amp;row=990&amp;col=7&amp;number=0.00389&amp;sourceID=14","0.00389")</f>
        <v>0.00389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HYPERLINK("http://141.218.60.56/~jnz1568/getInfo.php?workbook=10_05.xlsx&amp;sheet=U0&amp;row=991&amp;col=6&amp;number=3.7&amp;sourceID=14","3.7")</f>
        <v>3.7</v>
      </c>
      <c r="G991" s="4" t="str">
        <f>HYPERLINK("http://141.218.60.56/~jnz1568/getInfo.php?workbook=10_05.xlsx&amp;sheet=U0&amp;row=991&amp;col=7&amp;number=0.00376&amp;sourceID=14","0.00376")</f>
        <v>0.00376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HYPERLINK("http://141.218.60.56/~jnz1568/getInfo.php?workbook=10_05.xlsx&amp;sheet=U0&amp;row=992&amp;col=6&amp;number=3.8&amp;sourceID=14","3.8")</f>
        <v>3.8</v>
      </c>
      <c r="G992" s="4" t="str">
        <f>HYPERLINK("http://141.218.60.56/~jnz1568/getInfo.php?workbook=10_05.xlsx&amp;sheet=U0&amp;row=992&amp;col=7&amp;number=0.00361&amp;sourceID=14","0.00361")</f>
        <v>0.00361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HYPERLINK("http://141.218.60.56/~jnz1568/getInfo.php?workbook=10_05.xlsx&amp;sheet=U0&amp;row=993&amp;col=6&amp;number=3.9&amp;sourceID=14","3.9")</f>
        <v>3.9</v>
      </c>
      <c r="G993" s="4" t="str">
        <f>HYPERLINK("http://141.218.60.56/~jnz1568/getInfo.php?workbook=10_05.xlsx&amp;sheet=U0&amp;row=993&amp;col=7&amp;number=0.00344&amp;sourceID=14","0.00344")</f>
        <v>0.00344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HYPERLINK("http://141.218.60.56/~jnz1568/getInfo.php?workbook=10_05.xlsx&amp;sheet=U0&amp;row=994&amp;col=6&amp;number=4&amp;sourceID=14","4")</f>
        <v>4</v>
      </c>
      <c r="G994" s="4" t="str">
        <f>HYPERLINK("http://141.218.60.56/~jnz1568/getInfo.php?workbook=10_05.xlsx&amp;sheet=U0&amp;row=994&amp;col=7&amp;number=0.00324&amp;sourceID=14","0.00324")</f>
        <v>0.00324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HYPERLINK("http://141.218.60.56/~jnz1568/getInfo.php?workbook=10_05.xlsx&amp;sheet=U0&amp;row=995&amp;col=6&amp;number=4.1&amp;sourceID=14","4.1")</f>
        <v>4.1</v>
      </c>
      <c r="G995" s="4" t="str">
        <f>HYPERLINK("http://141.218.60.56/~jnz1568/getInfo.php?workbook=10_05.xlsx&amp;sheet=U0&amp;row=995&amp;col=7&amp;number=0.00304&amp;sourceID=14","0.00304")</f>
        <v>0.00304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HYPERLINK("http://141.218.60.56/~jnz1568/getInfo.php?workbook=10_05.xlsx&amp;sheet=U0&amp;row=996&amp;col=6&amp;number=4.2&amp;sourceID=14","4.2")</f>
        <v>4.2</v>
      </c>
      <c r="G996" s="4" t="str">
        <f>HYPERLINK("http://141.218.60.56/~jnz1568/getInfo.php?workbook=10_05.xlsx&amp;sheet=U0&amp;row=996&amp;col=7&amp;number=0.00286&amp;sourceID=14","0.00286")</f>
        <v>0.00286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HYPERLINK("http://141.218.60.56/~jnz1568/getInfo.php?workbook=10_05.xlsx&amp;sheet=U0&amp;row=997&amp;col=6&amp;number=4.3&amp;sourceID=14","4.3")</f>
        <v>4.3</v>
      </c>
      <c r="G997" s="4" t="str">
        <f>HYPERLINK("http://141.218.60.56/~jnz1568/getInfo.php?workbook=10_05.xlsx&amp;sheet=U0&amp;row=997&amp;col=7&amp;number=0.00271&amp;sourceID=14","0.00271")</f>
        <v>0.00271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HYPERLINK("http://141.218.60.56/~jnz1568/getInfo.php?workbook=10_05.xlsx&amp;sheet=U0&amp;row=998&amp;col=6&amp;number=4.4&amp;sourceID=14","4.4")</f>
        <v>4.4</v>
      </c>
      <c r="G998" s="4" t="str">
        <f>HYPERLINK("http://141.218.60.56/~jnz1568/getInfo.php?workbook=10_05.xlsx&amp;sheet=U0&amp;row=998&amp;col=7&amp;number=0.0026&amp;sourceID=14","0.0026")</f>
        <v>0.0026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HYPERLINK("http://141.218.60.56/~jnz1568/getInfo.php?workbook=10_05.xlsx&amp;sheet=U0&amp;row=999&amp;col=6&amp;number=4.5&amp;sourceID=14","4.5")</f>
        <v>4.5</v>
      </c>
      <c r="G999" s="4" t="str">
        <f>HYPERLINK("http://141.218.60.56/~jnz1568/getInfo.php?workbook=10_05.xlsx&amp;sheet=U0&amp;row=999&amp;col=7&amp;number=0.00251&amp;sourceID=14","0.00251")</f>
        <v>0.00251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HYPERLINK("http://141.218.60.56/~jnz1568/getInfo.php?workbook=10_05.xlsx&amp;sheet=U0&amp;row=1000&amp;col=6&amp;number=4.6&amp;sourceID=14","4.6")</f>
        <v>4.6</v>
      </c>
      <c r="G1000" s="4" t="str">
        <f>HYPERLINK("http://141.218.60.56/~jnz1568/getInfo.php?workbook=10_05.xlsx&amp;sheet=U0&amp;row=1000&amp;col=7&amp;number=0.00244&amp;sourceID=14","0.00244")</f>
        <v>0.00244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HYPERLINK("http://141.218.60.56/~jnz1568/getInfo.php?workbook=10_05.xlsx&amp;sheet=U0&amp;row=1001&amp;col=6&amp;number=4.7&amp;sourceID=14","4.7")</f>
        <v>4.7</v>
      </c>
      <c r="G1001" s="4" t="str">
        <f>HYPERLINK("http://141.218.60.56/~jnz1568/getInfo.php?workbook=10_05.xlsx&amp;sheet=U0&amp;row=1001&amp;col=7&amp;number=0.00236&amp;sourceID=14","0.00236")</f>
        <v>0.00236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HYPERLINK("http://141.218.60.56/~jnz1568/getInfo.php?workbook=10_05.xlsx&amp;sheet=U0&amp;row=1002&amp;col=6&amp;number=4.8&amp;sourceID=14","4.8")</f>
        <v>4.8</v>
      </c>
      <c r="G1002" s="4" t="str">
        <f>HYPERLINK("http://141.218.60.56/~jnz1568/getInfo.php?workbook=10_05.xlsx&amp;sheet=U0&amp;row=1002&amp;col=7&amp;number=0.00228&amp;sourceID=14","0.00228")</f>
        <v>0.00228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HYPERLINK("http://141.218.60.56/~jnz1568/getInfo.php?workbook=10_05.xlsx&amp;sheet=U0&amp;row=1003&amp;col=6&amp;number=4.9&amp;sourceID=14","4.9")</f>
        <v>4.9</v>
      </c>
      <c r="G1003" s="4" t="str">
        <f>HYPERLINK("http://141.218.60.56/~jnz1568/getInfo.php?workbook=10_05.xlsx&amp;sheet=U0&amp;row=1003&amp;col=7&amp;number=0.0022&amp;sourceID=14","0.0022")</f>
        <v>0.0022</v>
      </c>
    </row>
    <row r="1004" spans="1:7">
      <c r="A1004" s="3">
        <v>10</v>
      </c>
      <c r="B1004" s="3">
        <v>5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HYPERLINK("http://141.218.60.56/~jnz1568/getInfo.php?workbook=10_05.xlsx&amp;sheet=U0&amp;row=1004&amp;col=6&amp;number=3&amp;sourceID=14","3")</f>
        <v>3</v>
      </c>
      <c r="G1004" s="4" t="str">
        <f>HYPERLINK("http://141.218.60.56/~jnz1568/getInfo.php?workbook=10_05.xlsx&amp;sheet=U0&amp;row=1004&amp;col=7&amp;number=0.0446&amp;sourceID=14","0.0446")</f>
        <v>0.0446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HYPERLINK("http://141.218.60.56/~jnz1568/getInfo.php?workbook=10_05.xlsx&amp;sheet=U0&amp;row=1005&amp;col=6&amp;number=3.1&amp;sourceID=14","3.1")</f>
        <v>3.1</v>
      </c>
      <c r="G1005" s="4" t="str">
        <f>HYPERLINK("http://141.218.60.56/~jnz1568/getInfo.php?workbook=10_05.xlsx&amp;sheet=U0&amp;row=1005&amp;col=7&amp;number=0.0445&amp;sourceID=14","0.0445")</f>
        <v>0.0445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HYPERLINK("http://141.218.60.56/~jnz1568/getInfo.php?workbook=10_05.xlsx&amp;sheet=U0&amp;row=1006&amp;col=6&amp;number=3.2&amp;sourceID=14","3.2")</f>
        <v>3.2</v>
      </c>
      <c r="G1006" s="4" t="str">
        <f>HYPERLINK("http://141.218.60.56/~jnz1568/getInfo.php?workbook=10_05.xlsx&amp;sheet=U0&amp;row=1006&amp;col=7&amp;number=0.0443&amp;sourceID=14","0.0443")</f>
        <v>0.0443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HYPERLINK("http://141.218.60.56/~jnz1568/getInfo.php?workbook=10_05.xlsx&amp;sheet=U0&amp;row=1007&amp;col=6&amp;number=3.3&amp;sourceID=14","3.3")</f>
        <v>3.3</v>
      </c>
      <c r="G1007" s="4" t="str">
        <f>HYPERLINK("http://141.218.60.56/~jnz1568/getInfo.php?workbook=10_05.xlsx&amp;sheet=U0&amp;row=1007&amp;col=7&amp;number=0.0442&amp;sourceID=14","0.0442")</f>
        <v>0.0442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HYPERLINK("http://141.218.60.56/~jnz1568/getInfo.php?workbook=10_05.xlsx&amp;sheet=U0&amp;row=1008&amp;col=6&amp;number=3.4&amp;sourceID=14","3.4")</f>
        <v>3.4</v>
      </c>
      <c r="G1008" s="4" t="str">
        <f>HYPERLINK("http://141.218.60.56/~jnz1568/getInfo.php?workbook=10_05.xlsx&amp;sheet=U0&amp;row=1008&amp;col=7&amp;number=0.044&amp;sourceID=14","0.044")</f>
        <v>0.044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HYPERLINK("http://141.218.60.56/~jnz1568/getInfo.php?workbook=10_05.xlsx&amp;sheet=U0&amp;row=1009&amp;col=6&amp;number=3.5&amp;sourceID=14","3.5")</f>
        <v>3.5</v>
      </c>
      <c r="G1009" s="4" t="str">
        <f>HYPERLINK("http://141.218.60.56/~jnz1568/getInfo.php?workbook=10_05.xlsx&amp;sheet=U0&amp;row=1009&amp;col=7&amp;number=0.0437&amp;sourceID=14","0.0437")</f>
        <v>0.0437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HYPERLINK("http://141.218.60.56/~jnz1568/getInfo.php?workbook=10_05.xlsx&amp;sheet=U0&amp;row=1010&amp;col=6&amp;number=3.6&amp;sourceID=14","3.6")</f>
        <v>3.6</v>
      </c>
      <c r="G1010" s="4" t="str">
        <f>HYPERLINK("http://141.218.60.56/~jnz1568/getInfo.php?workbook=10_05.xlsx&amp;sheet=U0&amp;row=1010&amp;col=7&amp;number=0.0434&amp;sourceID=14","0.0434")</f>
        <v>0.0434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HYPERLINK("http://141.218.60.56/~jnz1568/getInfo.php?workbook=10_05.xlsx&amp;sheet=U0&amp;row=1011&amp;col=6&amp;number=3.7&amp;sourceID=14","3.7")</f>
        <v>3.7</v>
      </c>
      <c r="G1011" s="4" t="str">
        <f>HYPERLINK("http://141.218.60.56/~jnz1568/getInfo.php?workbook=10_05.xlsx&amp;sheet=U0&amp;row=1011&amp;col=7&amp;number=0.043&amp;sourceID=14","0.043")</f>
        <v>0.043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HYPERLINK("http://141.218.60.56/~jnz1568/getInfo.php?workbook=10_05.xlsx&amp;sheet=U0&amp;row=1012&amp;col=6&amp;number=3.8&amp;sourceID=14","3.8")</f>
        <v>3.8</v>
      </c>
      <c r="G1012" s="4" t="str">
        <f>HYPERLINK("http://141.218.60.56/~jnz1568/getInfo.php?workbook=10_05.xlsx&amp;sheet=U0&amp;row=1012&amp;col=7&amp;number=0.0425&amp;sourceID=14","0.0425")</f>
        <v>0.0425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HYPERLINK("http://141.218.60.56/~jnz1568/getInfo.php?workbook=10_05.xlsx&amp;sheet=U0&amp;row=1013&amp;col=6&amp;number=3.9&amp;sourceID=14","3.9")</f>
        <v>3.9</v>
      </c>
      <c r="G1013" s="4" t="str">
        <f>HYPERLINK("http://141.218.60.56/~jnz1568/getInfo.php?workbook=10_05.xlsx&amp;sheet=U0&amp;row=1013&amp;col=7&amp;number=0.0419&amp;sourceID=14","0.0419")</f>
        <v>0.0419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HYPERLINK("http://141.218.60.56/~jnz1568/getInfo.php?workbook=10_05.xlsx&amp;sheet=U0&amp;row=1014&amp;col=6&amp;number=4&amp;sourceID=14","4")</f>
        <v>4</v>
      </c>
      <c r="G1014" s="4" t="str">
        <f>HYPERLINK("http://141.218.60.56/~jnz1568/getInfo.php?workbook=10_05.xlsx&amp;sheet=U0&amp;row=1014&amp;col=7&amp;number=0.0411&amp;sourceID=14","0.0411")</f>
        <v>0.0411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HYPERLINK("http://141.218.60.56/~jnz1568/getInfo.php?workbook=10_05.xlsx&amp;sheet=U0&amp;row=1015&amp;col=6&amp;number=4.1&amp;sourceID=14","4.1")</f>
        <v>4.1</v>
      </c>
      <c r="G1015" s="4" t="str">
        <f>HYPERLINK("http://141.218.60.56/~jnz1568/getInfo.php?workbook=10_05.xlsx&amp;sheet=U0&amp;row=1015&amp;col=7&amp;number=0.0403&amp;sourceID=14","0.0403")</f>
        <v>0.0403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HYPERLINK("http://141.218.60.56/~jnz1568/getInfo.php?workbook=10_05.xlsx&amp;sheet=U0&amp;row=1016&amp;col=6&amp;number=4.2&amp;sourceID=14","4.2")</f>
        <v>4.2</v>
      </c>
      <c r="G1016" s="4" t="str">
        <f>HYPERLINK("http://141.218.60.56/~jnz1568/getInfo.php?workbook=10_05.xlsx&amp;sheet=U0&amp;row=1016&amp;col=7&amp;number=0.0393&amp;sourceID=14","0.0393")</f>
        <v>0.0393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HYPERLINK("http://141.218.60.56/~jnz1568/getInfo.php?workbook=10_05.xlsx&amp;sheet=U0&amp;row=1017&amp;col=6&amp;number=4.3&amp;sourceID=14","4.3")</f>
        <v>4.3</v>
      </c>
      <c r="G1017" s="4" t="str">
        <f>HYPERLINK("http://141.218.60.56/~jnz1568/getInfo.php?workbook=10_05.xlsx&amp;sheet=U0&amp;row=1017&amp;col=7&amp;number=0.0381&amp;sourceID=14","0.0381")</f>
        <v>0.0381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HYPERLINK("http://141.218.60.56/~jnz1568/getInfo.php?workbook=10_05.xlsx&amp;sheet=U0&amp;row=1018&amp;col=6&amp;number=4.4&amp;sourceID=14","4.4")</f>
        <v>4.4</v>
      </c>
      <c r="G1018" s="4" t="str">
        <f>HYPERLINK("http://141.218.60.56/~jnz1568/getInfo.php?workbook=10_05.xlsx&amp;sheet=U0&amp;row=1018&amp;col=7&amp;number=0.0369&amp;sourceID=14","0.0369")</f>
        <v>0.0369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HYPERLINK("http://141.218.60.56/~jnz1568/getInfo.php?workbook=10_05.xlsx&amp;sheet=U0&amp;row=1019&amp;col=6&amp;number=4.5&amp;sourceID=14","4.5")</f>
        <v>4.5</v>
      </c>
      <c r="G1019" s="4" t="str">
        <f>HYPERLINK("http://141.218.60.56/~jnz1568/getInfo.php?workbook=10_05.xlsx&amp;sheet=U0&amp;row=1019&amp;col=7&amp;number=0.0355&amp;sourceID=14","0.0355")</f>
        <v>0.0355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HYPERLINK("http://141.218.60.56/~jnz1568/getInfo.php?workbook=10_05.xlsx&amp;sheet=U0&amp;row=1020&amp;col=6&amp;number=4.6&amp;sourceID=14","4.6")</f>
        <v>4.6</v>
      </c>
      <c r="G1020" s="4" t="str">
        <f>HYPERLINK("http://141.218.60.56/~jnz1568/getInfo.php?workbook=10_05.xlsx&amp;sheet=U0&amp;row=1020&amp;col=7&amp;number=0.0339&amp;sourceID=14","0.0339")</f>
        <v>0.0339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HYPERLINK("http://141.218.60.56/~jnz1568/getInfo.php?workbook=10_05.xlsx&amp;sheet=U0&amp;row=1021&amp;col=6&amp;number=4.7&amp;sourceID=14","4.7")</f>
        <v>4.7</v>
      </c>
      <c r="G1021" s="4" t="str">
        <f>HYPERLINK("http://141.218.60.56/~jnz1568/getInfo.php?workbook=10_05.xlsx&amp;sheet=U0&amp;row=1021&amp;col=7&amp;number=0.0321&amp;sourceID=14","0.0321")</f>
        <v>0.0321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HYPERLINK("http://141.218.60.56/~jnz1568/getInfo.php?workbook=10_05.xlsx&amp;sheet=U0&amp;row=1022&amp;col=6&amp;number=4.8&amp;sourceID=14","4.8")</f>
        <v>4.8</v>
      </c>
      <c r="G1022" s="4" t="str">
        <f>HYPERLINK("http://141.218.60.56/~jnz1568/getInfo.php?workbook=10_05.xlsx&amp;sheet=U0&amp;row=1022&amp;col=7&amp;number=0.03&amp;sourceID=14","0.03")</f>
        <v>0.03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HYPERLINK("http://141.218.60.56/~jnz1568/getInfo.php?workbook=10_05.xlsx&amp;sheet=U0&amp;row=1023&amp;col=6&amp;number=4.9&amp;sourceID=14","4.9")</f>
        <v>4.9</v>
      </c>
      <c r="G1023" s="4" t="str">
        <f>HYPERLINK("http://141.218.60.56/~jnz1568/getInfo.php?workbook=10_05.xlsx&amp;sheet=U0&amp;row=1023&amp;col=7&amp;number=0.0278&amp;sourceID=14","0.0278")</f>
        <v>0.0278</v>
      </c>
    </row>
    <row r="1024" spans="1:7">
      <c r="A1024" s="3">
        <v>10</v>
      </c>
      <c r="B1024" s="3">
        <v>5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HYPERLINK("http://141.218.60.56/~jnz1568/getInfo.php?workbook=10_05.xlsx&amp;sheet=U0&amp;row=1024&amp;col=6&amp;number=3&amp;sourceID=14","3")</f>
        <v>3</v>
      </c>
      <c r="G1024" s="4" t="str">
        <f>HYPERLINK("http://141.218.60.56/~jnz1568/getInfo.php?workbook=10_05.xlsx&amp;sheet=U0&amp;row=1024&amp;col=7&amp;number=0.0591&amp;sourceID=14","0.0591")</f>
        <v>0.0591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HYPERLINK("http://141.218.60.56/~jnz1568/getInfo.php?workbook=10_05.xlsx&amp;sheet=U0&amp;row=1025&amp;col=6&amp;number=3.1&amp;sourceID=14","3.1")</f>
        <v>3.1</v>
      </c>
      <c r="G1025" s="4" t="str">
        <f>HYPERLINK("http://141.218.60.56/~jnz1568/getInfo.php?workbook=10_05.xlsx&amp;sheet=U0&amp;row=1025&amp;col=7&amp;number=0.059&amp;sourceID=14","0.059")</f>
        <v>0.059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HYPERLINK("http://141.218.60.56/~jnz1568/getInfo.php?workbook=10_05.xlsx&amp;sheet=U0&amp;row=1026&amp;col=6&amp;number=3.2&amp;sourceID=14","3.2")</f>
        <v>3.2</v>
      </c>
      <c r="G1026" s="4" t="str">
        <f>HYPERLINK("http://141.218.60.56/~jnz1568/getInfo.php?workbook=10_05.xlsx&amp;sheet=U0&amp;row=1026&amp;col=7&amp;number=0.0589&amp;sourceID=14","0.0589")</f>
        <v>0.0589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HYPERLINK("http://141.218.60.56/~jnz1568/getInfo.php?workbook=10_05.xlsx&amp;sheet=U0&amp;row=1027&amp;col=6&amp;number=3.3&amp;sourceID=14","3.3")</f>
        <v>3.3</v>
      </c>
      <c r="G1027" s="4" t="str">
        <f>HYPERLINK("http://141.218.60.56/~jnz1568/getInfo.php?workbook=10_05.xlsx&amp;sheet=U0&amp;row=1027&amp;col=7&amp;number=0.0587&amp;sourceID=14","0.0587")</f>
        <v>0.0587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HYPERLINK("http://141.218.60.56/~jnz1568/getInfo.php?workbook=10_05.xlsx&amp;sheet=U0&amp;row=1028&amp;col=6&amp;number=3.4&amp;sourceID=14","3.4")</f>
        <v>3.4</v>
      </c>
      <c r="G1028" s="4" t="str">
        <f>HYPERLINK("http://141.218.60.56/~jnz1568/getInfo.php?workbook=10_05.xlsx&amp;sheet=U0&amp;row=1028&amp;col=7&amp;number=0.0585&amp;sourceID=14","0.0585")</f>
        <v>0.0585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HYPERLINK("http://141.218.60.56/~jnz1568/getInfo.php?workbook=10_05.xlsx&amp;sheet=U0&amp;row=1029&amp;col=6&amp;number=3.5&amp;sourceID=14","3.5")</f>
        <v>3.5</v>
      </c>
      <c r="G1029" s="4" t="str">
        <f>HYPERLINK("http://141.218.60.56/~jnz1568/getInfo.php?workbook=10_05.xlsx&amp;sheet=U0&amp;row=1029&amp;col=7&amp;number=0.0582&amp;sourceID=14","0.0582")</f>
        <v>0.0582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HYPERLINK("http://141.218.60.56/~jnz1568/getInfo.php?workbook=10_05.xlsx&amp;sheet=U0&amp;row=1030&amp;col=6&amp;number=3.6&amp;sourceID=14","3.6")</f>
        <v>3.6</v>
      </c>
      <c r="G1030" s="4" t="str">
        <f>HYPERLINK("http://141.218.60.56/~jnz1568/getInfo.php?workbook=10_05.xlsx&amp;sheet=U0&amp;row=1030&amp;col=7&amp;number=0.0579&amp;sourceID=14","0.0579")</f>
        <v>0.0579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HYPERLINK("http://141.218.60.56/~jnz1568/getInfo.php?workbook=10_05.xlsx&amp;sheet=U0&amp;row=1031&amp;col=6&amp;number=3.7&amp;sourceID=14","3.7")</f>
        <v>3.7</v>
      </c>
      <c r="G1031" s="4" t="str">
        <f>HYPERLINK("http://141.218.60.56/~jnz1568/getInfo.php?workbook=10_05.xlsx&amp;sheet=U0&amp;row=1031&amp;col=7&amp;number=0.0574&amp;sourceID=14","0.0574")</f>
        <v>0.0574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HYPERLINK("http://141.218.60.56/~jnz1568/getInfo.php?workbook=10_05.xlsx&amp;sheet=U0&amp;row=1032&amp;col=6&amp;number=3.8&amp;sourceID=14","3.8")</f>
        <v>3.8</v>
      </c>
      <c r="G1032" s="4" t="str">
        <f>HYPERLINK("http://141.218.60.56/~jnz1568/getInfo.php?workbook=10_05.xlsx&amp;sheet=U0&amp;row=1032&amp;col=7&amp;number=0.0569&amp;sourceID=14","0.0569")</f>
        <v>0.0569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HYPERLINK("http://141.218.60.56/~jnz1568/getInfo.php?workbook=10_05.xlsx&amp;sheet=U0&amp;row=1033&amp;col=6&amp;number=3.9&amp;sourceID=14","3.9")</f>
        <v>3.9</v>
      </c>
      <c r="G1033" s="4" t="str">
        <f>HYPERLINK("http://141.218.60.56/~jnz1568/getInfo.php?workbook=10_05.xlsx&amp;sheet=U0&amp;row=1033&amp;col=7&amp;number=0.0563&amp;sourceID=14","0.0563")</f>
        <v>0.0563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HYPERLINK("http://141.218.60.56/~jnz1568/getInfo.php?workbook=10_05.xlsx&amp;sheet=U0&amp;row=1034&amp;col=6&amp;number=4&amp;sourceID=14","4")</f>
        <v>4</v>
      </c>
      <c r="G1034" s="4" t="str">
        <f>HYPERLINK("http://141.218.60.56/~jnz1568/getInfo.php?workbook=10_05.xlsx&amp;sheet=U0&amp;row=1034&amp;col=7&amp;number=0.0556&amp;sourceID=14","0.0556")</f>
        <v>0.0556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HYPERLINK("http://141.218.60.56/~jnz1568/getInfo.php?workbook=10_05.xlsx&amp;sheet=U0&amp;row=1035&amp;col=6&amp;number=4.1&amp;sourceID=14","4.1")</f>
        <v>4.1</v>
      </c>
      <c r="G1035" s="4" t="str">
        <f>HYPERLINK("http://141.218.60.56/~jnz1568/getInfo.php?workbook=10_05.xlsx&amp;sheet=U0&amp;row=1035&amp;col=7&amp;number=0.0547&amp;sourceID=14","0.0547")</f>
        <v>0.0547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HYPERLINK("http://141.218.60.56/~jnz1568/getInfo.php?workbook=10_05.xlsx&amp;sheet=U0&amp;row=1036&amp;col=6&amp;number=4.2&amp;sourceID=14","4.2")</f>
        <v>4.2</v>
      </c>
      <c r="G1036" s="4" t="str">
        <f>HYPERLINK("http://141.218.60.56/~jnz1568/getInfo.php?workbook=10_05.xlsx&amp;sheet=U0&amp;row=1036&amp;col=7&amp;number=0.0538&amp;sourceID=14","0.0538")</f>
        <v>0.0538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HYPERLINK("http://141.218.60.56/~jnz1568/getInfo.php?workbook=10_05.xlsx&amp;sheet=U0&amp;row=1037&amp;col=6&amp;number=4.3&amp;sourceID=14","4.3")</f>
        <v>4.3</v>
      </c>
      <c r="G1037" s="4" t="str">
        <f>HYPERLINK("http://141.218.60.56/~jnz1568/getInfo.php?workbook=10_05.xlsx&amp;sheet=U0&amp;row=1037&amp;col=7&amp;number=0.0528&amp;sourceID=14","0.0528")</f>
        <v>0.0528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HYPERLINK("http://141.218.60.56/~jnz1568/getInfo.php?workbook=10_05.xlsx&amp;sheet=U0&amp;row=1038&amp;col=6&amp;number=4.4&amp;sourceID=14","4.4")</f>
        <v>4.4</v>
      </c>
      <c r="G1038" s="4" t="str">
        <f>HYPERLINK("http://141.218.60.56/~jnz1568/getInfo.php?workbook=10_05.xlsx&amp;sheet=U0&amp;row=1038&amp;col=7&amp;number=0.0519&amp;sourceID=14","0.0519")</f>
        <v>0.0519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HYPERLINK("http://141.218.60.56/~jnz1568/getInfo.php?workbook=10_05.xlsx&amp;sheet=U0&amp;row=1039&amp;col=6&amp;number=4.5&amp;sourceID=14","4.5")</f>
        <v>4.5</v>
      </c>
      <c r="G1039" s="4" t="str">
        <f>HYPERLINK("http://141.218.60.56/~jnz1568/getInfo.php?workbook=10_05.xlsx&amp;sheet=U0&amp;row=1039&amp;col=7&amp;number=0.0511&amp;sourceID=14","0.0511")</f>
        <v>0.0511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HYPERLINK("http://141.218.60.56/~jnz1568/getInfo.php?workbook=10_05.xlsx&amp;sheet=U0&amp;row=1040&amp;col=6&amp;number=4.6&amp;sourceID=14","4.6")</f>
        <v>4.6</v>
      </c>
      <c r="G1040" s="4" t="str">
        <f>HYPERLINK("http://141.218.60.56/~jnz1568/getInfo.php?workbook=10_05.xlsx&amp;sheet=U0&amp;row=1040&amp;col=7&amp;number=0.0503&amp;sourceID=14","0.0503")</f>
        <v>0.0503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HYPERLINK("http://141.218.60.56/~jnz1568/getInfo.php?workbook=10_05.xlsx&amp;sheet=U0&amp;row=1041&amp;col=6&amp;number=4.7&amp;sourceID=14","4.7")</f>
        <v>4.7</v>
      </c>
      <c r="G1041" s="4" t="str">
        <f>HYPERLINK("http://141.218.60.56/~jnz1568/getInfo.php?workbook=10_05.xlsx&amp;sheet=U0&amp;row=1041&amp;col=7&amp;number=0.0494&amp;sourceID=14","0.0494")</f>
        <v>0.0494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HYPERLINK("http://141.218.60.56/~jnz1568/getInfo.php?workbook=10_05.xlsx&amp;sheet=U0&amp;row=1042&amp;col=6&amp;number=4.8&amp;sourceID=14","4.8")</f>
        <v>4.8</v>
      </c>
      <c r="G1042" s="4" t="str">
        <f>HYPERLINK("http://141.218.60.56/~jnz1568/getInfo.php?workbook=10_05.xlsx&amp;sheet=U0&amp;row=1042&amp;col=7&amp;number=0.0483&amp;sourceID=14","0.0483")</f>
        <v>0.0483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HYPERLINK("http://141.218.60.56/~jnz1568/getInfo.php?workbook=10_05.xlsx&amp;sheet=U0&amp;row=1043&amp;col=6&amp;number=4.9&amp;sourceID=14","4.9")</f>
        <v>4.9</v>
      </c>
      <c r="G1043" s="4" t="str">
        <f>HYPERLINK("http://141.218.60.56/~jnz1568/getInfo.php?workbook=10_05.xlsx&amp;sheet=U0&amp;row=1043&amp;col=7&amp;number=0.0471&amp;sourceID=14","0.0471")</f>
        <v>0.0471</v>
      </c>
    </row>
    <row r="1044" spans="1:7">
      <c r="A1044" s="3">
        <v>10</v>
      </c>
      <c r="B1044" s="3">
        <v>5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HYPERLINK("http://141.218.60.56/~jnz1568/getInfo.php?workbook=10_05.xlsx&amp;sheet=U0&amp;row=1044&amp;col=6&amp;number=3&amp;sourceID=14","3")</f>
        <v>3</v>
      </c>
      <c r="G1044" s="4" t="str">
        <f>HYPERLINK("http://141.218.60.56/~jnz1568/getInfo.php?workbook=10_05.xlsx&amp;sheet=U0&amp;row=1044&amp;col=7&amp;number=0.0508&amp;sourceID=14","0.0508")</f>
        <v>0.0508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HYPERLINK("http://141.218.60.56/~jnz1568/getInfo.php?workbook=10_05.xlsx&amp;sheet=U0&amp;row=1045&amp;col=6&amp;number=3.1&amp;sourceID=14","3.1")</f>
        <v>3.1</v>
      </c>
      <c r="G1045" s="4" t="str">
        <f>HYPERLINK("http://141.218.60.56/~jnz1568/getInfo.php?workbook=10_05.xlsx&amp;sheet=U0&amp;row=1045&amp;col=7&amp;number=0.0508&amp;sourceID=14","0.0508")</f>
        <v>0.0508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HYPERLINK("http://141.218.60.56/~jnz1568/getInfo.php?workbook=10_05.xlsx&amp;sheet=U0&amp;row=1046&amp;col=6&amp;number=3.2&amp;sourceID=14","3.2")</f>
        <v>3.2</v>
      </c>
      <c r="G1046" s="4" t="str">
        <f>HYPERLINK("http://141.218.60.56/~jnz1568/getInfo.php?workbook=10_05.xlsx&amp;sheet=U0&amp;row=1046&amp;col=7&amp;number=0.0509&amp;sourceID=14","0.0509")</f>
        <v>0.0509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HYPERLINK("http://141.218.60.56/~jnz1568/getInfo.php?workbook=10_05.xlsx&amp;sheet=U0&amp;row=1047&amp;col=6&amp;number=3.3&amp;sourceID=14","3.3")</f>
        <v>3.3</v>
      </c>
      <c r="G1047" s="4" t="str">
        <f>HYPERLINK("http://141.218.60.56/~jnz1568/getInfo.php?workbook=10_05.xlsx&amp;sheet=U0&amp;row=1047&amp;col=7&amp;number=0.051&amp;sourceID=14","0.051")</f>
        <v>0.051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HYPERLINK("http://141.218.60.56/~jnz1568/getInfo.php?workbook=10_05.xlsx&amp;sheet=U0&amp;row=1048&amp;col=6&amp;number=3.4&amp;sourceID=14","3.4")</f>
        <v>3.4</v>
      </c>
      <c r="G1048" s="4" t="str">
        <f>HYPERLINK("http://141.218.60.56/~jnz1568/getInfo.php?workbook=10_05.xlsx&amp;sheet=U0&amp;row=1048&amp;col=7&amp;number=0.0511&amp;sourceID=14","0.0511")</f>
        <v>0.0511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HYPERLINK("http://141.218.60.56/~jnz1568/getInfo.php?workbook=10_05.xlsx&amp;sheet=U0&amp;row=1049&amp;col=6&amp;number=3.5&amp;sourceID=14","3.5")</f>
        <v>3.5</v>
      </c>
      <c r="G1049" s="4" t="str">
        <f>HYPERLINK("http://141.218.60.56/~jnz1568/getInfo.php?workbook=10_05.xlsx&amp;sheet=U0&amp;row=1049&amp;col=7&amp;number=0.0512&amp;sourceID=14","0.0512")</f>
        <v>0.0512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HYPERLINK("http://141.218.60.56/~jnz1568/getInfo.php?workbook=10_05.xlsx&amp;sheet=U0&amp;row=1050&amp;col=6&amp;number=3.6&amp;sourceID=14","3.6")</f>
        <v>3.6</v>
      </c>
      <c r="G1050" s="4" t="str">
        <f>HYPERLINK("http://141.218.60.56/~jnz1568/getInfo.php?workbook=10_05.xlsx&amp;sheet=U0&amp;row=1050&amp;col=7&amp;number=0.0514&amp;sourceID=14","0.0514")</f>
        <v>0.0514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HYPERLINK("http://141.218.60.56/~jnz1568/getInfo.php?workbook=10_05.xlsx&amp;sheet=U0&amp;row=1051&amp;col=6&amp;number=3.7&amp;sourceID=14","3.7")</f>
        <v>3.7</v>
      </c>
      <c r="G1051" s="4" t="str">
        <f>HYPERLINK("http://141.218.60.56/~jnz1568/getInfo.php?workbook=10_05.xlsx&amp;sheet=U0&amp;row=1051&amp;col=7&amp;number=0.0516&amp;sourceID=14","0.0516")</f>
        <v>0.0516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HYPERLINK("http://141.218.60.56/~jnz1568/getInfo.php?workbook=10_05.xlsx&amp;sheet=U0&amp;row=1052&amp;col=6&amp;number=3.8&amp;sourceID=14","3.8")</f>
        <v>3.8</v>
      </c>
      <c r="G1052" s="4" t="str">
        <f>HYPERLINK("http://141.218.60.56/~jnz1568/getInfo.php?workbook=10_05.xlsx&amp;sheet=U0&amp;row=1052&amp;col=7&amp;number=0.0518&amp;sourceID=14","0.0518")</f>
        <v>0.0518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HYPERLINK("http://141.218.60.56/~jnz1568/getInfo.php?workbook=10_05.xlsx&amp;sheet=U0&amp;row=1053&amp;col=6&amp;number=3.9&amp;sourceID=14","3.9")</f>
        <v>3.9</v>
      </c>
      <c r="G1053" s="4" t="str">
        <f>HYPERLINK("http://141.218.60.56/~jnz1568/getInfo.php?workbook=10_05.xlsx&amp;sheet=U0&amp;row=1053&amp;col=7&amp;number=0.0521&amp;sourceID=14","0.0521")</f>
        <v>0.0521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HYPERLINK("http://141.218.60.56/~jnz1568/getInfo.php?workbook=10_05.xlsx&amp;sheet=U0&amp;row=1054&amp;col=6&amp;number=4&amp;sourceID=14","4")</f>
        <v>4</v>
      </c>
      <c r="G1054" s="4" t="str">
        <f>HYPERLINK("http://141.218.60.56/~jnz1568/getInfo.php?workbook=10_05.xlsx&amp;sheet=U0&amp;row=1054&amp;col=7&amp;number=0.0525&amp;sourceID=14","0.0525")</f>
        <v>0.0525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HYPERLINK("http://141.218.60.56/~jnz1568/getInfo.php?workbook=10_05.xlsx&amp;sheet=U0&amp;row=1055&amp;col=6&amp;number=4.1&amp;sourceID=14","4.1")</f>
        <v>4.1</v>
      </c>
      <c r="G1055" s="4" t="str">
        <f>HYPERLINK("http://141.218.60.56/~jnz1568/getInfo.php?workbook=10_05.xlsx&amp;sheet=U0&amp;row=1055&amp;col=7&amp;number=0.053&amp;sourceID=14","0.053")</f>
        <v>0.053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HYPERLINK("http://141.218.60.56/~jnz1568/getInfo.php?workbook=10_05.xlsx&amp;sheet=U0&amp;row=1056&amp;col=6&amp;number=4.2&amp;sourceID=14","4.2")</f>
        <v>4.2</v>
      </c>
      <c r="G1056" s="4" t="str">
        <f>HYPERLINK("http://141.218.60.56/~jnz1568/getInfo.php?workbook=10_05.xlsx&amp;sheet=U0&amp;row=1056&amp;col=7&amp;number=0.0535&amp;sourceID=14","0.0535")</f>
        <v>0.0535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HYPERLINK("http://141.218.60.56/~jnz1568/getInfo.php?workbook=10_05.xlsx&amp;sheet=U0&amp;row=1057&amp;col=6&amp;number=4.3&amp;sourceID=14","4.3")</f>
        <v>4.3</v>
      </c>
      <c r="G1057" s="4" t="str">
        <f>HYPERLINK("http://141.218.60.56/~jnz1568/getInfo.php?workbook=10_05.xlsx&amp;sheet=U0&amp;row=1057&amp;col=7&amp;number=0.0541&amp;sourceID=14","0.0541")</f>
        <v>0.0541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HYPERLINK("http://141.218.60.56/~jnz1568/getInfo.php?workbook=10_05.xlsx&amp;sheet=U0&amp;row=1058&amp;col=6&amp;number=4.4&amp;sourceID=14","4.4")</f>
        <v>4.4</v>
      </c>
      <c r="G1058" s="4" t="str">
        <f>HYPERLINK("http://141.218.60.56/~jnz1568/getInfo.php?workbook=10_05.xlsx&amp;sheet=U0&amp;row=1058&amp;col=7&amp;number=0.0548&amp;sourceID=14","0.0548")</f>
        <v>0.0548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HYPERLINK("http://141.218.60.56/~jnz1568/getInfo.php?workbook=10_05.xlsx&amp;sheet=U0&amp;row=1059&amp;col=6&amp;number=4.5&amp;sourceID=14","4.5")</f>
        <v>4.5</v>
      </c>
      <c r="G1059" s="4" t="str">
        <f>HYPERLINK("http://141.218.60.56/~jnz1568/getInfo.php?workbook=10_05.xlsx&amp;sheet=U0&amp;row=1059&amp;col=7&amp;number=0.0554&amp;sourceID=14","0.0554")</f>
        <v>0.0554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HYPERLINK("http://141.218.60.56/~jnz1568/getInfo.php?workbook=10_05.xlsx&amp;sheet=U0&amp;row=1060&amp;col=6&amp;number=4.6&amp;sourceID=14","4.6")</f>
        <v>4.6</v>
      </c>
      <c r="G1060" s="4" t="str">
        <f>HYPERLINK("http://141.218.60.56/~jnz1568/getInfo.php?workbook=10_05.xlsx&amp;sheet=U0&amp;row=1060&amp;col=7&amp;number=0.056&amp;sourceID=14","0.056")</f>
        <v>0.056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HYPERLINK("http://141.218.60.56/~jnz1568/getInfo.php?workbook=10_05.xlsx&amp;sheet=U0&amp;row=1061&amp;col=6&amp;number=4.7&amp;sourceID=14","4.7")</f>
        <v>4.7</v>
      </c>
      <c r="G1061" s="4" t="str">
        <f>HYPERLINK("http://141.218.60.56/~jnz1568/getInfo.php?workbook=10_05.xlsx&amp;sheet=U0&amp;row=1061&amp;col=7&amp;number=0.0565&amp;sourceID=14","0.0565")</f>
        <v>0.0565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HYPERLINK("http://141.218.60.56/~jnz1568/getInfo.php?workbook=10_05.xlsx&amp;sheet=U0&amp;row=1062&amp;col=6&amp;number=4.8&amp;sourceID=14","4.8")</f>
        <v>4.8</v>
      </c>
      <c r="G1062" s="4" t="str">
        <f>HYPERLINK("http://141.218.60.56/~jnz1568/getInfo.php?workbook=10_05.xlsx&amp;sheet=U0&amp;row=1062&amp;col=7&amp;number=0.057&amp;sourceID=14","0.057")</f>
        <v>0.057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HYPERLINK("http://141.218.60.56/~jnz1568/getInfo.php?workbook=10_05.xlsx&amp;sheet=U0&amp;row=1063&amp;col=6&amp;number=4.9&amp;sourceID=14","4.9")</f>
        <v>4.9</v>
      </c>
      <c r="G1063" s="4" t="str">
        <f>HYPERLINK("http://141.218.60.56/~jnz1568/getInfo.php?workbook=10_05.xlsx&amp;sheet=U0&amp;row=1063&amp;col=7&amp;number=0.0576&amp;sourceID=14","0.0576")</f>
        <v>0.0576</v>
      </c>
    </row>
    <row r="1064" spans="1:7">
      <c r="A1064" s="3">
        <v>10</v>
      </c>
      <c r="B1064" s="3">
        <v>5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HYPERLINK("http://141.218.60.56/~jnz1568/getInfo.php?workbook=10_05.xlsx&amp;sheet=U0&amp;row=1064&amp;col=6&amp;number=3&amp;sourceID=14","3")</f>
        <v>3</v>
      </c>
      <c r="G1064" s="4" t="str">
        <f>HYPERLINK("http://141.218.60.56/~jnz1568/getInfo.php?workbook=10_05.xlsx&amp;sheet=U0&amp;row=1064&amp;col=7&amp;number=0.0136&amp;sourceID=14","0.0136")</f>
        <v>0.0136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HYPERLINK("http://141.218.60.56/~jnz1568/getInfo.php?workbook=10_05.xlsx&amp;sheet=U0&amp;row=1065&amp;col=6&amp;number=3.1&amp;sourceID=14","3.1")</f>
        <v>3.1</v>
      </c>
      <c r="G1065" s="4" t="str">
        <f>HYPERLINK("http://141.218.60.56/~jnz1568/getInfo.php?workbook=10_05.xlsx&amp;sheet=U0&amp;row=1065&amp;col=7&amp;number=0.0137&amp;sourceID=14","0.0137")</f>
        <v>0.0137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HYPERLINK("http://141.218.60.56/~jnz1568/getInfo.php?workbook=10_05.xlsx&amp;sheet=U0&amp;row=1066&amp;col=6&amp;number=3.2&amp;sourceID=14","3.2")</f>
        <v>3.2</v>
      </c>
      <c r="G1066" s="4" t="str">
        <f>HYPERLINK("http://141.218.60.56/~jnz1568/getInfo.php?workbook=10_05.xlsx&amp;sheet=U0&amp;row=1066&amp;col=7&amp;number=0.0138&amp;sourceID=14","0.0138")</f>
        <v>0.0138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HYPERLINK("http://141.218.60.56/~jnz1568/getInfo.php?workbook=10_05.xlsx&amp;sheet=U0&amp;row=1067&amp;col=6&amp;number=3.3&amp;sourceID=14","3.3")</f>
        <v>3.3</v>
      </c>
      <c r="G1067" s="4" t="str">
        <f>HYPERLINK("http://141.218.60.56/~jnz1568/getInfo.php?workbook=10_05.xlsx&amp;sheet=U0&amp;row=1067&amp;col=7&amp;number=0.0139&amp;sourceID=14","0.0139")</f>
        <v>0.0139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HYPERLINK("http://141.218.60.56/~jnz1568/getInfo.php?workbook=10_05.xlsx&amp;sheet=U0&amp;row=1068&amp;col=6&amp;number=3.4&amp;sourceID=14","3.4")</f>
        <v>3.4</v>
      </c>
      <c r="G1068" s="4" t="str">
        <f>HYPERLINK("http://141.218.60.56/~jnz1568/getInfo.php?workbook=10_05.xlsx&amp;sheet=U0&amp;row=1068&amp;col=7&amp;number=0.014&amp;sourceID=14","0.014")</f>
        <v>0.014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HYPERLINK("http://141.218.60.56/~jnz1568/getInfo.php?workbook=10_05.xlsx&amp;sheet=U0&amp;row=1069&amp;col=6&amp;number=3.5&amp;sourceID=14","3.5")</f>
        <v>3.5</v>
      </c>
      <c r="G1069" s="4" t="str">
        <f>HYPERLINK("http://141.218.60.56/~jnz1568/getInfo.php?workbook=10_05.xlsx&amp;sheet=U0&amp;row=1069&amp;col=7&amp;number=0.0142&amp;sourceID=14","0.0142")</f>
        <v>0.0142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HYPERLINK("http://141.218.60.56/~jnz1568/getInfo.php?workbook=10_05.xlsx&amp;sheet=U0&amp;row=1070&amp;col=6&amp;number=3.6&amp;sourceID=14","3.6")</f>
        <v>3.6</v>
      </c>
      <c r="G1070" s="4" t="str">
        <f>HYPERLINK("http://141.218.60.56/~jnz1568/getInfo.php?workbook=10_05.xlsx&amp;sheet=U0&amp;row=1070&amp;col=7&amp;number=0.0143&amp;sourceID=14","0.0143")</f>
        <v>0.0143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HYPERLINK("http://141.218.60.56/~jnz1568/getInfo.php?workbook=10_05.xlsx&amp;sheet=U0&amp;row=1071&amp;col=6&amp;number=3.7&amp;sourceID=14","3.7")</f>
        <v>3.7</v>
      </c>
      <c r="G1071" s="4" t="str">
        <f>HYPERLINK("http://141.218.60.56/~jnz1568/getInfo.php?workbook=10_05.xlsx&amp;sheet=U0&amp;row=1071&amp;col=7&amp;number=0.0146&amp;sourceID=14","0.0146")</f>
        <v>0.0146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HYPERLINK("http://141.218.60.56/~jnz1568/getInfo.php?workbook=10_05.xlsx&amp;sheet=U0&amp;row=1072&amp;col=6&amp;number=3.8&amp;sourceID=14","3.8")</f>
        <v>3.8</v>
      </c>
      <c r="G1072" s="4" t="str">
        <f>HYPERLINK("http://141.218.60.56/~jnz1568/getInfo.php?workbook=10_05.xlsx&amp;sheet=U0&amp;row=1072&amp;col=7&amp;number=0.0148&amp;sourceID=14","0.0148")</f>
        <v>0.0148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HYPERLINK("http://141.218.60.56/~jnz1568/getInfo.php?workbook=10_05.xlsx&amp;sheet=U0&amp;row=1073&amp;col=6&amp;number=3.9&amp;sourceID=14","3.9")</f>
        <v>3.9</v>
      </c>
      <c r="G1073" s="4" t="str">
        <f>HYPERLINK("http://141.218.60.56/~jnz1568/getInfo.php?workbook=10_05.xlsx&amp;sheet=U0&amp;row=1073&amp;col=7&amp;number=0.0151&amp;sourceID=14","0.0151")</f>
        <v>0.0151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HYPERLINK("http://141.218.60.56/~jnz1568/getInfo.php?workbook=10_05.xlsx&amp;sheet=U0&amp;row=1074&amp;col=6&amp;number=4&amp;sourceID=14","4")</f>
        <v>4</v>
      </c>
      <c r="G1074" s="4" t="str">
        <f>HYPERLINK("http://141.218.60.56/~jnz1568/getInfo.php?workbook=10_05.xlsx&amp;sheet=U0&amp;row=1074&amp;col=7&amp;number=0.0154&amp;sourceID=14","0.0154")</f>
        <v>0.0154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HYPERLINK("http://141.218.60.56/~jnz1568/getInfo.php?workbook=10_05.xlsx&amp;sheet=U0&amp;row=1075&amp;col=6&amp;number=4.1&amp;sourceID=14","4.1")</f>
        <v>4.1</v>
      </c>
      <c r="G1075" s="4" t="str">
        <f>HYPERLINK("http://141.218.60.56/~jnz1568/getInfo.php?workbook=10_05.xlsx&amp;sheet=U0&amp;row=1075&amp;col=7&amp;number=0.0156&amp;sourceID=14","0.0156")</f>
        <v>0.0156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HYPERLINK("http://141.218.60.56/~jnz1568/getInfo.php?workbook=10_05.xlsx&amp;sheet=U0&amp;row=1076&amp;col=6&amp;number=4.2&amp;sourceID=14","4.2")</f>
        <v>4.2</v>
      </c>
      <c r="G1076" s="4" t="str">
        <f>HYPERLINK("http://141.218.60.56/~jnz1568/getInfo.php?workbook=10_05.xlsx&amp;sheet=U0&amp;row=1076&amp;col=7&amp;number=0.0157&amp;sourceID=14","0.0157")</f>
        <v>0.0157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HYPERLINK("http://141.218.60.56/~jnz1568/getInfo.php?workbook=10_05.xlsx&amp;sheet=U0&amp;row=1077&amp;col=6&amp;number=4.3&amp;sourceID=14","4.3")</f>
        <v>4.3</v>
      </c>
      <c r="G1077" s="4" t="str">
        <f>HYPERLINK("http://141.218.60.56/~jnz1568/getInfo.php?workbook=10_05.xlsx&amp;sheet=U0&amp;row=1077&amp;col=7&amp;number=0.0156&amp;sourceID=14","0.0156")</f>
        <v>0.0156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HYPERLINK("http://141.218.60.56/~jnz1568/getInfo.php?workbook=10_05.xlsx&amp;sheet=U0&amp;row=1078&amp;col=6&amp;number=4.4&amp;sourceID=14","4.4")</f>
        <v>4.4</v>
      </c>
      <c r="G1078" s="4" t="str">
        <f>HYPERLINK("http://141.218.60.56/~jnz1568/getInfo.php?workbook=10_05.xlsx&amp;sheet=U0&amp;row=1078&amp;col=7&amp;number=0.0153&amp;sourceID=14","0.0153")</f>
        <v>0.0153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HYPERLINK("http://141.218.60.56/~jnz1568/getInfo.php?workbook=10_05.xlsx&amp;sheet=U0&amp;row=1079&amp;col=6&amp;number=4.5&amp;sourceID=14","4.5")</f>
        <v>4.5</v>
      </c>
      <c r="G1079" s="4" t="str">
        <f>HYPERLINK("http://141.218.60.56/~jnz1568/getInfo.php?workbook=10_05.xlsx&amp;sheet=U0&amp;row=1079&amp;col=7&amp;number=0.0149&amp;sourceID=14","0.0149")</f>
        <v>0.0149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HYPERLINK("http://141.218.60.56/~jnz1568/getInfo.php?workbook=10_05.xlsx&amp;sheet=U0&amp;row=1080&amp;col=6&amp;number=4.6&amp;sourceID=14","4.6")</f>
        <v>4.6</v>
      </c>
      <c r="G1080" s="4" t="str">
        <f>HYPERLINK("http://141.218.60.56/~jnz1568/getInfo.php?workbook=10_05.xlsx&amp;sheet=U0&amp;row=1080&amp;col=7&amp;number=0.0145&amp;sourceID=14","0.0145")</f>
        <v>0.0145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HYPERLINK("http://141.218.60.56/~jnz1568/getInfo.php?workbook=10_05.xlsx&amp;sheet=U0&amp;row=1081&amp;col=6&amp;number=4.7&amp;sourceID=14","4.7")</f>
        <v>4.7</v>
      </c>
      <c r="G1081" s="4" t="str">
        <f>HYPERLINK("http://141.218.60.56/~jnz1568/getInfo.php?workbook=10_05.xlsx&amp;sheet=U0&amp;row=1081&amp;col=7&amp;number=0.014&amp;sourceID=14","0.014")</f>
        <v>0.014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HYPERLINK("http://141.218.60.56/~jnz1568/getInfo.php?workbook=10_05.xlsx&amp;sheet=U0&amp;row=1082&amp;col=6&amp;number=4.8&amp;sourceID=14","4.8")</f>
        <v>4.8</v>
      </c>
      <c r="G1082" s="4" t="str">
        <f>HYPERLINK("http://141.218.60.56/~jnz1568/getInfo.php?workbook=10_05.xlsx&amp;sheet=U0&amp;row=1082&amp;col=7&amp;number=0.0134&amp;sourceID=14","0.0134")</f>
        <v>0.0134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HYPERLINK("http://141.218.60.56/~jnz1568/getInfo.php?workbook=10_05.xlsx&amp;sheet=U0&amp;row=1083&amp;col=6&amp;number=4.9&amp;sourceID=14","4.9")</f>
        <v>4.9</v>
      </c>
      <c r="G1083" s="4" t="str">
        <f>HYPERLINK("http://141.218.60.56/~jnz1568/getInfo.php?workbook=10_05.xlsx&amp;sheet=U0&amp;row=1083&amp;col=7&amp;number=0.0126&amp;sourceID=14","0.0126")</f>
        <v>0.0126</v>
      </c>
    </row>
    <row r="1084" spans="1:7">
      <c r="A1084" s="3">
        <v>10</v>
      </c>
      <c r="B1084" s="3">
        <v>5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HYPERLINK("http://141.218.60.56/~jnz1568/getInfo.php?workbook=10_05.xlsx&amp;sheet=U0&amp;row=1084&amp;col=6&amp;number=3&amp;sourceID=14","3")</f>
        <v>3</v>
      </c>
      <c r="G1084" s="4" t="str">
        <f>HYPERLINK("http://141.218.60.56/~jnz1568/getInfo.php?workbook=10_05.xlsx&amp;sheet=U0&amp;row=1084&amp;col=7&amp;number=0.0264&amp;sourceID=14","0.0264")</f>
        <v>0.0264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HYPERLINK("http://141.218.60.56/~jnz1568/getInfo.php?workbook=10_05.xlsx&amp;sheet=U0&amp;row=1085&amp;col=6&amp;number=3.1&amp;sourceID=14","3.1")</f>
        <v>3.1</v>
      </c>
      <c r="G1085" s="4" t="str">
        <f>HYPERLINK("http://141.218.60.56/~jnz1568/getInfo.php?workbook=10_05.xlsx&amp;sheet=U0&amp;row=1085&amp;col=7&amp;number=0.0263&amp;sourceID=14","0.0263")</f>
        <v>0.0263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HYPERLINK("http://141.218.60.56/~jnz1568/getInfo.php?workbook=10_05.xlsx&amp;sheet=U0&amp;row=1086&amp;col=6&amp;number=3.2&amp;sourceID=14","3.2")</f>
        <v>3.2</v>
      </c>
      <c r="G1086" s="4" t="str">
        <f>HYPERLINK("http://141.218.60.56/~jnz1568/getInfo.php?workbook=10_05.xlsx&amp;sheet=U0&amp;row=1086&amp;col=7&amp;number=0.0263&amp;sourceID=14","0.0263")</f>
        <v>0.0263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HYPERLINK("http://141.218.60.56/~jnz1568/getInfo.php?workbook=10_05.xlsx&amp;sheet=U0&amp;row=1087&amp;col=6&amp;number=3.3&amp;sourceID=14","3.3")</f>
        <v>3.3</v>
      </c>
      <c r="G1087" s="4" t="str">
        <f>HYPERLINK("http://141.218.60.56/~jnz1568/getInfo.php?workbook=10_05.xlsx&amp;sheet=U0&amp;row=1087&amp;col=7&amp;number=0.0263&amp;sourceID=14","0.0263")</f>
        <v>0.0263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HYPERLINK("http://141.218.60.56/~jnz1568/getInfo.php?workbook=10_05.xlsx&amp;sheet=U0&amp;row=1088&amp;col=6&amp;number=3.4&amp;sourceID=14","3.4")</f>
        <v>3.4</v>
      </c>
      <c r="G1088" s="4" t="str">
        <f>HYPERLINK("http://141.218.60.56/~jnz1568/getInfo.php?workbook=10_05.xlsx&amp;sheet=U0&amp;row=1088&amp;col=7&amp;number=0.0262&amp;sourceID=14","0.0262")</f>
        <v>0.0262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HYPERLINK("http://141.218.60.56/~jnz1568/getInfo.php?workbook=10_05.xlsx&amp;sheet=U0&amp;row=1089&amp;col=6&amp;number=3.5&amp;sourceID=14","3.5")</f>
        <v>3.5</v>
      </c>
      <c r="G1089" s="4" t="str">
        <f>HYPERLINK("http://141.218.60.56/~jnz1568/getInfo.php?workbook=10_05.xlsx&amp;sheet=U0&amp;row=1089&amp;col=7&amp;number=0.0261&amp;sourceID=14","0.0261")</f>
        <v>0.0261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HYPERLINK("http://141.218.60.56/~jnz1568/getInfo.php?workbook=10_05.xlsx&amp;sheet=U0&amp;row=1090&amp;col=6&amp;number=3.6&amp;sourceID=14","3.6")</f>
        <v>3.6</v>
      </c>
      <c r="G1090" s="4" t="str">
        <f>HYPERLINK("http://141.218.60.56/~jnz1568/getInfo.php?workbook=10_05.xlsx&amp;sheet=U0&amp;row=1090&amp;col=7&amp;number=0.0261&amp;sourceID=14","0.0261")</f>
        <v>0.0261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HYPERLINK("http://141.218.60.56/~jnz1568/getInfo.php?workbook=10_05.xlsx&amp;sheet=U0&amp;row=1091&amp;col=6&amp;number=3.7&amp;sourceID=14","3.7")</f>
        <v>3.7</v>
      </c>
      <c r="G1091" s="4" t="str">
        <f>HYPERLINK("http://141.218.60.56/~jnz1568/getInfo.php?workbook=10_05.xlsx&amp;sheet=U0&amp;row=1091&amp;col=7&amp;number=0.026&amp;sourceID=14","0.026")</f>
        <v>0.026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HYPERLINK("http://141.218.60.56/~jnz1568/getInfo.php?workbook=10_05.xlsx&amp;sheet=U0&amp;row=1092&amp;col=6&amp;number=3.8&amp;sourceID=14","3.8")</f>
        <v>3.8</v>
      </c>
      <c r="G1092" s="4" t="str">
        <f>HYPERLINK("http://141.218.60.56/~jnz1568/getInfo.php?workbook=10_05.xlsx&amp;sheet=U0&amp;row=1092&amp;col=7&amp;number=0.0258&amp;sourceID=14","0.0258")</f>
        <v>0.0258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HYPERLINK("http://141.218.60.56/~jnz1568/getInfo.php?workbook=10_05.xlsx&amp;sheet=U0&amp;row=1093&amp;col=6&amp;number=3.9&amp;sourceID=14","3.9")</f>
        <v>3.9</v>
      </c>
      <c r="G1093" s="4" t="str">
        <f>HYPERLINK("http://141.218.60.56/~jnz1568/getInfo.php?workbook=10_05.xlsx&amp;sheet=U0&amp;row=1093&amp;col=7&amp;number=0.0257&amp;sourceID=14","0.0257")</f>
        <v>0.0257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HYPERLINK("http://141.218.60.56/~jnz1568/getInfo.php?workbook=10_05.xlsx&amp;sheet=U0&amp;row=1094&amp;col=6&amp;number=4&amp;sourceID=14","4")</f>
        <v>4</v>
      </c>
      <c r="G1094" s="4" t="str">
        <f>HYPERLINK("http://141.218.60.56/~jnz1568/getInfo.php?workbook=10_05.xlsx&amp;sheet=U0&amp;row=1094&amp;col=7&amp;number=0.0255&amp;sourceID=14","0.0255")</f>
        <v>0.0255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HYPERLINK("http://141.218.60.56/~jnz1568/getInfo.php?workbook=10_05.xlsx&amp;sheet=U0&amp;row=1095&amp;col=6&amp;number=4.1&amp;sourceID=14","4.1")</f>
        <v>4.1</v>
      </c>
      <c r="G1095" s="4" t="str">
        <f>HYPERLINK("http://141.218.60.56/~jnz1568/getInfo.php?workbook=10_05.xlsx&amp;sheet=U0&amp;row=1095&amp;col=7&amp;number=0.0253&amp;sourceID=14","0.0253")</f>
        <v>0.0253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HYPERLINK("http://141.218.60.56/~jnz1568/getInfo.php?workbook=10_05.xlsx&amp;sheet=U0&amp;row=1096&amp;col=6&amp;number=4.2&amp;sourceID=14","4.2")</f>
        <v>4.2</v>
      </c>
      <c r="G1096" s="4" t="str">
        <f>HYPERLINK("http://141.218.60.56/~jnz1568/getInfo.php?workbook=10_05.xlsx&amp;sheet=U0&amp;row=1096&amp;col=7&amp;number=0.025&amp;sourceID=14","0.025")</f>
        <v>0.025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HYPERLINK("http://141.218.60.56/~jnz1568/getInfo.php?workbook=10_05.xlsx&amp;sheet=U0&amp;row=1097&amp;col=6&amp;number=4.3&amp;sourceID=14","4.3")</f>
        <v>4.3</v>
      </c>
      <c r="G1097" s="4" t="str">
        <f>HYPERLINK("http://141.218.60.56/~jnz1568/getInfo.php?workbook=10_05.xlsx&amp;sheet=U0&amp;row=1097&amp;col=7&amp;number=0.0247&amp;sourceID=14","0.0247")</f>
        <v>0.0247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HYPERLINK("http://141.218.60.56/~jnz1568/getInfo.php?workbook=10_05.xlsx&amp;sheet=U0&amp;row=1098&amp;col=6&amp;number=4.4&amp;sourceID=14","4.4")</f>
        <v>4.4</v>
      </c>
      <c r="G1098" s="4" t="str">
        <f>HYPERLINK("http://141.218.60.56/~jnz1568/getInfo.php?workbook=10_05.xlsx&amp;sheet=U0&amp;row=1098&amp;col=7&amp;number=0.0244&amp;sourceID=14","0.0244")</f>
        <v>0.0244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HYPERLINK("http://141.218.60.56/~jnz1568/getInfo.php?workbook=10_05.xlsx&amp;sheet=U0&amp;row=1099&amp;col=6&amp;number=4.5&amp;sourceID=14","4.5")</f>
        <v>4.5</v>
      </c>
      <c r="G1099" s="4" t="str">
        <f>HYPERLINK("http://141.218.60.56/~jnz1568/getInfo.php?workbook=10_05.xlsx&amp;sheet=U0&amp;row=1099&amp;col=7&amp;number=0.0241&amp;sourceID=14","0.0241")</f>
        <v>0.0241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HYPERLINK("http://141.218.60.56/~jnz1568/getInfo.php?workbook=10_05.xlsx&amp;sheet=U0&amp;row=1100&amp;col=6&amp;number=4.6&amp;sourceID=14","4.6")</f>
        <v>4.6</v>
      </c>
      <c r="G1100" s="4" t="str">
        <f>HYPERLINK("http://141.218.60.56/~jnz1568/getInfo.php?workbook=10_05.xlsx&amp;sheet=U0&amp;row=1100&amp;col=7&amp;number=0.0238&amp;sourceID=14","0.0238")</f>
        <v>0.0238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HYPERLINK("http://141.218.60.56/~jnz1568/getInfo.php?workbook=10_05.xlsx&amp;sheet=U0&amp;row=1101&amp;col=6&amp;number=4.7&amp;sourceID=14","4.7")</f>
        <v>4.7</v>
      </c>
      <c r="G1101" s="4" t="str">
        <f>HYPERLINK("http://141.218.60.56/~jnz1568/getInfo.php?workbook=10_05.xlsx&amp;sheet=U0&amp;row=1101&amp;col=7&amp;number=0.0235&amp;sourceID=14","0.0235")</f>
        <v>0.0235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HYPERLINK("http://141.218.60.56/~jnz1568/getInfo.php?workbook=10_05.xlsx&amp;sheet=U0&amp;row=1102&amp;col=6&amp;number=4.8&amp;sourceID=14","4.8")</f>
        <v>4.8</v>
      </c>
      <c r="G1102" s="4" t="str">
        <f>HYPERLINK("http://141.218.60.56/~jnz1568/getInfo.php?workbook=10_05.xlsx&amp;sheet=U0&amp;row=1102&amp;col=7&amp;number=0.0232&amp;sourceID=14","0.0232")</f>
        <v>0.0232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HYPERLINK("http://141.218.60.56/~jnz1568/getInfo.php?workbook=10_05.xlsx&amp;sheet=U0&amp;row=1103&amp;col=6&amp;number=4.9&amp;sourceID=14","4.9")</f>
        <v>4.9</v>
      </c>
      <c r="G1103" s="4" t="str">
        <f>HYPERLINK("http://141.218.60.56/~jnz1568/getInfo.php?workbook=10_05.xlsx&amp;sheet=U0&amp;row=1103&amp;col=7&amp;number=0.023&amp;sourceID=14","0.023")</f>
        <v>0.023</v>
      </c>
    </row>
    <row r="1104" spans="1:7">
      <c r="A1104" s="3">
        <v>10</v>
      </c>
      <c r="B1104" s="3">
        <v>5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HYPERLINK("http://141.218.60.56/~jnz1568/getInfo.php?workbook=10_05.xlsx&amp;sheet=U0&amp;row=1104&amp;col=6&amp;number=3&amp;sourceID=14","3")</f>
        <v>3</v>
      </c>
      <c r="G1104" s="4" t="str">
        <f>HYPERLINK("http://141.218.60.56/~jnz1568/getInfo.php?workbook=10_05.xlsx&amp;sheet=U0&amp;row=1104&amp;col=7&amp;number=0.0116&amp;sourceID=14","0.0116")</f>
        <v>0.0116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HYPERLINK("http://141.218.60.56/~jnz1568/getInfo.php?workbook=10_05.xlsx&amp;sheet=U0&amp;row=1105&amp;col=6&amp;number=3.1&amp;sourceID=14","3.1")</f>
        <v>3.1</v>
      </c>
      <c r="G1105" s="4" t="str">
        <f>HYPERLINK("http://141.218.60.56/~jnz1568/getInfo.php?workbook=10_05.xlsx&amp;sheet=U0&amp;row=1105&amp;col=7&amp;number=0.0116&amp;sourceID=14","0.0116")</f>
        <v>0.0116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HYPERLINK("http://141.218.60.56/~jnz1568/getInfo.php?workbook=10_05.xlsx&amp;sheet=U0&amp;row=1106&amp;col=6&amp;number=3.2&amp;sourceID=14","3.2")</f>
        <v>3.2</v>
      </c>
      <c r="G1106" s="4" t="str">
        <f>HYPERLINK("http://141.218.60.56/~jnz1568/getInfo.php?workbook=10_05.xlsx&amp;sheet=U0&amp;row=1106&amp;col=7&amp;number=0.0116&amp;sourceID=14","0.0116")</f>
        <v>0.0116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HYPERLINK("http://141.218.60.56/~jnz1568/getInfo.php?workbook=10_05.xlsx&amp;sheet=U0&amp;row=1107&amp;col=6&amp;number=3.3&amp;sourceID=14","3.3")</f>
        <v>3.3</v>
      </c>
      <c r="G1107" s="4" t="str">
        <f>HYPERLINK("http://141.218.60.56/~jnz1568/getInfo.php?workbook=10_05.xlsx&amp;sheet=U0&amp;row=1107&amp;col=7&amp;number=0.0115&amp;sourceID=14","0.0115")</f>
        <v>0.0115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HYPERLINK("http://141.218.60.56/~jnz1568/getInfo.php?workbook=10_05.xlsx&amp;sheet=U0&amp;row=1108&amp;col=6&amp;number=3.4&amp;sourceID=14","3.4")</f>
        <v>3.4</v>
      </c>
      <c r="G1108" s="4" t="str">
        <f>HYPERLINK("http://141.218.60.56/~jnz1568/getInfo.php?workbook=10_05.xlsx&amp;sheet=U0&amp;row=1108&amp;col=7&amp;number=0.0115&amp;sourceID=14","0.0115")</f>
        <v>0.0115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HYPERLINK("http://141.218.60.56/~jnz1568/getInfo.php?workbook=10_05.xlsx&amp;sheet=U0&amp;row=1109&amp;col=6&amp;number=3.5&amp;sourceID=14","3.5")</f>
        <v>3.5</v>
      </c>
      <c r="G1109" s="4" t="str">
        <f>HYPERLINK("http://141.218.60.56/~jnz1568/getInfo.php?workbook=10_05.xlsx&amp;sheet=U0&amp;row=1109&amp;col=7&amp;number=0.0115&amp;sourceID=14","0.0115")</f>
        <v>0.0115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HYPERLINK("http://141.218.60.56/~jnz1568/getInfo.php?workbook=10_05.xlsx&amp;sheet=U0&amp;row=1110&amp;col=6&amp;number=3.6&amp;sourceID=14","3.6")</f>
        <v>3.6</v>
      </c>
      <c r="G1110" s="4" t="str">
        <f>HYPERLINK("http://141.218.60.56/~jnz1568/getInfo.php?workbook=10_05.xlsx&amp;sheet=U0&amp;row=1110&amp;col=7&amp;number=0.0114&amp;sourceID=14","0.0114")</f>
        <v>0.0114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HYPERLINK("http://141.218.60.56/~jnz1568/getInfo.php?workbook=10_05.xlsx&amp;sheet=U0&amp;row=1111&amp;col=6&amp;number=3.7&amp;sourceID=14","3.7")</f>
        <v>3.7</v>
      </c>
      <c r="G1111" s="4" t="str">
        <f>HYPERLINK("http://141.218.60.56/~jnz1568/getInfo.php?workbook=10_05.xlsx&amp;sheet=U0&amp;row=1111&amp;col=7&amp;number=0.0114&amp;sourceID=14","0.0114")</f>
        <v>0.0114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HYPERLINK("http://141.218.60.56/~jnz1568/getInfo.php?workbook=10_05.xlsx&amp;sheet=U0&amp;row=1112&amp;col=6&amp;number=3.8&amp;sourceID=14","3.8")</f>
        <v>3.8</v>
      </c>
      <c r="G1112" s="4" t="str">
        <f>HYPERLINK("http://141.218.60.56/~jnz1568/getInfo.php?workbook=10_05.xlsx&amp;sheet=U0&amp;row=1112&amp;col=7&amp;number=0.0113&amp;sourceID=14","0.0113")</f>
        <v>0.0113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HYPERLINK("http://141.218.60.56/~jnz1568/getInfo.php?workbook=10_05.xlsx&amp;sheet=U0&amp;row=1113&amp;col=6&amp;number=3.9&amp;sourceID=14","3.9")</f>
        <v>3.9</v>
      </c>
      <c r="G1113" s="4" t="str">
        <f>HYPERLINK("http://141.218.60.56/~jnz1568/getInfo.php?workbook=10_05.xlsx&amp;sheet=U0&amp;row=1113&amp;col=7&amp;number=0.0112&amp;sourceID=14","0.0112")</f>
        <v>0.0112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HYPERLINK("http://141.218.60.56/~jnz1568/getInfo.php?workbook=10_05.xlsx&amp;sheet=U0&amp;row=1114&amp;col=6&amp;number=4&amp;sourceID=14","4")</f>
        <v>4</v>
      </c>
      <c r="G1114" s="4" t="str">
        <f>HYPERLINK("http://141.218.60.56/~jnz1568/getInfo.php?workbook=10_05.xlsx&amp;sheet=U0&amp;row=1114&amp;col=7&amp;number=0.0111&amp;sourceID=14","0.0111")</f>
        <v>0.0111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HYPERLINK("http://141.218.60.56/~jnz1568/getInfo.php?workbook=10_05.xlsx&amp;sheet=U0&amp;row=1115&amp;col=6&amp;number=4.1&amp;sourceID=14","4.1")</f>
        <v>4.1</v>
      </c>
      <c r="G1115" s="4" t="str">
        <f>HYPERLINK("http://141.218.60.56/~jnz1568/getInfo.php?workbook=10_05.xlsx&amp;sheet=U0&amp;row=1115&amp;col=7&amp;number=0.011&amp;sourceID=14","0.011")</f>
        <v>0.011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HYPERLINK("http://141.218.60.56/~jnz1568/getInfo.php?workbook=10_05.xlsx&amp;sheet=U0&amp;row=1116&amp;col=6&amp;number=4.2&amp;sourceID=14","4.2")</f>
        <v>4.2</v>
      </c>
      <c r="G1116" s="4" t="str">
        <f>HYPERLINK("http://141.218.60.56/~jnz1568/getInfo.php?workbook=10_05.xlsx&amp;sheet=U0&amp;row=1116&amp;col=7&amp;number=0.0109&amp;sourceID=14","0.0109")</f>
        <v>0.0109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HYPERLINK("http://141.218.60.56/~jnz1568/getInfo.php?workbook=10_05.xlsx&amp;sheet=U0&amp;row=1117&amp;col=6&amp;number=4.3&amp;sourceID=14","4.3")</f>
        <v>4.3</v>
      </c>
      <c r="G1117" s="4" t="str">
        <f>HYPERLINK("http://141.218.60.56/~jnz1568/getInfo.php?workbook=10_05.xlsx&amp;sheet=U0&amp;row=1117&amp;col=7&amp;number=0.0107&amp;sourceID=14","0.0107")</f>
        <v>0.0107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HYPERLINK("http://141.218.60.56/~jnz1568/getInfo.php?workbook=10_05.xlsx&amp;sheet=U0&amp;row=1118&amp;col=6&amp;number=4.4&amp;sourceID=14","4.4")</f>
        <v>4.4</v>
      </c>
      <c r="G1118" s="4" t="str">
        <f>HYPERLINK("http://141.218.60.56/~jnz1568/getInfo.php?workbook=10_05.xlsx&amp;sheet=U0&amp;row=1118&amp;col=7&amp;number=0.0105&amp;sourceID=14","0.0105")</f>
        <v>0.0105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HYPERLINK("http://141.218.60.56/~jnz1568/getInfo.php?workbook=10_05.xlsx&amp;sheet=U0&amp;row=1119&amp;col=6&amp;number=4.5&amp;sourceID=14","4.5")</f>
        <v>4.5</v>
      </c>
      <c r="G1119" s="4" t="str">
        <f>HYPERLINK("http://141.218.60.56/~jnz1568/getInfo.php?workbook=10_05.xlsx&amp;sheet=U0&amp;row=1119&amp;col=7&amp;number=0.0103&amp;sourceID=14","0.0103")</f>
        <v>0.0103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HYPERLINK("http://141.218.60.56/~jnz1568/getInfo.php?workbook=10_05.xlsx&amp;sheet=U0&amp;row=1120&amp;col=6&amp;number=4.6&amp;sourceID=14","4.6")</f>
        <v>4.6</v>
      </c>
      <c r="G1120" s="4" t="str">
        <f>HYPERLINK("http://141.218.60.56/~jnz1568/getInfo.php?workbook=10_05.xlsx&amp;sheet=U0&amp;row=1120&amp;col=7&amp;number=0.0101&amp;sourceID=14","0.0101")</f>
        <v>0.0101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HYPERLINK("http://141.218.60.56/~jnz1568/getInfo.php?workbook=10_05.xlsx&amp;sheet=U0&amp;row=1121&amp;col=6&amp;number=4.7&amp;sourceID=14","4.7")</f>
        <v>4.7</v>
      </c>
      <c r="G1121" s="4" t="str">
        <f>HYPERLINK("http://141.218.60.56/~jnz1568/getInfo.php?workbook=10_05.xlsx&amp;sheet=U0&amp;row=1121&amp;col=7&amp;number=0.0099&amp;sourceID=14","0.0099")</f>
        <v>0.0099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HYPERLINK("http://141.218.60.56/~jnz1568/getInfo.php?workbook=10_05.xlsx&amp;sheet=U0&amp;row=1122&amp;col=6&amp;number=4.8&amp;sourceID=14","4.8")</f>
        <v>4.8</v>
      </c>
      <c r="G1122" s="4" t="str">
        <f>HYPERLINK("http://141.218.60.56/~jnz1568/getInfo.php?workbook=10_05.xlsx&amp;sheet=U0&amp;row=1122&amp;col=7&amp;number=0.00968&amp;sourceID=14","0.00968")</f>
        <v>0.00968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HYPERLINK("http://141.218.60.56/~jnz1568/getInfo.php?workbook=10_05.xlsx&amp;sheet=U0&amp;row=1123&amp;col=6&amp;number=4.9&amp;sourceID=14","4.9")</f>
        <v>4.9</v>
      </c>
      <c r="G1123" s="4" t="str">
        <f>HYPERLINK("http://141.218.60.56/~jnz1568/getInfo.php?workbook=10_05.xlsx&amp;sheet=U0&amp;row=1123&amp;col=7&amp;number=0.00945&amp;sourceID=14","0.00945")</f>
        <v>0.00945</v>
      </c>
    </row>
    <row r="1124" spans="1:7">
      <c r="A1124" s="3">
        <v>10</v>
      </c>
      <c r="B1124" s="3">
        <v>5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HYPERLINK("http://141.218.60.56/~jnz1568/getInfo.php?workbook=10_05.xlsx&amp;sheet=U0&amp;row=1124&amp;col=6&amp;number=3&amp;sourceID=14","3")</f>
        <v>3</v>
      </c>
      <c r="G1124" s="4" t="str">
        <f>HYPERLINK("http://141.218.60.56/~jnz1568/getInfo.php?workbook=10_05.xlsx&amp;sheet=U0&amp;row=1124&amp;col=7&amp;number=0.0658&amp;sourceID=14","0.0658")</f>
        <v>0.0658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HYPERLINK("http://141.218.60.56/~jnz1568/getInfo.php?workbook=10_05.xlsx&amp;sheet=U0&amp;row=1125&amp;col=6&amp;number=3.1&amp;sourceID=14","3.1")</f>
        <v>3.1</v>
      </c>
      <c r="G1125" s="4" t="str">
        <f>HYPERLINK("http://141.218.60.56/~jnz1568/getInfo.php?workbook=10_05.xlsx&amp;sheet=U0&amp;row=1125&amp;col=7&amp;number=0.0656&amp;sourceID=14","0.0656")</f>
        <v>0.0656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HYPERLINK("http://141.218.60.56/~jnz1568/getInfo.php?workbook=10_05.xlsx&amp;sheet=U0&amp;row=1126&amp;col=6&amp;number=3.2&amp;sourceID=14","3.2")</f>
        <v>3.2</v>
      </c>
      <c r="G1126" s="4" t="str">
        <f>HYPERLINK("http://141.218.60.56/~jnz1568/getInfo.php?workbook=10_05.xlsx&amp;sheet=U0&amp;row=1126&amp;col=7&amp;number=0.0653&amp;sourceID=14","0.0653")</f>
        <v>0.0653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HYPERLINK("http://141.218.60.56/~jnz1568/getInfo.php?workbook=10_05.xlsx&amp;sheet=U0&amp;row=1127&amp;col=6&amp;number=3.3&amp;sourceID=14","3.3")</f>
        <v>3.3</v>
      </c>
      <c r="G1127" s="4" t="str">
        <f>HYPERLINK("http://141.218.60.56/~jnz1568/getInfo.php?workbook=10_05.xlsx&amp;sheet=U0&amp;row=1127&amp;col=7&amp;number=0.065&amp;sourceID=14","0.065")</f>
        <v>0.065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HYPERLINK("http://141.218.60.56/~jnz1568/getInfo.php?workbook=10_05.xlsx&amp;sheet=U0&amp;row=1128&amp;col=6&amp;number=3.4&amp;sourceID=14","3.4")</f>
        <v>3.4</v>
      </c>
      <c r="G1128" s="4" t="str">
        <f>HYPERLINK("http://141.218.60.56/~jnz1568/getInfo.php?workbook=10_05.xlsx&amp;sheet=U0&amp;row=1128&amp;col=7&amp;number=0.0646&amp;sourceID=14","0.0646")</f>
        <v>0.0646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HYPERLINK("http://141.218.60.56/~jnz1568/getInfo.php?workbook=10_05.xlsx&amp;sheet=U0&amp;row=1129&amp;col=6&amp;number=3.5&amp;sourceID=14","3.5")</f>
        <v>3.5</v>
      </c>
      <c r="G1129" s="4" t="str">
        <f>HYPERLINK("http://141.218.60.56/~jnz1568/getInfo.php?workbook=10_05.xlsx&amp;sheet=U0&amp;row=1129&amp;col=7&amp;number=0.0641&amp;sourceID=14","0.0641")</f>
        <v>0.0641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HYPERLINK("http://141.218.60.56/~jnz1568/getInfo.php?workbook=10_05.xlsx&amp;sheet=U0&amp;row=1130&amp;col=6&amp;number=3.6&amp;sourceID=14","3.6")</f>
        <v>3.6</v>
      </c>
      <c r="G1130" s="4" t="str">
        <f>HYPERLINK("http://141.218.60.56/~jnz1568/getInfo.php?workbook=10_05.xlsx&amp;sheet=U0&amp;row=1130&amp;col=7&amp;number=0.0634&amp;sourceID=14","0.0634")</f>
        <v>0.0634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HYPERLINK("http://141.218.60.56/~jnz1568/getInfo.php?workbook=10_05.xlsx&amp;sheet=U0&amp;row=1131&amp;col=6&amp;number=3.7&amp;sourceID=14","3.7")</f>
        <v>3.7</v>
      </c>
      <c r="G1131" s="4" t="str">
        <f>HYPERLINK("http://141.218.60.56/~jnz1568/getInfo.php?workbook=10_05.xlsx&amp;sheet=U0&amp;row=1131&amp;col=7&amp;number=0.0626&amp;sourceID=14","0.0626")</f>
        <v>0.0626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HYPERLINK("http://141.218.60.56/~jnz1568/getInfo.php?workbook=10_05.xlsx&amp;sheet=U0&amp;row=1132&amp;col=6&amp;number=3.8&amp;sourceID=14","3.8")</f>
        <v>3.8</v>
      </c>
      <c r="G1132" s="4" t="str">
        <f>HYPERLINK("http://141.218.60.56/~jnz1568/getInfo.php?workbook=10_05.xlsx&amp;sheet=U0&amp;row=1132&amp;col=7&amp;number=0.0616&amp;sourceID=14","0.0616")</f>
        <v>0.0616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HYPERLINK("http://141.218.60.56/~jnz1568/getInfo.php?workbook=10_05.xlsx&amp;sheet=U0&amp;row=1133&amp;col=6&amp;number=3.9&amp;sourceID=14","3.9")</f>
        <v>3.9</v>
      </c>
      <c r="G1133" s="4" t="str">
        <f>HYPERLINK("http://141.218.60.56/~jnz1568/getInfo.php?workbook=10_05.xlsx&amp;sheet=U0&amp;row=1133&amp;col=7&amp;number=0.0604&amp;sourceID=14","0.0604")</f>
        <v>0.0604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HYPERLINK("http://141.218.60.56/~jnz1568/getInfo.php?workbook=10_05.xlsx&amp;sheet=U0&amp;row=1134&amp;col=6&amp;number=4&amp;sourceID=14","4")</f>
        <v>4</v>
      </c>
      <c r="G1134" s="4" t="str">
        <f>HYPERLINK("http://141.218.60.56/~jnz1568/getInfo.php?workbook=10_05.xlsx&amp;sheet=U0&amp;row=1134&amp;col=7&amp;number=0.0589&amp;sourceID=14","0.0589")</f>
        <v>0.0589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HYPERLINK("http://141.218.60.56/~jnz1568/getInfo.php?workbook=10_05.xlsx&amp;sheet=U0&amp;row=1135&amp;col=6&amp;number=4.1&amp;sourceID=14","4.1")</f>
        <v>4.1</v>
      </c>
      <c r="G1135" s="4" t="str">
        <f>HYPERLINK("http://141.218.60.56/~jnz1568/getInfo.php?workbook=10_05.xlsx&amp;sheet=U0&amp;row=1135&amp;col=7&amp;number=0.057&amp;sourceID=14","0.057")</f>
        <v>0.057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HYPERLINK("http://141.218.60.56/~jnz1568/getInfo.php?workbook=10_05.xlsx&amp;sheet=U0&amp;row=1136&amp;col=6&amp;number=4.2&amp;sourceID=14","4.2")</f>
        <v>4.2</v>
      </c>
      <c r="G1136" s="4" t="str">
        <f>HYPERLINK("http://141.218.60.56/~jnz1568/getInfo.php?workbook=10_05.xlsx&amp;sheet=U0&amp;row=1136&amp;col=7&amp;number=0.0547&amp;sourceID=14","0.0547")</f>
        <v>0.0547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HYPERLINK("http://141.218.60.56/~jnz1568/getInfo.php?workbook=10_05.xlsx&amp;sheet=U0&amp;row=1137&amp;col=6&amp;number=4.3&amp;sourceID=14","4.3")</f>
        <v>4.3</v>
      </c>
      <c r="G1137" s="4" t="str">
        <f>HYPERLINK("http://141.218.60.56/~jnz1568/getInfo.php?workbook=10_05.xlsx&amp;sheet=U0&amp;row=1137&amp;col=7&amp;number=0.0519&amp;sourceID=14","0.0519")</f>
        <v>0.0519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HYPERLINK("http://141.218.60.56/~jnz1568/getInfo.php?workbook=10_05.xlsx&amp;sheet=U0&amp;row=1138&amp;col=6&amp;number=4.4&amp;sourceID=14","4.4")</f>
        <v>4.4</v>
      </c>
      <c r="G1138" s="4" t="str">
        <f>HYPERLINK("http://141.218.60.56/~jnz1568/getInfo.php?workbook=10_05.xlsx&amp;sheet=U0&amp;row=1138&amp;col=7&amp;number=0.0487&amp;sourceID=14","0.0487")</f>
        <v>0.0487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HYPERLINK("http://141.218.60.56/~jnz1568/getInfo.php?workbook=10_05.xlsx&amp;sheet=U0&amp;row=1139&amp;col=6&amp;number=4.5&amp;sourceID=14","4.5")</f>
        <v>4.5</v>
      </c>
      <c r="G1139" s="4" t="str">
        <f>HYPERLINK("http://141.218.60.56/~jnz1568/getInfo.php?workbook=10_05.xlsx&amp;sheet=U0&amp;row=1139&amp;col=7&amp;number=0.045&amp;sourceID=14","0.045")</f>
        <v>0.045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HYPERLINK("http://141.218.60.56/~jnz1568/getInfo.php?workbook=10_05.xlsx&amp;sheet=U0&amp;row=1140&amp;col=6&amp;number=4.6&amp;sourceID=14","4.6")</f>
        <v>4.6</v>
      </c>
      <c r="G1140" s="4" t="str">
        <f>HYPERLINK("http://141.218.60.56/~jnz1568/getInfo.php?workbook=10_05.xlsx&amp;sheet=U0&amp;row=1140&amp;col=7&amp;number=0.0409&amp;sourceID=14","0.0409")</f>
        <v>0.0409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HYPERLINK("http://141.218.60.56/~jnz1568/getInfo.php?workbook=10_05.xlsx&amp;sheet=U0&amp;row=1141&amp;col=6&amp;number=4.7&amp;sourceID=14","4.7")</f>
        <v>4.7</v>
      </c>
      <c r="G1141" s="4" t="str">
        <f>HYPERLINK("http://141.218.60.56/~jnz1568/getInfo.php?workbook=10_05.xlsx&amp;sheet=U0&amp;row=1141&amp;col=7&amp;number=0.0368&amp;sourceID=14","0.0368")</f>
        <v>0.0368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HYPERLINK("http://141.218.60.56/~jnz1568/getInfo.php?workbook=10_05.xlsx&amp;sheet=U0&amp;row=1142&amp;col=6&amp;number=4.8&amp;sourceID=14","4.8")</f>
        <v>4.8</v>
      </c>
      <c r="G1142" s="4" t="str">
        <f>HYPERLINK("http://141.218.60.56/~jnz1568/getInfo.php?workbook=10_05.xlsx&amp;sheet=U0&amp;row=1142&amp;col=7&amp;number=0.033&amp;sourceID=14","0.033")</f>
        <v>0.033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HYPERLINK("http://141.218.60.56/~jnz1568/getInfo.php?workbook=10_05.xlsx&amp;sheet=U0&amp;row=1143&amp;col=6&amp;number=4.9&amp;sourceID=14","4.9")</f>
        <v>4.9</v>
      </c>
      <c r="G1143" s="4" t="str">
        <f>HYPERLINK("http://141.218.60.56/~jnz1568/getInfo.php?workbook=10_05.xlsx&amp;sheet=U0&amp;row=1143&amp;col=7&amp;number=0.0296&amp;sourceID=14","0.0296")</f>
        <v>0.0296</v>
      </c>
    </row>
    <row r="1144" spans="1:7">
      <c r="A1144" s="3">
        <v>10</v>
      </c>
      <c r="B1144" s="3">
        <v>5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HYPERLINK("http://141.218.60.56/~jnz1568/getInfo.php?workbook=10_05.xlsx&amp;sheet=U0&amp;row=1144&amp;col=6&amp;number=3&amp;sourceID=14","3")</f>
        <v>3</v>
      </c>
      <c r="G1144" s="4" t="str">
        <f>HYPERLINK("http://141.218.60.56/~jnz1568/getInfo.php?workbook=10_05.xlsx&amp;sheet=U0&amp;row=1144&amp;col=7&amp;number=0.0262&amp;sourceID=14","0.0262")</f>
        <v>0.0262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HYPERLINK("http://141.218.60.56/~jnz1568/getInfo.php?workbook=10_05.xlsx&amp;sheet=U0&amp;row=1145&amp;col=6&amp;number=3.1&amp;sourceID=14","3.1")</f>
        <v>3.1</v>
      </c>
      <c r="G1145" s="4" t="str">
        <f>HYPERLINK("http://141.218.60.56/~jnz1568/getInfo.php?workbook=10_05.xlsx&amp;sheet=U0&amp;row=1145&amp;col=7&amp;number=0.0261&amp;sourceID=14","0.0261")</f>
        <v>0.0261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HYPERLINK("http://141.218.60.56/~jnz1568/getInfo.php?workbook=10_05.xlsx&amp;sheet=U0&amp;row=1146&amp;col=6&amp;number=3.2&amp;sourceID=14","3.2")</f>
        <v>3.2</v>
      </c>
      <c r="G1146" s="4" t="str">
        <f>HYPERLINK("http://141.218.60.56/~jnz1568/getInfo.php?workbook=10_05.xlsx&amp;sheet=U0&amp;row=1146&amp;col=7&amp;number=0.0261&amp;sourceID=14","0.0261")</f>
        <v>0.0261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HYPERLINK("http://141.218.60.56/~jnz1568/getInfo.php?workbook=10_05.xlsx&amp;sheet=U0&amp;row=1147&amp;col=6&amp;number=3.3&amp;sourceID=14","3.3")</f>
        <v>3.3</v>
      </c>
      <c r="G1147" s="4" t="str">
        <f>HYPERLINK("http://141.218.60.56/~jnz1568/getInfo.php?workbook=10_05.xlsx&amp;sheet=U0&amp;row=1147&amp;col=7&amp;number=0.026&amp;sourceID=14","0.026")</f>
        <v>0.026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HYPERLINK("http://141.218.60.56/~jnz1568/getInfo.php?workbook=10_05.xlsx&amp;sheet=U0&amp;row=1148&amp;col=6&amp;number=3.4&amp;sourceID=14","3.4")</f>
        <v>3.4</v>
      </c>
      <c r="G1148" s="4" t="str">
        <f>HYPERLINK("http://141.218.60.56/~jnz1568/getInfo.php?workbook=10_05.xlsx&amp;sheet=U0&amp;row=1148&amp;col=7&amp;number=0.0259&amp;sourceID=14","0.0259")</f>
        <v>0.0259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HYPERLINK("http://141.218.60.56/~jnz1568/getInfo.php?workbook=10_05.xlsx&amp;sheet=U0&amp;row=1149&amp;col=6&amp;number=3.5&amp;sourceID=14","3.5")</f>
        <v>3.5</v>
      </c>
      <c r="G1149" s="4" t="str">
        <f>HYPERLINK("http://141.218.60.56/~jnz1568/getInfo.php?workbook=10_05.xlsx&amp;sheet=U0&amp;row=1149&amp;col=7&amp;number=0.0258&amp;sourceID=14","0.0258")</f>
        <v>0.0258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HYPERLINK("http://141.218.60.56/~jnz1568/getInfo.php?workbook=10_05.xlsx&amp;sheet=U0&amp;row=1150&amp;col=6&amp;number=3.6&amp;sourceID=14","3.6")</f>
        <v>3.6</v>
      </c>
      <c r="G1150" s="4" t="str">
        <f>HYPERLINK("http://141.218.60.56/~jnz1568/getInfo.php?workbook=10_05.xlsx&amp;sheet=U0&amp;row=1150&amp;col=7&amp;number=0.0257&amp;sourceID=14","0.0257")</f>
        <v>0.0257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HYPERLINK("http://141.218.60.56/~jnz1568/getInfo.php?workbook=10_05.xlsx&amp;sheet=U0&amp;row=1151&amp;col=6&amp;number=3.7&amp;sourceID=14","3.7")</f>
        <v>3.7</v>
      </c>
      <c r="G1151" s="4" t="str">
        <f>HYPERLINK("http://141.218.60.56/~jnz1568/getInfo.php?workbook=10_05.xlsx&amp;sheet=U0&amp;row=1151&amp;col=7&amp;number=0.0255&amp;sourceID=14","0.0255")</f>
        <v>0.0255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HYPERLINK("http://141.218.60.56/~jnz1568/getInfo.php?workbook=10_05.xlsx&amp;sheet=U0&amp;row=1152&amp;col=6&amp;number=3.8&amp;sourceID=14","3.8")</f>
        <v>3.8</v>
      </c>
      <c r="G1152" s="4" t="str">
        <f>HYPERLINK("http://141.218.60.56/~jnz1568/getInfo.php?workbook=10_05.xlsx&amp;sheet=U0&amp;row=1152&amp;col=7&amp;number=0.0253&amp;sourceID=14","0.0253")</f>
        <v>0.0253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HYPERLINK("http://141.218.60.56/~jnz1568/getInfo.php?workbook=10_05.xlsx&amp;sheet=U0&amp;row=1153&amp;col=6&amp;number=3.9&amp;sourceID=14","3.9")</f>
        <v>3.9</v>
      </c>
      <c r="G1153" s="4" t="str">
        <f>HYPERLINK("http://141.218.60.56/~jnz1568/getInfo.php?workbook=10_05.xlsx&amp;sheet=U0&amp;row=1153&amp;col=7&amp;number=0.0251&amp;sourceID=14","0.0251")</f>
        <v>0.0251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HYPERLINK("http://141.218.60.56/~jnz1568/getInfo.php?workbook=10_05.xlsx&amp;sheet=U0&amp;row=1154&amp;col=6&amp;number=4&amp;sourceID=14","4")</f>
        <v>4</v>
      </c>
      <c r="G1154" s="4" t="str">
        <f>HYPERLINK("http://141.218.60.56/~jnz1568/getInfo.php?workbook=10_05.xlsx&amp;sheet=U0&amp;row=1154&amp;col=7&amp;number=0.0248&amp;sourceID=14","0.0248")</f>
        <v>0.0248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HYPERLINK("http://141.218.60.56/~jnz1568/getInfo.php?workbook=10_05.xlsx&amp;sheet=U0&amp;row=1155&amp;col=6&amp;number=4.1&amp;sourceID=14","4.1")</f>
        <v>4.1</v>
      </c>
      <c r="G1155" s="4" t="str">
        <f>HYPERLINK("http://141.218.60.56/~jnz1568/getInfo.php?workbook=10_05.xlsx&amp;sheet=U0&amp;row=1155&amp;col=7&amp;number=0.0244&amp;sourceID=14","0.0244")</f>
        <v>0.0244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HYPERLINK("http://141.218.60.56/~jnz1568/getInfo.php?workbook=10_05.xlsx&amp;sheet=U0&amp;row=1156&amp;col=6&amp;number=4.2&amp;sourceID=14","4.2")</f>
        <v>4.2</v>
      </c>
      <c r="G1156" s="4" t="str">
        <f>HYPERLINK("http://141.218.60.56/~jnz1568/getInfo.php?workbook=10_05.xlsx&amp;sheet=U0&amp;row=1156&amp;col=7&amp;number=0.0239&amp;sourceID=14","0.0239")</f>
        <v>0.0239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HYPERLINK("http://141.218.60.56/~jnz1568/getInfo.php?workbook=10_05.xlsx&amp;sheet=U0&amp;row=1157&amp;col=6&amp;number=4.3&amp;sourceID=14","4.3")</f>
        <v>4.3</v>
      </c>
      <c r="G1157" s="4" t="str">
        <f>HYPERLINK("http://141.218.60.56/~jnz1568/getInfo.php?workbook=10_05.xlsx&amp;sheet=U0&amp;row=1157&amp;col=7&amp;number=0.0233&amp;sourceID=14","0.0233")</f>
        <v>0.0233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HYPERLINK("http://141.218.60.56/~jnz1568/getInfo.php?workbook=10_05.xlsx&amp;sheet=U0&amp;row=1158&amp;col=6&amp;number=4.4&amp;sourceID=14","4.4")</f>
        <v>4.4</v>
      </c>
      <c r="G1158" s="4" t="str">
        <f>HYPERLINK("http://141.218.60.56/~jnz1568/getInfo.php?workbook=10_05.xlsx&amp;sheet=U0&amp;row=1158&amp;col=7&amp;number=0.0226&amp;sourceID=14","0.0226")</f>
        <v>0.0226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HYPERLINK("http://141.218.60.56/~jnz1568/getInfo.php?workbook=10_05.xlsx&amp;sheet=U0&amp;row=1159&amp;col=6&amp;number=4.5&amp;sourceID=14","4.5")</f>
        <v>4.5</v>
      </c>
      <c r="G1159" s="4" t="str">
        <f>HYPERLINK("http://141.218.60.56/~jnz1568/getInfo.php?workbook=10_05.xlsx&amp;sheet=U0&amp;row=1159&amp;col=7&amp;number=0.0217&amp;sourceID=14","0.0217")</f>
        <v>0.0217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HYPERLINK("http://141.218.60.56/~jnz1568/getInfo.php?workbook=10_05.xlsx&amp;sheet=U0&amp;row=1160&amp;col=6&amp;number=4.6&amp;sourceID=14","4.6")</f>
        <v>4.6</v>
      </c>
      <c r="G1160" s="4" t="str">
        <f>HYPERLINK("http://141.218.60.56/~jnz1568/getInfo.php?workbook=10_05.xlsx&amp;sheet=U0&amp;row=1160&amp;col=7&amp;number=0.0207&amp;sourceID=14","0.0207")</f>
        <v>0.0207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HYPERLINK("http://141.218.60.56/~jnz1568/getInfo.php?workbook=10_05.xlsx&amp;sheet=U0&amp;row=1161&amp;col=6&amp;number=4.7&amp;sourceID=14","4.7")</f>
        <v>4.7</v>
      </c>
      <c r="G1161" s="4" t="str">
        <f>HYPERLINK("http://141.218.60.56/~jnz1568/getInfo.php?workbook=10_05.xlsx&amp;sheet=U0&amp;row=1161&amp;col=7&amp;number=0.0196&amp;sourceID=14","0.0196")</f>
        <v>0.0196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HYPERLINK("http://141.218.60.56/~jnz1568/getInfo.php?workbook=10_05.xlsx&amp;sheet=U0&amp;row=1162&amp;col=6&amp;number=4.8&amp;sourceID=14","4.8")</f>
        <v>4.8</v>
      </c>
      <c r="G1162" s="4" t="str">
        <f>HYPERLINK("http://141.218.60.56/~jnz1568/getInfo.php?workbook=10_05.xlsx&amp;sheet=U0&amp;row=1162&amp;col=7&amp;number=0.0184&amp;sourceID=14","0.0184")</f>
        <v>0.0184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HYPERLINK("http://141.218.60.56/~jnz1568/getInfo.php?workbook=10_05.xlsx&amp;sheet=U0&amp;row=1163&amp;col=6&amp;number=4.9&amp;sourceID=14","4.9")</f>
        <v>4.9</v>
      </c>
      <c r="G1163" s="4" t="str">
        <f>HYPERLINK("http://141.218.60.56/~jnz1568/getInfo.php?workbook=10_05.xlsx&amp;sheet=U0&amp;row=1163&amp;col=7&amp;number=0.017&amp;sourceID=14","0.017")</f>
        <v>0.017</v>
      </c>
    </row>
    <row r="1164" spans="1:7">
      <c r="A1164" s="3">
        <v>10</v>
      </c>
      <c r="B1164" s="3">
        <v>5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HYPERLINK("http://141.218.60.56/~jnz1568/getInfo.php?workbook=10_05.xlsx&amp;sheet=U0&amp;row=1164&amp;col=6&amp;number=3&amp;sourceID=14","3")</f>
        <v>3</v>
      </c>
      <c r="G1164" s="4" t="str">
        <f>HYPERLINK("http://141.218.60.56/~jnz1568/getInfo.php?workbook=10_05.xlsx&amp;sheet=U0&amp;row=1164&amp;col=7&amp;number=0.0318&amp;sourceID=14","0.0318")</f>
        <v>0.0318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HYPERLINK("http://141.218.60.56/~jnz1568/getInfo.php?workbook=10_05.xlsx&amp;sheet=U0&amp;row=1165&amp;col=6&amp;number=3.1&amp;sourceID=14","3.1")</f>
        <v>3.1</v>
      </c>
      <c r="G1165" s="4" t="str">
        <f>HYPERLINK("http://141.218.60.56/~jnz1568/getInfo.php?workbook=10_05.xlsx&amp;sheet=U0&amp;row=1165&amp;col=7&amp;number=0.0318&amp;sourceID=14","0.0318")</f>
        <v>0.0318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HYPERLINK("http://141.218.60.56/~jnz1568/getInfo.php?workbook=10_05.xlsx&amp;sheet=U0&amp;row=1166&amp;col=6&amp;number=3.2&amp;sourceID=14","3.2")</f>
        <v>3.2</v>
      </c>
      <c r="G1166" s="4" t="str">
        <f>HYPERLINK("http://141.218.60.56/~jnz1568/getInfo.php?workbook=10_05.xlsx&amp;sheet=U0&amp;row=1166&amp;col=7&amp;number=0.0317&amp;sourceID=14","0.0317")</f>
        <v>0.0317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HYPERLINK("http://141.218.60.56/~jnz1568/getInfo.php?workbook=10_05.xlsx&amp;sheet=U0&amp;row=1167&amp;col=6&amp;number=3.3&amp;sourceID=14","3.3")</f>
        <v>3.3</v>
      </c>
      <c r="G1167" s="4" t="str">
        <f>HYPERLINK("http://141.218.60.56/~jnz1568/getInfo.php?workbook=10_05.xlsx&amp;sheet=U0&amp;row=1167&amp;col=7&amp;number=0.0316&amp;sourceID=14","0.0316")</f>
        <v>0.0316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HYPERLINK("http://141.218.60.56/~jnz1568/getInfo.php?workbook=10_05.xlsx&amp;sheet=U0&amp;row=1168&amp;col=6&amp;number=3.4&amp;sourceID=14","3.4")</f>
        <v>3.4</v>
      </c>
      <c r="G1168" s="4" t="str">
        <f>HYPERLINK("http://141.218.60.56/~jnz1568/getInfo.php?workbook=10_05.xlsx&amp;sheet=U0&amp;row=1168&amp;col=7&amp;number=0.0314&amp;sourceID=14","0.0314")</f>
        <v>0.0314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HYPERLINK("http://141.218.60.56/~jnz1568/getInfo.php?workbook=10_05.xlsx&amp;sheet=U0&amp;row=1169&amp;col=6&amp;number=3.5&amp;sourceID=14","3.5")</f>
        <v>3.5</v>
      </c>
      <c r="G1169" s="4" t="str">
        <f>HYPERLINK("http://141.218.60.56/~jnz1568/getInfo.php?workbook=10_05.xlsx&amp;sheet=U0&amp;row=1169&amp;col=7&amp;number=0.0312&amp;sourceID=14","0.0312")</f>
        <v>0.0312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HYPERLINK("http://141.218.60.56/~jnz1568/getInfo.php?workbook=10_05.xlsx&amp;sheet=U0&amp;row=1170&amp;col=6&amp;number=3.6&amp;sourceID=14","3.6")</f>
        <v>3.6</v>
      </c>
      <c r="G1170" s="4" t="str">
        <f>HYPERLINK("http://141.218.60.56/~jnz1568/getInfo.php?workbook=10_05.xlsx&amp;sheet=U0&amp;row=1170&amp;col=7&amp;number=0.031&amp;sourceID=14","0.031")</f>
        <v>0.031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HYPERLINK("http://141.218.60.56/~jnz1568/getInfo.php?workbook=10_05.xlsx&amp;sheet=U0&amp;row=1171&amp;col=6&amp;number=3.7&amp;sourceID=14","3.7")</f>
        <v>3.7</v>
      </c>
      <c r="G1171" s="4" t="str">
        <f>HYPERLINK("http://141.218.60.56/~jnz1568/getInfo.php?workbook=10_05.xlsx&amp;sheet=U0&amp;row=1171&amp;col=7&amp;number=0.0307&amp;sourceID=14","0.0307")</f>
        <v>0.0307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HYPERLINK("http://141.218.60.56/~jnz1568/getInfo.php?workbook=10_05.xlsx&amp;sheet=U0&amp;row=1172&amp;col=6&amp;number=3.8&amp;sourceID=14","3.8")</f>
        <v>3.8</v>
      </c>
      <c r="G1172" s="4" t="str">
        <f>HYPERLINK("http://141.218.60.56/~jnz1568/getInfo.php?workbook=10_05.xlsx&amp;sheet=U0&amp;row=1172&amp;col=7&amp;number=0.0304&amp;sourceID=14","0.0304")</f>
        <v>0.0304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HYPERLINK("http://141.218.60.56/~jnz1568/getInfo.php?workbook=10_05.xlsx&amp;sheet=U0&amp;row=1173&amp;col=6&amp;number=3.9&amp;sourceID=14","3.9")</f>
        <v>3.9</v>
      </c>
      <c r="G1173" s="4" t="str">
        <f>HYPERLINK("http://141.218.60.56/~jnz1568/getInfo.php?workbook=10_05.xlsx&amp;sheet=U0&amp;row=1173&amp;col=7&amp;number=0.0299&amp;sourceID=14","0.0299")</f>
        <v>0.0299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HYPERLINK("http://141.218.60.56/~jnz1568/getInfo.php?workbook=10_05.xlsx&amp;sheet=U0&amp;row=1174&amp;col=6&amp;number=4&amp;sourceID=14","4")</f>
        <v>4</v>
      </c>
      <c r="G1174" s="4" t="str">
        <f>HYPERLINK("http://141.218.60.56/~jnz1568/getInfo.php?workbook=10_05.xlsx&amp;sheet=U0&amp;row=1174&amp;col=7&amp;number=0.0294&amp;sourceID=14","0.0294")</f>
        <v>0.0294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HYPERLINK("http://141.218.60.56/~jnz1568/getInfo.php?workbook=10_05.xlsx&amp;sheet=U0&amp;row=1175&amp;col=6&amp;number=4.1&amp;sourceID=14","4.1")</f>
        <v>4.1</v>
      </c>
      <c r="G1175" s="4" t="str">
        <f>HYPERLINK("http://141.218.60.56/~jnz1568/getInfo.php?workbook=10_05.xlsx&amp;sheet=U0&amp;row=1175&amp;col=7&amp;number=0.0288&amp;sourceID=14","0.0288")</f>
        <v>0.0288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HYPERLINK("http://141.218.60.56/~jnz1568/getInfo.php?workbook=10_05.xlsx&amp;sheet=U0&amp;row=1176&amp;col=6&amp;number=4.2&amp;sourceID=14","4.2")</f>
        <v>4.2</v>
      </c>
      <c r="G1176" s="4" t="str">
        <f>HYPERLINK("http://141.218.60.56/~jnz1568/getInfo.php?workbook=10_05.xlsx&amp;sheet=U0&amp;row=1176&amp;col=7&amp;number=0.028&amp;sourceID=14","0.028")</f>
        <v>0.028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HYPERLINK("http://141.218.60.56/~jnz1568/getInfo.php?workbook=10_05.xlsx&amp;sheet=U0&amp;row=1177&amp;col=6&amp;number=4.3&amp;sourceID=14","4.3")</f>
        <v>4.3</v>
      </c>
      <c r="G1177" s="4" t="str">
        <f>HYPERLINK("http://141.218.60.56/~jnz1568/getInfo.php?workbook=10_05.xlsx&amp;sheet=U0&amp;row=1177&amp;col=7&amp;number=0.0271&amp;sourceID=14","0.0271")</f>
        <v>0.0271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HYPERLINK("http://141.218.60.56/~jnz1568/getInfo.php?workbook=10_05.xlsx&amp;sheet=U0&amp;row=1178&amp;col=6&amp;number=4.4&amp;sourceID=14","4.4")</f>
        <v>4.4</v>
      </c>
      <c r="G1178" s="4" t="str">
        <f>HYPERLINK("http://141.218.60.56/~jnz1568/getInfo.php?workbook=10_05.xlsx&amp;sheet=U0&amp;row=1178&amp;col=7&amp;number=0.026&amp;sourceID=14","0.026")</f>
        <v>0.026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HYPERLINK("http://141.218.60.56/~jnz1568/getInfo.php?workbook=10_05.xlsx&amp;sheet=U0&amp;row=1179&amp;col=6&amp;number=4.5&amp;sourceID=14","4.5")</f>
        <v>4.5</v>
      </c>
      <c r="G1179" s="4" t="str">
        <f>HYPERLINK("http://141.218.60.56/~jnz1568/getInfo.php?workbook=10_05.xlsx&amp;sheet=U0&amp;row=1179&amp;col=7&amp;number=0.0248&amp;sourceID=14","0.0248")</f>
        <v>0.0248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HYPERLINK("http://141.218.60.56/~jnz1568/getInfo.php?workbook=10_05.xlsx&amp;sheet=U0&amp;row=1180&amp;col=6&amp;number=4.6&amp;sourceID=14","4.6")</f>
        <v>4.6</v>
      </c>
      <c r="G1180" s="4" t="str">
        <f>HYPERLINK("http://141.218.60.56/~jnz1568/getInfo.php?workbook=10_05.xlsx&amp;sheet=U0&amp;row=1180&amp;col=7&amp;number=0.0234&amp;sourceID=14","0.0234")</f>
        <v>0.0234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HYPERLINK("http://141.218.60.56/~jnz1568/getInfo.php?workbook=10_05.xlsx&amp;sheet=U0&amp;row=1181&amp;col=6&amp;number=4.7&amp;sourceID=14","4.7")</f>
        <v>4.7</v>
      </c>
      <c r="G1181" s="4" t="str">
        <f>HYPERLINK("http://141.218.60.56/~jnz1568/getInfo.php?workbook=10_05.xlsx&amp;sheet=U0&amp;row=1181&amp;col=7&amp;number=0.0218&amp;sourceID=14","0.0218")</f>
        <v>0.0218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HYPERLINK("http://141.218.60.56/~jnz1568/getInfo.php?workbook=10_05.xlsx&amp;sheet=U0&amp;row=1182&amp;col=6&amp;number=4.8&amp;sourceID=14","4.8")</f>
        <v>4.8</v>
      </c>
      <c r="G1182" s="4" t="str">
        <f>HYPERLINK("http://141.218.60.56/~jnz1568/getInfo.php?workbook=10_05.xlsx&amp;sheet=U0&amp;row=1182&amp;col=7&amp;number=0.0201&amp;sourceID=14","0.0201")</f>
        <v>0.0201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HYPERLINK("http://141.218.60.56/~jnz1568/getInfo.php?workbook=10_05.xlsx&amp;sheet=U0&amp;row=1183&amp;col=6&amp;number=4.9&amp;sourceID=14","4.9")</f>
        <v>4.9</v>
      </c>
      <c r="G1183" s="4" t="str">
        <f>HYPERLINK("http://141.218.60.56/~jnz1568/getInfo.php?workbook=10_05.xlsx&amp;sheet=U0&amp;row=1183&amp;col=7&amp;number=0.0184&amp;sourceID=14","0.0184")</f>
        <v>0.0184</v>
      </c>
    </row>
    <row r="1184" spans="1:7">
      <c r="A1184" s="3">
        <v>10</v>
      </c>
      <c r="B1184" s="3">
        <v>5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HYPERLINK("http://141.218.60.56/~jnz1568/getInfo.php?workbook=10_05.xlsx&amp;sheet=U0&amp;row=1184&amp;col=6&amp;number=3&amp;sourceID=14","3")</f>
        <v>3</v>
      </c>
      <c r="G1184" s="4" t="str">
        <f>HYPERLINK("http://141.218.60.56/~jnz1568/getInfo.php?workbook=10_05.xlsx&amp;sheet=U0&amp;row=1184&amp;col=7&amp;number=0.0127&amp;sourceID=14","0.0127")</f>
        <v>0.0127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HYPERLINK("http://141.218.60.56/~jnz1568/getInfo.php?workbook=10_05.xlsx&amp;sheet=U0&amp;row=1185&amp;col=6&amp;number=3.1&amp;sourceID=14","3.1")</f>
        <v>3.1</v>
      </c>
      <c r="G1185" s="4" t="str">
        <f>HYPERLINK("http://141.218.60.56/~jnz1568/getInfo.php?workbook=10_05.xlsx&amp;sheet=U0&amp;row=1185&amp;col=7&amp;number=0.0127&amp;sourceID=14","0.0127")</f>
        <v>0.0127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HYPERLINK("http://141.218.60.56/~jnz1568/getInfo.php?workbook=10_05.xlsx&amp;sheet=U0&amp;row=1186&amp;col=6&amp;number=3.2&amp;sourceID=14","3.2")</f>
        <v>3.2</v>
      </c>
      <c r="G1186" s="4" t="str">
        <f>HYPERLINK("http://141.218.60.56/~jnz1568/getInfo.php?workbook=10_05.xlsx&amp;sheet=U0&amp;row=1186&amp;col=7&amp;number=0.0127&amp;sourceID=14","0.0127")</f>
        <v>0.0127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HYPERLINK("http://141.218.60.56/~jnz1568/getInfo.php?workbook=10_05.xlsx&amp;sheet=U0&amp;row=1187&amp;col=6&amp;number=3.3&amp;sourceID=14","3.3")</f>
        <v>3.3</v>
      </c>
      <c r="G1187" s="4" t="str">
        <f>HYPERLINK("http://141.218.60.56/~jnz1568/getInfo.php?workbook=10_05.xlsx&amp;sheet=U0&amp;row=1187&amp;col=7&amp;number=0.0127&amp;sourceID=14","0.0127")</f>
        <v>0.0127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HYPERLINK("http://141.218.60.56/~jnz1568/getInfo.php?workbook=10_05.xlsx&amp;sheet=U0&amp;row=1188&amp;col=6&amp;number=3.4&amp;sourceID=14","3.4")</f>
        <v>3.4</v>
      </c>
      <c r="G1188" s="4" t="str">
        <f>HYPERLINK("http://141.218.60.56/~jnz1568/getInfo.php?workbook=10_05.xlsx&amp;sheet=U0&amp;row=1188&amp;col=7&amp;number=0.0126&amp;sourceID=14","0.0126")</f>
        <v>0.0126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HYPERLINK("http://141.218.60.56/~jnz1568/getInfo.php?workbook=10_05.xlsx&amp;sheet=U0&amp;row=1189&amp;col=6&amp;number=3.5&amp;sourceID=14","3.5")</f>
        <v>3.5</v>
      </c>
      <c r="G1189" s="4" t="str">
        <f>HYPERLINK("http://141.218.60.56/~jnz1568/getInfo.php?workbook=10_05.xlsx&amp;sheet=U0&amp;row=1189&amp;col=7&amp;number=0.0126&amp;sourceID=14","0.0126")</f>
        <v>0.0126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HYPERLINK("http://141.218.60.56/~jnz1568/getInfo.php?workbook=10_05.xlsx&amp;sheet=U0&amp;row=1190&amp;col=6&amp;number=3.6&amp;sourceID=14","3.6")</f>
        <v>3.6</v>
      </c>
      <c r="G1190" s="4" t="str">
        <f>HYPERLINK("http://141.218.60.56/~jnz1568/getInfo.php?workbook=10_05.xlsx&amp;sheet=U0&amp;row=1190&amp;col=7&amp;number=0.0125&amp;sourceID=14","0.0125")</f>
        <v>0.0125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HYPERLINK("http://141.218.60.56/~jnz1568/getInfo.php?workbook=10_05.xlsx&amp;sheet=U0&amp;row=1191&amp;col=6&amp;number=3.7&amp;sourceID=14","3.7")</f>
        <v>3.7</v>
      </c>
      <c r="G1191" s="4" t="str">
        <f>HYPERLINK("http://141.218.60.56/~jnz1568/getInfo.php?workbook=10_05.xlsx&amp;sheet=U0&amp;row=1191&amp;col=7&amp;number=0.0124&amp;sourceID=14","0.0124")</f>
        <v>0.0124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HYPERLINK("http://141.218.60.56/~jnz1568/getInfo.php?workbook=10_05.xlsx&amp;sheet=U0&amp;row=1192&amp;col=6&amp;number=3.8&amp;sourceID=14","3.8")</f>
        <v>3.8</v>
      </c>
      <c r="G1192" s="4" t="str">
        <f>HYPERLINK("http://141.218.60.56/~jnz1568/getInfo.php?workbook=10_05.xlsx&amp;sheet=U0&amp;row=1192&amp;col=7&amp;number=0.0124&amp;sourceID=14","0.0124")</f>
        <v>0.0124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HYPERLINK("http://141.218.60.56/~jnz1568/getInfo.php?workbook=10_05.xlsx&amp;sheet=U0&amp;row=1193&amp;col=6&amp;number=3.9&amp;sourceID=14","3.9")</f>
        <v>3.9</v>
      </c>
      <c r="G1193" s="4" t="str">
        <f>HYPERLINK("http://141.218.60.56/~jnz1568/getInfo.php?workbook=10_05.xlsx&amp;sheet=U0&amp;row=1193&amp;col=7&amp;number=0.0122&amp;sourceID=14","0.0122")</f>
        <v>0.0122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HYPERLINK("http://141.218.60.56/~jnz1568/getInfo.php?workbook=10_05.xlsx&amp;sheet=U0&amp;row=1194&amp;col=6&amp;number=4&amp;sourceID=14","4")</f>
        <v>4</v>
      </c>
      <c r="G1194" s="4" t="str">
        <f>HYPERLINK("http://141.218.60.56/~jnz1568/getInfo.php?workbook=10_05.xlsx&amp;sheet=U0&amp;row=1194&amp;col=7&amp;number=0.0121&amp;sourceID=14","0.0121")</f>
        <v>0.0121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HYPERLINK("http://141.218.60.56/~jnz1568/getInfo.php?workbook=10_05.xlsx&amp;sheet=U0&amp;row=1195&amp;col=6&amp;number=4.1&amp;sourceID=14","4.1")</f>
        <v>4.1</v>
      </c>
      <c r="G1195" s="4" t="str">
        <f>HYPERLINK("http://141.218.60.56/~jnz1568/getInfo.php?workbook=10_05.xlsx&amp;sheet=U0&amp;row=1195&amp;col=7&amp;number=0.0119&amp;sourceID=14","0.0119")</f>
        <v>0.0119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HYPERLINK("http://141.218.60.56/~jnz1568/getInfo.php?workbook=10_05.xlsx&amp;sheet=U0&amp;row=1196&amp;col=6&amp;number=4.2&amp;sourceID=14","4.2")</f>
        <v>4.2</v>
      </c>
      <c r="G1196" s="4" t="str">
        <f>HYPERLINK("http://141.218.60.56/~jnz1568/getInfo.php?workbook=10_05.xlsx&amp;sheet=U0&amp;row=1196&amp;col=7&amp;number=0.0117&amp;sourceID=14","0.0117")</f>
        <v>0.0117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HYPERLINK("http://141.218.60.56/~jnz1568/getInfo.php?workbook=10_05.xlsx&amp;sheet=U0&amp;row=1197&amp;col=6&amp;number=4.3&amp;sourceID=14","4.3")</f>
        <v>4.3</v>
      </c>
      <c r="G1197" s="4" t="str">
        <f>HYPERLINK("http://141.218.60.56/~jnz1568/getInfo.php?workbook=10_05.xlsx&amp;sheet=U0&amp;row=1197&amp;col=7&amp;number=0.0115&amp;sourceID=14","0.0115")</f>
        <v>0.0115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HYPERLINK("http://141.218.60.56/~jnz1568/getInfo.php?workbook=10_05.xlsx&amp;sheet=U0&amp;row=1198&amp;col=6&amp;number=4.4&amp;sourceID=14","4.4")</f>
        <v>4.4</v>
      </c>
      <c r="G1198" s="4" t="str">
        <f>HYPERLINK("http://141.218.60.56/~jnz1568/getInfo.php?workbook=10_05.xlsx&amp;sheet=U0&amp;row=1198&amp;col=7&amp;number=0.0112&amp;sourceID=14","0.0112")</f>
        <v>0.0112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HYPERLINK("http://141.218.60.56/~jnz1568/getInfo.php?workbook=10_05.xlsx&amp;sheet=U0&amp;row=1199&amp;col=6&amp;number=4.5&amp;sourceID=14","4.5")</f>
        <v>4.5</v>
      </c>
      <c r="G1199" s="4" t="str">
        <f>HYPERLINK("http://141.218.60.56/~jnz1568/getInfo.php?workbook=10_05.xlsx&amp;sheet=U0&amp;row=1199&amp;col=7&amp;number=0.0108&amp;sourceID=14","0.0108")</f>
        <v>0.0108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HYPERLINK("http://141.218.60.56/~jnz1568/getInfo.php?workbook=10_05.xlsx&amp;sheet=U0&amp;row=1200&amp;col=6&amp;number=4.6&amp;sourceID=14","4.6")</f>
        <v>4.6</v>
      </c>
      <c r="G1200" s="4" t="str">
        <f>HYPERLINK("http://141.218.60.56/~jnz1568/getInfo.php?workbook=10_05.xlsx&amp;sheet=U0&amp;row=1200&amp;col=7&amp;number=0.0104&amp;sourceID=14","0.0104")</f>
        <v>0.0104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HYPERLINK("http://141.218.60.56/~jnz1568/getInfo.php?workbook=10_05.xlsx&amp;sheet=U0&amp;row=1201&amp;col=6&amp;number=4.7&amp;sourceID=14","4.7")</f>
        <v>4.7</v>
      </c>
      <c r="G1201" s="4" t="str">
        <f>HYPERLINK("http://141.218.60.56/~jnz1568/getInfo.php?workbook=10_05.xlsx&amp;sheet=U0&amp;row=1201&amp;col=7&amp;number=0.00985&amp;sourceID=14","0.00985")</f>
        <v>0.00985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HYPERLINK("http://141.218.60.56/~jnz1568/getInfo.php?workbook=10_05.xlsx&amp;sheet=U0&amp;row=1202&amp;col=6&amp;number=4.8&amp;sourceID=14","4.8")</f>
        <v>4.8</v>
      </c>
      <c r="G1202" s="4" t="str">
        <f>HYPERLINK("http://141.218.60.56/~jnz1568/getInfo.php?workbook=10_05.xlsx&amp;sheet=U0&amp;row=1202&amp;col=7&amp;number=0.00928&amp;sourceID=14","0.00928")</f>
        <v>0.00928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HYPERLINK("http://141.218.60.56/~jnz1568/getInfo.php?workbook=10_05.xlsx&amp;sheet=U0&amp;row=1203&amp;col=6&amp;number=4.9&amp;sourceID=14","4.9")</f>
        <v>4.9</v>
      </c>
      <c r="G1203" s="4" t="str">
        <f>HYPERLINK("http://141.218.60.56/~jnz1568/getInfo.php?workbook=10_05.xlsx&amp;sheet=U0&amp;row=1203&amp;col=7&amp;number=0.00867&amp;sourceID=14","0.00867")</f>
        <v>0.00867</v>
      </c>
    </row>
    <row r="1204" spans="1:7">
      <c r="A1204" s="3">
        <v>10</v>
      </c>
      <c r="B1204" s="3">
        <v>5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HYPERLINK("http://141.218.60.56/~jnz1568/getInfo.php?workbook=10_05.xlsx&amp;sheet=U0&amp;row=1204&amp;col=6&amp;number=3&amp;sourceID=14","3")</f>
        <v>3</v>
      </c>
      <c r="G1204" s="4" t="str">
        <f>HYPERLINK("http://141.218.60.56/~jnz1568/getInfo.php?workbook=10_05.xlsx&amp;sheet=U0&amp;row=1204&amp;col=7&amp;number=0.0196&amp;sourceID=14","0.0196")</f>
        <v>0.0196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HYPERLINK("http://141.218.60.56/~jnz1568/getInfo.php?workbook=10_05.xlsx&amp;sheet=U0&amp;row=1205&amp;col=6&amp;number=3.1&amp;sourceID=14","3.1")</f>
        <v>3.1</v>
      </c>
      <c r="G1205" s="4" t="str">
        <f>HYPERLINK("http://141.218.60.56/~jnz1568/getInfo.php?workbook=10_05.xlsx&amp;sheet=U0&amp;row=1205&amp;col=7&amp;number=0.0196&amp;sourceID=14","0.0196")</f>
        <v>0.0196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HYPERLINK("http://141.218.60.56/~jnz1568/getInfo.php?workbook=10_05.xlsx&amp;sheet=U0&amp;row=1206&amp;col=6&amp;number=3.2&amp;sourceID=14","3.2")</f>
        <v>3.2</v>
      </c>
      <c r="G1206" s="4" t="str">
        <f>HYPERLINK("http://141.218.60.56/~jnz1568/getInfo.php?workbook=10_05.xlsx&amp;sheet=U0&amp;row=1206&amp;col=7&amp;number=0.0195&amp;sourceID=14","0.0195")</f>
        <v>0.0195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HYPERLINK("http://141.218.60.56/~jnz1568/getInfo.php?workbook=10_05.xlsx&amp;sheet=U0&amp;row=1207&amp;col=6&amp;number=3.3&amp;sourceID=14","3.3")</f>
        <v>3.3</v>
      </c>
      <c r="G1207" s="4" t="str">
        <f>HYPERLINK("http://141.218.60.56/~jnz1568/getInfo.php?workbook=10_05.xlsx&amp;sheet=U0&amp;row=1207&amp;col=7&amp;number=0.0195&amp;sourceID=14","0.0195")</f>
        <v>0.0195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HYPERLINK("http://141.218.60.56/~jnz1568/getInfo.php?workbook=10_05.xlsx&amp;sheet=U0&amp;row=1208&amp;col=6&amp;number=3.4&amp;sourceID=14","3.4")</f>
        <v>3.4</v>
      </c>
      <c r="G1208" s="4" t="str">
        <f>HYPERLINK("http://141.218.60.56/~jnz1568/getInfo.php?workbook=10_05.xlsx&amp;sheet=U0&amp;row=1208&amp;col=7&amp;number=0.0194&amp;sourceID=14","0.0194")</f>
        <v>0.0194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HYPERLINK("http://141.218.60.56/~jnz1568/getInfo.php?workbook=10_05.xlsx&amp;sheet=U0&amp;row=1209&amp;col=6&amp;number=3.5&amp;sourceID=14","3.5")</f>
        <v>3.5</v>
      </c>
      <c r="G1209" s="4" t="str">
        <f>HYPERLINK("http://141.218.60.56/~jnz1568/getInfo.php?workbook=10_05.xlsx&amp;sheet=U0&amp;row=1209&amp;col=7&amp;number=0.0193&amp;sourceID=14","0.0193")</f>
        <v>0.0193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HYPERLINK("http://141.218.60.56/~jnz1568/getInfo.php?workbook=10_05.xlsx&amp;sheet=U0&amp;row=1210&amp;col=6&amp;number=3.6&amp;sourceID=14","3.6")</f>
        <v>3.6</v>
      </c>
      <c r="G1210" s="4" t="str">
        <f>HYPERLINK("http://141.218.60.56/~jnz1568/getInfo.php?workbook=10_05.xlsx&amp;sheet=U0&amp;row=1210&amp;col=7&amp;number=0.0192&amp;sourceID=14","0.0192")</f>
        <v>0.0192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HYPERLINK("http://141.218.60.56/~jnz1568/getInfo.php?workbook=10_05.xlsx&amp;sheet=U0&amp;row=1211&amp;col=6&amp;number=3.7&amp;sourceID=14","3.7")</f>
        <v>3.7</v>
      </c>
      <c r="G1211" s="4" t="str">
        <f>HYPERLINK("http://141.218.60.56/~jnz1568/getInfo.php?workbook=10_05.xlsx&amp;sheet=U0&amp;row=1211&amp;col=7&amp;number=0.0191&amp;sourceID=14","0.0191")</f>
        <v>0.0191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HYPERLINK("http://141.218.60.56/~jnz1568/getInfo.php?workbook=10_05.xlsx&amp;sheet=U0&amp;row=1212&amp;col=6&amp;number=3.8&amp;sourceID=14","3.8")</f>
        <v>3.8</v>
      </c>
      <c r="G1212" s="4" t="str">
        <f>HYPERLINK("http://141.218.60.56/~jnz1568/getInfo.php?workbook=10_05.xlsx&amp;sheet=U0&amp;row=1212&amp;col=7&amp;number=0.019&amp;sourceID=14","0.019")</f>
        <v>0.019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HYPERLINK("http://141.218.60.56/~jnz1568/getInfo.php?workbook=10_05.xlsx&amp;sheet=U0&amp;row=1213&amp;col=6&amp;number=3.9&amp;sourceID=14","3.9")</f>
        <v>3.9</v>
      </c>
      <c r="G1213" s="4" t="str">
        <f>HYPERLINK("http://141.218.60.56/~jnz1568/getInfo.php?workbook=10_05.xlsx&amp;sheet=U0&amp;row=1213&amp;col=7&amp;number=0.0188&amp;sourceID=14","0.0188")</f>
        <v>0.0188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HYPERLINK("http://141.218.60.56/~jnz1568/getInfo.php?workbook=10_05.xlsx&amp;sheet=U0&amp;row=1214&amp;col=6&amp;number=4&amp;sourceID=14","4")</f>
        <v>4</v>
      </c>
      <c r="G1214" s="4" t="str">
        <f>HYPERLINK("http://141.218.60.56/~jnz1568/getInfo.php?workbook=10_05.xlsx&amp;sheet=U0&amp;row=1214&amp;col=7&amp;number=0.0185&amp;sourceID=14","0.0185")</f>
        <v>0.0185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HYPERLINK("http://141.218.60.56/~jnz1568/getInfo.php?workbook=10_05.xlsx&amp;sheet=U0&amp;row=1215&amp;col=6&amp;number=4.1&amp;sourceID=14","4.1")</f>
        <v>4.1</v>
      </c>
      <c r="G1215" s="4" t="str">
        <f>HYPERLINK("http://141.218.60.56/~jnz1568/getInfo.php?workbook=10_05.xlsx&amp;sheet=U0&amp;row=1215&amp;col=7&amp;number=0.0183&amp;sourceID=14","0.0183")</f>
        <v>0.0183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HYPERLINK("http://141.218.60.56/~jnz1568/getInfo.php?workbook=10_05.xlsx&amp;sheet=U0&amp;row=1216&amp;col=6&amp;number=4.2&amp;sourceID=14","4.2")</f>
        <v>4.2</v>
      </c>
      <c r="G1216" s="4" t="str">
        <f>HYPERLINK("http://141.218.60.56/~jnz1568/getInfo.php?workbook=10_05.xlsx&amp;sheet=U0&amp;row=1216&amp;col=7&amp;number=0.0179&amp;sourceID=14","0.0179")</f>
        <v>0.0179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HYPERLINK("http://141.218.60.56/~jnz1568/getInfo.php?workbook=10_05.xlsx&amp;sheet=U0&amp;row=1217&amp;col=6&amp;number=4.3&amp;sourceID=14","4.3")</f>
        <v>4.3</v>
      </c>
      <c r="G1217" s="4" t="str">
        <f>HYPERLINK("http://141.218.60.56/~jnz1568/getInfo.php?workbook=10_05.xlsx&amp;sheet=U0&amp;row=1217&amp;col=7&amp;number=0.0175&amp;sourceID=14","0.0175")</f>
        <v>0.0175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HYPERLINK("http://141.218.60.56/~jnz1568/getInfo.php?workbook=10_05.xlsx&amp;sheet=U0&amp;row=1218&amp;col=6&amp;number=4.4&amp;sourceID=14","4.4")</f>
        <v>4.4</v>
      </c>
      <c r="G1218" s="4" t="str">
        <f>HYPERLINK("http://141.218.60.56/~jnz1568/getInfo.php?workbook=10_05.xlsx&amp;sheet=U0&amp;row=1218&amp;col=7&amp;number=0.0169&amp;sourceID=14","0.0169")</f>
        <v>0.0169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HYPERLINK("http://141.218.60.56/~jnz1568/getInfo.php?workbook=10_05.xlsx&amp;sheet=U0&amp;row=1219&amp;col=6&amp;number=4.5&amp;sourceID=14","4.5")</f>
        <v>4.5</v>
      </c>
      <c r="G1219" s="4" t="str">
        <f>HYPERLINK("http://141.218.60.56/~jnz1568/getInfo.php?workbook=10_05.xlsx&amp;sheet=U0&amp;row=1219&amp;col=7&amp;number=0.0163&amp;sourceID=14","0.0163")</f>
        <v>0.0163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HYPERLINK("http://141.218.60.56/~jnz1568/getInfo.php?workbook=10_05.xlsx&amp;sheet=U0&amp;row=1220&amp;col=6&amp;number=4.6&amp;sourceID=14","4.6")</f>
        <v>4.6</v>
      </c>
      <c r="G1220" s="4" t="str">
        <f>HYPERLINK("http://141.218.60.56/~jnz1568/getInfo.php?workbook=10_05.xlsx&amp;sheet=U0&amp;row=1220&amp;col=7&amp;number=0.0156&amp;sourceID=14","0.0156")</f>
        <v>0.0156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HYPERLINK("http://141.218.60.56/~jnz1568/getInfo.php?workbook=10_05.xlsx&amp;sheet=U0&amp;row=1221&amp;col=6&amp;number=4.7&amp;sourceID=14","4.7")</f>
        <v>4.7</v>
      </c>
      <c r="G1221" s="4" t="str">
        <f>HYPERLINK("http://141.218.60.56/~jnz1568/getInfo.php?workbook=10_05.xlsx&amp;sheet=U0&amp;row=1221&amp;col=7&amp;number=0.0147&amp;sourceID=14","0.0147")</f>
        <v>0.0147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HYPERLINK("http://141.218.60.56/~jnz1568/getInfo.php?workbook=10_05.xlsx&amp;sheet=U0&amp;row=1222&amp;col=6&amp;number=4.8&amp;sourceID=14","4.8")</f>
        <v>4.8</v>
      </c>
      <c r="G1222" s="4" t="str">
        <f>HYPERLINK("http://141.218.60.56/~jnz1568/getInfo.php?workbook=10_05.xlsx&amp;sheet=U0&amp;row=1222&amp;col=7&amp;number=0.0137&amp;sourceID=14","0.0137")</f>
        <v>0.0137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HYPERLINK("http://141.218.60.56/~jnz1568/getInfo.php?workbook=10_05.xlsx&amp;sheet=U0&amp;row=1223&amp;col=6&amp;number=4.9&amp;sourceID=14","4.9")</f>
        <v>4.9</v>
      </c>
      <c r="G1223" s="4" t="str">
        <f>HYPERLINK("http://141.218.60.56/~jnz1568/getInfo.php?workbook=10_05.xlsx&amp;sheet=U0&amp;row=1223&amp;col=7&amp;number=0.0127&amp;sourceID=14","0.0127")</f>
        <v>0.0127</v>
      </c>
    </row>
    <row r="1224" spans="1:7">
      <c r="A1224" s="3">
        <v>10</v>
      </c>
      <c r="B1224" s="3">
        <v>5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HYPERLINK("http://141.218.60.56/~jnz1568/getInfo.php?workbook=10_05.xlsx&amp;sheet=U0&amp;row=1224&amp;col=6&amp;number=3&amp;sourceID=14","3")</f>
        <v>3</v>
      </c>
      <c r="G1224" s="4" t="str">
        <f>HYPERLINK("http://141.218.60.56/~jnz1568/getInfo.php?workbook=10_05.xlsx&amp;sheet=U0&amp;row=1224&amp;col=7&amp;number=0.0201&amp;sourceID=14","0.0201")</f>
        <v>0.0201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HYPERLINK("http://141.218.60.56/~jnz1568/getInfo.php?workbook=10_05.xlsx&amp;sheet=U0&amp;row=1225&amp;col=6&amp;number=3.1&amp;sourceID=14","3.1")</f>
        <v>3.1</v>
      </c>
      <c r="G1225" s="4" t="str">
        <f>HYPERLINK("http://141.218.60.56/~jnz1568/getInfo.php?workbook=10_05.xlsx&amp;sheet=U0&amp;row=1225&amp;col=7&amp;number=0.02&amp;sourceID=14","0.02")</f>
        <v>0.02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HYPERLINK("http://141.218.60.56/~jnz1568/getInfo.php?workbook=10_05.xlsx&amp;sheet=U0&amp;row=1226&amp;col=6&amp;number=3.2&amp;sourceID=14","3.2")</f>
        <v>3.2</v>
      </c>
      <c r="G1226" s="4" t="str">
        <f>HYPERLINK("http://141.218.60.56/~jnz1568/getInfo.php?workbook=10_05.xlsx&amp;sheet=U0&amp;row=1226&amp;col=7&amp;number=0.02&amp;sourceID=14","0.02")</f>
        <v>0.02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HYPERLINK("http://141.218.60.56/~jnz1568/getInfo.php?workbook=10_05.xlsx&amp;sheet=U0&amp;row=1227&amp;col=6&amp;number=3.3&amp;sourceID=14","3.3")</f>
        <v>3.3</v>
      </c>
      <c r="G1227" s="4" t="str">
        <f>HYPERLINK("http://141.218.60.56/~jnz1568/getInfo.php?workbook=10_05.xlsx&amp;sheet=U0&amp;row=1227&amp;col=7&amp;number=0.0199&amp;sourceID=14","0.0199")</f>
        <v>0.0199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HYPERLINK("http://141.218.60.56/~jnz1568/getInfo.php?workbook=10_05.xlsx&amp;sheet=U0&amp;row=1228&amp;col=6&amp;number=3.4&amp;sourceID=14","3.4")</f>
        <v>3.4</v>
      </c>
      <c r="G1228" s="4" t="str">
        <f>HYPERLINK("http://141.218.60.56/~jnz1568/getInfo.php?workbook=10_05.xlsx&amp;sheet=U0&amp;row=1228&amp;col=7&amp;number=0.0197&amp;sourceID=14","0.0197")</f>
        <v>0.0197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HYPERLINK("http://141.218.60.56/~jnz1568/getInfo.php?workbook=10_05.xlsx&amp;sheet=U0&amp;row=1229&amp;col=6&amp;number=3.5&amp;sourceID=14","3.5")</f>
        <v>3.5</v>
      </c>
      <c r="G1229" s="4" t="str">
        <f>HYPERLINK("http://141.218.60.56/~jnz1568/getInfo.php?workbook=10_05.xlsx&amp;sheet=U0&amp;row=1229&amp;col=7&amp;number=0.0196&amp;sourceID=14","0.0196")</f>
        <v>0.0196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HYPERLINK("http://141.218.60.56/~jnz1568/getInfo.php?workbook=10_05.xlsx&amp;sheet=U0&amp;row=1230&amp;col=6&amp;number=3.6&amp;sourceID=14","3.6")</f>
        <v>3.6</v>
      </c>
      <c r="G1230" s="4" t="str">
        <f>HYPERLINK("http://141.218.60.56/~jnz1568/getInfo.php?workbook=10_05.xlsx&amp;sheet=U0&amp;row=1230&amp;col=7&amp;number=0.0194&amp;sourceID=14","0.0194")</f>
        <v>0.0194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HYPERLINK("http://141.218.60.56/~jnz1568/getInfo.php?workbook=10_05.xlsx&amp;sheet=U0&amp;row=1231&amp;col=6&amp;number=3.7&amp;sourceID=14","3.7")</f>
        <v>3.7</v>
      </c>
      <c r="G1231" s="4" t="str">
        <f>HYPERLINK("http://141.218.60.56/~jnz1568/getInfo.php?workbook=10_05.xlsx&amp;sheet=U0&amp;row=1231&amp;col=7&amp;number=0.0191&amp;sourceID=14","0.0191")</f>
        <v>0.0191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HYPERLINK("http://141.218.60.56/~jnz1568/getInfo.php?workbook=10_05.xlsx&amp;sheet=U0&amp;row=1232&amp;col=6&amp;number=3.8&amp;sourceID=14","3.8")</f>
        <v>3.8</v>
      </c>
      <c r="G1232" s="4" t="str">
        <f>HYPERLINK("http://141.218.60.56/~jnz1568/getInfo.php?workbook=10_05.xlsx&amp;sheet=U0&amp;row=1232&amp;col=7&amp;number=0.0188&amp;sourceID=14","0.0188")</f>
        <v>0.0188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HYPERLINK("http://141.218.60.56/~jnz1568/getInfo.php?workbook=10_05.xlsx&amp;sheet=U0&amp;row=1233&amp;col=6&amp;number=3.9&amp;sourceID=14","3.9")</f>
        <v>3.9</v>
      </c>
      <c r="G1233" s="4" t="str">
        <f>HYPERLINK("http://141.218.60.56/~jnz1568/getInfo.php?workbook=10_05.xlsx&amp;sheet=U0&amp;row=1233&amp;col=7&amp;number=0.0184&amp;sourceID=14","0.0184")</f>
        <v>0.0184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HYPERLINK("http://141.218.60.56/~jnz1568/getInfo.php?workbook=10_05.xlsx&amp;sheet=U0&amp;row=1234&amp;col=6&amp;number=4&amp;sourceID=14","4")</f>
        <v>4</v>
      </c>
      <c r="G1234" s="4" t="str">
        <f>HYPERLINK("http://141.218.60.56/~jnz1568/getInfo.php?workbook=10_05.xlsx&amp;sheet=U0&amp;row=1234&amp;col=7&amp;number=0.0179&amp;sourceID=14","0.0179")</f>
        <v>0.0179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HYPERLINK("http://141.218.60.56/~jnz1568/getInfo.php?workbook=10_05.xlsx&amp;sheet=U0&amp;row=1235&amp;col=6&amp;number=4.1&amp;sourceID=14","4.1")</f>
        <v>4.1</v>
      </c>
      <c r="G1235" s="4" t="str">
        <f>HYPERLINK("http://141.218.60.56/~jnz1568/getInfo.php?workbook=10_05.xlsx&amp;sheet=U0&amp;row=1235&amp;col=7&amp;number=0.0174&amp;sourceID=14","0.0174")</f>
        <v>0.0174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HYPERLINK("http://141.218.60.56/~jnz1568/getInfo.php?workbook=10_05.xlsx&amp;sheet=U0&amp;row=1236&amp;col=6&amp;number=4.2&amp;sourceID=14","4.2")</f>
        <v>4.2</v>
      </c>
      <c r="G1236" s="4" t="str">
        <f>HYPERLINK("http://141.218.60.56/~jnz1568/getInfo.php?workbook=10_05.xlsx&amp;sheet=U0&amp;row=1236&amp;col=7&amp;number=0.0167&amp;sourceID=14","0.0167")</f>
        <v>0.0167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HYPERLINK("http://141.218.60.56/~jnz1568/getInfo.php?workbook=10_05.xlsx&amp;sheet=U0&amp;row=1237&amp;col=6&amp;number=4.3&amp;sourceID=14","4.3")</f>
        <v>4.3</v>
      </c>
      <c r="G1237" s="4" t="str">
        <f>HYPERLINK("http://141.218.60.56/~jnz1568/getInfo.php?workbook=10_05.xlsx&amp;sheet=U0&amp;row=1237&amp;col=7&amp;number=0.0159&amp;sourceID=14","0.0159")</f>
        <v>0.0159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HYPERLINK("http://141.218.60.56/~jnz1568/getInfo.php?workbook=10_05.xlsx&amp;sheet=U0&amp;row=1238&amp;col=6&amp;number=4.4&amp;sourceID=14","4.4")</f>
        <v>4.4</v>
      </c>
      <c r="G1238" s="4" t="str">
        <f>HYPERLINK("http://141.218.60.56/~jnz1568/getInfo.php?workbook=10_05.xlsx&amp;sheet=U0&amp;row=1238&amp;col=7&amp;number=0.0149&amp;sourceID=14","0.0149")</f>
        <v>0.0149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HYPERLINK("http://141.218.60.56/~jnz1568/getInfo.php?workbook=10_05.xlsx&amp;sheet=U0&amp;row=1239&amp;col=6&amp;number=4.5&amp;sourceID=14","4.5")</f>
        <v>4.5</v>
      </c>
      <c r="G1239" s="4" t="str">
        <f>HYPERLINK("http://141.218.60.56/~jnz1568/getInfo.php?workbook=10_05.xlsx&amp;sheet=U0&amp;row=1239&amp;col=7&amp;number=0.0139&amp;sourceID=14","0.0139")</f>
        <v>0.0139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HYPERLINK("http://141.218.60.56/~jnz1568/getInfo.php?workbook=10_05.xlsx&amp;sheet=U0&amp;row=1240&amp;col=6&amp;number=4.6&amp;sourceID=14","4.6")</f>
        <v>4.6</v>
      </c>
      <c r="G1240" s="4" t="str">
        <f>HYPERLINK("http://141.218.60.56/~jnz1568/getInfo.php?workbook=10_05.xlsx&amp;sheet=U0&amp;row=1240&amp;col=7&amp;number=0.0128&amp;sourceID=14","0.0128")</f>
        <v>0.0128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HYPERLINK("http://141.218.60.56/~jnz1568/getInfo.php?workbook=10_05.xlsx&amp;sheet=U0&amp;row=1241&amp;col=6&amp;number=4.7&amp;sourceID=14","4.7")</f>
        <v>4.7</v>
      </c>
      <c r="G1241" s="4" t="str">
        <f>HYPERLINK("http://141.218.60.56/~jnz1568/getInfo.php?workbook=10_05.xlsx&amp;sheet=U0&amp;row=1241&amp;col=7&amp;number=0.0118&amp;sourceID=14","0.0118")</f>
        <v>0.0118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HYPERLINK("http://141.218.60.56/~jnz1568/getInfo.php?workbook=10_05.xlsx&amp;sheet=U0&amp;row=1242&amp;col=6&amp;number=4.8&amp;sourceID=14","4.8")</f>
        <v>4.8</v>
      </c>
      <c r="G1242" s="4" t="str">
        <f>HYPERLINK("http://141.218.60.56/~jnz1568/getInfo.php?workbook=10_05.xlsx&amp;sheet=U0&amp;row=1242&amp;col=7&amp;number=0.0108&amp;sourceID=14","0.0108")</f>
        <v>0.0108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HYPERLINK("http://141.218.60.56/~jnz1568/getInfo.php?workbook=10_05.xlsx&amp;sheet=U0&amp;row=1243&amp;col=6&amp;number=4.9&amp;sourceID=14","4.9")</f>
        <v>4.9</v>
      </c>
      <c r="G1243" s="4" t="str">
        <f>HYPERLINK("http://141.218.60.56/~jnz1568/getInfo.php?workbook=10_05.xlsx&amp;sheet=U0&amp;row=1243&amp;col=7&amp;number=0.00982&amp;sourceID=14","0.00982")</f>
        <v>0.00982</v>
      </c>
    </row>
    <row r="1244" spans="1:7">
      <c r="A1244" s="3">
        <v>10</v>
      </c>
      <c r="B1244" s="3">
        <v>5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HYPERLINK("http://141.218.60.56/~jnz1568/getInfo.php?workbook=10_05.xlsx&amp;sheet=U0&amp;row=1244&amp;col=6&amp;number=3&amp;sourceID=14","3")</f>
        <v>3</v>
      </c>
      <c r="G1244" s="4" t="str">
        <f>HYPERLINK("http://141.218.60.56/~jnz1568/getInfo.php?workbook=10_05.xlsx&amp;sheet=U0&amp;row=1244&amp;col=7&amp;number=0.0599&amp;sourceID=14","0.0599")</f>
        <v>0.0599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HYPERLINK("http://141.218.60.56/~jnz1568/getInfo.php?workbook=10_05.xlsx&amp;sheet=U0&amp;row=1245&amp;col=6&amp;number=3.1&amp;sourceID=14","3.1")</f>
        <v>3.1</v>
      </c>
      <c r="G1245" s="4" t="str">
        <f>HYPERLINK("http://141.218.60.56/~jnz1568/getInfo.php?workbook=10_05.xlsx&amp;sheet=U0&amp;row=1245&amp;col=7&amp;number=0.0597&amp;sourceID=14","0.0597")</f>
        <v>0.0597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HYPERLINK("http://141.218.60.56/~jnz1568/getInfo.php?workbook=10_05.xlsx&amp;sheet=U0&amp;row=1246&amp;col=6&amp;number=3.2&amp;sourceID=14","3.2")</f>
        <v>3.2</v>
      </c>
      <c r="G1246" s="4" t="str">
        <f>HYPERLINK("http://141.218.60.56/~jnz1568/getInfo.php?workbook=10_05.xlsx&amp;sheet=U0&amp;row=1246&amp;col=7&amp;number=0.0595&amp;sourceID=14","0.0595")</f>
        <v>0.0595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HYPERLINK("http://141.218.60.56/~jnz1568/getInfo.php?workbook=10_05.xlsx&amp;sheet=U0&amp;row=1247&amp;col=6&amp;number=3.3&amp;sourceID=14","3.3")</f>
        <v>3.3</v>
      </c>
      <c r="G1247" s="4" t="str">
        <f>HYPERLINK("http://141.218.60.56/~jnz1568/getInfo.php?workbook=10_05.xlsx&amp;sheet=U0&amp;row=1247&amp;col=7&amp;number=0.0592&amp;sourceID=14","0.0592")</f>
        <v>0.0592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HYPERLINK("http://141.218.60.56/~jnz1568/getInfo.php?workbook=10_05.xlsx&amp;sheet=U0&amp;row=1248&amp;col=6&amp;number=3.4&amp;sourceID=14","3.4")</f>
        <v>3.4</v>
      </c>
      <c r="G1248" s="4" t="str">
        <f>HYPERLINK("http://141.218.60.56/~jnz1568/getInfo.php?workbook=10_05.xlsx&amp;sheet=U0&amp;row=1248&amp;col=7&amp;number=0.0589&amp;sourceID=14","0.0589")</f>
        <v>0.0589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HYPERLINK("http://141.218.60.56/~jnz1568/getInfo.php?workbook=10_05.xlsx&amp;sheet=U0&amp;row=1249&amp;col=6&amp;number=3.5&amp;sourceID=14","3.5")</f>
        <v>3.5</v>
      </c>
      <c r="G1249" s="4" t="str">
        <f>HYPERLINK("http://141.218.60.56/~jnz1568/getInfo.php?workbook=10_05.xlsx&amp;sheet=U0&amp;row=1249&amp;col=7&amp;number=0.0585&amp;sourceID=14","0.0585")</f>
        <v>0.0585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HYPERLINK("http://141.218.60.56/~jnz1568/getInfo.php?workbook=10_05.xlsx&amp;sheet=U0&amp;row=1250&amp;col=6&amp;number=3.6&amp;sourceID=14","3.6")</f>
        <v>3.6</v>
      </c>
      <c r="G1250" s="4" t="str">
        <f>HYPERLINK("http://141.218.60.56/~jnz1568/getInfo.php?workbook=10_05.xlsx&amp;sheet=U0&amp;row=1250&amp;col=7&amp;number=0.058&amp;sourceID=14","0.058")</f>
        <v>0.058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HYPERLINK("http://141.218.60.56/~jnz1568/getInfo.php?workbook=10_05.xlsx&amp;sheet=U0&amp;row=1251&amp;col=6&amp;number=3.7&amp;sourceID=14","3.7")</f>
        <v>3.7</v>
      </c>
      <c r="G1251" s="4" t="str">
        <f>HYPERLINK("http://141.218.60.56/~jnz1568/getInfo.php?workbook=10_05.xlsx&amp;sheet=U0&amp;row=1251&amp;col=7&amp;number=0.0574&amp;sourceID=14","0.0574")</f>
        <v>0.0574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HYPERLINK("http://141.218.60.56/~jnz1568/getInfo.php?workbook=10_05.xlsx&amp;sheet=U0&amp;row=1252&amp;col=6&amp;number=3.8&amp;sourceID=14","3.8")</f>
        <v>3.8</v>
      </c>
      <c r="G1252" s="4" t="str">
        <f>HYPERLINK("http://141.218.60.56/~jnz1568/getInfo.php?workbook=10_05.xlsx&amp;sheet=U0&amp;row=1252&amp;col=7&amp;number=0.0566&amp;sourceID=14","0.0566")</f>
        <v>0.0566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HYPERLINK("http://141.218.60.56/~jnz1568/getInfo.php?workbook=10_05.xlsx&amp;sheet=U0&amp;row=1253&amp;col=6&amp;number=3.9&amp;sourceID=14","3.9")</f>
        <v>3.9</v>
      </c>
      <c r="G1253" s="4" t="str">
        <f>HYPERLINK("http://141.218.60.56/~jnz1568/getInfo.php?workbook=10_05.xlsx&amp;sheet=U0&amp;row=1253&amp;col=7&amp;number=0.0557&amp;sourceID=14","0.0557")</f>
        <v>0.0557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HYPERLINK("http://141.218.60.56/~jnz1568/getInfo.php?workbook=10_05.xlsx&amp;sheet=U0&amp;row=1254&amp;col=6&amp;number=4&amp;sourceID=14","4")</f>
        <v>4</v>
      </c>
      <c r="G1254" s="4" t="str">
        <f>HYPERLINK("http://141.218.60.56/~jnz1568/getInfo.php?workbook=10_05.xlsx&amp;sheet=U0&amp;row=1254&amp;col=7&amp;number=0.0546&amp;sourceID=14","0.0546")</f>
        <v>0.0546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HYPERLINK("http://141.218.60.56/~jnz1568/getInfo.php?workbook=10_05.xlsx&amp;sheet=U0&amp;row=1255&amp;col=6&amp;number=4.1&amp;sourceID=14","4.1")</f>
        <v>4.1</v>
      </c>
      <c r="G1255" s="4" t="str">
        <f>HYPERLINK("http://141.218.60.56/~jnz1568/getInfo.php?workbook=10_05.xlsx&amp;sheet=U0&amp;row=1255&amp;col=7&amp;number=0.0532&amp;sourceID=14","0.0532")</f>
        <v>0.0532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HYPERLINK("http://141.218.60.56/~jnz1568/getInfo.php?workbook=10_05.xlsx&amp;sheet=U0&amp;row=1256&amp;col=6&amp;number=4.2&amp;sourceID=14","4.2")</f>
        <v>4.2</v>
      </c>
      <c r="G1256" s="4" t="str">
        <f>HYPERLINK("http://141.218.60.56/~jnz1568/getInfo.php?workbook=10_05.xlsx&amp;sheet=U0&amp;row=1256&amp;col=7&amp;number=0.0516&amp;sourceID=14","0.0516")</f>
        <v>0.0516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HYPERLINK("http://141.218.60.56/~jnz1568/getInfo.php?workbook=10_05.xlsx&amp;sheet=U0&amp;row=1257&amp;col=6&amp;number=4.3&amp;sourceID=14","4.3")</f>
        <v>4.3</v>
      </c>
      <c r="G1257" s="4" t="str">
        <f>HYPERLINK("http://141.218.60.56/~jnz1568/getInfo.php?workbook=10_05.xlsx&amp;sheet=U0&amp;row=1257&amp;col=7&amp;number=0.0499&amp;sourceID=14","0.0499")</f>
        <v>0.0499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HYPERLINK("http://141.218.60.56/~jnz1568/getInfo.php?workbook=10_05.xlsx&amp;sheet=U0&amp;row=1258&amp;col=6&amp;number=4.4&amp;sourceID=14","4.4")</f>
        <v>4.4</v>
      </c>
      <c r="G1258" s="4" t="str">
        <f>HYPERLINK("http://141.218.60.56/~jnz1568/getInfo.php?workbook=10_05.xlsx&amp;sheet=U0&amp;row=1258&amp;col=7&amp;number=0.048&amp;sourceID=14","0.048")</f>
        <v>0.048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HYPERLINK("http://141.218.60.56/~jnz1568/getInfo.php?workbook=10_05.xlsx&amp;sheet=U0&amp;row=1259&amp;col=6&amp;number=4.5&amp;sourceID=14","4.5")</f>
        <v>4.5</v>
      </c>
      <c r="G1259" s="4" t="str">
        <f>HYPERLINK("http://141.218.60.56/~jnz1568/getInfo.php?workbook=10_05.xlsx&amp;sheet=U0&amp;row=1259&amp;col=7&amp;number=0.0461&amp;sourceID=14","0.0461")</f>
        <v>0.0461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HYPERLINK("http://141.218.60.56/~jnz1568/getInfo.php?workbook=10_05.xlsx&amp;sheet=U0&amp;row=1260&amp;col=6&amp;number=4.6&amp;sourceID=14","4.6")</f>
        <v>4.6</v>
      </c>
      <c r="G1260" s="4" t="str">
        <f>HYPERLINK("http://141.218.60.56/~jnz1568/getInfo.php?workbook=10_05.xlsx&amp;sheet=U0&amp;row=1260&amp;col=7&amp;number=0.0442&amp;sourceID=14","0.0442")</f>
        <v>0.0442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HYPERLINK("http://141.218.60.56/~jnz1568/getInfo.php?workbook=10_05.xlsx&amp;sheet=U0&amp;row=1261&amp;col=6&amp;number=4.7&amp;sourceID=14","4.7")</f>
        <v>4.7</v>
      </c>
      <c r="G1261" s="4" t="str">
        <f>HYPERLINK("http://141.218.60.56/~jnz1568/getInfo.php?workbook=10_05.xlsx&amp;sheet=U0&amp;row=1261&amp;col=7&amp;number=0.0424&amp;sourceID=14","0.0424")</f>
        <v>0.0424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HYPERLINK("http://141.218.60.56/~jnz1568/getInfo.php?workbook=10_05.xlsx&amp;sheet=U0&amp;row=1262&amp;col=6&amp;number=4.8&amp;sourceID=14","4.8")</f>
        <v>4.8</v>
      </c>
      <c r="G1262" s="4" t="str">
        <f>HYPERLINK("http://141.218.60.56/~jnz1568/getInfo.php?workbook=10_05.xlsx&amp;sheet=U0&amp;row=1262&amp;col=7&amp;number=0.0409&amp;sourceID=14","0.0409")</f>
        <v>0.0409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HYPERLINK("http://141.218.60.56/~jnz1568/getInfo.php?workbook=10_05.xlsx&amp;sheet=U0&amp;row=1263&amp;col=6&amp;number=4.9&amp;sourceID=14","4.9")</f>
        <v>4.9</v>
      </c>
      <c r="G1263" s="4" t="str">
        <f>HYPERLINK("http://141.218.60.56/~jnz1568/getInfo.php?workbook=10_05.xlsx&amp;sheet=U0&amp;row=1263&amp;col=7&amp;number=0.0395&amp;sourceID=14","0.0395")</f>
        <v>0.0395</v>
      </c>
    </row>
    <row r="1264" spans="1:7">
      <c r="A1264" s="3">
        <v>10</v>
      </c>
      <c r="B1264" s="3">
        <v>5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HYPERLINK("http://141.218.60.56/~jnz1568/getInfo.php?workbook=10_05.xlsx&amp;sheet=U0&amp;row=1264&amp;col=6&amp;number=3&amp;sourceID=14","3")</f>
        <v>3</v>
      </c>
      <c r="G1264" s="4" t="str">
        <f>HYPERLINK("http://141.218.60.56/~jnz1568/getInfo.php?workbook=10_05.xlsx&amp;sheet=U0&amp;row=1264&amp;col=7&amp;number=0.0682&amp;sourceID=14","0.0682")</f>
        <v>0.0682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HYPERLINK("http://141.218.60.56/~jnz1568/getInfo.php?workbook=10_05.xlsx&amp;sheet=U0&amp;row=1265&amp;col=6&amp;number=3.1&amp;sourceID=14","3.1")</f>
        <v>3.1</v>
      </c>
      <c r="G1265" s="4" t="str">
        <f>HYPERLINK("http://141.218.60.56/~jnz1568/getInfo.php?workbook=10_05.xlsx&amp;sheet=U0&amp;row=1265&amp;col=7&amp;number=0.0679&amp;sourceID=14","0.0679")</f>
        <v>0.0679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HYPERLINK("http://141.218.60.56/~jnz1568/getInfo.php?workbook=10_05.xlsx&amp;sheet=U0&amp;row=1266&amp;col=6&amp;number=3.2&amp;sourceID=14","3.2")</f>
        <v>3.2</v>
      </c>
      <c r="G1266" s="4" t="str">
        <f>HYPERLINK("http://141.218.60.56/~jnz1568/getInfo.php?workbook=10_05.xlsx&amp;sheet=U0&amp;row=1266&amp;col=7&amp;number=0.0675&amp;sourceID=14","0.0675")</f>
        <v>0.0675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HYPERLINK("http://141.218.60.56/~jnz1568/getInfo.php?workbook=10_05.xlsx&amp;sheet=U0&amp;row=1267&amp;col=6&amp;number=3.3&amp;sourceID=14","3.3")</f>
        <v>3.3</v>
      </c>
      <c r="G1267" s="4" t="str">
        <f>HYPERLINK("http://141.218.60.56/~jnz1568/getInfo.php?workbook=10_05.xlsx&amp;sheet=U0&amp;row=1267&amp;col=7&amp;number=0.067&amp;sourceID=14","0.067")</f>
        <v>0.067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HYPERLINK("http://141.218.60.56/~jnz1568/getInfo.php?workbook=10_05.xlsx&amp;sheet=U0&amp;row=1268&amp;col=6&amp;number=3.4&amp;sourceID=14","3.4")</f>
        <v>3.4</v>
      </c>
      <c r="G1268" s="4" t="str">
        <f>HYPERLINK("http://141.218.60.56/~jnz1568/getInfo.php?workbook=10_05.xlsx&amp;sheet=U0&amp;row=1268&amp;col=7&amp;number=0.0664&amp;sourceID=14","0.0664")</f>
        <v>0.0664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HYPERLINK("http://141.218.60.56/~jnz1568/getInfo.php?workbook=10_05.xlsx&amp;sheet=U0&amp;row=1269&amp;col=6&amp;number=3.5&amp;sourceID=14","3.5")</f>
        <v>3.5</v>
      </c>
      <c r="G1269" s="4" t="str">
        <f>HYPERLINK("http://141.218.60.56/~jnz1568/getInfo.php?workbook=10_05.xlsx&amp;sheet=U0&amp;row=1269&amp;col=7&amp;number=0.0657&amp;sourceID=14","0.0657")</f>
        <v>0.0657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HYPERLINK("http://141.218.60.56/~jnz1568/getInfo.php?workbook=10_05.xlsx&amp;sheet=U0&amp;row=1270&amp;col=6&amp;number=3.6&amp;sourceID=14","3.6")</f>
        <v>3.6</v>
      </c>
      <c r="G1270" s="4" t="str">
        <f>HYPERLINK("http://141.218.60.56/~jnz1568/getInfo.php?workbook=10_05.xlsx&amp;sheet=U0&amp;row=1270&amp;col=7&amp;number=0.0647&amp;sourceID=14","0.0647")</f>
        <v>0.0647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HYPERLINK("http://141.218.60.56/~jnz1568/getInfo.php?workbook=10_05.xlsx&amp;sheet=U0&amp;row=1271&amp;col=6&amp;number=3.7&amp;sourceID=14","3.7")</f>
        <v>3.7</v>
      </c>
      <c r="G1271" s="4" t="str">
        <f>HYPERLINK("http://141.218.60.56/~jnz1568/getInfo.php?workbook=10_05.xlsx&amp;sheet=U0&amp;row=1271&amp;col=7&amp;number=0.0636&amp;sourceID=14","0.0636")</f>
        <v>0.0636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HYPERLINK("http://141.218.60.56/~jnz1568/getInfo.php?workbook=10_05.xlsx&amp;sheet=U0&amp;row=1272&amp;col=6&amp;number=3.8&amp;sourceID=14","3.8")</f>
        <v>3.8</v>
      </c>
      <c r="G1272" s="4" t="str">
        <f>HYPERLINK("http://141.218.60.56/~jnz1568/getInfo.php?workbook=10_05.xlsx&amp;sheet=U0&amp;row=1272&amp;col=7&amp;number=0.0622&amp;sourceID=14","0.0622")</f>
        <v>0.0622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HYPERLINK("http://141.218.60.56/~jnz1568/getInfo.php?workbook=10_05.xlsx&amp;sheet=U0&amp;row=1273&amp;col=6&amp;number=3.9&amp;sourceID=14","3.9")</f>
        <v>3.9</v>
      </c>
      <c r="G1273" s="4" t="str">
        <f>HYPERLINK("http://141.218.60.56/~jnz1568/getInfo.php?workbook=10_05.xlsx&amp;sheet=U0&amp;row=1273&amp;col=7&amp;number=0.0605&amp;sourceID=14","0.0605")</f>
        <v>0.0605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HYPERLINK("http://141.218.60.56/~jnz1568/getInfo.php?workbook=10_05.xlsx&amp;sheet=U0&amp;row=1274&amp;col=6&amp;number=4&amp;sourceID=14","4")</f>
        <v>4</v>
      </c>
      <c r="G1274" s="4" t="str">
        <f>HYPERLINK("http://141.218.60.56/~jnz1568/getInfo.php?workbook=10_05.xlsx&amp;sheet=U0&amp;row=1274&amp;col=7&amp;number=0.0584&amp;sourceID=14","0.0584")</f>
        <v>0.0584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HYPERLINK("http://141.218.60.56/~jnz1568/getInfo.php?workbook=10_05.xlsx&amp;sheet=U0&amp;row=1275&amp;col=6&amp;number=4.1&amp;sourceID=14","4.1")</f>
        <v>4.1</v>
      </c>
      <c r="G1275" s="4" t="str">
        <f>HYPERLINK("http://141.218.60.56/~jnz1568/getInfo.php?workbook=10_05.xlsx&amp;sheet=U0&amp;row=1275&amp;col=7&amp;number=0.056&amp;sourceID=14","0.056")</f>
        <v>0.056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HYPERLINK("http://141.218.60.56/~jnz1568/getInfo.php?workbook=10_05.xlsx&amp;sheet=U0&amp;row=1276&amp;col=6&amp;number=4.2&amp;sourceID=14","4.2")</f>
        <v>4.2</v>
      </c>
      <c r="G1276" s="4" t="str">
        <f>HYPERLINK("http://141.218.60.56/~jnz1568/getInfo.php?workbook=10_05.xlsx&amp;sheet=U0&amp;row=1276&amp;col=7&amp;number=0.0532&amp;sourceID=14","0.0532")</f>
        <v>0.0532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HYPERLINK("http://141.218.60.56/~jnz1568/getInfo.php?workbook=10_05.xlsx&amp;sheet=U0&amp;row=1277&amp;col=6&amp;number=4.3&amp;sourceID=14","4.3")</f>
        <v>4.3</v>
      </c>
      <c r="G1277" s="4" t="str">
        <f>HYPERLINK("http://141.218.60.56/~jnz1568/getInfo.php?workbook=10_05.xlsx&amp;sheet=U0&amp;row=1277&amp;col=7&amp;number=0.0502&amp;sourceID=14","0.0502")</f>
        <v>0.0502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HYPERLINK("http://141.218.60.56/~jnz1568/getInfo.php?workbook=10_05.xlsx&amp;sheet=U0&amp;row=1278&amp;col=6&amp;number=4.4&amp;sourceID=14","4.4")</f>
        <v>4.4</v>
      </c>
      <c r="G1278" s="4" t="str">
        <f>HYPERLINK("http://141.218.60.56/~jnz1568/getInfo.php?workbook=10_05.xlsx&amp;sheet=U0&amp;row=1278&amp;col=7&amp;number=0.0471&amp;sourceID=14","0.0471")</f>
        <v>0.0471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HYPERLINK("http://141.218.60.56/~jnz1568/getInfo.php?workbook=10_05.xlsx&amp;sheet=U0&amp;row=1279&amp;col=6&amp;number=4.5&amp;sourceID=14","4.5")</f>
        <v>4.5</v>
      </c>
      <c r="G1279" s="4" t="str">
        <f>HYPERLINK("http://141.218.60.56/~jnz1568/getInfo.php?workbook=10_05.xlsx&amp;sheet=U0&amp;row=1279&amp;col=7&amp;number=0.0441&amp;sourceID=14","0.0441")</f>
        <v>0.0441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HYPERLINK("http://141.218.60.56/~jnz1568/getInfo.php?workbook=10_05.xlsx&amp;sheet=U0&amp;row=1280&amp;col=6&amp;number=4.6&amp;sourceID=14","4.6")</f>
        <v>4.6</v>
      </c>
      <c r="G1280" s="4" t="str">
        <f>HYPERLINK("http://141.218.60.56/~jnz1568/getInfo.php?workbook=10_05.xlsx&amp;sheet=U0&amp;row=1280&amp;col=7&amp;number=0.0414&amp;sourceID=14","0.0414")</f>
        <v>0.0414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HYPERLINK("http://141.218.60.56/~jnz1568/getInfo.php?workbook=10_05.xlsx&amp;sheet=U0&amp;row=1281&amp;col=6&amp;number=4.7&amp;sourceID=14","4.7")</f>
        <v>4.7</v>
      </c>
      <c r="G1281" s="4" t="str">
        <f>HYPERLINK("http://141.218.60.56/~jnz1568/getInfo.php?workbook=10_05.xlsx&amp;sheet=U0&amp;row=1281&amp;col=7&amp;number=0.0388&amp;sourceID=14","0.0388")</f>
        <v>0.0388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HYPERLINK("http://141.218.60.56/~jnz1568/getInfo.php?workbook=10_05.xlsx&amp;sheet=U0&amp;row=1282&amp;col=6&amp;number=4.8&amp;sourceID=14","4.8")</f>
        <v>4.8</v>
      </c>
      <c r="G1282" s="4" t="str">
        <f>HYPERLINK("http://141.218.60.56/~jnz1568/getInfo.php?workbook=10_05.xlsx&amp;sheet=U0&amp;row=1282&amp;col=7&amp;number=0.0364&amp;sourceID=14","0.0364")</f>
        <v>0.0364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HYPERLINK("http://141.218.60.56/~jnz1568/getInfo.php?workbook=10_05.xlsx&amp;sheet=U0&amp;row=1283&amp;col=6&amp;number=4.9&amp;sourceID=14","4.9")</f>
        <v>4.9</v>
      </c>
      <c r="G1283" s="4" t="str">
        <f>HYPERLINK("http://141.218.60.56/~jnz1568/getInfo.php?workbook=10_05.xlsx&amp;sheet=U0&amp;row=1283&amp;col=7&amp;number=0.0341&amp;sourceID=14","0.0341")</f>
        <v>0.0341</v>
      </c>
    </row>
    <row r="1284" spans="1:7">
      <c r="A1284" s="3">
        <v>10</v>
      </c>
      <c r="B1284" s="3">
        <v>5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HYPERLINK("http://141.218.60.56/~jnz1568/getInfo.php?workbook=10_05.xlsx&amp;sheet=U0&amp;row=1284&amp;col=6&amp;number=3&amp;sourceID=14","3")</f>
        <v>3</v>
      </c>
      <c r="G1284" s="4" t="str">
        <f>HYPERLINK("http://141.218.60.56/~jnz1568/getInfo.php?workbook=10_05.xlsx&amp;sheet=U0&amp;row=1284&amp;col=7&amp;number=0.0985&amp;sourceID=14","0.0985")</f>
        <v>0.0985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HYPERLINK("http://141.218.60.56/~jnz1568/getInfo.php?workbook=10_05.xlsx&amp;sheet=U0&amp;row=1285&amp;col=6&amp;number=3.1&amp;sourceID=14","3.1")</f>
        <v>3.1</v>
      </c>
      <c r="G1285" s="4" t="str">
        <f>HYPERLINK("http://141.218.60.56/~jnz1568/getInfo.php?workbook=10_05.xlsx&amp;sheet=U0&amp;row=1285&amp;col=7&amp;number=0.0984&amp;sourceID=14","0.0984")</f>
        <v>0.0984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HYPERLINK("http://141.218.60.56/~jnz1568/getInfo.php?workbook=10_05.xlsx&amp;sheet=U0&amp;row=1286&amp;col=6&amp;number=3.2&amp;sourceID=14","3.2")</f>
        <v>3.2</v>
      </c>
      <c r="G1286" s="4" t="str">
        <f>HYPERLINK("http://141.218.60.56/~jnz1568/getInfo.php?workbook=10_05.xlsx&amp;sheet=U0&amp;row=1286&amp;col=7&amp;number=0.0982&amp;sourceID=14","0.0982")</f>
        <v>0.0982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HYPERLINK("http://141.218.60.56/~jnz1568/getInfo.php?workbook=10_05.xlsx&amp;sheet=U0&amp;row=1287&amp;col=6&amp;number=3.3&amp;sourceID=14","3.3")</f>
        <v>3.3</v>
      </c>
      <c r="G1287" s="4" t="str">
        <f>HYPERLINK("http://141.218.60.56/~jnz1568/getInfo.php?workbook=10_05.xlsx&amp;sheet=U0&amp;row=1287&amp;col=7&amp;number=0.0979&amp;sourceID=14","0.0979")</f>
        <v>0.0979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HYPERLINK("http://141.218.60.56/~jnz1568/getInfo.php?workbook=10_05.xlsx&amp;sheet=U0&amp;row=1288&amp;col=6&amp;number=3.4&amp;sourceID=14","3.4")</f>
        <v>3.4</v>
      </c>
      <c r="G1288" s="4" t="str">
        <f>HYPERLINK("http://141.218.60.56/~jnz1568/getInfo.php?workbook=10_05.xlsx&amp;sheet=U0&amp;row=1288&amp;col=7&amp;number=0.0976&amp;sourceID=14","0.0976")</f>
        <v>0.0976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HYPERLINK("http://141.218.60.56/~jnz1568/getInfo.php?workbook=10_05.xlsx&amp;sheet=U0&amp;row=1289&amp;col=6&amp;number=3.5&amp;sourceID=14","3.5")</f>
        <v>3.5</v>
      </c>
      <c r="G1289" s="4" t="str">
        <f>HYPERLINK("http://141.218.60.56/~jnz1568/getInfo.php?workbook=10_05.xlsx&amp;sheet=U0&amp;row=1289&amp;col=7&amp;number=0.0973&amp;sourceID=14","0.0973")</f>
        <v>0.0973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HYPERLINK("http://141.218.60.56/~jnz1568/getInfo.php?workbook=10_05.xlsx&amp;sheet=U0&amp;row=1290&amp;col=6&amp;number=3.6&amp;sourceID=14","3.6")</f>
        <v>3.6</v>
      </c>
      <c r="G1290" s="4" t="str">
        <f>HYPERLINK("http://141.218.60.56/~jnz1568/getInfo.php?workbook=10_05.xlsx&amp;sheet=U0&amp;row=1290&amp;col=7&amp;number=0.0968&amp;sourceID=14","0.0968")</f>
        <v>0.0968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HYPERLINK("http://141.218.60.56/~jnz1568/getInfo.php?workbook=10_05.xlsx&amp;sheet=U0&amp;row=1291&amp;col=6&amp;number=3.7&amp;sourceID=14","3.7")</f>
        <v>3.7</v>
      </c>
      <c r="G1291" s="4" t="str">
        <f>HYPERLINK("http://141.218.60.56/~jnz1568/getInfo.php?workbook=10_05.xlsx&amp;sheet=U0&amp;row=1291&amp;col=7&amp;number=0.0962&amp;sourceID=14","0.0962")</f>
        <v>0.0962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HYPERLINK("http://141.218.60.56/~jnz1568/getInfo.php?workbook=10_05.xlsx&amp;sheet=U0&amp;row=1292&amp;col=6&amp;number=3.8&amp;sourceID=14","3.8")</f>
        <v>3.8</v>
      </c>
      <c r="G1292" s="4" t="str">
        <f>HYPERLINK("http://141.218.60.56/~jnz1568/getInfo.php?workbook=10_05.xlsx&amp;sheet=U0&amp;row=1292&amp;col=7&amp;number=0.0956&amp;sourceID=14","0.0956")</f>
        <v>0.0956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HYPERLINK("http://141.218.60.56/~jnz1568/getInfo.php?workbook=10_05.xlsx&amp;sheet=U0&amp;row=1293&amp;col=6&amp;number=3.9&amp;sourceID=14","3.9")</f>
        <v>3.9</v>
      </c>
      <c r="G1293" s="4" t="str">
        <f>HYPERLINK("http://141.218.60.56/~jnz1568/getInfo.php?workbook=10_05.xlsx&amp;sheet=U0&amp;row=1293&amp;col=7&amp;number=0.0948&amp;sourceID=14","0.0948")</f>
        <v>0.0948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HYPERLINK("http://141.218.60.56/~jnz1568/getInfo.php?workbook=10_05.xlsx&amp;sheet=U0&amp;row=1294&amp;col=6&amp;number=4&amp;sourceID=14","4")</f>
        <v>4</v>
      </c>
      <c r="G1294" s="4" t="str">
        <f>HYPERLINK("http://141.218.60.56/~jnz1568/getInfo.php?workbook=10_05.xlsx&amp;sheet=U0&amp;row=1294&amp;col=7&amp;number=0.0939&amp;sourceID=14","0.0939")</f>
        <v>0.0939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HYPERLINK("http://141.218.60.56/~jnz1568/getInfo.php?workbook=10_05.xlsx&amp;sheet=U0&amp;row=1295&amp;col=6&amp;number=4.1&amp;sourceID=14","4.1")</f>
        <v>4.1</v>
      </c>
      <c r="G1295" s="4" t="str">
        <f>HYPERLINK("http://141.218.60.56/~jnz1568/getInfo.php?workbook=10_05.xlsx&amp;sheet=U0&amp;row=1295&amp;col=7&amp;number=0.0929&amp;sourceID=14","0.0929")</f>
        <v>0.0929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HYPERLINK("http://141.218.60.56/~jnz1568/getInfo.php?workbook=10_05.xlsx&amp;sheet=U0&amp;row=1296&amp;col=6&amp;number=4.2&amp;sourceID=14","4.2")</f>
        <v>4.2</v>
      </c>
      <c r="G1296" s="4" t="str">
        <f>HYPERLINK("http://141.218.60.56/~jnz1568/getInfo.php?workbook=10_05.xlsx&amp;sheet=U0&amp;row=1296&amp;col=7&amp;number=0.0919&amp;sourceID=14","0.0919")</f>
        <v>0.0919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HYPERLINK("http://141.218.60.56/~jnz1568/getInfo.php?workbook=10_05.xlsx&amp;sheet=U0&amp;row=1297&amp;col=6&amp;number=4.3&amp;sourceID=14","4.3")</f>
        <v>4.3</v>
      </c>
      <c r="G1297" s="4" t="str">
        <f>HYPERLINK("http://141.218.60.56/~jnz1568/getInfo.php?workbook=10_05.xlsx&amp;sheet=U0&amp;row=1297&amp;col=7&amp;number=0.0911&amp;sourceID=14","0.0911")</f>
        <v>0.0911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HYPERLINK("http://141.218.60.56/~jnz1568/getInfo.php?workbook=10_05.xlsx&amp;sheet=U0&amp;row=1298&amp;col=6&amp;number=4.4&amp;sourceID=14","4.4")</f>
        <v>4.4</v>
      </c>
      <c r="G1298" s="4" t="str">
        <f>HYPERLINK("http://141.218.60.56/~jnz1568/getInfo.php?workbook=10_05.xlsx&amp;sheet=U0&amp;row=1298&amp;col=7&amp;number=0.0905&amp;sourceID=14","0.0905")</f>
        <v>0.0905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HYPERLINK("http://141.218.60.56/~jnz1568/getInfo.php?workbook=10_05.xlsx&amp;sheet=U0&amp;row=1299&amp;col=6&amp;number=4.5&amp;sourceID=14","4.5")</f>
        <v>4.5</v>
      </c>
      <c r="G1299" s="4" t="str">
        <f>HYPERLINK("http://141.218.60.56/~jnz1568/getInfo.php?workbook=10_05.xlsx&amp;sheet=U0&amp;row=1299&amp;col=7&amp;number=0.0903&amp;sourceID=14","0.0903")</f>
        <v>0.0903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HYPERLINK("http://141.218.60.56/~jnz1568/getInfo.php?workbook=10_05.xlsx&amp;sheet=U0&amp;row=1300&amp;col=6&amp;number=4.6&amp;sourceID=14","4.6")</f>
        <v>4.6</v>
      </c>
      <c r="G1300" s="4" t="str">
        <f>HYPERLINK("http://141.218.60.56/~jnz1568/getInfo.php?workbook=10_05.xlsx&amp;sheet=U0&amp;row=1300&amp;col=7&amp;number=0.0903&amp;sourceID=14","0.0903")</f>
        <v>0.0903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HYPERLINK("http://141.218.60.56/~jnz1568/getInfo.php?workbook=10_05.xlsx&amp;sheet=U0&amp;row=1301&amp;col=6&amp;number=4.7&amp;sourceID=14","4.7")</f>
        <v>4.7</v>
      </c>
      <c r="G1301" s="4" t="str">
        <f>HYPERLINK("http://141.218.60.56/~jnz1568/getInfo.php?workbook=10_05.xlsx&amp;sheet=U0&amp;row=1301&amp;col=7&amp;number=0.0903&amp;sourceID=14","0.0903")</f>
        <v>0.0903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HYPERLINK("http://141.218.60.56/~jnz1568/getInfo.php?workbook=10_05.xlsx&amp;sheet=U0&amp;row=1302&amp;col=6&amp;number=4.8&amp;sourceID=14","4.8")</f>
        <v>4.8</v>
      </c>
      <c r="G1302" s="4" t="str">
        <f>HYPERLINK("http://141.218.60.56/~jnz1568/getInfo.php?workbook=10_05.xlsx&amp;sheet=U0&amp;row=1302&amp;col=7&amp;number=0.0902&amp;sourceID=14","0.0902")</f>
        <v>0.0902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HYPERLINK("http://141.218.60.56/~jnz1568/getInfo.php?workbook=10_05.xlsx&amp;sheet=U0&amp;row=1303&amp;col=6&amp;number=4.9&amp;sourceID=14","4.9")</f>
        <v>4.9</v>
      </c>
      <c r="G1303" s="4" t="str">
        <f>HYPERLINK("http://141.218.60.56/~jnz1568/getInfo.php?workbook=10_05.xlsx&amp;sheet=U0&amp;row=1303&amp;col=7&amp;number=0.0905&amp;sourceID=14","0.0905")</f>
        <v>0.0905</v>
      </c>
    </row>
    <row r="1304" spans="1:7">
      <c r="A1304" s="3">
        <v>10</v>
      </c>
      <c r="B1304" s="3">
        <v>5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HYPERLINK("http://141.218.60.56/~jnz1568/getInfo.php?workbook=10_05.xlsx&amp;sheet=U0&amp;row=1304&amp;col=6&amp;number=3&amp;sourceID=14","3")</f>
        <v>3</v>
      </c>
      <c r="G1304" s="4" t="str">
        <f>HYPERLINK("http://141.218.60.56/~jnz1568/getInfo.php?workbook=10_05.xlsx&amp;sheet=U0&amp;row=1304&amp;col=7&amp;number=0.0436&amp;sourceID=14","0.0436")</f>
        <v>0.0436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HYPERLINK("http://141.218.60.56/~jnz1568/getInfo.php?workbook=10_05.xlsx&amp;sheet=U0&amp;row=1305&amp;col=6&amp;number=3.1&amp;sourceID=14","3.1")</f>
        <v>3.1</v>
      </c>
      <c r="G1305" s="4" t="str">
        <f>HYPERLINK("http://141.218.60.56/~jnz1568/getInfo.php?workbook=10_05.xlsx&amp;sheet=U0&amp;row=1305&amp;col=7&amp;number=0.0434&amp;sourceID=14","0.0434")</f>
        <v>0.0434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HYPERLINK("http://141.218.60.56/~jnz1568/getInfo.php?workbook=10_05.xlsx&amp;sheet=U0&amp;row=1306&amp;col=6&amp;number=3.2&amp;sourceID=14","3.2")</f>
        <v>3.2</v>
      </c>
      <c r="G1306" s="4" t="str">
        <f>HYPERLINK("http://141.218.60.56/~jnz1568/getInfo.php?workbook=10_05.xlsx&amp;sheet=U0&amp;row=1306&amp;col=7&amp;number=0.0433&amp;sourceID=14","0.0433")</f>
        <v>0.0433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HYPERLINK("http://141.218.60.56/~jnz1568/getInfo.php?workbook=10_05.xlsx&amp;sheet=U0&amp;row=1307&amp;col=6&amp;number=3.3&amp;sourceID=14","3.3")</f>
        <v>3.3</v>
      </c>
      <c r="G1307" s="4" t="str">
        <f>HYPERLINK("http://141.218.60.56/~jnz1568/getInfo.php?workbook=10_05.xlsx&amp;sheet=U0&amp;row=1307&amp;col=7&amp;number=0.0432&amp;sourceID=14","0.0432")</f>
        <v>0.0432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HYPERLINK("http://141.218.60.56/~jnz1568/getInfo.php?workbook=10_05.xlsx&amp;sheet=U0&amp;row=1308&amp;col=6&amp;number=3.4&amp;sourceID=14","3.4")</f>
        <v>3.4</v>
      </c>
      <c r="G1308" s="4" t="str">
        <f>HYPERLINK("http://141.218.60.56/~jnz1568/getInfo.php?workbook=10_05.xlsx&amp;sheet=U0&amp;row=1308&amp;col=7&amp;number=0.043&amp;sourceID=14","0.043")</f>
        <v>0.043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HYPERLINK("http://141.218.60.56/~jnz1568/getInfo.php?workbook=10_05.xlsx&amp;sheet=U0&amp;row=1309&amp;col=6&amp;number=3.5&amp;sourceID=14","3.5")</f>
        <v>3.5</v>
      </c>
      <c r="G1309" s="4" t="str">
        <f>HYPERLINK("http://141.218.60.56/~jnz1568/getInfo.php?workbook=10_05.xlsx&amp;sheet=U0&amp;row=1309&amp;col=7&amp;number=0.0427&amp;sourceID=14","0.0427")</f>
        <v>0.0427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HYPERLINK("http://141.218.60.56/~jnz1568/getInfo.php?workbook=10_05.xlsx&amp;sheet=U0&amp;row=1310&amp;col=6&amp;number=3.6&amp;sourceID=14","3.6")</f>
        <v>3.6</v>
      </c>
      <c r="G1310" s="4" t="str">
        <f>HYPERLINK("http://141.218.60.56/~jnz1568/getInfo.php?workbook=10_05.xlsx&amp;sheet=U0&amp;row=1310&amp;col=7&amp;number=0.0424&amp;sourceID=14","0.0424")</f>
        <v>0.0424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HYPERLINK("http://141.218.60.56/~jnz1568/getInfo.php?workbook=10_05.xlsx&amp;sheet=U0&amp;row=1311&amp;col=6&amp;number=3.7&amp;sourceID=14","3.7")</f>
        <v>3.7</v>
      </c>
      <c r="G1311" s="4" t="str">
        <f>HYPERLINK("http://141.218.60.56/~jnz1568/getInfo.php?workbook=10_05.xlsx&amp;sheet=U0&amp;row=1311&amp;col=7&amp;number=0.0421&amp;sourceID=14","0.0421")</f>
        <v>0.0421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HYPERLINK("http://141.218.60.56/~jnz1568/getInfo.php?workbook=10_05.xlsx&amp;sheet=U0&amp;row=1312&amp;col=6&amp;number=3.8&amp;sourceID=14","3.8")</f>
        <v>3.8</v>
      </c>
      <c r="G1312" s="4" t="str">
        <f>HYPERLINK("http://141.218.60.56/~jnz1568/getInfo.php?workbook=10_05.xlsx&amp;sheet=U0&amp;row=1312&amp;col=7&amp;number=0.0416&amp;sourceID=14","0.0416")</f>
        <v>0.0416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HYPERLINK("http://141.218.60.56/~jnz1568/getInfo.php?workbook=10_05.xlsx&amp;sheet=U0&amp;row=1313&amp;col=6&amp;number=3.9&amp;sourceID=14","3.9")</f>
        <v>3.9</v>
      </c>
      <c r="G1313" s="4" t="str">
        <f>HYPERLINK("http://141.218.60.56/~jnz1568/getInfo.php?workbook=10_05.xlsx&amp;sheet=U0&amp;row=1313&amp;col=7&amp;number=0.0411&amp;sourceID=14","0.0411")</f>
        <v>0.0411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HYPERLINK("http://141.218.60.56/~jnz1568/getInfo.php?workbook=10_05.xlsx&amp;sheet=U0&amp;row=1314&amp;col=6&amp;number=4&amp;sourceID=14","4")</f>
        <v>4</v>
      </c>
      <c r="G1314" s="4" t="str">
        <f>HYPERLINK("http://141.218.60.56/~jnz1568/getInfo.php?workbook=10_05.xlsx&amp;sheet=U0&amp;row=1314&amp;col=7&amp;number=0.0405&amp;sourceID=14","0.0405")</f>
        <v>0.0405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HYPERLINK("http://141.218.60.56/~jnz1568/getInfo.php?workbook=10_05.xlsx&amp;sheet=U0&amp;row=1315&amp;col=6&amp;number=4.1&amp;sourceID=14","4.1")</f>
        <v>4.1</v>
      </c>
      <c r="G1315" s="4" t="str">
        <f>HYPERLINK("http://141.218.60.56/~jnz1568/getInfo.php?workbook=10_05.xlsx&amp;sheet=U0&amp;row=1315&amp;col=7&amp;number=0.0399&amp;sourceID=14","0.0399")</f>
        <v>0.0399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HYPERLINK("http://141.218.60.56/~jnz1568/getInfo.php?workbook=10_05.xlsx&amp;sheet=U0&amp;row=1316&amp;col=6&amp;number=4.2&amp;sourceID=14","4.2")</f>
        <v>4.2</v>
      </c>
      <c r="G1316" s="4" t="str">
        <f>HYPERLINK("http://141.218.60.56/~jnz1568/getInfo.php?workbook=10_05.xlsx&amp;sheet=U0&amp;row=1316&amp;col=7&amp;number=0.0392&amp;sourceID=14","0.0392")</f>
        <v>0.0392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HYPERLINK("http://141.218.60.56/~jnz1568/getInfo.php?workbook=10_05.xlsx&amp;sheet=U0&amp;row=1317&amp;col=6&amp;number=4.3&amp;sourceID=14","4.3")</f>
        <v>4.3</v>
      </c>
      <c r="G1317" s="4" t="str">
        <f>HYPERLINK("http://141.218.60.56/~jnz1568/getInfo.php?workbook=10_05.xlsx&amp;sheet=U0&amp;row=1317&amp;col=7&amp;number=0.0387&amp;sourceID=14","0.0387")</f>
        <v>0.0387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HYPERLINK("http://141.218.60.56/~jnz1568/getInfo.php?workbook=10_05.xlsx&amp;sheet=U0&amp;row=1318&amp;col=6&amp;number=4.4&amp;sourceID=14","4.4")</f>
        <v>4.4</v>
      </c>
      <c r="G1318" s="4" t="str">
        <f>HYPERLINK("http://141.218.60.56/~jnz1568/getInfo.php?workbook=10_05.xlsx&amp;sheet=U0&amp;row=1318&amp;col=7&amp;number=0.0384&amp;sourceID=14","0.0384")</f>
        <v>0.0384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HYPERLINK("http://141.218.60.56/~jnz1568/getInfo.php?workbook=10_05.xlsx&amp;sheet=U0&amp;row=1319&amp;col=6&amp;number=4.5&amp;sourceID=14","4.5")</f>
        <v>4.5</v>
      </c>
      <c r="G1319" s="4" t="str">
        <f>HYPERLINK("http://141.218.60.56/~jnz1568/getInfo.php?workbook=10_05.xlsx&amp;sheet=U0&amp;row=1319&amp;col=7&amp;number=0.0382&amp;sourceID=14","0.0382")</f>
        <v>0.0382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HYPERLINK("http://141.218.60.56/~jnz1568/getInfo.php?workbook=10_05.xlsx&amp;sheet=U0&amp;row=1320&amp;col=6&amp;number=4.6&amp;sourceID=14","4.6")</f>
        <v>4.6</v>
      </c>
      <c r="G1320" s="4" t="str">
        <f>HYPERLINK("http://141.218.60.56/~jnz1568/getInfo.php?workbook=10_05.xlsx&amp;sheet=U0&amp;row=1320&amp;col=7&amp;number=0.038&amp;sourceID=14","0.038")</f>
        <v>0.038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HYPERLINK("http://141.218.60.56/~jnz1568/getInfo.php?workbook=10_05.xlsx&amp;sheet=U0&amp;row=1321&amp;col=6&amp;number=4.7&amp;sourceID=14","4.7")</f>
        <v>4.7</v>
      </c>
      <c r="G1321" s="4" t="str">
        <f>HYPERLINK("http://141.218.60.56/~jnz1568/getInfo.php?workbook=10_05.xlsx&amp;sheet=U0&amp;row=1321&amp;col=7&amp;number=0.0375&amp;sourceID=14","0.0375")</f>
        <v>0.0375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HYPERLINK("http://141.218.60.56/~jnz1568/getInfo.php?workbook=10_05.xlsx&amp;sheet=U0&amp;row=1322&amp;col=6&amp;number=4.8&amp;sourceID=14","4.8")</f>
        <v>4.8</v>
      </c>
      <c r="G1322" s="4" t="str">
        <f>HYPERLINK("http://141.218.60.56/~jnz1568/getInfo.php?workbook=10_05.xlsx&amp;sheet=U0&amp;row=1322&amp;col=7&amp;number=0.0367&amp;sourceID=14","0.0367")</f>
        <v>0.0367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HYPERLINK("http://141.218.60.56/~jnz1568/getInfo.php?workbook=10_05.xlsx&amp;sheet=U0&amp;row=1323&amp;col=6&amp;number=4.9&amp;sourceID=14","4.9")</f>
        <v>4.9</v>
      </c>
      <c r="G1323" s="4" t="str">
        <f>HYPERLINK("http://141.218.60.56/~jnz1568/getInfo.php?workbook=10_05.xlsx&amp;sheet=U0&amp;row=1323&amp;col=7&amp;number=0.0358&amp;sourceID=14","0.0358")</f>
        <v>0.0358</v>
      </c>
    </row>
    <row r="1324" spans="1:7">
      <c r="A1324" s="3">
        <v>10</v>
      </c>
      <c r="B1324" s="3">
        <v>5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HYPERLINK("http://141.218.60.56/~jnz1568/getInfo.php?workbook=10_05.xlsx&amp;sheet=U0&amp;row=1324&amp;col=6&amp;number=3&amp;sourceID=14","3")</f>
        <v>3</v>
      </c>
      <c r="G1324" s="4" t="str">
        <f>HYPERLINK("http://141.218.60.56/~jnz1568/getInfo.php?workbook=10_05.xlsx&amp;sheet=U0&amp;row=1324&amp;col=7&amp;number=0.0287&amp;sourceID=14","0.0287")</f>
        <v>0.0287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HYPERLINK("http://141.218.60.56/~jnz1568/getInfo.php?workbook=10_05.xlsx&amp;sheet=U0&amp;row=1325&amp;col=6&amp;number=3.1&amp;sourceID=14","3.1")</f>
        <v>3.1</v>
      </c>
      <c r="G1325" s="4" t="str">
        <f>HYPERLINK("http://141.218.60.56/~jnz1568/getInfo.php?workbook=10_05.xlsx&amp;sheet=U0&amp;row=1325&amp;col=7&amp;number=0.0287&amp;sourceID=14","0.0287")</f>
        <v>0.0287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HYPERLINK("http://141.218.60.56/~jnz1568/getInfo.php?workbook=10_05.xlsx&amp;sheet=U0&amp;row=1326&amp;col=6&amp;number=3.2&amp;sourceID=14","3.2")</f>
        <v>3.2</v>
      </c>
      <c r="G1326" s="4" t="str">
        <f>HYPERLINK("http://141.218.60.56/~jnz1568/getInfo.php?workbook=10_05.xlsx&amp;sheet=U0&amp;row=1326&amp;col=7&amp;number=0.0287&amp;sourceID=14","0.0287")</f>
        <v>0.0287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HYPERLINK("http://141.218.60.56/~jnz1568/getInfo.php?workbook=10_05.xlsx&amp;sheet=U0&amp;row=1327&amp;col=6&amp;number=3.3&amp;sourceID=14","3.3")</f>
        <v>3.3</v>
      </c>
      <c r="G1327" s="4" t="str">
        <f>HYPERLINK("http://141.218.60.56/~jnz1568/getInfo.php?workbook=10_05.xlsx&amp;sheet=U0&amp;row=1327&amp;col=7&amp;number=0.0288&amp;sourceID=14","0.0288")</f>
        <v>0.0288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HYPERLINK("http://141.218.60.56/~jnz1568/getInfo.php?workbook=10_05.xlsx&amp;sheet=U0&amp;row=1328&amp;col=6&amp;number=3.4&amp;sourceID=14","3.4")</f>
        <v>3.4</v>
      </c>
      <c r="G1328" s="4" t="str">
        <f>HYPERLINK("http://141.218.60.56/~jnz1568/getInfo.php?workbook=10_05.xlsx&amp;sheet=U0&amp;row=1328&amp;col=7&amp;number=0.0288&amp;sourceID=14","0.0288")</f>
        <v>0.0288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HYPERLINK("http://141.218.60.56/~jnz1568/getInfo.php?workbook=10_05.xlsx&amp;sheet=U0&amp;row=1329&amp;col=6&amp;number=3.5&amp;sourceID=14","3.5")</f>
        <v>3.5</v>
      </c>
      <c r="G1329" s="4" t="str">
        <f>HYPERLINK("http://141.218.60.56/~jnz1568/getInfo.php?workbook=10_05.xlsx&amp;sheet=U0&amp;row=1329&amp;col=7&amp;number=0.0289&amp;sourceID=14","0.0289")</f>
        <v>0.0289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HYPERLINK("http://141.218.60.56/~jnz1568/getInfo.php?workbook=10_05.xlsx&amp;sheet=U0&amp;row=1330&amp;col=6&amp;number=3.6&amp;sourceID=14","3.6")</f>
        <v>3.6</v>
      </c>
      <c r="G1330" s="4" t="str">
        <f>HYPERLINK("http://141.218.60.56/~jnz1568/getInfo.php?workbook=10_05.xlsx&amp;sheet=U0&amp;row=1330&amp;col=7&amp;number=0.029&amp;sourceID=14","0.029")</f>
        <v>0.029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HYPERLINK("http://141.218.60.56/~jnz1568/getInfo.php?workbook=10_05.xlsx&amp;sheet=U0&amp;row=1331&amp;col=6&amp;number=3.7&amp;sourceID=14","3.7")</f>
        <v>3.7</v>
      </c>
      <c r="G1331" s="4" t="str">
        <f>HYPERLINK("http://141.218.60.56/~jnz1568/getInfo.php?workbook=10_05.xlsx&amp;sheet=U0&amp;row=1331&amp;col=7&amp;number=0.029&amp;sourceID=14","0.029")</f>
        <v>0.029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HYPERLINK("http://141.218.60.56/~jnz1568/getInfo.php?workbook=10_05.xlsx&amp;sheet=U0&amp;row=1332&amp;col=6&amp;number=3.8&amp;sourceID=14","3.8")</f>
        <v>3.8</v>
      </c>
      <c r="G1332" s="4" t="str">
        <f>HYPERLINK("http://141.218.60.56/~jnz1568/getInfo.php?workbook=10_05.xlsx&amp;sheet=U0&amp;row=1332&amp;col=7&amp;number=0.0292&amp;sourceID=14","0.0292")</f>
        <v>0.0292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HYPERLINK("http://141.218.60.56/~jnz1568/getInfo.php?workbook=10_05.xlsx&amp;sheet=U0&amp;row=1333&amp;col=6&amp;number=3.9&amp;sourceID=14","3.9")</f>
        <v>3.9</v>
      </c>
      <c r="G1333" s="4" t="str">
        <f>HYPERLINK("http://141.218.60.56/~jnz1568/getInfo.php?workbook=10_05.xlsx&amp;sheet=U0&amp;row=1333&amp;col=7&amp;number=0.0293&amp;sourceID=14","0.0293")</f>
        <v>0.0293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HYPERLINK("http://141.218.60.56/~jnz1568/getInfo.php?workbook=10_05.xlsx&amp;sheet=U0&amp;row=1334&amp;col=6&amp;number=4&amp;sourceID=14","4")</f>
        <v>4</v>
      </c>
      <c r="G1334" s="4" t="str">
        <f>HYPERLINK("http://141.218.60.56/~jnz1568/getInfo.php?workbook=10_05.xlsx&amp;sheet=U0&amp;row=1334&amp;col=7&amp;number=0.0295&amp;sourceID=14","0.0295")</f>
        <v>0.0295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HYPERLINK("http://141.218.60.56/~jnz1568/getInfo.php?workbook=10_05.xlsx&amp;sheet=U0&amp;row=1335&amp;col=6&amp;number=4.1&amp;sourceID=14","4.1")</f>
        <v>4.1</v>
      </c>
      <c r="G1335" s="4" t="str">
        <f>HYPERLINK("http://141.218.60.56/~jnz1568/getInfo.php?workbook=10_05.xlsx&amp;sheet=U0&amp;row=1335&amp;col=7&amp;number=0.0296&amp;sourceID=14","0.0296")</f>
        <v>0.0296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HYPERLINK("http://141.218.60.56/~jnz1568/getInfo.php?workbook=10_05.xlsx&amp;sheet=U0&amp;row=1336&amp;col=6&amp;number=4.2&amp;sourceID=14","4.2")</f>
        <v>4.2</v>
      </c>
      <c r="G1336" s="4" t="str">
        <f>HYPERLINK("http://141.218.60.56/~jnz1568/getInfo.php?workbook=10_05.xlsx&amp;sheet=U0&amp;row=1336&amp;col=7&amp;number=0.0299&amp;sourceID=14","0.0299")</f>
        <v>0.0299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HYPERLINK("http://141.218.60.56/~jnz1568/getInfo.php?workbook=10_05.xlsx&amp;sheet=U0&amp;row=1337&amp;col=6&amp;number=4.3&amp;sourceID=14","4.3")</f>
        <v>4.3</v>
      </c>
      <c r="G1337" s="4" t="str">
        <f>HYPERLINK("http://141.218.60.56/~jnz1568/getInfo.php?workbook=10_05.xlsx&amp;sheet=U0&amp;row=1337&amp;col=7&amp;number=0.0301&amp;sourceID=14","0.0301")</f>
        <v>0.0301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HYPERLINK("http://141.218.60.56/~jnz1568/getInfo.php?workbook=10_05.xlsx&amp;sheet=U0&amp;row=1338&amp;col=6&amp;number=4.4&amp;sourceID=14","4.4")</f>
        <v>4.4</v>
      </c>
      <c r="G1338" s="4" t="str">
        <f>HYPERLINK("http://141.218.60.56/~jnz1568/getInfo.php?workbook=10_05.xlsx&amp;sheet=U0&amp;row=1338&amp;col=7&amp;number=0.0303&amp;sourceID=14","0.0303")</f>
        <v>0.0303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HYPERLINK("http://141.218.60.56/~jnz1568/getInfo.php?workbook=10_05.xlsx&amp;sheet=U0&amp;row=1339&amp;col=6&amp;number=4.5&amp;sourceID=14","4.5")</f>
        <v>4.5</v>
      </c>
      <c r="G1339" s="4" t="str">
        <f>HYPERLINK("http://141.218.60.56/~jnz1568/getInfo.php?workbook=10_05.xlsx&amp;sheet=U0&amp;row=1339&amp;col=7&amp;number=0.0304&amp;sourceID=14","0.0304")</f>
        <v>0.0304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HYPERLINK("http://141.218.60.56/~jnz1568/getInfo.php?workbook=10_05.xlsx&amp;sheet=U0&amp;row=1340&amp;col=6&amp;number=4.6&amp;sourceID=14","4.6")</f>
        <v>4.6</v>
      </c>
      <c r="G1340" s="4" t="str">
        <f>HYPERLINK("http://141.218.60.56/~jnz1568/getInfo.php?workbook=10_05.xlsx&amp;sheet=U0&amp;row=1340&amp;col=7&amp;number=0.0304&amp;sourceID=14","0.0304")</f>
        <v>0.0304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HYPERLINK("http://141.218.60.56/~jnz1568/getInfo.php?workbook=10_05.xlsx&amp;sheet=U0&amp;row=1341&amp;col=6&amp;number=4.7&amp;sourceID=14","4.7")</f>
        <v>4.7</v>
      </c>
      <c r="G1341" s="4" t="str">
        <f>HYPERLINK("http://141.218.60.56/~jnz1568/getInfo.php?workbook=10_05.xlsx&amp;sheet=U0&amp;row=1341&amp;col=7&amp;number=0.0301&amp;sourceID=14","0.0301")</f>
        <v>0.0301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HYPERLINK("http://141.218.60.56/~jnz1568/getInfo.php?workbook=10_05.xlsx&amp;sheet=U0&amp;row=1342&amp;col=6&amp;number=4.8&amp;sourceID=14","4.8")</f>
        <v>4.8</v>
      </c>
      <c r="G1342" s="4" t="str">
        <f>HYPERLINK("http://141.218.60.56/~jnz1568/getInfo.php?workbook=10_05.xlsx&amp;sheet=U0&amp;row=1342&amp;col=7&amp;number=0.0298&amp;sourceID=14","0.0298")</f>
        <v>0.0298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HYPERLINK("http://141.218.60.56/~jnz1568/getInfo.php?workbook=10_05.xlsx&amp;sheet=U0&amp;row=1343&amp;col=6&amp;number=4.9&amp;sourceID=14","4.9")</f>
        <v>4.9</v>
      </c>
      <c r="G1343" s="4" t="str">
        <f>HYPERLINK("http://141.218.60.56/~jnz1568/getInfo.php?workbook=10_05.xlsx&amp;sheet=U0&amp;row=1343&amp;col=7&amp;number=0.0294&amp;sourceID=14","0.0294")</f>
        <v>0.0294</v>
      </c>
    </row>
    <row r="1344" spans="1:7">
      <c r="A1344" s="3">
        <v>10</v>
      </c>
      <c r="B1344" s="3">
        <v>5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HYPERLINK("http://141.218.60.56/~jnz1568/getInfo.php?workbook=10_05.xlsx&amp;sheet=U0&amp;row=1344&amp;col=6&amp;number=3&amp;sourceID=14","3")</f>
        <v>3</v>
      </c>
      <c r="G1344" s="4" t="str">
        <f>HYPERLINK("http://141.218.60.56/~jnz1568/getInfo.php?workbook=10_05.xlsx&amp;sheet=U0&amp;row=1344&amp;col=7&amp;number=0.0173&amp;sourceID=14","0.0173")</f>
        <v>0.0173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HYPERLINK("http://141.218.60.56/~jnz1568/getInfo.php?workbook=10_05.xlsx&amp;sheet=U0&amp;row=1345&amp;col=6&amp;number=3.1&amp;sourceID=14","3.1")</f>
        <v>3.1</v>
      </c>
      <c r="G1345" s="4" t="str">
        <f>HYPERLINK("http://141.218.60.56/~jnz1568/getInfo.php?workbook=10_05.xlsx&amp;sheet=U0&amp;row=1345&amp;col=7&amp;number=0.0174&amp;sourceID=14","0.0174")</f>
        <v>0.0174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HYPERLINK("http://141.218.60.56/~jnz1568/getInfo.php?workbook=10_05.xlsx&amp;sheet=U0&amp;row=1346&amp;col=6&amp;number=3.2&amp;sourceID=14","3.2")</f>
        <v>3.2</v>
      </c>
      <c r="G1346" s="4" t="str">
        <f>HYPERLINK("http://141.218.60.56/~jnz1568/getInfo.php?workbook=10_05.xlsx&amp;sheet=U0&amp;row=1346&amp;col=7&amp;number=0.0176&amp;sourceID=14","0.0176")</f>
        <v>0.0176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HYPERLINK("http://141.218.60.56/~jnz1568/getInfo.php?workbook=10_05.xlsx&amp;sheet=U0&amp;row=1347&amp;col=6&amp;number=3.3&amp;sourceID=14","3.3")</f>
        <v>3.3</v>
      </c>
      <c r="G1347" s="4" t="str">
        <f>HYPERLINK("http://141.218.60.56/~jnz1568/getInfo.php?workbook=10_05.xlsx&amp;sheet=U0&amp;row=1347&amp;col=7&amp;number=0.0177&amp;sourceID=14","0.0177")</f>
        <v>0.0177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HYPERLINK("http://141.218.60.56/~jnz1568/getInfo.php?workbook=10_05.xlsx&amp;sheet=U0&amp;row=1348&amp;col=6&amp;number=3.4&amp;sourceID=14","3.4")</f>
        <v>3.4</v>
      </c>
      <c r="G1348" s="4" t="str">
        <f>HYPERLINK("http://141.218.60.56/~jnz1568/getInfo.php?workbook=10_05.xlsx&amp;sheet=U0&amp;row=1348&amp;col=7&amp;number=0.0179&amp;sourceID=14","0.0179")</f>
        <v>0.0179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HYPERLINK("http://141.218.60.56/~jnz1568/getInfo.php?workbook=10_05.xlsx&amp;sheet=U0&amp;row=1349&amp;col=6&amp;number=3.5&amp;sourceID=14","3.5")</f>
        <v>3.5</v>
      </c>
      <c r="G1349" s="4" t="str">
        <f>HYPERLINK("http://141.218.60.56/~jnz1568/getInfo.php?workbook=10_05.xlsx&amp;sheet=U0&amp;row=1349&amp;col=7&amp;number=0.0182&amp;sourceID=14","0.0182")</f>
        <v>0.0182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HYPERLINK("http://141.218.60.56/~jnz1568/getInfo.php?workbook=10_05.xlsx&amp;sheet=U0&amp;row=1350&amp;col=6&amp;number=3.6&amp;sourceID=14","3.6")</f>
        <v>3.6</v>
      </c>
      <c r="G1350" s="4" t="str">
        <f>HYPERLINK("http://141.218.60.56/~jnz1568/getInfo.php?workbook=10_05.xlsx&amp;sheet=U0&amp;row=1350&amp;col=7&amp;number=0.0184&amp;sourceID=14","0.0184")</f>
        <v>0.0184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HYPERLINK("http://141.218.60.56/~jnz1568/getInfo.php?workbook=10_05.xlsx&amp;sheet=U0&amp;row=1351&amp;col=6&amp;number=3.7&amp;sourceID=14","3.7")</f>
        <v>3.7</v>
      </c>
      <c r="G1351" s="4" t="str">
        <f>HYPERLINK("http://141.218.60.56/~jnz1568/getInfo.php?workbook=10_05.xlsx&amp;sheet=U0&amp;row=1351&amp;col=7&amp;number=0.0188&amp;sourceID=14","0.0188")</f>
        <v>0.0188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HYPERLINK("http://141.218.60.56/~jnz1568/getInfo.php?workbook=10_05.xlsx&amp;sheet=U0&amp;row=1352&amp;col=6&amp;number=3.8&amp;sourceID=14","3.8")</f>
        <v>3.8</v>
      </c>
      <c r="G1352" s="4" t="str">
        <f>HYPERLINK("http://141.218.60.56/~jnz1568/getInfo.php?workbook=10_05.xlsx&amp;sheet=U0&amp;row=1352&amp;col=7&amp;number=0.0192&amp;sourceID=14","0.0192")</f>
        <v>0.0192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HYPERLINK("http://141.218.60.56/~jnz1568/getInfo.php?workbook=10_05.xlsx&amp;sheet=U0&amp;row=1353&amp;col=6&amp;number=3.9&amp;sourceID=14","3.9")</f>
        <v>3.9</v>
      </c>
      <c r="G1353" s="4" t="str">
        <f>HYPERLINK("http://141.218.60.56/~jnz1568/getInfo.php?workbook=10_05.xlsx&amp;sheet=U0&amp;row=1353&amp;col=7&amp;number=0.0197&amp;sourceID=14","0.0197")</f>
        <v>0.0197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HYPERLINK("http://141.218.60.56/~jnz1568/getInfo.php?workbook=10_05.xlsx&amp;sheet=U0&amp;row=1354&amp;col=6&amp;number=4&amp;sourceID=14","4")</f>
        <v>4</v>
      </c>
      <c r="G1354" s="4" t="str">
        <f>HYPERLINK("http://141.218.60.56/~jnz1568/getInfo.php?workbook=10_05.xlsx&amp;sheet=U0&amp;row=1354&amp;col=7&amp;number=0.0202&amp;sourceID=14","0.0202")</f>
        <v>0.0202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HYPERLINK("http://141.218.60.56/~jnz1568/getInfo.php?workbook=10_05.xlsx&amp;sheet=U0&amp;row=1355&amp;col=6&amp;number=4.1&amp;sourceID=14","4.1")</f>
        <v>4.1</v>
      </c>
      <c r="G1355" s="4" t="str">
        <f>HYPERLINK("http://141.218.60.56/~jnz1568/getInfo.php?workbook=10_05.xlsx&amp;sheet=U0&amp;row=1355&amp;col=7&amp;number=0.0206&amp;sourceID=14","0.0206")</f>
        <v>0.0206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HYPERLINK("http://141.218.60.56/~jnz1568/getInfo.php?workbook=10_05.xlsx&amp;sheet=U0&amp;row=1356&amp;col=6&amp;number=4.2&amp;sourceID=14","4.2")</f>
        <v>4.2</v>
      </c>
      <c r="G1356" s="4" t="str">
        <f>HYPERLINK("http://141.218.60.56/~jnz1568/getInfo.php?workbook=10_05.xlsx&amp;sheet=U0&amp;row=1356&amp;col=7&amp;number=0.021&amp;sourceID=14","0.021")</f>
        <v>0.021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HYPERLINK("http://141.218.60.56/~jnz1568/getInfo.php?workbook=10_05.xlsx&amp;sheet=U0&amp;row=1357&amp;col=6&amp;number=4.3&amp;sourceID=14","4.3")</f>
        <v>4.3</v>
      </c>
      <c r="G1357" s="4" t="str">
        <f>HYPERLINK("http://141.218.60.56/~jnz1568/getInfo.php?workbook=10_05.xlsx&amp;sheet=U0&amp;row=1357&amp;col=7&amp;number=0.0211&amp;sourceID=14","0.0211")</f>
        <v>0.0211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HYPERLINK("http://141.218.60.56/~jnz1568/getInfo.php?workbook=10_05.xlsx&amp;sheet=U0&amp;row=1358&amp;col=6&amp;number=4.4&amp;sourceID=14","4.4")</f>
        <v>4.4</v>
      </c>
      <c r="G1358" s="4" t="str">
        <f>HYPERLINK("http://141.218.60.56/~jnz1568/getInfo.php?workbook=10_05.xlsx&amp;sheet=U0&amp;row=1358&amp;col=7&amp;number=0.0209&amp;sourceID=14","0.0209")</f>
        <v>0.0209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HYPERLINK("http://141.218.60.56/~jnz1568/getInfo.php?workbook=10_05.xlsx&amp;sheet=U0&amp;row=1359&amp;col=6&amp;number=4.5&amp;sourceID=14","4.5")</f>
        <v>4.5</v>
      </c>
      <c r="G1359" s="4" t="str">
        <f>HYPERLINK("http://141.218.60.56/~jnz1568/getInfo.php?workbook=10_05.xlsx&amp;sheet=U0&amp;row=1359&amp;col=7&amp;number=0.0205&amp;sourceID=14","0.0205")</f>
        <v>0.0205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HYPERLINK("http://141.218.60.56/~jnz1568/getInfo.php?workbook=10_05.xlsx&amp;sheet=U0&amp;row=1360&amp;col=6&amp;number=4.6&amp;sourceID=14","4.6")</f>
        <v>4.6</v>
      </c>
      <c r="G1360" s="4" t="str">
        <f>HYPERLINK("http://141.218.60.56/~jnz1568/getInfo.php?workbook=10_05.xlsx&amp;sheet=U0&amp;row=1360&amp;col=7&amp;number=0.0201&amp;sourceID=14","0.0201")</f>
        <v>0.0201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HYPERLINK("http://141.218.60.56/~jnz1568/getInfo.php?workbook=10_05.xlsx&amp;sheet=U0&amp;row=1361&amp;col=6&amp;number=4.7&amp;sourceID=14","4.7")</f>
        <v>4.7</v>
      </c>
      <c r="G1361" s="4" t="str">
        <f>HYPERLINK("http://141.218.60.56/~jnz1568/getInfo.php?workbook=10_05.xlsx&amp;sheet=U0&amp;row=1361&amp;col=7&amp;number=0.0197&amp;sourceID=14","0.0197")</f>
        <v>0.0197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HYPERLINK("http://141.218.60.56/~jnz1568/getInfo.php?workbook=10_05.xlsx&amp;sheet=U0&amp;row=1362&amp;col=6&amp;number=4.8&amp;sourceID=14","4.8")</f>
        <v>4.8</v>
      </c>
      <c r="G1362" s="4" t="str">
        <f>HYPERLINK("http://141.218.60.56/~jnz1568/getInfo.php?workbook=10_05.xlsx&amp;sheet=U0&amp;row=1362&amp;col=7&amp;number=0.0192&amp;sourceID=14","0.0192")</f>
        <v>0.0192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HYPERLINK("http://141.218.60.56/~jnz1568/getInfo.php?workbook=10_05.xlsx&amp;sheet=U0&amp;row=1363&amp;col=6&amp;number=4.9&amp;sourceID=14","4.9")</f>
        <v>4.9</v>
      </c>
      <c r="G1363" s="4" t="str">
        <f>HYPERLINK("http://141.218.60.56/~jnz1568/getInfo.php?workbook=10_05.xlsx&amp;sheet=U0&amp;row=1363&amp;col=7&amp;number=0.0185&amp;sourceID=14","0.0185")</f>
        <v>0.0185</v>
      </c>
    </row>
    <row r="1364" spans="1:7">
      <c r="A1364" s="3">
        <v>10</v>
      </c>
      <c r="B1364" s="3">
        <v>5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HYPERLINK("http://141.218.60.56/~jnz1568/getInfo.php?workbook=10_05.xlsx&amp;sheet=U0&amp;row=1364&amp;col=6&amp;number=3&amp;sourceID=14","3")</f>
        <v>3</v>
      </c>
      <c r="G1364" s="4" t="str">
        <f>HYPERLINK("http://141.218.60.56/~jnz1568/getInfo.php?workbook=10_05.xlsx&amp;sheet=U0&amp;row=1364&amp;col=7&amp;number=0.00253&amp;sourceID=14","0.00253")</f>
        <v>0.00253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HYPERLINK("http://141.218.60.56/~jnz1568/getInfo.php?workbook=10_05.xlsx&amp;sheet=U0&amp;row=1365&amp;col=6&amp;number=3.1&amp;sourceID=14","3.1")</f>
        <v>3.1</v>
      </c>
      <c r="G1365" s="4" t="str">
        <f>HYPERLINK("http://141.218.60.56/~jnz1568/getInfo.php?workbook=10_05.xlsx&amp;sheet=U0&amp;row=1365&amp;col=7&amp;number=0.00253&amp;sourceID=14","0.00253")</f>
        <v>0.00253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HYPERLINK("http://141.218.60.56/~jnz1568/getInfo.php?workbook=10_05.xlsx&amp;sheet=U0&amp;row=1366&amp;col=6&amp;number=3.2&amp;sourceID=14","3.2")</f>
        <v>3.2</v>
      </c>
      <c r="G1366" s="4" t="str">
        <f>HYPERLINK("http://141.218.60.56/~jnz1568/getInfo.php?workbook=10_05.xlsx&amp;sheet=U0&amp;row=1366&amp;col=7&amp;number=0.00253&amp;sourceID=14","0.00253")</f>
        <v>0.00253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HYPERLINK("http://141.218.60.56/~jnz1568/getInfo.php?workbook=10_05.xlsx&amp;sheet=U0&amp;row=1367&amp;col=6&amp;number=3.3&amp;sourceID=14","3.3")</f>
        <v>3.3</v>
      </c>
      <c r="G1367" s="4" t="str">
        <f>HYPERLINK("http://141.218.60.56/~jnz1568/getInfo.php?workbook=10_05.xlsx&amp;sheet=U0&amp;row=1367&amp;col=7&amp;number=0.00254&amp;sourceID=14","0.00254")</f>
        <v>0.00254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HYPERLINK("http://141.218.60.56/~jnz1568/getInfo.php?workbook=10_05.xlsx&amp;sheet=U0&amp;row=1368&amp;col=6&amp;number=3.4&amp;sourceID=14","3.4")</f>
        <v>3.4</v>
      </c>
      <c r="G1368" s="4" t="str">
        <f>HYPERLINK("http://141.218.60.56/~jnz1568/getInfo.php?workbook=10_05.xlsx&amp;sheet=U0&amp;row=1368&amp;col=7&amp;number=0.00255&amp;sourceID=14","0.00255")</f>
        <v>0.00255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HYPERLINK("http://141.218.60.56/~jnz1568/getInfo.php?workbook=10_05.xlsx&amp;sheet=U0&amp;row=1369&amp;col=6&amp;number=3.5&amp;sourceID=14","3.5")</f>
        <v>3.5</v>
      </c>
      <c r="G1369" s="4" t="str">
        <f>HYPERLINK("http://141.218.60.56/~jnz1568/getInfo.php?workbook=10_05.xlsx&amp;sheet=U0&amp;row=1369&amp;col=7&amp;number=0.00255&amp;sourceID=14","0.00255")</f>
        <v>0.00255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HYPERLINK("http://141.218.60.56/~jnz1568/getInfo.php?workbook=10_05.xlsx&amp;sheet=U0&amp;row=1370&amp;col=6&amp;number=3.6&amp;sourceID=14","3.6")</f>
        <v>3.6</v>
      </c>
      <c r="G1370" s="4" t="str">
        <f>HYPERLINK("http://141.218.60.56/~jnz1568/getInfo.php?workbook=10_05.xlsx&amp;sheet=U0&amp;row=1370&amp;col=7&amp;number=0.00256&amp;sourceID=14","0.00256")</f>
        <v>0.00256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HYPERLINK("http://141.218.60.56/~jnz1568/getInfo.php?workbook=10_05.xlsx&amp;sheet=U0&amp;row=1371&amp;col=6&amp;number=3.7&amp;sourceID=14","3.7")</f>
        <v>3.7</v>
      </c>
      <c r="G1371" s="4" t="str">
        <f>HYPERLINK("http://141.218.60.56/~jnz1568/getInfo.php?workbook=10_05.xlsx&amp;sheet=U0&amp;row=1371&amp;col=7&amp;number=0.00258&amp;sourceID=14","0.00258")</f>
        <v>0.00258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HYPERLINK("http://141.218.60.56/~jnz1568/getInfo.php?workbook=10_05.xlsx&amp;sheet=U0&amp;row=1372&amp;col=6&amp;number=3.8&amp;sourceID=14","3.8")</f>
        <v>3.8</v>
      </c>
      <c r="G1372" s="4" t="str">
        <f>HYPERLINK("http://141.218.60.56/~jnz1568/getInfo.php?workbook=10_05.xlsx&amp;sheet=U0&amp;row=1372&amp;col=7&amp;number=0.00259&amp;sourceID=14","0.00259")</f>
        <v>0.00259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HYPERLINK("http://141.218.60.56/~jnz1568/getInfo.php?workbook=10_05.xlsx&amp;sheet=U0&amp;row=1373&amp;col=6&amp;number=3.9&amp;sourceID=14","3.9")</f>
        <v>3.9</v>
      </c>
      <c r="G1373" s="4" t="str">
        <f>HYPERLINK("http://141.218.60.56/~jnz1568/getInfo.php?workbook=10_05.xlsx&amp;sheet=U0&amp;row=1373&amp;col=7&amp;number=0.0026&amp;sourceID=14","0.0026")</f>
        <v>0.0026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HYPERLINK("http://141.218.60.56/~jnz1568/getInfo.php?workbook=10_05.xlsx&amp;sheet=U0&amp;row=1374&amp;col=6&amp;number=4&amp;sourceID=14","4")</f>
        <v>4</v>
      </c>
      <c r="G1374" s="4" t="str">
        <f>HYPERLINK("http://141.218.60.56/~jnz1568/getInfo.php?workbook=10_05.xlsx&amp;sheet=U0&amp;row=1374&amp;col=7&amp;number=0.00262&amp;sourceID=14","0.00262")</f>
        <v>0.00262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HYPERLINK("http://141.218.60.56/~jnz1568/getInfo.php?workbook=10_05.xlsx&amp;sheet=U0&amp;row=1375&amp;col=6&amp;number=4.1&amp;sourceID=14","4.1")</f>
        <v>4.1</v>
      </c>
      <c r="G1375" s="4" t="str">
        <f>HYPERLINK("http://141.218.60.56/~jnz1568/getInfo.php?workbook=10_05.xlsx&amp;sheet=U0&amp;row=1375&amp;col=7&amp;number=0.00263&amp;sourceID=14","0.00263")</f>
        <v>0.00263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HYPERLINK("http://141.218.60.56/~jnz1568/getInfo.php?workbook=10_05.xlsx&amp;sheet=U0&amp;row=1376&amp;col=6&amp;number=4.2&amp;sourceID=14","4.2")</f>
        <v>4.2</v>
      </c>
      <c r="G1376" s="4" t="str">
        <f>HYPERLINK("http://141.218.60.56/~jnz1568/getInfo.php?workbook=10_05.xlsx&amp;sheet=U0&amp;row=1376&amp;col=7&amp;number=0.00263&amp;sourceID=14","0.00263")</f>
        <v>0.00263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HYPERLINK("http://141.218.60.56/~jnz1568/getInfo.php?workbook=10_05.xlsx&amp;sheet=U0&amp;row=1377&amp;col=6&amp;number=4.3&amp;sourceID=14","4.3")</f>
        <v>4.3</v>
      </c>
      <c r="G1377" s="4" t="str">
        <f>HYPERLINK("http://141.218.60.56/~jnz1568/getInfo.php?workbook=10_05.xlsx&amp;sheet=U0&amp;row=1377&amp;col=7&amp;number=0.00261&amp;sourceID=14","0.00261")</f>
        <v>0.00261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HYPERLINK("http://141.218.60.56/~jnz1568/getInfo.php?workbook=10_05.xlsx&amp;sheet=U0&amp;row=1378&amp;col=6&amp;number=4.4&amp;sourceID=14","4.4")</f>
        <v>4.4</v>
      </c>
      <c r="G1378" s="4" t="str">
        <f>HYPERLINK("http://141.218.60.56/~jnz1568/getInfo.php?workbook=10_05.xlsx&amp;sheet=U0&amp;row=1378&amp;col=7&amp;number=0.00256&amp;sourceID=14","0.00256")</f>
        <v>0.00256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HYPERLINK("http://141.218.60.56/~jnz1568/getInfo.php?workbook=10_05.xlsx&amp;sheet=U0&amp;row=1379&amp;col=6&amp;number=4.5&amp;sourceID=14","4.5")</f>
        <v>4.5</v>
      </c>
      <c r="G1379" s="4" t="str">
        <f>HYPERLINK("http://141.218.60.56/~jnz1568/getInfo.php?workbook=10_05.xlsx&amp;sheet=U0&amp;row=1379&amp;col=7&amp;number=0.00245&amp;sourceID=14","0.00245")</f>
        <v>0.00245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HYPERLINK("http://141.218.60.56/~jnz1568/getInfo.php?workbook=10_05.xlsx&amp;sheet=U0&amp;row=1380&amp;col=6&amp;number=4.6&amp;sourceID=14","4.6")</f>
        <v>4.6</v>
      </c>
      <c r="G1380" s="4" t="str">
        <f>HYPERLINK("http://141.218.60.56/~jnz1568/getInfo.php?workbook=10_05.xlsx&amp;sheet=U0&amp;row=1380&amp;col=7&amp;number=0.00229&amp;sourceID=14","0.00229")</f>
        <v>0.00229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HYPERLINK("http://141.218.60.56/~jnz1568/getInfo.php?workbook=10_05.xlsx&amp;sheet=U0&amp;row=1381&amp;col=6&amp;number=4.7&amp;sourceID=14","4.7")</f>
        <v>4.7</v>
      </c>
      <c r="G1381" s="4" t="str">
        <f>HYPERLINK("http://141.218.60.56/~jnz1568/getInfo.php?workbook=10_05.xlsx&amp;sheet=U0&amp;row=1381&amp;col=7&amp;number=0.00209&amp;sourceID=14","0.00209")</f>
        <v>0.00209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HYPERLINK("http://141.218.60.56/~jnz1568/getInfo.php?workbook=10_05.xlsx&amp;sheet=U0&amp;row=1382&amp;col=6&amp;number=4.8&amp;sourceID=14","4.8")</f>
        <v>4.8</v>
      </c>
      <c r="G1382" s="4" t="str">
        <f>HYPERLINK("http://141.218.60.56/~jnz1568/getInfo.php?workbook=10_05.xlsx&amp;sheet=U0&amp;row=1382&amp;col=7&amp;number=0.00189&amp;sourceID=14","0.00189")</f>
        <v>0.00189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HYPERLINK("http://141.218.60.56/~jnz1568/getInfo.php?workbook=10_05.xlsx&amp;sheet=U0&amp;row=1383&amp;col=6&amp;number=4.9&amp;sourceID=14","4.9")</f>
        <v>4.9</v>
      </c>
      <c r="G1383" s="4" t="str">
        <f>HYPERLINK("http://141.218.60.56/~jnz1568/getInfo.php?workbook=10_05.xlsx&amp;sheet=U0&amp;row=1383&amp;col=7&amp;number=0.00169&amp;sourceID=14","0.00169")</f>
        <v>0.00169</v>
      </c>
    </row>
    <row r="1384" spans="1:7">
      <c r="A1384" s="3">
        <v>10</v>
      </c>
      <c r="B1384" s="3">
        <v>5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HYPERLINK("http://141.218.60.56/~jnz1568/getInfo.php?workbook=10_05.xlsx&amp;sheet=U0&amp;row=1384&amp;col=6&amp;number=3&amp;sourceID=14","3")</f>
        <v>3</v>
      </c>
      <c r="G1384" s="4" t="str">
        <f>HYPERLINK("http://141.218.60.56/~jnz1568/getInfo.php?workbook=10_05.xlsx&amp;sheet=U0&amp;row=1384&amp;col=7&amp;number=0.00487&amp;sourceID=14","0.00487")</f>
        <v>0.00487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HYPERLINK("http://141.218.60.56/~jnz1568/getInfo.php?workbook=10_05.xlsx&amp;sheet=U0&amp;row=1385&amp;col=6&amp;number=3.1&amp;sourceID=14","3.1")</f>
        <v>3.1</v>
      </c>
      <c r="G1385" s="4" t="str">
        <f>HYPERLINK("http://141.218.60.56/~jnz1568/getInfo.php?workbook=10_05.xlsx&amp;sheet=U0&amp;row=1385&amp;col=7&amp;number=0.00488&amp;sourceID=14","0.00488")</f>
        <v>0.00488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HYPERLINK("http://141.218.60.56/~jnz1568/getInfo.php?workbook=10_05.xlsx&amp;sheet=U0&amp;row=1386&amp;col=6&amp;number=3.2&amp;sourceID=14","3.2")</f>
        <v>3.2</v>
      </c>
      <c r="G1386" s="4" t="str">
        <f>HYPERLINK("http://141.218.60.56/~jnz1568/getInfo.php?workbook=10_05.xlsx&amp;sheet=U0&amp;row=1386&amp;col=7&amp;number=0.00488&amp;sourceID=14","0.00488")</f>
        <v>0.00488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HYPERLINK("http://141.218.60.56/~jnz1568/getInfo.php?workbook=10_05.xlsx&amp;sheet=U0&amp;row=1387&amp;col=6&amp;number=3.3&amp;sourceID=14","3.3")</f>
        <v>3.3</v>
      </c>
      <c r="G1387" s="4" t="str">
        <f>HYPERLINK("http://141.218.60.56/~jnz1568/getInfo.php?workbook=10_05.xlsx&amp;sheet=U0&amp;row=1387&amp;col=7&amp;number=0.00489&amp;sourceID=14","0.00489")</f>
        <v>0.00489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HYPERLINK("http://141.218.60.56/~jnz1568/getInfo.php?workbook=10_05.xlsx&amp;sheet=U0&amp;row=1388&amp;col=6&amp;number=3.4&amp;sourceID=14","3.4")</f>
        <v>3.4</v>
      </c>
      <c r="G1388" s="4" t="str">
        <f>HYPERLINK("http://141.218.60.56/~jnz1568/getInfo.php?workbook=10_05.xlsx&amp;sheet=U0&amp;row=1388&amp;col=7&amp;number=0.0049&amp;sourceID=14","0.0049")</f>
        <v>0.0049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HYPERLINK("http://141.218.60.56/~jnz1568/getInfo.php?workbook=10_05.xlsx&amp;sheet=U0&amp;row=1389&amp;col=6&amp;number=3.5&amp;sourceID=14","3.5")</f>
        <v>3.5</v>
      </c>
      <c r="G1389" s="4" t="str">
        <f>HYPERLINK("http://141.218.60.56/~jnz1568/getInfo.php?workbook=10_05.xlsx&amp;sheet=U0&amp;row=1389&amp;col=7&amp;number=0.00491&amp;sourceID=14","0.00491")</f>
        <v>0.00491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HYPERLINK("http://141.218.60.56/~jnz1568/getInfo.php?workbook=10_05.xlsx&amp;sheet=U0&amp;row=1390&amp;col=6&amp;number=3.6&amp;sourceID=14","3.6")</f>
        <v>3.6</v>
      </c>
      <c r="G1390" s="4" t="str">
        <f>HYPERLINK("http://141.218.60.56/~jnz1568/getInfo.php?workbook=10_05.xlsx&amp;sheet=U0&amp;row=1390&amp;col=7&amp;number=0.00493&amp;sourceID=14","0.00493")</f>
        <v>0.00493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HYPERLINK("http://141.218.60.56/~jnz1568/getInfo.php?workbook=10_05.xlsx&amp;sheet=U0&amp;row=1391&amp;col=6&amp;number=3.7&amp;sourceID=14","3.7")</f>
        <v>3.7</v>
      </c>
      <c r="G1391" s="4" t="str">
        <f>HYPERLINK("http://141.218.60.56/~jnz1568/getInfo.php?workbook=10_05.xlsx&amp;sheet=U0&amp;row=1391&amp;col=7&amp;number=0.00494&amp;sourceID=14","0.00494")</f>
        <v>0.00494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HYPERLINK("http://141.218.60.56/~jnz1568/getInfo.php?workbook=10_05.xlsx&amp;sheet=U0&amp;row=1392&amp;col=6&amp;number=3.8&amp;sourceID=14","3.8")</f>
        <v>3.8</v>
      </c>
      <c r="G1392" s="4" t="str">
        <f>HYPERLINK("http://141.218.60.56/~jnz1568/getInfo.php?workbook=10_05.xlsx&amp;sheet=U0&amp;row=1392&amp;col=7&amp;number=0.00496&amp;sourceID=14","0.00496")</f>
        <v>0.00496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HYPERLINK("http://141.218.60.56/~jnz1568/getInfo.php?workbook=10_05.xlsx&amp;sheet=U0&amp;row=1393&amp;col=6&amp;number=3.9&amp;sourceID=14","3.9")</f>
        <v>3.9</v>
      </c>
      <c r="G1393" s="4" t="str">
        <f>HYPERLINK("http://141.218.60.56/~jnz1568/getInfo.php?workbook=10_05.xlsx&amp;sheet=U0&amp;row=1393&amp;col=7&amp;number=0.00498&amp;sourceID=14","0.00498")</f>
        <v>0.00498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HYPERLINK("http://141.218.60.56/~jnz1568/getInfo.php?workbook=10_05.xlsx&amp;sheet=U0&amp;row=1394&amp;col=6&amp;number=4&amp;sourceID=14","4")</f>
        <v>4</v>
      </c>
      <c r="G1394" s="4" t="str">
        <f>HYPERLINK("http://141.218.60.56/~jnz1568/getInfo.php?workbook=10_05.xlsx&amp;sheet=U0&amp;row=1394&amp;col=7&amp;number=0.005&amp;sourceID=14","0.005")</f>
        <v>0.005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HYPERLINK("http://141.218.60.56/~jnz1568/getInfo.php?workbook=10_05.xlsx&amp;sheet=U0&amp;row=1395&amp;col=6&amp;number=4.1&amp;sourceID=14","4.1")</f>
        <v>4.1</v>
      </c>
      <c r="G1395" s="4" t="str">
        <f>HYPERLINK("http://141.218.60.56/~jnz1568/getInfo.php?workbook=10_05.xlsx&amp;sheet=U0&amp;row=1395&amp;col=7&amp;number=0.00501&amp;sourceID=14","0.00501")</f>
        <v>0.00501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HYPERLINK("http://141.218.60.56/~jnz1568/getInfo.php?workbook=10_05.xlsx&amp;sheet=U0&amp;row=1396&amp;col=6&amp;number=4.2&amp;sourceID=14","4.2")</f>
        <v>4.2</v>
      </c>
      <c r="G1396" s="4" t="str">
        <f>HYPERLINK("http://141.218.60.56/~jnz1568/getInfo.php?workbook=10_05.xlsx&amp;sheet=U0&amp;row=1396&amp;col=7&amp;number=0.005&amp;sourceID=14","0.005")</f>
        <v>0.005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HYPERLINK("http://141.218.60.56/~jnz1568/getInfo.php?workbook=10_05.xlsx&amp;sheet=U0&amp;row=1397&amp;col=6&amp;number=4.3&amp;sourceID=14","4.3")</f>
        <v>4.3</v>
      </c>
      <c r="G1397" s="4" t="str">
        <f>HYPERLINK("http://141.218.60.56/~jnz1568/getInfo.php?workbook=10_05.xlsx&amp;sheet=U0&amp;row=1397&amp;col=7&amp;number=0.00495&amp;sourceID=14","0.00495")</f>
        <v>0.00495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HYPERLINK("http://141.218.60.56/~jnz1568/getInfo.php?workbook=10_05.xlsx&amp;sheet=U0&amp;row=1398&amp;col=6&amp;number=4.4&amp;sourceID=14","4.4")</f>
        <v>4.4</v>
      </c>
      <c r="G1398" s="4" t="str">
        <f>HYPERLINK("http://141.218.60.56/~jnz1568/getInfo.php?workbook=10_05.xlsx&amp;sheet=U0&amp;row=1398&amp;col=7&amp;number=0.00483&amp;sourceID=14","0.00483")</f>
        <v>0.00483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HYPERLINK("http://141.218.60.56/~jnz1568/getInfo.php?workbook=10_05.xlsx&amp;sheet=U0&amp;row=1399&amp;col=6&amp;number=4.5&amp;sourceID=14","4.5")</f>
        <v>4.5</v>
      </c>
      <c r="G1399" s="4" t="str">
        <f>HYPERLINK("http://141.218.60.56/~jnz1568/getInfo.php?workbook=10_05.xlsx&amp;sheet=U0&amp;row=1399&amp;col=7&amp;number=0.0046&amp;sourceID=14","0.0046")</f>
        <v>0.0046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HYPERLINK("http://141.218.60.56/~jnz1568/getInfo.php?workbook=10_05.xlsx&amp;sheet=U0&amp;row=1400&amp;col=6&amp;number=4.6&amp;sourceID=14","4.6")</f>
        <v>4.6</v>
      </c>
      <c r="G1400" s="4" t="str">
        <f>HYPERLINK("http://141.218.60.56/~jnz1568/getInfo.php?workbook=10_05.xlsx&amp;sheet=U0&amp;row=1400&amp;col=7&amp;number=0.00428&amp;sourceID=14","0.00428")</f>
        <v>0.00428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HYPERLINK("http://141.218.60.56/~jnz1568/getInfo.php?workbook=10_05.xlsx&amp;sheet=U0&amp;row=1401&amp;col=6&amp;number=4.7&amp;sourceID=14","4.7")</f>
        <v>4.7</v>
      </c>
      <c r="G1401" s="4" t="str">
        <f>HYPERLINK("http://141.218.60.56/~jnz1568/getInfo.php?workbook=10_05.xlsx&amp;sheet=U0&amp;row=1401&amp;col=7&amp;number=0.0039&amp;sourceID=14","0.0039")</f>
        <v>0.0039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HYPERLINK("http://141.218.60.56/~jnz1568/getInfo.php?workbook=10_05.xlsx&amp;sheet=U0&amp;row=1402&amp;col=6&amp;number=4.8&amp;sourceID=14","4.8")</f>
        <v>4.8</v>
      </c>
      <c r="G1402" s="4" t="str">
        <f>HYPERLINK("http://141.218.60.56/~jnz1568/getInfo.php?workbook=10_05.xlsx&amp;sheet=U0&amp;row=1402&amp;col=7&amp;number=0.0035&amp;sourceID=14","0.0035")</f>
        <v>0.0035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HYPERLINK("http://141.218.60.56/~jnz1568/getInfo.php?workbook=10_05.xlsx&amp;sheet=U0&amp;row=1403&amp;col=6&amp;number=4.9&amp;sourceID=14","4.9")</f>
        <v>4.9</v>
      </c>
      <c r="G1403" s="4" t="str">
        <f>HYPERLINK("http://141.218.60.56/~jnz1568/getInfo.php?workbook=10_05.xlsx&amp;sheet=U0&amp;row=1403&amp;col=7&amp;number=0.00311&amp;sourceID=14","0.00311")</f>
        <v>0.00311</v>
      </c>
    </row>
    <row r="1404" spans="1:7">
      <c r="A1404" s="3">
        <v>10</v>
      </c>
      <c r="B1404" s="3">
        <v>5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HYPERLINK("http://141.218.60.56/~jnz1568/getInfo.php?workbook=10_05.xlsx&amp;sheet=U0&amp;row=1404&amp;col=6&amp;number=3&amp;sourceID=14","3")</f>
        <v>3</v>
      </c>
      <c r="G1404" s="4" t="str">
        <f>HYPERLINK("http://141.218.60.56/~jnz1568/getInfo.php?workbook=10_05.xlsx&amp;sheet=U0&amp;row=1404&amp;col=7&amp;number=0.00412&amp;sourceID=14","0.00412")</f>
        <v>0.00412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HYPERLINK("http://141.218.60.56/~jnz1568/getInfo.php?workbook=10_05.xlsx&amp;sheet=U0&amp;row=1405&amp;col=6&amp;number=3.1&amp;sourceID=14","3.1")</f>
        <v>3.1</v>
      </c>
      <c r="G1405" s="4" t="str">
        <f>HYPERLINK("http://141.218.60.56/~jnz1568/getInfo.php?workbook=10_05.xlsx&amp;sheet=U0&amp;row=1405&amp;col=7&amp;number=0.00415&amp;sourceID=14","0.00415")</f>
        <v>0.00415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HYPERLINK("http://141.218.60.56/~jnz1568/getInfo.php?workbook=10_05.xlsx&amp;sheet=U0&amp;row=1406&amp;col=6&amp;number=3.2&amp;sourceID=14","3.2")</f>
        <v>3.2</v>
      </c>
      <c r="G1406" s="4" t="str">
        <f>HYPERLINK("http://141.218.60.56/~jnz1568/getInfo.php?workbook=10_05.xlsx&amp;sheet=U0&amp;row=1406&amp;col=7&amp;number=0.00418&amp;sourceID=14","0.00418")</f>
        <v>0.00418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HYPERLINK("http://141.218.60.56/~jnz1568/getInfo.php?workbook=10_05.xlsx&amp;sheet=U0&amp;row=1407&amp;col=6&amp;number=3.3&amp;sourceID=14","3.3")</f>
        <v>3.3</v>
      </c>
      <c r="G1407" s="4" t="str">
        <f>HYPERLINK("http://141.218.60.56/~jnz1568/getInfo.php?workbook=10_05.xlsx&amp;sheet=U0&amp;row=1407&amp;col=7&amp;number=0.00422&amp;sourceID=14","0.00422")</f>
        <v>0.00422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HYPERLINK("http://141.218.60.56/~jnz1568/getInfo.php?workbook=10_05.xlsx&amp;sheet=U0&amp;row=1408&amp;col=6&amp;number=3.4&amp;sourceID=14","3.4")</f>
        <v>3.4</v>
      </c>
      <c r="G1408" s="4" t="str">
        <f>HYPERLINK("http://141.218.60.56/~jnz1568/getInfo.php?workbook=10_05.xlsx&amp;sheet=U0&amp;row=1408&amp;col=7&amp;number=0.00428&amp;sourceID=14","0.00428")</f>
        <v>0.00428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HYPERLINK("http://141.218.60.56/~jnz1568/getInfo.php?workbook=10_05.xlsx&amp;sheet=U0&amp;row=1409&amp;col=6&amp;number=3.5&amp;sourceID=14","3.5")</f>
        <v>3.5</v>
      </c>
      <c r="G1409" s="4" t="str">
        <f>HYPERLINK("http://141.218.60.56/~jnz1568/getInfo.php?workbook=10_05.xlsx&amp;sheet=U0&amp;row=1409&amp;col=7&amp;number=0.00434&amp;sourceID=14","0.00434")</f>
        <v>0.00434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HYPERLINK("http://141.218.60.56/~jnz1568/getInfo.php?workbook=10_05.xlsx&amp;sheet=U0&amp;row=1410&amp;col=6&amp;number=3.6&amp;sourceID=14","3.6")</f>
        <v>3.6</v>
      </c>
      <c r="G1410" s="4" t="str">
        <f>HYPERLINK("http://141.218.60.56/~jnz1568/getInfo.php?workbook=10_05.xlsx&amp;sheet=U0&amp;row=1410&amp;col=7&amp;number=0.00442&amp;sourceID=14","0.00442")</f>
        <v>0.00442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HYPERLINK("http://141.218.60.56/~jnz1568/getInfo.php?workbook=10_05.xlsx&amp;sheet=U0&amp;row=1411&amp;col=6&amp;number=3.7&amp;sourceID=14","3.7")</f>
        <v>3.7</v>
      </c>
      <c r="G1411" s="4" t="str">
        <f>HYPERLINK("http://141.218.60.56/~jnz1568/getInfo.php?workbook=10_05.xlsx&amp;sheet=U0&amp;row=1411&amp;col=7&amp;number=0.00452&amp;sourceID=14","0.00452")</f>
        <v>0.00452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HYPERLINK("http://141.218.60.56/~jnz1568/getInfo.php?workbook=10_05.xlsx&amp;sheet=U0&amp;row=1412&amp;col=6&amp;number=3.8&amp;sourceID=14","3.8")</f>
        <v>3.8</v>
      </c>
      <c r="G1412" s="4" t="str">
        <f>HYPERLINK("http://141.218.60.56/~jnz1568/getInfo.php?workbook=10_05.xlsx&amp;sheet=U0&amp;row=1412&amp;col=7&amp;number=0.00464&amp;sourceID=14","0.00464")</f>
        <v>0.00464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HYPERLINK("http://141.218.60.56/~jnz1568/getInfo.php?workbook=10_05.xlsx&amp;sheet=U0&amp;row=1413&amp;col=6&amp;number=3.9&amp;sourceID=14","3.9")</f>
        <v>3.9</v>
      </c>
      <c r="G1413" s="4" t="str">
        <f>HYPERLINK("http://141.218.60.56/~jnz1568/getInfo.php?workbook=10_05.xlsx&amp;sheet=U0&amp;row=1413&amp;col=7&amp;number=0.00477&amp;sourceID=14","0.00477")</f>
        <v>0.00477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HYPERLINK("http://141.218.60.56/~jnz1568/getInfo.php?workbook=10_05.xlsx&amp;sheet=U0&amp;row=1414&amp;col=6&amp;number=4&amp;sourceID=14","4")</f>
        <v>4</v>
      </c>
      <c r="G1414" s="4" t="str">
        <f>HYPERLINK("http://141.218.60.56/~jnz1568/getInfo.php?workbook=10_05.xlsx&amp;sheet=U0&amp;row=1414&amp;col=7&amp;number=0.00491&amp;sourceID=14","0.00491")</f>
        <v>0.00491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HYPERLINK("http://141.218.60.56/~jnz1568/getInfo.php?workbook=10_05.xlsx&amp;sheet=U0&amp;row=1415&amp;col=6&amp;number=4.1&amp;sourceID=14","4.1")</f>
        <v>4.1</v>
      </c>
      <c r="G1415" s="4" t="str">
        <f>HYPERLINK("http://141.218.60.56/~jnz1568/getInfo.php?workbook=10_05.xlsx&amp;sheet=U0&amp;row=1415&amp;col=7&amp;number=0.00506&amp;sourceID=14","0.00506")</f>
        <v>0.00506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HYPERLINK("http://141.218.60.56/~jnz1568/getInfo.php?workbook=10_05.xlsx&amp;sheet=U0&amp;row=1416&amp;col=6&amp;number=4.2&amp;sourceID=14","4.2")</f>
        <v>4.2</v>
      </c>
      <c r="G1416" s="4" t="str">
        <f>HYPERLINK("http://141.218.60.56/~jnz1568/getInfo.php?workbook=10_05.xlsx&amp;sheet=U0&amp;row=1416&amp;col=7&amp;number=0.00518&amp;sourceID=14","0.00518")</f>
        <v>0.00518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HYPERLINK("http://141.218.60.56/~jnz1568/getInfo.php?workbook=10_05.xlsx&amp;sheet=U0&amp;row=1417&amp;col=6&amp;number=4.3&amp;sourceID=14","4.3")</f>
        <v>4.3</v>
      </c>
      <c r="G1417" s="4" t="str">
        <f>HYPERLINK("http://141.218.60.56/~jnz1568/getInfo.php?workbook=10_05.xlsx&amp;sheet=U0&amp;row=1417&amp;col=7&amp;number=0.00522&amp;sourceID=14","0.00522")</f>
        <v>0.00522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HYPERLINK("http://141.218.60.56/~jnz1568/getInfo.php?workbook=10_05.xlsx&amp;sheet=U0&amp;row=1418&amp;col=6&amp;number=4.4&amp;sourceID=14","4.4")</f>
        <v>4.4</v>
      </c>
      <c r="G1418" s="4" t="str">
        <f>HYPERLINK("http://141.218.60.56/~jnz1568/getInfo.php?workbook=10_05.xlsx&amp;sheet=U0&amp;row=1418&amp;col=7&amp;number=0.00516&amp;sourceID=14","0.00516")</f>
        <v>0.00516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HYPERLINK("http://141.218.60.56/~jnz1568/getInfo.php?workbook=10_05.xlsx&amp;sheet=U0&amp;row=1419&amp;col=6&amp;number=4.5&amp;sourceID=14","4.5")</f>
        <v>4.5</v>
      </c>
      <c r="G1419" s="4" t="str">
        <f>HYPERLINK("http://141.218.60.56/~jnz1568/getInfo.php?workbook=10_05.xlsx&amp;sheet=U0&amp;row=1419&amp;col=7&amp;number=0.00496&amp;sourceID=14","0.00496")</f>
        <v>0.00496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HYPERLINK("http://141.218.60.56/~jnz1568/getInfo.php?workbook=10_05.xlsx&amp;sheet=U0&amp;row=1420&amp;col=6&amp;number=4.6&amp;sourceID=14","4.6")</f>
        <v>4.6</v>
      </c>
      <c r="G1420" s="4" t="str">
        <f>HYPERLINK("http://141.218.60.56/~jnz1568/getInfo.php?workbook=10_05.xlsx&amp;sheet=U0&amp;row=1420&amp;col=7&amp;number=0.00466&amp;sourceID=14","0.00466")</f>
        <v>0.00466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HYPERLINK("http://141.218.60.56/~jnz1568/getInfo.php?workbook=10_05.xlsx&amp;sheet=U0&amp;row=1421&amp;col=6&amp;number=4.7&amp;sourceID=14","4.7")</f>
        <v>4.7</v>
      </c>
      <c r="G1421" s="4" t="str">
        <f>HYPERLINK("http://141.218.60.56/~jnz1568/getInfo.php?workbook=10_05.xlsx&amp;sheet=U0&amp;row=1421&amp;col=7&amp;number=0.00429&amp;sourceID=14","0.00429")</f>
        <v>0.00429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HYPERLINK("http://141.218.60.56/~jnz1568/getInfo.php?workbook=10_05.xlsx&amp;sheet=U0&amp;row=1422&amp;col=6&amp;number=4.8&amp;sourceID=14","4.8")</f>
        <v>4.8</v>
      </c>
      <c r="G1422" s="4" t="str">
        <f>HYPERLINK("http://141.218.60.56/~jnz1568/getInfo.php?workbook=10_05.xlsx&amp;sheet=U0&amp;row=1422&amp;col=7&amp;number=0.00388&amp;sourceID=14","0.00388")</f>
        <v>0.00388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HYPERLINK("http://141.218.60.56/~jnz1568/getInfo.php?workbook=10_05.xlsx&amp;sheet=U0&amp;row=1423&amp;col=6&amp;number=4.9&amp;sourceID=14","4.9")</f>
        <v>4.9</v>
      </c>
      <c r="G1423" s="4" t="str">
        <f>HYPERLINK("http://141.218.60.56/~jnz1568/getInfo.php?workbook=10_05.xlsx&amp;sheet=U0&amp;row=1423&amp;col=7&amp;number=0.00344&amp;sourceID=14","0.00344")</f>
        <v>0.00344</v>
      </c>
    </row>
    <row r="1424" spans="1:7">
      <c r="A1424" s="3">
        <v>10</v>
      </c>
      <c r="B1424" s="3">
        <v>5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HYPERLINK("http://141.218.60.56/~jnz1568/getInfo.php?workbook=10_05.xlsx&amp;sheet=U0&amp;row=1424&amp;col=6&amp;number=3&amp;sourceID=14","3")</f>
        <v>3</v>
      </c>
      <c r="G1424" s="4" t="str">
        <f>HYPERLINK("http://141.218.60.56/~jnz1568/getInfo.php?workbook=10_05.xlsx&amp;sheet=U0&amp;row=1424&amp;col=7&amp;number=0.0201&amp;sourceID=14","0.0201")</f>
        <v>0.0201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HYPERLINK("http://141.218.60.56/~jnz1568/getInfo.php?workbook=10_05.xlsx&amp;sheet=U0&amp;row=1425&amp;col=6&amp;number=3.1&amp;sourceID=14","3.1")</f>
        <v>3.1</v>
      </c>
      <c r="G1425" s="4" t="str">
        <f>HYPERLINK("http://141.218.60.56/~jnz1568/getInfo.php?workbook=10_05.xlsx&amp;sheet=U0&amp;row=1425&amp;col=7&amp;number=0.0201&amp;sourceID=14","0.0201")</f>
        <v>0.0201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HYPERLINK("http://141.218.60.56/~jnz1568/getInfo.php?workbook=10_05.xlsx&amp;sheet=U0&amp;row=1426&amp;col=6&amp;number=3.2&amp;sourceID=14","3.2")</f>
        <v>3.2</v>
      </c>
      <c r="G1426" s="4" t="str">
        <f>HYPERLINK("http://141.218.60.56/~jnz1568/getInfo.php?workbook=10_05.xlsx&amp;sheet=U0&amp;row=1426&amp;col=7&amp;number=0.02&amp;sourceID=14","0.02")</f>
        <v>0.02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HYPERLINK("http://141.218.60.56/~jnz1568/getInfo.php?workbook=10_05.xlsx&amp;sheet=U0&amp;row=1427&amp;col=6&amp;number=3.3&amp;sourceID=14","3.3")</f>
        <v>3.3</v>
      </c>
      <c r="G1427" s="4" t="str">
        <f>HYPERLINK("http://141.218.60.56/~jnz1568/getInfo.php?workbook=10_05.xlsx&amp;sheet=U0&amp;row=1427&amp;col=7&amp;number=0.02&amp;sourceID=14","0.02")</f>
        <v>0.02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HYPERLINK("http://141.218.60.56/~jnz1568/getInfo.php?workbook=10_05.xlsx&amp;sheet=U0&amp;row=1428&amp;col=6&amp;number=3.4&amp;sourceID=14","3.4")</f>
        <v>3.4</v>
      </c>
      <c r="G1428" s="4" t="str">
        <f>HYPERLINK("http://141.218.60.56/~jnz1568/getInfo.php?workbook=10_05.xlsx&amp;sheet=U0&amp;row=1428&amp;col=7&amp;number=0.0199&amp;sourceID=14","0.0199")</f>
        <v>0.0199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HYPERLINK("http://141.218.60.56/~jnz1568/getInfo.php?workbook=10_05.xlsx&amp;sheet=U0&amp;row=1429&amp;col=6&amp;number=3.5&amp;sourceID=14","3.5")</f>
        <v>3.5</v>
      </c>
      <c r="G1429" s="4" t="str">
        <f>HYPERLINK("http://141.218.60.56/~jnz1568/getInfo.php?workbook=10_05.xlsx&amp;sheet=U0&amp;row=1429&amp;col=7&amp;number=0.0198&amp;sourceID=14","0.0198")</f>
        <v>0.0198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HYPERLINK("http://141.218.60.56/~jnz1568/getInfo.php?workbook=10_05.xlsx&amp;sheet=U0&amp;row=1430&amp;col=6&amp;number=3.6&amp;sourceID=14","3.6")</f>
        <v>3.6</v>
      </c>
      <c r="G1430" s="4" t="str">
        <f>HYPERLINK("http://141.218.60.56/~jnz1568/getInfo.php?workbook=10_05.xlsx&amp;sheet=U0&amp;row=1430&amp;col=7&amp;number=0.0196&amp;sourceID=14","0.0196")</f>
        <v>0.0196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HYPERLINK("http://141.218.60.56/~jnz1568/getInfo.php?workbook=10_05.xlsx&amp;sheet=U0&amp;row=1431&amp;col=6&amp;number=3.7&amp;sourceID=14","3.7")</f>
        <v>3.7</v>
      </c>
      <c r="G1431" s="4" t="str">
        <f>HYPERLINK("http://141.218.60.56/~jnz1568/getInfo.php?workbook=10_05.xlsx&amp;sheet=U0&amp;row=1431&amp;col=7&amp;number=0.0195&amp;sourceID=14","0.0195")</f>
        <v>0.0195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HYPERLINK("http://141.218.60.56/~jnz1568/getInfo.php?workbook=10_05.xlsx&amp;sheet=U0&amp;row=1432&amp;col=6&amp;number=3.8&amp;sourceID=14","3.8")</f>
        <v>3.8</v>
      </c>
      <c r="G1432" s="4" t="str">
        <f>HYPERLINK("http://141.218.60.56/~jnz1568/getInfo.php?workbook=10_05.xlsx&amp;sheet=U0&amp;row=1432&amp;col=7&amp;number=0.0193&amp;sourceID=14","0.0193")</f>
        <v>0.0193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HYPERLINK("http://141.218.60.56/~jnz1568/getInfo.php?workbook=10_05.xlsx&amp;sheet=U0&amp;row=1433&amp;col=6&amp;number=3.9&amp;sourceID=14","3.9")</f>
        <v>3.9</v>
      </c>
      <c r="G1433" s="4" t="str">
        <f>HYPERLINK("http://141.218.60.56/~jnz1568/getInfo.php?workbook=10_05.xlsx&amp;sheet=U0&amp;row=1433&amp;col=7&amp;number=0.019&amp;sourceID=14","0.019")</f>
        <v>0.019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HYPERLINK("http://141.218.60.56/~jnz1568/getInfo.php?workbook=10_05.xlsx&amp;sheet=U0&amp;row=1434&amp;col=6&amp;number=4&amp;sourceID=14","4")</f>
        <v>4</v>
      </c>
      <c r="G1434" s="4" t="str">
        <f>HYPERLINK("http://141.218.60.56/~jnz1568/getInfo.php?workbook=10_05.xlsx&amp;sheet=U0&amp;row=1434&amp;col=7&amp;number=0.0188&amp;sourceID=14","0.0188")</f>
        <v>0.0188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HYPERLINK("http://141.218.60.56/~jnz1568/getInfo.php?workbook=10_05.xlsx&amp;sheet=U0&amp;row=1435&amp;col=6&amp;number=4.1&amp;sourceID=14","4.1")</f>
        <v>4.1</v>
      </c>
      <c r="G1435" s="4" t="str">
        <f>HYPERLINK("http://141.218.60.56/~jnz1568/getInfo.php?workbook=10_05.xlsx&amp;sheet=U0&amp;row=1435&amp;col=7&amp;number=0.0184&amp;sourceID=14","0.0184")</f>
        <v>0.0184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HYPERLINK("http://141.218.60.56/~jnz1568/getInfo.php?workbook=10_05.xlsx&amp;sheet=U0&amp;row=1436&amp;col=6&amp;number=4.2&amp;sourceID=14","4.2")</f>
        <v>4.2</v>
      </c>
      <c r="G1436" s="4" t="str">
        <f>HYPERLINK("http://141.218.60.56/~jnz1568/getInfo.php?workbook=10_05.xlsx&amp;sheet=U0&amp;row=1436&amp;col=7&amp;number=0.018&amp;sourceID=14","0.018")</f>
        <v>0.018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HYPERLINK("http://141.218.60.56/~jnz1568/getInfo.php?workbook=10_05.xlsx&amp;sheet=U0&amp;row=1437&amp;col=6&amp;number=4.3&amp;sourceID=14","4.3")</f>
        <v>4.3</v>
      </c>
      <c r="G1437" s="4" t="str">
        <f>HYPERLINK("http://141.218.60.56/~jnz1568/getInfo.php?workbook=10_05.xlsx&amp;sheet=U0&amp;row=1437&amp;col=7&amp;number=0.0176&amp;sourceID=14","0.0176")</f>
        <v>0.0176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HYPERLINK("http://141.218.60.56/~jnz1568/getInfo.php?workbook=10_05.xlsx&amp;sheet=U0&amp;row=1438&amp;col=6&amp;number=4.4&amp;sourceID=14","4.4")</f>
        <v>4.4</v>
      </c>
      <c r="G1438" s="4" t="str">
        <f>HYPERLINK("http://141.218.60.56/~jnz1568/getInfo.php?workbook=10_05.xlsx&amp;sheet=U0&amp;row=1438&amp;col=7&amp;number=0.0172&amp;sourceID=14","0.0172")</f>
        <v>0.0172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HYPERLINK("http://141.218.60.56/~jnz1568/getInfo.php?workbook=10_05.xlsx&amp;sheet=U0&amp;row=1439&amp;col=6&amp;number=4.5&amp;sourceID=14","4.5")</f>
        <v>4.5</v>
      </c>
      <c r="G1439" s="4" t="str">
        <f>HYPERLINK("http://141.218.60.56/~jnz1568/getInfo.php?workbook=10_05.xlsx&amp;sheet=U0&amp;row=1439&amp;col=7&amp;number=0.0169&amp;sourceID=14","0.0169")</f>
        <v>0.0169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HYPERLINK("http://141.218.60.56/~jnz1568/getInfo.php?workbook=10_05.xlsx&amp;sheet=U0&amp;row=1440&amp;col=6&amp;number=4.6&amp;sourceID=14","4.6")</f>
        <v>4.6</v>
      </c>
      <c r="G1440" s="4" t="str">
        <f>HYPERLINK("http://141.218.60.56/~jnz1568/getInfo.php?workbook=10_05.xlsx&amp;sheet=U0&amp;row=1440&amp;col=7&amp;number=0.0166&amp;sourceID=14","0.0166")</f>
        <v>0.0166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HYPERLINK("http://141.218.60.56/~jnz1568/getInfo.php?workbook=10_05.xlsx&amp;sheet=U0&amp;row=1441&amp;col=6&amp;number=4.7&amp;sourceID=14","4.7")</f>
        <v>4.7</v>
      </c>
      <c r="G1441" s="4" t="str">
        <f>HYPERLINK("http://141.218.60.56/~jnz1568/getInfo.php?workbook=10_05.xlsx&amp;sheet=U0&amp;row=1441&amp;col=7&amp;number=0.0163&amp;sourceID=14","0.0163")</f>
        <v>0.0163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HYPERLINK("http://141.218.60.56/~jnz1568/getInfo.php?workbook=10_05.xlsx&amp;sheet=U0&amp;row=1442&amp;col=6&amp;number=4.8&amp;sourceID=14","4.8")</f>
        <v>4.8</v>
      </c>
      <c r="G1442" s="4" t="str">
        <f>HYPERLINK("http://141.218.60.56/~jnz1568/getInfo.php?workbook=10_05.xlsx&amp;sheet=U0&amp;row=1442&amp;col=7&amp;number=0.016&amp;sourceID=14","0.016")</f>
        <v>0.016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HYPERLINK("http://141.218.60.56/~jnz1568/getInfo.php?workbook=10_05.xlsx&amp;sheet=U0&amp;row=1443&amp;col=6&amp;number=4.9&amp;sourceID=14","4.9")</f>
        <v>4.9</v>
      </c>
      <c r="G1443" s="4" t="str">
        <f>HYPERLINK("http://141.218.60.56/~jnz1568/getInfo.php?workbook=10_05.xlsx&amp;sheet=U0&amp;row=1443&amp;col=7&amp;number=0.0157&amp;sourceID=14","0.0157")</f>
        <v>0.0157</v>
      </c>
    </row>
    <row r="1444" spans="1:7">
      <c r="A1444" s="3">
        <v>10</v>
      </c>
      <c r="B1444" s="3">
        <v>5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HYPERLINK("http://141.218.60.56/~jnz1568/getInfo.php?workbook=10_05.xlsx&amp;sheet=U0&amp;row=1444&amp;col=6&amp;number=3&amp;sourceID=14","3")</f>
        <v>3</v>
      </c>
      <c r="G1444" s="4" t="str">
        <f>HYPERLINK("http://141.218.60.56/~jnz1568/getInfo.php?workbook=10_05.xlsx&amp;sheet=U0&amp;row=1444&amp;col=7&amp;number=0.0227&amp;sourceID=14","0.0227")</f>
        <v>0.0227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HYPERLINK("http://141.218.60.56/~jnz1568/getInfo.php?workbook=10_05.xlsx&amp;sheet=U0&amp;row=1445&amp;col=6&amp;number=3.1&amp;sourceID=14","3.1")</f>
        <v>3.1</v>
      </c>
      <c r="G1445" s="4" t="str">
        <f>HYPERLINK("http://141.218.60.56/~jnz1568/getInfo.php?workbook=10_05.xlsx&amp;sheet=U0&amp;row=1445&amp;col=7&amp;number=0.0226&amp;sourceID=14","0.0226")</f>
        <v>0.0226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HYPERLINK("http://141.218.60.56/~jnz1568/getInfo.php?workbook=10_05.xlsx&amp;sheet=U0&amp;row=1446&amp;col=6&amp;number=3.2&amp;sourceID=14","3.2")</f>
        <v>3.2</v>
      </c>
      <c r="G1446" s="4" t="str">
        <f>HYPERLINK("http://141.218.60.56/~jnz1568/getInfo.php?workbook=10_05.xlsx&amp;sheet=U0&amp;row=1446&amp;col=7&amp;number=0.0225&amp;sourceID=14","0.0225")</f>
        <v>0.0225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HYPERLINK("http://141.218.60.56/~jnz1568/getInfo.php?workbook=10_05.xlsx&amp;sheet=U0&amp;row=1447&amp;col=6&amp;number=3.3&amp;sourceID=14","3.3")</f>
        <v>3.3</v>
      </c>
      <c r="G1447" s="4" t="str">
        <f>HYPERLINK("http://141.218.60.56/~jnz1568/getInfo.php?workbook=10_05.xlsx&amp;sheet=U0&amp;row=1447&amp;col=7&amp;number=0.0224&amp;sourceID=14","0.0224")</f>
        <v>0.0224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HYPERLINK("http://141.218.60.56/~jnz1568/getInfo.php?workbook=10_05.xlsx&amp;sheet=U0&amp;row=1448&amp;col=6&amp;number=3.4&amp;sourceID=14","3.4")</f>
        <v>3.4</v>
      </c>
      <c r="G1448" s="4" t="str">
        <f>HYPERLINK("http://141.218.60.56/~jnz1568/getInfo.php?workbook=10_05.xlsx&amp;sheet=U0&amp;row=1448&amp;col=7&amp;number=0.0223&amp;sourceID=14","0.0223")</f>
        <v>0.0223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HYPERLINK("http://141.218.60.56/~jnz1568/getInfo.php?workbook=10_05.xlsx&amp;sheet=U0&amp;row=1449&amp;col=6&amp;number=3.5&amp;sourceID=14","3.5")</f>
        <v>3.5</v>
      </c>
      <c r="G1449" s="4" t="str">
        <f>HYPERLINK("http://141.218.60.56/~jnz1568/getInfo.php?workbook=10_05.xlsx&amp;sheet=U0&amp;row=1449&amp;col=7&amp;number=0.0222&amp;sourceID=14","0.0222")</f>
        <v>0.0222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HYPERLINK("http://141.218.60.56/~jnz1568/getInfo.php?workbook=10_05.xlsx&amp;sheet=U0&amp;row=1450&amp;col=6&amp;number=3.6&amp;sourceID=14","3.6")</f>
        <v>3.6</v>
      </c>
      <c r="G1450" s="4" t="str">
        <f>HYPERLINK("http://141.218.60.56/~jnz1568/getInfo.php?workbook=10_05.xlsx&amp;sheet=U0&amp;row=1450&amp;col=7&amp;number=0.022&amp;sourceID=14","0.022")</f>
        <v>0.022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HYPERLINK("http://141.218.60.56/~jnz1568/getInfo.php?workbook=10_05.xlsx&amp;sheet=U0&amp;row=1451&amp;col=6&amp;number=3.7&amp;sourceID=14","3.7")</f>
        <v>3.7</v>
      </c>
      <c r="G1451" s="4" t="str">
        <f>HYPERLINK("http://141.218.60.56/~jnz1568/getInfo.php?workbook=10_05.xlsx&amp;sheet=U0&amp;row=1451&amp;col=7&amp;number=0.0218&amp;sourceID=14","0.0218")</f>
        <v>0.0218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HYPERLINK("http://141.218.60.56/~jnz1568/getInfo.php?workbook=10_05.xlsx&amp;sheet=U0&amp;row=1452&amp;col=6&amp;number=3.8&amp;sourceID=14","3.8")</f>
        <v>3.8</v>
      </c>
      <c r="G1452" s="4" t="str">
        <f>HYPERLINK("http://141.218.60.56/~jnz1568/getInfo.php?workbook=10_05.xlsx&amp;sheet=U0&amp;row=1452&amp;col=7&amp;number=0.0215&amp;sourceID=14","0.0215")</f>
        <v>0.0215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HYPERLINK("http://141.218.60.56/~jnz1568/getInfo.php?workbook=10_05.xlsx&amp;sheet=U0&amp;row=1453&amp;col=6&amp;number=3.9&amp;sourceID=14","3.9")</f>
        <v>3.9</v>
      </c>
      <c r="G1453" s="4" t="str">
        <f>HYPERLINK("http://141.218.60.56/~jnz1568/getInfo.php?workbook=10_05.xlsx&amp;sheet=U0&amp;row=1453&amp;col=7&amp;number=0.0212&amp;sourceID=14","0.0212")</f>
        <v>0.0212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HYPERLINK("http://141.218.60.56/~jnz1568/getInfo.php?workbook=10_05.xlsx&amp;sheet=U0&amp;row=1454&amp;col=6&amp;number=4&amp;sourceID=14","4")</f>
        <v>4</v>
      </c>
      <c r="G1454" s="4" t="str">
        <f>HYPERLINK("http://141.218.60.56/~jnz1568/getInfo.php?workbook=10_05.xlsx&amp;sheet=U0&amp;row=1454&amp;col=7&amp;number=0.0208&amp;sourceID=14","0.0208")</f>
        <v>0.0208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HYPERLINK("http://141.218.60.56/~jnz1568/getInfo.php?workbook=10_05.xlsx&amp;sheet=U0&amp;row=1455&amp;col=6&amp;number=4.1&amp;sourceID=14","4.1")</f>
        <v>4.1</v>
      </c>
      <c r="G1455" s="4" t="str">
        <f>HYPERLINK("http://141.218.60.56/~jnz1568/getInfo.php?workbook=10_05.xlsx&amp;sheet=U0&amp;row=1455&amp;col=7&amp;number=0.0203&amp;sourceID=14","0.0203")</f>
        <v>0.0203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HYPERLINK("http://141.218.60.56/~jnz1568/getInfo.php?workbook=10_05.xlsx&amp;sheet=U0&amp;row=1456&amp;col=6&amp;number=4.2&amp;sourceID=14","4.2")</f>
        <v>4.2</v>
      </c>
      <c r="G1456" s="4" t="str">
        <f>HYPERLINK("http://141.218.60.56/~jnz1568/getInfo.php?workbook=10_05.xlsx&amp;sheet=U0&amp;row=1456&amp;col=7&amp;number=0.0198&amp;sourceID=14","0.0198")</f>
        <v>0.0198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HYPERLINK("http://141.218.60.56/~jnz1568/getInfo.php?workbook=10_05.xlsx&amp;sheet=U0&amp;row=1457&amp;col=6&amp;number=4.3&amp;sourceID=14","4.3")</f>
        <v>4.3</v>
      </c>
      <c r="G1457" s="4" t="str">
        <f>HYPERLINK("http://141.218.60.56/~jnz1568/getInfo.php?workbook=10_05.xlsx&amp;sheet=U0&amp;row=1457&amp;col=7&amp;number=0.0193&amp;sourceID=14","0.0193")</f>
        <v>0.0193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HYPERLINK("http://141.218.60.56/~jnz1568/getInfo.php?workbook=10_05.xlsx&amp;sheet=U0&amp;row=1458&amp;col=6&amp;number=4.4&amp;sourceID=14","4.4")</f>
        <v>4.4</v>
      </c>
      <c r="G1458" s="4" t="str">
        <f>HYPERLINK("http://141.218.60.56/~jnz1568/getInfo.php?workbook=10_05.xlsx&amp;sheet=U0&amp;row=1458&amp;col=7&amp;number=0.0187&amp;sourceID=14","0.0187")</f>
        <v>0.0187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HYPERLINK("http://141.218.60.56/~jnz1568/getInfo.php?workbook=10_05.xlsx&amp;sheet=U0&amp;row=1459&amp;col=6&amp;number=4.5&amp;sourceID=14","4.5")</f>
        <v>4.5</v>
      </c>
      <c r="G1459" s="4" t="str">
        <f>HYPERLINK("http://141.218.60.56/~jnz1568/getInfo.php?workbook=10_05.xlsx&amp;sheet=U0&amp;row=1459&amp;col=7&amp;number=0.0182&amp;sourceID=14","0.0182")</f>
        <v>0.0182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HYPERLINK("http://141.218.60.56/~jnz1568/getInfo.php?workbook=10_05.xlsx&amp;sheet=U0&amp;row=1460&amp;col=6&amp;number=4.6&amp;sourceID=14","4.6")</f>
        <v>4.6</v>
      </c>
      <c r="G1460" s="4" t="str">
        <f>HYPERLINK("http://141.218.60.56/~jnz1568/getInfo.php?workbook=10_05.xlsx&amp;sheet=U0&amp;row=1460&amp;col=7&amp;number=0.0177&amp;sourceID=14","0.0177")</f>
        <v>0.0177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HYPERLINK("http://141.218.60.56/~jnz1568/getInfo.php?workbook=10_05.xlsx&amp;sheet=U0&amp;row=1461&amp;col=6&amp;number=4.7&amp;sourceID=14","4.7")</f>
        <v>4.7</v>
      </c>
      <c r="G1461" s="4" t="str">
        <f>HYPERLINK("http://141.218.60.56/~jnz1568/getInfo.php?workbook=10_05.xlsx&amp;sheet=U0&amp;row=1461&amp;col=7&amp;number=0.0172&amp;sourceID=14","0.0172")</f>
        <v>0.0172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HYPERLINK("http://141.218.60.56/~jnz1568/getInfo.php?workbook=10_05.xlsx&amp;sheet=U0&amp;row=1462&amp;col=6&amp;number=4.8&amp;sourceID=14","4.8")</f>
        <v>4.8</v>
      </c>
      <c r="G1462" s="4" t="str">
        <f>HYPERLINK("http://141.218.60.56/~jnz1568/getInfo.php?workbook=10_05.xlsx&amp;sheet=U0&amp;row=1462&amp;col=7&amp;number=0.0168&amp;sourceID=14","0.0168")</f>
        <v>0.0168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HYPERLINK("http://141.218.60.56/~jnz1568/getInfo.php?workbook=10_05.xlsx&amp;sheet=U0&amp;row=1463&amp;col=6&amp;number=4.9&amp;sourceID=14","4.9")</f>
        <v>4.9</v>
      </c>
      <c r="G1463" s="4" t="str">
        <f>HYPERLINK("http://141.218.60.56/~jnz1568/getInfo.php?workbook=10_05.xlsx&amp;sheet=U0&amp;row=1463&amp;col=7&amp;number=0.0163&amp;sourceID=14","0.0163")</f>
        <v>0.0163</v>
      </c>
    </row>
    <row r="1464" spans="1:7">
      <c r="A1464" s="3">
        <v>10</v>
      </c>
      <c r="B1464" s="3">
        <v>5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HYPERLINK("http://141.218.60.56/~jnz1568/getInfo.php?workbook=10_05.xlsx&amp;sheet=U0&amp;row=1464&amp;col=6&amp;number=3&amp;sourceID=14","3")</f>
        <v>3</v>
      </c>
      <c r="G1464" s="4" t="str">
        <f>HYPERLINK("http://141.218.60.56/~jnz1568/getInfo.php?workbook=10_05.xlsx&amp;sheet=U0&amp;row=1464&amp;col=7&amp;number=0.00505&amp;sourceID=14","0.00505")</f>
        <v>0.00505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HYPERLINK("http://141.218.60.56/~jnz1568/getInfo.php?workbook=10_05.xlsx&amp;sheet=U0&amp;row=1465&amp;col=6&amp;number=3.1&amp;sourceID=14","3.1")</f>
        <v>3.1</v>
      </c>
      <c r="G1465" s="4" t="str">
        <f>HYPERLINK("http://141.218.60.56/~jnz1568/getInfo.php?workbook=10_05.xlsx&amp;sheet=U0&amp;row=1465&amp;col=7&amp;number=0.00505&amp;sourceID=14","0.00505")</f>
        <v>0.00505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HYPERLINK("http://141.218.60.56/~jnz1568/getInfo.php?workbook=10_05.xlsx&amp;sheet=U0&amp;row=1466&amp;col=6&amp;number=3.2&amp;sourceID=14","3.2")</f>
        <v>3.2</v>
      </c>
      <c r="G1466" s="4" t="str">
        <f>HYPERLINK("http://141.218.60.56/~jnz1568/getInfo.php?workbook=10_05.xlsx&amp;sheet=U0&amp;row=1466&amp;col=7&amp;number=0.00506&amp;sourceID=14","0.00506")</f>
        <v>0.00506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HYPERLINK("http://141.218.60.56/~jnz1568/getInfo.php?workbook=10_05.xlsx&amp;sheet=U0&amp;row=1467&amp;col=6&amp;number=3.3&amp;sourceID=14","3.3")</f>
        <v>3.3</v>
      </c>
      <c r="G1467" s="4" t="str">
        <f>HYPERLINK("http://141.218.60.56/~jnz1568/getInfo.php?workbook=10_05.xlsx&amp;sheet=U0&amp;row=1467&amp;col=7&amp;number=0.00507&amp;sourceID=14","0.00507")</f>
        <v>0.00507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HYPERLINK("http://141.218.60.56/~jnz1568/getInfo.php?workbook=10_05.xlsx&amp;sheet=U0&amp;row=1468&amp;col=6&amp;number=3.4&amp;sourceID=14","3.4")</f>
        <v>3.4</v>
      </c>
      <c r="G1468" s="4" t="str">
        <f>HYPERLINK("http://141.218.60.56/~jnz1568/getInfo.php?workbook=10_05.xlsx&amp;sheet=U0&amp;row=1468&amp;col=7&amp;number=0.00508&amp;sourceID=14","0.00508")</f>
        <v>0.00508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HYPERLINK("http://141.218.60.56/~jnz1568/getInfo.php?workbook=10_05.xlsx&amp;sheet=U0&amp;row=1469&amp;col=6&amp;number=3.5&amp;sourceID=14","3.5")</f>
        <v>3.5</v>
      </c>
      <c r="G1469" s="4" t="str">
        <f>HYPERLINK("http://141.218.60.56/~jnz1568/getInfo.php?workbook=10_05.xlsx&amp;sheet=U0&amp;row=1469&amp;col=7&amp;number=0.00509&amp;sourceID=14","0.00509")</f>
        <v>0.00509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HYPERLINK("http://141.218.60.56/~jnz1568/getInfo.php?workbook=10_05.xlsx&amp;sheet=U0&amp;row=1470&amp;col=6&amp;number=3.6&amp;sourceID=14","3.6")</f>
        <v>3.6</v>
      </c>
      <c r="G1470" s="4" t="str">
        <f>HYPERLINK("http://141.218.60.56/~jnz1568/getInfo.php?workbook=10_05.xlsx&amp;sheet=U0&amp;row=1470&amp;col=7&amp;number=0.0051&amp;sourceID=14","0.0051")</f>
        <v>0.0051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HYPERLINK("http://141.218.60.56/~jnz1568/getInfo.php?workbook=10_05.xlsx&amp;sheet=U0&amp;row=1471&amp;col=6&amp;number=3.7&amp;sourceID=14","3.7")</f>
        <v>3.7</v>
      </c>
      <c r="G1471" s="4" t="str">
        <f>HYPERLINK("http://141.218.60.56/~jnz1568/getInfo.php?workbook=10_05.xlsx&amp;sheet=U0&amp;row=1471&amp;col=7&amp;number=0.00512&amp;sourceID=14","0.00512")</f>
        <v>0.00512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HYPERLINK("http://141.218.60.56/~jnz1568/getInfo.php?workbook=10_05.xlsx&amp;sheet=U0&amp;row=1472&amp;col=6&amp;number=3.8&amp;sourceID=14","3.8")</f>
        <v>3.8</v>
      </c>
      <c r="G1472" s="4" t="str">
        <f>HYPERLINK("http://141.218.60.56/~jnz1568/getInfo.php?workbook=10_05.xlsx&amp;sheet=U0&amp;row=1472&amp;col=7&amp;number=0.00514&amp;sourceID=14","0.00514")</f>
        <v>0.00514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HYPERLINK("http://141.218.60.56/~jnz1568/getInfo.php?workbook=10_05.xlsx&amp;sheet=U0&amp;row=1473&amp;col=6&amp;number=3.9&amp;sourceID=14","3.9")</f>
        <v>3.9</v>
      </c>
      <c r="G1473" s="4" t="str">
        <f>HYPERLINK("http://141.218.60.56/~jnz1568/getInfo.php?workbook=10_05.xlsx&amp;sheet=U0&amp;row=1473&amp;col=7&amp;number=0.00516&amp;sourceID=14","0.00516")</f>
        <v>0.00516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HYPERLINK("http://141.218.60.56/~jnz1568/getInfo.php?workbook=10_05.xlsx&amp;sheet=U0&amp;row=1474&amp;col=6&amp;number=4&amp;sourceID=14","4")</f>
        <v>4</v>
      </c>
      <c r="G1474" s="4" t="str">
        <f>HYPERLINK("http://141.218.60.56/~jnz1568/getInfo.php?workbook=10_05.xlsx&amp;sheet=U0&amp;row=1474&amp;col=7&amp;number=0.00518&amp;sourceID=14","0.00518")</f>
        <v>0.00518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HYPERLINK("http://141.218.60.56/~jnz1568/getInfo.php?workbook=10_05.xlsx&amp;sheet=U0&amp;row=1475&amp;col=6&amp;number=4.1&amp;sourceID=14","4.1")</f>
        <v>4.1</v>
      </c>
      <c r="G1475" s="4" t="str">
        <f>HYPERLINK("http://141.218.60.56/~jnz1568/getInfo.php?workbook=10_05.xlsx&amp;sheet=U0&amp;row=1475&amp;col=7&amp;number=0.00521&amp;sourceID=14","0.00521")</f>
        <v>0.00521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HYPERLINK("http://141.218.60.56/~jnz1568/getInfo.php?workbook=10_05.xlsx&amp;sheet=U0&amp;row=1476&amp;col=6&amp;number=4.2&amp;sourceID=14","4.2")</f>
        <v>4.2</v>
      </c>
      <c r="G1476" s="4" t="str">
        <f>HYPERLINK("http://141.218.60.56/~jnz1568/getInfo.php?workbook=10_05.xlsx&amp;sheet=U0&amp;row=1476&amp;col=7&amp;number=0.00523&amp;sourceID=14","0.00523")</f>
        <v>0.00523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HYPERLINK("http://141.218.60.56/~jnz1568/getInfo.php?workbook=10_05.xlsx&amp;sheet=U0&amp;row=1477&amp;col=6&amp;number=4.3&amp;sourceID=14","4.3")</f>
        <v>4.3</v>
      </c>
      <c r="G1477" s="4" t="str">
        <f>HYPERLINK("http://141.218.60.56/~jnz1568/getInfo.php?workbook=10_05.xlsx&amp;sheet=U0&amp;row=1477&amp;col=7&amp;number=0.00523&amp;sourceID=14","0.00523")</f>
        <v>0.00523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HYPERLINK("http://141.218.60.56/~jnz1568/getInfo.php?workbook=10_05.xlsx&amp;sheet=U0&amp;row=1478&amp;col=6&amp;number=4.4&amp;sourceID=14","4.4")</f>
        <v>4.4</v>
      </c>
      <c r="G1478" s="4" t="str">
        <f>HYPERLINK("http://141.218.60.56/~jnz1568/getInfo.php?workbook=10_05.xlsx&amp;sheet=U0&amp;row=1478&amp;col=7&amp;number=0.0052&amp;sourceID=14","0.0052")</f>
        <v>0.0052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HYPERLINK("http://141.218.60.56/~jnz1568/getInfo.php?workbook=10_05.xlsx&amp;sheet=U0&amp;row=1479&amp;col=6&amp;number=4.5&amp;sourceID=14","4.5")</f>
        <v>4.5</v>
      </c>
      <c r="G1479" s="4" t="str">
        <f>HYPERLINK("http://141.218.60.56/~jnz1568/getInfo.php?workbook=10_05.xlsx&amp;sheet=U0&amp;row=1479&amp;col=7&amp;number=0.00512&amp;sourceID=14","0.00512")</f>
        <v>0.00512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HYPERLINK("http://141.218.60.56/~jnz1568/getInfo.php?workbook=10_05.xlsx&amp;sheet=U0&amp;row=1480&amp;col=6&amp;number=4.6&amp;sourceID=14","4.6")</f>
        <v>4.6</v>
      </c>
      <c r="G1480" s="4" t="str">
        <f>HYPERLINK("http://141.218.60.56/~jnz1568/getInfo.php?workbook=10_05.xlsx&amp;sheet=U0&amp;row=1480&amp;col=7&amp;number=0.005&amp;sourceID=14","0.005")</f>
        <v>0.005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HYPERLINK("http://141.218.60.56/~jnz1568/getInfo.php?workbook=10_05.xlsx&amp;sheet=U0&amp;row=1481&amp;col=6&amp;number=4.7&amp;sourceID=14","4.7")</f>
        <v>4.7</v>
      </c>
      <c r="G1481" s="4" t="str">
        <f>HYPERLINK("http://141.218.60.56/~jnz1568/getInfo.php?workbook=10_05.xlsx&amp;sheet=U0&amp;row=1481&amp;col=7&amp;number=0.00486&amp;sourceID=14","0.00486")</f>
        <v>0.00486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HYPERLINK("http://141.218.60.56/~jnz1568/getInfo.php?workbook=10_05.xlsx&amp;sheet=U0&amp;row=1482&amp;col=6&amp;number=4.8&amp;sourceID=14","4.8")</f>
        <v>4.8</v>
      </c>
      <c r="G1482" s="4" t="str">
        <f>HYPERLINK("http://141.218.60.56/~jnz1568/getInfo.php?workbook=10_05.xlsx&amp;sheet=U0&amp;row=1482&amp;col=7&amp;number=0.00473&amp;sourceID=14","0.00473")</f>
        <v>0.00473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HYPERLINK("http://141.218.60.56/~jnz1568/getInfo.php?workbook=10_05.xlsx&amp;sheet=U0&amp;row=1483&amp;col=6&amp;number=4.9&amp;sourceID=14","4.9")</f>
        <v>4.9</v>
      </c>
      <c r="G1483" s="4" t="str">
        <f>HYPERLINK("http://141.218.60.56/~jnz1568/getInfo.php?workbook=10_05.xlsx&amp;sheet=U0&amp;row=1483&amp;col=7&amp;number=0.00461&amp;sourceID=14","0.00461")</f>
        <v>0.00461</v>
      </c>
    </row>
    <row r="1484" spans="1:7">
      <c r="A1484" s="3">
        <v>10</v>
      </c>
      <c r="B1484" s="3">
        <v>5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HYPERLINK("http://141.218.60.56/~jnz1568/getInfo.php?workbook=10_05.xlsx&amp;sheet=U0&amp;row=1484&amp;col=6&amp;number=3&amp;sourceID=14","3")</f>
        <v>3</v>
      </c>
      <c r="G1484" s="4" t="str">
        <f>HYPERLINK("http://141.218.60.56/~jnz1568/getInfo.php?workbook=10_05.xlsx&amp;sheet=U0&amp;row=1484&amp;col=7&amp;number=0.0109&amp;sourceID=14","0.0109")</f>
        <v>0.0109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HYPERLINK("http://141.218.60.56/~jnz1568/getInfo.php?workbook=10_05.xlsx&amp;sheet=U0&amp;row=1485&amp;col=6&amp;number=3.1&amp;sourceID=14","3.1")</f>
        <v>3.1</v>
      </c>
      <c r="G1485" s="4" t="str">
        <f>HYPERLINK("http://141.218.60.56/~jnz1568/getInfo.php?workbook=10_05.xlsx&amp;sheet=U0&amp;row=1485&amp;col=7&amp;number=0.0109&amp;sourceID=14","0.0109")</f>
        <v>0.0109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HYPERLINK("http://141.218.60.56/~jnz1568/getInfo.php?workbook=10_05.xlsx&amp;sheet=U0&amp;row=1486&amp;col=6&amp;number=3.2&amp;sourceID=14","3.2")</f>
        <v>3.2</v>
      </c>
      <c r="G1486" s="4" t="str">
        <f>HYPERLINK("http://141.218.60.56/~jnz1568/getInfo.php?workbook=10_05.xlsx&amp;sheet=U0&amp;row=1486&amp;col=7&amp;number=0.0109&amp;sourceID=14","0.0109")</f>
        <v>0.0109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HYPERLINK("http://141.218.60.56/~jnz1568/getInfo.php?workbook=10_05.xlsx&amp;sheet=U0&amp;row=1487&amp;col=6&amp;number=3.3&amp;sourceID=14","3.3")</f>
        <v>3.3</v>
      </c>
      <c r="G1487" s="4" t="str">
        <f>HYPERLINK("http://141.218.60.56/~jnz1568/getInfo.php?workbook=10_05.xlsx&amp;sheet=U0&amp;row=1487&amp;col=7&amp;number=0.0109&amp;sourceID=14","0.0109")</f>
        <v>0.0109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HYPERLINK("http://141.218.60.56/~jnz1568/getInfo.php?workbook=10_05.xlsx&amp;sheet=U0&amp;row=1488&amp;col=6&amp;number=3.4&amp;sourceID=14","3.4")</f>
        <v>3.4</v>
      </c>
      <c r="G1488" s="4" t="str">
        <f>HYPERLINK("http://141.218.60.56/~jnz1568/getInfo.php?workbook=10_05.xlsx&amp;sheet=U0&amp;row=1488&amp;col=7&amp;number=0.0109&amp;sourceID=14","0.0109")</f>
        <v>0.0109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HYPERLINK("http://141.218.60.56/~jnz1568/getInfo.php?workbook=10_05.xlsx&amp;sheet=U0&amp;row=1489&amp;col=6&amp;number=3.5&amp;sourceID=14","3.5")</f>
        <v>3.5</v>
      </c>
      <c r="G1489" s="4" t="str">
        <f>HYPERLINK("http://141.218.60.56/~jnz1568/getInfo.php?workbook=10_05.xlsx&amp;sheet=U0&amp;row=1489&amp;col=7&amp;number=0.0109&amp;sourceID=14","0.0109")</f>
        <v>0.0109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HYPERLINK("http://141.218.60.56/~jnz1568/getInfo.php?workbook=10_05.xlsx&amp;sheet=U0&amp;row=1490&amp;col=6&amp;number=3.6&amp;sourceID=14","3.6")</f>
        <v>3.6</v>
      </c>
      <c r="G1490" s="4" t="str">
        <f>HYPERLINK("http://141.218.60.56/~jnz1568/getInfo.php?workbook=10_05.xlsx&amp;sheet=U0&amp;row=1490&amp;col=7&amp;number=0.011&amp;sourceID=14","0.011")</f>
        <v>0.011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HYPERLINK("http://141.218.60.56/~jnz1568/getInfo.php?workbook=10_05.xlsx&amp;sheet=U0&amp;row=1491&amp;col=6&amp;number=3.7&amp;sourceID=14","3.7")</f>
        <v>3.7</v>
      </c>
      <c r="G1491" s="4" t="str">
        <f>HYPERLINK("http://141.218.60.56/~jnz1568/getInfo.php?workbook=10_05.xlsx&amp;sheet=U0&amp;row=1491&amp;col=7&amp;number=0.011&amp;sourceID=14","0.011")</f>
        <v>0.011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HYPERLINK("http://141.218.60.56/~jnz1568/getInfo.php?workbook=10_05.xlsx&amp;sheet=U0&amp;row=1492&amp;col=6&amp;number=3.8&amp;sourceID=14","3.8")</f>
        <v>3.8</v>
      </c>
      <c r="G1492" s="4" t="str">
        <f>HYPERLINK("http://141.218.60.56/~jnz1568/getInfo.php?workbook=10_05.xlsx&amp;sheet=U0&amp;row=1492&amp;col=7&amp;number=0.011&amp;sourceID=14","0.011")</f>
        <v>0.011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HYPERLINK("http://141.218.60.56/~jnz1568/getInfo.php?workbook=10_05.xlsx&amp;sheet=U0&amp;row=1493&amp;col=6&amp;number=3.9&amp;sourceID=14","3.9")</f>
        <v>3.9</v>
      </c>
      <c r="G1493" s="4" t="str">
        <f>HYPERLINK("http://141.218.60.56/~jnz1568/getInfo.php?workbook=10_05.xlsx&amp;sheet=U0&amp;row=1493&amp;col=7&amp;number=0.0111&amp;sourceID=14","0.0111")</f>
        <v>0.0111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HYPERLINK("http://141.218.60.56/~jnz1568/getInfo.php?workbook=10_05.xlsx&amp;sheet=U0&amp;row=1494&amp;col=6&amp;number=4&amp;sourceID=14","4")</f>
        <v>4</v>
      </c>
      <c r="G1494" s="4" t="str">
        <f>HYPERLINK("http://141.218.60.56/~jnz1568/getInfo.php?workbook=10_05.xlsx&amp;sheet=U0&amp;row=1494&amp;col=7&amp;number=0.0111&amp;sourceID=14","0.0111")</f>
        <v>0.0111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HYPERLINK("http://141.218.60.56/~jnz1568/getInfo.php?workbook=10_05.xlsx&amp;sheet=U0&amp;row=1495&amp;col=6&amp;number=4.1&amp;sourceID=14","4.1")</f>
        <v>4.1</v>
      </c>
      <c r="G1495" s="4" t="str">
        <f>HYPERLINK("http://141.218.60.56/~jnz1568/getInfo.php?workbook=10_05.xlsx&amp;sheet=U0&amp;row=1495&amp;col=7&amp;number=0.0111&amp;sourceID=14","0.0111")</f>
        <v>0.0111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HYPERLINK("http://141.218.60.56/~jnz1568/getInfo.php?workbook=10_05.xlsx&amp;sheet=U0&amp;row=1496&amp;col=6&amp;number=4.2&amp;sourceID=14","4.2")</f>
        <v>4.2</v>
      </c>
      <c r="G1496" s="4" t="str">
        <f>HYPERLINK("http://141.218.60.56/~jnz1568/getInfo.php?workbook=10_05.xlsx&amp;sheet=U0&amp;row=1496&amp;col=7&amp;number=0.0112&amp;sourceID=14","0.0112")</f>
        <v>0.0112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HYPERLINK("http://141.218.60.56/~jnz1568/getInfo.php?workbook=10_05.xlsx&amp;sheet=U0&amp;row=1497&amp;col=6&amp;number=4.3&amp;sourceID=14","4.3")</f>
        <v>4.3</v>
      </c>
      <c r="G1497" s="4" t="str">
        <f>HYPERLINK("http://141.218.60.56/~jnz1568/getInfo.php?workbook=10_05.xlsx&amp;sheet=U0&amp;row=1497&amp;col=7&amp;number=0.0112&amp;sourceID=14","0.0112")</f>
        <v>0.0112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HYPERLINK("http://141.218.60.56/~jnz1568/getInfo.php?workbook=10_05.xlsx&amp;sheet=U0&amp;row=1498&amp;col=6&amp;number=4.4&amp;sourceID=14","4.4")</f>
        <v>4.4</v>
      </c>
      <c r="G1498" s="4" t="str">
        <f>HYPERLINK("http://141.218.60.56/~jnz1568/getInfo.php?workbook=10_05.xlsx&amp;sheet=U0&amp;row=1498&amp;col=7&amp;number=0.0112&amp;sourceID=14","0.0112")</f>
        <v>0.0112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HYPERLINK("http://141.218.60.56/~jnz1568/getInfo.php?workbook=10_05.xlsx&amp;sheet=U0&amp;row=1499&amp;col=6&amp;number=4.5&amp;sourceID=14","4.5")</f>
        <v>4.5</v>
      </c>
      <c r="G1499" s="4" t="str">
        <f>HYPERLINK("http://141.218.60.56/~jnz1568/getInfo.php?workbook=10_05.xlsx&amp;sheet=U0&amp;row=1499&amp;col=7&amp;number=0.0111&amp;sourceID=14","0.0111")</f>
        <v>0.0111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HYPERLINK("http://141.218.60.56/~jnz1568/getInfo.php?workbook=10_05.xlsx&amp;sheet=U0&amp;row=1500&amp;col=6&amp;number=4.6&amp;sourceID=14","4.6")</f>
        <v>4.6</v>
      </c>
      <c r="G1500" s="4" t="str">
        <f>HYPERLINK("http://141.218.60.56/~jnz1568/getInfo.php?workbook=10_05.xlsx&amp;sheet=U0&amp;row=1500&amp;col=7&amp;number=0.0109&amp;sourceID=14","0.0109")</f>
        <v>0.0109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HYPERLINK("http://141.218.60.56/~jnz1568/getInfo.php?workbook=10_05.xlsx&amp;sheet=U0&amp;row=1501&amp;col=6&amp;number=4.7&amp;sourceID=14","4.7")</f>
        <v>4.7</v>
      </c>
      <c r="G1501" s="4" t="str">
        <f>HYPERLINK("http://141.218.60.56/~jnz1568/getInfo.php?workbook=10_05.xlsx&amp;sheet=U0&amp;row=1501&amp;col=7&amp;number=0.0106&amp;sourceID=14","0.0106")</f>
        <v>0.0106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HYPERLINK("http://141.218.60.56/~jnz1568/getInfo.php?workbook=10_05.xlsx&amp;sheet=U0&amp;row=1502&amp;col=6&amp;number=4.8&amp;sourceID=14","4.8")</f>
        <v>4.8</v>
      </c>
      <c r="G1502" s="4" t="str">
        <f>HYPERLINK("http://141.218.60.56/~jnz1568/getInfo.php?workbook=10_05.xlsx&amp;sheet=U0&amp;row=1502&amp;col=7&amp;number=0.0103&amp;sourceID=14","0.0103")</f>
        <v>0.0103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HYPERLINK("http://141.218.60.56/~jnz1568/getInfo.php?workbook=10_05.xlsx&amp;sheet=U0&amp;row=1503&amp;col=6&amp;number=4.9&amp;sourceID=14","4.9")</f>
        <v>4.9</v>
      </c>
      <c r="G1503" s="4" t="str">
        <f>HYPERLINK("http://141.218.60.56/~jnz1568/getInfo.php?workbook=10_05.xlsx&amp;sheet=U0&amp;row=1503&amp;col=7&amp;number=0.0102&amp;sourceID=14","0.0102")</f>
        <v>0.0102</v>
      </c>
    </row>
    <row r="1504" spans="1:7">
      <c r="A1504" s="3">
        <v>10</v>
      </c>
      <c r="B1504" s="3">
        <v>5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HYPERLINK("http://141.218.60.56/~jnz1568/getInfo.php?workbook=10_05.xlsx&amp;sheet=U0&amp;row=1504&amp;col=6&amp;number=3&amp;sourceID=14","3")</f>
        <v>3</v>
      </c>
      <c r="G1504" s="4" t="str">
        <f>HYPERLINK("http://141.218.60.56/~jnz1568/getInfo.php?workbook=10_05.xlsx&amp;sheet=U0&amp;row=1504&amp;col=7&amp;number=0.00859&amp;sourceID=14","0.00859")</f>
        <v>0.00859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HYPERLINK("http://141.218.60.56/~jnz1568/getInfo.php?workbook=10_05.xlsx&amp;sheet=U0&amp;row=1505&amp;col=6&amp;number=3.1&amp;sourceID=14","3.1")</f>
        <v>3.1</v>
      </c>
      <c r="G1505" s="4" t="str">
        <f>HYPERLINK("http://141.218.60.56/~jnz1568/getInfo.php?workbook=10_05.xlsx&amp;sheet=U0&amp;row=1505&amp;col=7&amp;number=0.00857&amp;sourceID=14","0.00857")</f>
        <v>0.00857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HYPERLINK("http://141.218.60.56/~jnz1568/getInfo.php?workbook=10_05.xlsx&amp;sheet=U0&amp;row=1506&amp;col=6&amp;number=3.2&amp;sourceID=14","3.2")</f>
        <v>3.2</v>
      </c>
      <c r="G1506" s="4" t="str">
        <f>HYPERLINK("http://141.218.60.56/~jnz1568/getInfo.php?workbook=10_05.xlsx&amp;sheet=U0&amp;row=1506&amp;col=7&amp;number=0.00856&amp;sourceID=14","0.00856")</f>
        <v>0.00856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HYPERLINK("http://141.218.60.56/~jnz1568/getInfo.php?workbook=10_05.xlsx&amp;sheet=U0&amp;row=1507&amp;col=6&amp;number=3.3&amp;sourceID=14","3.3")</f>
        <v>3.3</v>
      </c>
      <c r="G1507" s="4" t="str">
        <f>HYPERLINK("http://141.218.60.56/~jnz1568/getInfo.php?workbook=10_05.xlsx&amp;sheet=U0&amp;row=1507&amp;col=7&amp;number=0.00854&amp;sourceID=14","0.00854")</f>
        <v>0.00854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HYPERLINK("http://141.218.60.56/~jnz1568/getInfo.php?workbook=10_05.xlsx&amp;sheet=U0&amp;row=1508&amp;col=6&amp;number=3.4&amp;sourceID=14","3.4")</f>
        <v>3.4</v>
      </c>
      <c r="G1508" s="4" t="str">
        <f>HYPERLINK("http://141.218.60.56/~jnz1568/getInfo.php?workbook=10_05.xlsx&amp;sheet=U0&amp;row=1508&amp;col=7&amp;number=0.00852&amp;sourceID=14","0.00852")</f>
        <v>0.00852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HYPERLINK("http://141.218.60.56/~jnz1568/getInfo.php?workbook=10_05.xlsx&amp;sheet=U0&amp;row=1509&amp;col=6&amp;number=3.5&amp;sourceID=14","3.5")</f>
        <v>3.5</v>
      </c>
      <c r="G1509" s="4" t="str">
        <f>HYPERLINK("http://141.218.60.56/~jnz1568/getInfo.php?workbook=10_05.xlsx&amp;sheet=U0&amp;row=1509&amp;col=7&amp;number=0.00849&amp;sourceID=14","0.00849")</f>
        <v>0.00849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HYPERLINK("http://141.218.60.56/~jnz1568/getInfo.php?workbook=10_05.xlsx&amp;sheet=U0&amp;row=1510&amp;col=6&amp;number=3.6&amp;sourceID=14","3.6")</f>
        <v>3.6</v>
      </c>
      <c r="G1510" s="4" t="str">
        <f>HYPERLINK("http://141.218.60.56/~jnz1568/getInfo.php?workbook=10_05.xlsx&amp;sheet=U0&amp;row=1510&amp;col=7&amp;number=0.00845&amp;sourceID=14","0.00845")</f>
        <v>0.00845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HYPERLINK("http://141.218.60.56/~jnz1568/getInfo.php?workbook=10_05.xlsx&amp;sheet=U0&amp;row=1511&amp;col=6&amp;number=3.7&amp;sourceID=14","3.7")</f>
        <v>3.7</v>
      </c>
      <c r="G1511" s="4" t="str">
        <f>HYPERLINK("http://141.218.60.56/~jnz1568/getInfo.php?workbook=10_05.xlsx&amp;sheet=U0&amp;row=1511&amp;col=7&amp;number=0.0084&amp;sourceID=14","0.0084")</f>
        <v>0.0084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HYPERLINK("http://141.218.60.56/~jnz1568/getInfo.php?workbook=10_05.xlsx&amp;sheet=U0&amp;row=1512&amp;col=6&amp;number=3.8&amp;sourceID=14","3.8")</f>
        <v>3.8</v>
      </c>
      <c r="G1512" s="4" t="str">
        <f>HYPERLINK("http://141.218.60.56/~jnz1568/getInfo.php?workbook=10_05.xlsx&amp;sheet=U0&amp;row=1512&amp;col=7&amp;number=0.00834&amp;sourceID=14","0.00834")</f>
        <v>0.00834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HYPERLINK("http://141.218.60.56/~jnz1568/getInfo.php?workbook=10_05.xlsx&amp;sheet=U0&amp;row=1513&amp;col=6&amp;number=3.9&amp;sourceID=14","3.9")</f>
        <v>3.9</v>
      </c>
      <c r="G1513" s="4" t="str">
        <f>HYPERLINK("http://141.218.60.56/~jnz1568/getInfo.php?workbook=10_05.xlsx&amp;sheet=U0&amp;row=1513&amp;col=7&amp;number=0.00827&amp;sourceID=14","0.00827")</f>
        <v>0.00827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HYPERLINK("http://141.218.60.56/~jnz1568/getInfo.php?workbook=10_05.xlsx&amp;sheet=U0&amp;row=1514&amp;col=6&amp;number=4&amp;sourceID=14","4")</f>
        <v>4</v>
      </c>
      <c r="G1514" s="4" t="str">
        <f>HYPERLINK("http://141.218.60.56/~jnz1568/getInfo.php?workbook=10_05.xlsx&amp;sheet=U0&amp;row=1514&amp;col=7&amp;number=0.00818&amp;sourceID=14","0.00818")</f>
        <v>0.00818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HYPERLINK("http://141.218.60.56/~jnz1568/getInfo.php?workbook=10_05.xlsx&amp;sheet=U0&amp;row=1515&amp;col=6&amp;number=4.1&amp;sourceID=14","4.1")</f>
        <v>4.1</v>
      </c>
      <c r="G1515" s="4" t="str">
        <f>HYPERLINK("http://141.218.60.56/~jnz1568/getInfo.php?workbook=10_05.xlsx&amp;sheet=U0&amp;row=1515&amp;col=7&amp;number=0.00807&amp;sourceID=14","0.00807")</f>
        <v>0.00807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HYPERLINK("http://141.218.60.56/~jnz1568/getInfo.php?workbook=10_05.xlsx&amp;sheet=U0&amp;row=1516&amp;col=6&amp;number=4.2&amp;sourceID=14","4.2")</f>
        <v>4.2</v>
      </c>
      <c r="G1516" s="4" t="str">
        <f>HYPERLINK("http://141.218.60.56/~jnz1568/getInfo.php?workbook=10_05.xlsx&amp;sheet=U0&amp;row=1516&amp;col=7&amp;number=0.00793&amp;sourceID=14","0.00793")</f>
        <v>0.00793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HYPERLINK("http://141.218.60.56/~jnz1568/getInfo.php?workbook=10_05.xlsx&amp;sheet=U0&amp;row=1517&amp;col=6&amp;number=4.3&amp;sourceID=14","4.3")</f>
        <v>4.3</v>
      </c>
      <c r="G1517" s="4" t="str">
        <f>HYPERLINK("http://141.218.60.56/~jnz1568/getInfo.php?workbook=10_05.xlsx&amp;sheet=U0&amp;row=1517&amp;col=7&amp;number=0.00776&amp;sourceID=14","0.00776")</f>
        <v>0.00776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HYPERLINK("http://141.218.60.56/~jnz1568/getInfo.php?workbook=10_05.xlsx&amp;sheet=U0&amp;row=1518&amp;col=6&amp;number=4.4&amp;sourceID=14","4.4")</f>
        <v>4.4</v>
      </c>
      <c r="G1518" s="4" t="str">
        <f>HYPERLINK("http://141.218.60.56/~jnz1568/getInfo.php?workbook=10_05.xlsx&amp;sheet=U0&amp;row=1518&amp;col=7&amp;number=0.00755&amp;sourceID=14","0.00755")</f>
        <v>0.00755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HYPERLINK("http://141.218.60.56/~jnz1568/getInfo.php?workbook=10_05.xlsx&amp;sheet=U0&amp;row=1519&amp;col=6&amp;number=4.5&amp;sourceID=14","4.5")</f>
        <v>4.5</v>
      </c>
      <c r="G1519" s="4" t="str">
        <f>HYPERLINK("http://141.218.60.56/~jnz1568/getInfo.php?workbook=10_05.xlsx&amp;sheet=U0&amp;row=1519&amp;col=7&amp;number=0.00729&amp;sourceID=14","0.00729")</f>
        <v>0.00729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HYPERLINK("http://141.218.60.56/~jnz1568/getInfo.php?workbook=10_05.xlsx&amp;sheet=U0&amp;row=1520&amp;col=6&amp;number=4.6&amp;sourceID=14","4.6")</f>
        <v>4.6</v>
      </c>
      <c r="G1520" s="4" t="str">
        <f>HYPERLINK("http://141.218.60.56/~jnz1568/getInfo.php?workbook=10_05.xlsx&amp;sheet=U0&amp;row=1520&amp;col=7&amp;number=0.00697&amp;sourceID=14","0.00697")</f>
        <v>0.00697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HYPERLINK("http://141.218.60.56/~jnz1568/getInfo.php?workbook=10_05.xlsx&amp;sheet=U0&amp;row=1521&amp;col=6&amp;number=4.7&amp;sourceID=14","4.7")</f>
        <v>4.7</v>
      </c>
      <c r="G1521" s="4" t="str">
        <f>HYPERLINK("http://141.218.60.56/~jnz1568/getInfo.php?workbook=10_05.xlsx&amp;sheet=U0&amp;row=1521&amp;col=7&amp;number=0.00659&amp;sourceID=14","0.00659")</f>
        <v>0.00659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HYPERLINK("http://141.218.60.56/~jnz1568/getInfo.php?workbook=10_05.xlsx&amp;sheet=U0&amp;row=1522&amp;col=6&amp;number=4.8&amp;sourceID=14","4.8")</f>
        <v>4.8</v>
      </c>
      <c r="G1522" s="4" t="str">
        <f>HYPERLINK("http://141.218.60.56/~jnz1568/getInfo.php?workbook=10_05.xlsx&amp;sheet=U0&amp;row=1522&amp;col=7&amp;number=0.00615&amp;sourceID=14","0.00615")</f>
        <v>0.00615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HYPERLINK("http://141.218.60.56/~jnz1568/getInfo.php?workbook=10_05.xlsx&amp;sheet=U0&amp;row=1523&amp;col=6&amp;number=4.9&amp;sourceID=14","4.9")</f>
        <v>4.9</v>
      </c>
      <c r="G1523" s="4" t="str">
        <f>HYPERLINK("http://141.218.60.56/~jnz1568/getInfo.php?workbook=10_05.xlsx&amp;sheet=U0&amp;row=1523&amp;col=7&amp;number=0.00571&amp;sourceID=14","0.00571")</f>
        <v>0.00571</v>
      </c>
    </row>
    <row r="1524" spans="1:7">
      <c r="A1524" s="3">
        <v>10</v>
      </c>
      <c r="B1524" s="3">
        <v>5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HYPERLINK("http://141.218.60.56/~jnz1568/getInfo.php?workbook=10_05.xlsx&amp;sheet=U0&amp;row=1524&amp;col=6&amp;number=3&amp;sourceID=14","3")</f>
        <v>3</v>
      </c>
      <c r="G1524" s="4" t="str">
        <f>HYPERLINK("http://141.218.60.56/~jnz1568/getInfo.php?workbook=10_05.xlsx&amp;sheet=U0&amp;row=1524&amp;col=7&amp;number=0.00952&amp;sourceID=14","0.00952")</f>
        <v>0.00952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HYPERLINK("http://141.218.60.56/~jnz1568/getInfo.php?workbook=10_05.xlsx&amp;sheet=U0&amp;row=1525&amp;col=6&amp;number=3.1&amp;sourceID=14","3.1")</f>
        <v>3.1</v>
      </c>
      <c r="G1525" s="4" t="str">
        <f>HYPERLINK("http://141.218.60.56/~jnz1568/getInfo.php?workbook=10_05.xlsx&amp;sheet=U0&amp;row=1525&amp;col=7&amp;number=0.00951&amp;sourceID=14","0.00951")</f>
        <v>0.00951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HYPERLINK("http://141.218.60.56/~jnz1568/getInfo.php?workbook=10_05.xlsx&amp;sheet=U0&amp;row=1526&amp;col=6&amp;number=3.2&amp;sourceID=14","3.2")</f>
        <v>3.2</v>
      </c>
      <c r="G1526" s="4" t="str">
        <f>HYPERLINK("http://141.218.60.56/~jnz1568/getInfo.php?workbook=10_05.xlsx&amp;sheet=U0&amp;row=1526&amp;col=7&amp;number=0.00949&amp;sourceID=14","0.00949")</f>
        <v>0.00949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HYPERLINK("http://141.218.60.56/~jnz1568/getInfo.php?workbook=10_05.xlsx&amp;sheet=U0&amp;row=1527&amp;col=6&amp;number=3.3&amp;sourceID=14","3.3")</f>
        <v>3.3</v>
      </c>
      <c r="G1527" s="4" t="str">
        <f>HYPERLINK("http://141.218.60.56/~jnz1568/getInfo.php?workbook=10_05.xlsx&amp;sheet=U0&amp;row=1527&amp;col=7&amp;number=0.00947&amp;sourceID=14","0.00947")</f>
        <v>0.00947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HYPERLINK("http://141.218.60.56/~jnz1568/getInfo.php?workbook=10_05.xlsx&amp;sheet=U0&amp;row=1528&amp;col=6&amp;number=3.4&amp;sourceID=14","3.4")</f>
        <v>3.4</v>
      </c>
      <c r="G1528" s="4" t="str">
        <f>HYPERLINK("http://141.218.60.56/~jnz1568/getInfo.php?workbook=10_05.xlsx&amp;sheet=U0&amp;row=1528&amp;col=7&amp;number=0.00945&amp;sourceID=14","0.00945")</f>
        <v>0.00945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HYPERLINK("http://141.218.60.56/~jnz1568/getInfo.php?workbook=10_05.xlsx&amp;sheet=U0&amp;row=1529&amp;col=6&amp;number=3.5&amp;sourceID=14","3.5")</f>
        <v>3.5</v>
      </c>
      <c r="G1529" s="4" t="str">
        <f>HYPERLINK("http://141.218.60.56/~jnz1568/getInfo.php?workbook=10_05.xlsx&amp;sheet=U0&amp;row=1529&amp;col=7&amp;number=0.00942&amp;sourceID=14","0.00942")</f>
        <v>0.00942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HYPERLINK("http://141.218.60.56/~jnz1568/getInfo.php?workbook=10_05.xlsx&amp;sheet=U0&amp;row=1530&amp;col=6&amp;number=3.6&amp;sourceID=14","3.6")</f>
        <v>3.6</v>
      </c>
      <c r="G1530" s="4" t="str">
        <f>HYPERLINK("http://141.218.60.56/~jnz1568/getInfo.php?workbook=10_05.xlsx&amp;sheet=U0&amp;row=1530&amp;col=7&amp;number=0.00938&amp;sourceID=14","0.00938")</f>
        <v>0.00938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HYPERLINK("http://141.218.60.56/~jnz1568/getInfo.php?workbook=10_05.xlsx&amp;sheet=U0&amp;row=1531&amp;col=6&amp;number=3.7&amp;sourceID=14","3.7")</f>
        <v>3.7</v>
      </c>
      <c r="G1531" s="4" t="str">
        <f>HYPERLINK("http://141.218.60.56/~jnz1568/getInfo.php?workbook=10_05.xlsx&amp;sheet=U0&amp;row=1531&amp;col=7&amp;number=0.00933&amp;sourceID=14","0.00933")</f>
        <v>0.00933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HYPERLINK("http://141.218.60.56/~jnz1568/getInfo.php?workbook=10_05.xlsx&amp;sheet=U0&amp;row=1532&amp;col=6&amp;number=3.8&amp;sourceID=14","3.8")</f>
        <v>3.8</v>
      </c>
      <c r="G1532" s="4" t="str">
        <f>HYPERLINK("http://141.218.60.56/~jnz1568/getInfo.php?workbook=10_05.xlsx&amp;sheet=U0&amp;row=1532&amp;col=7&amp;number=0.00927&amp;sourceID=14","0.00927")</f>
        <v>0.00927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HYPERLINK("http://141.218.60.56/~jnz1568/getInfo.php?workbook=10_05.xlsx&amp;sheet=U0&amp;row=1533&amp;col=6&amp;number=3.9&amp;sourceID=14","3.9")</f>
        <v>3.9</v>
      </c>
      <c r="G1533" s="4" t="str">
        <f>HYPERLINK("http://141.218.60.56/~jnz1568/getInfo.php?workbook=10_05.xlsx&amp;sheet=U0&amp;row=1533&amp;col=7&amp;number=0.00919&amp;sourceID=14","0.00919")</f>
        <v>0.00919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HYPERLINK("http://141.218.60.56/~jnz1568/getInfo.php?workbook=10_05.xlsx&amp;sheet=U0&amp;row=1534&amp;col=6&amp;number=4&amp;sourceID=14","4")</f>
        <v>4</v>
      </c>
      <c r="G1534" s="4" t="str">
        <f>HYPERLINK("http://141.218.60.56/~jnz1568/getInfo.php?workbook=10_05.xlsx&amp;sheet=U0&amp;row=1534&amp;col=7&amp;number=0.00909&amp;sourceID=14","0.00909")</f>
        <v>0.00909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HYPERLINK("http://141.218.60.56/~jnz1568/getInfo.php?workbook=10_05.xlsx&amp;sheet=U0&amp;row=1535&amp;col=6&amp;number=4.1&amp;sourceID=14","4.1")</f>
        <v>4.1</v>
      </c>
      <c r="G1535" s="4" t="str">
        <f>HYPERLINK("http://141.218.60.56/~jnz1568/getInfo.php?workbook=10_05.xlsx&amp;sheet=U0&amp;row=1535&amp;col=7&amp;number=0.00897&amp;sourceID=14","0.00897")</f>
        <v>0.00897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HYPERLINK("http://141.218.60.56/~jnz1568/getInfo.php?workbook=10_05.xlsx&amp;sheet=U0&amp;row=1536&amp;col=6&amp;number=4.2&amp;sourceID=14","4.2")</f>
        <v>4.2</v>
      </c>
      <c r="G1536" s="4" t="str">
        <f>HYPERLINK("http://141.218.60.56/~jnz1568/getInfo.php?workbook=10_05.xlsx&amp;sheet=U0&amp;row=1536&amp;col=7&amp;number=0.00881&amp;sourceID=14","0.00881")</f>
        <v>0.00881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HYPERLINK("http://141.218.60.56/~jnz1568/getInfo.php?workbook=10_05.xlsx&amp;sheet=U0&amp;row=1537&amp;col=6&amp;number=4.3&amp;sourceID=14","4.3")</f>
        <v>4.3</v>
      </c>
      <c r="G1537" s="4" t="str">
        <f>HYPERLINK("http://141.218.60.56/~jnz1568/getInfo.php?workbook=10_05.xlsx&amp;sheet=U0&amp;row=1537&amp;col=7&amp;number=0.00859&amp;sourceID=14","0.00859")</f>
        <v>0.00859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HYPERLINK("http://141.218.60.56/~jnz1568/getInfo.php?workbook=10_05.xlsx&amp;sheet=U0&amp;row=1538&amp;col=6&amp;number=4.4&amp;sourceID=14","4.4")</f>
        <v>4.4</v>
      </c>
      <c r="G1538" s="4" t="str">
        <f>HYPERLINK("http://141.218.60.56/~jnz1568/getInfo.php?workbook=10_05.xlsx&amp;sheet=U0&amp;row=1538&amp;col=7&amp;number=0.0083&amp;sourceID=14","0.0083")</f>
        <v>0.0083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HYPERLINK("http://141.218.60.56/~jnz1568/getInfo.php?workbook=10_05.xlsx&amp;sheet=U0&amp;row=1539&amp;col=6&amp;number=4.5&amp;sourceID=14","4.5")</f>
        <v>4.5</v>
      </c>
      <c r="G1539" s="4" t="str">
        <f>HYPERLINK("http://141.218.60.56/~jnz1568/getInfo.php?workbook=10_05.xlsx&amp;sheet=U0&amp;row=1539&amp;col=7&amp;number=0.00792&amp;sourceID=14","0.00792")</f>
        <v>0.00792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HYPERLINK("http://141.218.60.56/~jnz1568/getInfo.php?workbook=10_05.xlsx&amp;sheet=U0&amp;row=1540&amp;col=6&amp;number=4.6&amp;sourceID=14","4.6")</f>
        <v>4.6</v>
      </c>
      <c r="G1540" s="4" t="str">
        <f>HYPERLINK("http://141.218.60.56/~jnz1568/getInfo.php?workbook=10_05.xlsx&amp;sheet=U0&amp;row=1540&amp;col=7&amp;number=0.00745&amp;sourceID=14","0.00745")</f>
        <v>0.00745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HYPERLINK("http://141.218.60.56/~jnz1568/getInfo.php?workbook=10_05.xlsx&amp;sheet=U0&amp;row=1541&amp;col=6&amp;number=4.7&amp;sourceID=14","4.7")</f>
        <v>4.7</v>
      </c>
      <c r="G1541" s="4" t="str">
        <f>HYPERLINK("http://141.218.60.56/~jnz1568/getInfo.php?workbook=10_05.xlsx&amp;sheet=U0&amp;row=1541&amp;col=7&amp;number=0.00691&amp;sourceID=14","0.00691")</f>
        <v>0.00691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HYPERLINK("http://141.218.60.56/~jnz1568/getInfo.php?workbook=10_05.xlsx&amp;sheet=U0&amp;row=1542&amp;col=6&amp;number=4.8&amp;sourceID=14","4.8")</f>
        <v>4.8</v>
      </c>
      <c r="G1542" s="4" t="str">
        <f>HYPERLINK("http://141.218.60.56/~jnz1568/getInfo.php?workbook=10_05.xlsx&amp;sheet=U0&amp;row=1542&amp;col=7&amp;number=0.00636&amp;sourceID=14","0.00636")</f>
        <v>0.00636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HYPERLINK("http://141.218.60.56/~jnz1568/getInfo.php?workbook=10_05.xlsx&amp;sheet=U0&amp;row=1543&amp;col=6&amp;number=4.9&amp;sourceID=14","4.9")</f>
        <v>4.9</v>
      </c>
      <c r="G1543" s="4" t="str">
        <f>HYPERLINK("http://141.218.60.56/~jnz1568/getInfo.php?workbook=10_05.xlsx&amp;sheet=U0&amp;row=1543&amp;col=7&amp;number=0.00582&amp;sourceID=14","0.00582")</f>
        <v>0.00582</v>
      </c>
    </row>
    <row r="1544" spans="1:7">
      <c r="A1544" s="3">
        <v>10</v>
      </c>
      <c r="B1544" s="3">
        <v>5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HYPERLINK("http://141.218.60.56/~jnz1568/getInfo.php?workbook=10_05.xlsx&amp;sheet=U0&amp;row=1544&amp;col=6&amp;number=3&amp;sourceID=14","3")</f>
        <v>3</v>
      </c>
      <c r="G1544" s="4" t="str">
        <f>HYPERLINK("http://141.218.60.56/~jnz1568/getInfo.php?workbook=10_05.xlsx&amp;sheet=U0&amp;row=1544&amp;col=7&amp;number=0.000781&amp;sourceID=14","0.000781")</f>
        <v>0.000781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HYPERLINK("http://141.218.60.56/~jnz1568/getInfo.php?workbook=10_05.xlsx&amp;sheet=U0&amp;row=1545&amp;col=6&amp;number=3.1&amp;sourceID=14","3.1")</f>
        <v>3.1</v>
      </c>
      <c r="G1545" s="4" t="str">
        <f>HYPERLINK("http://141.218.60.56/~jnz1568/getInfo.php?workbook=10_05.xlsx&amp;sheet=U0&amp;row=1545&amp;col=7&amp;number=0.000857&amp;sourceID=14","0.000857")</f>
        <v>0.000857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HYPERLINK("http://141.218.60.56/~jnz1568/getInfo.php?workbook=10_05.xlsx&amp;sheet=U0&amp;row=1546&amp;col=6&amp;number=3.2&amp;sourceID=14","3.2")</f>
        <v>3.2</v>
      </c>
      <c r="G1546" s="4" t="str">
        <f>HYPERLINK("http://141.218.60.56/~jnz1568/getInfo.php?workbook=10_05.xlsx&amp;sheet=U0&amp;row=1546&amp;col=7&amp;number=0.000951&amp;sourceID=14","0.000951")</f>
        <v>0.000951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HYPERLINK("http://141.218.60.56/~jnz1568/getInfo.php?workbook=10_05.xlsx&amp;sheet=U0&amp;row=1547&amp;col=6&amp;number=3.3&amp;sourceID=14","3.3")</f>
        <v>3.3</v>
      </c>
      <c r="G1547" s="4" t="str">
        <f>HYPERLINK("http://141.218.60.56/~jnz1568/getInfo.php?workbook=10_05.xlsx&amp;sheet=U0&amp;row=1547&amp;col=7&amp;number=0.00106&amp;sourceID=14","0.00106")</f>
        <v>0.00106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HYPERLINK("http://141.218.60.56/~jnz1568/getInfo.php?workbook=10_05.xlsx&amp;sheet=U0&amp;row=1548&amp;col=6&amp;number=3.4&amp;sourceID=14","3.4")</f>
        <v>3.4</v>
      </c>
      <c r="G1548" s="4" t="str">
        <f>HYPERLINK("http://141.218.60.56/~jnz1568/getInfo.php?workbook=10_05.xlsx&amp;sheet=U0&amp;row=1548&amp;col=7&amp;number=0.0012&amp;sourceID=14","0.0012")</f>
        <v>0.0012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HYPERLINK("http://141.218.60.56/~jnz1568/getInfo.php?workbook=10_05.xlsx&amp;sheet=U0&amp;row=1549&amp;col=6&amp;number=3.5&amp;sourceID=14","3.5")</f>
        <v>3.5</v>
      </c>
      <c r="G1549" s="4" t="str">
        <f>HYPERLINK("http://141.218.60.56/~jnz1568/getInfo.php?workbook=10_05.xlsx&amp;sheet=U0&amp;row=1549&amp;col=7&amp;number=0.00137&amp;sourceID=14","0.00137")</f>
        <v>0.00137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HYPERLINK("http://141.218.60.56/~jnz1568/getInfo.php?workbook=10_05.xlsx&amp;sheet=U0&amp;row=1550&amp;col=6&amp;number=3.6&amp;sourceID=14","3.6")</f>
        <v>3.6</v>
      </c>
      <c r="G1550" s="4" t="str">
        <f>HYPERLINK("http://141.218.60.56/~jnz1568/getInfo.php?workbook=10_05.xlsx&amp;sheet=U0&amp;row=1550&amp;col=7&amp;number=0.00155&amp;sourceID=14","0.00155")</f>
        <v>0.00155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HYPERLINK("http://141.218.60.56/~jnz1568/getInfo.php?workbook=10_05.xlsx&amp;sheet=U0&amp;row=1551&amp;col=6&amp;number=3.7&amp;sourceID=14","3.7")</f>
        <v>3.7</v>
      </c>
      <c r="G1551" s="4" t="str">
        <f>HYPERLINK("http://141.218.60.56/~jnz1568/getInfo.php?workbook=10_05.xlsx&amp;sheet=U0&amp;row=1551&amp;col=7&amp;number=0.00176&amp;sourceID=14","0.00176")</f>
        <v>0.00176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HYPERLINK("http://141.218.60.56/~jnz1568/getInfo.php?workbook=10_05.xlsx&amp;sheet=U0&amp;row=1552&amp;col=6&amp;number=3.8&amp;sourceID=14","3.8")</f>
        <v>3.8</v>
      </c>
      <c r="G1552" s="4" t="str">
        <f>HYPERLINK("http://141.218.60.56/~jnz1568/getInfo.php?workbook=10_05.xlsx&amp;sheet=U0&amp;row=1552&amp;col=7&amp;number=0.00196&amp;sourceID=14","0.00196")</f>
        <v>0.00196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HYPERLINK("http://141.218.60.56/~jnz1568/getInfo.php?workbook=10_05.xlsx&amp;sheet=U0&amp;row=1553&amp;col=6&amp;number=3.9&amp;sourceID=14","3.9")</f>
        <v>3.9</v>
      </c>
      <c r="G1553" s="4" t="str">
        <f>HYPERLINK("http://141.218.60.56/~jnz1568/getInfo.php?workbook=10_05.xlsx&amp;sheet=U0&amp;row=1553&amp;col=7&amp;number=0.00215&amp;sourceID=14","0.00215")</f>
        <v>0.00215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HYPERLINK("http://141.218.60.56/~jnz1568/getInfo.php?workbook=10_05.xlsx&amp;sheet=U0&amp;row=1554&amp;col=6&amp;number=4&amp;sourceID=14","4")</f>
        <v>4</v>
      </c>
      <c r="G1554" s="4" t="str">
        <f>HYPERLINK("http://141.218.60.56/~jnz1568/getInfo.php?workbook=10_05.xlsx&amp;sheet=U0&amp;row=1554&amp;col=7&amp;number=0.00228&amp;sourceID=14","0.00228")</f>
        <v>0.00228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HYPERLINK("http://141.218.60.56/~jnz1568/getInfo.php?workbook=10_05.xlsx&amp;sheet=U0&amp;row=1555&amp;col=6&amp;number=4.1&amp;sourceID=14","4.1")</f>
        <v>4.1</v>
      </c>
      <c r="G1555" s="4" t="str">
        <f>HYPERLINK("http://141.218.60.56/~jnz1568/getInfo.php?workbook=10_05.xlsx&amp;sheet=U0&amp;row=1555&amp;col=7&amp;number=0.00236&amp;sourceID=14","0.00236")</f>
        <v>0.00236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HYPERLINK("http://141.218.60.56/~jnz1568/getInfo.php?workbook=10_05.xlsx&amp;sheet=U0&amp;row=1556&amp;col=6&amp;number=4.2&amp;sourceID=14","4.2")</f>
        <v>4.2</v>
      </c>
      <c r="G1556" s="4" t="str">
        <f>HYPERLINK("http://141.218.60.56/~jnz1568/getInfo.php?workbook=10_05.xlsx&amp;sheet=U0&amp;row=1556&amp;col=7&amp;number=0.00241&amp;sourceID=14","0.00241")</f>
        <v>0.00241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HYPERLINK("http://141.218.60.56/~jnz1568/getInfo.php?workbook=10_05.xlsx&amp;sheet=U0&amp;row=1557&amp;col=6&amp;number=4.3&amp;sourceID=14","4.3")</f>
        <v>4.3</v>
      </c>
      <c r="G1557" s="4" t="str">
        <f>HYPERLINK("http://141.218.60.56/~jnz1568/getInfo.php?workbook=10_05.xlsx&amp;sheet=U0&amp;row=1557&amp;col=7&amp;number=0.00243&amp;sourceID=14","0.00243")</f>
        <v>0.00243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HYPERLINK("http://141.218.60.56/~jnz1568/getInfo.php?workbook=10_05.xlsx&amp;sheet=U0&amp;row=1558&amp;col=6&amp;number=4.4&amp;sourceID=14","4.4")</f>
        <v>4.4</v>
      </c>
      <c r="G1558" s="4" t="str">
        <f>HYPERLINK("http://141.218.60.56/~jnz1568/getInfo.php?workbook=10_05.xlsx&amp;sheet=U0&amp;row=1558&amp;col=7&amp;number=0.00241&amp;sourceID=14","0.00241")</f>
        <v>0.00241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HYPERLINK("http://141.218.60.56/~jnz1568/getInfo.php?workbook=10_05.xlsx&amp;sheet=U0&amp;row=1559&amp;col=6&amp;number=4.5&amp;sourceID=14","4.5")</f>
        <v>4.5</v>
      </c>
      <c r="G1559" s="4" t="str">
        <f>HYPERLINK("http://141.218.60.56/~jnz1568/getInfo.php?workbook=10_05.xlsx&amp;sheet=U0&amp;row=1559&amp;col=7&amp;number=0.00233&amp;sourceID=14","0.00233")</f>
        <v>0.00233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HYPERLINK("http://141.218.60.56/~jnz1568/getInfo.php?workbook=10_05.xlsx&amp;sheet=U0&amp;row=1560&amp;col=6&amp;number=4.6&amp;sourceID=14","4.6")</f>
        <v>4.6</v>
      </c>
      <c r="G1560" s="4" t="str">
        <f>HYPERLINK("http://141.218.60.56/~jnz1568/getInfo.php?workbook=10_05.xlsx&amp;sheet=U0&amp;row=1560&amp;col=7&amp;number=0.00219&amp;sourceID=14","0.00219")</f>
        <v>0.00219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HYPERLINK("http://141.218.60.56/~jnz1568/getInfo.php?workbook=10_05.xlsx&amp;sheet=U0&amp;row=1561&amp;col=6&amp;number=4.7&amp;sourceID=14","4.7")</f>
        <v>4.7</v>
      </c>
      <c r="G1561" s="4" t="str">
        <f>HYPERLINK("http://141.218.60.56/~jnz1568/getInfo.php?workbook=10_05.xlsx&amp;sheet=U0&amp;row=1561&amp;col=7&amp;number=0.00201&amp;sourceID=14","0.00201")</f>
        <v>0.00201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HYPERLINK("http://141.218.60.56/~jnz1568/getInfo.php?workbook=10_05.xlsx&amp;sheet=U0&amp;row=1562&amp;col=6&amp;number=4.8&amp;sourceID=14","4.8")</f>
        <v>4.8</v>
      </c>
      <c r="G1562" s="4" t="str">
        <f>HYPERLINK("http://141.218.60.56/~jnz1568/getInfo.php?workbook=10_05.xlsx&amp;sheet=U0&amp;row=1562&amp;col=7&amp;number=0.00183&amp;sourceID=14","0.00183")</f>
        <v>0.00183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HYPERLINK("http://141.218.60.56/~jnz1568/getInfo.php?workbook=10_05.xlsx&amp;sheet=U0&amp;row=1563&amp;col=6&amp;number=4.9&amp;sourceID=14","4.9")</f>
        <v>4.9</v>
      </c>
      <c r="G1563" s="4" t="str">
        <f>HYPERLINK("http://141.218.60.56/~jnz1568/getInfo.php?workbook=10_05.xlsx&amp;sheet=U0&amp;row=1563&amp;col=7&amp;number=0.00163&amp;sourceID=14","0.00163")</f>
        <v>0.00163</v>
      </c>
    </row>
    <row r="1564" spans="1:7">
      <c r="A1564" s="3">
        <v>10</v>
      </c>
      <c r="B1564" s="3">
        <v>5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HYPERLINK("http://141.218.60.56/~jnz1568/getInfo.php?workbook=10_05.xlsx&amp;sheet=U0&amp;row=1564&amp;col=6&amp;number=3&amp;sourceID=14","3")</f>
        <v>3</v>
      </c>
      <c r="G1564" s="4" t="str">
        <f>HYPERLINK("http://141.218.60.56/~jnz1568/getInfo.php?workbook=10_05.xlsx&amp;sheet=U0&amp;row=1564&amp;col=7&amp;number=0.0104&amp;sourceID=14","0.0104")</f>
        <v>0.0104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HYPERLINK("http://141.218.60.56/~jnz1568/getInfo.php?workbook=10_05.xlsx&amp;sheet=U0&amp;row=1565&amp;col=6&amp;number=3.1&amp;sourceID=14","3.1")</f>
        <v>3.1</v>
      </c>
      <c r="G1565" s="4" t="str">
        <f>HYPERLINK("http://141.218.60.56/~jnz1568/getInfo.php?workbook=10_05.xlsx&amp;sheet=U0&amp;row=1565&amp;col=7&amp;number=0.0104&amp;sourceID=14","0.0104")</f>
        <v>0.0104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HYPERLINK("http://141.218.60.56/~jnz1568/getInfo.php?workbook=10_05.xlsx&amp;sheet=U0&amp;row=1566&amp;col=6&amp;number=3.2&amp;sourceID=14","3.2")</f>
        <v>3.2</v>
      </c>
      <c r="G1566" s="4" t="str">
        <f>HYPERLINK("http://141.218.60.56/~jnz1568/getInfo.php?workbook=10_05.xlsx&amp;sheet=U0&amp;row=1566&amp;col=7&amp;number=0.0104&amp;sourceID=14","0.0104")</f>
        <v>0.0104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HYPERLINK("http://141.218.60.56/~jnz1568/getInfo.php?workbook=10_05.xlsx&amp;sheet=U0&amp;row=1567&amp;col=6&amp;number=3.3&amp;sourceID=14","3.3")</f>
        <v>3.3</v>
      </c>
      <c r="G1567" s="4" t="str">
        <f>HYPERLINK("http://141.218.60.56/~jnz1568/getInfo.php?workbook=10_05.xlsx&amp;sheet=U0&amp;row=1567&amp;col=7&amp;number=0.0103&amp;sourceID=14","0.0103")</f>
        <v>0.0103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HYPERLINK("http://141.218.60.56/~jnz1568/getInfo.php?workbook=10_05.xlsx&amp;sheet=U0&amp;row=1568&amp;col=6&amp;number=3.4&amp;sourceID=14","3.4")</f>
        <v>3.4</v>
      </c>
      <c r="G1568" s="4" t="str">
        <f>HYPERLINK("http://141.218.60.56/~jnz1568/getInfo.php?workbook=10_05.xlsx&amp;sheet=U0&amp;row=1568&amp;col=7&amp;number=0.0103&amp;sourceID=14","0.0103")</f>
        <v>0.0103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HYPERLINK("http://141.218.60.56/~jnz1568/getInfo.php?workbook=10_05.xlsx&amp;sheet=U0&amp;row=1569&amp;col=6&amp;number=3.5&amp;sourceID=14","3.5")</f>
        <v>3.5</v>
      </c>
      <c r="G1569" s="4" t="str">
        <f>HYPERLINK("http://141.218.60.56/~jnz1568/getInfo.php?workbook=10_05.xlsx&amp;sheet=U0&amp;row=1569&amp;col=7&amp;number=0.0103&amp;sourceID=14","0.0103")</f>
        <v>0.0103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HYPERLINK("http://141.218.60.56/~jnz1568/getInfo.php?workbook=10_05.xlsx&amp;sheet=U0&amp;row=1570&amp;col=6&amp;number=3.6&amp;sourceID=14","3.6")</f>
        <v>3.6</v>
      </c>
      <c r="G1570" s="4" t="str">
        <f>HYPERLINK("http://141.218.60.56/~jnz1568/getInfo.php?workbook=10_05.xlsx&amp;sheet=U0&amp;row=1570&amp;col=7&amp;number=0.0102&amp;sourceID=14","0.0102")</f>
        <v>0.0102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HYPERLINK("http://141.218.60.56/~jnz1568/getInfo.php?workbook=10_05.xlsx&amp;sheet=U0&amp;row=1571&amp;col=6&amp;number=3.7&amp;sourceID=14","3.7")</f>
        <v>3.7</v>
      </c>
      <c r="G1571" s="4" t="str">
        <f>HYPERLINK("http://141.218.60.56/~jnz1568/getInfo.php?workbook=10_05.xlsx&amp;sheet=U0&amp;row=1571&amp;col=7&amp;number=0.0102&amp;sourceID=14","0.0102")</f>
        <v>0.0102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HYPERLINK("http://141.218.60.56/~jnz1568/getInfo.php?workbook=10_05.xlsx&amp;sheet=U0&amp;row=1572&amp;col=6&amp;number=3.8&amp;sourceID=14","3.8")</f>
        <v>3.8</v>
      </c>
      <c r="G1572" s="4" t="str">
        <f>HYPERLINK("http://141.218.60.56/~jnz1568/getInfo.php?workbook=10_05.xlsx&amp;sheet=U0&amp;row=1572&amp;col=7&amp;number=0.0101&amp;sourceID=14","0.0101")</f>
        <v>0.0101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HYPERLINK("http://141.218.60.56/~jnz1568/getInfo.php?workbook=10_05.xlsx&amp;sheet=U0&amp;row=1573&amp;col=6&amp;number=3.9&amp;sourceID=14","3.9")</f>
        <v>3.9</v>
      </c>
      <c r="G1573" s="4" t="str">
        <f>HYPERLINK("http://141.218.60.56/~jnz1568/getInfo.php?workbook=10_05.xlsx&amp;sheet=U0&amp;row=1573&amp;col=7&amp;number=0.0101&amp;sourceID=14","0.0101")</f>
        <v>0.0101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HYPERLINK("http://141.218.60.56/~jnz1568/getInfo.php?workbook=10_05.xlsx&amp;sheet=U0&amp;row=1574&amp;col=6&amp;number=4&amp;sourceID=14","4")</f>
        <v>4</v>
      </c>
      <c r="G1574" s="4" t="str">
        <f>HYPERLINK("http://141.218.60.56/~jnz1568/getInfo.php?workbook=10_05.xlsx&amp;sheet=U0&amp;row=1574&amp;col=7&amp;number=0.00995&amp;sourceID=14","0.00995")</f>
        <v>0.00995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HYPERLINK("http://141.218.60.56/~jnz1568/getInfo.php?workbook=10_05.xlsx&amp;sheet=U0&amp;row=1575&amp;col=6&amp;number=4.1&amp;sourceID=14","4.1")</f>
        <v>4.1</v>
      </c>
      <c r="G1575" s="4" t="str">
        <f>HYPERLINK("http://141.218.60.56/~jnz1568/getInfo.php?workbook=10_05.xlsx&amp;sheet=U0&amp;row=1575&amp;col=7&amp;number=0.00981&amp;sourceID=14","0.00981")</f>
        <v>0.00981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HYPERLINK("http://141.218.60.56/~jnz1568/getInfo.php?workbook=10_05.xlsx&amp;sheet=U0&amp;row=1576&amp;col=6&amp;number=4.2&amp;sourceID=14","4.2")</f>
        <v>4.2</v>
      </c>
      <c r="G1576" s="4" t="str">
        <f>HYPERLINK("http://141.218.60.56/~jnz1568/getInfo.php?workbook=10_05.xlsx&amp;sheet=U0&amp;row=1576&amp;col=7&amp;number=0.00963&amp;sourceID=14","0.00963")</f>
        <v>0.00963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HYPERLINK("http://141.218.60.56/~jnz1568/getInfo.php?workbook=10_05.xlsx&amp;sheet=U0&amp;row=1577&amp;col=6&amp;number=4.3&amp;sourceID=14","4.3")</f>
        <v>4.3</v>
      </c>
      <c r="G1577" s="4" t="str">
        <f>HYPERLINK("http://141.218.60.56/~jnz1568/getInfo.php?workbook=10_05.xlsx&amp;sheet=U0&amp;row=1577&amp;col=7&amp;number=0.0094&amp;sourceID=14","0.0094")</f>
        <v>0.0094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HYPERLINK("http://141.218.60.56/~jnz1568/getInfo.php?workbook=10_05.xlsx&amp;sheet=U0&amp;row=1578&amp;col=6&amp;number=4.4&amp;sourceID=14","4.4")</f>
        <v>4.4</v>
      </c>
      <c r="G1578" s="4" t="str">
        <f>HYPERLINK("http://141.218.60.56/~jnz1568/getInfo.php?workbook=10_05.xlsx&amp;sheet=U0&amp;row=1578&amp;col=7&amp;number=0.00907&amp;sourceID=14","0.00907")</f>
        <v>0.00907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HYPERLINK("http://141.218.60.56/~jnz1568/getInfo.php?workbook=10_05.xlsx&amp;sheet=U0&amp;row=1579&amp;col=6&amp;number=4.5&amp;sourceID=14","4.5")</f>
        <v>4.5</v>
      </c>
      <c r="G1579" s="4" t="str">
        <f>HYPERLINK("http://141.218.60.56/~jnz1568/getInfo.php?workbook=10_05.xlsx&amp;sheet=U0&amp;row=1579&amp;col=7&amp;number=0.00863&amp;sourceID=14","0.00863")</f>
        <v>0.00863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HYPERLINK("http://141.218.60.56/~jnz1568/getInfo.php?workbook=10_05.xlsx&amp;sheet=U0&amp;row=1580&amp;col=6&amp;number=4.6&amp;sourceID=14","4.6")</f>
        <v>4.6</v>
      </c>
      <c r="G1580" s="4" t="str">
        <f>HYPERLINK("http://141.218.60.56/~jnz1568/getInfo.php?workbook=10_05.xlsx&amp;sheet=U0&amp;row=1580&amp;col=7&amp;number=0.00808&amp;sourceID=14","0.00808")</f>
        <v>0.00808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HYPERLINK("http://141.218.60.56/~jnz1568/getInfo.php?workbook=10_05.xlsx&amp;sheet=U0&amp;row=1581&amp;col=6&amp;number=4.7&amp;sourceID=14","4.7")</f>
        <v>4.7</v>
      </c>
      <c r="G1581" s="4" t="str">
        <f>HYPERLINK("http://141.218.60.56/~jnz1568/getInfo.php?workbook=10_05.xlsx&amp;sheet=U0&amp;row=1581&amp;col=7&amp;number=0.00743&amp;sourceID=14","0.00743")</f>
        <v>0.00743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HYPERLINK("http://141.218.60.56/~jnz1568/getInfo.php?workbook=10_05.xlsx&amp;sheet=U0&amp;row=1582&amp;col=6&amp;number=4.8&amp;sourceID=14","4.8")</f>
        <v>4.8</v>
      </c>
      <c r="G1582" s="4" t="str">
        <f>HYPERLINK("http://141.218.60.56/~jnz1568/getInfo.php?workbook=10_05.xlsx&amp;sheet=U0&amp;row=1582&amp;col=7&amp;number=0.00674&amp;sourceID=14","0.00674")</f>
        <v>0.00674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HYPERLINK("http://141.218.60.56/~jnz1568/getInfo.php?workbook=10_05.xlsx&amp;sheet=U0&amp;row=1583&amp;col=6&amp;number=4.9&amp;sourceID=14","4.9")</f>
        <v>4.9</v>
      </c>
      <c r="G1583" s="4" t="str">
        <f>HYPERLINK("http://141.218.60.56/~jnz1568/getInfo.php?workbook=10_05.xlsx&amp;sheet=U0&amp;row=1583&amp;col=7&amp;number=0.00604&amp;sourceID=14","0.00604")</f>
        <v>0.00604</v>
      </c>
    </row>
    <row r="1584" spans="1:7">
      <c r="A1584" s="3">
        <v>10</v>
      </c>
      <c r="B1584" s="3">
        <v>5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HYPERLINK("http://141.218.60.56/~jnz1568/getInfo.php?workbook=10_05.xlsx&amp;sheet=U0&amp;row=1584&amp;col=6&amp;number=3&amp;sourceID=14","3")</f>
        <v>3</v>
      </c>
      <c r="G1584" s="4" t="str">
        <f>HYPERLINK("http://141.218.60.56/~jnz1568/getInfo.php?workbook=10_05.xlsx&amp;sheet=U0&amp;row=1584&amp;col=7&amp;number=0.0075&amp;sourceID=14","0.0075")</f>
        <v>0.0075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HYPERLINK("http://141.218.60.56/~jnz1568/getInfo.php?workbook=10_05.xlsx&amp;sheet=U0&amp;row=1585&amp;col=6&amp;number=3.1&amp;sourceID=14","3.1")</f>
        <v>3.1</v>
      </c>
      <c r="G1585" s="4" t="str">
        <f>HYPERLINK("http://141.218.60.56/~jnz1568/getInfo.php?workbook=10_05.xlsx&amp;sheet=U0&amp;row=1585&amp;col=7&amp;number=0.0075&amp;sourceID=14","0.0075")</f>
        <v>0.0075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HYPERLINK("http://141.218.60.56/~jnz1568/getInfo.php?workbook=10_05.xlsx&amp;sheet=U0&amp;row=1586&amp;col=6&amp;number=3.2&amp;sourceID=14","3.2")</f>
        <v>3.2</v>
      </c>
      <c r="G1586" s="4" t="str">
        <f>HYPERLINK("http://141.218.60.56/~jnz1568/getInfo.php?workbook=10_05.xlsx&amp;sheet=U0&amp;row=1586&amp;col=7&amp;number=0.00749&amp;sourceID=14","0.00749")</f>
        <v>0.00749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HYPERLINK("http://141.218.60.56/~jnz1568/getInfo.php?workbook=10_05.xlsx&amp;sheet=U0&amp;row=1587&amp;col=6&amp;number=3.3&amp;sourceID=14","3.3")</f>
        <v>3.3</v>
      </c>
      <c r="G1587" s="4" t="str">
        <f>HYPERLINK("http://141.218.60.56/~jnz1568/getInfo.php?workbook=10_05.xlsx&amp;sheet=U0&amp;row=1587&amp;col=7&amp;number=0.00748&amp;sourceID=14","0.00748")</f>
        <v>0.00748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HYPERLINK("http://141.218.60.56/~jnz1568/getInfo.php?workbook=10_05.xlsx&amp;sheet=U0&amp;row=1588&amp;col=6&amp;number=3.4&amp;sourceID=14","3.4")</f>
        <v>3.4</v>
      </c>
      <c r="G1588" s="4" t="str">
        <f>HYPERLINK("http://141.218.60.56/~jnz1568/getInfo.php?workbook=10_05.xlsx&amp;sheet=U0&amp;row=1588&amp;col=7&amp;number=0.00747&amp;sourceID=14","0.00747")</f>
        <v>0.00747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HYPERLINK("http://141.218.60.56/~jnz1568/getInfo.php?workbook=10_05.xlsx&amp;sheet=U0&amp;row=1589&amp;col=6&amp;number=3.5&amp;sourceID=14","3.5")</f>
        <v>3.5</v>
      </c>
      <c r="G1589" s="4" t="str">
        <f>HYPERLINK("http://141.218.60.56/~jnz1568/getInfo.php?workbook=10_05.xlsx&amp;sheet=U0&amp;row=1589&amp;col=7&amp;number=0.00746&amp;sourceID=14","0.00746")</f>
        <v>0.00746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HYPERLINK("http://141.218.60.56/~jnz1568/getInfo.php?workbook=10_05.xlsx&amp;sheet=U0&amp;row=1590&amp;col=6&amp;number=3.6&amp;sourceID=14","3.6")</f>
        <v>3.6</v>
      </c>
      <c r="G1590" s="4" t="str">
        <f>HYPERLINK("http://141.218.60.56/~jnz1568/getInfo.php?workbook=10_05.xlsx&amp;sheet=U0&amp;row=1590&amp;col=7&amp;number=0.00744&amp;sourceID=14","0.00744")</f>
        <v>0.00744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HYPERLINK("http://141.218.60.56/~jnz1568/getInfo.php?workbook=10_05.xlsx&amp;sheet=U0&amp;row=1591&amp;col=6&amp;number=3.7&amp;sourceID=14","3.7")</f>
        <v>3.7</v>
      </c>
      <c r="G1591" s="4" t="str">
        <f>HYPERLINK("http://141.218.60.56/~jnz1568/getInfo.php?workbook=10_05.xlsx&amp;sheet=U0&amp;row=1591&amp;col=7&amp;number=0.00742&amp;sourceID=14","0.00742")</f>
        <v>0.00742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HYPERLINK("http://141.218.60.56/~jnz1568/getInfo.php?workbook=10_05.xlsx&amp;sheet=U0&amp;row=1592&amp;col=6&amp;number=3.8&amp;sourceID=14","3.8")</f>
        <v>3.8</v>
      </c>
      <c r="G1592" s="4" t="str">
        <f>HYPERLINK("http://141.218.60.56/~jnz1568/getInfo.php?workbook=10_05.xlsx&amp;sheet=U0&amp;row=1592&amp;col=7&amp;number=0.00739&amp;sourceID=14","0.00739")</f>
        <v>0.00739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HYPERLINK("http://141.218.60.56/~jnz1568/getInfo.php?workbook=10_05.xlsx&amp;sheet=U0&amp;row=1593&amp;col=6&amp;number=3.9&amp;sourceID=14","3.9")</f>
        <v>3.9</v>
      </c>
      <c r="G1593" s="4" t="str">
        <f>HYPERLINK("http://141.218.60.56/~jnz1568/getInfo.php?workbook=10_05.xlsx&amp;sheet=U0&amp;row=1593&amp;col=7&amp;number=0.00735&amp;sourceID=14","0.00735")</f>
        <v>0.00735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HYPERLINK("http://141.218.60.56/~jnz1568/getInfo.php?workbook=10_05.xlsx&amp;sheet=U0&amp;row=1594&amp;col=6&amp;number=4&amp;sourceID=14","4")</f>
        <v>4</v>
      </c>
      <c r="G1594" s="4" t="str">
        <f>HYPERLINK("http://141.218.60.56/~jnz1568/getInfo.php?workbook=10_05.xlsx&amp;sheet=U0&amp;row=1594&amp;col=7&amp;number=0.0073&amp;sourceID=14","0.0073")</f>
        <v>0.0073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HYPERLINK("http://141.218.60.56/~jnz1568/getInfo.php?workbook=10_05.xlsx&amp;sheet=U0&amp;row=1595&amp;col=6&amp;number=4.1&amp;sourceID=14","4.1")</f>
        <v>4.1</v>
      </c>
      <c r="G1595" s="4" t="str">
        <f>HYPERLINK("http://141.218.60.56/~jnz1568/getInfo.php?workbook=10_05.xlsx&amp;sheet=U0&amp;row=1595&amp;col=7&amp;number=0.00723&amp;sourceID=14","0.00723")</f>
        <v>0.00723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HYPERLINK("http://141.218.60.56/~jnz1568/getInfo.php?workbook=10_05.xlsx&amp;sheet=U0&amp;row=1596&amp;col=6&amp;number=4.2&amp;sourceID=14","4.2")</f>
        <v>4.2</v>
      </c>
      <c r="G1596" s="4" t="str">
        <f>HYPERLINK("http://141.218.60.56/~jnz1568/getInfo.php?workbook=10_05.xlsx&amp;sheet=U0&amp;row=1596&amp;col=7&amp;number=0.00712&amp;sourceID=14","0.00712")</f>
        <v>0.00712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HYPERLINK("http://141.218.60.56/~jnz1568/getInfo.php?workbook=10_05.xlsx&amp;sheet=U0&amp;row=1597&amp;col=6&amp;number=4.3&amp;sourceID=14","4.3")</f>
        <v>4.3</v>
      </c>
      <c r="G1597" s="4" t="str">
        <f>HYPERLINK("http://141.218.60.56/~jnz1568/getInfo.php?workbook=10_05.xlsx&amp;sheet=U0&amp;row=1597&amp;col=7&amp;number=0.00697&amp;sourceID=14","0.00697")</f>
        <v>0.00697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HYPERLINK("http://141.218.60.56/~jnz1568/getInfo.php?workbook=10_05.xlsx&amp;sheet=U0&amp;row=1598&amp;col=6&amp;number=4.4&amp;sourceID=14","4.4")</f>
        <v>4.4</v>
      </c>
      <c r="G1598" s="4" t="str">
        <f>HYPERLINK("http://141.218.60.56/~jnz1568/getInfo.php?workbook=10_05.xlsx&amp;sheet=U0&amp;row=1598&amp;col=7&amp;number=0.00673&amp;sourceID=14","0.00673")</f>
        <v>0.00673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HYPERLINK("http://141.218.60.56/~jnz1568/getInfo.php?workbook=10_05.xlsx&amp;sheet=U0&amp;row=1599&amp;col=6&amp;number=4.5&amp;sourceID=14","4.5")</f>
        <v>4.5</v>
      </c>
      <c r="G1599" s="4" t="str">
        <f>HYPERLINK("http://141.218.60.56/~jnz1568/getInfo.php?workbook=10_05.xlsx&amp;sheet=U0&amp;row=1599&amp;col=7&amp;number=0.00639&amp;sourceID=14","0.00639")</f>
        <v>0.00639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HYPERLINK("http://141.218.60.56/~jnz1568/getInfo.php?workbook=10_05.xlsx&amp;sheet=U0&amp;row=1600&amp;col=6&amp;number=4.6&amp;sourceID=14","4.6")</f>
        <v>4.6</v>
      </c>
      <c r="G1600" s="4" t="str">
        <f>HYPERLINK("http://141.218.60.56/~jnz1568/getInfo.php?workbook=10_05.xlsx&amp;sheet=U0&amp;row=1600&amp;col=7&amp;number=0.00595&amp;sourceID=14","0.00595")</f>
        <v>0.00595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HYPERLINK("http://141.218.60.56/~jnz1568/getInfo.php?workbook=10_05.xlsx&amp;sheet=U0&amp;row=1601&amp;col=6&amp;number=4.7&amp;sourceID=14","4.7")</f>
        <v>4.7</v>
      </c>
      <c r="G1601" s="4" t="str">
        <f>HYPERLINK("http://141.218.60.56/~jnz1568/getInfo.php?workbook=10_05.xlsx&amp;sheet=U0&amp;row=1601&amp;col=7&amp;number=0.00543&amp;sourceID=14","0.00543")</f>
        <v>0.00543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HYPERLINK("http://141.218.60.56/~jnz1568/getInfo.php?workbook=10_05.xlsx&amp;sheet=U0&amp;row=1602&amp;col=6&amp;number=4.8&amp;sourceID=14","4.8")</f>
        <v>4.8</v>
      </c>
      <c r="G1602" s="4" t="str">
        <f>HYPERLINK("http://141.218.60.56/~jnz1568/getInfo.php?workbook=10_05.xlsx&amp;sheet=U0&amp;row=1602&amp;col=7&amp;number=0.00489&amp;sourceID=14","0.00489")</f>
        <v>0.00489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HYPERLINK("http://141.218.60.56/~jnz1568/getInfo.php?workbook=10_05.xlsx&amp;sheet=U0&amp;row=1603&amp;col=6&amp;number=4.9&amp;sourceID=14","4.9")</f>
        <v>4.9</v>
      </c>
      <c r="G1603" s="4" t="str">
        <f>HYPERLINK("http://141.218.60.56/~jnz1568/getInfo.php?workbook=10_05.xlsx&amp;sheet=U0&amp;row=1603&amp;col=7&amp;number=0.00436&amp;sourceID=14","0.00436")</f>
        <v>0.00436</v>
      </c>
    </row>
    <row r="1604" spans="1:7">
      <c r="A1604" s="3">
        <v>10</v>
      </c>
      <c r="B1604" s="3">
        <v>5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HYPERLINK("http://141.218.60.56/~jnz1568/getInfo.php?workbook=10_05.xlsx&amp;sheet=U0&amp;row=1604&amp;col=6&amp;number=3&amp;sourceID=14","3")</f>
        <v>3</v>
      </c>
      <c r="G1604" s="4" t="str">
        <f>HYPERLINK("http://141.218.60.56/~jnz1568/getInfo.php?workbook=10_05.xlsx&amp;sheet=U0&amp;row=1604&amp;col=7&amp;number=0.00149&amp;sourceID=14","0.00149")</f>
        <v>0.00149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HYPERLINK("http://141.218.60.56/~jnz1568/getInfo.php?workbook=10_05.xlsx&amp;sheet=U0&amp;row=1605&amp;col=6&amp;number=3.1&amp;sourceID=14","3.1")</f>
        <v>3.1</v>
      </c>
      <c r="G1605" s="4" t="str">
        <f>HYPERLINK("http://141.218.60.56/~jnz1568/getInfo.php?workbook=10_05.xlsx&amp;sheet=U0&amp;row=1605&amp;col=7&amp;number=0.00149&amp;sourceID=14","0.00149")</f>
        <v>0.00149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HYPERLINK("http://141.218.60.56/~jnz1568/getInfo.php?workbook=10_05.xlsx&amp;sheet=U0&amp;row=1606&amp;col=6&amp;number=3.2&amp;sourceID=14","3.2")</f>
        <v>3.2</v>
      </c>
      <c r="G1606" s="4" t="str">
        <f>HYPERLINK("http://141.218.60.56/~jnz1568/getInfo.php?workbook=10_05.xlsx&amp;sheet=U0&amp;row=1606&amp;col=7&amp;number=0.00149&amp;sourceID=14","0.00149")</f>
        <v>0.00149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HYPERLINK("http://141.218.60.56/~jnz1568/getInfo.php?workbook=10_05.xlsx&amp;sheet=U0&amp;row=1607&amp;col=6&amp;number=3.3&amp;sourceID=14","3.3")</f>
        <v>3.3</v>
      </c>
      <c r="G1607" s="4" t="str">
        <f>HYPERLINK("http://141.218.60.56/~jnz1568/getInfo.php?workbook=10_05.xlsx&amp;sheet=U0&amp;row=1607&amp;col=7&amp;number=0.00148&amp;sourceID=14","0.00148")</f>
        <v>0.00148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HYPERLINK("http://141.218.60.56/~jnz1568/getInfo.php?workbook=10_05.xlsx&amp;sheet=U0&amp;row=1608&amp;col=6&amp;number=3.4&amp;sourceID=14","3.4")</f>
        <v>3.4</v>
      </c>
      <c r="G1608" s="4" t="str">
        <f>HYPERLINK("http://141.218.60.56/~jnz1568/getInfo.php?workbook=10_05.xlsx&amp;sheet=U0&amp;row=1608&amp;col=7&amp;number=0.00148&amp;sourceID=14","0.00148")</f>
        <v>0.00148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HYPERLINK("http://141.218.60.56/~jnz1568/getInfo.php?workbook=10_05.xlsx&amp;sheet=U0&amp;row=1609&amp;col=6&amp;number=3.5&amp;sourceID=14","3.5")</f>
        <v>3.5</v>
      </c>
      <c r="G1609" s="4" t="str">
        <f>HYPERLINK("http://141.218.60.56/~jnz1568/getInfo.php?workbook=10_05.xlsx&amp;sheet=U0&amp;row=1609&amp;col=7&amp;number=0.00147&amp;sourceID=14","0.00147")</f>
        <v>0.00147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HYPERLINK("http://141.218.60.56/~jnz1568/getInfo.php?workbook=10_05.xlsx&amp;sheet=U0&amp;row=1610&amp;col=6&amp;number=3.6&amp;sourceID=14","3.6")</f>
        <v>3.6</v>
      </c>
      <c r="G1610" s="4" t="str">
        <f>HYPERLINK("http://141.218.60.56/~jnz1568/getInfo.php?workbook=10_05.xlsx&amp;sheet=U0&amp;row=1610&amp;col=7&amp;number=0.00146&amp;sourceID=14","0.00146")</f>
        <v>0.00146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HYPERLINK("http://141.218.60.56/~jnz1568/getInfo.php?workbook=10_05.xlsx&amp;sheet=U0&amp;row=1611&amp;col=6&amp;number=3.7&amp;sourceID=14","3.7")</f>
        <v>3.7</v>
      </c>
      <c r="G1611" s="4" t="str">
        <f>HYPERLINK("http://141.218.60.56/~jnz1568/getInfo.php?workbook=10_05.xlsx&amp;sheet=U0&amp;row=1611&amp;col=7&amp;number=0.00145&amp;sourceID=14","0.00145")</f>
        <v>0.00145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HYPERLINK("http://141.218.60.56/~jnz1568/getInfo.php?workbook=10_05.xlsx&amp;sheet=U0&amp;row=1612&amp;col=6&amp;number=3.8&amp;sourceID=14","3.8")</f>
        <v>3.8</v>
      </c>
      <c r="G1612" s="4" t="str">
        <f>HYPERLINK("http://141.218.60.56/~jnz1568/getInfo.php?workbook=10_05.xlsx&amp;sheet=U0&amp;row=1612&amp;col=7&amp;number=0.00143&amp;sourceID=14","0.00143")</f>
        <v>0.00143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HYPERLINK("http://141.218.60.56/~jnz1568/getInfo.php?workbook=10_05.xlsx&amp;sheet=U0&amp;row=1613&amp;col=6&amp;number=3.9&amp;sourceID=14","3.9")</f>
        <v>3.9</v>
      </c>
      <c r="G1613" s="4" t="str">
        <f>HYPERLINK("http://141.218.60.56/~jnz1568/getInfo.php?workbook=10_05.xlsx&amp;sheet=U0&amp;row=1613&amp;col=7&amp;number=0.00141&amp;sourceID=14","0.00141")</f>
        <v>0.00141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HYPERLINK("http://141.218.60.56/~jnz1568/getInfo.php?workbook=10_05.xlsx&amp;sheet=U0&amp;row=1614&amp;col=6&amp;number=4&amp;sourceID=14","4")</f>
        <v>4</v>
      </c>
      <c r="G1614" s="4" t="str">
        <f>HYPERLINK("http://141.218.60.56/~jnz1568/getInfo.php?workbook=10_05.xlsx&amp;sheet=U0&amp;row=1614&amp;col=7&amp;number=0.00139&amp;sourceID=14","0.00139")</f>
        <v>0.00139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HYPERLINK("http://141.218.60.56/~jnz1568/getInfo.php?workbook=10_05.xlsx&amp;sheet=U0&amp;row=1615&amp;col=6&amp;number=4.1&amp;sourceID=14","4.1")</f>
        <v>4.1</v>
      </c>
      <c r="G1615" s="4" t="str">
        <f>HYPERLINK("http://141.218.60.56/~jnz1568/getInfo.php?workbook=10_05.xlsx&amp;sheet=U0&amp;row=1615&amp;col=7&amp;number=0.00136&amp;sourceID=14","0.00136")</f>
        <v>0.00136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HYPERLINK("http://141.218.60.56/~jnz1568/getInfo.php?workbook=10_05.xlsx&amp;sheet=U0&amp;row=1616&amp;col=6&amp;number=4.2&amp;sourceID=14","4.2")</f>
        <v>4.2</v>
      </c>
      <c r="G1616" s="4" t="str">
        <f>HYPERLINK("http://141.218.60.56/~jnz1568/getInfo.php?workbook=10_05.xlsx&amp;sheet=U0&amp;row=1616&amp;col=7&amp;number=0.00132&amp;sourceID=14","0.00132")</f>
        <v>0.00132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HYPERLINK("http://141.218.60.56/~jnz1568/getInfo.php?workbook=10_05.xlsx&amp;sheet=U0&amp;row=1617&amp;col=6&amp;number=4.3&amp;sourceID=14","4.3")</f>
        <v>4.3</v>
      </c>
      <c r="G1617" s="4" t="str">
        <f>HYPERLINK("http://141.218.60.56/~jnz1568/getInfo.php?workbook=10_05.xlsx&amp;sheet=U0&amp;row=1617&amp;col=7&amp;number=0.00128&amp;sourceID=14","0.00128")</f>
        <v>0.00128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HYPERLINK("http://141.218.60.56/~jnz1568/getInfo.php?workbook=10_05.xlsx&amp;sheet=U0&amp;row=1618&amp;col=6&amp;number=4.4&amp;sourceID=14","4.4")</f>
        <v>4.4</v>
      </c>
      <c r="G1618" s="4" t="str">
        <f>HYPERLINK("http://141.218.60.56/~jnz1568/getInfo.php?workbook=10_05.xlsx&amp;sheet=U0&amp;row=1618&amp;col=7&amp;number=0.00122&amp;sourceID=14","0.00122")</f>
        <v>0.00122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HYPERLINK("http://141.218.60.56/~jnz1568/getInfo.php?workbook=10_05.xlsx&amp;sheet=U0&amp;row=1619&amp;col=6&amp;number=4.5&amp;sourceID=14","4.5")</f>
        <v>4.5</v>
      </c>
      <c r="G1619" s="4" t="str">
        <f>HYPERLINK("http://141.218.60.56/~jnz1568/getInfo.php?workbook=10_05.xlsx&amp;sheet=U0&amp;row=1619&amp;col=7&amp;number=0.00115&amp;sourceID=14","0.00115")</f>
        <v>0.00115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HYPERLINK("http://141.218.60.56/~jnz1568/getInfo.php?workbook=10_05.xlsx&amp;sheet=U0&amp;row=1620&amp;col=6&amp;number=4.6&amp;sourceID=14","4.6")</f>
        <v>4.6</v>
      </c>
      <c r="G1620" s="4" t="str">
        <f>HYPERLINK("http://141.218.60.56/~jnz1568/getInfo.php?workbook=10_05.xlsx&amp;sheet=U0&amp;row=1620&amp;col=7&amp;number=0.00107&amp;sourceID=14","0.00107")</f>
        <v>0.00107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HYPERLINK("http://141.218.60.56/~jnz1568/getInfo.php?workbook=10_05.xlsx&amp;sheet=U0&amp;row=1621&amp;col=6&amp;number=4.7&amp;sourceID=14","4.7")</f>
        <v>4.7</v>
      </c>
      <c r="G1621" s="4" t="str">
        <f>HYPERLINK("http://141.218.60.56/~jnz1568/getInfo.php?workbook=10_05.xlsx&amp;sheet=U0&amp;row=1621&amp;col=7&amp;number=0.000983&amp;sourceID=14","0.000983")</f>
        <v>0.000983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HYPERLINK("http://141.218.60.56/~jnz1568/getInfo.php?workbook=10_05.xlsx&amp;sheet=U0&amp;row=1622&amp;col=6&amp;number=4.8&amp;sourceID=14","4.8")</f>
        <v>4.8</v>
      </c>
      <c r="G1622" s="4" t="str">
        <f>HYPERLINK("http://141.218.60.56/~jnz1568/getInfo.php?workbook=10_05.xlsx&amp;sheet=U0&amp;row=1622&amp;col=7&amp;number=0.000892&amp;sourceID=14","0.000892")</f>
        <v>0.000892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HYPERLINK("http://141.218.60.56/~jnz1568/getInfo.php?workbook=10_05.xlsx&amp;sheet=U0&amp;row=1623&amp;col=6&amp;number=4.9&amp;sourceID=14","4.9")</f>
        <v>4.9</v>
      </c>
      <c r="G1623" s="4" t="str">
        <f>HYPERLINK("http://141.218.60.56/~jnz1568/getInfo.php?workbook=10_05.xlsx&amp;sheet=U0&amp;row=1623&amp;col=7&amp;number=0.000803&amp;sourceID=14","0.000803")</f>
        <v>0.000803</v>
      </c>
    </row>
    <row r="1624" spans="1:7">
      <c r="A1624" s="3">
        <v>10</v>
      </c>
      <c r="B1624" s="3">
        <v>5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HYPERLINK("http://141.218.60.56/~jnz1568/getInfo.php?workbook=10_05.xlsx&amp;sheet=U0&amp;row=1624&amp;col=6&amp;number=3&amp;sourceID=14","3")</f>
        <v>3</v>
      </c>
      <c r="G1624" s="4" t="str">
        <f>HYPERLINK("http://141.218.60.56/~jnz1568/getInfo.php?workbook=10_05.xlsx&amp;sheet=U0&amp;row=1624&amp;col=7&amp;number=0.00282&amp;sourceID=14","0.00282")</f>
        <v>0.00282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HYPERLINK("http://141.218.60.56/~jnz1568/getInfo.php?workbook=10_05.xlsx&amp;sheet=U0&amp;row=1625&amp;col=6&amp;number=3.1&amp;sourceID=14","3.1")</f>
        <v>3.1</v>
      </c>
      <c r="G1625" s="4" t="str">
        <f>HYPERLINK("http://141.218.60.56/~jnz1568/getInfo.php?workbook=10_05.xlsx&amp;sheet=U0&amp;row=1625&amp;col=7&amp;number=0.00282&amp;sourceID=14","0.00282")</f>
        <v>0.00282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HYPERLINK("http://141.218.60.56/~jnz1568/getInfo.php?workbook=10_05.xlsx&amp;sheet=U0&amp;row=1626&amp;col=6&amp;number=3.2&amp;sourceID=14","3.2")</f>
        <v>3.2</v>
      </c>
      <c r="G1626" s="4" t="str">
        <f>HYPERLINK("http://141.218.60.56/~jnz1568/getInfo.php?workbook=10_05.xlsx&amp;sheet=U0&amp;row=1626&amp;col=7&amp;number=0.00281&amp;sourceID=14","0.00281")</f>
        <v>0.00281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HYPERLINK("http://141.218.60.56/~jnz1568/getInfo.php?workbook=10_05.xlsx&amp;sheet=U0&amp;row=1627&amp;col=6&amp;number=3.3&amp;sourceID=14","3.3")</f>
        <v>3.3</v>
      </c>
      <c r="G1627" s="4" t="str">
        <f>HYPERLINK("http://141.218.60.56/~jnz1568/getInfo.php?workbook=10_05.xlsx&amp;sheet=U0&amp;row=1627&amp;col=7&amp;number=0.00281&amp;sourceID=14","0.00281")</f>
        <v>0.00281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HYPERLINK("http://141.218.60.56/~jnz1568/getInfo.php?workbook=10_05.xlsx&amp;sheet=U0&amp;row=1628&amp;col=6&amp;number=3.4&amp;sourceID=14","3.4")</f>
        <v>3.4</v>
      </c>
      <c r="G1628" s="4" t="str">
        <f>HYPERLINK("http://141.218.60.56/~jnz1568/getInfo.php?workbook=10_05.xlsx&amp;sheet=U0&amp;row=1628&amp;col=7&amp;number=0.0028&amp;sourceID=14","0.0028")</f>
        <v>0.0028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HYPERLINK("http://141.218.60.56/~jnz1568/getInfo.php?workbook=10_05.xlsx&amp;sheet=U0&amp;row=1629&amp;col=6&amp;number=3.5&amp;sourceID=14","3.5")</f>
        <v>3.5</v>
      </c>
      <c r="G1629" s="4" t="str">
        <f>HYPERLINK("http://141.218.60.56/~jnz1568/getInfo.php?workbook=10_05.xlsx&amp;sheet=U0&amp;row=1629&amp;col=7&amp;number=0.00279&amp;sourceID=14","0.00279")</f>
        <v>0.00279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HYPERLINK("http://141.218.60.56/~jnz1568/getInfo.php?workbook=10_05.xlsx&amp;sheet=U0&amp;row=1630&amp;col=6&amp;number=3.6&amp;sourceID=14","3.6")</f>
        <v>3.6</v>
      </c>
      <c r="G1630" s="4" t="str">
        <f>HYPERLINK("http://141.218.60.56/~jnz1568/getInfo.php?workbook=10_05.xlsx&amp;sheet=U0&amp;row=1630&amp;col=7&amp;number=0.00278&amp;sourceID=14","0.00278")</f>
        <v>0.00278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HYPERLINK("http://141.218.60.56/~jnz1568/getInfo.php?workbook=10_05.xlsx&amp;sheet=U0&amp;row=1631&amp;col=6&amp;number=3.7&amp;sourceID=14","3.7")</f>
        <v>3.7</v>
      </c>
      <c r="G1631" s="4" t="str">
        <f>HYPERLINK("http://141.218.60.56/~jnz1568/getInfo.php?workbook=10_05.xlsx&amp;sheet=U0&amp;row=1631&amp;col=7&amp;number=0.00277&amp;sourceID=14","0.00277")</f>
        <v>0.00277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HYPERLINK("http://141.218.60.56/~jnz1568/getInfo.php?workbook=10_05.xlsx&amp;sheet=U0&amp;row=1632&amp;col=6&amp;number=3.8&amp;sourceID=14","3.8")</f>
        <v>3.8</v>
      </c>
      <c r="G1632" s="4" t="str">
        <f>HYPERLINK("http://141.218.60.56/~jnz1568/getInfo.php?workbook=10_05.xlsx&amp;sheet=U0&amp;row=1632&amp;col=7&amp;number=0.00275&amp;sourceID=14","0.00275")</f>
        <v>0.00275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HYPERLINK("http://141.218.60.56/~jnz1568/getInfo.php?workbook=10_05.xlsx&amp;sheet=U0&amp;row=1633&amp;col=6&amp;number=3.9&amp;sourceID=14","3.9")</f>
        <v>3.9</v>
      </c>
      <c r="G1633" s="4" t="str">
        <f>HYPERLINK("http://141.218.60.56/~jnz1568/getInfo.php?workbook=10_05.xlsx&amp;sheet=U0&amp;row=1633&amp;col=7&amp;number=0.00272&amp;sourceID=14","0.00272")</f>
        <v>0.00272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HYPERLINK("http://141.218.60.56/~jnz1568/getInfo.php?workbook=10_05.xlsx&amp;sheet=U0&amp;row=1634&amp;col=6&amp;number=4&amp;sourceID=14","4")</f>
        <v>4</v>
      </c>
      <c r="G1634" s="4" t="str">
        <f>HYPERLINK("http://141.218.60.56/~jnz1568/getInfo.php?workbook=10_05.xlsx&amp;sheet=U0&amp;row=1634&amp;col=7&amp;number=0.00269&amp;sourceID=14","0.00269")</f>
        <v>0.00269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HYPERLINK("http://141.218.60.56/~jnz1568/getInfo.php?workbook=10_05.xlsx&amp;sheet=U0&amp;row=1635&amp;col=6&amp;number=4.1&amp;sourceID=14","4.1")</f>
        <v>4.1</v>
      </c>
      <c r="G1635" s="4" t="str">
        <f>HYPERLINK("http://141.218.60.56/~jnz1568/getInfo.php?workbook=10_05.xlsx&amp;sheet=U0&amp;row=1635&amp;col=7&amp;number=0.00265&amp;sourceID=14","0.00265")</f>
        <v>0.00265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HYPERLINK("http://141.218.60.56/~jnz1568/getInfo.php?workbook=10_05.xlsx&amp;sheet=U0&amp;row=1636&amp;col=6&amp;number=4.2&amp;sourceID=14","4.2")</f>
        <v>4.2</v>
      </c>
      <c r="G1636" s="4" t="str">
        <f>HYPERLINK("http://141.218.60.56/~jnz1568/getInfo.php?workbook=10_05.xlsx&amp;sheet=U0&amp;row=1636&amp;col=7&amp;number=0.0026&amp;sourceID=14","0.0026")</f>
        <v>0.0026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HYPERLINK("http://141.218.60.56/~jnz1568/getInfo.php?workbook=10_05.xlsx&amp;sheet=U0&amp;row=1637&amp;col=6&amp;number=4.3&amp;sourceID=14","4.3")</f>
        <v>4.3</v>
      </c>
      <c r="G1637" s="4" t="str">
        <f>HYPERLINK("http://141.218.60.56/~jnz1568/getInfo.php?workbook=10_05.xlsx&amp;sheet=U0&amp;row=1637&amp;col=7&amp;number=0.00253&amp;sourceID=14","0.00253")</f>
        <v>0.00253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HYPERLINK("http://141.218.60.56/~jnz1568/getInfo.php?workbook=10_05.xlsx&amp;sheet=U0&amp;row=1638&amp;col=6&amp;number=4.4&amp;sourceID=14","4.4")</f>
        <v>4.4</v>
      </c>
      <c r="G1638" s="4" t="str">
        <f>HYPERLINK("http://141.218.60.56/~jnz1568/getInfo.php?workbook=10_05.xlsx&amp;sheet=U0&amp;row=1638&amp;col=7&amp;number=0.00243&amp;sourceID=14","0.00243")</f>
        <v>0.00243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HYPERLINK("http://141.218.60.56/~jnz1568/getInfo.php?workbook=10_05.xlsx&amp;sheet=U0&amp;row=1639&amp;col=6&amp;number=4.5&amp;sourceID=14","4.5")</f>
        <v>4.5</v>
      </c>
      <c r="G1639" s="4" t="str">
        <f>HYPERLINK("http://141.218.60.56/~jnz1568/getInfo.php?workbook=10_05.xlsx&amp;sheet=U0&amp;row=1639&amp;col=7&amp;number=0.00229&amp;sourceID=14","0.00229")</f>
        <v>0.00229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HYPERLINK("http://141.218.60.56/~jnz1568/getInfo.php?workbook=10_05.xlsx&amp;sheet=U0&amp;row=1640&amp;col=6&amp;number=4.6&amp;sourceID=14","4.6")</f>
        <v>4.6</v>
      </c>
      <c r="G1640" s="4" t="str">
        <f>HYPERLINK("http://141.218.60.56/~jnz1568/getInfo.php?workbook=10_05.xlsx&amp;sheet=U0&amp;row=1640&amp;col=7&amp;number=0.00212&amp;sourceID=14","0.00212")</f>
        <v>0.00212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HYPERLINK("http://141.218.60.56/~jnz1568/getInfo.php?workbook=10_05.xlsx&amp;sheet=U0&amp;row=1641&amp;col=6&amp;number=4.7&amp;sourceID=14","4.7")</f>
        <v>4.7</v>
      </c>
      <c r="G1641" s="4" t="str">
        <f>HYPERLINK("http://141.218.60.56/~jnz1568/getInfo.php?workbook=10_05.xlsx&amp;sheet=U0&amp;row=1641&amp;col=7&amp;number=0.00192&amp;sourceID=14","0.00192")</f>
        <v>0.00192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HYPERLINK("http://141.218.60.56/~jnz1568/getInfo.php?workbook=10_05.xlsx&amp;sheet=U0&amp;row=1642&amp;col=6&amp;number=4.8&amp;sourceID=14","4.8")</f>
        <v>4.8</v>
      </c>
      <c r="G1642" s="4" t="str">
        <f>HYPERLINK("http://141.218.60.56/~jnz1568/getInfo.php?workbook=10_05.xlsx&amp;sheet=U0&amp;row=1642&amp;col=7&amp;number=0.00174&amp;sourceID=14","0.00174")</f>
        <v>0.00174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HYPERLINK("http://141.218.60.56/~jnz1568/getInfo.php?workbook=10_05.xlsx&amp;sheet=U0&amp;row=1643&amp;col=6&amp;number=4.9&amp;sourceID=14","4.9")</f>
        <v>4.9</v>
      </c>
      <c r="G1643" s="4" t="str">
        <f>HYPERLINK("http://141.218.60.56/~jnz1568/getInfo.php?workbook=10_05.xlsx&amp;sheet=U0&amp;row=1643&amp;col=7&amp;number=0.00156&amp;sourceID=14","0.00156")</f>
        <v>0.00156</v>
      </c>
    </row>
    <row r="1644" spans="1:7">
      <c r="A1644" s="3">
        <v>10</v>
      </c>
      <c r="B1644" s="3">
        <v>5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HYPERLINK("http://141.218.60.56/~jnz1568/getInfo.php?workbook=10_05.xlsx&amp;sheet=U0&amp;row=1644&amp;col=6&amp;number=3&amp;sourceID=14","3")</f>
        <v>3</v>
      </c>
      <c r="G1644" s="4" t="str">
        <f>HYPERLINK("http://141.218.60.56/~jnz1568/getInfo.php?workbook=10_05.xlsx&amp;sheet=U0&amp;row=1644&amp;col=7&amp;number=0.00425&amp;sourceID=14","0.00425")</f>
        <v>0.00425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HYPERLINK("http://141.218.60.56/~jnz1568/getInfo.php?workbook=10_05.xlsx&amp;sheet=U0&amp;row=1645&amp;col=6&amp;number=3.1&amp;sourceID=14","3.1")</f>
        <v>3.1</v>
      </c>
      <c r="G1645" s="4" t="str">
        <f>HYPERLINK("http://141.218.60.56/~jnz1568/getInfo.php?workbook=10_05.xlsx&amp;sheet=U0&amp;row=1645&amp;col=7&amp;number=0.00423&amp;sourceID=14","0.00423")</f>
        <v>0.00423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HYPERLINK("http://141.218.60.56/~jnz1568/getInfo.php?workbook=10_05.xlsx&amp;sheet=U0&amp;row=1646&amp;col=6&amp;number=3.2&amp;sourceID=14","3.2")</f>
        <v>3.2</v>
      </c>
      <c r="G1646" s="4" t="str">
        <f>HYPERLINK("http://141.218.60.56/~jnz1568/getInfo.php?workbook=10_05.xlsx&amp;sheet=U0&amp;row=1646&amp;col=7&amp;number=0.00421&amp;sourceID=14","0.00421")</f>
        <v>0.00421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HYPERLINK("http://141.218.60.56/~jnz1568/getInfo.php?workbook=10_05.xlsx&amp;sheet=U0&amp;row=1647&amp;col=6&amp;number=3.3&amp;sourceID=14","3.3")</f>
        <v>3.3</v>
      </c>
      <c r="G1647" s="4" t="str">
        <f>HYPERLINK("http://141.218.60.56/~jnz1568/getInfo.php?workbook=10_05.xlsx&amp;sheet=U0&amp;row=1647&amp;col=7&amp;number=0.00418&amp;sourceID=14","0.00418")</f>
        <v>0.00418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HYPERLINK("http://141.218.60.56/~jnz1568/getInfo.php?workbook=10_05.xlsx&amp;sheet=U0&amp;row=1648&amp;col=6&amp;number=3.4&amp;sourceID=14","3.4")</f>
        <v>3.4</v>
      </c>
      <c r="G1648" s="4" t="str">
        <f>HYPERLINK("http://141.218.60.56/~jnz1568/getInfo.php?workbook=10_05.xlsx&amp;sheet=U0&amp;row=1648&amp;col=7&amp;number=0.00414&amp;sourceID=14","0.00414")</f>
        <v>0.00414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HYPERLINK("http://141.218.60.56/~jnz1568/getInfo.php?workbook=10_05.xlsx&amp;sheet=U0&amp;row=1649&amp;col=6&amp;number=3.5&amp;sourceID=14","3.5")</f>
        <v>3.5</v>
      </c>
      <c r="G1649" s="4" t="str">
        <f>HYPERLINK("http://141.218.60.56/~jnz1568/getInfo.php?workbook=10_05.xlsx&amp;sheet=U0&amp;row=1649&amp;col=7&amp;number=0.00409&amp;sourceID=14","0.00409")</f>
        <v>0.00409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HYPERLINK("http://141.218.60.56/~jnz1568/getInfo.php?workbook=10_05.xlsx&amp;sheet=U0&amp;row=1650&amp;col=6&amp;number=3.6&amp;sourceID=14","3.6")</f>
        <v>3.6</v>
      </c>
      <c r="G1650" s="4" t="str">
        <f>HYPERLINK("http://141.218.60.56/~jnz1568/getInfo.php?workbook=10_05.xlsx&amp;sheet=U0&amp;row=1650&amp;col=7&amp;number=0.00403&amp;sourceID=14","0.00403")</f>
        <v>0.00403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HYPERLINK("http://141.218.60.56/~jnz1568/getInfo.php?workbook=10_05.xlsx&amp;sheet=U0&amp;row=1651&amp;col=6&amp;number=3.7&amp;sourceID=14","3.7")</f>
        <v>3.7</v>
      </c>
      <c r="G1651" s="4" t="str">
        <f>HYPERLINK("http://141.218.60.56/~jnz1568/getInfo.php?workbook=10_05.xlsx&amp;sheet=U0&amp;row=1651&amp;col=7&amp;number=0.00396&amp;sourceID=14","0.00396")</f>
        <v>0.00396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HYPERLINK("http://141.218.60.56/~jnz1568/getInfo.php?workbook=10_05.xlsx&amp;sheet=U0&amp;row=1652&amp;col=6&amp;number=3.8&amp;sourceID=14","3.8")</f>
        <v>3.8</v>
      </c>
      <c r="G1652" s="4" t="str">
        <f>HYPERLINK("http://141.218.60.56/~jnz1568/getInfo.php?workbook=10_05.xlsx&amp;sheet=U0&amp;row=1652&amp;col=7&amp;number=0.00388&amp;sourceID=14","0.00388")</f>
        <v>0.00388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HYPERLINK("http://141.218.60.56/~jnz1568/getInfo.php?workbook=10_05.xlsx&amp;sheet=U0&amp;row=1653&amp;col=6&amp;number=3.9&amp;sourceID=14","3.9")</f>
        <v>3.9</v>
      </c>
      <c r="G1653" s="4" t="str">
        <f>HYPERLINK("http://141.218.60.56/~jnz1568/getInfo.php?workbook=10_05.xlsx&amp;sheet=U0&amp;row=1653&amp;col=7&amp;number=0.00378&amp;sourceID=14","0.00378")</f>
        <v>0.00378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HYPERLINK("http://141.218.60.56/~jnz1568/getInfo.php?workbook=10_05.xlsx&amp;sheet=U0&amp;row=1654&amp;col=6&amp;number=4&amp;sourceID=14","4")</f>
        <v>4</v>
      </c>
      <c r="G1654" s="4" t="str">
        <f>HYPERLINK("http://141.218.60.56/~jnz1568/getInfo.php?workbook=10_05.xlsx&amp;sheet=U0&amp;row=1654&amp;col=7&amp;number=0.00367&amp;sourceID=14","0.00367")</f>
        <v>0.00367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HYPERLINK("http://141.218.60.56/~jnz1568/getInfo.php?workbook=10_05.xlsx&amp;sheet=U0&amp;row=1655&amp;col=6&amp;number=4.1&amp;sourceID=14","4.1")</f>
        <v>4.1</v>
      </c>
      <c r="G1655" s="4" t="str">
        <f>HYPERLINK("http://141.218.60.56/~jnz1568/getInfo.php?workbook=10_05.xlsx&amp;sheet=U0&amp;row=1655&amp;col=7&amp;number=0.00354&amp;sourceID=14","0.00354")</f>
        <v>0.00354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HYPERLINK("http://141.218.60.56/~jnz1568/getInfo.php?workbook=10_05.xlsx&amp;sheet=U0&amp;row=1656&amp;col=6&amp;number=4.2&amp;sourceID=14","4.2")</f>
        <v>4.2</v>
      </c>
      <c r="G1656" s="4" t="str">
        <f>HYPERLINK("http://141.218.60.56/~jnz1568/getInfo.php?workbook=10_05.xlsx&amp;sheet=U0&amp;row=1656&amp;col=7&amp;number=0.00341&amp;sourceID=14","0.00341")</f>
        <v>0.00341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HYPERLINK("http://141.218.60.56/~jnz1568/getInfo.php?workbook=10_05.xlsx&amp;sheet=U0&amp;row=1657&amp;col=6&amp;number=4.3&amp;sourceID=14","4.3")</f>
        <v>4.3</v>
      </c>
      <c r="G1657" s="4" t="str">
        <f>HYPERLINK("http://141.218.60.56/~jnz1568/getInfo.php?workbook=10_05.xlsx&amp;sheet=U0&amp;row=1657&amp;col=7&amp;number=0.00327&amp;sourceID=14","0.00327")</f>
        <v>0.00327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HYPERLINK("http://141.218.60.56/~jnz1568/getInfo.php?workbook=10_05.xlsx&amp;sheet=U0&amp;row=1658&amp;col=6&amp;number=4.4&amp;sourceID=14","4.4")</f>
        <v>4.4</v>
      </c>
      <c r="G1658" s="4" t="str">
        <f>HYPERLINK("http://141.218.60.56/~jnz1568/getInfo.php?workbook=10_05.xlsx&amp;sheet=U0&amp;row=1658&amp;col=7&amp;number=0.00312&amp;sourceID=14","0.00312")</f>
        <v>0.00312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HYPERLINK("http://141.218.60.56/~jnz1568/getInfo.php?workbook=10_05.xlsx&amp;sheet=U0&amp;row=1659&amp;col=6&amp;number=4.5&amp;sourceID=14","4.5")</f>
        <v>4.5</v>
      </c>
      <c r="G1659" s="4" t="str">
        <f>HYPERLINK("http://141.218.60.56/~jnz1568/getInfo.php?workbook=10_05.xlsx&amp;sheet=U0&amp;row=1659&amp;col=7&amp;number=0.00295&amp;sourceID=14","0.00295")</f>
        <v>0.00295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HYPERLINK("http://141.218.60.56/~jnz1568/getInfo.php?workbook=10_05.xlsx&amp;sheet=U0&amp;row=1660&amp;col=6&amp;number=4.6&amp;sourceID=14","4.6")</f>
        <v>4.6</v>
      </c>
      <c r="G1660" s="4" t="str">
        <f>HYPERLINK("http://141.218.60.56/~jnz1568/getInfo.php?workbook=10_05.xlsx&amp;sheet=U0&amp;row=1660&amp;col=7&amp;number=0.00273&amp;sourceID=14","0.00273")</f>
        <v>0.00273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HYPERLINK("http://141.218.60.56/~jnz1568/getInfo.php?workbook=10_05.xlsx&amp;sheet=U0&amp;row=1661&amp;col=6&amp;number=4.7&amp;sourceID=14","4.7")</f>
        <v>4.7</v>
      </c>
      <c r="G1661" s="4" t="str">
        <f>HYPERLINK("http://141.218.60.56/~jnz1568/getInfo.php?workbook=10_05.xlsx&amp;sheet=U0&amp;row=1661&amp;col=7&amp;number=0.00247&amp;sourceID=14","0.00247")</f>
        <v>0.00247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HYPERLINK("http://141.218.60.56/~jnz1568/getInfo.php?workbook=10_05.xlsx&amp;sheet=U0&amp;row=1662&amp;col=6&amp;number=4.8&amp;sourceID=14","4.8")</f>
        <v>4.8</v>
      </c>
      <c r="G1662" s="4" t="str">
        <f>HYPERLINK("http://141.218.60.56/~jnz1568/getInfo.php?workbook=10_05.xlsx&amp;sheet=U0&amp;row=1662&amp;col=7&amp;number=0.00221&amp;sourceID=14","0.00221")</f>
        <v>0.00221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HYPERLINK("http://141.218.60.56/~jnz1568/getInfo.php?workbook=10_05.xlsx&amp;sheet=U0&amp;row=1663&amp;col=6&amp;number=4.9&amp;sourceID=14","4.9")</f>
        <v>4.9</v>
      </c>
      <c r="G1663" s="4" t="str">
        <f>HYPERLINK("http://141.218.60.56/~jnz1568/getInfo.php?workbook=10_05.xlsx&amp;sheet=U0&amp;row=1663&amp;col=7&amp;number=0.00198&amp;sourceID=14","0.00198")</f>
        <v>0.00198</v>
      </c>
    </row>
    <row r="1664" spans="1:7">
      <c r="A1664" s="3">
        <v>10</v>
      </c>
      <c r="B1664" s="3">
        <v>5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HYPERLINK("http://141.218.60.56/~jnz1568/getInfo.php?workbook=10_05.xlsx&amp;sheet=U0&amp;row=1664&amp;col=6&amp;number=3&amp;sourceID=14","3")</f>
        <v>3</v>
      </c>
      <c r="G1664" s="4" t="str">
        <f>HYPERLINK("http://141.218.60.56/~jnz1568/getInfo.php?workbook=10_05.xlsx&amp;sheet=U0&amp;row=1664&amp;col=7&amp;number=0.0032&amp;sourceID=14","0.0032")</f>
        <v>0.0032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HYPERLINK("http://141.218.60.56/~jnz1568/getInfo.php?workbook=10_05.xlsx&amp;sheet=U0&amp;row=1665&amp;col=6&amp;number=3.1&amp;sourceID=14","3.1")</f>
        <v>3.1</v>
      </c>
      <c r="G1665" s="4" t="str">
        <f>HYPERLINK("http://141.218.60.56/~jnz1568/getInfo.php?workbook=10_05.xlsx&amp;sheet=U0&amp;row=1665&amp;col=7&amp;number=0.00318&amp;sourceID=14","0.00318")</f>
        <v>0.00318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HYPERLINK("http://141.218.60.56/~jnz1568/getInfo.php?workbook=10_05.xlsx&amp;sheet=U0&amp;row=1666&amp;col=6&amp;number=3.2&amp;sourceID=14","3.2")</f>
        <v>3.2</v>
      </c>
      <c r="G1666" s="4" t="str">
        <f>HYPERLINK("http://141.218.60.56/~jnz1568/getInfo.php?workbook=10_05.xlsx&amp;sheet=U0&amp;row=1666&amp;col=7&amp;number=0.00317&amp;sourceID=14","0.00317")</f>
        <v>0.00317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HYPERLINK("http://141.218.60.56/~jnz1568/getInfo.php?workbook=10_05.xlsx&amp;sheet=U0&amp;row=1667&amp;col=6&amp;number=3.3&amp;sourceID=14","3.3")</f>
        <v>3.3</v>
      </c>
      <c r="G1667" s="4" t="str">
        <f>HYPERLINK("http://141.218.60.56/~jnz1568/getInfo.php?workbook=10_05.xlsx&amp;sheet=U0&amp;row=1667&amp;col=7&amp;number=0.00315&amp;sourceID=14","0.00315")</f>
        <v>0.00315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HYPERLINK("http://141.218.60.56/~jnz1568/getInfo.php?workbook=10_05.xlsx&amp;sheet=U0&amp;row=1668&amp;col=6&amp;number=3.4&amp;sourceID=14","3.4")</f>
        <v>3.4</v>
      </c>
      <c r="G1668" s="4" t="str">
        <f>HYPERLINK("http://141.218.60.56/~jnz1568/getInfo.php?workbook=10_05.xlsx&amp;sheet=U0&amp;row=1668&amp;col=7&amp;number=0.00313&amp;sourceID=14","0.00313")</f>
        <v>0.00313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HYPERLINK("http://141.218.60.56/~jnz1568/getInfo.php?workbook=10_05.xlsx&amp;sheet=U0&amp;row=1669&amp;col=6&amp;number=3.5&amp;sourceID=14","3.5")</f>
        <v>3.5</v>
      </c>
      <c r="G1669" s="4" t="str">
        <f>HYPERLINK("http://141.218.60.56/~jnz1568/getInfo.php?workbook=10_05.xlsx&amp;sheet=U0&amp;row=1669&amp;col=7&amp;number=0.0031&amp;sourceID=14","0.0031")</f>
        <v>0.0031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HYPERLINK("http://141.218.60.56/~jnz1568/getInfo.php?workbook=10_05.xlsx&amp;sheet=U0&amp;row=1670&amp;col=6&amp;number=3.6&amp;sourceID=14","3.6")</f>
        <v>3.6</v>
      </c>
      <c r="G1670" s="4" t="str">
        <f>HYPERLINK("http://141.218.60.56/~jnz1568/getInfo.php?workbook=10_05.xlsx&amp;sheet=U0&amp;row=1670&amp;col=7&amp;number=0.00306&amp;sourceID=14","0.00306")</f>
        <v>0.00306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HYPERLINK("http://141.218.60.56/~jnz1568/getInfo.php?workbook=10_05.xlsx&amp;sheet=U0&amp;row=1671&amp;col=6&amp;number=3.7&amp;sourceID=14","3.7")</f>
        <v>3.7</v>
      </c>
      <c r="G1671" s="4" t="str">
        <f>HYPERLINK("http://141.218.60.56/~jnz1568/getInfo.php?workbook=10_05.xlsx&amp;sheet=U0&amp;row=1671&amp;col=7&amp;number=0.00302&amp;sourceID=14","0.00302")</f>
        <v>0.00302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HYPERLINK("http://141.218.60.56/~jnz1568/getInfo.php?workbook=10_05.xlsx&amp;sheet=U0&amp;row=1672&amp;col=6&amp;number=3.8&amp;sourceID=14","3.8")</f>
        <v>3.8</v>
      </c>
      <c r="G1672" s="4" t="str">
        <f>HYPERLINK("http://141.218.60.56/~jnz1568/getInfo.php?workbook=10_05.xlsx&amp;sheet=U0&amp;row=1672&amp;col=7&amp;number=0.00297&amp;sourceID=14","0.00297")</f>
        <v>0.00297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HYPERLINK("http://141.218.60.56/~jnz1568/getInfo.php?workbook=10_05.xlsx&amp;sheet=U0&amp;row=1673&amp;col=6&amp;number=3.9&amp;sourceID=14","3.9")</f>
        <v>3.9</v>
      </c>
      <c r="G1673" s="4" t="str">
        <f>HYPERLINK("http://141.218.60.56/~jnz1568/getInfo.php?workbook=10_05.xlsx&amp;sheet=U0&amp;row=1673&amp;col=7&amp;number=0.00291&amp;sourceID=14","0.00291")</f>
        <v>0.00291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HYPERLINK("http://141.218.60.56/~jnz1568/getInfo.php?workbook=10_05.xlsx&amp;sheet=U0&amp;row=1674&amp;col=6&amp;number=4&amp;sourceID=14","4")</f>
        <v>4</v>
      </c>
      <c r="G1674" s="4" t="str">
        <f>HYPERLINK("http://141.218.60.56/~jnz1568/getInfo.php?workbook=10_05.xlsx&amp;sheet=U0&amp;row=1674&amp;col=7&amp;number=0.00285&amp;sourceID=14","0.00285")</f>
        <v>0.00285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HYPERLINK("http://141.218.60.56/~jnz1568/getInfo.php?workbook=10_05.xlsx&amp;sheet=U0&amp;row=1675&amp;col=6&amp;number=4.1&amp;sourceID=14","4.1")</f>
        <v>4.1</v>
      </c>
      <c r="G1675" s="4" t="str">
        <f>HYPERLINK("http://141.218.60.56/~jnz1568/getInfo.php?workbook=10_05.xlsx&amp;sheet=U0&amp;row=1675&amp;col=7&amp;number=0.00279&amp;sourceID=14","0.00279")</f>
        <v>0.00279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HYPERLINK("http://141.218.60.56/~jnz1568/getInfo.php?workbook=10_05.xlsx&amp;sheet=U0&amp;row=1676&amp;col=6&amp;number=4.2&amp;sourceID=14","4.2")</f>
        <v>4.2</v>
      </c>
      <c r="G1676" s="4" t="str">
        <f>HYPERLINK("http://141.218.60.56/~jnz1568/getInfo.php?workbook=10_05.xlsx&amp;sheet=U0&amp;row=1676&amp;col=7&amp;number=0.00274&amp;sourceID=14","0.00274")</f>
        <v>0.00274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HYPERLINK("http://141.218.60.56/~jnz1568/getInfo.php?workbook=10_05.xlsx&amp;sheet=U0&amp;row=1677&amp;col=6&amp;number=4.3&amp;sourceID=14","4.3")</f>
        <v>4.3</v>
      </c>
      <c r="G1677" s="4" t="str">
        <f>HYPERLINK("http://141.218.60.56/~jnz1568/getInfo.php?workbook=10_05.xlsx&amp;sheet=U0&amp;row=1677&amp;col=7&amp;number=0.00267&amp;sourceID=14","0.00267")</f>
        <v>0.00267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HYPERLINK("http://141.218.60.56/~jnz1568/getInfo.php?workbook=10_05.xlsx&amp;sheet=U0&amp;row=1678&amp;col=6&amp;number=4.4&amp;sourceID=14","4.4")</f>
        <v>4.4</v>
      </c>
      <c r="G1678" s="4" t="str">
        <f>HYPERLINK("http://141.218.60.56/~jnz1568/getInfo.php?workbook=10_05.xlsx&amp;sheet=U0&amp;row=1678&amp;col=7&amp;number=0.00259&amp;sourceID=14","0.00259")</f>
        <v>0.00259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HYPERLINK("http://141.218.60.56/~jnz1568/getInfo.php?workbook=10_05.xlsx&amp;sheet=U0&amp;row=1679&amp;col=6&amp;number=4.5&amp;sourceID=14","4.5")</f>
        <v>4.5</v>
      </c>
      <c r="G1679" s="4" t="str">
        <f>HYPERLINK("http://141.218.60.56/~jnz1568/getInfo.php?workbook=10_05.xlsx&amp;sheet=U0&amp;row=1679&amp;col=7&amp;number=0.00245&amp;sourceID=14","0.00245")</f>
        <v>0.00245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HYPERLINK("http://141.218.60.56/~jnz1568/getInfo.php?workbook=10_05.xlsx&amp;sheet=U0&amp;row=1680&amp;col=6&amp;number=4.6&amp;sourceID=14","4.6")</f>
        <v>4.6</v>
      </c>
      <c r="G1680" s="4" t="str">
        <f>HYPERLINK("http://141.218.60.56/~jnz1568/getInfo.php?workbook=10_05.xlsx&amp;sheet=U0&amp;row=1680&amp;col=7&amp;number=0.00226&amp;sourceID=14","0.00226")</f>
        <v>0.00226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HYPERLINK("http://141.218.60.56/~jnz1568/getInfo.php?workbook=10_05.xlsx&amp;sheet=U0&amp;row=1681&amp;col=6&amp;number=4.7&amp;sourceID=14","4.7")</f>
        <v>4.7</v>
      </c>
      <c r="G1681" s="4" t="str">
        <f>HYPERLINK("http://141.218.60.56/~jnz1568/getInfo.php?workbook=10_05.xlsx&amp;sheet=U0&amp;row=1681&amp;col=7&amp;number=0.00205&amp;sourceID=14","0.00205")</f>
        <v>0.00205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HYPERLINK("http://141.218.60.56/~jnz1568/getInfo.php?workbook=10_05.xlsx&amp;sheet=U0&amp;row=1682&amp;col=6&amp;number=4.8&amp;sourceID=14","4.8")</f>
        <v>4.8</v>
      </c>
      <c r="G1682" s="4" t="str">
        <f>HYPERLINK("http://141.218.60.56/~jnz1568/getInfo.php?workbook=10_05.xlsx&amp;sheet=U0&amp;row=1682&amp;col=7&amp;number=0.00185&amp;sourceID=14","0.00185")</f>
        <v>0.00185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HYPERLINK("http://141.218.60.56/~jnz1568/getInfo.php?workbook=10_05.xlsx&amp;sheet=U0&amp;row=1683&amp;col=6&amp;number=4.9&amp;sourceID=14","4.9")</f>
        <v>4.9</v>
      </c>
      <c r="G1683" s="4" t="str">
        <f>HYPERLINK("http://141.218.60.56/~jnz1568/getInfo.php?workbook=10_05.xlsx&amp;sheet=U0&amp;row=1683&amp;col=7&amp;number=0.00165&amp;sourceID=14","0.00165")</f>
        <v>0.00165</v>
      </c>
    </row>
    <row r="1684" spans="1:7">
      <c r="A1684" s="3">
        <v>10</v>
      </c>
      <c r="B1684" s="3">
        <v>5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HYPERLINK("http://141.218.60.56/~jnz1568/getInfo.php?workbook=10_05.xlsx&amp;sheet=U0&amp;row=1684&amp;col=6&amp;number=3&amp;sourceID=14","3")</f>
        <v>3</v>
      </c>
      <c r="G1684" s="4" t="str">
        <f>HYPERLINK("http://141.218.60.56/~jnz1568/getInfo.php?workbook=10_05.xlsx&amp;sheet=U0&amp;row=1684&amp;col=7&amp;number=0.00872&amp;sourceID=14","0.00872")</f>
        <v>0.00872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HYPERLINK("http://141.218.60.56/~jnz1568/getInfo.php?workbook=10_05.xlsx&amp;sheet=U0&amp;row=1685&amp;col=6&amp;number=3.1&amp;sourceID=14","3.1")</f>
        <v>3.1</v>
      </c>
      <c r="G1685" s="4" t="str">
        <f>HYPERLINK("http://141.218.60.56/~jnz1568/getInfo.php?workbook=10_05.xlsx&amp;sheet=U0&amp;row=1685&amp;col=7&amp;number=0.00874&amp;sourceID=14","0.00874")</f>
        <v>0.00874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HYPERLINK("http://141.218.60.56/~jnz1568/getInfo.php?workbook=10_05.xlsx&amp;sheet=U0&amp;row=1686&amp;col=6&amp;number=3.2&amp;sourceID=14","3.2")</f>
        <v>3.2</v>
      </c>
      <c r="G1686" s="4" t="str">
        <f>HYPERLINK("http://141.218.60.56/~jnz1568/getInfo.php?workbook=10_05.xlsx&amp;sheet=U0&amp;row=1686&amp;col=7&amp;number=0.00876&amp;sourceID=14","0.00876")</f>
        <v>0.00876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HYPERLINK("http://141.218.60.56/~jnz1568/getInfo.php?workbook=10_05.xlsx&amp;sheet=U0&amp;row=1687&amp;col=6&amp;number=3.3&amp;sourceID=14","3.3")</f>
        <v>3.3</v>
      </c>
      <c r="G1687" s="4" t="str">
        <f>HYPERLINK("http://141.218.60.56/~jnz1568/getInfo.php?workbook=10_05.xlsx&amp;sheet=U0&amp;row=1687&amp;col=7&amp;number=0.00879&amp;sourceID=14","0.00879")</f>
        <v>0.00879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HYPERLINK("http://141.218.60.56/~jnz1568/getInfo.php?workbook=10_05.xlsx&amp;sheet=U0&amp;row=1688&amp;col=6&amp;number=3.4&amp;sourceID=14","3.4")</f>
        <v>3.4</v>
      </c>
      <c r="G1688" s="4" t="str">
        <f>HYPERLINK("http://141.218.60.56/~jnz1568/getInfo.php?workbook=10_05.xlsx&amp;sheet=U0&amp;row=1688&amp;col=7&amp;number=0.00882&amp;sourceID=14","0.00882")</f>
        <v>0.00882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HYPERLINK("http://141.218.60.56/~jnz1568/getInfo.php?workbook=10_05.xlsx&amp;sheet=U0&amp;row=1689&amp;col=6&amp;number=3.5&amp;sourceID=14","3.5")</f>
        <v>3.5</v>
      </c>
      <c r="G1689" s="4" t="str">
        <f>HYPERLINK("http://141.218.60.56/~jnz1568/getInfo.php?workbook=10_05.xlsx&amp;sheet=U0&amp;row=1689&amp;col=7&amp;number=0.00886&amp;sourceID=14","0.00886")</f>
        <v>0.00886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HYPERLINK("http://141.218.60.56/~jnz1568/getInfo.php?workbook=10_05.xlsx&amp;sheet=U0&amp;row=1690&amp;col=6&amp;number=3.6&amp;sourceID=14","3.6")</f>
        <v>3.6</v>
      </c>
      <c r="G1690" s="4" t="str">
        <f>HYPERLINK("http://141.218.60.56/~jnz1568/getInfo.php?workbook=10_05.xlsx&amp;sheet=U0&amp;row=1690&amp;col=7&amp;number=0.00891&amp;sourceID=14","0.00891")</f>
        <v>0.00891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HYPERLINK("http://141.218.60.56/~jnz1568/getInfo.php?workbook=10_05.xlsx&amp;sheet=U0&amp;row=1691&amp;col=6&amp;number=3.7&amp;sourceID=14","3.7")</f>
        <v>3.7</v>
      </c>
      <c r="G1691" s="4" t="str">
        <f>HYPERLINK("http://141.218.60.56/~jnz1568/getInfo.php?workbook=10_05.xlsx&amp;sheet=U0&amp;row=1691&amp;col=7&amp;number=0.00897&amp;sourceID=14","0.00897")</f>
        <v>0.00897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HYPERLINK("http://141.218.60.56/~jnz1568/getInfo.php?workbook=10_05.xlsx&amp;sheet=U0&amp;row=1692&amp;col=6&amp;number=3.8&amp;sourceID=14","3.8")</f>
        <v>3.8</v>
      </c>
      <c r="G1692" s="4" t="str">
        <f>HYPERLINK("http://141.218.60.56/~jnz1568/getInfo.php?workbook=10_05.xlsx&amp;sheet=U0&amp;row=1692&amp;col=7&amp;number=0.00904&amp;sourceID=14","0.00904")</f>
        <v>0.00904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HYPERLINK("http://141.218.60.56/~jnz1568/getInfo.php?workbook=10_05.xlsx&amp;sheet=U0&amp;row=1693&amp;col=6&amp;number=3.9&amp;sourceID=14","3.9")</f>
        <v>3.9</v>
      </c>
      <c r="G1693" s="4" t="str">
        <f>HYPERLINK("http://141.218.60.56/~jnz1568/getInfo.php?workbook=10_05.xlsx&amp;sheet=U0&amp;row=1693&amp;col=7&amp;number=0.00912&amp;sourceID=14","0.00912")</f>
        <v>0.00912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HYPERLINK("http://141.218.60.56/~jnz1568/getInfo.php?workbook=10_05.xlsx&amp;sheet=U0&amp;row=1694&amp;col=6&amp;number=4&amp;sourceID=14","4")</f>
        <v>4</v>
      </c>
      <c r="G1694" s="4" t="str">
        <f>HYPERLINK("http://141.218.60.56/~jnz1568/getInfo.php?workbook=10_05.xlsx&amp;sheet=U0&amp;row=1694&amp;col=7&amp;number=0.00921&amp;sourceID=14","0.00921")</f>
        <v>0.00921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HYPERLINK("http://141.218.60.56/~jnz1568/getInfo.php?workbook=10_05.xlsx&amp;sheet=U0&amp;row=1695&amp;col=6&amp;number=4.1&amp;sourceID=14","4.1")</f>
        <v>4.1</v>
      </c>
      <c r="G1695" s="4" t="str">
        <f>HYPERLINK("http://141.218.60.56/~jnz1568/getInfo.php?workbook=10_05.xlsx&amp;sheet=U0&amp;row=1695&amp;col=7&amp;number=0.00928&amp;sourceID=14","0.00928")</f>
        <v>0.00928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HYPERLINK("http://141.218.60.56/~jnz1568/getInfo.php?workbook=10_05.xlsx&amp;sheet=U0&amp;row=1696&amp;col=6&amp;number=4.2&amp;sourceID=14","4.2")</f>
        <v>4.2</v>
      </c>
      <c r="G1696" s="4" t="str">
        <f>HYPERLINK("http://141.218.60.56/~jnz1568/getInfo.php?workbook=10_05.xlsx&amp;sheet=U0&amp;row=1696&amp;col=7&amp;number=0.00933&amp;sourceID=14","0.00933")</f>
        <v>0.00933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HYPERLINK("http://141.218.60.56/~jnz1568/getInfo.php?workbook=10_05.xlsx&amp;sheet=U0&amp;row=1697&amp;col=6&amp;number=4.3&amp;sourceID=14","4.3")</f>
        <v>4.3</v>
      </c>
      <c r="G1697" s="4" t="str">
        <f>HYPERLINK("http://141.218.60.56/~jnz1568/getInfo.php?workbook=10_05.xlsx&amp;sheet=U0&amp;row=1697&amp;col=7&amp;number=0.00933&amp;sourceID=14","0.00933")</f>
        <v>0.00933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HYPERLINK("http://141.218.60.56/~jnz1568/getInfo.php?workbook=10_05.xlsx&amp;sheet=U0&amp;row=1698&amp;col=6&amp;number=4.4&amp;sourceID=14","4.4")</f>
        <v>4.4</v>
      </c>
      <c r="G1698" s="4" t="str">
        <f>HYPERLINK("http://141.218.60.56/~jnz1568/getInfo.php?workbook=10_05.xlsx&amp;sheet=U0&amp;row=1698&amp;col=7&amp;number=0.00925&amp;sourceID=14","0.00925")</f>
        <v>0.00925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HYPERLINK("http://141.218.60.56/~jnz1568/getInfo.php?workbook=10_05.xlsx&amp;sheet=U0&amp;row=1699&amp;col=6&amp;number=4.5&amp;sourceID=14","4.5")</f>
        <v>4.5</v>
      </c>
      <c r="G1699" s="4" t="str">
        <f>HYPERLINK("http://141.218.60.56/~jnz1568/getInfo.php?workbook=10_05.xlsx&amp;sheet=U0&amp;row=1699&amp;col=7&amp;number=0.00914&amp;sourceID=14","0.00914")</f>
        <v>0.00914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HYPERLINK("http://141.218.60.56/~jnz1568/getInfo.php?workbook=10_05.xlsx&amp;sheet=U0&amp;row=1700&amp;col=6&amp;number=4.6&amp;sourceID=14","4.6")</f>
        <v>4.6</v>
      </c>
      <c r="G1700" s="4" t="str">
        <f>HYPERLINK("http://141.218.60.56/~jnz1568/getInfo.php?workbook=10_05.xlsx&amp;sheet=U0&amp;row=1700&amp;col=7&amp;number=0.00902&amp;sourceID=14","0.00902")</f>
        <v>0.00902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HYPERLINK("http://141.218.60.56/~jnz1568/getInfo.php?workbook=10_05.xlsx&amp;sheet=U0&amp;row=1701&amp;col=6&amp;number=4.7&amp;sourceID=14","4.7")</f>
        <v>4.7</v>
      </c>
      <c r="G1701" s="4" t="str">
        <f>HYPERLINK("http://141.218.60.56/~jnz1568/getInfo.php?workbook=10_05.xlsx&amp;sheet=U0&amp;row=1701&amp;col=7&amp;number=0.00894&amp;sourceID=14","0.00894")</f>
        <v>0.00894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HYPERLINK("http://141.218.60.56/~jnz1568/getInfo.php?workbook=10_05.xlsx&amp;sheet=U0&amp;row=1702&amp;col=6&amp;number=4.8&amp;sourceID=14","4.8")</f>
        <v>4.8</v>
      </c>
      <c r="G1702" s="4" t="str">
        <f>HYPERLINK("http://141.218.60.56/~jnz1568/getInfo.php?workbook=10_05.xlsx&amp;sheet=U0&amp;row=1702&amp;col=7&amp;number=0.00885&amp;sourceID=14","0.00885")</f>
        <v>0.00885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HYPERLINK("http://141.218.60.56/~jnz1568/getInfo.php?workbook=10_05.xlsx&amp;sheet=U0&amp;row=1703&amp;col=6&amp;number=4.9&amp;sourceID=14","4.9")</f>
        <v>4.9</v>
      </c>
      <c r="G1703" s="4" t="str">
        <f>HYPERLINK("http://141.218.60.56/~jnz1568/getInfo.php?workbook=10_05.xlsx&amp;sheet=U0&amp;row=1703&amp;col=7&amp;number=0.00868&amp;sourceID=14","0.00868")</f>
        <v>0.00868</v>
      </c>
    </row>
    <row r="1704" spans="1:7">
      <c r="A1704" s="3">
        <v>10</v>
      </c>
      <c r="B1704" s="3">
        <v>5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HYPERLINK("http://141.218.60.56/~jnz1568/getInfo.php?workbook=10_05.xlsx&amp;sheet=U0&amp;row=1704&amp;col=6&amp;number=3&amp;sourceID=14","3")</f>
        <v>3</v>
      </c>
      <c r="G1704" s="4" t="str">
        <f>HYPERLINK("http://141.218.60.56/~jnz1568/getInfo.php?workbook=10_05.xlsx&amp;sheet=U0&amp;row=1704&amp;col=7&amp;number=0.00674&amp;sourceID=14","0.00674")</f>
        <v>0.00674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HYPERLINK("http://141.218.60.56/~jnz1568/getInfo.php?workbook=10_05.xlsx&amp;sheet=U0&amp;row=1705&amp;col=6&amp;number=3.1&amp;sourceID=14","3.1")</f>
        <v>3.1</v>
      </c>
      <c r="G1705" s="4" t="str">
        <f>HYPERLINK("http://141.218.60.56/~jnz1568/getInfo.php?workbook=10_05.xlsx&amp;sheet=U0&amp;row=1705&amp;col=7&amp;number=0.00673&amp;sourceID=14","0.00673")</f>
        <v>0.00673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HYPERLINK("http://141.218.60.56/~jnz1568/getInfo.php?workbook=10_05.xlsx&amp;sheet=U0&amp;row=1706&amp;col=6&amp;number=3.2&amp;sourceID=14","3.2")</f>
        <v>3.2</v>
      </c>
      <c r="G1706" s="4" t="str">
        <f>HYPERLINK("http://141.218.60.56/~jnz1568/getInfo.php?workbook=10_05.xlsx&amp;sheet=U0&amp;row=1706&amp;col=7&amp;number=0.00672&amp;sourceID=14","0.00672")</f>
        <v>0.00672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HYPERLINK("http://141.218.60.56/~jnz1568/getInfo.php?workbook=10_05.xlsx&amp;sheet=U0&amp;row=1707&amp;col=6&amp;number=3.3&amp;sourceID=14","3.3")</f>
        <v>3.3</v>
      </c>
      <c r="G1707" s="4" t="str">
        <f>HYPERLINK("http://141.218.60.56/~jnz1568/getInfo.php?workbook=10_05.xlsx&amp;sheet=U0&amp;row=1707&amp;col=7&amp;number=0.0067&amp;sourceID=14","0.0067")</f>
        <v>0.0067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HYPERLINK("http://141.218.60.56/~jnz1568/getInfo.php?workbook=10_05.xlsx&amp;sheet=U0&amp;row=1708&amp;col=6&amp;number=3.4&amp;sourceID=14","3.4")</f>
        <v>3.4</v>
      </c>
      <c r="G1708" s="4" t="str">
        <f>HYPERLINK("http://141.218.60.56/~jnz1568/getInfo.php?workbook=10_05.xlsx&amp;sheet=U0&amp;row=1708&amp;col=7&amp;number=0.00668&amp;sourceID=14","0.00668")</f>
        <v>0.00668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HYPERLINK("http://141.218.60.56/~jnz1568/getInfo.php?workbook=10_05.xlsx&amp;sheet=U0&amp;row=1709&amp;col=6&amp;number=3.5&amp;sourceID=14","3.5")</f>
        <v>3.5</v>
      </c>
      <c r="G1709" s="4" t="str">
        <f>HYPERLINK("http://141.218.60.56/~jnz1568/getInfo.php?workbook=10_05.xlsx&amp;sheet=U0&amp;row=1709&amp;col=7&amp;number=0.00666&amp;sourceID=14","0.00666")</f>
        <v>0.00666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HYPERLINK("http://141.218.60.56/~jnz1568/getInfo.php?workbook=10_05.xlsx&amp;sheet=U0&amp;row=1710&amp;col=6&amp;number=3.6&amp;sourceID=14","3.6")</f>
        <v>3.6</v>
      </c>
      <c r="G1710" s="4" t="str">
        <f>HYPERLINK("http://141.218.60.56/~jnz1568/getInfo.php?workbook=10_05.xlsx&amp;sheet=U0&amp;row=1710&amp;col=7&amp;number=0.00663&amp;sourceID=14","0.00663")</f>
        <v>0.00663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HYPERLINK("http://141.218.60.56/~jnz1568/getInfo.php?workbook=10_05.xlsx&amp;sheet=U0&amp;row=1711&amp;col=6&amp;number=3.7&amp;sourceID=14","3.7")</f>
        <v>3.7</v>
      </c>
      <c r="G1711" s="4" t="str">
        <f>HYPERLINK("http://141.218.60.56/~jnz1568/getInfo.php?workbook=10_05.xlsx&amp;sheet=U0&amp;row=1711&amp;col=7&amp;number=0.00659&amp;sourceID=14","0.00659")</f>
        <v>0.00659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HYPERLINK("http://141.218.60.56/~jnz1568/getInfo.php?workbook=10_05.xlsx&amp;sheet=U0&amp;row=1712&amp;col=6&amp;number=3.8&amp;sourceID=14","3.8")</f>
        <v>3.8</v>
      </c>
      <c r="G1712" s="4" t="str">
        <f>HYPERLINK("http://141.218.60.56/~jnz1568/getInfo.php?workbook=10_05.xlsx&amp;sheet=U0&amp;row=1712&amp;col=7&amp;number=0.00654&amp;sourceID=14","0.00654")</f>
        <v>0.00654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HYPERLINK("http://141.218.60.56/~jnz1568/getInfo.php?workbook=10_05.xlsx&amp;sheet=U0&amp;row=1713&amp;col=6&amp;number=3.9&amp;sourceID=14","3.9")</f>
        <v>3.9</v>
      </c>
      <c r="G1713" s="4" t="str">
        <f>HYPERLINK("http://141.218.60.56/~jnz1568/getInfo.php?workbook=10_05.xlsx&amp;sheet=U0&amp;row=1713&amp;col=7&amp;number=0.00649&amp;sourceID=14","0.00649")</f>
        <v>0.00649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HYPERLINK("http://141.218.60.56/~jnz1568/getInfo.php?workbook=10_05.xlsx&amp;sheet=U0&amp;row=1714&amp;col=6&amp;number=4&amp;sourceID=14","4")</f>
        <v>4</v>
      </c>
      <c r="G1714" s="4" t="str">
        <f>HYPERLINK("http://141.218.60.56/~jnz1568/getInfo.php?workbook=10_05.xlsx&amp;sheet=U0&amp;row=1714&amp;col=7&amp;number=0.00642&amp;sourceID=14","0.00642")</f>
        <v>0.00642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HYPERLINK("http://141.218.60.56/~jnz1568/getInfo.php?workbook=10_05.xlsx&amp;sheet=U0&amp;row=1715&amp;col=6&amp;number=4.1&amp;sourceID=14","4.1")</f>
        <v>4.1</v>
      </c>
      <c r="G1715" s="4" t="str">
        <f>HYPERLINK("http://141.218.60.56/~jnz1568/getInfo.php?workbook=10_05.xlsx&amp;sheet=U0&amp;row=1715&amp;col=7&amp;number=0.00634&amp;sourceID=14","0.00634")</f>
        <v>0.00634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HYPERLINK("http://141.218.60.56/~jnz1568/getInfo.php?workbook=10_05.xlsx&amp;sheet=U0&amp;row=1716&amp;col=6&amp;number=4.2&amp;sourceID=14","4.2")</f>
        <v>4.2</v>
      </c>
      <c r="G1716" s="4" t="str">
        <f>HYPERLINK("http://141.218.60.56/~jnz1568/getInfo.php?workbook=10_05.xlsx&amp;sheet=U0&amp;row=1716&amp;col=7&amp;number=0.00625&amp;sourceID=14","0.00625")</f>
        <v>0.00625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HYPERLINK("http://141.218.60.56/~jnz1568/getInfo.php?workbook=10_05.xlsx&amp;sheet=U0&amp;row=1717&amp;col=6&amp;number=4.3&amp;sourceID=14","4.3")</f>
        <v>4.3</v>
      </c>
      <c r="G1717" s="4" t="str">
        <f>HYPERLINK("http://141.218.60.56/~jnz1568/getInfo.php?workbook=10_05.xlsx&amp;sheet=U0&amp;row=1717&amp;col=7&amp;number=0.00614&amp;sourceID=14","0.00614")</f>
        <v>0.00614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HYPERLINK("http://141.218.60.56/~jnz1568/getInfo.php?workbook=10_05.xlsx&amp;sheet=U0&amp;row=1718&amp;col=6&amp;number=4.4&amp;sourceID=14","4.4")</f>
        <v>4.4</v>
      </c>
      <c r="G1718" s="4" t="str">
        <f>HYPERLINK("http://141.218.60.56/~jnz1568/getInfo.php?workbook=10_05.xlsx&amp;sheet=U0&amp;row=1718&amp;col=7&amp;number=0.00603&amp;sourceID=14","0.00603")</f>
        <v>0.00603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HYPERLINK("http://141.218.60.56/~jnz1568/getInfo.php?workbook=10_05.xlsx&amp;sheet=U0&amp;row=1719&amp;col=6&amp;number=4.5&amp;sourceID=14","4.5")</f>
        <v>4.5</v>
      </c>
      <c r="G1719" s="4" t="str">
        <f>HYPERLINK("http://141.218.60.56/~jnz1568/getInfo.php?workbook=10_05.xlsx&amp;sheet=U0&amp;row=1719&amp;col=7&amp;number=0.00592&amp;sourceID=14","0.00592")</f>
        <v>0.00592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HYPERLINK("http://141.218.60.56/~jnz1568/getInfo.php?workbook=10_05.xlsx&amp;sheet=U0&amp;row=1720&amp;col=6&amp;number=4.6&amp;sourceID=14","4.6")</f>
        <v>4.6</v>
      </c>
      <c r="G1720" s="4" t="str">
        <f>HYPERLINK("http://141.218.60.56/~jnz1568/getInfo.php?workbook=10_05.xlsx&amp;sheet=U0&amp;row=1720&amp;col=7&amp;number=0.0058&amp;sourceID=14","0.0058")</f>
        <v>0.0058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HYPERLINK("http://141.218.60.56/~jnz1568/getInfo.php?workbook=10_05.xlsx&amp;sheet=U0&amp;row=1721&amp;col=6&amp;number=4.7&amp;sourceID=14","4.7")</f>
        <v>4.7</v>
      </c>
      <c r="G1721" s="4" t="str">
        <f>HYPERLINK("http://141.218.60.56/~jnz1568/getInfo.php?workbook=10_05.xlsx&amp;sheet=U0&amp;row=1721&amp;col=7&amp;number=0.00568&amp;sourceID=14","0.00568")</f>
        <v>0.00568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HYPERLINK("http://141.218.60.56/~jnz1568/getInfo.php?workbook=10_05.xlsx&amp;sheet=U0&amp;row=1722&amp;col=6&amp;number=4.8&amp;sourceID=14","4.8")</f>
        <v>4.8</v>
      </c>
      <c r="G1722" s="4" t="str">
        <f>HYPERLINK("http://141.218.60.56/~jnz1568/getInfo.php?workbook=10_05.xlsx&amp;sheet=U0&amp;row=1722&amp;col=7&amp;number=0.00555&amp;sourceID=14","0.00555")</f>
        <v>0.00555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HYPERLINK("http://141.218.60.56/~jnz1568/getInfo.php?workbook=10_05.xlsx&amp;sheet=U0&amp;row=1723&amp;col=6&amp;number=4.9&amp;sourceID=14","4.9")</f>
        <v>4.9</v>
      </c>
      <c r="G1723" s="4" t="str">
        <f>HYPERLINK("http://141.218.60.56/~jnz1568/getInfo.php?workbook=10_05.xlsx&amp;sheet=U0&amp;row=1723&amp;col=7&amp;number=0.00539&amp;sourceID=14","0.00539")</f>
        <v>0.00539</v>
      </c>
    </row>
    <row r="1724" spans="1:7">
      <c r="A1724" s="3">
        <v>10</v>
      </c>
      <c r="B1724" s="3">
        <v>5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HYPERLINK("http://141.218.60.56/~jnz1568/getInfo.php?workbook=10_05.xlsx&amp;sheet=U0&amp;row=1724&amp;col=6&amp;number=3&amp;sourceID=14","3")</f>
        <v>3</v>
      </c>
      <c r="G1724" s="4" t="str">
        <f>HYPERLINK("http://141.218.60.56/~jnz1568/getInfo.php?workbook=10_05.xlsx&amp;sheet=U0&amp;row=1724&amp;col=7&amp;number=0.00236&amp;sourceID=14","0.00236")</f>
        <v>0.00236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HYPERLINK("http://141.218.60.56/~jnz1568/getInfo.php?workbook=10_05.xlsx&amp;sheet=U0&amp;row=1725&amp;col=6&amp;number=3.1&amp;sourceID=14","3.1")</f>
        <v>3.1</v>
      </c>
      <c r="G1725" s="4" t="str">
        <f>HYPERLINK("http://141.218.60.56/~jnz1568/getInfo.php?workbook=10_05.xlsx&amp;sheet=U0&amp;row=1725&amp;col=7&amp;number=0.00244&amp;sourceID=14","0.00244")</f>
        <v>0.00244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HYPERLINK("http://141.218.60.56/~jnz1568/getInfo.php?workbook=10_05.xlsx&amp;sheet=U0&amp;row=1726&amp;col=6&amp;number=3.2&amp;sourceID=14","3.2")</f>
        <v>3.2</v>
      </c>
      <c r="G1726" s="4" t="str">
        <f>HYPERLINK("http://141.218.60.56/~jnz1568/getInfo.php?workbook=10_05.xlsx&amp;sheet=U0&amp;row=1726&amp;col=7&amp;number=0.00253&amp;sourceID=14","0.00253")</f>
        <v>0.00253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HYPERLINK("http://141.218.60.56/~jnz1568/getInfo.php?workbook=10_05.xlsx&amp;sheet=U0&amp;row=1727&amp;col=6&amp;number=3.3&amp;sourceID=14","3.3")</f>
        <v>3.3</v>
      </c>
      <c r="G1727" s="4" t="str">
        <f>HYPERLINK("http://141.218.60.56/~jnz1568/getInfo.php?workbook=10_05.xlsx&amp;sheet=U0&amp;row=1727&amp;col=7&amp;number=0.00265&amp;sourceID=14","0.00265")</f>
        <v>0.00265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HYPERLINK("http://141.218.60.56/~jnz1568/getInfo.php?workbook=10_05.xlsx&amp;sheet=U0&amp;row=1728&amp;col=6&amp;number=3.4&amp;sourceID=14","3.4")</f>
        <v>3.4</v>
      </c>
      <c r="G1728" s="4" t="str">
        <f>HYPERLINK("http://141.218.60.56/~jnz1568/getInfo.php?workbook=10_05.xlsx&amp;sheet=U0&amp;row=1728&amp;col=7&amp;number=0.00278&amp;sourceID=14","0.00278")</f>
        <v>0.00278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HYPERLINK("http://141.218.60.56/~jnz1568/getInfo.php?workbook=10_05.xlsx&amp;sheet=U0&amp;row=1729&amp;col=6&amp;number=3.5&amp;sourceID=14","3.5")</f>
        <v>3.5</v>
      </c>
      <c r="G1729" s="4" t="str">
        <f>HYPERLINK("http://141.218.60.56/~jnz1568/getInfo.php?workbook=10_05.xlsx&amp;sheet=U0&amp;row=1729&amp;col=7&amp;number=0.00294&amp;sourceID=14","0.00294")</f>
        <v>0.00294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HYPERLINK("http://141.218.60.56/~jnz1568/getInfo.php?workbook=10_05.xlsx&amp;sheet=U0&amp;row=1730&amp;col=6&amp;number=3.6&amp;sourceID=14","3.6")</f>
        <v>3.6</v>
      </c>
      <c r="G1730" s="4" t="str">
        <f>HYPERLINK("http://141.218.60.56/~jnz1568/getInfo.php?workbook=10_05.xlsx&amp;sheet=U0&amp;row=1730&amp;col=7&amp;number=0.00312&amp;sourceID=14","0.00312")</f>
        <v>0.00312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HYPERLINK("http://141.218.60.56/~jnz1568/getInfo.php?workbook=10_05.xlsx&amp;sheet=U0&amp;row=1731&amp;col=6&amp;number=3.7&amp;sourceID=14","3.7")</f>
        <v>3.7</v>
      </c>
      <c r="G1731" s="4" t="str">
        <f>HYPERLINK("http://141.218.60.56/~jnz1568/getInfo.php?workbook=10_05.xlsx&amp;sheet=U0&amp;row=1731&amp;col=7&amp;number=0.0033&amp;sourceID=14","0.0033")</f>
        <v>0.0033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HYPERLINK("http://141.218.60.56/~jnz1568/getInfo.php?workbook=10_05.xlsx&amp;sheet=U0&amp;row=1732&amp;col=6&amp;number=3.8&amp;sourceID=14","3.8")</f>
        <v>3.8</v>
      </c>
      <c r="G1732" s="4" t="str">
        <f>HYPERLINK("http://141.218.60.56/~jnz1568/getInfo.php?workbook=10_05.xlsx&amp;sheet=U0&amp;row=1732&amp;col=7&amp;number=0.00347&amp;sourceID=14","0.00347")</f>
        <v>0.00347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HYPERLINK("http://141.218.60.56/~jnz1568/getInfo.php?workbook=10_05.xlsx&amp;sheet=U0&amp;row=1733&amp;col=6&amp;number=3.9&amp;sourceID=14","3.9")</f>
        <v>3.9</v>
      </c>
      <c r="G1733" s="4" t="str">
        <f>HYPERLINK("http://141.218.60.56/~jnz1568/getInfo.php?workbook=10_05.xlsx&amp;sheet=U0&amp;row=1733&amp;col=7&amp;number=0.00358&amp;sourceID=14","0.00358")</f>
        <v>0.00358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HYPERLINK("http://141.218.60.56/~jnz1568/getInfo.php?workbook=10_05.xlsx&amp;sheet=U0&amp;row=1734&amp;col=6&amp;number=4&amp;sourceID=14","4")</f>
        <v>4</v>
      </c>
      <c r="G1734" s="4" t="str">
        <f>HYPERLINK("http://141.218.60.56/~jnz1568/getInfo.php?workbook=10_05.xlsx&amp;sheet=U0&amp;row=1734&amp;col=7&amp;number=0.00361&amp;sourceID=14","0.00361")</f>
        <v>0.00361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HYPERLINK("http://141.218.60.56/~jnz1568/getInfo.php?workbook=10_05.xlsx&amp;sheet=U0&amp;row=1735&amp;col=6&amp;number=4.1&amp;sourceID=14","4.1")</f>
        <v>4.1</v>
      </c>
      <c r="G1735" s="4" t="str">
        <f>HYPERLINK("http://141.218.60.56/~jnz1568/getInfo.php?workbook=10_05.xlsx&amp;sheet=U0&amp;row=1735&amp;col=7&amp;number=0.00355&amp;sourceID=14","0.00355")</f>
        <v>0.00355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HYPERLINK("http://141.218.60.56/~jnz1568/getInfo.php?workbook=10_05.xlsx&amp;sheet=U0&amp;row=1736&amp;col=6&amp;number=4.2&amp;sourceID=14","4.2")</f>
        <v>4.2</v>
      </c>
      <c r="G1736" s="4" t="str">
        <f>HYPERLINK("http://141.218.60.56/~jnz1568/getInfo.php?workbook=10_05.xlsx&amp;sheet=U0&amp;row=1736&amp;col=7&amp;number=0.00343&amp;sourceID=14","0.00343")</f>
        <v>0.00343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HYPERLINK("http://141.218.60.56/~jnz1568/getInfo.php?workbook=10_05.xlsx&amp;sheet=U0&amp;row=1737&amp;col=6&amp;number=4.3&amp;sourceID=14","4.3")</f>
        <v>4.3</v>
      </c>
      <c r="G1737" s="4" t="str">
        <f>HYPERLINK("http://141.218.60.56/~jnz1568/getInfo.php?workbook=10_05.xlsx&amp;sheet=U0&amp;row=1737&amp;col=7&amp;number=0.00331&amp;sourceID=14","0.00331")</f>
        <v>0.00331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HYPERLINK("http://141.218.60.56/~jnz1568/getInfo.php?workbook=10_05.xlsx&amp;sheet=U0&amp;row=1738&amp;col=6&amp;number=4.4&amp;sourceID=14","4.4")</f>
        <v>4.4</v>
      </c>
      <c r="G1738" s="4" t="str">
        <f>HYPERLINK("http://141.218.60.56/~jnz1568/getInfo.php?workbook=10_05.xlsx&amp;sheet=U0&amp;row=1738&amp;col=7&amp;number=0.00318&amp;sourceID=14","0.00318")</f>
        <v>0.00318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HYPERLINK("http://141.218.60.56/~jnz1568/getInfo.php?workbook=10_05.xlsx&amp;sheet=U0&amp;row=1739&amp;col=6&amp;number=4.5&amp;sourceID=14","4.5")</f>
        <v>4.5</v>
      </c>
      <c r="G1739" s="4" t="str">
        <f>HYPERLINK("http://141.218.60.56/~jnz1568/getInfo.php?workbook=10_05.xlsx&amp;sheet=U0&amp;row=1739&amp;col=7&amp;number=0.00301&amp;sourceID=14","0.00301")</f>
        <v>0.00301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HYPERLINK("http://141.218.60.56/~jnz1568/getInfo.php?workbook=10_05.xlsx&amp;sheet=U0&amp;row=1740&amp;col=6&amp;number=4.6&amp;sourceID=14","4.6")</f>
        <v>4.6</v>
      </c>
      <c r="G1740" s="4" t="str">
        <f>HYPERLINK("http://141.218.60.56/~jnz1568/getInfo.php?workbook=10_05.xlsx&amp;sheet=U0&amp;row=1740&amp;col=7&amp;number=0.00277&amp;sourceID=14","0.00277")</f>
        <v>0.00277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HYPERLINK("http://141.218.60.56/~jnz1568/getInfo.php?workbook=10_05.xlsx&amp;sheet=U0&amp;row=1741&amp;col=6&amp;number=4.7&amp;sourceID=14","4.7")</f>
        <v>4.7</v>
      </c>
      <c r="G1741" s="4" t="str">
        <f>HYPERLINK("http://141.218.60.56/~jnz1568/getInfo.php?workbook=10_05.xlsx&amp;sheet=U0&amp;row=1741&amp;col=7&amp;number=0.00251&amp;sourceID=14","0.00251")</f>
        <v>0.00251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HYPERLINK("http://141.218.60.56/~jnz1568/getInfo.php?workbook=10_05.xlsx&amp;sheet=U0&amp;row=1742&amp;col=6&amp;number=4.8&amp;sourceID=14","4.8")</f>
        <v>4.8</v>
      </c>
      <c r="G1742" s="4" t="str">
        <f>HYPERLINK("http://141.218.60.56/~jnz1568/getInfo.php?workbook=10_05.xlsx&amp;sheet=U0&amp;row=1742&amp;col=7&amp;number=0.00225&amp;sourceID=14","0.00225")</f>
        <v>0.00225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HYPERLINK("http://141.218.60.56/~jnz1568/getInfo.php?workbook=10_05.xlsx&amp;sheet=U0&amp;row=1743&amp;col=6&amp;number=4.9&amp;sourceID=14","4.9")</f>
        <v>4.9</v>
      </c>
      <c r="G1743" s="4" t="str">
        <f>HYPERLINK("http://141.218.60.56/~jnz1568/getInfo.php?workbook=10_05.xlsx&amp;sheet=U0&amp;row=1743&amp;col=7&amp;number=0.002&amp;sourceID=14","0.002")</f>
        <v>0.002</v>
      </c>
    </row>
    <row r="1744" spans="1:7">
      <c r="A1744" s="3">
        <v>10</v>
      </c>
      <c r="B1744" s="3">
        <v>5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HYPERLINK("http://141.218.60.56/~jnz1568/getInfo.php?workbook=10_05.xlsx&amp;sheet=U0&amp;row=1744&amp;col=6&amp;number=3&amp;sourceID=14","3")</f>
        <v>3</v>
      </c>
      <c r="G1744" s="4" t="str">
        <f>HYPERLINK("http://141.218.60.56/~jnz1568/getInfo.php?workbook=10_05.xlsx&amp;sheet=U0&amp;row=1744&amp;col=7&amp;number=0.00403&amp;sourceID=14","0.00403")</f>
        <v>0.00403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HYPERLINK("http://141.218.60.56/~jnz1568/getInfo.php?workbook=10_05.xlsx&amp;sheet=U0&amp;row=1745&amp;col=6&amp;number=3.1&amp;sourceID=14","3.1")</f>
        <v>3.1</v>
      </c>
      <c r="G1745" s="4" t="str">
        <f>HYPERLINK("http://141.218.60.56/~jnz1568/getInfo.php?workbook=10_05.xlsx&amp;sheet=U0&amp;row=1745&amp;col=7&amp;number=0.00411&amp;sourceID=14","0.00411")</f>
        <v>0.00411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HYPERLINK("http://141.218.60.56/~jnz1568/getInfo.php?workbook=10_05.xlsx&amp;sheet=U0&amp;row=1746&amp;col=6&amp;number=3.2&amp;sourceID=14","3.2")</f>
        <v>3.2</v>
      </c>
      <c r="G1746" s="4" t="str">
        <f>HYPERLINK("http://141.218.60.56/~jnz1568/getInfo.php?workbook=10_05.xlsx&amp;sheet=U0&amp;row=1746&amp;col=7&amp;number=0.0042&amp;sourceID=14","0.0042")</f>
        <v>0.0042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HYPERLINK("http://141.218.60.56/~jnz1568/getInfo.php?workbook=10_05.xlsx&amp;sheet=U0&amp;row=1747&amp;col=6&amp;number=3.3&amp;sourceID=14","3.3")</f>
        <v>3.3</v>
      </c>
      <c r="G1747" s="4" t="str">
        <f>HYPERLINK("http://141.218.60.56/~jnz1568/getInfo.php?workbook=10_05.xlsx&amp;sheet=U0&amp;row=1747&amp;col=7&amp;number=0.00432&amp;sourceID=14","0.00432")</f>
        <v>0.00432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HYPERLINK("http://141.218.60.56/~jnz1568/getInfo.php?workbook=10_05.xlsx&amp;sheet=U0&amp;row=1748&amp;col=6&amp;number=3.4&amp;sourceID=14","3.4")</f>
        <v>3.4</v>
      </c>
      <c r="G1748" s="4" t="str">
        <f>HYPERLINK("http://141.218.60.56/~jnz1568/getInfo.php?workbook=10_05.xlsx&amp;sheet=U0&amp;row=1748&amp;col=7&amp;number=0.00445&amp;sourceID=14","0.00445")</f>
        <v>0.00445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HYPERLINK("http://141.218.60.56/~jnz1568/getInfo.php?workbook=10_05.xlsx&amp;sheet=U0&amp;row=1749&amp;col=6&amp;number=3.5&amp;sourceID=14","3.5")</f>
        <v>3.5</v>
      </c>
      <c r="G1749" s="4" t="str">
        <f>HYPERLINK("http://141.218.60.56/~jnz1568/getInfo.php?workbook=10_05.xlsx&amp;sheet=U0&amp;row=1749&amp;col=7&amp;number=0.00461&amp;sourceID=14","0.00461")</f>
        <v>0.00461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HYPERLINK("http://141.218.60.56/~jnz1568/getInfo.php?workbook=10_05.xlsx&amp;sheet=U0&amp;row=1750&amp;col=6&amp;number=3.6&amp;sourceID=14","3.6")</f>
        <v>3.6</v>
      </c>
      <c r="G1750" s="4" t="str">
        <f>HYPERLINK("http://141.218.60.56/~jnz1568/getInfo.php?workbook=10_05.xlsx&amp;sheet=U0&amp;row=1750&amp;col=7&amp;number=0.00479&amp;sourceID=14","0.00479")</f>
        <v>0.00479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HYPERLINK("http://141.218.60.56/~jnz1568/getInfo.php?workbook=10_05.xlsx&amp;sheet=U0&amp;row=1751&amp;col=6&amp;number=3.7&amp;sourceID=14","3.7")</f>
        <v>3.7</v>
      </c>
      <c r="G1751" s="4" t="str">
        <f>HYPERLINK("http://141.218.60.56/~jnz1568/getInfo.php?workbook=10_05.xlsx&amp;sheet=U0&amp;row=1751&amp;col=7&amp;number=0.00498&amp;sourceID=14","0.00498")</f>
        <v>0.00498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HYPERLINK("http://141.218.60.56/~jnz1568/getInfo.php?workbook=10_05.xlsx&amp;sheet=U0&amp;row=1752&amp;col=6&amp;number=3.8&amp;sourceID=14","3.8")</f>
        <v>3.8</v>
      </c>
      <c r="G1752" s="4" t="str">
        <f>HYPERLINK("http://141.218.60.56/~jnz1568/getInfo.php?workbook=10_05.xlsx&amp;sheet=U0&amp;row=1752&amp;col=7&amp;number=0.00515&amp;sourceID=14","0.00515")</f>
        <v>0.00515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HYPERLINK("http://141.218.60.56/~jnz1568/getInfo.php?workbook=10_05.xlsx&amp;sheet=U0&amp;row=1753&amp;col=6&amp;number=3.9&amp;sourceID=14","3.9")</f>
        <v>3.9</v>
      </c>
      <c r="G1753" s="4" t="str">
        <f>HYPERLINK("http://141.218.60.56/~jnz1568/getInfo.php?workbook=10_05.xlsx&amp;sheet=U0&amp;row=1753&amp;col=7&amp;number=0.00527&amp;sourceID=14","0.00527")</f>
        <v>0.00527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HYPERLINK("http://141.218.60.56/~jnz1568/getInfo.php?workbook=10_05.xlsx&amp;sheet=U0&amp;row=1754&amp;col=6&amp;number=4&amp;sourceID=14","4")</f>
        <v>4</v>
      </c>
      <c r="G1754" s="4" t="str">
        <f>HYPERLINK("http://141.218.60.56/~jnz1568/getInfo.php?workbook=10_05.xlsx&amp;sheet=U0&amp;row=1754&amp;col=7&amp;number=0.00531&amp;sourceID=14","0.00531")</f>
        <v>0.00531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HYPERLINK("http://141.218.60.56/~jnz1568/getInfo.php?workbook=10_05.xlsx&amp;sheet=U0&amp;row=1755&amp;col=6&amp;number=4.1&amp;sourceID=14","4.1")</f>
        <v>4.1</v>
      </c>
      <c r="G1755" s="4" t="str">
        <f>HYPERLINK("http://141.218.60.56/~jnz1568/getInfo.php?workbook=10_05.xlsx&amp;sheet=U0&amp;row=1755&amp;col=7&amp;number=0.00526&amp;sourceID=14","0.00526")</f>
        <v>0.00526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HYPERLINK("http://141.218.60.56/~jnz1568/getInfo.php?workbook=10_05.xlsx&amp;sheet=U0&amp;row=1756&amp;col=6&amp;number=4.2&amp;sourceID=14","4.2")</f>
        <v>4.2</v>
      </c>
      <c r="G1756" s="4" t="str">
        <f>HYPERLINK("http://141.218.60.56/~jnz1568/getInfo.php?workbook=10_05.xlsx&amp;sheet=U0&amp;row=1756&amp;col=7&amp;number=0.00514&amp;sourceID=14","0.00514")</f>
        <v>0.00514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HYPERLINK("http://141.218.60.56/~jnz1568/getInfo.php?workbook=10_05.xlsx&amp;sheet=U0&amp;row=1757&amp;col=6&amp;number=4.3&amp;sourceID=14","4.3")</f>
        <v>4.3</v>
      </c>
      <c r="G1757" s="4" t="str">
        <f>HYPERLINK("http://141.218.60.56/~jnz1568/getInfo.php?workbook=10_05.xlsx&amp;sheet=U0&amp;row=1757&amp;col=7&amp;number=0.00499&amp;sourceID=14","0.00499")</f>
        <v>0.00499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HYPERLINK("http://141.218.60.56/~jnz1568/getInfo.php?workbook=10_05.xlsx&amp;sheet=U0&amp;row=1758&amp;col=6&amp;number=4.4&amp;sourceID=14","4.4")</f>
        <v>4.4</v>
      </c>
      <c r="G1758" s="4" t="str">
        <f>HYPERLINK("http://141.218.60.56/~jnz1568/getInfo.php?workbook=10_05.xlsx&amp;sheet=U0&amp;row=1758&amp;col=7&amp;number=0.0048&amp;sourceID=14","0.0048")</f>
        <v>0.0048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HYPERLINK("http://141.218.60.56/~jnz1568/getInfo.php?workbook=10_05.xlsx&amp;sheet=U0&amp;row=1759&amp;col=6&amp;number=4.5&amp;sourceID=14","4.5")</f>
        <v>4.5</v>
      </c>
      <c r="G1759" s="4" t="str">
        <f>HYPERLINK("http://141.218.60.56/~jnz1568/getInfo.php?workbook=10_05.xlsx&amp;sheet=U0&amp;row=1759&amp;col=7&amp;number=0.00454&amp;sourceID=14","0.00454")</f>
        <v>0.00454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HYPERLINK("http://141.218.60.56/~jnz1568/getInfo.php?workbook=10_05.xlsx&amp;sheet=U0&amp;row=1760&amp;col=6&amp;number=4.6&amp;sourceID=14","4.6")</f>
        <v>4.6</v>
      </c>
      <c r="G1760" s="4" t="str">
        <f>HYPERLINK("http://141.218.60.56/~jnz1568/getInfo.php?workbook=10_05.xlsx&amp;sheet=U0&amp;row=1760&amp;col=7&amp;number=0.0042&amp;sourceID=14","0.0042")</f>
        <v>0.0042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HYPERLINK("http://141.218.60.56/~jnz1568/getInfo.php?workbook=10_05.xlsx&amp;sheet=U0&amp;row=1761&amp;col=6&amp;number=4.7&amp;sourceID=14","4.7")</f>
        <v>4.7</v>
      </c>
      <c r="G1761" s="4" t="str">
        <f>HYPERLINK("http://141.218.60.56/~jnz1568/getInfo.php?workbook=10_05.xlsx&amp;sheet=U0&amp;row=1761&amp;col=7&amp;number=0.00382&amp;sourceID=14","0.00382")</f>
        <v>0.00382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HYPERLINK("http://141.218.60.56/~jnz1568/getInfo.php?workbook=10_05.xlsx&amp;sheet=U0&amp;row=1762&amp;col=6&amp;number=4.8&amp;sourceID=14","4.8")</f>
        <v>4.8</v>
      </c>
      <c r="G1762" s="4" t="str">
        <f>HYPERLINK("http://141.218.60.56/~jnz1568/getInfo.php?workbook=10_05.xlsx&amp;sheet=U0&amp;row=1762&amp;col=7&amp;number=0.00343&amp;sourceID=14","0.00343")</f>
        <v>0.00343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HYPERLINK("http://141.218.60.56/~jnz1568/getInfo.php?workbook=10_05.xlsx&amp;sheet=U0&amp;row=1763&amp;col=6&amp;number=4.9&amp;sourceID=14","4.9")</f>
        <v>4.9</v>
      </c>
      <c r="G1763" s="4" t="str">
        <f>HYPERLINK("http://141.218.60.56/~jnz1568/getInfo.php?workbook=10_05.xlsx&amp;sheet=U0&amp;row=1763&amp;col=7&amp;number=0.00305&amp;sourceID=14","0.00305")</f>
        <v>0.00305</v>
      </c>
    </row>
    <row r="1764" spans="1:7">
      <c r="A1764" s="3">
        <v>10</v>
      </c>
      <c r="B1764" s="3">
        <v>5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HYPERLINK("http://141.218.60.56/~jnz1568/getInfo.php?workbook=10_05.xlsx&amp;sheet=U0&amp;row=1764&amp;col=6&amp;number=3&amp;sourceID=14","3")</f>
        <v>3</v>
      </c>
      <c r="G1764" s="4" t="str">
        <f>HYPERLINK("http://141.218.60.56/~jnz1568/getInfo.php?workbook=10_05.xlsx&amp;sheet=U0&amp;row=1764&amp;col=7&amp;number=0.00368&amp;sourceID=14","0.00368")</f>
        <v>0.00368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HYPERLINK("http://141.218.60.56/~jnz1568/getInfo.php?workbook=10_05.xlsx&amp;sheet=U0&amp;row=1765&amp;col=6&amp;number=3.1&amp;sourceID=14","3.1")</f>
        <v>3.1</v>
      </c>
      <c r="G1765" s="4" t="str">
        <f>HYPERLINK("http://141.218.60.56/~jnz1568/getInfo.php?workbook=10_05.xlsx&amp;sheet=U0&amp;row=1765&amp;col=7&amp;number=0.00371&amp;sourceID=14","0.00371")</f>
        <v>0.00371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HYPERLINK("http://141.218.60.56/~jnz1568/getInfo.php?workbook=10_05.xlsx&amp;sheet=U0&amp;row=1766&amp;col=6&amp;number=3.2&amp;sourceID=14","3.2")</f>
        <v>3.2</v>
      </c>
      <c r="G1766" s="4" t="str">
        <f>HYPERLINK("http://141.218.60.56/~jnz1568/getInfo.php?workbook=10_05.xlsx&amp;sheet=U0&amp;row=1766&amp;col=7&amp;number=0.00375&amp;sourceID=14","0.00375")</f>
        <v>0.00375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HYPERLINK("http://141.218.60.56/~jnz1568/getInfo.php?workbook=10_05.xlsx&amp;sheet=U0&amp;row=1767&amp;col=6&amp;number=3.3&amp;sourceID=14","3.3")</f>
        <v>3.3</v>
      </c>
      <c r="G1767" s="4" t="str">
        <f>HYPERLINK("http://141.218.60.56/~jnz1568/getInfo.php?workbook=10_05.xlsx&amp;sheet=U0&amp;row=1767&amp;col=7&amp;number=0.0038&amp;sourceID=14","0.0038")</f>
        <v>0.0038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HYPERLINK("http://141.218.60.56/~jnz1568/getInfo.php?workbook=10_05.xlsx&amp;sheet=U0&amp;row=1768&amp;col=6&amp;number=3.4&amp;sourceID=14","3.4")</f>
        <v>3.4</v>
      </c>
      <c r="G1768" s="4" t="str">
        <f>HYPERLINK("http://141.218.60.56/~jnz1568/getInfo.php?workbook=10_05.xlsx&amp;sheet=U0&amp;row=1768&amp;col=7&amp;number=0.00386&amp;sourceID=14","0.00386")</f>
        <v>0.00386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HYPERLINK("http://141.218.60.56/~jnz1568/getInfo.php?workbook=10_05.xlsx&amp;sheet=U0&amp;row=1769&amp;col=6&amp;number=3.5&amp;sourceID=14","3.5")</f>
        <v>3.5</v>
      </c>
      <c r="G1769" s="4" t="str">
        <f>HYPERLINK("http://141.218.60.56/~jnz1568/getInfo.php?workbook=10_05.xlsx&amp;sheet=U0&amp;row=1769&amp;col=7&amp;number=0.00393&amp;sourceID=14","0.00393")</f>
        <v>0.00393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HYPERLINK("http://141.218.60.56/~jnz1568/getInfo.php?workbook=10_05.xlsx&amp;sheet=U0&amp;row=1770&amp;col=6&amp;number=3.6&amp;sourceID=14","3.6")</f>
        <v>3.6</v>
      </c>
      <c r="G1770" s="4" t="str">
        <f>HYPERLINK("http://141.218.60.56/~jnz1568/getInfo.php?workbook=10_05.xlsx&amp;sheet=U0&amp;row=1770&amp;col=7&amp;number=0.00401&amp;sourceID=14","0.00401")</f>
        <v>0.00401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HYPERLINK("http://141.218.60.56/~jnz1568/getInfo.php?workbook=10_05.xlsx&amp;sheet=U0&amp;row=1771&amp;col=6&amp;number=3.7&amp;sourceID=14","3.7")</f>
        <v>3.7</v>
      </c>
      <c r="G1771" s="4" t="str">
        <f>HYPERLINK("http://141.218.60.56/~jnz1568/getInfo.php?workbook=10_05.xlsx&amp;sheet=U0&amp;row=1771&amp;col=7&amp;number=0.00411&amp;sourceID=14","0.00411")</f>
        <v>0.00411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HYPERLINK("http://141.218.60.56/~jnz1568/getInfo.php?workbook=10_05.xlsx&amp;sheet=U0&amp;row=1772&amp;col=6&amp;number=3.8&amp;sourceID=14","3.8")</f>
        <v>3.8</v>
      </c>
      <c r="G1772" s="4" t="str">
        <f>HYPERLINK("http://141.218.60.56/~jnz1568/getInfo.php?workbook=10_05.xlsx&amp;sheet=U0&amp;row=1772&amp;col=7&amp;number=0.0042&amp;sourceID=14","0.0042")</f>
        <v>0.0042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HYPERLINK("http://141.218.60.56/~jnz1568/getInfo.php?workbook=10_05.xlsx&amp;sheet=U0&amp;row=1773&amp;col=6&amp;number=3.9&amp;sourceID=14","3.9")</f>
        <v>3.9</v>
      </c>
      <c r="G1773" s="4" t="str">
        <f>HYPERLINK("http://141.218.60.56/~jnz1568/getInfo.php?workbook=10_05.xlsx&amp;sheet=U0&amp;row=1773&amp;col=7&amp;number=0.00429&amp;sourceID=14","0.00429")</f>
        <v>0.00429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HYPERLINK("http://141.218.60.56/~jnz1568/getInfo.php?workbook=10_05.xlsx&amp;sheet=U0&amp;row=1774&amp;col=6&amp;number=4&amp;sourceID=14","4")</f>
        <v>4</v>
      </c>
      <c r="G1774" s="4" t="str">
        <f>HYPERLINK("http://141.218.60.56/~jnz1568/getInfo.php?workbook=10_05.xlsx&amp;sheet=U0&amp;row=1774&amp;col=7&amp;number=0.00434&amp;sourceID=14","0.00434")</f>
        <v>0.00434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HYPERLINK("http://141.218.60.56/~jnz1568/getInfo.php?workbook=10_05.xlsx&amp;sheet=U0&amp;row=1775&amp;col=6&amp;number=4.1&amp;sourceID=14","4.1")</f>
        <v>4.1</v>
      </c>
      <c r="G1775" s="4" t="str">
        <f>HYPERLINK("http://141.218.60.56/~jnz1568/getInfo.php?workbook=10_05.xlsx&amp;sheet=U0&amp;row=1775&amp;col=7&amp;number=0.00434&amp;sourceID=14","0.00434")</f>
        <v>0.00434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HYPERLINK("http://141.218.60.56/~jnz1568/getInfo.php?workbook=10_05.xlsx&amp;sheet=U0&amp;row=1776&amp;col=6&amp;number=4.2&amp;sourceID=14","4.2")</f>
        <v>4.2</v>
      </c>
      <c r="G1776" s="4" t="str">
        <f>HYPERLINK("http://141.218.60.56/~jnz1568/getInfo.php?workbook=10_05.xlsx&amp;sheet=U0&amp;row=1776&amp;col=7&amp;number=0.00428&amp;sourceID=14","0.00428")</f>
        <v>0.00428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HYPERLINK("http://141.218.60.56/~jnz1568/getInfo.php?workbook=10_05.xlsx&amp;sheet=U0&amp;row=1777&amp;col=6&amp;number=4.3&amp;sourceID=14","4.3")</f>
        <v>4.3</v>
      </c>
      <c r="G1777" s="4" t="str">
        <f>HYPERLINK("http://141.218.60.56/~jnz1568/getInfo.php?workbook=10_05.xlsx&amp;sheet=U0&amp;row=1777&amp;col=7&amp;number=0.00414&amp;sourceID=14","0.00414")</f>
        <v>0.00414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HYPERLINK("http://141.218.60.56/~jnz1568/getInfo.php?workbook=10_05.xlsx&amp;sheet=U0&amp;row=1778&amp;col=6&amp;number=4.4&amp;sourceID=14","4.4")</f>
        <v>4.4</v>
      </c>
      <c r="G1778" s="4" t="str">
        <f>HYPERLINK("http://141.218.60.56/~jnz1568/getInfo.php?workbook=10_05.xlsx&amp;sheet=U0&amp;row=1778&amp;col=7&amp;number=0.00397&amp;sourceID=14","0.00397")</f>
        <v>0.00397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HYPERLINK("http://141.218.60.56/~jnz1568/getInfo.php?workbook=10_05.xlsx&amp;sheet=U0&amp;row=1779&amp;col=6&amp;number=4.5&amp;sourceID=14","4.5")</f>
        <v>4.5</v>
      </c>
      <c r="G1779" s="4" t="str">
        <f>HYPERLINK("http://141.218.60.56/~jnz1568/getInfo.php?workbook=10_05.xlsx&amp;sheet=U0&amp;row=1779&amp;col=7&amp;number=0.00375&amp;sourceID=14","0.00375")</f>
        <v>0.00375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HYPERLINK("http://141.218.60.56/~jnz1568/getInfo.php?workbook=10_05.xlsx&amp;sheet=U0&amp;row=1780&amp;col=6&amp;number=4.6&amp;sourceID=14","4.6")</f>
        <v>4.6</v>
      </c>
      <c r="G1780" s="4" t="str">
        <f>HYPERLINK("http://141.218.60.56/~jnz1568/getInfo.php?workbook=10_05.xlsx&amp;sheet=U0&amp;row=1780&amp;col=7&amp;number=0.00346&amp;sourceID=14","0.00346")</f>
        <v>0.00346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HYPERLINK("http://141.218.60.56/~jnz1568/getInfo.php?workbook=10_05.xlsx&amp;sheet=U0&amp;row=1781&amp;col=6&amp;number=4.7&amp;sourceID=14","4.7")</f>
        <v>4.7</v>
      </c>
      <c r="G1781" s="4" t="str">
        <f>HYPERLINK("http://141.218.60.56/~jnz1568/getInfo.php?workbook=10_05.xlsx&amp;sheet=U0&amp;row=1781&amp;col=7&amp;number=0.00313&amp;sourceID=14","0.00313")</f>
        <v>0.00313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HYPERLINK("http://141.218.60.56/~jnz1568/getInfo.php?workbook=10_05.xlsx&amp;sheet=U0&amp;row=1782&amp;col=6&amp;number=4.8&amp;sourceID=14","4.8")</f>
        <v>4.8</v>
      </c>
      <c r="G1782" s="4" t="str">
        <f>HYPERLINK("http://141.218.60.56/~jnz1568/getInfo.php?workbook=10_05.xlsx&amp;sheet=U0&amp;row=1782&amp;col=7&amp;number=0.00278&amp;sourceID=14","0.00278")</f>
        <v>0.00278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HYPERLINK("http://141.218.60.56/~jnz1568/getInfo.php?workbook=10_05.xlsx&amp;sheet=U0&amp;row=1783&amp;col=6&amp;number=4.9&amp;sourceID=14","4.9")</f>
        <v>4.9</v>
      </c>
      <c r="G1783" s="4" t="str">
        <f>HYPERLINK("http://141.218.60.56/~jnz1568/getInfo.php?workbook=10_05.xlsx&amp;sheet=U0&amp;row=1783&amp;col=7&amp;number=0.00245&amp;sourceID=14","0.00245")</f>
        <v>0.00245</v>
      </c>
    </row>
    <row r="1784" spans="1:7">
      <c r="A1784" s="3">
        <v>10</v>
      </c>
      <c r="B1784" s="3">
        <v>5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HYPERLINK("http://141.218.60.56/~jnz1568/getInfo.php?workbook=10_05.xlsx&amp;sheet=U0&amp;row=1784&amp;col=6&amp;number=3&amp;sourceID=14","3")</f>
        <v>3</v>
      </c>
      <c r="G1784" s="4" t="str">
        <f>HYPERLINK("http://141.218.60.56/~jnz1568/getInfo.php?workbook=10_05.xlsx&amp;sheet=U0&amp;row=1784&amp;col=7&amp;number=0.00238&amp;sourceID=14","0.00238")</f>
        <v>0.00238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HYPERLINK("http://141.218.60.56/~jnz1568/getInfo.php?workbook=10_05.xlsx&amp;sheet=U0&amp;row=1785&amp;col=6&amp;number=3.1&amp;sourceID=14","3.1")</f>
        <v>3.1</v>
      </c>
      <c r="G1785" s="4" t="str">
        <f>HYPERLINK("http://141.218.60.56/~jnz1568/getInfo.php?workbook=10_05.xlsx&amp;sheet=U0&amp;row=1785&amp;col=7&amp;number=0.00252&amp;sourceID=14","0.00252")</f>
        <v>0.00252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HYPERLINK("http://141.218.60.56/~jnz1568/getInfo.php?workbook=10_05.xlsx&amp;sheet=U0&amp;row=1786&amp;col=6&amp;number=3.2&amp;sourceID=14","3.2")</f>
        <v>3.2</v>
      </c>
      <c r="G1786" s="4" t="str">
        <f>HYPERLINK("http://141.218.60.56/~jnz1568/getInfo.php?workbook=10_05.xlsx&amp;sheet=U0&amp;row=1786&amp;col=7&amp;number=0.00269&amp;sourceID=14","0.00269")</f>
        <v>0.00269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HYPERLINK("http://141.218.60.56/~jnz1568/getInfo.php?workbook=10_05.xlsx&amp;sheet=U0&amp;row=1787&amp;col=6&amp;number=3.3&amp;sourceID=14","3.3")</f>
        <v>3.3</v>
      </c>
      <c r="G1787" s="4" t="str">
        <f>HYPERLINK("http://141.218.60.56/~jnz1568/getInfo.php?workbook=10_05.xlsx&amp;sheet=U0&amp;row=1787&amp;col=7&amp;number=0.00289&amp;sourceID=14","0.00289")</f>
        <v>0.00289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HYPERLINK("http://141.218.60.56/~jnz1568/getInfo.php?workbook=10_05.xlsx&amp;sheet=U0&amp;row=1788&amp;col=6&amp;number=3.4&amp;sourceID=14","3.4")</f>
        <v>3.4</v>
      </c>
      <c r="G1788" s="4" t="str">
        <f>HYPERLINK("http://141.218.60.56/~jnz1568/getInfo.php?workbook=10_05.xlsx&amp;sheet=U0&amp;row=1788&amp;col=7&amp;number=0.00312&amp;sourceID=14","0.00312")</f>
        <v>0.00312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HYPERLINK("http://141.218.60.56/~jnz1568/getInfo.php?workbook=10_05.xlsx&amp;sheet=U0&amp;row=1789&amp;col=6&amp;number=3.5&amp;sourceID=14","3.5")</f>
        <v>3.5</v>
      </c>
      <c r="G1789" s="4" t="str">
        <f>HYPERLINK("http://141.218.60.56/~jnz1568/getInfo.php?workbook=10_05.xlsx&amp;sheet=U0&amp;row=1789&amp;col=7&amp;number=0.00337&amp;sourceID=14","0.00337")</f>
        <v>0.00337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HYPERLINK("http://141.218.60.56/~jnz1568/getInfo.php?workbook=10_05.xlsx&amp;sheet=U0&amp;row=1790&amp;col=6&amp;number=3.6&amp;sourceID=14","3.6")</f>
        <v>3.6</v>
      </c>
      <c r="G1790" s="4" t="str">
        <f>HYPERLINK("http://141.218.60.56/~jnz1568/getInfo.php?workbook=10_05.xlsx&amp;sheet=U0&amp;row=1790&amp;col=7&amp;number=0.00361&amp;sourceID=14","0.00361")</f>
        <v>0.00361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HYPERLINK("http://141.218.60.56/~jnz1568/getInfo.php?workbook=10_05.xlsx&amp;sheet=U0&amp;row=1791&amp;col=6&amp;number=3.7&amp;sourceID=14","3.7")</f>
        <v>3.7</v>
      </c>
      <c r="G1791" s="4" t="str">
        <f>HYPERLINK("http://141.218.60.56/~jnz1568/getInfo.php?workbook=10_05.xlsx&amp;sheet=U0&amp;row=1791&amp;col=7&amp;number=0.00382&amp;sourceID=14","0.00382")</f>
        <v>0.00382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HYPERLINK("http://141.218.60.56/~jnz1568/getInfo.php?workbook=10_05.xlsx&amp;sheet=U0&amp;row=1792&amp;col=6&amp;number=3.8&amp;sourceID=14","3.8")</f>
        <v>3.8</v>
      </c>
      <c r="G1792" s="4" t="str">
        <f>HYPERLINK("http://141.218.60.56/~jnz1568/getInfo.php?workbook=10_05.xlsx&amp;sheet=U0&amp;row=1792&amp;col=7&amp;number=0.00395&amp;sourceID=14","0.00395")</f>
        <v>0.00395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HYPERLINK("http://141.218.60.56/~jnz1568/getInfo.php?workbook=10_05.xlsx&amp;sheet=U0&amp;row=1793&amp;col=6&amp;number=3.9&amp;sourceID=14","3.9")</f>
        <v>3.9</v>
      </c>
      <c r="G1793" s="4" t="str">
        <f>HYPERLINK("http://141.218.60.56/~jnz1568/getInfo.php?workbook=10_05.xlsx&amp;sheet=U0&amp;row=1793&amp;col=7&amp;number=0.00399&amp;sourceID=14","0.00399")</f>
        <v>0.00399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HYPERLINK("http://141.218.60.56/~jnz1568/getInfo.php?workbook=10_05.xlsx&amp;sheet=U0&amp;row=1794&amp;col=6&amp;number=4&amp;sourceID=14","4")</f>
        <v>4</v>
      </c>
      <c r="G1794" s="4" t="str">
        <f>HYPERLINK("http://141.218.60.56/~jnz1568/getInfo.php?workbook=10_05.xlsx&amp;sheet=U0&amp;row=1794&amp;col=7&amp;number=0.00394&amp;sourceID=14","0.00394")</f>
        <v>0.00394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HYPERLINK("http://141.218.60.56/~jnz1568/getInfo.php?workbook=10_05.xlsx&amp;sheet=U0&amp;row=1795&amp;col=6&amp;number=4.1&amp;sourceID=14","4.1")</f>
        <v>4.1</v>
      </c>
      <c r="G1795" s="4" t="str">
        <f>HYPERLINK("http://141.218.60.56/~jnz1568/getInfo.php?workbook=10_05.xlsx&amp;sheet=U0&amp;row=1795&amp;col=7&amp;number=0.00386&amp;sourceID=14","0.00386")</f>
        <v>0.00386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HYPERLINK("http://141.218.60.56/~jnz1568/getInfo.php?workbook=10_05.xlsx&amp;sheet=U0&amp;row=1796&amp;col=6&amp;number=4.2&amp;sourceID=14","4.2")</f>
        <v>4.2</v>
      </c>
      <c r="G1796" s="4" t="str">
        <f>HYPERLINK("http://141.218.60.56/~jnz1568/getInfo.php?workbook=10_05.xlsx&amp;sheet=U0&amp;row=1796&amp;col=7&amp;number=0.00375&amp;sourceID=14","0.00375")</f>
        <v>0.00375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HYPERLINK("http://141.218.60.56/~jnz1568/getInfo.php?workbook=10_05.xlsx&amp;sheet=U0&amp;row=1797&amp;col=6&amp;number=4.3&amp;sourceID=14","4.3")</f>
        <v>4.3</v>
      </c>
      <c r="G1797" s="4" t="str">
        <f>HYPERLINK("http://141.218.60.56/~jnz1568/getInfo.php?workbook=10_05.xlsx&amp;sheet=U0&amp;row=1797&amp;col=7&amp;number=0.0036&amp;sourceID=14","0.0036")</f>
        <v>0.0036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HYPERLINK("http://141.218.60.56/~jnz1568/getInfo.php?workbook=10_05.xlsx&amp;sheet=U0&amp;row=1798&amp;col=6&amp;number=4.4&amp;sourceID=14","4.4")</f>
        <v>4.4</v>
      </c>
      <c r="G1798" s="4" t="str">
        <f>HYPERLINK("http://141.218.60.56/~jnz1568/getInfo.php?workbook=10_05.xlsx&amp;sheet=U0&amp;row=1798&amp;col=7&amp;number=0.00338&amp;sourceID=14","0.00338")</f>
        <v>0.00338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HYPERLINK("http://141.218.60.56/~jnz1568/getInfo.php?workbook=10_05.xlsx&amp;sheet=U0&amp;row=1799&amp;col=6&amp;number=4.5&amp;sourceID=14","4.5")</f>
        <v>4.5</v>
      </c>
      <c r="G1799" s="4" t="str">
        <f>HYPERLINK("http://141.218.60.56/~jnz1568/getInfo.php?workbook=10_05.xlsx&amp;sheet=U0&amp;row=1799&amp;col=7&amp;number=0.00314&amp;sourceID=14","0.00314")</f>
        <v>0.00314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HYPERLINK("http://141.218.60.56/~jnz1568/getInfo.php?workbook=10_05.xlsx&amp;sheet=U0&amp;row=1800&amp;col=6&amp;number=4.6&amp;sourceID=14","4.6")</f>
        <v>4.6</v>
      </c>
      <c r="G1800" s="4" t="str">
        <f>HYPERLINK("http://141.218.60.56/~jnz1568/getInfo.php?workbook=10_05.xlsx&amp;sheet=U0&amp;row=1800&amp;col=7&amp;number=0.00289&amp;sourceID=14","0.00289")</f>
        <v>0.00289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HYPERLINK("http://141.218.60.56/~jnz1568/getInfo.php?workbook=10_05.xlsx&amp;sheet=U0&amp;row=1801&amp;col=6&amp;number=4.7&amp;sourceID=14","4.7")</f>
        <v>4.7</v>
      </c>
      <c r="G1801" s="4" t="str">
        <f>HYPERLINK("http://141.218.60.56/~jnz1568/getInfo.php?workbook=10_05.xlsx&amp;sheet=U0&amp;row=1801&amp;col=7&amp;number=0.00263&amp;sourceID=14","0.00263")</f>
        <v>0.00263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HYPERLINK("http://141.218.60.56/~jnz1568/getInfo.php?workbook=10_05.xlsx&amp;sheet=U0&amp;row=1802&amp;col=6&amp;number=4.8&amp;sourceID=14","4.8")</f>
        <v>4.8</v>
      </c>
      <c r="G1802" s="4" t="str">
        <f>HYPERLINK("http://141.218.60.56/~jnz1568/getInfo.php?workbook=10_05.xlsx&amp;sheet=U0&amp;row=1802&amp;col=7&amp;number=0.00235&amp;sourceID=14","0.00235")</f>
        <v>0.00235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HYPERLINK("http://141.218.60.56/~jnz1568/getInfo.php?workbook=10_05.xlsx&amp;sheet=U0&amp;row=1803&amp;col=6&amp;number=4.9&amp;sourceID=14","4.9")</f>
        <v>4.9</v>
      </c>
      <c r="G1803" s="4" t="str">
        <f>HYPERLINK("http://141.218.60.56/~jnz1568/getInfo.php?workbook=10_05.xlsx&amp;sheet=U0&amp;row=1803&amp;col=7&amp;number=0.00209&amp;sourceID=14","0.00209")</f>
        <v>0.00209</v>
      </c>
    </row>
    <row r="1804" spans="1:7">
      <c r="A1804" s="3">
        <v>10</v>
      </c>
      <c r="B1804" s="3">
        <v>5</v>
      </c>
      <c r="C1804" s="3">
        <v>1</v>
      </c>
      <c r="D1804" s="3">
        <v>92</v>
      </c>
      <c r="E1804" s="3">
        <v>1</v>
      </c>
      <c r="F1804" s="4" t="str">
        <f>HYPERLINK("http://141.218.60.56/~jnz1568/getInfo.php?workbook=10_05.xlsx&amp;sheet=U0&amp;row=1804&amp;col=6&amp;number=3&amp;sourceID=14","3")</f>
        <v>3</v>
      </c>
      <c r="G1804" s="4" t="str">
        <f>HYPERLINK("http://141.218.60.56/~jnz1568/getInfo.php?workbook=10_05.xlsx&amp;sheet=U0&amp;row=1804&amp;col=7&amp;number=0.00277&amp;sourceID=14","0.00277")</f>
        <v>0.00277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HYPERLINK("http://141.218.60.56/~jnz1568/getInfo.php?workbook=10_05.xlsx&amp;sheet=U0&amp;row=1805&amp;col=6&amp;number=3.1&amp;sourceID=14","3.1")</f>
        <v>3.1</v>
      </c>
      <c r="G1805" s="4" t="str">
        <f>HYPERLINK("http://141.218.60.56/~jnz1568/getInfo.php?workbook=10_05.xlsx&amp;sheet=U0&amp;row=1805&amp;col=7&amp;number=0.00289&amp;sourceID=14","0.00289")</f>
        <v>0.00289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HYPERLINK("http://141.218.60.56/~jnz1568/getInfo.php?workbook=10_05.xlsx&amp;sheet=U0&amp;row=1806&amp;col=6&amp;number=3.2&amp;sourceID=14","3.2")</f>
        <v>3.2</v>
      </c>
      <c r="G1806" s="4" t="str">
        <f>HYPERLINK("http://141.218.60.56/~jnz1568/getInfo.php?workbook=10_05.xlsx&amp;sheet=U0&amp;row=1806&amp;col=7&amp;number=0.00303&amp;sourceID=14","0.00303")</f>
        <v>0.00303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HYPERLINK("http://141.218.60.56/~jnz1568/getInfo.php?workbook=10_05.xlsx&amp;sheet=U0&amp;row=1807&amp;col=6&amp;number=3.3&amp;sourceID=14","3.3")</f>
        <v>3.3</v>
      </c>
      <c r="G1807" s="4" t="str">
        <f>HYPERLINK("http://141.218.60.56/~jnz1568/getInfo.php?workbook=10_05.xlsx&amp;sheet=U0&amp;row=1807&amp;col=7&amp;number=0.0032&amp;sourceID=14","0.0032")</f>
        <v>0.0032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HYPERLINK("http://141.218.60.56/~jnz1568/getInfo.php?workbook=10_05.xlsx&amp;sheet=U0&amp;row=1808&amp;col=6&amp;number=3.4&amp;sourceID=14","3.4")</f>
        <v>3.4</v>
      </c>
      <c r="G1808" s="4" t="str">
        <f>HYPERLINK("http://141.218.60.56/~jnz1568/getInfo.php?workbook=10_05.xlsx&amp;sheet=U0&amp;row=1808&amp;col=7&amp;number=0.0034&amp;sourceID=14","0.0034")</f>
        <v>0.0034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HYPERLINK("http://141.218.60.56/~jnz1568/getInfo.php?workbook=10_05.xlsx&amp;sheet=U0&amp;row=1809&amp;col=6&amp;number=3.5&amp;sourceID=14","3.5")</f>
        <v>3.5</v>
      </c>
      <c r="G1809" s="4" t="str">
        <f>HYPERLINK("http://141.218.60.56/~jnz1568/getInfo.php?workbook=10_05.xlsx&amp;sheet=U0&amp;row=1809&amp;col=7&amp;number=0.00361&amp;sourceID=14","0.00361")</f>
        <v>0.00361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HYPERLINK("http://141.218.60.56/~jnz1568/getInfo.php?workbook=10_05.xlsx&amp;sheet=U0&amp;row=1810&amp;col=6&amp;number=3.6&amp;sourceID=14","3.6")</f>
        <v>3.6</v>
      </c>
      <c r="G1810" s="4" t="str">
        <f>HYPERLINK("http://141.218.60.56/~jnz1568/getInfo.php?workbook=10_05.xlsx&amp;sheet=U0&amp;row=1810&amp;col=7&amp;number=0.00382&amp;sourceID=14","0.00382")</f>
        <v>0.00382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HYPERLINK("http://141.218.60.56/~jnz1568/getInfo.php?workbook=10_05.xlsx&amp;sheet=U0&amp;row=1811&amp;col=6&amp;number=3.7&amp;sourceID=14","3.7")</f>
        <v>3.7</v>
      </c>
      <c r="G1811" s="4" t="str">
        <f>HYPERLINK("http://141.218.60.56/~jnz1568/getInfo.php?workbook=10_05.xlsx&amp;sheet=U0&amp;row=1811&amp;col=7&amp;number=0.00399&amp;sourceID=14","0.00399")</f>
        <v>0.00399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HYPERLINK("http://141.218.60.56/~jnz1568/getInfo.php?workbook=10_05.xlsx&amp;sheet=U0&amp;row=1812&amp;col=6&amp;number=3.8&amp;sourceID=14","3.8")</f>
        <v>3.8</v>
      </c>
      <c r="G1812" s="4" t="str">
        <f>HYPERLINK("http://141.218.60.56/~jnz1568/getInfo.php?workbook=10_05.xlsx&amp;sheet=U0&amp;row=1812&amp;col=7&amp;number=0.0041&amp;sourceID=14","0.0041")</f>
        <v>0.0041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HYPERLINK("http://141.218.60.56/~jnz1568/getInfo.php?workbook=10_05.xlsx&amp;sheet=U0&amp;row=1813&amp;col=6&amp;number=3.9&amp;sourceID=14","3.9")</f>
        <v>3.9</v>
      </c>
      <c r="G1813" s="4" t="str">
        <f>HYPERLINK("http://141.218.60.56/~jnz1568/getInfo.php?workbook=10_05.xlsx&amp;sheet=U0&amp;row=1813&amp;col=7&amp;number=0.00411&amp;sourceID=14","0.00411")</f>
        <v>0.00411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HYPERLINK("http://141.218.60.56/~jnz1568/getInfo.php?workbook=10_05.xlsx&amp;sheet=U0&amp;row=1814&amp;col=6&amp;number=4&amp;sourceID=14","4")</f>
        <v>4</v>
      </c>
      <c r="G1814" s="4" t="str">
        <f>HYPERLINK("http://141.218.60.56/~jnz1568/getInfo.php?workbook=10_05.xlsx&amp;sheet=U0&amp;row=1814&amp;col=7&amp;number=0.00405&amp;sourceID=14","0.00405")</f>
        <v>0.00405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HYPERLINK("http://141.218.60.56/~jnz1568/getInfo.php?workbook=10_05.xlsx&amp;sheet=U0&amp;row=1815&amp;col=6&amp;number=4.1&amp;sourceID=14","4.1")</f>
        <v>4.1</v>
      </c>
      <c r="G1815" s="4" t="str">
        <f>HYPERLINK("http://141.218.60.56/~jnz1568/getInfo.php?workbook=10_05.xlsx&amp;sheet=U0&amp;row=1815&amp;col=7&amp;number=0.00396&amp;sourceID=14","0.00396")</f>
        <v>0.00396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HYPERLINK("http://141.218.60.56/~jnz1568/getInfo.php?workbook=10_05.xlsx&amp;sheet=U0&amp;row=1816&amp;col=6&amp;number=4.2&amp;sourceID=14","4.2")</f>
        <v>4.2</v>
      </c>
      <c r="G1816" s="4" t="str">
        <f>HYPERLINK("http://141.218.60.56/~jnz1568/getInfo.php?workbook=10_05.xlsx&amp;sheet=U0&amp;row=1816&amp;col=7&amp;number=0.00384&amp;sourceID=14","0.00384")</f>
        <v>0.00384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HYPERLINK("http://141.218.60.56/~jnz1568/getInfo.php?workbook=10_05.xlsx&amp;sheet=U0&amp;row=1817&amp;col=6&amp;number=4.3&amp;sourceID=14","4.3")</f>
        <v>4.3</v>
      </c>
      <c r="G1817" s="4" t="str">
        <f>HYPERLINK("http://141.218.60.56/~jnz1568/getInfo.php?workbook=10_05.xlsx&amp;sheet=U0&amp;row=1817&amp;col=7&amp;number=0.00367&amp;sourceID=14","0.00367")</f>
        <v>0.00367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HYPERLINK("http://141.218.60.56/~jnz1568/getInfo.php?workbook=10_05.xlsx&amp;sheet=U0&amp;row=1818&amp;col=6&amp;number=4.4&amp;sourceID=14","4.4")</f>
        <v>4.4</v>
      </c>
      <c r="G1818" s="4" t="str">
        <f>HYPERLINK("http://141.218.60.56/~jnz1568/getInfo.php?workbook=10_05.xlsx&amp;sheet=U0&amp;row=1818&amp;col=7&amp;number=0.00344&amp;sourceID=14","0.00344")</f>
        <v>0.00344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HYPERLINK("http://141.218.60.56/~jnz1568/getInfo.php?workbook=10_05.xlsx&amp;sheet=U0&amp;row=1819&amp;col=6&amp;number=4.5&amp;sourceID=14","4.5")</f>
        <v>4.5</v>
      </c>
      <c r="G1819" s="4" t="str">
        <f>HYPERLINK("http://141.218.60.56/~jnz1568/getInfo.php?workbook=10_05.xlsx&amp;sheet=U0&amp;row=1819&amp;col=7&amp;number=0.00318&amp;sourceID=14","0.00318")</f>
        <v>0.00318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HYPERLINK("http://141.218.60.56/~jnz1568/getInfo.php?workbook=10_05.xlsx&amp;sheet=U0&amp;row=1820&amp;col=6&amp;number=4.6&amp;sourceID=14","4.6")</f>
        <v>4.6</v>
      </c>
      <c r="G1820" s="4" t="str">
        <f>HYPERLINK("http://141.218.60.56/~jnz1568/getInfo.php?workbook=10_05.xlsx&amp;sheet=U0&amp;row=1820&amp;col=7&amp;number=0.00292&amp;sourceID=14","0.00292")</f>
        <v>0.00292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HYPERLINK("http://141.218.60.56/~jnz1568/getInfo.php?workbook=10_05.xlsx&amp;sheet=U0&amp;row=1821&amp;col=6&amp;number=4.7&amp;sourceID=14","4.7")</f>
        <v>4.7</v>
      </c>
      <c r="G1821" s="4" t="str">
        <f>HYPERLINK("http://141.218.60.56/~jnz1568/getInfo.php?workbook=10_05.xlsx&amp;sheet=U0&amp;row=1821&amp;col=7&amp;number=0.00264&amp;sourceID=14","0.00264")</f>
        <v>0.00264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HYPERLINK("http://141.218.60.56/~jnz1568/getInfo.php?workbook=10_05.xlsx&amp;sheet=U0&amp;row=1822&amp;col=6&amp;number=4.8&amp;sourceID=14","4.8")</f>
        <v>4.8</v>
      </c>
      <c r="G1822" s="4" t="str">
        <f>HYPERLINK("http://141.218.60.56/~jnz1568/getInfo.php?workbook=10_05.xlsx&amp;sheet=U0&amp;row=1822&amp;col=7&amp;number=0.00234&amp;sourceID=14","0.00234")</f>
        <v>0.00234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HYPERLINK("http://141.218.60.56/~jnz1568/getInfo.php?workbook=10_05.xlsx&amp;sheet=U0&amp;row=1823&amp;col=6&amp;number=4.9&amp;sourceID=14","4.9")</f>
        <v>4.9</v>
      </c>
      <c r="G1823" s="4" t="str">
        <f>HYPERLINK("http://141.218.60.56/~jnz1568/getInfo.php?workbook=10_05.xlsx&amp;sheet=U0&amp;row=1823&amp;col=7&amp;number=0.00206&amp;sourceID=14","0.00206")</f>
        <v>0.00206</v>
      </c>
    </row>
    <row r="1824" spans="1:7">
      <c r="A1824" s="3">
        <v>10</v>
      </c>
      <c r="B1824" s="3">
        <v>5</v>
      </c>
      <c r="C1824" s="3">
        <v>1</v>
      </c>
      <c r="D1824" s="3">
        <v>93</v>
      </c>
      <c r="E1824" s="3">
        <v>1</v>
      </c>
      <c r="F1824" s="4" t="str">
        <f>HYPERLINK("http://141.218.60.56/~jnz1568/getInfo.php?workbook=10_05.xlsx&amp;sheet=U0&amp;row=1824&amp;col=6&amp;number=3&amp;sourceID=14","3")</f>
        <v>3</v>
      </c>
      <c r="G1824" s="4" t="str">
        <f>HYPERLINK("http://141.218.60.56/~jnz1568/getInfo.php?workbook=10_05.xlsx&amp;sheet=U0&amp;row=1824&amp;col=7&amp;number=0.0195&amp;sourceID=14","0.0195")</f>
        <v>0.0195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HYPERLINK("http://141.218.60.56/~jnz1568/getInfo.php?workbook=10_05.xlsx&amp;sheet=U0&amp;row=1825&amp;col=6&amp;number=3.1&amp;sourceID=14","3.1")</f>
        <v>3.1</v>
      </c>
      <c r="G1825" s="4" t="str">
        <f>HYPERLINK("http://141.218.60.56/~jnz1568/getInfo.php?workbook=10_05.xlsx&amp;sheet=U0&amp;row=1825&amp;col=7&amp;number=0.0196&amp;sourceID=14","0.0196")</f>
        <v>0.0196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HYPERLINK("http://141.218.60.56/~jnz1568/getInfo.php?workbook=10_05.xlsx&amp;sheet=U0&amp;row=1826&amp;col=6&amp;number=3.2&amp;sourceID=14","3.2")</f>
        <v>3.2</v>
      </c>
      <c r="G1826" s="4" t="str">
        <f>HYPERLINK("http://141.218.60.56/~jnz1568/getInfo.php?workbook=10_05.xlsx&amp;sheet=U0&amp;row=1826&amp;col=7&amp;number=0.0197&amp;sourceID=14","0.0197")</f>
        <v>0.0197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HYPERLINK("http://141.218.60.56/~jnz1568/getInfo.php?workbook=10_05.xlsx&amp;sheet=U0&amp;row=1827&amp;col=6&amp;number=3.3&amp;sourceID=14","3.3")</f>
        <v>3.3</v>
      </c>
      <c r="G1827" s="4" t="str">
        <f>HYPERLINK("http://141.218.60.56/~jnz1568/getInfo.php?workbook=10_05.xlsx&amp;sheet=U0&amp;row=1827&amp;col=7&amp;number=0.0198&amp;sourceID=14","0.0198")</f>
        <v>0.0198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HYPERLINK("http://141.218.60.56/~jnz1568/getInfo.php?workbook=10_05.xlsx&amp;sheet=U0&amp;row=1828&amp;col=6&amp;number=3.4&amp;sourceID=14","3.4")</f>
        <v>3.4</v>
      </c>
      <c r="G1828" s="4" t="str">
        <f>HYPERLINK("http://141.218.60.56/~jnz1568/getInfo.php?workbook=10_05.xlsx&amp;sheet=U0&amp;row=1828&amp;col=7&amp;number=0.0199&amp;sourceID=14","0.0199")</f>
        <v>0.0199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HYPERLINK("http://141.218.60.56/~jnz1568/getInfo.php?workbook=10_05.xlsx&amp;sheet=U0&amp;row=1829&amp;col=6&amp;number=3.5&amp;sourceID=14","3.5")</f>
        <v>3.5</v>
      </c>
      <c r="G1829" s="4" t="str">
        <f>HYPERLINK("http://141.218.60.56/~jnz1568/getInfo.php?workbook=10_05.xlsx&amp;sheet=U0&amp;row=1829&amp;col=7&amp;number=0.02&amp;sourceID=14","0.02")</f>
        <v>0.02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HYPERLINK("http://141.218.60.56/~jnz1568/getInfo.php?workbook=10_05.xlsx&amp;sheet=U0&amp;row=1830&amp;col=6&amp;number=3.6&amp;sourceID=14","3.6")</f>
        <v>3.6</v>
      </c>
      <c r="G1830" s="4" t="str">
        <f>HYPERLINK("http://141.218.60.56/~jnz1568/getInfo.php?workbook=10_05.xlsx&amp;sheet=U0&amp;row=1830&amp;col=7&amp;number=0.0202&amp;sourceID=14","0.0202")</f>
        <v>0.0202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HYPERLINK("http://141.218.60.56/~jnz1568/getInfo.php?workbook=10_05.xlsx&amp;sheet=U0&amp;row=1831&amp;col=6&amp;number=3.7&amp;sourceID=14","3.7")</f>
        <v>3.7</v>
      </c>
      <c r="G1831" s="4" t="str">
        <f>HYPERLINK("http://141.218.60.56/~jnz1568/getInfo.php?workbook=10_05.xlsx&amp;sheet=U0&amp;row=1831&amp;col=7&amp;number=0.0203&amp;sourceID=14","0.0203")</f>
        <v>0.0203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HYPERLINK("http://141.218.60.56/~jnz1568/getInfo.php?workbook=10_05.xlsx&amp;sheet=U0&amp;row=1832&amp;col=6&amp;number=3.8&amp;sourceID=14","3.8")</f>
        <v>3.8</v>
      </c>
      <c r="G1832" s="4" t="str">
        <f>HYPERLINK("http://141.218.60.56/~jnz1568/getInfo.php?workbook=10_05.xlsx&amp;sheet=U0&amp;row=1832&amp;col=7&amp;number=0.0205&amp;sourceID=14","0.0205")</f>
        <v>0.0205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HYPERLINK("http://141.218.60.56/~jnz1568/getInfo.php?workbook=10_05.xlsx&amp;sheet=U0&amp;row=1833&amp;col=6&amp;number=3.9&amp;sourceID=14","3.9")</f>
        <v>3.9</v>
      </c>
      <c r="G1833" s="4" t="str">
        <f>HYPERLINK("http://141.218.60.56/~jnz1568/getInfo.php?workbook=10_05.xlsx&amp;sheet=U0&amp;row=1833&amp;col=7&amp;number=0.0206&amp;sourceID=14","0.0206")</f>
        <v>0.0206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HYPERLINK("http://141.218.60.56/~jnz1568/getInfo.php?workbook=10_05.xlsx&amp;sheet=U0&amp;row=1834&amp;col=6&amp;number=4&amp;sourceID=14","4")</f>
        <v>4</v>
      </c>
      <c r="G1834" s="4" t="str">
        <f>HYPERLINK("http://141.218.60.56/~jnz1568/getInfo.php?workbook=10_05.xlsx&amp;sheet=U0&amp;row=1834&amp;col=7&amp;number=0.0207&amp;sourceID=14","0.0207")</f>
        <v>0.0207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HYPERLINK("http://141.218.60.56/~jnz1568/getInfo.php?workbook=10_05.xlsx&amp;sheet=U0&amp;row=1835&amp;col=6&amp;number=4.1&amp;sourceID=14","4.1")</f>
        <v>4.1</v>
      </c>
      <c r="G1835" s="4" t="str">
        <f>HYPERLINK("http://141.218.60.56/~jnz1568/getInfo.php?workbook=10_05.xlsx&amp;sheet=U0&amp;row=1835&amp;col=7&amp;number=0.0206&amp;sourceID=14","0.0206")</f>
        <v>0.0206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HYPERLINK("http://141.218.60.56/~jnz1568/getInfo.php?workbook=10_05.xlsx&amp;sheet=U0&amp;row=1836&amp;col=6&amp;number=4.2&amp;sourceID=14","4.2")</f>
        <v>4.2</v>
      </c>
      <c r="G1836" s="4" t="str">
        <f>HYPERLINK("http://141.218.60.56/~jnz1568/getInfo.php?workbook=10_05.xlsx&amp;sheet=U0&amp;row=1836&amp;col=7&amp;number=0.0203&amp;sourceID=14","0.0203")</f>
        <v>0.0203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HYPERLINK("http://141.218.60.56/~jnz1568/getInfo.php?workbook=10_05.xlsx&amp;sheet=U0&amp;row=1837&amp;col=6&amp;number=4.3&amp;sourceID=14","4.3")</f>
        <v>4.3</v>
      </c>
      <c r="G1837" s="4" t="str">
        <f>HYPERLINK("http://141.218.60.56/~jnz1568/getInfo.php?workbook=10_05.xlsx&amp;sheet=U0&amp;row=1837&amp;col=7&amp;number=0.0198&amp;sourceID=14","0.0198")</f>
        <v>0.0198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HYPERLINK("http://141.218.60.56/~jnz1568/getInfo.php?workbook=10_05.xlsx&amp;sheet=U0&amp;row=1838&amp;col=6&amp;number=4.4&amp;sourceID=14","4.4")</f>
        <v>4.4</v>
      </c>
      <c r="G1838" s="4" t="str">
        <f>HYPERLINK("http://141.218.60.56/~jnz1568/getInfo.php?workbook=10_05.xlsx&amp;sheet=U0&amp;row=1838&amp;col=7&amp;number=0.0192&amp;sourceID=14","0.0192")</f>
        <v>0.0192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HYPERLINK("http://141.218.60.56/~jnz1568/getInfo.php?workbook=10_05.xlsx&amp;sheet=U0&amp;row=1839&amp;col=6&amp;number=4.5&amp;sourceID=14","4.5")</f>
        <v>4.5</v>
      </c>
      <c r="G1839" s="4" t="str">
        <f>HYPERLINK("http://141.218.60.56/~jnz1568/getInfo.php?workbook=10_05.xlsx&amp;sheet=U0&amp;row=1839&amp;col=7&amp;number=0.0184&amp;sourceID=14","0.0184")</f>
        <v>0.0184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HYPERLINK("http://141.218.60.56/~jnz1568/getInfo.php?workbook=10_05.xlsx&amp;sheet=U0&amp;row=1840&amp;col=6&amp;number=4.6&amp;sourceID=14","4.6")</f>
        <v>4.6</v>
      </c>
      <c r="G1840" s="4" t="str">
        <f>HYPERLINK("http://141.218.60.56/~jnz1568/getInfo.php?workbook=10_05.xlsx&amp;sheet=U0&amp;row=1840&amp;col=7&amp;number=0.0176&amp;sourceID=14","0.0176")</f>
        <v>0.0176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HYPERLINK("http://141.218.60.56/~jnz1568/getInfo.php?workbook=10_05.xlsx&amp;sheet=U0&amp;row=1841&amp;col=6&amp;number=4.7&amp;sourceID=14","4.7")</f>
        <v>4.7</v>
      </c>
      <c r="G1841" s="4" t="str">
        <f>HYPERLINK("http://141.218.60.56/~jnz1568/getInfo.php?workbook=10_05.xlsx&amp;sheet=U0&amp;row=1841&amp;col=7&amp;number=0.0168&amp;sourceID=14","0.0168")</f>
        <v>0.0168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HYPERLINK("http://141.218.60.56/~jnz1568/getInfo.php?workbook=10_05.xlsx&amp;sheet=U0&amp;row=1842&amp;col=6&amp;number=4.8&amp;sourceID=14","4.8")</f>
        <v>4.8</v>
      </c>
      <c r="G1842" s="4" t="str">
        <f>HYPERLINK("http://141.218.60.56/~jnz1568/getInfo.php?workbook=10_05.xlsx&amp;sheet=U0&amp;row=1842&amp;col=7&amp;number=0.016&amp;sourceID=14","0.016")</f>
        <v>0.016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HYPERLINK("http://141.218.60.56/~jnz1568/getInfo.php?workbook=10_05.xlsx&amp;sheet=U0&amp;row=1843&amp;col=6&amp;number=4.9&amp;sourceID=14","4.9")</f>
        <v>4.9</v>
      </c>
      <c r="G1843" s="4" t="str">
        <f>HYPERLINK("http://141.218.60.56/~jnz1568/getInfo.php?workbook=10_05.xlsx&amp;sheet=U0&amp;row=1843&amp;col=7&amp;number=0.0152&amp;sourceID=14","0.0152")</f>
        <v>0.0152</v>
      </c>
    </row>
    <row r="1844" spans="1:7">
      <c r="A1844" s="3">
        <v>10</v>
      </c>
      <c r="B1844" s="3">
        <v>5</v>
      </c>
      <c r="C1844" s="3">
        <v>1</v>
      </c>
      <c r="D1844" s="3">
        <v>94</v>
      </c>
      <c r="E1844" s="3">
        <v>1</v>
      </c>
      <c r="F1844" s="4" t="str">
        <f>HYPERLINK("http://141.218.60.56/~jnz1568/getInfo.php?workbook=10_05.xlsx&amp;sheet=U0&amp;row=1844&amp;col=6&amp;number=3&amp;sourceID=14","3")</f>
        <v>3</v>
      </c>
      <c r="G1844" s="4" t="str">
        <f>HYPERLINK("http://141.218.60.56/~jnz1568/getInfo.php?workbook=10_05.xlsx&amp;sheet=U0&amp;row=1844&amp;col=7&amp;number=0.00825&amp;sourceID=14","0.00825")</f>
        <v>0.00825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HYPERLINK("http://141.218.60.56/~jnz1568/getInfo.php?workbook=10_05.xlsx&amp;sheet=U0&amp;row=1845&amp;col=6&amp;number=3.1&amp;sourceID=14","3.1")</f>
        <v>3.1</v>
      </c>
      <c r="G1845" s="4" t="str">
        <f>HYPERLINK("http://141.218.60.56/~jnz1568/getInfo.php?workbook=10_05.xlsx&amp;sheet=U0&amp;row=1845&amp;col=7&amp;number=0.00822&amp;sourceID=14","0.00822")</f>
        <v>0.00822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HYPERLINK("http://141.218.60.56/~jnz1568/getInfo.php?workbook=10_05.xlsx&amp;sheet=U0&amp;row=1846&amp;col=6&amp;number=3.2&amp;sourceID=14","3.2")</f>
        <v>3.2</v>
      </c>
      <c r="G1846" s="4" t="str">
        <f>HYPERLINK("http://141.218.60.56/~jnz1568/getInfo.php?workbook=10_05.xlsx&amp;sheet=U0&amp;row=1846&amp;col=7&amp;number=0.00818&amp;sourceID=14","0.00818")</f>
        <v>0.00818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HYPERLINK("http://141.218.60.56/~jnz1568/getInfo.php?workbook=10_05.xlsx&amp;sheet=U0&amp;row=1847&amp;col=6&amp;number=3.3&amp;sourceID=14","3.3")</f>
        <v>3.3</v>
      </c>
      <c r="G1847" s="4" t="str">
        <f>HYPERLINK("http://141.218.60.56/~jnz1568/getInfo.php?workbook=10_05.xlsx&amp;sheet=U0&amp;row=1847&amp;col=7&amp;number=0.00813&amp;sourceID=14","0.00813")</f>
        <v>0.00813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HYPERLINK("http://141.218.60.56/~jnz1568/getInfo.php?workbook=10_05.xlsx&amp;sheet=U0&amp;row=1848&amp;col=6&amp;number=3.4&amp;sourceID=14","3.4")</f>
        <v>3.4</v>
      </c>
      <c r="G1848" s="4" t="str">
        <f>HYPERLINK("http://141.218.60.56/~jnz1568/getInfo.php?workbook=10_05.xlsx&amp;sheet=U0&amp;row=1848&amp;col=7&amp;number=0.00807&amp;sourceID=14","0.00807")</f>
        <v>0.00807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HYPERLINK("http://141.218.60.56/~jnz1568/getInfo.php?workbook=10_05.xlsx&amp;sheet=U0&amp;row=1849&amp;col=6&amp;number=3.5&amp;sourceID=14","3.5")</f>
        <v>3.5</v>
      </c>
      <c r="G1849" s="4" t="str">
        <f>HYPERLINK("http://141.218.60.56/~jnz1568/getInfo.php?workbook=10_05.xlsx&amp;sheet=U0&amp;row=1849&amp;col=7&amp;number=0.008&amp;sourceID=14","0.008")</f>
        <v>0.008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HYPERLINK("http://141.218.60.56/~jnz1568/getInfo.php?workbook=10_05.xlsx&amp;sheet=U0&amp;row=1850&amp;col=6&amp;number=3.6&amp;sourceID=14","3.6")</f>
        <v>3.6</v>
      </c>
      <c r="G1850" s="4" t="str">
        <f>HYPERLINK("http://141.218.60.56/~jnz1568/getInfo.php?workbook=10_05.xlsx&amp;sheet=U0&amp;row=1850&amp;col=7&amp;number=0.0079&amp;sourceID=14","0.0079")</f>
        <v>0.0079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HYPERLINK("http://141.218.60.56/~jnz1568/getInfo.php?workbook=10_05.xlsx&amp;sheet=U0&amp;row=1851&amp;col=6&amp;number=3.7&amp;sourceID=14","3.7")</f>
        <v>3.7</v>
      </c>
      <c r="G1851" s="4" t="str">
        <f>HYPERLINK("http://141.218.60.56/~jnz1568/getInfo.php?workbook=10_05.xlsx&amp;sheet=U0&amp;row=1851&amp;col=7&amp;number=0.00779&amp;sourceID=14","0.00779")</f>
        <v>0.00779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HYPERLINK("http://141.218.60.56/~jnz1568/getInfo.php?workbook=10_05.xlsx&amp;sheet=U0&amp;row=1852&amp;col=6&amp;number=3.8&amp;sourceID=14","3.8")</f>
        <v>3.8</v>
      </c>
      <c r="G1852" s="4" t="str">
        <f>HYPERLINK("http://141.218.60.56/~jnz1568/getInfo.php?workbook=10_05.xlsx&amp;sheet=U0&amp;row=1852&amp;col=7&amp;number=0.00764&amp;sourceID=14","0.00764")</f>
        <v>0.00764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HYPERLINK("http://141.218.60.56/~jnz1568/getInfo.php?workbook=10_05.xlsx&amp;sheet=U0&amp;row=1853&amp;col=6&amp;number=3.9&amp;sourceID=14","3.9")</f>
        <v>3.9</v>
      </c>
      <c r="G1853" s="4" t="str">
        <f>HYPERLINK("http://141.218.60.56/~jnz1568/getInfo.php?workbook=10_05.xlsx&amp;sheet=U0&amp;row=1853&amp;col=7&amp;number=0.00747&amp;sourceID=14","0.00747")</f>
        <v>0.00747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HYPERLINK("http://141.218.60.56/~jnz1568/getInfo.php?workbook=10_05.xlsx&amp;sheet=U0&amp;row=1854&amp;col=6&amp;number=4&amp;sourceID=14","4")</f>
        <v>4</v>
      </c>
      <c r="G1854" s="4" t="str">
        <f>HYPERLINK("http://141.218.60.56/~jnz1568/getInfo.php?workbook=10_05.xlsx&amp;sheet=U0&amp;row=1854&amp;col=7&amp;number=0.00726&amp;sourceID=14","0.00726")</f>
        <v>0.00726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HYPERLINK("http://141.218.60.56/~jnz1568/getInfo.php?workbook=10_05.xlsx&amp;sheet=U0&amp;row=1855&amp;col=6&amp;number=4.1&amp;sourceID=14","4.1")</f>
        <v>4.1</v>
      </c>
      <c r="G1855" s="4" t="str">
        <f>HYPERLINK("http://141.218.60.56/~jnz1568/getInfo.php?workbook=10_05.xlsx&amp;sheet=U0&amp;row=1855&amp;col=7&amp;number=0.007&amp;sourceID=14","0.007")</f>
        <v>0.007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HYPERLINK("http://141.218.60.56/~jnz1568/getInfo.php?workbook=10_05.xlsx&amp;sheet=U0&amp;row=1856&amp;col=6&amp;number=4.2&amp;sourceID=14","4.2")</f>
        <v>4.2</v>
      </c>
      <c r="G1856" s="4" t="str">
        <f>HYPERLINK("http://141.218.60.56/~jnz1568/getInfo.php?workbook=10_05.xlsx&amp;sheet=U0&amp;row=1856&amp;col=7&amp;number=0.0067&amp;sourceID=14","0.0067")</f>
        <v>0.0067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HYPERLINK("http://141.218.60.56/~jnz1568/getInfo.php?workbook=10_05.xlsx&amp;sheet=U0&amp;row=1857&amp;col=6&amp;number=4.3&amp;sourceID=14","4.3")</f>
        <v>4.3</v>
      </c>
      <c r="G1857" s="4" t="str">
        <f>HYPERLINK("http://141.218.60.56/~jnz1568/getInfo.php?workbook=10_05.xlsx&amp;sheet=U0&amp;row=1857&amp;col=7&amp;number=0.00635&amp;sourceID=14","0.00635")</f>
        <v>0.00635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HYPERLINK("http://141.218.60.56/~jnz1568/getInfo.php?workbook=10_05.xlsx&amp;sheet=U0&amp;row=1858&amp;col=6&amp;number=4.4&amp;sourceID=14","4.4")</f>
        <v>4.4</v>
      </c>
      <c r="G1858" s="4" t="str">
        <f>HYPERLINK("http://141.218.60.56/~jnz1568/getInfo.php?workbook=10_05.xlsx&amp;sheet=U0&amp;row=1858&amp;col=7&amp;number=0.00595&amp;sourceID=14","0.00595")</f>
        <v>0.00595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HYPERLINK("http://141.218.60.56/~jnz1568/getInfo.php?workbook=10_05.xlsx&amp;sheet=U0&amp;row=1859&amp;col=6&amp;number=4.5&amp;sourceID=14","4.5")</f>
        <v>4.5</v>
      </c>
      <c r="G1859" s="4" t="str">
        <f>HYPERLINK("http://141.218.60.56/~jnz1568/getInfo.php?workbook=10_05.xlsx&amp;sheet=U0&amp;row=1859&amp;col=7&amp;number=0.00551&amp;sourceID=14","0.00551")</f>
        <v>0.00551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HYPERLINK("http://141.218.60.56/~jnz1568/getInfo.php?workbook=10_05.xlsx&amp;sheet=U0&amp;row=1860&amp;col=6&amp;number=4.6&amp;sourceID=14","4.6")</f>
        <v>4.6</v>
      </c>
      <c r="G1860" s="4" t="str">
        <f>HYPERLINK("http://141.218.60.56/~jnz1568/getInfo.php?workbook=10_05.xlsx&amp;sheet=U0&amp;row=1860&amp;col=7&amp;number=0.00503&amp;sourceID=14","0.00503")</f>
        <v>0.00503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HYPERLINK("http://141.218.60.56/~jnz1568/getInfo.php?workbook=10_05.xlsx&amp;sheet=U0&amp;row=1861&amp;col=6&amp;number=4.7&amp;sourceID=14","4.7")</f>
        <v>4.7</v>
      </c>
      <c r="G1861" s="4" t="str">
        <f>HYPERLINK("http://141.218.60.56/~jnz1568/getInfo.php?workbook=10_05.xlsx&amp;sheet=U0&amp;row=1861&amp;col=7&amp;number=0.00452&amp;sourceID=14","0.00452")</f>
        <v>0.00452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HYPERLINK("http://141.218.60.56/~jnz1568/getInfo.php?workbook=10_05.xlsx&amp;sheet=U0&amp;row=1862&amp;col=6&amp;number=4.8&amp;sourceID=14","4.8")</f>
        <v>4.8</v>
      </c>
      <c r="G1862" s="4" t="str">
        <f>HYPERLINK("http://141.218.60.56/~jnz1568/getInfo.php?workbook=10_05.xlsx&amp;sheet=U0&amp;row=1862&amp;col=7&amp;number=0.004&amp;sourceID=14","0.004")</f>
        <v>0.004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HYPERLINK("http://141.218.60.56/~jnz1568/getInfo.php?workbook=10_05.xlsx&amp;sheet=U0&amp;row=1863&amp;col=6&amp;number=4.9&amp;sourceID=14","4.9")</f>
        <v>4.9</v>
      </c>
      <c r="G1863" s="4" t="str">
        <f>HYPERLINK("http://141.218.60.56/~jnz1568/getInfo.php?workbook=10_05.xlsx&amp;sheet=U0&amp;row=1863&amp;col=7&amp;number=0.00351&amp;sourceID=14","0.00351")</f>
        <v>0.00351</v>
      </c>
    </row>
    <row r="1864" spans="1:7">
      <c r="A1864" s="3">
        <v>10</v>
      </c>
      <c r="B1864" s="3">
        <v>5</v>
      </c>
      <c r="C1864" s="3">
        <v>1</v>
      </c>
      <c r="D1864" s="3">
        <v>95</v>
      </c>
      <c r="E1864" s="3">
        <v>1</v>
      </c>
      <c r="F1864" s="4" t="str">
        <f>HYPERLINK("http://141.218.60.56/~jnz1568/getInfo.php?workbook=10_05.xlsx&amp;sheet=U0&amp;row=1864&amp;col=6&amp;number=3&amp;sourceID=14","3")</f>
        <v>3</v>
      </c>
      <c r="G1864" s="4" t="str">
        <f>HYPERLINK("http://141.218.60.56/~jnz1568/getInfo.php?workbook=10_05.xlsx&amp;sheet=U0&amp;row=1864&amp;col=7&amp;number=0.00348&amp;sourceID=14","0.00348")</f>
        <v>0.00348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HYPERLINK("http://141.218.60.56/~jnz1568/getInfo.php?workbook=10_05.xlsx&amp;sheet=U0&amp;row=1865&amp;col=6&amp;number=3.1&amp;sourceID=14","3.1")</f>
        <v>3.1</v>
      </c>
      <c r="G1865" s="4" t="str">
        <f>HYPERLINK("http://141.218.60.56/~jnz1568/getInfo.php?workbook=10_05.xlsx&amp;sheet=U0&amp;row=1865&amp;col=7&amp;number=0.00346&amp;sourceID=14","0.00346")</f>
        <v>0.00346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HYPERLINK("http://141.218.60.56/~jnz1568/getInfo.php?workbook=10_05.xlsx&amp;sheet=U0&amp;row=1866&amp;col=6&amp;number=3.2&amp;sourceID=14","3.2")</f>
        <v>3.2</v>
      </c>
      <c r="G1866" s="4" t="str">
        <f>HYPERLINK("http://141.218.60.56/~jnz1568/getInfo.php?workbook=10_05.xlsx&amp;sheet=U0&amp;row=1866&amp;col=7&amp;number=0.00343&amp;sourceID=14","0.00343")</f>
        <v>0.00343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HYPERLINK("http://141.218.60.56/~jnz1568/getInfo.php?workbook=10_05.xlsx&amp;sheet=U0&amp;row=1867&amp;col=6&amp;number=3.3&amp;sourceID=14","3.3")</f>
        <v>3.3</v>
      </c>
      <c r="G1867" s="4" t="str">
        <f>HYPERLINK("http://141.218.60.56/~jnz1568/getInfo.php?workbook=10_05.xlsx&amp;sheet=U0&amp;row=1867&amp;col=7&amp;number=0.0034&amp;sourceID=14","0.0034")</f>
        <v>0.0034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HYPERLINK("http://141.218.60.56/~jnz1568/getInfo.php?workbook=10_05.xlsx&amp;sheet=U0&amp;row=1868&amp;col=6&amp;number=3.4&amp;sourceID=14","3.4")</f>
        <v>3.4</v>
      </c>
      <c r="G1868" s="4" t="str">
        <f>HYPERLINK("http://141.218.60.56/~jnz1568/getInfo.php?workbook=10_05.xlsx&amp;sheet=U0&amp;row=1868&amp;col=7&amp;number=0.00337&amp;sourceID=14","0.00337")</f>
        <v>0.00337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HYPERLINK("http://141.218.60.56/~jnz1568/getInfo.php?workbook=10_05.xlsx&amp;sheet=U0&amp;row=1869&amp;col=6&amp;number=3.5&amp;sourceID=14","3.5")</f>
        <v>3.5</v>
      </c>
      <c r="G1869" s="4" t="str">
        <f>HYPERLINK("http://141.218.60.56/~jnz1568/getInfo.php?workbook=10_05.xlsx&amp;sheet=U0&amp;row=1869&amp;col=7&amp;number=0.00332&amp;sourceID=14","0.00332")</f>
        <v>0.00332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HYPERLINK("http://141.218.60.56/~jnz1568/getInfo.php?workbook=10_05.xlsx&amp;sheet=U0&amp;row=1870&amp;col=6&amp;number=3.6&amp;sourceID=14","3.6")</f>
        <v>3.6</v>
      </c>
      <c r="G1870" s="4" t="str">
        <f>HYPERLINK("http://141.218.60.56/~jnz1568/getInfo.php?workbook=10_05.xlsx&amp;sheet=U0&amp;row=1870&amp;col=7&amp;number=0.00326&amp;sourceID=14","0.00326")</f>
        <v>0.00326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HYPERLINK("http://141.218.60.56/~jnz1568/getInfo.php?workbook=10_05.xlsx&amp;sheet=U0&amp;row=1871&amp;col=6&amp;number=3.7&amp;sourceID=14","3.7")</f>
        <v>3.7</v>
      </c>
      <c r="G1871" s="4" t="str">
        <f>HYPERLINK("http://141.218.60.56/~jnz1568/getInfo.php?workbook=10_05.xlsx&amp;sheet=U0&amp;row=1871&amp;col=7&amp;number=0.00319&amp;sourceID=14","0.00319")</f>
        <v>0.00319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HYPERLINK("http://141.218.60.56/~jnz1568/getInfo.php?workbook=10_05.xlsx&amp;sheet=U0&amp;row=1872&amp;col=6&amp;number=3.8&amp;sourceID=14","3.8")</f>
        <v>3.8</v>
      </c>
      <c r="G1872" s="4" t="str">
        <f>HYPERLINK("http://141.218.60.56/~jnz1568/getInfo.php?workbook=10_05.xlsx&amp;sheet=U0&amp;row=1872&amp;col=7&amp;number=0.0031&amp;sourceID=14","0.0031")</f>
        <v>0.0031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HYPERLINK("http://141.218.60.56/~jnz1568/getInfo.php?workbook=10_05.xlsx&amp;sheet=U0&amp;row=1873&amp;col=6&amp;number=3.9&amp;sourceID=14","3.9")</f>
        <v>3.9</v>
      </c>
      <c r="G1873" s="4" t="str">
        <f>HYPERLINK("http://141.218.60.56/~jnz1568/getInfo.php?workbook=10_05.xlsx&amp;sheet=U0&amp;row=1873&amp;col=7&amp;number=0.003&amp;sourceID=14","0.003")</f>
        <v>0.003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HYPERLINK("http://141.218.60.56/~jnz1568/getInfo.php?workbook=10_05.xlsx&amp;sheet=U0&amp;row=1874&amp;col=6&amp;number=4&amp;sourceID=14","4")</f>
        <v>4</v>
      </c>
      <c r="G1874" s="4" t="str">
        <f>HYPERLINK("http://141.218.60.56/~jnz1568/getInfo.php?workbook=10_05.xlsx&amp;sheet=U0&amp;row=1874&amp;col=7&amp;number=0.00287&amp;sourceID=14","0.00287")</f>
        <v>0.00287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HYPERLINK("http://141.218.60.56/~jnz1568/getInfo.php?workbook=10_05.xlsx&amp;sheet=U0&amp;row=1875&amp;col=6&amp;number=4.1&amp;sourceID=14","4.1")</f>
        <v>4.1</v>
      </c>
      <c r="G1875" s="4" t="str">
        <f>HYPERLINK("http://141.218.60.56/~jnz1568/getInfo.php?workbook=10_05.xlsx&amp;sheet=U0&amp;row=1875&amp;col=7&amp;number=0.00271&amp;sourceID=14","0.00271")</f>
        <v>0.00271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HYPERLINK("http://141.218.60.56/~jnz1568/getInfo.php?workbook=10_05.xlsx&amp;sheet=U0&amp;row=1876&amp;col=6&amp;number=4.2&amp;sourceID=14","4.2")</f>
        <v>4.2</v>
      </c>
      <c r="G1876" s="4" t="str">
        <f>HYPERLINK("http://141.218.60.56/~jnz1568/getInfo.php?workbook=10_05.xlsx&amp;sheet=U0&amp;row=1876&amp;col=7&amp;number=0.00253&amp;sourceID=14","0.00253")</f>
        <v>0.00253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HYPERLINK("http://141.218.60.56/~jnz1568/getInfo.php?workbook=10_05.xlsx&amp;sheet=U0&amp;row=1877&amp;col=6&amp;number=4.3&amp;sourceID=14","4.3")</f>
        <v>4.3</v>
      </c>
      <c r="G1877" s="4" t="str">
        <f>HYPERLINK("http://141.218.60.56/~jnz1568/getInfo.php?workbook=10_05.xlsx&amp;sheet=U0&amp;row=1877&amp;col=7&amp;number=0.00233&amp;sourceID=14","0.00233")</f>
        <v>0.00233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HYPERLINK("http://141.218.60.56/~jnz1568/getInfo.php?workbook=10_05.xlsx&amp;sheet=U0&amp;row=1878&amp;col=6&amp;number=4.4&amp;sourceID=14","4.4")</f>
        <v>4.4</v>
      </c>
      <c r="G1878" s="4" t="str">
        <f>HYPERLINK("http://141.218.60.56/~jnz1568/getInfo.php?workbook=10_05.xlsx&amp;sheet=U0&amp;row=1878&amp;col=7&amp;number=0.00211&amp;sourceID=14","0.00211")</f>
        <v>0.00211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HYPERLINK("http://141.218.60.56/~jnz1568/getInfo.php?workbook=10_05.xlsx&amp;sheet=U0&amp;row=1879&amp;col=6&amp;number=4.5&amp;sourceID=14","4.5")</f>
        <v>4.5</v>
      </c>
      <c r="G1879" s="4" t="str">
        <f>HYPERLINK("http://141.218.60.56/~jnz1568/getInfo.php?workbook=10_05.xlsx&amp;sheet=U0&amp;row=1879&amp;col=7&amp;number=0.00189&amp;sourceID=14","0.00189")</f>
        <v>0.00189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HYPERLINK("http://141.218.60.56/~jnz1568/getInfo.php?workbook=10_05.xlsx&amp;sheet=U0&amp;row=1880&amp;col=6&amp;number=4.6&amp;sourceID=14","4.6")</f>
        <v>4.6</v>
      </c>
      <c r="G1880" s="4" t="str">
        <f>HYPERLINK("http://141.218.60.56/~jnz1568/getInfo.php?workbook=10_05.xlsx&amp;sheet=U0&amp;row=1880&amp;col=7&amp;number=0.00167&amp;sourceID=14","0.00167")</f>
        <v>0.00167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HYPERLINK("http://141.218.60.56/~jnz1568/getInfo.php?workbook=10_05.xlsx&amp;sheet=U0&amp;row=1881&amp;col=6&amp;number=4.7&amp;sourceID=14","4.7")</f>
        <v>4.7</v>
      </c>
      <c r="G1881" s="4" t="str">
        <f>HYPERLINK("http://141.218.60.56/~jnz1568/getInfo.php?workbook=10_05.xlsx&amp;sheet=U0&amp;row=1881&amp;col=7&amp;number=0.00146&amp;sourceID=14","0.00146")</f>
        <v>0.00146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HYPERLINK("http://141.218.60.56/~jnz1568/getInfo.php?workbook=10_05.xlsx&amp;sheet=U0&amp;row=1882&amp;col=6&amp;number=4.8&amp;sourceID=14","4.8")</f>
        <v>4.8</v>
      </c>
      <c r="G1882" s="4" t="str">
        <f>HYPERLINK("http://141.218.60.56/~jnz1568/getInfo.php?workbook=10_05.xlsx&amp;sheet=U0&amp;row=1882&amp;col=7&amp;number=0.00126&amp;sourceID=14","0.00126")</f>
        <v>0.00126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HYPERLINK("http://141.218.60.56/~jnz1568/getInfo.php?workbook=10_05.xlsx&amp;sheet=U0&amp;row=1883&amp;col=6&amp;number=4.9&amp;sourceID=14","4.9")</f>
        <v>4.9</v>
      </c>
      <c r="G1883" s="4" t="str">
        <f>HYPERLINK("http://141.218.60.56/~jnz1568/getInfo.php?workbook=10_05.xlsx&amp;sheet=U0&amp;row=1883&amp;col=7&amp;number=0.00108&amp;sourceID=14","0.00108")</f>
        <v>0.00108</v>
      </c>
    </row>
    <row r="1884" spans="1:7">
      <c r="A1884" s="3">
        <v>10</v>
      </c>
      <c r="B1884" s="3">
        <v>5</v>
      </c>
      <c r="C1884" s="3">
        <v>1</v>
      </c>
      <c r="D1884" s="3">
        <v>96</v>
      </c>
      <c r="E1884" s="3">
        <v>1</v>
      </c>
      <c r="F1884" s="4" t="str">
        <f>HYPERLINK("http://141.218.60.56/~jnz1568/getInfo.php?workbook=10_05.xlsx&amp;sheet=U0&amp;row=1884&amp;col=6&amp;number=3&amp;sourceID=14","3")</f>
        <v>3</v>
      </c>
      <c r="G1884" s="4" t="str">
        <f>HYPERLINK("http://141.218.60.56/~jnz1568/getInfo.php?workbook=10_05.xlsx&amp;sheet=U0&amp;row=1884&amp;col=7&amp;number=0.0048&amp;sourceID=14","0.0048")</f>
        <v>0.0048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HYPERLINK("http://141.218.60.56/~jnz1568/getInfo.php?workbook=10_05.xlsx&amp;sheet=U0&amp;row=1885&amp;col=6&amp;number=3.1&amp;sourceID=14","3.1")</f>
        <v>3.1</v>
      </c>
      <c r="G1885" s="4" t="str">
        <f>HYPERLINK("http://141.218.60.56/~jnz1568/getInfo.php?workbook=10_05.xlsx&amp;sheet=U0&amp;row=1885&amp;col=7&amp;number=0.0048&amp;sourceID=14","0.0048")</f>
        <v>0.0048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HYPERLINK("http://141.218.60.56/~jnz1568/getInfo.php?workbook=10_05.xlsx&amp;sheet=U0&amp;row=1886&amp;col=6&amp;number=3.2&amp;sourceID=14","3.2")</f>
        <v>3.2</v>
      </c>
      <c r="G1886" s="4" t="str">
        <f>HYPERLINK("http://141.218.60.56/~jnz1568/getInfo.php?workbook=10_05.xlsx&amp;sheet=U0&amp;row=1886&amp;col=7&amp;number=0.00478&amp;sourceID=14","0.00478")</f>
        <v>0.00478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HYPERLINK("http://141.218.60.56/~jnz1568/getInfo.php?workbook=10_05.xlsx&amp;sheet=U0&amp;row=1887&amp;col=6&amp;number=3.3&amp;sourceID=14","3.3")</f>
        <v>3.3</v>
      </c>
      <c r="G1887" s="4" t="str">
        <f>HYPERLINK("http://141.218.60.56/~jnz1568/getInfo.php?workbook=10_05.xlsx&amp;sheet=U0&amp;row=1887&amp;col=7&amp;number=0.00477&amp;sourceID=14","0.00477")</f>
        <v>0.00477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HYPERLINK("http://141.218.60.56/~jnz1568/getInfo.php?workbook=10_05.xlsx&amp;sheet=U0&amp;row=1888&amp;col=6&amp;number=3.4&amp;sourceID=14","3.4")</f>
        <v>3.4</v>
      </c>
      <c r="G1888" s="4" t="str">
        <f>HYPERLINK("http://141.218.60.56/~jnz1568/getInfo.php?workbook=10_05.xlsx&amp;sheet=U0&amp;row=1888&amp;col=7&amp;number=0.00475&amp;sourceID=14","0.00475")</f>
        <v>0.00475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HYPERLINK("http://141.218.60.56/~jnz1568/getInfo.php?workbook=10_05.xlsx&amp;sheet=U0&amp;row=1889&amp;col=6&amp;number=3.5&amp;sourceID=14","3.5")</f>
        <v>3.5</v>
      </c>
      <c r="G1889" s="4" t="str">
        <f>HYPERLINK("http://141.218.60.56/~jnz1568/getInfo.php?workbook=10_05.xlsx&amp;sheet=U0&amp;row=1889&amp;col=7&amp;number=0.00473&amp;sourceID=14","0.00473")</f>
        <v>0.00473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HYPERLINK("http://141.218.60.56/~jnz1568/getInfo.php?workbook=10_05.xlsx&amp;sheet=U0&amp;row=1890&amp;col=6&amp;number=3.6&amp;sourceID=14","3.6")</f>
        <v>3.6</v>
      </c>
      <c r="G1890" s="4" t="str">
        <f>HYPERLINK("http://141.218.60.56/~jnz1568/getInfo.php?workbook=10_05.xlsx&amp;sheet=U0&amp;row=1890&amp;col=7&amp;number=0.0047&amp;sourceID=14","0.0047")</f>
        <v>0.0047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HYPERLINK("http://141.218.60.56/~jnz1568/getInfo.php?workbook=10_05.xlsx&amp;sheet=U0&amp;row=1891&amp;col=6&amp;number=3.7&amp;sourceID=14","3.7")</f>
        <v>3.7</v>
      </c>
      <c r="G1891" s="4" t="str">
        <f>HYPERLINK("http://141.218.60.56/~jnz1568/getInfo.php?workbook=10_05.xlsx&amp;sheet=U0&amp;row=1891&amp;col=7&amp;number=0.00467&amp;sourceID=14","0.00467")</f>
        <v>0.00467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HYPERLINK("http://141.218.60.56/~jnz1568/getInfo.php?workbook=10_05.xlsx&amp;sheet=U0&amp;row=1892&amp;col=6&amp;number=3.8&amp;sourceID=14","3.8")</f>
        <v>3.8</v>
      </c>
      <c r="G1892" s="4" t="str">
        <f>HYPERLINK("http://141.218.60.56/~jnz1568/getInfo.php?workbook=10_05.xlsx&amp;sheet=U0&amp;row=1892&amp;col=7&amp;number=0.00462&amp;sourceID=14","0.00462")</f>
        <v>0.00462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HYPERLINK("http://141.218.60.56/~jnz1568/getInfo.php?workbook=10_05.xlsx&amp;sheet=U0&amp;row=1893&amp;col=6&amp;number=3.9&amp;sourceID=14","3.9")</f>
        <v>3.9</v>
      </c>
      <c r="G1893" s="4" t="str">
        <f>HYPERLINK("http://141.218.60.56/~jnz1568/getInfo.php?workbook=10_05.xlsx&amp;sheet=U0&amp;row=1893&amp;col=7&amp;number=0.00457&amp;sourceID=14","0.00457")</f>
        <v>0.00457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HYPERLINK("http://141.218.60.56/~jnz1568/getInfo.php?workbook=10_05.xlsx&amp;sheet=U0&amp;row=1894&amp;col=6&amp;number=4&amp;sourceID=14","4")</f>
        <v>4</v>
      </c>
      <c r="G1894" s="4" t="str">
        <f>HYPERLINK("http://141.218.60.56/~jnz1568/getInfo.php?workbook=10_05.xlsx&amp;sheet=U0&amp;row=1894&amp;col=7&amp;number=0.0045&amp;sourceID=14","0.0045")</f>
        <v>0.0045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HYPERLINK("http://141.218.60.56/~jnz1568/getInfo.php?workbook=10_05.xlsx&amp;sheet=U0&amp;row=1895&amp;col=6&amp;number=4.1&amp;sourceID=14","4.1")</f>
        <v>4.1</v>
      </c>
      <c r="G1895" s="4" t="str">
        <f>HYPERLINK("http://141.218.60.56/~jnz1568/getInfo.php?workbook=10_05.xlsx&amp;sheet=U0&amp;row=1895&amp;col=7&amp;number=0.00442&amp;sourceID=14","0.00442")</f>
        <v>0.00442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HYPERLINK("http://141.218.60.56/~jnz1568/getInfo.php?workbook=10_05.xlsx&amp;sheet=U0&amp;row=1896&amp;col=6&amp;number=4.2&amp;sourceID=14","4.2")</f>
        <v>4.2</v>
      </c>
      <c r="G1896" s="4" t="str">
        <f>HYPERLINK("http://141.218.60.56/~jnz1568/getInfo.php?workbook=10_05.xlsx&amp;sheet=U0&amp;row=1896&amp;col=7&amp;number=0.00432&amp;sourceID=14","0.00432")</f>
        <v>0.00432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HYPERLINK("http://141.218.60.56/~jnz1568/getInfo.php?workbook=10_05.xlsx&amp;sheet=U0&amp;row=1897&amp;col=6&amp;number=4.3&amp;sourceID=14","4.3")</f>
        <v>4.3</v>
      </c>
      <c r="G1897" s="4" t="str">
        <f>HYPERLINK("http://141.218.60.56/~jnz1568/getInfo.php?workbook=10_05.xlsx&amp;sheet=U0&amp;row=1897&amp;col=7&amp;number=0.0042&amp;sourceID=14","0.0042")</f>
        <v>0.0042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HYPERLINK("http://141.218.60.56/~jnz1568/getInfo.php?workbook=10_05.xlsx&amp;sheet=U0&amp;row=1898&amp;col=6&amp;number=4.4&amp;sourceID=14","4.4")</f>
        <v>4.4</v>
      </c>
      <c r="G1898" s="4" t="str">
        <f>HYPERLINK("http://141.218.60.56/~jnz1568/getInfo.php?workbook=10_05.xlsx&amp;sheet=U0&amp;row=1898&amp;col=7&amp;number=0.00406&amp;sourceID=14","0.00406")</f>
        <v>0.00406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HYPERLINK("http://141.218.60.56/~jnz1568/getInfo.php?workbook=10_05.xlsx&amp;sheet=U0&amp;row=1899&amp;col=6&amp;number=4.5&amp;sourceID=14","4.5")</f>
        <v>4.5</v>
      </c>
      <c r="G1899" s="4" t="str">
        <f>HYPERLINK("http://141.218.60.56/~jnz1568/getInfo.php?workbook=10_05.xlsx&amp;sheet=U0&amp;row=1899&amp;col=7&amp;number=0.0039&amp;sourceID=14","0.0039")</f>
        <v>0.0039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HYPERLINK("http://141.218.60.56/~jnz1568/getInfo.php?workbook=10_05.xlsx&amp;sheet=U0&amp;row=1900&amp;col=6&amp;number=4.6&amp;sourceID=14","4.6")</f>
        <v>4.6</v>
      </c>
      <c r="G1900" s="4" t="str">
        <f>HYPERLINK("http://141.218.60.56/~jnz1568/getInfo.php?workbook=10_05.xlsx&amp;sheet=U0&amp;row=1900&amp;col=7&amp;number=0.00371&amp;sourceID=14","0.00371")</f>
        <v>0.00371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HYPERLINK("http://141.218.60.56/~jnz1568/getInfo.php?workbook=10_05.xlsx&amp;sheet=U0&amp;row=1901&amp;col=6&amp;number=4.7&amp;sourceID=14","4.7")</f>
        <v>4.7</v>
      </c>
      <c r="G1901" s="4" t="str">
        <f>HYPERLINK("http://141.218.60.56/~jnz1568/getInfo.php?workbook=10_05.xlsx&amp;sheet=U0&amp;row=1901&amp;col=7&amp;number=0.00351&amp;sourceID=14","0.00351")</f>
        <v>0.00351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HYPERLINK("http://141.218.60.56/~jnz1568/getInfo.php?workbook=10_05.xlsx&amp;sheet=U0&amp;row=1902&amp;col=6&amp;number=4.8&amp;sourceID=14","4.8")</f>
        <v>4.8</v>
      </c>
      <c r="G1902" s="4" t="str">
        <f>HYPERLINK("http://141.218.60.56/~jnz1568/getInfo.php?workbook=10_05.xlsx&amp;sheet=U0&amp;row=1902&amp;col=7&amp;number=0.00331&amp;sourceID=14","0.00331")</f>
        <v>0.00331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HYPERLINK("http://141.218.60.56/~jnz1568/getInfo.php?workbook=10_05.xlsx&amp;sheet=U0&amp;row=1903&amp;col=6&amp;number=4.9&amp;sourceID=14","4.9")</f>
        <v>4.9</v>
      </c>
      <c r="G1903" s="4" t="str">
        <f>HYPERLINK("http://141.218.60.56/~jnz1568/getInfo.php?workbook=10_05.xlsx&amp;sheet=U0&amp;row=1903&amp;col=7&amp;number=0.00312&amp;sourceID=14","0.00312")</f>
        <v>0.00312</v>
      </c>
    </row>
    <row r="1904" spans="1:7">
      <c r="A1904" s="3">
        <v>10</v>
      </c>
      <c r="B1904" s="3">
        <v>5</v>
      </c>
      <c r="C1904" s="3">
        <v>1</v>
      </c>
      <c r="D1904" s="3">
        <v>97</v>
      </c>
      <c r="E1904" s="3">
        <v>1</v>
      </c>
      <c r="F1904" s="4" t="str">
        <f>HYPERLINK("http://141.218.60.56/~jnz1568/getInfo.php?workbook=10_05.xlsx&amp;sheet=U0&amp;row=1904&amp;col=6&amp;number=3&amp;sourceID=14","3")</f>
        <v>3</v>
      </c>
      <c r="G1904" s="4" t="str">
        <f>HYPERLINK("http://141.218.60.56/~jnz1568/getInfo.php?workbook=10_05.xlsx&amp;sheet=U0&amp;row=1904&amp;col=7&amp;number=0.00383&amp;sourceID=14","0.00383")</f>
        <v>0.00383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HYPERLINK("http://141.218.60.56/~jnz1568/getInfo.php?workbook=10_05.xlsx&amp;sheet=U0&amp;row=1905&amp;col=6&amp;number=3.1&amp;sourceID=14","3.1")</f>
        <v>3.1</v>
      </c>
      <c r="G1905" s="4" t="str">
        <f>HYPERLINK("http://141.218.60.56/~jnz1568/getInfo.php?workbook=10_05.xlsx&amp;sheet=U0&amp;row=1905&amp;col=7&amp;number=0.00382&amp;sourceID=14","0.00382")</f>
        <v>0.00382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HYPERLINK("http://141.218.60.56/~jnz1568/getInfo.php?workbook=10_05.xlsx&amp;sheet=U0&amp;row=1906&amp;col=6&amp;number=3.2&amp;sourceID=14","3.2")</f>
        <v>3.2</v>
      </c>
      <c r="G1906" s="4" t="str">
        <f>HYPERLINK("http://141.218.60.56/~jnz1568/getInfo.php?workbook=10_05.xlsx&amp;sheet=U0&amp;row=1906&amp;col=7&amp;number=0.00382&amp;sourceID=14","0.00382")</f>
        <v>0.00382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HYPERLINK("http://141.218.60.56/~jnz1568/getInfo.php?workbook=10_05.xlsx&amp;sheet=U0&amp;row=1907&amp;col=6&amp;number=3.3&amp;sourceID=14","3.3")</f>
        <v>3.3</v>
      </c>
      <c r="G1907" s="4" t="str">
        <f>HYPERLINK("http://141.218.60.56/~jnz1568/getInfo.php?workbook=10_05.xlsx&amp;sheet=U0&amp;row=1907&amp;col=7&amp;number=0.00381&amp;sourceID=14","0.00381")</f>
        <v>0.00381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HYPERLINK("http://141.218.60.56/~jnz1568/getInfo.php?workbook=10_05.xlsx&amp;sheet=U0&amp;row=1908&amp;col=6&amp;number=3.4&amp;sourceID=14","3.4")</f>
        <v>3.4</v>
      </c>
      <c r="G1908" s="4" t="str">
        <f>HYPERLINK("http://141.218.60.56/~jnz1568/getInfo.php?workbook=10_05.xlsx&amp;sheet=U0&amp;row=1908&amp;col=7&amp;number=0.00379&amp;sourceID=14","0.00379")</f>
        <v>0.00379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HYPERLINK("http://141.218.60.56/~jnz1568/getInfo.php?workbook=10_05.xlsx&amp;sheet=U0&amp;row=1909&amp;col=6&amp;number=3.5&amp;sourceID=14","3.5")</f>
        <v>3.5</v>
      </c>
      <c r="G1909" s="4" t="str">
        <f>HYPERLINK("http://141.218.60.56/~jnz1568/getInfo.php?workbook=10_05.xlsx&amp;sheet=U0&amp;row=1909&amp;col=7&amp;number=0.00378&amp;sourceID=14","0.00378")</f>
        <v>0.00378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HYPERLINK("http://141.218.60.56/~jnz1568/getInfo.php?workbook=10_05.xlsx&amp;sheet=U0&amp;row=1910&amp;col=6&amp;number=3.6&amp;sourceID=14","3.6")</f>
        <v>3.6</v>
      </c>
      <c r="G1910" s="4" t="str">
        <f>HYPERLINK("http://141.218.60.56/~jnz1568/getInfo.php?workbook=10_05.xlsx&amp;sheet=U0&amp;row=1910&amp;col=7&amp;number=0.00376&amp;sourceID=14","0.00376")</f>
        <v>0.00376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HYPERLINK("http://141.218.60.56/~jnz1568/getInfo.php?workbook=10_05.xlsx&amp;sheet=U0&amp;row=1911&amp;col=6&amp;number=3.7&amp;sourceID=14","3.7")</f>
        <v>3.7</v>
      </c>
      <c r="G1911" s="4" t="str">
        <f>HYPERLINK("http://141.218.60.56/~jnz1568/getInfo.php?workbook=10_05.xlsx&amp;sheet=U0&amp;row=1911&amp;col=7&amp;number=0.00374&amp;sourceID=14","0.00374")</f>
        <v>0.00374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HYPERLINK("http://141.218.60.56/~jnz1568/getInfo.php?workbook=10_05.xlsx&amp;sheet=U0&amp;row=1912&amp;col=6&amp;number=3.8&amp;sourceID=14","3.8")</f>
        <v>3.8</v>
      </c>
      <c r="G1912" s="4" t="str">
        <f>HYPERLINK("http://141.218.60.56/~jnz1568/getInfo.php?workbook=10_05.xlsx&amp;sheet=U0&amp;row=1912&amp;col=7&amp;number=0.00371&amp;sourceID=14","0.00371")</f>
        <v>0.00371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HYPERLINK("http://141.218.60.56/~jnz1568/getInfo.php?workbook=10_05.xlsx&amp;sheet=U0&amp;row=1913&amp;col=6&amp;number=3.9&amp;sourceID=14","3.9")</f>
        <v>3.9</v>
      </c>
      <c r="G1913" s="4" t="str">
        <f>HYPERLINK("http://141.218.60.56/~jnz1568/getInfo.php?workbook=10_05.xlsx&amp;sheet=U0&amp;row=1913&amp;col=7&amp;number=0.00367&amp;sourceID=14","0.00367")</f>
        <v>0.00367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HYPERLINK("http://141.218.60.56/~jnz1568/getInfo.php?workbook=10_05.xlsx&amp;sheet=U0&amp;row=1914&amp;col=6&amp;number=4&amp;sourceID=14","4")</f>
        <v>4</v>
      </c>
      <c r="G1914" s="4" t="str">
        <f>HYPERLINK("http://141.218.60.56/~jnz1568/getInfo.php?workbook=10_05.xlsx&amp;sheet=U0&amp;row=1914&amp;col=7&amp;number=0.00362&amp;sourceID=14","0.00362")</f>
        <v>0.00362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HYPERLINK("http://141.218.60.56/~jnz1568/getInfo.php?workbook=10_05.xlsx&amp;sheet=U0&amp;row=1915&amp;col=6&amp;number=4.1&amp;sourceID=14","4.1")</f>
        <v>4.1</v>
      </c>
      <c r="G1915" s="4" t="str">
        <f>HYPERLINK("http://141.218.60.56/~jnz1568/getInfo.php?workbook=10_05.xlsx&amp;sheet=U0&amp;row=1915&amp;col=7&amp;number=0.00356&amp;sourceID=14","0.00356")</f>
        <v>0.00356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HYPERLINK("http://141.218.60.56/~jnz1568/getInfo.php?workbook=10_05.xlsx&amp;sheet=U0&amp;row=1916&amp;col=6&amp;number=4.2&amp;sourceID=14","4.2")</f>
        <v>4.2</v>
      </c>
      <c r="G1916" s="4" t="str">
        <f>HYPERLINK("http://141.218.60.56/~jnz1568/getInfo.php?workbook=10_05.xlsx&amp;sheet=U0&amp;row=1916&amp;col=7&amp;number=0.00349&amp;sourceID=14","0.00349")</f>
        <v>0.00349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HYPERLINK("http://141.218.60.56/~jnz1568/getInfo.php?workbook=10_05.xlsx&amp;sheet=U0&amp;row=1917&amp;col=6&amp;number=4.3&amp;sourceID=14","4.3")</f>
        <v>4.3</v>
      </c>
      <c r="G1917" s="4" t="str">
        <f>HYPERLINK("http://141.218.60.56/~jnz1568/getInfo.php?workbook=10_05.xlsx&amp;sheet=U0&amp;row=1917&amp;col=7&amp;number=0.0034&amp;sourceID=14","0.0034")</f>
        <v>0.0034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HYPERLINK("http://141.218.60.56/~jnz1568/getInfo.php?workbook=10_05.xlsx&amp;sheet=U0&amp;row=1918&amp;col=6&amp;number=4.4&amp;sourceID=14","4.4")</f>
        <v>4.4</v>
      </c>
      <c r="G1918" s="4" t="str">
        <f>HYPERLINK("http://141.218.60.56/~jnz1568/getInfo.php?workbook=10_05.xlsx&amp;sheet=U0&amp;row=1918&amp;col=7&amp;number=0.00327&amp;sourceID=14","0.00327")</f>
        <v>0.00327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HYPERLINK("http://141.218.60.56/~jnz1568/getInfo.php?workbook=10_05.xlsx&amp;sheet=U0&amp;row=1919&amp;col=6&amp;number=4.5&amp;sourceID=14","4.5")</f>
        <v>4.5</v>
      </c>
      <c r="G1919" s="4" t="str">
        <f>HYPERLINK("http://141.218.60.56/~jnz1568/getInfo.php?workbook=10_05.xlsx&amp;sheet=U0&amp;row=1919&amp;col=7&amp;number=0.00312&amp;sourceID=14","0.00312")</f>
        <v>0.00312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HYPERLINK("http://141.218.60.56/~jnz1568/getInfo.php?workbook=10_05.xlsx&amp;sheet=U0&amp;row=1920&amp;col=6&amp;number=4.6&amp;sourceID=14","4.6")</f>
        <v>4.6</v>
      </c>
      <c r="G1920" s="4" t="str">
        <f>HYPERLINK("http://141.218.60.56/~jnz1568/getInfo.php?workbook=10_05.xlsx&amp;sheet=U0&amp;row=1920&amp;col=7&amp;number=0.00294&amp;sourceID=14","0.00294")</f>
        <v>0.00294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HYPERLINK("http://141.218.60.56/~jnz1568/getInfo.php?workbook=10_05.xlsx&amp;sheet=U0&amp;row=1921&amp;col=6&amp;number=4.7&amp;sourceID=14","4.7")</f>
        <v>4.7</v>
      </c>
      <c r="G1921" s="4" t="str">
        <f>HYPERLINK("http://141.218.60.56/~jnz1568/getInfo.php?workbook=10_05.xlsx&amp;sheet=U0&amp;row=1921&amp;col=7&amp;number=0.00273&amp;sourceID=14","0.00273")</f>
        <v>0.00273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HYPERLINK("http://141.218.60.56/~jnz1568/getInfo.php?workbook=10_05.xlsx&amp;sheet=U0&amp;row=1922&amp;col=6&amp;number=4.8&amp;sourceID=14","4.8")</f>
        <v>4.8</v>
      </c>
      <c r="G1922" s="4" t="str">
        <f>HYPERLINK("http://141.218.60.56/~jnz1568/getInfo.php?workbook=10_05.xlsx&amp;sheet=U0&amp;row=1922&amp;col=7&amp;number=0.00253&amp;sourceID=14","0.00253")</f>
        <v>0.00253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HYPERLINK("http://141.218.60.56/~jnz1568/getInfo.php?workbook=10_05.xlsx&amp;sheet=U0&amp;row=1923&amp;col=6&amp;number=4.9&amp;sourceID=14","4.9")</f>
        <v>4.9</v>
      </c>
      <c r="G1923" s="4" t="str">
        <f>HYPERLINK("http://141.218.60.56/~jnz1568/getInfo.php?workbook=10_05.xlsx&amp;sheet=U0&amp;row=1923&amp;col=7&amp;number=0.00234&amp;sourceID=14","0.00234")</f>
        <v>0.00234</v>
      </c>
    </row>
    <row r="1924" spans="1:7">
      <c r="A1924" s="3">
        <v>10</v>
      </c>
      <c r="B1924" s="3">
        <v>5</v>
      </c>
      <c r="C1924" s="3">
        <v>1</v>
      </c>
      <c r="D1924" s="3">
        <v>98</v>
      </c>
      <c r="E1924" s="3">
        <v>1</v>
      </c>
      <c r="F1924" s="4" t="str">
        <f>HYPERLINK("http://141.218.60.56/~jnz1568/getInfo.php?workbook=10_05.xlsx&amp;sheet=U0&amp;row=1924&amp;col=6&amp;number=3&amp;sourceID=14","3")</f>
        <v>3</v>
      </c>
      <c r="G1924" s="4" t="str">
        <f>HYPERLINK("http://141.218.60.56/~jnz1568/getInfo.php?workbook=10_05.xlsx&amp;sheet=U0&amp;row=1924&amp;col=7&amp;number=0.00966&amp;sourceID=14","0.00966")</f>
        <v>0.00966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HYPERLINK("http://141.218.60.56/~jnz1568/getInfo.php?workbook=10_05.xlsx&amp;sheet=U0&amp;row=1925&amp;col=6&amp;number=3.1&amp;sourceID=14","3.1")</f>
        <v>3.1</v>
      </c>
      <c r="G1925" s="4" t="str">
        <f>HYPERLINK("http://141.218.60.56/~jnz1568/getInfo.php?workbook=10_05.xlsx&amp;sheet=U0&amp;row=1925&amp;col=7&amp;number=0.00961&amp;sourceID=14","0.00961")</f>
        <v>0.00961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HYPERLINK("http://141.218.60.56/~jnz1568/getInfo.php?workbook=10_05.xlsx&amp;sheet=U0&amp;row=1926&amp;col=6&amp;number=3.2&amp;sourceID=14","3.2")</f>
        <v>3.2</v>
      </c>
      <c r="G1926" s="4" t="str">
        <f>HYPERLINK("http://141.218.60.56/~jnz1568/getInfo.php?workbook=10_05.xlsx&amp;sheet=U0&amp;row=1926&amp;col=7&amp;number=0.00955&amp;sourceID=14","0.00955")</f>
        <v>0.00955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HYPERLINK("http://141.218.60.56/~jnz1568/getInfo.php?workbook=10_05.xlsx&amp;sheet=U0&amp;row=1927&amp;col=6&amp;number=3.3&amp;sourceID=14","3.3")</f>
        <v>3.3</v>
      </c>
      <c r="G1927" s="4" t="str">
        <f>HYPERLINK("http://141.218.60.56/~jnz1568/getInfo.php?workbook=10_05.xlsx&amp;sheet=U0&amp;row=1927&amp;col=7&amp;number=0.00948&amp;sourceID=14","0.00948")</f>
        <v>0.00948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HYPERLINK("http://141.218.60.56/~jnz1568/getInfo.php?workbook=10_05.xlsx&amp;sheet=U0&amp;row=1928&amp;col=6&amp;number=3.4&amp;sourceID=14","3.4")</f>
        <v>3.4</v>
      </c>
      <c r="G1928" s="4" t="str">
        <f>HYPERLINK("http://141.218.60.56/~jnz1568/getInfo.php?workbook=10_05.xlsx&amp;sheet=U0&amp;row=1928&amp;col=7&amp;number=0.00939&amp;sourceID=14","0.00939")</f>
        <v>0.00939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HYPERLINK("http://141.218.60.56/~jnz1568/getInfo.php?workbook=10_05.xlsx&amp;sheet=U0&amp;row=1929&amp;col=6&amp;number=3.5&amp;sourceID=14","3.5")</f>
        <v>3.5</v>
      </c>
      <c r="G1929" s="4" t="str">
        <f>HYPERLINK("http://141.218.60.56/~jnz1568/getInfo.php?workbook=10_05.xlsx&amp;sheet=U0&amp;row=1929&amp;col=7&amp;number=0.00928&amp;sourceID=14","0.00928")</f>
        <v>0.00928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HYPERLINK("http://141.218.60.56/~jnz1568/getInfo.php?workbook=10_05.xlsx&amp;sheet=U0&amp;row=1930&amp;col=6&amp;number=3.6&amp;sourceID=14","3.6")</f>
        <v>3.6</v>
      </c>
      <c r="G1930" s="4" t="str">
        <f>HYPERLINK("http://141.218.60.56/~jnz1568/getInfo.php?workbook=10_05.xlsx&amp;sheet=U0&amp;row=1930&amp;col=7&amp;number=0.00914&amp;sourceID=14","0.00914")</f>
        <v>0.00914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HYPERLINK("http://141.218.60.56/~jnz1568/getInfo.php?workbook=10_05.xlsx&amp;sheet=U0&amp;row=1931&amp;col=6&amp;number=3.7&amp;sourceID=14","3.7")</f>
        <v>3.7</v>
      </c>
      <c r="G1931" s="4" t="str">
        <f>HYPERLINK("http://141.218.60.56/~jnz1568/getInfo.php?workbook=10_05.xlsx&amp;sheet=U0&amp;row=1931&amp;col=7&amp;number=0.00897&amp;sourceID=14","0.00897")</f>
        <v>0.00897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HYPERLINK("http://141.218.60.56/~jnz1568/getInfo.php?workbook=10_05.xlsx&amp;sheet=U0&amp;row=1932&amp;col=6&amp;number=3.8&amp;sourceID=14","3.8")</f>
        <v>3.8</v>
      </c>
      <c r="G1932" s="4" t="str">
        <f>HYPERLINK("http://141.218.60.56/~jnz1568/getInfo.php?workbook=10_05.xlsx&amp;sheet=U0&amp;row=1932&amp;col=7&amp;number=0.00876&amp;sourceID=14","0.00876")</f>
        <v>0.00876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HYPERLINK("http://141.218.60.56/~jnz1568/getInfo.php?workbook=10_05.xlsx&amp;sheet=U0&amp;row=1933&amp;col=6&amp;number=3.9&amp;sourceID=14","3.9")</f>
        <v>3.9</v>
      </c>
      <c r="G1933" s="4" t="str">
        <f>HYPERLINK("http://141.218.60.56/~jnz1568/getInfo.php?workbook=10_05.xlsx&amp;sheet=U0&amp;row=1933&amp;col=7&amp;number=0.0085&amp;sourceID=14","0.0085")</f>
        <v>0.0085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HYPERLINK("http://141.218.60.56/~jnz1568/getInfo.php?workbook=10_05.xlsx&amp;sheet=U0&amp;row=1934&amp;col=6&amp;number=4&amp;sourceID=14","4")</f>
        <v>4</v>
      </c>
      <c r="G1934" s="4" t="str">
        <f>HYPERLINK("http://141.218.60.56/~jnz1568/getInfo.php?workbook=10_05.xlsx&amp;sheet=U0&amp;row=1934&amp;col=7&amp;number=0.00819&amp;sourceID=14","0.00819")</f>
        <v>0.00819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HYPERLINK("http://141.218.60.56/~jnz1568/getInfo.php?workbook=10_05.xlsx&amp;sheet=U0&amp;row=1935&amp;col=6&amp;number=4.1&amp;sourceID=14","4.1")</f>
        <v>4.1</v>
      </c>
      <c r="G1935" s="4" t="str">
        <f>HYPERLINK("http://141.218.60.56/~jnz1568/getInfo.php?workbook=10_05.xlsx&amp;sheet=U0&amp;row=1935&amp;col=7&amp;number=0.00782&amp;sourceID=14","0.00782")</f>
        <v>0.00782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HYPERLINK("http://141.218.60.56/~jnz1568/getInfo.php?workbook=10_05.xlsx&amp;sheet=U0&amp;row=1936&amp;col=6&amp;number=4.2&amp;sourceID=14","4.2")</f>
        <v>4.2</v>
      </c>
      <c r="G1936" s="4" t="str">
        <f>HYPERLINK("http://141.218.60.56/~jnz1568/getInfo.php?workbook=10_05.xlsx&amp;sheet=U0&amp;row=1936&amp;col=7&amp;number=0.00739&amp;sourceID=14","0.00739")</f>
        <v>0.00739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HYPERLINK("http://141.218.60.56/~jnz1568/getInfo.php?workbook=10_05.xlsx&amp;sheet=U0&amp;row=1937&amp;col=6&amp;number=4.3&amp;sourceID=14","4.3")</f>
        <v>4.3</v>
      </c>
      <c r="G1937" s="4" t="str">
        <f>HYPERLINK("http://141.218.60.56/~jnz1568/getInfo.php?workbook=10_05.xlsx&amp;sheet=U0&amp;row=1937&amp;col=7&amp;number=0.00692&amp;sourceID=14","0.00692")</f>
        <v>0.00692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HYPERLINK("http://141.218.60.56/~jnz1568/getInfo.php?workbook=10_05.xlsx&amp;sheet=U0&amp;row=1938&amp;col=6&amp;number=4.4&amp;sourceID=14","4.4")</f>
        <v>4.4</v>
      </c>
      <c r="G1938" s="4" t="str">
        <f>HYPERLINK("http://141.218.60.56/~jnz1568/getInfo.php?workbook=10_05.xlsx&amp;sheet=U0&amp;row=1938&amp;col=7&amp;number=0.00642&amp;sourceID=14","0.00642")</f>
        <v>0.00642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HYPERLINK("http://141.218.60.56/~jnz1568/getInfo.php?workbook=10_05.xlsx&amp;sheet=U0&amp;row=1939&amp;col=6&amp;number=4.5&amp;sourceID=14","4.5")</f>
        <v>4.5</v>
      </c>
      <c r="G1939" s="4" t="str">
        <f>HYPERLINK("http://141.218.60.56/~jnz1568/getInfo.php?workbook=10_05.xlsx&amp;sheet=U0&amp;row=1939&amp;col=7&amp;number=0.00593&amp;sourceID=14","0.00593")</f>
        <v>0.00593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HYPERLINK("http://141.218.60.56/~jnz1568/getInfo.php?workbook=10_05.xlsx&amp;sheet=U0&amp;row=1940&amp;col=6&amp;number=4.6&amp;sourceID=14","4.6")</f>
        <v>4.6</v>
      </c>
      <c r="G1940" s="4" t="str">
        <f>HYPERLINK("http://141.218.60.56/~jnz1568/getInfo.php?workbook=10_05.xlsx&amp;sheet=U0&amp;row=1940&amp;col=7&amp;number=0.00546&amp;sourceID=14","0.00546")</f>
        <v>0.00546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HYPERLINK("http://141.218.60.56/~jnz1568/getInfo.php?workbook=10_05.xlsx&amp;sheet=U0&amp;row=1941&amp;col=6&amp;number=4.7&amp;sourceID=14","4.7")</f>
        <v>4.7</v>
      </c>
      <c r="G1941" s="4" t="str">
        <f>HYPERLINK("http://141.218.60.56/~jnz1568/getInfo.php?workbook=10_05.xlsx&amp;sheet=U0&amp;row=1941&amp;col=7&amp;number=0.00502&amp;sourceID=14","0.00502")</f>
        <v>0.00502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HYPERLINK("http://141.218.60.56/~jnz1568/getInfo.php?workbook=10_05.xlsx&amp;sheet=U0&amp;row=1942&amp;col=6&amp;number=4.8&amp;sourceID=14","4.8")</f>
        <v>4.8</v>
      </c>
      <c r="G1942" s="4" t="str">
        <f>HYPERLINK("http://141.218.60.56/~jnz1568/getInfo.php?workbook=10_05.xlsx&amp;sheet=U0&amp;row=1942&amp;col=7&amp;number=0.00461&amp;sourceID=14","0.00461")</f>
        <v>0.00461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HYPERLINK("http://141.218.60.56/~jnz1568/getInfo.php?workbook=10_05.xlsx&amp;sheet=U0&amp;row=1943&amp;col=6&amp;number=4.9&amp;sourceID=14","4.9")</f>
        <v>4.9</v>
      </c>
      <c r="G1943" s="4" t="str">
        <f>HYPERLINK("http://141.218.60.56/~jnz1568/getInfo.php?workbook=10_05.xlsx&amp;sheet=U0&amp;row=1943&amp;col=7&amp;number=0.00422&amp;sourceID=14","0.00422")</f>
        <v>0.00422</v>
      </c>
    </row>
    <row r="1944" spans="1:7">
      <c r="A1944" s="3">
        <v>10</v>
      </c>
      <c r="B1944" s="3">
        <v>5</v>
      </c>
      <c r="C1944" s="3">
        <v>1</v>
      </c>
      <c r="D1944" s="3">
        <v>99</v>
      </c>
      <c r="E1944" s="3">
        <v>1</v>
      </c>
      <c r="F1944" s="4" t="str">
        <f>HYPERLINK("http://141.218.60.56/~jnz1568/getInfo.php?workbook=10_05.xlsx&amp;sheet=U0&amp;row=1944&amp;col=6&amp;number=3&amp;sourceID=14","3")</f>
        <v>3</v>
      </c>
      <c r="G1944" s="4" t="str">
        <f>HYPERLINK("http://141.218.60.56/~jnz1568/getInfo.php?workbook=10_05.xlsx&amp;sheet=U0&amp;row=1944&amp;col=7&amp;number=0.00147&amp;sourceID=14","0.00147")</f>
        <v>0.00147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HYPERLINK("http://141.218.60.56/~jnz1568/getInfo.php?workbook=10_05.xlsx&amp;sheet=U0&amp;row=1945&amp;col=6&amp;number=3.1&amp;sourceID=14","3.1")</f>
        <v>3.1</v>
      </c>
      <c r="G1945" s="4" t="str">
        <f>HYPERLINK("http://141.218.60.56/~jnz1568/getInfo.php?workbook=10_05.xlsx&amp;sheet=U0&amp;row=1945&amp;col=7&amp;number=0.00146&amp;sourceID=14","0.00146")</f>
        <v>0.00146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HYPERLINK("http://141.218.60.56/~jnz1568/getInfo.php?workbook=10_05.xlsx&amp;sheet=U0&amp;row=1946&amp;col=6&amp;number=3.2&amp;sourceID=14","3.2")</f>
        <v>3.2</v>
      </c>
      <c r="G1946" s="4" t="str">
        <f>HYPERLINK("http://141.218.60.56/~jnz1568/getInfo.php?workbook=10_05.xlsx&amp;sheet=U0&amp;row=1946&amp;col=7&amp;number=0.00144&amp;sourceID=14","0.00144")</f>
        <v>0.00144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HYPERLINK("http://141.218.60.56/~jnz1568/getInfo.php?workbook=10_05.xlsx&amp;sheet=U0&amp;row=1947&amp;col=6&amp;number=3.3&amp;sourceID=14","3.3")</f>
        <v>3.3</v>
      </c>
      <c r="G1947" s="4" t="str">
        <f>HYPERLINK("http://141.218.60.56/~jnz1568/getInfo.php?workbook=10_05.xlsx&amp;sheet=U0&amp;row=1947&amp;col=7&amp;number=0.00143&amp;sourceID=14","0.00143")</f>
        <v>0.00143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HYPERLINK("http://141.218.60.56/~jnz1568/getInfo.php?workbook=10_05.xlsx&amp;sheet=U0&amp;row=1948&amp;col=6&amp;number=3.4&amp;sourceID=14","3.4")</f>
        <v>3.4</v>
      </c>
      <c r="G1948" s="4" t="str">
        <f>HYPERLINK("http://141.218.60.56/~jnz1568/getInfo.php?workbook=10_05.xlsx&amp;sheet=U0&amp;row=1948&amp;col=7&amp;number=0.0014&amp;sourceID=14","0.0014")</f>
        <v>0.0014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HYPERLINK("http://141.218.60.56/~jnz1568/getInfo.php?workbook=10_05.xlsx&amp;sheet=U0&amp;row=1949&amp;col=6&amp;number=3.5&amp;sourceID=14","3.5")</f>
        <v>3.5</v>
      </c>
      <c r="G1949" s="4" t="str">
        <f>HYPERLINK("http://141.218.60.56/~jnz1568/getInfo.php?workbook=10_05.xlsx&amp;sheet=U0&amp;row=1949&amp;col=7&amp;number=0.00138&amp;sourceID=14","0.00138")</f>
        <v>0.00138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HYPERLINK("http://141.218.60.56/~jnz1568/getInfo.php?workbook=10_05.xlsx&amp;sheet=U0&amp;row=1950&amp;col=6&amp;number=3.6&amp;sourceID=14","3.6")</f>
        <v>3.6</v>
      </c>
      <c r="G1950" s="4" t="str">
        <f>HYPERLINK("http://141.218.60.56/~jnz1568/getInfo.php?workbook=10_05.xlsx&amp;sheet=U0&amp;row=1950&amp;col=7&amp;number=0.00134&amp;sourceID=14","0.00134")</f>
        <v>0.00134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HYPERLINK("http://141.218.60.56/~jnz1568/getInfo.php?workbook=10_05.xlsx&amp;sheet=U0&amp;row=1951&amp;col=6&amp;number=3.7&amp;sourceID=14","3.7")</f>
        <v>3.7</v>
      </c>
      <c r="G1951" s="4" t="str">
        <f>HYPERLINK("http://141.218.60.56/~jnz1568/getInfo.php?workbook=10_05.xlsx&amp;sheet=U0&amp;row=1951&amp;col=7&amp;number=0.0013&amp;sourceID=14","0.0013")</f>
        <v>0.0013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HYPERLINK("http://141.218.60.56/~jnz1568/getInfo.php?workbook=10_05.xlsx&amp;sheet=U0&amp;row=1952&amp;col=6&amp;number=3.8&amp;sourceID=14","3.8")</f>
        <v>3.8</v>
      </c>
      <c r="G1952" s="4" t="str">
        <f>HYPERLINK("http://141.218.60.56/~jnz1568/getInfo.php?workbook=10_05.xlsx&amp;sheet=U0&amp;row=1952&amp;col=7&amp;number=0.00125&amp;sourceID=14","0.00125")</f>
        <v>0.00125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HYPERLINK("http://141.218.60.56/~jnz1568/getInfo.php?workbook=10_05.xlsx&amp;sheet=U0&amp;row=1953&amp;col=6&amp;number=3.9&amp;sourceID=14","3.9")</f>
        <v>3.9</v>
      </c>
      <c r="G1953" s="4" t="str">
        <f>HYPERLINK("http://141.218.60.56/~jnz1568/getInfo.php?workbook=10_05.xlsx&amp;sheet=U0&amp;row=1953&amp;col=7&amp;number=0.00119&amp;sourceID=14","0.00119")</f>
        <v>0.00119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HYPERLINK("http://141.218.60.56/~jnz1568/getInfo.php?workbook=10_05.xlsx&amp;sheet=U0&amp;row=1954&amp;col=6&amp;number=4&amp;sourceID=14","4")</f>
        <v>4</v>
      </c>
      <c r="G1954" s="4" t="str">
        <f>HYPERLINK("http://141.218.60.56/~jnz1568/getInfo.php?workbook=10_05.xlsx&amp;sheet=U0&amp;row=1954&amp;col=7&amp;number=0.00112&amp;sourceID=14","0.00112")</f>
        <v>0.00112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HYPERLINK("http://141.218.60.56/~jnz1568/getInfo.php?workbook=10_05.xlsx&amp;sheet=U0&amp;row=1955&amp;col=6&amp;number=4.1&amp;sourceID=14","4.1")</f>
        <v>4.1</v>
      </c>
      <c r="G1955" s="4" t="str">
        <f>HYPERLINK("http://141.218.60.56/~jnz1568/getInfo.php?workbook=10_05.xlsx&amp;sheet=U0&amp;row=1955&amp;col=7&amp;number=0.00105&amp;sourceID=14","0.00105")</f>
        <v>0.00105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HYPERLINK("http://141.218.60.56/~jnz1568/getInfo.php?workbook=10_05.xlsx&amp;sheet=U0&amp;row=1956&amp;col=6&amp;number=4.2&amp;sourceID=14","4.2")</f>
        <v>4.2</v>
      </c>
      <c r="G1956" s="4" t="str">
        <f>HYPERLINK("http://141.218.60.56/~jnz1568/getInfo.php?workbook=10_05.xlsx&amp;sheet=U0&amp;row=1956&amp;col=7&amp;number=0.000969&amp;sourceID=14","0.000969")</f>
        <v>0.000969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HYPERLINK("http://141.218.60.56/~jnz1568/getInfo.php?workbook=10_05.xlsx&amp;sheet=U0&amp;row=1957&amp;col=6&amp;number=4.3&amp;sourceID=14","4.3")</f>
        <v>4.3</v>
      </c>
      <c r="G1957" s="4" t="str">
        <f>HYPERLINK("http://141.218.60.56/~jnz1568/getInfo.php?workbook=10_05.xlsx&amp;sheet=U0&amp;row=1957&amp;col=7&amp;number=0.000897&amp;sourceID=14","0.000897")</f>
        <v>0.000897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HYPERLINK("http://141.218.60.56/~jnz1568/getInfo.php?workbook=10_05.xlsx&amp;sheet=U0&amp;row=1958&amp;col=6&amp;number=4.4&amp;sourceID=14","4.4")</f>
        <v>4.4</v>
      </c>
      <c r="G1958" s="4" t="str">
        <f>HYPERLINK("http://141.218.60.56/~jnz1568/getInfo.php?workbook=10_05.xlsx&amp;sheet=U0&amp;row=1958&amp;col=7&amp;number=0.000836&amp;sourceID=14","0.000836")</f>
        <v>0.000836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HYPERLINK("http://141.218.60.56/~jnz1568/getInfo.php?workbook=10_05.xlsx&amp;sheet=U0&amp;row=1959&amp;col=6&amp;number=4.5&amp;sourceID=14","4.5")</f>
        <v>4.5</v>
      </c>
      <c r="G1959" s="4" t="str">
        <f>HYPERLINK("http://141.218.60.56/~jnz1568/getInfo.php?workbook=10_05.xlsx&amp;sheet=U0&amp;row=1959&amp;col=7&amp;number=0.000785&amp;sourceID=14","0.000785")</f>
        <v>0.000785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HYPERLINK("http://141.218.60.56/~jnz1568/getInfo.php?workbook=10_05.xlsx&amp;sheet=U0&amp;row=1960&amp;col=6&amp;number=4.6&amp;sourceID=14","4.6")</f>
        <v>4.6</v>
      </c>
      <c r="G1960" s="4" t="str">
        <f>HYPERLINK("http://141.218.60.56/~jnz1568/getInfo.php?workbook=10_05.xlsx&amp;sheet=U0&amp;row=1960&amp;col=7&amp;number=0.000736&amp;sourceID=14","0.000736")</f>
        <v>0.000736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HYPERLINK("http://141.218.60.56/~jnz1568/getInfo.php?workbook=10_05.xlsx&amp;sheet=U0&amp;row=1961&amp;col=6&amp;number=4.7&amp;sourceID=14","4.7")</f>
        <v>4.7</v>
      </c>
      <c r="G1961" s="4" t="str">
        <f>HYPERLINK("http://141.218.60.56/~jnz1568/getInfo.php?workbook=10_05.xlsx&amp;sheet=U0&amp;row=1961&amp;col=7&amp;number=0.000683&amp;sourceID=14","0.000683")</f>
        <v>0.000683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HYPERLINK("http://141.218.60.56/~jnz1568/getInfo.php?workbook=10_05.xlsx&amp;sheet=U0&amp;row=1962&amp;col=6&amp;number=4.8&amp;sourceID=14","4.8")</f>
        <v>4.8</v>
      </c>
      <c r="G1962" s="4" t="str">
        <f>HYPERLINK("http://141.218.60.56/~jnz1568/getInfo.php?workbook=10_05.xlsx&amp;sheet=U0&amp;row=1962&amp;col=7&amp;number=0.000632&amp;sourceID=14","0.000632")</f>
        <v>0.000632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HYPERLINK("http://141.218.60.56/~jnz1568/getInfo.php?workbook=10_05.xlsx&amp;sheet=U0&amp;row=1963&amp;col=6&amp;number=4.9&amp;sourceID=14","4.9")</f>
        <v>4.9</v>
      </c>
      <c r="G1963" s="4" t="str">
        <f>HYPERLINK("http://141.218.60.56/~jnz1568/getInfo.php?workbook=10_05.xlsx&amp;sheet=U0&amp;row=1963&amp;col=7&amp;number=0.00059&amp;sourceID=14","0.00059")</f>
        <v>0.00059</v>
      </c>
    </row>
    <row r="1964" spans="1:7">
      <c r="A1964" s="3">
        <v>10</v>
      </c>
      <c r="B1964" s="3">
        <v>5</v>
      </c>
      <c r="C1964" s="3">
        <v>1</v>
      </c>
      <c r="D1964" s="3">
        <v>100</v>
      </c>
      <c r="E1964" s="3">
        <v>1</v>
      </c>
      <c r="F1964" s="4" t="str">
        <f>HYPERLINK("http://141.218.60.56/~jnz1568/getInfo.php?workbook=10_05.xlsx&amp;sheet=U0&amp;row=1964&amp;col=6&amp;number=3&amp;sourceID=14","3")</f>
        <v>3</v>
      </c>
      <c r="G1964" s="4" t="str">
        <f>HYPERLINK("http://141.218.60.56/~jnz1568/getInfo.php?workbook=10_05.xlsx&amp;sheet=U0&amp;row=1964&amp;col=7&amp;number=0.00179&amp;sourceID=14","0.00179")</f>
        <v>0.00179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HYPERLINK("http://141.218.60.56/~jnz1568/getInfo.php?workbook=10_05.xlsx&amp;sheet=U0&amp;row=1965&amp;col=6&amp;number=3.1&amp;sourceID=14","3.1")</f>
        <v>3.1</v>
      </c>
      <c r="G1965" s="4" t="str">
        <f>HYPERLINK("http://141.218.60.56/~jnz1568/getInfo.php?workbook=10_05.xlsx&amp;sheet=U0&amp;row=1965&amp;col=7&amp;number=0.00178&amp;sourceID=14","0.00178")</f>
        <v>0.00178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HYPERLINK("http://141.218.60.56/~jnz1568/getInfo.php?workbook=10_05.xlsx&amp;sheet=U0&amp;row=1966&amp;col=6&amp;number=3.2&amp;sourceID=14","3.2")</f>
        <v>3.2</v>
      </c>
      <c r="G1966" s="4" t="str">
        <f>HYPERLINK("http://141.218.60.56/~jnz1568/getInfo.php?workbook=10_05.xlsx&amp;sheet=U0&amp;row=1966&amp;col=7&amp;number=0.00176&amp;sourceID=14","0.00176")</f>
        <v>0.00176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HYPERLINK("http://141.218.60.56/~jnz1568/getInfo.php?workbook=10_05.xlsx&amp;sheet=U0&amp;row=1967&amp;col=6&amp;number=3.3&amp;sourceID=14","3.3")</f>
        <v>3.3</v>
      </c>
      <c r="G1967" s="4" t="str">
        <f>HYPERLINK("http://141.218.60.56/~jnz1568/getInfo.php?workbook=10_05.xlsx&amp;sheet=U0&amp;row=1967&amp;col=7&amp;number=0.00175&amp;sourceID=14","0.00175")</f>
        <v>0.00175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HYPERLINK("http://141.218.60.56/~jnz1568/getInfo.php?workbook=10_05.xlsx&amp;sheet=U0&amp;row=1968&amp;col=6&amp;number=3.4&amp;sourceID=14","3.4")</f>
        <v>3.4</v>
      </c>
      <c r="G1968" s="4" t="str">
        <f>HYPERLINK("http://141.218.60.56/~jnz1568/getInfo.php?workbook=10_05.xlsx&amp;sheet=U0&amp;row=1968&amp;col=7&amp;number=0.00173&amp;sourceID=14","0.00173")</f>
        <v>0.00173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HYPERLINK("http://141.218.60.56/~jnz1568/getInfo.php?workbook=10_05.xlsx&amp;sheet=U0&amp;row=1969&amp;col=6&amp;number=3.5&amp;sourceID=14","3.5")</f>
        <v>3.5</v>
      </c>
      <c r="G1969" s="4" t="str">
        <f>HYPERLINK("http://141.218.60.56/~jnz1568/getInfo.php?workbook=10_05.xlsx&amp;sheet=U0&amp;row=1969&amp;col=7&amp;number=0.00171&amp;sourceID=14","0.00171")</f>
        <v>0.00171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HYPERLINK("http://141.218.60.56/~jnz1568/getInfo.php?workbook=10_05.xlsx&amp;sheet=U0&amp;row=1970&amp;col=6&amp;number=3.6&amp;sourceID=14","3.6")</f>
        <v>3.6</v>
      </c>
      <c r="G1970" s="4" t="str">
        <f>HYPERLINK("http://141.218.60.56/~jnz1568/getInfo.php?workbook=10_05.xlsx&amp;sheet=U0&amp;row=1970&amp;col=7&amp;number=0.00168&amp;sourceID=14","0.00168")</f>
        <v>0.00168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HYPERLINK("http://141.218.60.56/~jnz1568/getInfo.php?workbook=10_05.xlsx&amp;sheet=U0&amp;row=1971&amp;col=6&amp;number=3.7&amp;sourceID=14","3.7")</f>
        <v>3.7</v>
      </c>
      <c r="G1971" s="4" t="str">
        <f>HYPERLINK("http://141.218.60.56/~jnz1568/getInfo.php?workbook=10_05.xlsx&amp;sheet=U0&amp;row=1971&amp;col=7&amp;number=0.00164&amp;sourceID=14","0.00164")</f>
        <v>0.00164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HYPERLINK("http://141.218.60.56/~jnz1568/getInfo.php?workbook=10_05.xlsx&amp;sheet=U0&amp;row=1972&amp;col=6&amp;number=3.8&amp;sourceID=14","3.8")</f>
        <v>3.8</v>
      </c>
      <c r="G1972" s="4" t="str">
        <f>HYPERLINK("http://141.218.60.56/~jnz1568/getInfo.php?workbook=10_05.xlsx&amp;sheet=U0&amp;row=1972&amp;col=7&amp;number=0.00159&amp;sourceID=14","0.00159")</f>
        <v>0.00159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HYPERLINK("http://141.218.60.56/~jnz1568/getInfo.php?workbook=10_05.xlsx&amp;sheet=U0&amp;row=1973&amp;col=6&amp;number=3.9&amp;sourceID=14","3.9")</f>
        <v>3.9</v>
      </c>
      <c r="G1973" s="4" t="str">
        <f>HYPERLINK("http://141.218.60.56/~jnz1568/getInfo.php?workbook=10_05.xlsx&amp;sheet=U0&amp;row=1973&amp;col=7&amp;number=0.00154&amp;sourceID=14","0.00154")</f>
        <v>0.00154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HYPERLINK("http://141.218.60.56/~jnz1568/getInfo.php?workbook=10_05.xlsx&amp;sheet=U0&amp;row=1974&amp;col=6&amp;number=4&amp;sourceID=14","4")</f>
        <v>4</v>
      </c>
      <c r="G1974" s="4" t="str">
        <f>HYPERLINK("http://141.218.60.56/~jnz1568/getInfo.php?workbook=10_05.xlsx&amp;sheet=U0&amp;row=1974&amp;col=7&amp;number=0.00147&amp;sourceID=14","0.00147")</f>
        <v>0.00147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HYPERLINK("http://141.218.60.56/~jnz1568/getInfo.php?workbook=10_05.xlsx&amp;sheet=U0&amp;row=1975&amp;col=6&amp;number=4.1&amp;sourceID=14","4.1")</f>
        <v>4.1</v>
      </c>
      <c r="G1975" s="4" t="str">
        <f>HYPERLINK("http://141.218.60.56/~jnz1568/getInfo.php?workbook=10_05.xlsx&amp;sheet=U0&amp;row=1975&amp;col=7&amp;number=0.0014&amp;sourceID=14","0.0014")</f>
        <v>0.0014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HYPERLINK("http://141.218.60.56/~jnz1568/getInfo.php?workbook=10_05.xlsx&amp;sheet=U0&amp;row=1976&amp;col=6&amp;number=4.2&amp;sourceID=14","4.2")</f>
        <v>4.2</v>
      </c>
      <c r="G1976" s="4" t="str">
        <f>HYPERLINK("http://141.218.60.56/~jnz1568/getInfo.php?workbook=10_05.xlsx&amp;sheet=U0&amp;row=1976&amp;col=7&amp;number=0.00131&amp;sourceID=14","0.00131")</f>
        <v>0.00131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HYPERLINK("http://141.218.60.56/~jnz1568/getInfo.php?workbook=10_05.xlsx&amp;sheet=U0&amp;row=1977&amp;col=6&amp;number=4.3&amp;sourceID=14","4.3")</f>
        <v>4.3</v>
      </c>
      <c r="G1977" s="4" t="str">
        <f>HYPERLINK("http://141.218.60.56/~jnz1568/getInfo.php?workbook=10_05.xlsx&amp;sheet=U0&amp;row=1977&amp;col=7&amp;number=0.00121&amp;sourceID=14","0.00121")</f>
        <v>0.00121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HYPERLINK("http://141.218.60.56/~jnz1568/getInfo.php?workbook=10_05.xlsx&amp;sheet=U0&amp;row=1978&amp;col=6&amp;number=4.4&amp;sourceID=14","4.4")</f>
        <v>4.4</v>
      </c>
      <c r="G1978" s="4" t="str">
        <f>HYPERLINK("http://141.218.60.56/~jnz1568/getInfo.php?workbook=10_05.xlsx&amp;sheet=U0&amp;row=1978&amp;col=7&amp;number=0.00112&amp;sourceID=14","0.00112")</f>
        <v>0.00112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HYPERLINK("http://141.218.60.56/~jnz1568/getInfo.php?workbook=10_05.xlsx&amp;sheet=U0&amp;row=1979&amp;col=6&amp;number=4.5&amp;sourceID=14","4.5")</f>
        <v>4.5</v>
      </c>
      <c r="G1979" s="4" t="str">
        <f>HYPERLINK("http://141.218.60.56/~jnz1568/getInfo.php?workbook=10_05.xlsx&amp;sheet=U0&amp;row=1979&amp;col=7&amp;number=0.00104&amp;sourceID=14","0.00104")</f>
        <v>0.00104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HYPERLINK("http://141.218.60.56/~jnz1568/getInfo.php?workbook=10_05.xlsx&amp;sheet=U0&amp;row=1980&amp;col=6&amp;number=4.6&amp;sourceID=14","4.6")</f>
        <v>4.6</v>
      </c>
      <c r="G1980" s="4" t="str">
        <f>HYPERLINK("http://141.218.60.56/~jnz1568/getInfo.php?workbook=10_05.xlsx&amp;sheet=U0&amp;row=1980&amp;col=7&amp;number=0.000971&amp;sourceID=14","0.000971")</f>
        <v>0.000971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HYPERLINK("http://141.218.60.56/~jnz1568/getInfo.php?workbook=10_05.xlsx&amp;sheet=U0&amp;row=1981&amp;col=6&amp;number=4.7&amp;sourceID=14","4.7")</f>
        <v>4.7</v>
      </c>
      <c r="G1981" s="4" t="str">
        <f>HYPERLINK("http://141.218.60.56/~jnz1568/getInfo.php?workbook=10_05.xlsx&amp;sheet=U0&amp;row=1981&amp;col=7&amp;number=0.000914&amp;sourceID=14","0.000914")</f>
        <v>0.000914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HYPERLINK("http://141.218.60.56/~jnz1568/getInfo.php?workbook=10_05.xlsx&amp;sheet=U0&amp;row=1982&amp;col=6&amp;number=4.8&amp;sourceID=14","4.8")</f>
        <v>4.8</v>
      </c>
      <c r="G1982" s="4" t="str">
        <f>HYPERLINK("http://141.218.60.56/~jnz1568/getInfo.php?workbook=10_05.xlsx&amp;sheet=U0&amp;row=1982&amp;col=7&amp;number=0.000857&amp;sourceID=14","0.000857")</f>
        <v>0.000857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HYPERLINK("http://141.218.60.56/~jnz1568/getInfo.php?workbook=10_05.xlsx&amp;sheet=U0&amp;row=1983&amp;col=6&amp;number=4.9&amp;sourceID=14","4.9")</f>
        <v>4.9</v>
      </c>
      <c r="G1983" s="4" t="str">
        <f>HYPERLINK("http://141.218.60.56/~jnz1568/getInfo.php?workbook=10_05.xlsx&amp;sheet=U0&amp;row=1983&amp;col=7&amp;number=0.000797&amp;sourceID=14","0.000797")</f>
        <v>0.000797</v>
      </c>
    </row>
    <row r="1984" spans="1:7">
      <c r="A1984" s="3">
        <v>10</v>
      </c>
      <c r="B1984" s="3">
        <v>5</v>
      </c>
      <c r="C1984" s="3">
        <v>1</v>
      </c>
      <c r="D1984" s="3">
        <v>101</v>
      </c>
      <c r="E1984" s="3">
        <v>1</v>
      </c>
      <c r="F1984" s="4" t="str">
        <f>HYPERLINK("http://141.218.60.56/~jnz1568/getInfo.php?workbook=10_05.xlsx&amp;sheet=U0&amp;row=1984&amp;col=6&amp;number=3&amp;sourceID=14","3")</f>
        <v>3</v>
      </c>
      <c r="G1984" s="4" t="str">
        <f>HYPERLINK("http://141.218.60.56/~jnz1568/getInfo.php?workbook=10_05.xlsx&amp;sheet=U0&amp;row=1984&amp;col=7&amp;number=0.0143&amp;sourceID=14","0.0143")</f>
        <v>0.0143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HYPERLINK("http://141.218.60.56/~jnz1568/getInfo.php?workbook=10_05.xlsx&amp;sheet=U0&amp;row=1985&amp;col=6&amp;number=3.1&amp;sourceID=14","3.1")</f>
        <v>3.1</v>
      </c>
      <c r="G1985" s="4" t="str">
        <f>HYPERLINK("http://141.218.60.56/~jnz1568/getInfo.php?workbook=10_05.xlsx&amp;sheet=U0&amp;row=1985&amp;col=7&amp;number=0.0142&amp;sourceID=14","0.0142")</f>
        <v>0.0142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HYPERLINK("http://141.218.60.56/~jnz1568/getInfo.php?workbook=10_05.xlsx&amp;sheet=U0&amp;row=1986&amp;col=6&amp;number=3.2&amp;sourceID=14","3.2")</f>
        <v>3.2</v>
      </c>
      <c r="G1986" s="4" t="str">
        <f>HYPERLINK("http://141.218.60.56/~jnz1568/getInfo.php?workbook=10_05.xlsx&amp;sheet=U0&amp;row=1986&amp;col=7&amp;number=0.0141&amp;sourceID=14","0.0141")</f>
        <v>0.0141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HYPERLINK("http://141.218.60.56/~jnz1568/getInfo.php?workbook=10_05.xlsx&amp;sheet=U0&amp;row=1987&amp;col=6&amp;number=3.3&amp;sourceID=14","3.3")</f>
        <v>3.3</v>
      </c>
      <c r="G1987" s="4" t="str">
        <f>HYPERLINK("http://141.218.60.56/~jnz1568/getInfo.php?workbook=10_05.xlsx&amp;sheet=U0&amp;row=1987&amp;col=7&amp;number=0.014&amp;sourceID=14","0.014")</f>
        <v>0.014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HYPERLINK("http://141.218.60.56/~jnz1568/getInfo.php?workbook=10_05.xlsx&amp;sheet=U0&amp;row=1988&amp;col=6&amp;number=3.4&amp;sourceID=14","3.4")</f>
        <v>3.4</v>
      </c>
      <c r="G1988" s="4" t="str">
        <f>HYPERLINK("http://141.218.60.56/~jnz1568/getInfo.php?workbook=10_05.xlsx&amp;sheet=U0&amp;row=1988&amp;col=7&amp;number=0.0139&amp;sourceID=14","0.0139")</f>
        <v>0.0139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HYPERLINK("http://141.218.60.56/~jnz1568/getInfo.php?workbook=10_05.xlsx&amp;sheet=U0&amp;row=1989&amp;col=6&amp;number=3.5&amp;sourceID=14","3.5")</f>
        <v>3.5</v>
      </c>
      <c r="G1989" s="4" t="str">
        <f>HYPERLINK("http://141.218.60.56/~jnz1568/getInfo.php?workbook=10_05.xlsx&amp;sheet=U0&amp;row=1989&amp;col=7&amp;number=0.0137&amp;sourceID=14","0.0137")</f>
        <v>0.0137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HYPERLINK("http://141.218.60.56/~jnz1568/getInfo.php?workbook=10_05.xlsx&amp;sheet=U0&amp;row=1990&amp;col=6&amp;number=3.6&amp;sourceID=14","3.6")</f>
        <v>3.6</v>
      </c>
      <c r="G1990" s="4" t="str">
        <f>HYPERLINK("http://141.218.60.56/~jnz1568/getInfo.php?workbook=10_05.xlsx&amp;sheet=U0&amp;row=1990&amp;col=7&amp;number=0.0135&amp;sourceID=14","0.0135")</f>
        <v>0.0135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HYPERLINK("http://141.218.60.56/~jnz1568/getInfo.php?workbook=10_05.xlsx&amp;sheet=U0&amp;row=1991&amp;col=6&amp;number=3.7&amp;sourceID=14","3.7")</f>
        <v>3.7</v>
      </c>
      <c r="G1991" s="4" t="str">
        <f>HYPERLINK("http://141.218.60.56/~jnz1568/getInfo.php?workbook=10_05.xlsx&amp;sheet=U0&amp;row=1991&amp;col=7&amp;number=0.0133&amp;sourceID=14","0.0133")</f>
        <v>0.0133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HYPERLINK("http://141.218.60.56/~jnz1568/getInfo.php?workbook=10_05.xlsx&amp;sheet=U0&amp;row=1992&amp;col=6&amp;number=3.8&amp;sourceID=14","3.8")</f>
        <v>3.8</v>
      </c>
      <c r="G1992" s="4" t="str">
        <f>HYPERLINK("http://141.218.60.56/~jnz1568/getInfo.php?workbook=10_05.xlsx&amp;sheet=U0&amp;row=1992&amp;col=7&amp;number=0.013&amp;sourceID=14","0.013")</f>
        <v>0.013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HYPERLINK("http://141.218.60.56/~jnz1568/getInfo.php?workbook=10_05.xlsx&amp;sheet=U0&amp;row=1993&amp;col=6&amp;number=3.9&amp;sourceID=14","3.9")</f>
        <v>3.9</v>
      </c>
      <c r="G1993" s="4" t="str">
        <f>HYPERLINK("http://141.218.60.56/~jnz1568/getInfo.php?workbook=10_05.xlsx&amp;sheet=U0&amp;row=1993&amp;col=7&amp;number=0.0126&amp;sourceID=14","0.0126")</f>
        <v>0.0126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HYPERLINK("http://141.218.60.56/~jnz1568/getInfo.php?workbook=10_05.xlsx&amp;sheet=U0&amp;row=1994&amp;col=6&amp;number=4&amp;sourceID=14","4")</f>
        <v>4</v>
      </c>
      <c r="G1994" s="4" t="str">
        <f>HYPERLINK("http://141.218.60.56/~jnz1568/getInfo.php?workbook=10_05.xlsx&amp;sheet=U0&amp;row=1994&amp;col=7&amp;number=0.0122&amp;sourceID=14","0.0122")</f>
        <v>0.0122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HYPERLINK("http://141.218.60.56/~jnz1568/getInfo.php?workbook=10_05.xlsx&amp;sheet=U0&amp;row=1995&amp;col=6&amp;number=4.1&amp;sourceID=14","4.1")</f>
        <v>4.1</v>
      </c>
      <c r="G1995" s="4" t="str">
        <f>HYPERLINK("http://141.218.60.56/~jnz1568/getInfo.php?workbook=10_05.xlsx&amp;sheet=U0&amp;row=1995&amp;col=7&amp;number=0.0116&amp;sourceID=14","0.0116")</f>
        <v>0.0116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HYPERLINK("http://141.218.60.56/~jnz1568/getInfo.php?workbook=10_05.xlsx&amp;sheet=U0&amp;row=1996&amp;col=6&amp;number=4.2&amp;sourceID=14","4.2")</f>
        <v>4.2</v>
      </c>
      <c r="G1996" s="4" t="str">
        <f>HYPERLINK("http://141.218.60.56/~jnz1568/getInfo.php?workbook=10_05.xlsx&amp;sheet=U0&amp;row=1996&amp;col=7&amp;number=0.011&amp;sourceID=14","0.011")</f>
        <v>0.011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HYPERLINK("http://141.218.60.56/~jnz1568/getInfo.php?workbook=10_05.xlsx&amp;sheet=U0&amp;row=1997&amp;col=6&amp;number=4.3&amp;sourceID=14","4.3")</f>
        <v>4.3</v>
      </c>
      <c r="G1997" s="4" t="str">
        <f>HYPERLINK("http://141.218.60.56/~jnz1568/getInfo.php?workbook=10_05.xlsx&amp;sheet=U0&amp;row=1997&amp;col=7&amp;number=0.0103&amp;sourceID=14","0.0103")</f>
        <v>0.0103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HYPERLINK("http://141.218.60.56/~jnz1568/getInfo.php?workbook=10_05.xlsx&amp;sheet=U0&amp;row=1998&amp;col=6&amp;number=4.4&amp;sourceID=14","4.4")</f>
        <v>4.4</v>
      </c>
      <c r="G1998" s="4" t="str">
        <f>HYPERLINK("http://141.218.60.56/~jnz1568/getInfo.php?workbook=10_05.xlsx&amp;sheet=U0&amp;row=1998&amp;col=7&amp;number=0.00955&amp;sourceID=14","0.00955")</f>
        <v>0.00955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HYPERLINK("http://141.218.60.56/~jnz1568/getInfo.php?workbook=10_05.xlsx&amp;sheet=U0&amp;row=1999&amp;col=6&amp;number=4.5&amp;sourceID=14","4.5")</f>
        <v>4.5</v>
      </c>
      <c r="G1999" s="4" t="str">
        <f>HYPERLINK("http://141.218.60.56/~jnz1568/getInfo.php?workbook=10_05.xlsx&amp;sheet=U0&amp;row=1999&amp;col=7&amp;number=0.00877&amp;sourceID=14","0.00877")</f>
        <v>0.00877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HYPERLINK("http://141.218.60.56/~jnz1568/getInfo.php?workbook=10_05.xlsx&amp;sheet=U0&amp;row=2000&amp;col=6&amp;number=4.6&amp;sourceID=14","4.6")</f>
        <v>4.6</v>
      </c>
      <c r="G2000" s="4" t="str">
        <f>HYPERLINK("http://141.218.60.56/~jnz1568/getInfo.php?workbook=10_05.xlsx&amp;sheet=U0&amp;row=2000&amp;col=7&amp;number=0.00801&amp;sourceID=14","0.00801")</f>
        <v>0.00801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HYPERLINK("http://141.218.60.56/~jnz1568/getInfo.php?workbook=10_05.xlsx&amp;sheet=U0&amp;row=2001&amp;col=6&amp;number=4.7&amp;sourceID=14","4.7")</f>
        <v>4.7</v>
      </c>
      <c r="G2001" s="4" t="str">
        <f>HYPERLINK("http://141.218.60.56/~jnz1568/getInfo.php?workbook=10_05.xlsx&amp;sheet=U0&amp;row=2001&amp;col=7&amp;number=0.00729&amp;sourceID=14","0.00729")</f>
        <v>0.00729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HYPERLINK("http://141.218.60.56/~jnz1568/getInfo.php?workbook=10_05.xlsx&amp;sheet=U0&amp;row=2002&amp;col=6&amp;number=4.8&amp;sourceID=14","4.8")</f>
        <v>4.8</v>
      </c>
      <c r="G2002" s="4" t="str">
        <f>HYPERLINK("http://141.218.60.56/~jnz1568/getInfo.php?workbook=10_05.xlsx&amp;sheet=U0&amp;row=2002&amp;col=7&amp;number=0.00662&amp;sourceID=14","0.00662")</f>
        <v>0.00662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HYPERLINK("http://141.218.60.56/~jnz1568/getInfo.php?workbook=10_05.xlsx&amp;sheet=U0&amp;row=2003&amp;col=6&amp;number=4.9&amp;sourceID=14","4.9")</f>
        <v>4.9</v>
      </c>
      <c r="G2003" s="4" t="str">
        <f>HYPERLINK("http://141.218.60.56/~jnz1568/getInfo.php?workbook=10_05.xlsx&amp;sheet=U0&amp;row=2003&amp;col=7&amp;number=0.00601&amp;sourceID=14","0.00601")</f>
        <v>0.00601</v>
      </c>
    </row>
    <row r="2004" spans="1:7">
      <c r="A2004" s="3">
        <v>10</v>
      </c>
      <c r="B2004" s="3">
        <v>5</v>
      </c>
      <c r="C2004" s="3">
        <v>1</v>
      </c>
      <c r="D2004" s="3">
        <v>102</v>
      </c>
      <c r="E2004" s="3">
        <v>1</v>
      </c>
      <c r="F2004" s="4" t="str">
        <f>HYPERLINK("http://141.218.60.56/~jnz1568/getInfo.php?workbook=10_05.xlsx&amp;sheet=U0&amp;row=2004&amp;col=6&amp;number=3&amp;sourceID=14","3")</f>
        <v>3</v>
      </c>
      <c r="G2004" s="4" t="str">
        <f>HYPERLINK("http://141.218.60.56/~jnz1568/getInfo.php?workbook=10_05.xlsx&amp;sheet=U0&amp;row=2004&amp;col=7&amp;number=0.00231&amp;sourceID=14","0.00231")</f>
        <v>0.00231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HYPERLINK("http://141.218.60.56/~jnz1568/getInfo.php?workbook=10_05.xlsx&amp;sheet=U0&amp;row=2005&amp;col=6&amp;number=3.1&amp;sourceID=14","3.1")</f>
        <v>3.1</v>
      </c>
      <c r="G2005" s="4" t="str">
        <f>HYPERLINK("http://141.218.60.56/~jnz1568/getInfo.php?workbook=10_05.xlsx&amp;sheet=U0&amp;row=2005&amp;col=7&amp;number=0.00229&amp;sourceID=14","0.00229")</f>
        <v>0.00229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HYPERLINK("http://141.218.60.56/~jnz1568/getInfo.php?workbook=10_05.xlsx&amp;sheet=U0&amp;row=2006&amp;col=6&amp;number=3.2&amp;sourceID=14","3.2")</f>
        <v>3.2</v>
      </c>
      <c r="G2006" s="4" t="str">
        <f>HYPERLINK("http://141.218.60.56/~jnz1568/getInfo.php?workbook=10_05.xlsx&amp;sheet=U0&amp;row=2006&amp;col=7&amp;number=0.00227&amp;sourceID=14","0.00227")</f>
        <v>0.00227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HYPERLINK("http://141.218.60.56/~jnz1568/getInfo.php?workbook=10_05.xlsx&amp;sheet=U0&amp;row=2007&amp;col=6&amp;number=3.3&amp;sourceID=14","3.3")</f>
        <v>3.3</v>
      </c>
      <c r="G2007" s="4" t="str">
        <f>HYPERLINK("http://141.218.60.56/~jnz1568/getInfo.php?workbook=10_05.xlsx&amp;sheet=U0&amp;row=2007&amp;col=7&amp;number=0.00224&amp;sourceID=14","0.00224")</f>
        <v>0.00224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HYPERLINK("http://141.218.60.56/~jnz1568/getInfo.php?workbook=10_05.xlsx&amp;sheet=U0&amp;row=2008&amp;col=6&amp;number=3.4&amp;sourceID=14","3.4")</f>
        <v>3.4</v>
      </c>
      <c r="G2008" s="4" t="str">
        <f>HYPERLINK("http://141.218.60.56/~jnz1568/getInfo.php?workbook=10_05.xlsx&amp;sheet=U0&amp;row=2008&amp;col=7&amp;number=0.00221&amp;sourceID=14","0.00221")</f>
        <v>0.00221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HYPERLINK("http://141.218.60.56/~jnz1568/getInfo.php?workbook=10_05.xlsx&amp;sheet=U0&amp;row=2009&amp;col=6&amp;number=3.5&amp;sourceID=14","3.5")</f>
        <v>3.5</v>
      </c>
      <c r="G2009" s="4" t="str">
        <f>HYPERLINK("http://141.218.60.56/~jnz1568/getInfo.php?workbook=10_05.xlsx&amp;sheet=U0&amp;row=2009&amp;col=7&amp;number=0.00216&amp;sourceID=14","0.00216")</f>
        <v>0.00216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HYPERLINK("http://141.218.60.56/~jnz1568/getInfo.php?workbook=10_05.xlsx&amp;sheet=U0&amp;row=2010&amp;col=6&amp;number=3.6&amp;sourceID=14","3.6")</f>
        <v>3.6</v>
      </c>
      <c r="G2010" s="4" t="str">
        <f>HYPERLINK("http://141.218.60.56/~jnz1568/getInfo.php?workbook=10_05.xlsx&amp;sheet=U0&amp;row=2010&amp;col=7&amp;number=0.00211&amp;sourceID=14","0.00211")</f>
        <v>0.00211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HYPERLINK("http://141.218.60.56/~jnz1568/getInfo.php?workbook=10_05.xlsx&amp;sheet=U0&amp;row=2011&amp;col=6&amp;number=3.7&amp;sourceID=14","3.7")</f>
        <v>3.7</v>
      </c>
      <c r="G2011" s="4" t="str">
        <f>HYPERLINK("http://141.218.60.56/~jnz1568/getInfo.php?workbook=10_05.xlsx&amp;sheet=U0&amp;row=2011&amp;col=7&amp;number=0.00205&amp;sourceID=14","0.00205")</f>
        <v>0.00205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HYPERLINK("http://141.218.60.56/~jnz1568/getInfo.php?workbook=10_05.xlsx&amp;sheet=U0&amp;row=2012&amp;col=6&amp;number=3.8&amp;sourceID=14","3.8")</f>
        <v>3.8</v>
      </c>
      <c r="G2012" s="4" t="str">
        <f>HYPERLINK("http://141.218.60.56/~jnz1568/getInfo.php?workbook=10_05.xlsx&amp;sheet=U0&amp;row=2012&amp;col=7&amp;number=0.00197&amp;sourceID=14","0.00197")</f>
        <v>0.00197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HYPERLINK("http://141.218.60.56/~jnz1568/getInfo.php?workbook=10_05.xlsx&amp;sheet=U0&amp;row=2013&amp;col=6&amp;number=3.9&amp;sourceID=14","3.9")</f>
        <v>3.9</v>
      </c>
      <c r="G2013" s="4" t="str">
        <f>HYPERLINK("http://141.218.60.56/~jnz1568/getInfo.php?workbook=10_05.xlsx&amp;sheet=U0&amp;row=2013&amp;col=7&amp;number=0.00188&amp;sourceID=14","0.00188")</f>
        <v>0.00188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HYPERLINK("http://141.218.60.56/~jnz1568/getInfo.php?workbook=10_05.xlsx&amp;sheet=U0&amp;row=2014&amp;col=6&amp;number=4&amp;sourceID=14","4")</f>
        <v>4</v>
      </c>
      <c r="G2014" s="4" t="str">
        <f>HYPERLINK("http://141.218.60.56/~jnz1568/getInfo.php?workbook=10_05.xlsx&amp;sheet=U0&amp;row=2014&amp;col=7&amp;number=0.00178&amp;sourceID=14","0.00178")</f>
        <v>0.00178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HYPERLINK("http://141.218.60.56/~jnz1568/getInfo.php?workbook=10_05.xlsx&amp;sheet=U0&amp;row=2015&amp;col=6&amp;number=4.1&amp;sourceID=14","4.1")</f>
        <v>4.1</v>
      </c>
      <c r="G2015" s="4" t="str">
        <f>HYPERLINK("http://141.218.60.56/~jnz1568/getInfo.php?workbook=10_05.xlsx&amp;sheet=U0&amp;row=2015&amp;col=7&amp;number=0.00166&amp;sourceID=14","0.00166")</f>
        <v>0.00166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HYPERLINK("http://141.218.60.56/~jnz1568/getInfo.php?workbook=10_05.xlsx&amp;sheet=U0&amp;row=2016&amp;col=6&amp;number=4.2&amp;sourceID=14","4.2")</f>
        <v>4.2</v>
      </c>
      <c r="G2016" s="4" t="str">
        <f>HYPERLINK("http://141.218.60.56/~jnz1568/getInfo.php?workbook=10_05.xlsx&amp;sheet=U0&amp;row=2016&amp;col=7&amp;number=0.00153&amp;sourceID=14","0.00153")</f>
        <v>0.00153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HYPERLINK("http://141.218.60.56/~jnz1568/getInfo.php?workbook=10_05.xlsx&amp;sheet=U0&amp;row=2017&amp;col=6&amp;number=4.3&amp;sourceID=14","4.3")</f>
        <v>4.3</v>
      </c>
      <c r="G2017" s="4" t="str">
        <f>HYPERLINK("http://141.218.60.56/~jnz1568/getInfo.php?workbook=10_05.xlsx&amp;sheet=U0&amp;row=2017&amp;col=7&amp;number=0.00141&amp;sourceID=14","0.00141")</f>
        <v>0.00141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HYPERLINK("http://141.218.60.56/~jnz1568/getInfo.php?workbook=10_05.xlsx&amp;sheet=U0&amp;row=2018&amp;col=6&amp;number=4.4&amp;sourceID=14","4.4")</f>
        <v>4.4</v>
      </c>
      <c r="G2018" s="4" t="str">
        <f>HYPERLINK("http://141.218.60.56/~jnz1568/getInfo.php?workbook=10_05.xlsx&amp;sheet=U0&amp;row=2018&amp;col=7&amp;number=0.00131&amp;sourceID=14","0.00131")</f>
        <v>0.00131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HYPERLINK("http://141.218.60.56/~jnz1568/getInfo.php?workbook=10_05.xlsx&amp;sheet=U0&amp;row=2019&amp;col=6&amp;number=4.5&amp;sourceID=14","4.5")</f>
        <v>4.5</v>
      </c>
      <c r="G2019" s="4" t="str">
        <f>HYPERLINK("http://141.218.60.56/~jnz1568/getInfo.php?workbook=10_05.xlsx&amp;sheet=U0&amp;row=2019&amp;col=7&amp;number=0.00121&amp;sourceID=14","0.00121")</f>
        <v>0.00121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HYPERLINK("http://141.218.60.56/~jnz1568/getInfo.php?workbook=10_05.xlsx&amp;sheet=U0&amp;row=2020&amp;col=6&amp;number=4.6&amp;sourceID=14","4.6")</f>
        <v>4.6</v>
      </c>
      <c r="G2020" s="4" t="str">
        <f>HYPERLINK("http://141.218.60.56/~jnz1568/getInfo.php?workbook=10_05.xlsx&amp;sheet=U0&amp;row=2020&amp;col=7&amp;number=0.00113&amp;sourceID=14","0.00113")</f>
        <v>0.00113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HYPERLINK("http://141.218.60.56/~jnz1568/getInfo.php?workbook=10_05.xlsx&amp;sheet=U0&amp;row=2021&amp;col=6&amp;number=4.7&amp;sourceID=14","4.7")</f>
        <v>4.7</v>
      </c>
      <c r="G2021" s="4" t="str">
        <f>HYPERLINK("http://141.218.60.56/~jnz1568/getInfo.php?workbook=10_05.xlsx&amp;sheet=U0&amp;row=2021&amp;col=7&amp;number=0.00104&amp;sourceID=14","0.00104")</f>
        <v>0.00104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HYPERLINK("http://141.218.60.56/~jnz1568/getInfo.php?workbook=10_05.xlsx&amp;sheet=U0&amp;row=2022&amp;col=6&amp;number=4.8&amp;sourceID=14","4.8")</f>
        <v>4.8</v>
      </c>
      <c r="G2022" s="4" t="str">
        <f>HYPERLINK("http://141.218.60.56/~jnz1568/getInfo.php?workbook=10_05.xlsx&amp;sheet=U0&amp;row=2022&amp;col=7&amp;number=0.000963&amp;sourceID=14","0.000963")</f>
        <v>0.000963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HYPERLINK("http://141.218.60.56/~jnz1568/getInfo.php?workbook=10_05.xlsx&amp;sheet=U0&amp;row=2023&amp;col=6&amp;number=4.9&amp;sourceID=14","4.9")</f>
        <v>4.9</v>
      </c>
      <c r="G2023" s="4" t="str">
        <f>HYPERLINK("http://141.218.60.56/~jnz1568/getInfo.php?workbook=10_05.xlsx&amp;sheet=U0&amp;row=2023&amp;col=7&amp;number=0.000892&amp;sourceID=14","0.000892")</f>
        <v>0.000892</v>
      </c>
    </row>
    <row r="2024" spans="1:7">
      <c r="A2024" s="3">
        <v>10</v>
      </c>
      <c r="B2024" s="3">
        <v>5</v>
      </c>
      <c r="C2024" s="3">
        <v>1</v>
      </c>
      <c r="D2024" s="3">
        <v>103</v>
      </c>
      <c r="E2024" s="3">
        <v>1</v>
      </c>
      <c r="F2024" s="4" t="str">
        <f>HYPERLINK("http://141.218.60.56/~jnz1568/getInfo.php?workbook=10_05.xlsx&amp;sheet=U0&amp;row=2024&amp;col=6&amp;number=3&amp;sourceID=14","3")</f>
        <v>3</v>
      </c>
      <c r="G2024" s="4" t="str">
        <f>HYPERLINK("http://141.218.60.56/~jnz1568/getInfo.php?workbook=10_05.xlsx&amp;sheet=U0&amp;row=2024&amp;col=7&amp;number=0.0116&amp;sourceID=14","0.0116")</f>
        <v>0.0116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HYPERLINK("http://141.218.60.56/~jnz1568/getInfo.php?workbook=10_05.xlsx&amp;sheet=U0&amp;row=2025&amp;col=6&amp;number=3.1&amp;sourceID=14","3.1")</f>
        <v>3.1</v>
      </c>
      <c r="G2025" s="4" t="str">
        <f>HYPERLINK("http://141.218.60.56/~jnz1568/getInfo.php?workbook=10_05.xlsx&amp;sheet=U0&amp;row=2025&amp;col=7&amp;number=0.0115&amp;sourceID=14","0.0115")</f>
        <v>0.0115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HYPERLINK("http://141.218.60.56/~jnz1568/getInfo.php?workbook=10_05.xlsx&amp;sheet=U0&amp;row=2026&amp;col=6&amp;number=3.2&amp;sourceID=14","3.2")</f>
        <v>3.2</v>
      </c>
      <c r="G2026" s="4" t="str">
        <f>HYPERLINK("http://141.218.60.56/~jnz1568/getInfo.php?workbook=10_05.xlsx&amp;sheet=U0&amp;row=2026&amp;col=7&amp;number=0.0114&amp;sourceID=14","0.0114")</f>
        <v>0.0114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HYPERLINK("http://141.218.60.56/~jnz1568/getInfo.php?workbook=10_05.xlsx&amp;sheet=U0&amp;row=2027&amp;col=6&amp;number=3.3&amp;sourceID=14","3.3")</f>
        <v>3.3</v>
      </c>
      <c r="G2027" s="4" t="str">
        <f>HYPERLINK("http://141.218.60.56/~jnz1568/getInfo.php?workbook=10_05.xlsx&amp;sheet=U0&amp;row=2027&amp;col=7&amp;number=0.0113&amp;sourceID=14","0.0113")</f>
        <v>0.0113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HYPERLINK("http://141.218.60.56/~jnz1568/getInfo.php?workbook=10_05.xlsx&amp;sheet=U0&amp;row=2028&amp;col=6&amp;number=3.4&amp;sourceID=14","3.4")</f>
        <v>3.4</v>
      </c>
      <c r="G2028" s="4" t="str">
        <f>HYPERLINK("http://141.218.60.56/~jnz1568/getInfo.php?workbook=10_05.xlsx&amp;sheet=U0&amp;row=2028&amp;col=7&amp;number=0.0111&amp;sourceID=14","0.0111")</f>
        <v>0.0111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HYPERLINK("http://141.218.60.56/~jnz1568/getInfo.php?workbook=10_05.xlsx&amp;sheet=U0&amp;row=2029&amp;col=6&amp;number=3.5&amp;sourceID=14","3.5")</f>
        <v>3.5</v>
      </c>
      <c r="G2029" s="4" t="str">
        <f>HYPERLINK("http://141.218.60.56/~jnz1568/getInfo.php?workbook=10_05.xlsx&amp;sheet=U0&amp;row=2029&amp;col=7&amp;number=0.0109&amp;sourceID=14","0.0109")</f>
        <v>0.0109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HYPERLINK("http://141.218.60.56/~jnz1568/getInfo.php?workbook=10_05.xlsx&amp;sheet=U0&amp;row=2030&amp;col=6&amp;number=3.6&amp;sourceID=14","3.6")</f>
        <v>3.6</v>
      </c>
      <c r="G2030" s="4" t="str">
        <f>HYPERLINK("http://141.218.60.56/~jnz1568/getInfo.php?workbook=10_05.xlsx&amp;sheet=U0&amp;row=2030&amp;col=7&amp;number=0.0106&amp;sourceID=14","0.0106")</f>
        <v>0.0106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HYPERLINK("http://141.218.60.56/~jnz1568/getInfo.php?workbook=10_05.xlsx&amp;sheet=U0&amp;row=2031&amp;col=6&amp;number=3.7&amp;sourceID=14","3.7")</f>
        <v>3.7</v>
      </c>
      <c r="G2031" s="4" t="str">
        <f>HYPERLINK("http://141.218.60.56/~jnz1568/getInfo.php?workbook=10_05.xlsx&amp;sheet=U0&amp;row=2031&amp;col=7&amp;number=0.0103&amp;sourceID=14","0.0103")</f>
        <v>0.0103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HYPERLINK("http://141.218.60.56/~jnz1568/getInfo.php?workbook=10_05.xlsx&amp;sheet=U0&amp;row=2032&amp;col=6&amp;number=3.8&amp;sourceID=14","3.8")</f>
        <v>3.8</v>
      </c>
      <c r="G2032" s="4" t="str">
        <f>HYPERLINK("http://141.218.60.56/~jnz1568/getInfo.php?workbook=10_05.xlsx&amp;sheet=U0&amp;row=2032&amp;col=7&amp;number=0.00987&amp;sourceID=14","0.00987")</f>
        <v>0.00987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HYPERLINK("http://141.218.60.56/~jnz1568/getInfo.php?workbook=10_05.xlsx&amp;sheet=U0&amp;row=2033&amp;col=6&amp;number=3.9&amp;sourceID=14","3.9")</f>
        <v>3.9</v>
      </c>
      <c r="G2033" s="4" t="str">
        <f>HYPERLINK("http://141.218.60.56/~jnz1568/getInfo.php?workbook=10_05.xlsx&amp;sheet=U0&amp;row=2033&amp;col=7&amp;number=0.00938&amp;sourceID=14","0.00938")</f>
        <v>0.00938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HYPERLINK("http://141.218.60.56/~jnz1568/getInfo.php?workbook=10_05.xlsx&amp;sheet=U0&amp;row=2034&amp;col=6&amp;number=4&amp;sourceID=14","4")</f>
        <v>4</v>
      </c>
      <c r="G2034" s="4" t="str">
        <f>HYPERLINK("http://141.218.60.56/~jnz1568/getInfo.php?workbook=10_05.xlsx&amp;sheet=U0&amp;row=2034&amp;col=7&amp;number=0.0088&amp;sourceID=14","0.0088")</f>
        <v>0.0088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HYPERLINK("http://141.218.60.56/~jnz1568/getInfo.php?workbook=10_05.xlsx&amp;sheet=U0&amp;row=2035&amp;col=6&amp;number=4.1&amp;sourceID=14","4.1")</f>
        <v>4.1</v>
      </c>
      <c r="G2035" s="4" t="str">
        <f>HYPERLINK("http://141.218.60.56/~jnz1568/getInfo.php?workbook=10_05.xlsx&amp;sheet=U0&amp;row=2035&amp;col=7&amp;number=0.00814&amp;sourceID=14","0.00814")</f>
        <v>0.00814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HYPERLINK("http://141.218.60.56/~jnz1568/getInfo.php?workbook=10_05.xlsx&amp;sheet=U0&amp;row=2036&amp;col=6&amp;number=4.2&amp;sourceID=14","4.2")</f>
        <v>4.2</v>
      </c>
      <c r="G2036" s="4" t="str">
        <f>HYPERLINK("http://141.218.60.56/~jnz1568/getInfo.php?workbook=10_05.xlsx&amp;sheet=U0&amp;row=2036&amp;col=7&amp;number=0.00741&amp;sourceID=14","0.00741")</f>
        <v>0.00741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HYPERLINK("http://141.218.60.56/~jnz1568/getInfo.php?workbook=10_05.xlsx&amp;sheet=U0&amp;row=2037&amp;col=6&amp;number=4.3&amp;sourceID=14","4.3")</f>
        <v>4.3</v>
      </c>
      <c r="G2037" s="4" t="str">
        <f>HYPERLINK("http://141.218.60.56/~jnz1568/getInfo.php?workbook=10_05.xlsx&amp;sheet=U0&amp;row=2037&amp;col=7&amp;number=0.00665&amp;sourceID=14","0.00665")</f>
        <v>0.00665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HYPERLINK("http://141.218.60.56/~jnz1568/getInfo.php?workbook=10_05.xlsx&amp;sheet=U0&amp;row=2038&amp;col=6&amp;number=4.4&amp;sourceID=14","4.4")</f>
        <v>4.4</v>
      </c>
      <c r="G2038" s="4" t="str">
        <f>HYPERLINK("http://141.218.60.56/~jnz1568/getInfo.php?workbook=10_05.xlsx&amp;sheet=U0&amp;row=2038&amp;col=7&amp;number=0.0059&amp;sourceID=14","0.0059")</f>
        <v>0.0059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HYPERLINK("http://141.218.60.56/~jnz1568/getInfo.php?workbook=10_05.xlsx&amp;sheet=U0&amp;row=2039&amp;col=6&amp;number=4.5&amp;sourceID=14","4.5")</f>
        <v>4.5</v>
      </c>
      <c r="G2039" s="4" t="str">
        <f>HYPERLINK("http://141.218.60.56/~jnz1568/getInfo.php?workbook=10_05.xlsx&amp;sheet=U0&amp;row=2039&amp;col=7&amp;number=0.00517&amp;sourceID=14","0.00517")</f>
        <v>0.00517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HYPERLINK("http://141.218.60.56/~jnz1568/getInfo.php?workbook=10_05.xlsx&amp;sheet=U0&amp;row=2040&amp;col=6&amp;number=4.6&amp;sourceID=14","4.6")</f>
        <v>4.6</v>
      </c>
      <c r="G2040" s="4" t="str">
        <f>HYPERLINK("http://141.218.60.56/~jnz1568/getInfo.php?workbook=10_05.xlsx&amp;sheet=U0&amp;row=2040&amp;col=7&amp;number=0.00448&amp;sourceID=14","0.00448")</f>
        <v>0.00448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HYPERLINK("http://141.218.60.56/~jnz1568/getInfo.php?workbook=10_05.xlsx&amp;sheet=U0&amp;row=2041&amp;col=6&amp;number=4.7&amp;sourceID=14","4.7")</f>
        <v>4.7</v>
      </c>
      <c r="G2041" s="4" t="str">
        <f>HYPERLINK("http://141.218.60.56/~jnz1568/getInfo.php?workbook=10_05.xlsx&amp;sheet=U0&amp;row=2041&amp;col=7&amp;number=0.00382&amp;sourceID=14","0.00382")</f>
        <v>0.00382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HYPERLINK("http://141.218.60.56/~jnz1568/getInfo.php?workbook=10_05.xlsx&amp;sheet=U0&amp;row=2042&amp;col=6&amp;number=4.8&amp;sourceID=14","4.8")</f>
        <v>4.8</v>
      </c>
      <c r="G2042" s="4" t="str">
        <f>HYPERLINK("http://141.218.60.56/~jnz1568/getInfo.php?workbook=10_05.xlsx&amp;sheet=U0&amp;row=2042&amp;col=7&amp;number=0.00322&amp;sourceID=14","0.00322")</f>
        <v>0.00322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HYPERLINK("http://141.218.60.56/~jnz1568/getInfo.php?workbook=10_05.xlsx&amp;sheet=U0&amp;row=2043&amp;col=6&amp;number=4.9&amp;sourceID=14","4.9")</f>
        <v>4.9</v>
      </c>
      <c r="G2043" s="4" t="str">
        <f>HYPERLINK("http://141.218.60.56/~jnz1568/getInfo.php?workbook=10_05.xlsx&amp;sheet=U0&amp;row=2043&amp;col=7&amp;number=0.00269&amp;sourceID=14","0.00269")</f>
        <v>0.00269</v>
      </c>
    </row>
    <row r="2044" spans="1:7">
      <c r="A2044" s="3">
        <v>10</v>
      </c>
      <c r="B2044" s="3">
        <v>5</v>
      </c>
      <c r="C2044" s="3">
        <v>1</v>
      </c>
      <c r="D2044" s="3">
        <v>104</v>
      </c>
      <c r="E2044" s="3">
        <v>1</v>
      </c>
      <c r="F2044" s="4" t="str">
        <f>HYPERLINK("http://141.218.60.56/~jnz1568/getInfo.php?workbook=10_05.xlsx&amp;sheet=U0&amp;row=2044&amp;col=6&amp;number=3&amp;sourceID=14","3")</f>
        <v>3</v>
      </c>
      <c r="G2044" s="4" t="str">
        <f>HYPERLINK("http://141.218.60.56/~jnz1568/getInfo.php?workbook=10_05.xlsx&amp;sheet=U0&amp;row=2044&amp;col=7&amp;number=0.00195&amp;sourceID=14","0.00195")</f>
        <v>0.00195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HYPERLINK("http://141.218.60.56/~jnz1568/getInfo.php?workbook=10_05.xlsx&amp;sheet=U0&amp;row=2045&amp;col=6&amp;number=3.1&amp;sourceID=14","3.1")</f>
        <v>3.1</v>
      </c>
      <c r="G2045" s="4" t="str">
        <f>HYPERLINK("http://141.218.60.56/~jnz1568/getInfo.php?workbook=10_05.xlsx&amp;sheet=U0&amp;row=2045&amp;col=7&amp;number=0.00194&amp;sourceID=14","0.00194")</f>
        <v>0.00194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HYPERLINK("http://141.218.60.56/~jnz1568/getInfo.php?workbook=10_05.xlsx&amp;sheet=U0&amp;row=2046&amp;col=6&amp;number=3.2&amp;sourceID=14","3.2")</f>
        <v>3.2</v>
      </c>
      <c r="G2046" s="4" t="str">
        <f>HYPERLINK("http://141.218.60.56/~jnz1568/getInfo.php?workbook=10_05.xlsx&amp;sheet=U0&amp;row=2046&amp;col=7&amp;number=0.00192&amp;sourceID=14","0.00192")</f>
        <v>0.00192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HYPERLINK("http://141.218.60.56/~jnz1568/getInfo.php?workbook=10_05.xlsx&amp;sheet=U0&amp;row=2047&amp;col=6&amp;number=3.3&amp;sourceID=14","3.3")</f>
        <v>3.3</v>
      </c>
      <c r="G2047" s="4" t="str">
        <f>HYPERLINK("http://141.218.60.56/~jnz1568/getInfo.php?workbook=10_05.xlsx&amp;sheet=U0&amp;row=2047&amp;col=7&amp;number=0.0019&amp;sourceID=14","0.0019")</f>
        <v>0.0019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HYPERLINK("http://141.218.60.56/~jnz1568/getInfo.php?workbook=10_05.xlsx&amp;sheet=U0&amp;row=2048&amp;col=6&amp;number=3.4&amp;sourceID=14","3.4")</f>
        <v>3.4</v>
      </c>
      <c r="G2048" s="4" t="str">
        <f>HYPERLINK("http://141.218.60.56/~jnz1568/getInfo.php?workbook=10_05.xlsx&amp;sheet=U0&amp;row=2048&amp;col=7&amp;number=0.00187&amp;sourceID=14","0.00187")</f>
        <v>0.00187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HYPERLINK("http://141.218.60.56/~jnz1568/getInfo.php?workbook=10_05.xlsx&amp;sheet=U0&amp;row=2049&amp;col=6&amp;number=3.5&amp;sourceID=14","3.5")</f>
        <v>3.5</v>
      </c>
      <c r="G2049" s="4" t="str">
        <f>HYPERLINK("http://141.218.60.56/~jnz1568/getInfo.php?workbook=10_05.xlsx&amp;sheet=U0&amp;row=2049&amp;col=7&amp;number=0.00184&amp;sourceID=14","0.00184")</f>
        <v>0.00184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HYPERLINK("http://141.218.60.56/~jnz1568/getInfo.php?workbook=10_05.xlsx&amp;sheet=U0&amp;row=2050&amp;col=6&amp;number=3.6&amp;sourceID=14","3.6")</f>
        <v>3.6</v>
      </c>
      <c r="G2050" s="4" t="str">
        <f>HYPERLINK("http://141.218.60.56/~jnz1568/getInfo.php?workbook=10_05.xlsx&amp;sheet=U0&amp;row=2050&amp;col=7&amp;number=0.0018&amp;sourceID=14","0.0018")</f>
        <v>0.0018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HYPERLINK("http://141.218.60.56/~jnz1568/getInfo.php?workbook=10_05.xlsx&amp;sheet=U0&amp;row=2051&amp;col=6&amp;number=3.7&amp;sourceID=14","3.7")</f>
        <v>3.7</v>
      </c>
      <c r="G2051" s="4" t="str">
        <f>HYPERLINK("http://141.218.60.56/~jnz1568/getInfo.php?workbook=10_05.xlsx&amp;sheet=U0&amp;row=2051&amp;col=7&amp;number=0.00175&amp;sourceID=14","0.00175")</f>
        <v>0.00175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HYPERLINK("http://141.218.60.56/~jnz1568/getInfo.php?workbook=10_05.xlsx&amp;sheet=U0&amp;row=2052&amp;col=6&amp;number=3.8&amp;sourceID=14","3.8")</f>
        <v>3.8</v>
      </c>
      <c r="G2052" s="4" t="str">
        <f>HYPERLINK("http://141.218.60.56/~jnz1568/getInfo.php?workbook=10_05.xlsx&amp;sheet=U0&amp;row=2052&amp;col=7&amp;number=0.0017&amp;sourceID=14","0.0017")</f>
        <v>0.0017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HYPERLINK("http://141.218.60.56/~jnz1568/getInfo.php?workbook=10_05.xlsx&amp;sheet=U0&amp;row=2053&amp;col=6&amp;number=3.9&amp;sourceID=14","3.9")</f>
        <v>3.9</v>
      </c>
      <c r="G2053" s="4" t="str">
        <f>HYPERLINK("http://141.218.60.56/~jnz1568/getInfo.php?workbook=10_05.xlsx&amp;sheet=U0&amp;row=2053&amp;col=7&amp;number=0.00163&amp;sourceID=14","0.00163")</f>
        <v>0.00163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HYPERLINK("http://141.218.60.56/~jnz1568/getInfo.php?workbook=10_05.xlsx&amp;sheet=U0&amp;row=2054&amp;col=6&amp;number=4&amp;sourceID=14","4")</f>
        <v>4</v>
      </c>
      <c r="G2054" s="4" t="str">
        <f>HYPERLINK("http://141.218.60.56/~jnz1568/getInfo.php?workbook=10_05.xlsx&amp;sheet=U0&amp;row=2054&amp;col=7&amp;number=0.00155&amp;sourceID=14","0.00155")</f>
        <v>0.00155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HYPERLINK("http://141.218.60.56/~jnz1568/getInfo.php?workbook=10_05.xlsx&amp;sheet=U0&amp;row=2055&amp;col=6&amp;number=4.1&amp;sourceID=14","4.1")</f>
        <v>4.1</v>
      </c>
      <c r="G2055" s="4" t="str">
        <f>HYPERLINK("http://141.218.60.56/~jnz1568/getInfo.php?workbook=10_05.xlsx&amp;sheet=U0&amp;row=2055&amp;col=7&amp;number=0.00145&amp;sourceID=14","0.00145")</f>
        <v>0.00145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HYPERLINK("http://141.218.60.56/~jnz1568/getInfo.php?workbook=10_05.xlsx&amp;sheet=U0&amp;row=2056&amp;col=6&amp;number=4.2&amp;sourceID=14","4.2")</f>
        <v>4.2</v>
      </c>
      <c r="G2056" s="4" t="str">
        <f>HYPERLINK("http://141.218.60.56/~jnz1568/getInfo.php?workbook=10_05.xlsx&amp;sheet=U0&amp;row=2056&amp;col=7&amp;number=0.00135&amp;sourceID=14","0.00135")</f>
        <v>0.00135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HYPERLINK("http://141.218.60.56/~jnz1568/getInfo.php?workbook=10_05.xlsx&amp;sheet=U0&amp;row=2057&amp;col=6&amp;number=4.3&amp;sourceID=14","4.3")</f>
        <v>4.3</v>
      </c>
      <c r="G2057" s="4" t="str">
        <f>HYPERLINK("http://141.218.60.56/~jnz1568/getInfo.php?workbook=10_05.xlsx&amp;sheet=U0&amp;row=2057&amp;col=7&amp;number=0.00125&amp;sourceID=14","0.00125")</f>
        <v>0.00125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HYPERLINK("http://141.218.60.56/~jnz1568/getInfo.php?workbook=10_05.xlsx&amp;sheet=U0&amp;row=2058&amp;col=6&amp;number=4.4&amp;sourceID=14","4.4")</f>
        <v>4.4</v>
      </c>
      <c r="G2058" s="4" t="str">
        <f>HYPERLINK("http://141.218.60.56/~jnz1568/getInfo.php?workbook=10_05.xlsx&amp;sheet=U0&amp;row=2058&amp;col=7&amp;number=0.00115&amp;sourceID=14","0.00115")</f>
        <v>0.00115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HYPERLINK("http://141.218.60.56/~jnz1568/getInfo.php?workbook=10_05.xlsx&amp;sheet=U0&amp;row=2059&amp;col=6&amp;number=4.5&amp;sourceID=14","4.5")</f>
        <v>4.5</v>
      </c>
      <c r="G2059" s="4" t="str">
        <f>HYPERLINK("http://141.218.60.56/~jnz1568/getInfo.php?workbook=10_05.xlsx&amp;sheet=U0&amp;row=2059&amp;col=7&amp;number=0.00106&amp;sourceID=14","0.00106")</f>
        <v>0.00106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HYPERLINK("http://141.218.60.56/~jnz1568/getInfo.php?workbook=10_05.xlsx&amp;sheet=U0&amp;row=2060&amp;col=6&amp;number=4.6&amp;sourceID=14","4.6")</f>
        <v>4.6</v>
      </c>
      <c r="G2060" s="4" t="str">
        <f>HYPERLINK("http://141.218.60.56/~jnz1568/getInfo.php?workbook=10_05.xlsx&amp;sheet=U0&amp;row=2060&amp;col=7&amp;number=0.000982&amp;sourceID=14","0.000982")</f>
        <v>0.000982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HYPERLINK("http://141.218.60.56/~jnz1568/getInfo.php?workbook=10_05.xlsx&amp;sheet=U0&amp;row=2061&amp;col=6&amp;number=4.7&amp;sourceID=14","4.7")</f>
        <v>4.7</v>
      </c>
      <c r="G2061" s="4" t="str">
        <f>HYPERLINK("http://141.218.60.56/~jnz1568/getInfo.php?workbook=10_05.xlsx&amp;sheet=U0&amp;row=2061&amp;col=7&amp;number=0.000904&amp;sourceID=14","0.000904")</f>
        <v>0.000904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HYPERLINK("http://141.218.60.56/~jnz1568/getInfo.php?workbook=10_05.xlsx&amp;sheet=U0&amp;row=2062&amp;col=6&amp;number=4.8&amp;sourceID=14","4.8")</f>
        <v>4.8</v>
      </c>
      <c r="G2062" s="4" t="str">
        <f>HYPERLINK("http://141.218.60.56/~jnz1568/getInfo.php?workbook=10_05.xlsx&amp;sheet=U0&amp;row=2062&amp;col=7&amp;number=0.000833&amp;sourceID=14","0.000833")</f>
        <v>0.000833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HYPERLINK("http://141.218.60.56/~jnz1568/getInfo.php?workbook=10_05.xlsx&amp;sheet=U0&amp;row=2063&amp;col=6&amp;number=4.9&amp;sourceID=14","4.9")</f>
        <v>4.9</v>
      </c>
      <c r="G2063" s="4" t="str">
        <f>HYPERLINK("http://141.218.60.56/~jnz1568/getInfo.php?workbook=10_05.xlsx&amp;sheet=U0&amp;row=2063&amp;col=7&amp;number=0.000768&amp;sourceID=14","0.000768")</f>
        <v>0.000768</v>
      </c>
    </row>
    <row r="2064" spans="1:7">
      <c r="A2064" s="3">
        <v>10</v>
      </c>
      <c r="B2064" s="3">
        <v>5</v>
      </c>
      <c r="C2064" s="3">
        <v>1</v>
      </c>
      <c r="D2064" s="3">
        <v>105</v>
      </c>
      <c r="E2064" s="3">
        <v>1</v>
      </c>
      <c r="F2064" s="4" t="str">
        <f>HYPERLINK("http://141.218.60.56/~jnz1568/getInfo.php?workbook=10_05.xlsx&amp;sheet=U0&amp;row=2064&amp;col=6&amp;number=3&amp;sourceID=14","3")</f>
        <v>3</v>
      </c>
      <c r="G2064" s="4" t="str">
        <f>HYPERLINK("http://141.218.60.56/~jnz1568/getInfo.php?workbook=10_05.xlsx&amp;sheet=U0&amp;row=2064&amp;col=7&amp;number=0.00417&amp;sourceID=14","0.00417")</f>
        <v>0.00417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HYPERLINK("http://141.218.60.56/~jnz1568/getInfo.php?workbook=10_05.xlsx&amp;sheet=U0&amp;row=2065&amp;col=6&amp;number=3.1&amp;sourceID=14","3.1")</f>
        <v>3.1</v>
      </c>
      <c r="G2065" s="4" t="str">
        <f>HYPERLINK("http://141.218.60.56/~jnz1568/getInfo.php?workbook=10_05.xlsx&amp;sheet=U0&amp;row=2065&amp;col=7&amp;number=0.00414&amp;sourceID=14","0.00414")</f>
        <v>0.00414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HYPERLINK("http://141.218.60.56/~jnz1568/getInfo.php?workbook=10_05.xlsx&amp;sheet=U0&amp;row=2066&amp;col=6&amp;number=3.2&amp;sourceID=14","3.2")</f>
        <v>3.2</v>
      </c>
      <c r="G2066" s="4" t="str">
        <f>HYPERLINK("http://141.218.60.56/~jnz1568/getInfo.php?workbook=10_05.xlsx&amp;sheet=U0&amp;row=2066&amp;col=7&amp;number=0.00409&amp;sourceID=14","0.00409")</f>
        <v>0.00409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HYPERLINK("http://141.218.60.56/~jnz1568/getInfo.php?workbook=10_05.xlsx&amp;sheet=U0&amp;row=2067&amp;col=6&amp;number=3.3&amp;sourceID=14","3.3")</f>
        <v>3.3</v>
      </c>
      <c r="G2067" s="4" t="str">
        <f>HYPERLINK("http://141.218.60.56/~jnz1568/getInfo.php?workbook=10_05.xlsx&amp;sheet=U0&amp;row=2067&amp;col=7&amp;number=0.00404&amp;sourceID=14","0.00404")</f>
        <v>0.00404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HYPERLINK("http://141.218.60.56/~jnz1568/getInfo.php?workbook=10_05.xlsx&amp;sheet=U0&amp;row=2068&amp;col=6&amp;number=3.4&amp;sourceID=14","3.4")</f>
        <v>3.4</v>
      </c>
      <c r="G2068" s="4" t="str">
        <f>HYPERLINK("http://141.218.60.56/~jnz1568/getInfo.php?workbook=10_05.xlsx&amp;sheet=U0&amp;row=2068&amp;col=7&amp;number=0.00397&amp;sourceID=14","0.00397")</f>
        <v>0.00397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HYPERLINK("http://141.218.60.56/~jnz1568/getInfo.php?workbook=10_05.xlsx&amp;sheet=U0&amp;row=2069&amp;col=6&amp;number=3.5&amp;sourceID=14","3.5")</f>
        <v>3.5</v>
      </c>
      <c r="G2069" s="4" t="str">
        <f>HYPERLINK("http://141.218.60.56/~jnz1568/getInfo.php?workbook=10_05.xlsx&amp;sheet=U0&amp;row=2069&amp;col=7&amp;number=0.00389&amp;sourceID=14","0.00389")</f>
        <v>0.00389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HYPERLINK("http://141.218.60.56/~jnz1568/getInfo.php?workbook=10_05.xlsx&amp;sheet=U0&amp;row=2070&amp;col=6&amp;number=3.6&amp;sourceID=14","3.6")</f>
        <v>3.6</v>
      </c>
      <c r="G2070" s="4" t="str">
        <f>HYPERLINK("http://141.218.60.56/~jnz1568/getInfo.php?workbook=10_05.xlsx&amp;sheet=U0&amp;row=2070&amp;col=7&amp;number=0.00378&amp;sourceID=14","0.00378")</f>
        <v>0.00378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HYPERLINK("http://141.218.60.56/~jnz1568/getInfo.php?workbook=10_05.xlsx&amp;sheet=U0&amp;row=2071&amp;col=6&amp;number=3.7&amp;sourceID=14","3.7")</f>
        <v>3.7</v>
      </c>
      <c r="G2071" s="4" t="str">
        <f>HYPERLINK("http://141.218.60.56/~jnz1568/getInfo.php?workbook=10_05.xlsx&amp;sheet=U0&amp;row=2071&amp;col=7&amp;number=0.00366&amp;sourceID=14","0.00366")</f>
        <v>0.00366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HYPERLINK("http://141.218.60.56/~jnz1568/getInfo.php?workbook=10_05.xlsx&amp;sheet=U0&amp;row=2072&amp;col=6&amp;number=3.8&amp;sourceID=14","3.8")</f>
        <v>3.8</v>
      </c>
      <c r="G2072" s="4" t="str">
        <f>HYPERLINK("http://141.218.60.56/~jnz1568/getInfo.php?workbook=10_05.xlsx&amp;sheet=U0&amp;row=2072&amp;col=7&amp;number=0.00352&amp;sourceID=14","0.00352")</f>
        <v>0.00352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HYPERLINK("http://141.218.60.56/~jnz1568/getInfo.php?workbook=10_05.xlsx&amp;sheet=U0&amp;row=2073&amp;col=6&amp;number=3.9&amp;sourceID=14","3.9")</f>
        <v>3.9</v>
      </c>
      <c r="G2073" s="4" t="str">
        <f>HYPERLINK("http://141.218.60.56/~jnz1568/getInfo.php?workbook=10_05.xlsx&amp;sheet=U0&amp;row=2073&amp;col=7&amp;number=0.00335&amp;sourceID=14","0.00335")</f>
        <v>0.00335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HYPERLINK("http://141.218.60.56/~jnz1568/getInfo.php?workbook=10_05.xlsx&amp;sheet=U0&amp;row=2074&amp;col=6&amp;number=4&amp;sourceID=14","4")</f>
        <v>4</v>
      </c>
      <c r="G2074" s="4" t="str">
        <f>HYPERLINK("http://141.218.60.56/~jnz1568/getInfo.php?workbook=10_05.xlsx&amp;sheet=U0&amp;row=2074&amp;col=7&amp;number=0.00317&amp;sourceID=14","0.00317")</f>
        <v>0.00317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HYPERLINK("http://141.218.60.56/~jnz1568/getInfo.php?workbook=10_05.xlsx&amp;sheet=U0&amp;row=2075&amp;col=6&amp;number=4.1&amp;sourceID=14","4.1")</f>
        <v>4.1</v>
      </c>
      <c r="G2075" s="4" t="str">
        <f>HYPERLINK("http://141.218.60.56/~jnz1568/getInfo.php?workbook=10_05.xlsx&amp;sheet=U0&amp;row=2075&amp;col=7&amp;number=0.00298&amp;sourceID=14","0.00298")</f>
        <v>0.00298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HYPERLINK("http://141.218.60.56/~jnz1568/getInfo.php?workbook=10_05.xlsx&amp;sheet=U0&amp;row=2076&amp;col=6&amp;number=4.2&amp;sourceID=14","4.2")</f>
        <v>4.2</v>
      </c>
      <c r="G2076" s="4" t="str">
        <f>HYPERLINK("http://141.218.60.56/~jnz1568/getInfo.php?workbook=10_05.xlsx&amp;sheet=U0&amp;row=2076&amp;col=7&amp;number=0.0028&amp;sourceID=14","0.0028")</f>
        <v>0.0028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HYPERLINK("http://141.218.60.56/~jnz1568/getInfo.php?workbook=10_05.xlsx&amp;sheet=U0&amp;row=2077&amp;col=6&amp;number=4.3&amp;sourceID=14","4.3")</f>
        <v>4.3</v>
      </c>
      <c r="G2077" s="4" t="str">
        <f>HYPERLINK("http://141.218.60.56/~jnz1568/getInfo.php?workbook=10_05.xlsx&amp;sheet=U0&amp;row=2077&amp;col=7&amp;number=0.00264&amp;sourceID=14","0.00264")</f>
        <v>0.00264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HYPERLINK("http://141.218.60.56/~jnz1568/getInfo.php?workbook=10_05.xlsx&amp;sheet=U0&amp;row=2078&amp;col=6&amp;number=4.4&amp;sourceID=14","4.4")</f>
        <v>4.4</v>
      </c>
      <c r="G2078" s="4" t="str">
        <f>HYPERLINK("http://141.218.60.56/~jnz1568/getInfo.php?workbook=10_05.xlsx&amp;sheet=U0&amp;row=2078&amp;col=7&amp;number=0.00248&amp;sourceID=14","0.00248")</f>
        <v>0.00248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HYPERLINK("http://141.218.60.56/~jnz1568/getInfo.php?workbook=10_05.xlsx&amp;sheet=U0&amp;row=2079&amp;col=6&amp;number=4.5&amp;sourceID=14","4.5")</f>
        <v>4.5</v>
      </c>
      <c r="G2079" s="4" t="str">
        <f>HYPERLINK("http://141.218.60.56/~jnz1568/getInfo.php?workbook=10_05.xlsx&amp;sheet=U0&amp;row=2079&amp;col=7&amp;number=0.00232&amp;sourceID=14","0.00232")</f>
        <v>0.00232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HYPERLINK("http://141.218.60.56/~jnz1568/getInfo.php?workbook=10_05.xlsx&amp;sheet=U0&amp;row=2080&amp;col=6&amp;number=4.6&amp;sourceID=14","4.6")</f>
        <v>4.6</v>
      </c>
      <c r="G2080" s="4" t="str">
        <f>HYPERLINK("http://141.218.60.56/~jnz1568/getInfo.php?workbook=10_05.xlsx&amp;sheet=U0&amp;row=2080&amp;col=7&amp;number=0.00214&amp;sourceID=14","0.00214")</f>
        <v>0.00214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HYPERLINK("http://141.218.60.56/~jnz1568/getInfo.php?workbook=10_05.xlsx&amp;sheet=U0&amp;row=2081&amp;col=6&amp;number=4.7&amp;sourceID=14","4.7")</f>
        <v>4.7</v>
      </c>
      <c r="G2081" s="4" t="str">
        <f>HYPERLINK("http://141.218.60.56/~jnz1568/getInfo.php?workbook=10_05.xlsx&amp;sheet=U0&amp;row=2081&amp;col=7&amp;number=0.00197&amp;sourceID=14","0.00197")</f>
        <v>0.00197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HYPERLINK("http://141.218.60.56/~jnz1568/getInfo.php?workbook=10_05.xlsx&amp;sheet=U0&amp;row=2082&amp;col=6&amp;number=4.8&amp;sourceID=14","4.8")</f>
        <v>4.8</v>
      </c>
      <c r="G2082" s="4" t="str">
        <f>HYPERLINK("http://141.218.60.56/~jnz1568/getInfo.php?workbook=10_05.xlsx&amp;sheet=U0&amp;row=2082&amp;col=7&amp;number=0.00183&amp;sourceID=14","0.00183")</f>
        <v>0.00183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HYPERLINK("http://141.218.60.56/~jnz1568/getInfo.php?workbook=10_05.xlsx&amp;sheet=U0&amp;row=2083&amp;col=6&amp;number=4.9&amp;sourceID=14","4.9")</f>
        <v>4.9</v>
      </c>
      <c r="G2083" s="4" t="str">
        <f>HYPERLINK("http://141.218.60.56/~jnz1568/getInfo.php?workbook=10_05.xlsx&amp;sheet=U0&amp;row=2083&amp;col=7&amp;number=0.00172&amp;sourceID=14","0.00172")</f>
        <v>0.00172</v>
      </c>
    </row>
    <row r="2084" spans="1:7">
      <c r="A2084" s="3">
        <v>10</v>
      </c>
      <c r="B2084" s="3">
        <v>5</v>
      </c>
      <c r="C2084" s="3">
        <v>1</v>
      </c>
      <c r="D2084" s="3">
        <v>106</v>
      </c>
      <c r="E2084" s="3">
        <v>1</v>
      </c>
      <c r="F2084" s="4" t="str">
        <f>HYPERLINK("http://141.218.60.56/~jnz1568/getInfo.php?workbook=10_05.xlsx&amp;sheet=U0&amp;row=2084&amp;col=6&amp;number=3&amp;sourceID=14","3")</f>
        <v>3</v>
      </c>
      <c r="G2084" s="4" t="str">
        <f>HYPERLINK("http://141.218.60.56/~jnz1568/getInfo.php?workbook=10_05.xlsx&amp;sheet=U0&amp;row=2084&amp;col=7&amp;number=0.00851&amp;sourceID=14","0.00851")</f>
        <v>0.00851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HYPERLINK("http://141.218.60.56/~jnz1568/getInfo.php?workbook=10_05.xlsx&amp;sheet=U0&amp;row=2085&amp;col=6&amp;number=3.1&amp;sourceID=14","3.1")</f>
        <v>3.1</v>
      </c>
      <c r="G2085" s="4" t="str">
        <f>HYPERLINK("http://141.218.60.56/~jnz1568/getInfo.php?workbook=10_05.xlsx&amp;sheet=U0&amp;row=2085&amp;col=7&amp;number=0.00841&amp;sourceID=14","0.00841")</f>
        <v>0.00841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HYPERLINK("http://141.218.60.56/~jnz1568/getInfo.php?workbook=10_05.xlsx&amp;sheet=U0&amp;row=2086&amp;col=6&amp;number=3.2&amp;sourceID=14","3.2")</f>
        <v>3.2</v>
      </c>
      <c r="G2086" s="4" t="str">
        <f>HYPERLINK("http://141.218.60.56/~jnz1568/getInfo.php?workbook=10_05.xlsx&amp;sheet=U0&amp;row=2086&amp;col=7&amp;number=0.00829&amp;sourceID=14","0.00829")</f>
        <v>0.00829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HYPERLINK("http://141.218.60.56/~jnz1568/getInfo.php?workbook=10_05.xlsx&amp;sheet=U0&amp;row=2087&amp;col=6&amp;number=3.3&amp;sourceID=14","3.3")</f>
        <v>3.3</v>
      </c>
      <c r="G2087" s="4" t="str">
        <f>HYPERLINK("http://141.218.60.56/~jnz1568/getInfo.php?workbook=10_05.xlsx&amp;sheet=U0&amp;row=2087&amp;col=7&amp;number=0.00813&amp;sourceID=14","0.00813")</f>
        <v>0.00813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HYPERLINK("http://141.218.60.56/~jnz1568/getInfo.php?workbook=10_05.xlsx&amp;sheet=U0&amp;row=2088&amp;col=6&amp;number=3.4&amp;sourceID=14","3.4")</f>
        <v>3.4</v>
      </c>
      <c r="G2088" s="4" t="str">
        <f>HYPERLINK("http://141.218.60.56/~jnz1568/getInfo.php?workbook=10_05.xlsx&amp;sheet=U0&amp;row=2088&amp;col=7&amp;number=0.00794&amp;sourceID=14","0.00794")</f>
        <v>0.00794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HYPERLINK("http://141.218.60.56/~jnz1568/getInfo.php?workbook=10_05.xlsx&amp;sheet=U0&amp;row=2089&amp;col=6&amp;number=3.5&amp;sourceID=14","3.5")</f>
        <v>3.5</v>
      </c>
      <c r="G2089" s="4" t="str">
        <f>HYPERLINK("http://141.218.60.56/~jnz1568/getInfo.php?workbook=10_05.xlsx&amp;sheet=U0&amp;row=2089&amp;col=7&amp;number=0.00771&amp;sourceID=14","0.00771")</f>
        <v>0.00771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HYPERLINK("http://141.218.60.56/~jnz1568/getInfo.php?workbook=10_05.xlsx&amp;sheet=U0&amp;row=2090&amp;col=6&amp;number=3.6&amp;sourceID=14","3.6")</f>
        <v>3.6</v>
      </c>
      <c r="G2090" s="4" t="str">
        <f>HYPERLINK("http://141.218.60.56/~jnz1568/getInfo.php?workbook=10_05.xlsx&amp;sheet=U0&amp;row=2090&amp;col=7&amp;number=0.00743&amp;sourceID=14","0.00743")</f>
        <v>0.00743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HYPERLINK("http://141.218.60.56/~jnz1568/getInfo.php?workbook=10_05.xlsx&amp;sheet=U0&amp;row=2091&amp;col=6&amp;number=3.7&amp;sourceID=14","3.7")</f>
        <v>3.7</v>
      </c>
      <c r="G2091" s="4" t="str">
        <f>HYPERLINK("http://141.218.60.56/~jnz1568/getInfo.php?workbook=10_05.xlsx&amp;sheet=U0&amp;row=2091&amp;col=7&amp;number=0.0071&amp;sourceID=14","0.0071")</f>
        <v>0.0071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HYPERLINK("http://141.218.60.56/~jnz1568/getInfo.php?workbook=10_05.xlsx&amp;sheet=U0&amp;row=2092&amp;col=6&amp;number=3.8&amp;sourceID=14","3.8")</f>
        <v>3.8</v>
      </c>
      <c r="G2092" s="4" t="str">
        <f>HYPERLINK("http://141.218.60.56/~jnz1568/getInfo.php?workbook=10_05.xlsx&amp;sheet=U0&amp;row=2092&amp;col=7&amp;number=0.00672&amp;sourceID=14","0.00672")</f>
        <v>0.00672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HYPERLINK("http://141.218.60.56/~jnz1568/getInfo.php?workbook=10_05.xlsx&amp;sheet=U0&amp;row=2093&amp;col=6&amp;number=3.9&amp;sourceID=14","3.9")</f>
        <v>3.9</v>
      </c>
      <c r="G2093" s="4" t="str">
        <f>HYPERLINK("http://141.218.60.56/~jnz1568/getInfo.php?workbook=10_05.xlsx&amp;sheet=U0&amp;row=2093&amp;col=7&amp;number=0.00631&amp;sourceID=14","0.00631")</f>
        <v>0.00631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HYPERLINK("http://141.218.60.56/~jnz1568/getInfo.php?workbook=10_05.xlsx&amp;sheet=U0&amp;row=2094&amp;col=6&amp;number=4&amp;sourceID=14","4")</f>
        <v>4</v>
      </c>
      <c r="G2094" s="4" t="str">
        <f>HYPERLINK("http://141.218.60.56/~jnz1568/getInfo.php?workbook=10_05.xlsx&amp;sheet=U0&amp;row=2094&amp;col=7&amp;number=0.00588&amp;sourceID=14","0.00588")</f>
        <v>0.00588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HYPERLINK("http://141.218.60.56/~jnz1568/getInfo.php?workbook=10_05.xlsx&amp;sheet=U0&amp;row=2095&amp;col=6&amp;number=4.1&amp;sourceID=14","4.1")</f>
        <v>4.1</v>
      </c>
      <c r="G2095" s="4" t="str">
        <f>HYPERLINK("http://141.218.60.56/~jnz1568/getInfo.php?workbook=10_05.xlsx&amp;sheet=U0&amp;row=2095&amp;col=7&amp;number=0.00549&amp;sourceID=14","0.00549")</f>
        <v>0.00549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HYPERLINK("http://141.218.60.56/~jnz1568/getInfo.php?workbook=10_05.xlsx&amp;sheet=U0&amp;row=2096&amp;col=6&amp;number=4.2&amp;sourceID=14","4.2")</f>
        <v>4.2</v>
      </c>
      <c r="G2096" s="4" t="str">
        <f>HYPERLINK("http://141.218.60.56/~jnz1568/getInfo.php?workbook=10_05.xlsx&amp;sheet=U0&amp;row=2096&amp;col=7&amp;number=0.00513&amp;sourceID=14","0.00513")</f>
        <v>0.00513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HYPERLINK("http://141.218.60.56/~jnz1568/getInfo.php?workbook=10_05.xlsx&amp;sheet=U0&amp;row=2097&amp;col=6&amp;number=4.3&amp;sourceID=14","4.3")</f>
        <v>4.3</v>
      </c>
      <c r="G2097" s="4" t="str">
        <f>HYPERLINK("http://141.218.60.56/~jnz1568/getInfo.php?workbook=10_05.xlsx&amp;sheet=U0&amp;row=2097&amp;col=7&amp;number=0.00479&amp;sourceID=14","0.00479")</f>
        <v>0.00479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HYPERLINK("http://141.218.60.56/~jnz1568/getInfo.php?workbook=10_05.xlsx&amp;sheet=U0&amp;row=2098&amp;col=6&amp;number=4.4&amp;sourceID=14","4.4")</f>
        <v>4.4</v>
      </c>
      <c r="G2098" s="4" t="str">
        <f>HYPERLINK("http://141.218.60.56/~jnz1568/getInfo.php?workbook=10_05.xlsx&amp;sheet=U0&amp;row=2098&amp;col=7&amp;number=0.00444&amp;sourceID=14","0.00444")</f>
        <v>0.00444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HYPERLINK("http://141.218.60.56/~jnz1568/getInfo.php?workbook=10_05.xlsx&amp;sheet=U0&amp;row=2099&amp;col=6&amp;number=4.5&amp;sourceID=14","4.5")</f>
        <v>4.5</v>
      </c>
      <c r="G2099" s="4" t="str">
        <f>HYPERLINK("http://141.218.60.56/~jnz1568/getInfo.php?workbook=10_05.xlsx&amp;sheet=U0&amp;row=2099&amp;col=7&amp;number=0.00406&amp;sourceID=14","0.00406")</f>
        <v>0.00406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HYPERLINK("http://141.218.60.56/~jnz1568/getInfo.php?workbook=10_05.xlsx&amp;sheet=U0&amp;row=2100&amp;col=6&amp;number=4.6&amp;sourceID=14","4.6")</f>
        <v>4.6</v>
      </c>
      <c r="G2100" s="4" t="str">
        <f>HYPERLINK("http://141.218.60.56/~jnz1568/getInfo.php?workbook=10_05.xlsx&amp;sheet=U0&amp;row=2100&amp;col=7&amp;number=0.00369&amp;sourceID=14","0.00369")</f>
        <v>0.00369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HYPERLINK("http://141.218.60.56/~jnz1568/getInfo.php?workbook=10_05.xlsx&amp;sheet=U0&amp;row=2101&amp;col=6&amp;number=4.7&amp;sourceID=14","4.7")</f>
        <v>4.7</v>
      </c>
      <c r="G2101" s="4" t="str">
        <f>HYPERLINK("http://141.218.60.56/~jnz1568/getInfo.php?workbook=10_05.xlsx&amp;sheet=U0&amp;row=2101&amp;col=7&amp;number=0.00338&amp;sourceID=14","0.00338")</f>
        <v>0.00338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HYPERLINK("http://141.218.60.56/~jnz1568/getInfo.php?workbook=10_05.xlsx&amp;sheet=U0&amp;row=2102&amp;col=6&amp;number=4.8&amp;sourceID=14","4.8")</f>
        <v>4.8</v>
      </c>
      <c r="G2102" s="4" t="str">
        <f>HYPERLINK("http://141.218.60.56/~jnz1568/getInfo.php?workbook=10_05.xlsx&amp;sheet=U0&amp;row=2102&amp;col=7&amp;number=0.00312&amp;sourceID=14","0.00312")</f>
        <v>0.00312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HYPERLINK("http://141.218.60.56/~jnz1568/getInfo.php?workbook=10_05.xlsx&amp;sheet=U0&amp;row=2103&amp;col=6&amp;number=4.9&amp;sourceID=14","4.9")</f>
        <v>4.9</v>
      </c>
      <c r="G2103" s="4" t="str">
        <f>HYPERLINK("http://141.218.60.56/~jnz1568/getInfo.php?workbook=10_05.xlsx&amp;sheet=U0&amp;row=2103&amp;col=7&amp;number=0.00289&amp;sourceID=14","0.00289")</f>
        <v>0.00289</v>
      </c>
    </row>
    <row r="2104" spans="1:7">
      <c r="A2104" s="3">
        <v>10</v>
      </c>
      <c r="B2104" s="3">
        <v>5</v>
      </c>
      <c r="C2104" s="3">
        <v>1</v>
      </c>
      <c r="D2104" s="3">
        <v>107</v>
      </c>
      <c r="E2104" s="3">
        <v>1</v>
      </c>
      <c r="F2104" s="4" t="str">
        <f>HYPERLINK("http://141.218.60.56/~jnz1568/getInfo.php?workbook=10_05.xlsx&amp;sheet=U0&amp;row=2104&amp;col=6&amp;number=3&amp;sourceID=14","3")</f>
        <v>3</v>
      </c>
      <c r="G2104" s="4" t="str">
        <f>HYPERLINK("http://141.218.60.56/~jnz1568/getInfo.php?workbook=10_05.xlsx&amp;sheet=U0&amp;row=2104&amp;col=7&amp;number=0.00896&amp;sourceID=14","0.00896")</f>
        <v>0.00896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HYPERLINK("http://141.218.60.56/~jnz1568/getInfo.php?workbook=10_05.xlsx&amp;sheet=U0&amp;row=2105&amp;col=6&amp;number=3.1&amp;sourceID=14","3.1")</f>
        <v>3.1</v>
      </c>
      <c r="G2105" s="4" t="str">
        <f>HYPERLINK("http://141.218.60.56/~jnz1568/getInfo.php?workbook=10_05.xlsx&amp;sheet=U0&amp;row=2105&amp;col=7&amp;number=0.00888&amp;sourceID=14","0.00888")</f>
        <v>0.00888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HYPERLINK("http://141.218.60.56/~jnz1568/getInfo.php?workbook=10_05.xlsx&amp;sheet=U0&amp;row=2106&amp;col=6&amp;number=3.2&amp;sourceID=14","3.2")</f>
        <v>3.2</v>
      </c>
      <c r="G2106" s="4" t="str">
        <f>HYPERLINK("http://141.218.60.56/~jnz1568/getInfo.php?workbook=10_05.xlsx&amp;sheet=U0&amp;row=2106&amp;col=7&amp;number=0.00878&amp;sourceID=14","0.00878")</f>
        <v>0.00878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HYPERLINK("http://141.218.60.56/~jnz1568/getInfo.php?workbook=10_05.xlsx&amp;sheet=U0&amp;row=2107&amp;col=6&amp;number=3.3&amp;sourceID=14","3.3")</f>
        <v>3.3</v>
      </c>
      <c r="G2107" s="4" t="str">
        <f>HYPERLINK("http://141.218.60.56/~jnz1568/getInfo.php?workbook=10_05.xlsx&amp;sheet=U0&amp;row=2107&amp;col=7&amp;number=0.00865&amp;sourceID=14","0.00865")</f>
        <v>0.00865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HYPERLINK("http://141.218.60.56/~jnz1568/getInfo.php?workbook=10_05.xlsx&amp;sheet=U0&amp;row=2108&amp;col=6&amp;number=3.4&amp;sourceID=14","3.4")</f>
        <v>3.4</v>
      </c>
      <c r="G2108" s="4" t="str">
        <f>HYPERLINK("http://141.218.60.56/~jnz1568/getInfo.php?workbook=10_05.xlsx&amp;sheet=U0&amp;row=2108&amp;col=7&amp;number=0.00849&amp;sourceID=14","0.00849")</f>
        <v>0.00849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HYPERLINK("http://141.218.60.56/~jnz1568/getInfo.php?workbook=10_05.xlsx&amp;sheet=U0&amp;row=2109&amp;col=6&amp;number=3.5&amp;sourceID=14","3.5")</f>
        <v>3.5</v>
      </c>
      <c r="G2109" s="4" t="str">
        <f>HYPERLINK("http://141.218.60.56/~jnz1568/getInfo.php?workbook=10_05.xlsx&amp;sheet=U0&amp;row=2109&amp;col=7&amp;number=0.00829&amp;sourceID=14","0.00829")</f>
        <v>0.00829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HYPERLINK("http://141.218.60.56/~jnz1568/getInfo.php?workbook=10_05.xlsx&amp;sheet=U0&amp;row=2110&amp;col=6&amp;number=3.6&amp;sourceID=14","3.6")</f>
        <v>3.6</v>
      </c>
      <c r="G2110" s="4" t="str">
        <f>HYPERLINK("http://141.218.60.56/~jnz1568/getInfo.php?workbook=10_05.xlsx&amp;sheet=U0&amp;row=2110&amp;col=7&amp;number=0.00805&amp;sourceID=14","0.00805")</f>
        <v>0.00805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HYPERLINK("http://141.218.60.56/~jnz1568/getInfo.php?workbook=10_05.xlsx&amp;sheet=U0&amp;row=2111&amp;col=6&amp;number=3.7&amp;sourceID=14","3.7")</f>
        <v>3.7</v>
      </c>
      <c r="G2111" s="4" t="str">
        <f>HYPERLINK("http://141.218.60.56/~jnz1568/getInfo.php?workbook=10_05.xlsx&amp;sheet=U0&amp;row=2111&amp;col=7&amp;number=0.00776&amp;sourceID=14","0.00776")</f>
        <v>0.00776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HYPERLINK("http://141.218.60.56/~jnz1568/getInfo.php?workbook=10_05.xlsx&amp;sheet=U0&amp;row=2112&amp;col=6&amp;number=3.8&amp;sourceID=14","3.8")</f>
        <v>3.8</v>
      </c>
      <c r="G2112" s="4" t="str">
        <f>HYPERLINK("http://141.218.60.56/~jnz1568/getInfo.php?workbook=10_05.xlsx&amp;sheet=U0&amp;row=2112&amp;col=7&amp;number=0.00741&amp;sourceID=14","0.00741")</f>
        <v>0.00741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HYPERLINK("http://141.218.60.56/~jnz1568/getInfo.php?workbook=10_05.xlsx&amp;sheet=U0&amp;row=2113&amp;col=6&amp;number=3.9&amp;sourceID=14","3.9")</f>
        <v>3.9</v>
      </c>
      <c r="G2113" s="4" t="str">
        <f>HYPERLINK("http://141.218.60.56/~jnz1568/getInfo.php?workbook=10_05.xlsx&amp;sheet=U0&amp;row=2113&amp;col=7&amp;number=0.007&amp;sourceID=14","0.007")</f>
        <v>0.007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HYPERLINK("http://141.218.60.56/~jnz1568/getInfo.php?workbook=10_05.xlsx&amp;sheet=U0&amp;row=2114&amp;col=6&amp;number=4&amp;sourceID=14","4")</f>
        <v>4</v>
      </c>
      <c r="G2114" s="4" t="str">
        <f>HYPERLINK("http://141.218.60.56/~jnz1568/getInfo.php?workbook=10_05.xlsx&amp;sheet=U0&amp;row=2114&amp;col=7&amp;number=0.00653&amp;sourceID=14","0.00653")</f>
        <v>0.00653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HYPERLINK("http://141.218.60.56/~jnz1568/getInfo.php?workbook=10_05.xlsx&amp;sheet=U0&amp;row=2115&amp;col=6&amp;number=4.1&amp;sourceID=14","4.1")</f>
        <v>4.1</v>
      </c>
      <c r="G2115" s="4" t="str">
        <f>HYPERLINK("http://141.218.60.56/~jnz1568/getInfo.php?workbook=10_05.xlsx&amp;sheet=U0&amp;row=2115&amp;col=7&amp;number=0.00602&amp;sourceID=14","0.00602")</f>
        <v>0.00602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HYPERLINK("http://141.218.60.56/~jnz1568/getInfo.php?workbook=10_05.xlsx&amp;sheet=U0&amp;row=2116&amp;col=6&amp;number=4.2&amp;sourceID=14","4.2")</f>
        <v>4.2</v>
      </c>
      <c r="G2116" s="4" t="str">
        <f>HYPERLINK("http://141.218.60.56/~jnz1568/getInfo.php?workbook=10_05.xlsx&amp;sheet=U0&amp;row=2116&amp;col=7&amp;number=0.00551&amp;sourceID=14","0.00551")</f>
        <v>0.00551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HYPERLINK("http://141.218.60.56/~jnz1568/getInfo.php?workbook=10_05.xlsx&amp;sheet=U0&amp;row=2117&amp;col=6&amp;number=4.3&amp;sourceID=14","4.3")</f>
        <v>4.3</v>
      </c>
      <c r="G2117" s="4" t="str">
        <f>HYPERLINK("http://141.218.60.56/~jnz1568/getInfo.php?workbook=10_05.xlsx&amp;sheet=U0&amp;row=2117&amp;col=7&amp;number=0.00505&amp;sourceID=14","0.00505")</f>
        <v>0.00505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HYPERLINK("http://141.218.60.56/~jnz1568/getInfo.php?workbook=10_05.xlsx&amp;sheet=U0&amp;row=2118&amp;col=6&amp;number=4.4&amp;sourceID=14","4.4")</f>
        <v>4.4</v>
      </c>
      <c r="G2118" s="4" t="str">
        <f>HYPERLINK("http://141.218.60.56/~jnz1568/getInfo.php?workbook=10_05.xlsx&amp;sheet=U0&amp;row=2118&amp;col=7&amp;number=0.00463&amp;sourceID=14","0.00463")</f>
        <v>0.00463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HYPERLINK("http://141.218.60.56/~jnz1568/getInfo.php?workbook=10_05.xlsx&amp;sheet=U0&amp;row=2119&amp;col=6&amp;number=4.5&amp;sourceID=14","4.5")</f>
        <v>4.5</v>
      </c>
      <c r="G2119" s="4" t="str">
        <f>HYPERLINK("http://141.218.60.56/~jnz1568/getInfo.php?workbook=10_05.xlsx&amp;sheet=U0&amp;row=2119&amp;col=7&amp;number=0.00426&amp;sourceID=14","0.00426")</f>
        <v>0.00426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HYPERLINK("http://141.218.60.56/~jnz1568/getInfo.php?workbook=10_05.xlsx&amp;sheet=U0&amp;row=2120&amp;col=6&amp;number=4.6&amp;sourceID=14","4.6")</f>
        <v>4.6</v>
      </c>
      <c r="G2120" s="4" t="str">
        <f>HYPERLINK("http://141.218.60.56/~jnz1568/getInfo.php?workbook=10_05.xlsx&amp;sheet=U0&amp;row=2120&amp;col=7&amp;number=0.00387&amp;sourceID=14","0.00387")</f>
        <v>0.00387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HYPERLINK("http://141.218.60.56/~jnz1568/getInfo.php?workbook=10_05.xlsx&amp;sheet=U0&amp;row=2121&amp;col=6&amp;number=4.7&amp;sourceID=14","4.7")</f>
        <v>4.7</v>
      </c>
      <c r="G2121" s="4" t="str">
        <f>HYPERLINK("http://141.218.60.56/~jnz1568/getInfo.php?workbook=10_05.xlsx&amp;sheet=U0&amp;row=2121&amp;col=7&amp;number=0.0035&amp;sourceID=14","0.0035")</f>
        <v>0.0035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HYPERLINK("http://141.218.60.56/~jnz1568/getInfo.php?workbook=10_05.xlsx&amp;sheet=U0&amp;row=2122&amp;col=6&amp;number=4.8&amp;sourceID=14","4.8")</f>
        <v>4.8</v>
      </c>
      <c r="G2122" s="4" t="str">
        <f>HYPERLINK("http://141.218.60.56/~jnz1568/getInfo.php?workbook=10_05.xlsx&amp;sheet=U0&amp;row=2122&amp;col=7&amp;number=0.00316&amp;sourceID=14","0.00316")</f>
        <v>0.00316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HYPERLINK("http://141.218.60.56/~jnz1568/getInfo.php?workbook=10_05.xlsx&amp;sheet=U0&amp;row=2123&amp;col=6&amp;number=4.9&amp;sourceID=14","4.9")</f>
        <v>4.9</v>
      </c>
      <c r="G2123" s="4" t="str">
        <f>HYPERLINK("http://141.218.60.56/~jnz1568/getInfo.php?workbook=10_05.xlsx&amp;sheet=U0&amp;row=2123&amp;col=7&amp;number=0.00288&amp;sourceID=14","0.00288")</f>
        <v>0.00288</v>
      </c>
    </row>
    <row r="2124" spans="1:7">
      <c r="A2124" s="3">
        <v>10</v>
      </c>
      <c r="B2124" s="3">
        <v>5</v>
      </c>
      <c r="C2124" s="3">
        <v>1</v>
      </c>
      <c r="D2124" s="3">
        <v>108</v>
      </c>
      <c r="E2124" s="3">
        <v>1</v>
      </c>
      <c r="F2124" s="4" t="str">
        <f>HYPERLINK("http://141.218.60.56/~jnz1568/getInfo.php?workbook=10_05.xlsx&amp;sheet=U0&amp;row=2124&amp;col=6&amp;number=3&amp;sourceID=14","3")</f>
        <v>3</v>
      </c>
      <c r="G2124" s="4" t="str">
        <f>HYPERLINK("http://141.218.60.56/~jnz1568/getInfo.php?workbook=10_05.xlsx&amp;sheet=U0&amp;row=2124&amp;col=7&amp;number=0.0031&amp;sourceID=14","0.0031")</f>
        <v>0.0031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HYPERLINK("http://141.218.60.56/~jnz1568/getInfo.php?workbook=10_05.xlsx&amp;sheet=U0&amp;row=2125&amp;col=6&amp;number=3.1&amp;sourceID=14","3.1")</f>
        <v>3.1</v>
      </c>
      <c r="G2125" s="4" t="str">
        <f>HYPERLINK("http://141.218.60.56/~jnz1568/getInfo.php?workbook=10_05.xlsx&amp;sheet=U0&amp;row=2125&amp;col=7&amp;number=0.00308&amp;sourceID=14","0.00308")</f>
        <v>0.00308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HYPERLINK("http://141.218.60.56/~jnz1568/getInfo.php?workbook=10_05.xlsx&amp;sheet=U0&amp;row=2126&amp;col=6&amp;number=3.2&amp;sourceID=14","3.2")</f>
        <v>3.2</v>
      </c>
      <c r="G2126" s="4" t="str">
        <f>HYPERLINK("http://141.218.60.56/~jnz1568/getInfo.php?workbook=10_05.xlsx&amp;sheet=U0&amp;row=2126&amp;col=7&amp;number=0.00306&amp;sourceID=14","0.00306")</f>
        <v>0.00306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HYPERLINK("http://141.218.60.56/~jnz1568/getInfo.php?workbook=10_05.xlsx&amp;sheet=U0&amp;row=2127&amp;col=6&amp;number=3.3&amp;sourceID=14","3.3")</f>
        <v>3.3</v>
      </c>
      <c r="G2127" s="4" t="str">
        <f>HYPERLINK("http://141.218.60.56/~jnz1568/getInfo.php?workbook=10_05.xlsx&amp;sheet=U0&amp;row=2127&amp;col=7&amp;number=0.00303&amp;sourceID=14","0.00303")</f>
        <v>0.00303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HYPERLINK("http://141.218.60.56/~jnz1568/getInfo.php?workbook=10_05.xlsx&amp;sheet=U0&amp;row=2128&amp;col=6&amp;number=3.4&amp;sourceID=14","3.4")</f>
        <v>3.4</v>
      </c>
      <c r="G2128" s="4" t="str">
        <f>HYPERLINK("http://141.218.60.56/~jnz1568/getInfo.php?workbook=10_05.xlsx&amp;sheet=U0&amp;row=2128&amp;col=7&amp;number=0.00299&amp;sourceID=14","0.00299")</f>
        <v>0.00299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HYPERLINK("http://141.218.60.56/~jnz1568/getInfo.php?workbook=10_05.xlsx&amp;sheet=U0&amp;row=2129&amp;col=6&amp;number=3.5&amp;sourceID=14","3.5")</f>
        <v>3.5</v>
      </c>
      <c r="G2129" s="4" t="str">
        <f>HYPERLINK("http://141.218.60.56/~jnz1568/getInfo.php?workbook=10_05.xlsx&amp;sheet=U0&amp;row=2129&amp;col=7&amp;number=0.00295&amp;sourceID=14","0.00295")</f>
        <v>0.00295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HYPERLINK("http://141.218.60.56/~jnz1568/getInfo.php?workbook=10_05.xlsx&amp;sheet=U0&amp;row=2130&amp;col=6&amp;number=3.6&amp;sourceID=14","3.6")</f>
        <v>3.6</v>
      </c>
      <c r="G2130" s="4" t="str">
        <f>HYPERLINK("http://141.218.60.56/~jnz1568/getInfo.php?workbook=10_05.xlsx&amp;sheet=U0&amp;row=2130&amp;col=7&amp;number=0.0029&amp;sourceID=14","0.0029")</f>
        <v>0.0029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HYPERLINK("http://141.218.60.56/~jnz1568/getInfo.php?workbook=10_05.xlsx&amp;sheet=U0&amp;row=2131&amp;col=6&amp;number=3.7&amp;sourceID=14","3.7")</f>
        <v>3.7</v>
      </c>
      <c r="G2131" s="4" t="str">
        <f>HYPERLINK("http://141.218.60.56/~jnz1568/getInfo.php?workbook=10_05.xlsx&amp;sheet=U0&amp;row=2131&amp;col=7&amp;number=0.00283&amp;sourceID=14","0.00283")</f>
        <v>0.00283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HYPERLINK("http://141.218.60.56/~jnz1568/getInfo.php?workbook=10_05.xlsx&amp;sheet=U0&amp;row=2132&amp;col=6&amp;number=3.8&amp;sourceID=14","3.8")</f>
        <v>3.8</v>
      </c>
      <c r="G2132" s="4" t="str">
        <f>HYPERLINK("http://141.218.60.56/~jnz1568/getInfo.php?workbook=10_05.xlsx&amp;sheet=U0&amp;row=2132&amp;col=7&amp;number=0.00275&amp;sourceID=14","0.00275")</f>
        <v>0.00275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HYPERLINK("http://141.218.60.56/~jnz1568/getInfo.php?workbook=10_05.xlsx&amp;sheet=U0&amp;row=2133&amp;col=6&amp;number=3.9&amp;sourceID=14","3.9")</f>
        <v>3.9</v>
      </c>
      <c r="G2133" s="4" t="str">
        <f>HYPERLINK("http://141.218.60.56/~jnz1568/getInfo.php?workbook=10_05.xlsx&amp;sheet=U0&amp;row=2133&amp;col=7&amp;number=0.00265&amp;sourceID=14","0.00265")</f>
        <v>0.00265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HYPERLINK("http://141.218.60.56/~jnz1568/getInfo.php?workbook=10_05.xlsx&amp;sheet=U0&amp;row=2134&amp;col=6&amp;number=4&amp;sourceID=14","4")</f>
        <v>4</v>
      </c>
      <c r="G2134" s="4" t="str">
        <f>HYPERLINK("http://141.218.60.56/~jnz1568/getInfo.php?workbook=10_05.xlsx&amp;sheet=U0&amp;row=2134&amp;col=7&amp;number=0.00253&amp;sourceID=14","0.00253")</f>
        <v>0.00253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HYPERLINK("http://141.218.60.56/~jnz1568/getInfo.php?workbook=10_05.xlsx&amp;sheet=U0&amp;row=2135&amp;col=6&amp;number=4.1&amp;sourceID=14","4.1")</f>
        <v>4.1</v>
      </c>
      <c r="G2135" s="4" t="str">
        <f>HYPERLINK("http://141.218.60.56/~jnz1568/getInfo.php?workbook=10_05.xlsx&amp;sheet=U0&amp;row=2135&amp;col=7&amp;number=0.00238&amp;sourceID=14","0.00238")</f>
        <v>0.00238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HYPERLINK("http://141.218.60.56/~jnz1568/getInfo.php?workbook=10_05.xlsx&amp;sheet=U0&amp;row=2136&amp;col=6&amp;number=4.2&amp;sourceID=14","4.2")</f>
        <v>4.2</v>
      </c>
      <c r="G2136" s="4" t="str">
        <f>HYPERLINK("http://141.218.60.56/~jnz1568/getInfo.php?workbook=10_05.xlsx&amp;sheet=U0&amp;row=2136&amp;col=7&amp;number=0.00222&amp;sourceID=14","0.00222")</f>
        <v>0.00222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HYPERLINK("http://141.218.60.56/~jnz1568/getInfo.php?workbook=10_05.xlsx&amp;sheet=U0&amp;row=2137&amp;col=6&amp;number=4.3&amp;sourceID=14","4.3")</f>
        <v>4.3</v>
      </c>
      <c r="G2137" s="4" t="str">
        <f>HYPERLINK("http://141.218.60.56/~jnz1568/getInfo.php?workbook=10_05.xlsx&amp;sheet=U0&amp;row=2137&amp;col=7&amp;number=0.00203&amp;sourceID=14","0.00203")</f>
        <v>0.00203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HYPERLINK("http://141.218.60.56/~jnz1568/getInfo.php?workbook=10_05.xlsx&amp;sheet=U0&amp;row=2138&amp;col=6&amp;number=4.4&amp;sourceID=14","4.4")</f>
        <v>4.4</v>
      </c>
      <c r="G2138" s="4" t="str">
        <f>HYPERLINK("http://141.218.60.56/~jnz1568/getInfo.php?workbook=10_05.xlsx&amp;sheet=U0&amp;row=2138&amp;col=7&amp;number=0.00184&amp;sourceID=14","0.00184")</f>
        <v>0.00184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HYPERLINK("http://141.218.60.56/~jnz1568/getInfo.php?workbook=10_05.xlsx&amp;sheet=U0&amp;row=2139&amp;col=6&amp;number=4.5&amp;sourceID=14","4.5")</f>
        <v>4.5</v>
      </c>
      <c r="G2139" s="4" t="str">
        <f>HYPERLINK("http://141.218.60.56/~jnz1568/getInfo.php?workbook=10_05.xlsx&amp;sheet=U0&amp;row=2139&amp;col=7&amp;number=0.00165&amp;sourceID=14","0.00165")</f>
        <v>0.00165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HYPERLINK("http://141.218.60.56/~jnz1568/getInfo.php?workbook=10_05.xlsx&amp;sheet=U0&amp;row=2140&amp;col=6&amp;number=4.6&amp;sourceID=14","4.6")</f>
        <v>4.6</v>
      </c>
      <c r="G2140" s="4" t="str">
        <f>HYPERLINK("http://141.218.60.56/~jnz1568/getInfo.php?workbook=10_05.xlsx&amp;sheet=U0&amp;row=2140&amp;col=7&amp;number=0.00148&amp;sourceID=14","0.00148")</f>
        <v>0.00148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HYPERLINK("http://141.218.60.56/~jnz1568/getInfo.php?workbook=10_05.xlsx&amp;sheet=U0&amp;row=2141&amp;col=6&amp;number=4.7&amp;sourceID=14","4.7")</f>
        <v>4.7</v>
      </c>
      <c r="G2141" s="4" t="str">
        <f>HYPERLINK("http://141.218.60.56/~jnz1568/getInfo.php?workbook=10_05.xlsx&amp;sheet=U0&amp;row=2141&amp;col=7&amp;number=0.00133&amp;sourceID=14","0.00133")</f>
        <v>0.00133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HYPERLINK("http://141.218.60.56/~jnz1568/getInfo.php?workbook=10_05.xlsx&amp;sheet=U0&amp;row=2142&amp;col=6&amp;number=4.8&amp;sourceID=14","4.8")</f>
        <v>4.8</v>
      </c>
      <c r="G2142" s="4" t="str">
        <f>HYPERLINK("http://141.218.60.56/~jnz1568/getInfo.php?workbook=10_05.xlsx&amp;sheet=U0&amp;row=2142&amp;col=7&amp;number=0.00119&amp;sourceID=14","0.00119")</f>
        <v>0.00119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HYPERLINK("http://141.218.60.56/~jnz1568/getInfo.php?workbook=10_05.xlsx&amp;sheet=U0&amp;row=2143&amp;col=6&amp;number=4.9&amp;sourceID=14","4.9")</f>
        <v>4.9</v>
      </c>
      <c r="G2143" s="4" t="str">
        <f>HYPERLINK("http://141.218.60.56/~jnz1568/getInfo.php?workbook=10_05.xlsx&amp;sheet=U0&amp;row=2143&amp;col=7&amp;number=0.00106&amp;sourceID=14","0.00106")</f>
        <v>0.00106</v>
      </c>
    </row>
    <row r="2144" spans="1:7">
      <c r="A2144" s="3">
        <v>10</v>
      </c>
      <c r="B2144" s="3">
        <v>5</v>
      </c>
      <c r="C2144" s="3">
        <v>1</v>
      </c>
      <c r="D2144" s="3">
        <v>109</v>
      </c>
      <c r="E2144" s="3">
        <v>1</v>
      </c>
      <c r="F2144" s="4" t="str">
        <f>HYPERLINK("http://141.218.60.56/~jnz1568/getInfo.php?workbook=10_05.xlsx&amp;sheet=U0&amp;row=2144&amp;col=6&amp;number=3&amp;sourceID=14","3")</f>
        <v>3</v>
      </c>
      <c r="G2144" s="4" t="str">
        <f>HYPERLINK("http://141.218.60.56/~jnz1568/getInfo.php?workbook=10_05.xlsx&amp;sheet=U0&amp;row=2144&amp;col=7&amp;number=0.00395&amp;sourceID=14","0.00395")</f>
        <v>0.00395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HYPERLINK("http://141.218.60.56/~jnz1568/getInfo.php?workbook=10_05.xlsx&amp;sheet=U0&amp;row=2145&amp;col=6&amp;number=3.1&amp;sourceID=14","3.1")</f>
        <v>3.1</v>
      </c>
      <c r="G2145" s="4" t="str">
        <f>HYPERLINK("http://141.218.60.56/~jnz1568/getInfo.php?workbook=10_05.xlsx&amp;sheet=U0&amp;row=2145&amp;col=7&amp;number=0.00393&amp;sourceID=14","0.00393")</f>
        <v>0.00393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HYPERLINK("http://141.218.60.56/~jnz1568/getInfo.php?workbook=10_05.xlsx&amp;sheet=U0&amp;row=2146&amp;col=6&amp;number=3.2&amp;sourceID=14","3.2")</f>
        <v>3.2</v>
      </c>
      <c r="G2146" s="4" t="str">
        <f>HYPERLINK("http://141.218.60.56/~jnz1568/getInfo.php?workbook=10_05.xlsx&amp;sheet=U0&amp;row=2146&amp;col=7&amp;number=0.00392&amp;sourceID=14","0.00392")</f>
        <v>0.00392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HYPERLINK("http://141.218.60.56/~jnz1568/getInfo.php?workbook=10_05.xlsx&amp;sheet=U0&amp;row=2147&amp;col=6&amp;number=3.3&amp;sourceID=14","3.3")</f>
        <v>3.3</v>
      </c>
      <c r="G2147" s="4" t="str">
        <f>HYPERLINK("http://141.218.60.56/~jnz1568/getInfo.php?workbook=10_05.xlsx&amp;sheet=U0&amp;row=2147&amp;col=7&amp;number=0.00389&amp;sourceID=14","0.00389")</f>
        <v>0.00389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HYPERLINK("http://141.218.60.56/~jnz1568/getInfo.php?workbook=10_05.xlsx&amp;sheet=U0&amp;row=2148&amp;col=6&amp;number=3.4&amp;sourceID=14","3.4")</f>
        <v>3.4</v>
      </c>
      <c r="G2148" s="4" t="str">
        <f>HYPERLINK("http://141.218.60.56/~jnz1568/getInfo.php?workbook=10_05.xlsx&amp;sheet=U0&amp;row=2148&amp;col=7&amp;number=0.00387&amp;sourceID=14","0.00387")</f>
        <v>0.00387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HYPERLINK("http://141.218.60.56/~jnz1568/getInfo.php?workbook=10_05.xlsx&amp;sheet=U0&amp;row=2149&amp;col=6&amp;number=3.5&amp;sourceID=14","3.5")</f>
        <v>3.5</v>
      </c>
      <c r="G2149" s="4" t="str">
        <f>HYPERLINK("http://141.218.60.56/~jnz1568/getInfo.php?workbook=10_05.xlsx&amp;sheet=U0&amp;row=2149&amp;col=7&amp;number=0.00383&amp;sourceID=14","0.00383")</f>
        <v>0.00383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HYPERLINK("http://141.218.60.56/~jnz1568/getInfo.php?workbook=10_05.xlsx&amp;sheet=U0&amp;row=2150&amp;col=6&amp;number=3.6&amp;sourceID=14","3.6")</f>
        <v>3.6</v>
      </c>
      <c r="G2150" s="4" t="str">
        <f>HYPERLINK("http://141.218.60.56/~jnz1568/getInfo.php?workbook=10_05.xlsx&amp;sheet=U0&amp;row=2150&amp;col=7&amp;number=0.00379&amp;sourceID=14","0.00379")</f>
        <v>0.00379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HYPERLINK("http://141.218.60.56/~jnz1568/getInfo.php?workbook=10_05.xlsx&amp;sheet=U0&amp;row=2151&amp;col=6&amp;number=3.7&amp;sourceID=14","3.7")</f>
        <v>3.7</v>
      </c>
      <c r="G2151" s="4" t="str">
        <f>HYPERLINK("http://141.218.60.56/~jnz1568/getInfo.php?workbook=10_05.xlsx&amp;sheet=U0&amp;row=2151&amp;col=7&amp;number=0.00374&amp;sourceID=14","0.00374")</f>
        <v>0.00374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HYPERLINK("http://141.218.60.56/~jnz1568/getInfo.php?workbook=10_05.xlsx&amp;sheet=U0&amp;row=2152&amp;col=6&amp;number=3.8&amp;sourceID=14","3.8")</f>
        <v>3.8</v>
      </c>
      <c r="G2152" s="4" t="str">
        <f>HYPERLINK("http://141.218.60.56/~jnz1568/getInfo.php?workbook=10_05.xlsx&amp;sheet=U0&amp;row=2152&amp;col=7&amp;number=0.00368&amp;sourceID=14","0.00368")</f>
        <v>0.00368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HYPERLINK("http://141.218.60.56/~jnz1568/getInfo.php?workbook=10_05.xlsx&amp;sheet=U0&amp;row=2153&amp;col=6&amp;number=3.9&amp;sourceID=14","3.9")</f>
        <v>3.9</v>
      </c>
      <c r="G2153" s="4" t="str">
        <f>HYPERLINK("http://141.218.60.56/~jnz1568/getInfo.php?workbook=10_05.xlsx&amp;sheet=U0&amp;row=2153&amp;col=7&amp;number=0.0036&amp;sourceID=14","0.0036")</f>
        <v>0.0036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HYPERLINK("http://141.218.60.56/~jnz1568/getInfo.php?workbook=10_05.xlsx&amp;sheet=U0&amp;row=2154&amp;col=6&amp;number=4&amp;sourceID=14","4")</f>
        <v>4</v>
      </c>
      <c r="G2154" s="4" t="str">
        <f>HYPERLINK("http://141.218.60.56/~jnz1568/getInfo.php?workbook=10_05.xlsx&amp;sheet=U0&amp;row=2154&amp;col=7&amp;number=0.0035&amp;sourceID=14","0.0035")</f>
        <v>0.0035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HYPERLINK("http://141.218.60.56/~jnz1568/getInfo.php?workbook=10_05.xlsx&amp;sheet=U0&amp;row=2155&amp;col=6&amp;number=4.1&amp;sourceID=14","4.1")</f>
        <v>4.1</v>
      </c>
      <c r="G2155" s="4" t="str">
        <f>HYPERLINK("http://141.218.60.56/~jnz1568/getInfo.php?workbook=10_05.xlsx&amp;sheet=U0&amp;row=2155&amp;col=7&amp;number=0.00338&amp;sourceID=14","0.00338")</f>
        <v>0.00338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HYPERLINK("http://141.218.60.56/~jnz1568/getInfo.php?workbook=10_05.xlsx&amp;sheet=U0&amp;row=2156&amp;col=6&amp;number=4.2&amp;sourceID=14","4.2")</f>
        <v>4.2</v>
      </c>
      <c r="G2156" s="4" t="str">
        <f>HYPERLINK("http://141.218.60.56/~jnz1568/getInfo.php?workbook=10_05.xlsx&amp;sheet=U0&amp;row=2156&amp;col=7&amp;number=0.00324&amp;sourceID=14","0.00324")</f>
        <v>0.00324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HYPERLINK("http://141.218.60.56/~jnz1568/getInfo.php?workbook=10_05.xlsx&amp;sheet=U0&amp;row=2157&amp;col=6&amp;number=4.3&amp;sourceID=14","4.3")</f>
        <v>4.3</v>
      </c>
      <c r="G2157" s="4" t="str">
        <f>HYPERLINK("http://141.218.60.56/~jnz1568/getInfo.php?workbook=10_05.xlsx&amp;sheet=U0&amp;row=2157&amp;col=7&amp;number=0.00308&amp;sourceID=14","0.00308")</f>
        <v>0.00308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HYPERLINK("http://141.218.60.56/~jnz1568/getInfo.php?workbook=10_05.xlsx&amp;sheet=U0&amp;row=2158&amp;col=6&amp;number=4.4&amp;sourceID=14","4.4")</f>
        <v>4.4</v>
      </c>
      <c r="G2158" s="4" t="str">
        <f>HYPERLINK("http://141.218.60.56/~jnz1568/getInfo.php?workbook=10_05.xlsx&amp;sheet=U0&amp;row=2158&amp;col=7&amp;number=0.00289&amp;sourceID=14","0.00289")</f>
        <v>0.00289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HYPERLINK("http://141.218.60.56/~jnz1568/getInfo.php?workbook=10_05.xlsx&amp;sheet=U0&amp;row=2159&amp;col=6&amp;number=4.5&amp;sourceID=14","4.5")</f>
        <v>4.5</v>
      </c>
      <c r="G2159" s="4" t="str">
        <f>HYPERLINK("http://141.218.60.56/~jnz1568/getInfo.php?workbook=10_05.xlsx&amp;sheet=U0&amp;row=2159&amp;col=7&amp;number=0.00269&amp;sourceID=14","0.00269")</f>
        <v>0.00269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HYPERLINK("http://141.218.60.56/~jnz1568/getInfo.php?workbook=10_05.xlsx&amp;sheet=U0&amp;row=2160&amp;col=6&amp;number=4.6&amp;sourceID=14","4.6")</f>
        <v>4.6</v>
      </c>
      <c r="G2160" s="4" t="str">
        <f>HYPERLINK("http://141.218.60.56/~jnz1568/getInfo.php?workbook=10_05.xlsx&amp;sheet=U0&amp;row=2160&amp;col=7&amp;number=0.00249&amp;sourceID=14","0.00249")</f>
        <v>0.00249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HYPERLINK("http://141.218.60.56/~jnz1568/getInfo.php?workbook=10_05.xlsx&amp;sheet=U0&amp;row=2161&amp;col=6&amp;number=4.7&amp;sourceID=14","4.7")</f>
        <v>4.7</v>
      </c>
      <c r="G2161" s="4" t="str">
        <f>HYPERLINK("http://141.218.60.56/~jnz1568/getInfo.php?workbook=10_05.xlsx&amp;sheet=U0&amp;row=2161&amp;col=7&amp;number=0.00232&amp;sourceID=14","0.00232")</f>
        <v>0.00232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HYPERLINK("http://141.218.60.56/~jnz1568/getInfo.php?workbook=10_05.xlsx&amp;sheet=U0&amp;row=2162&amp;col=6&amp;number=4.8&amp;sourceID=14","4.8")</f>
        <v>4.8</v>
      </c>
      <c r="G2162" s="4" t="str">
        <f>HYPERLINK("http://141.218.60.56/~jnz1568/getInfo.php?workbook=10_05.xlsx&amp;sheet=U0&amp;row=2162&amp;col=7&amp;number=0.00219&amp;sourceID=14","0.00219")</f>
        <v>0.00219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HYPERLINK("http://141.218.60.56/~jnz1568/getInfo.php?workbook=10_05.xlsx&amp;sheet=U0&amp;row=2163&amp;col=6&amp;number=4.9&amp;sourceID=14","4.9")</f>
        <v>4.9</v>
      </c>
      <c r="G2163" s="4" t="str">
        <f>HYPERLINK("http://141.218.60.56/~jnz1568/getInfo.php?workbook=10_05.xlsx&amp;sheet=U0&amp;row=2163&amp;col=7&amp;number=0.00209&amp;sourceID=14","0.00209")</f>
        <v>0.00209</v>
      </c>
    </row>
    <row r="2164" spans="1:7">
      <c r="A2164" s="3">
        <v>10</v>
      </c>
      <c r="B2164" s="3">
        <v>5</v>
      </c>
      <c r="C2164" s="3">
        <v>1</v>
      </c>
      <c r="D2164" s="3">
        <v>110</v>
      </c>
      <c r="E2164" s="3">
        <v>1</v>
      </c>
      <c r="F2164" s="4" t="str">
        <f>HYPERLINK("http://141.218.60.56/~jnz1568/getInfo.php?workbook=10_05.xlsx&amp;sheet=U0&amp;row=2164&amp;col=6&amp;number=3&amp;sourceID=14","3")</f>
        <v>3</v>
      </c>
      <c r="G2164" s="4" t="str">
        <f>HYPERLINK("http://141.218.60.56/~jnz1568/getInfo.php?workbook=10_05.xlsx&amp;sheet=U0&amp;row=2164&amp;col=7&amp;number=0.0375&amp;sourceID=14","0.0375")</f>
        <v>0.0375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HYPERLINK("http://141.218.60.56/~jnz1568/getInfo.php?workbook=10_05.xlsx&amp;sheet=U0&amp;row=2165&amp;col=6&amp;number=3.1&amp;sourceID=14","3.1")</f>
        <v>3.1</v>
      </c>
      <c r="G2165" s="4" t="str">
        <f>HYPERLINK("http://141.218.60.56/~jnz1568/getInfo.php?workbook=10_05.xlsx&amp;sheet=U0&amp;row=2165&amp;col=7&amp;number=0.0375&amp;sourceID=14","0.0375")</f>
        <v>0.0375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HYPERLINK("http://141.218.60.56/~jnz1568/getInfo.php?workbook=10_05.xlsx&amp;sheet=U0&amp;row=2166&amp;col=6&amp;number=3.2&amp;sourceID=14","3.2")</f>
        <v>3.2</v>
      </c>
      <c r="G2166" s="4" t="str">
        <f>HYPERLINK("http://141.218.60.56/~jnz1568/getInfo.php?workbook=10_05.xlsx&amp;sheet=U0&amp;row=2166&amp;col=7&amp;number=0.0375&amp;sourceID=14","0.0375")</f>
        <v>0.0375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HYPERLINK("http://141.218.60.56/~jnz1568/getInfo.php?workbook=10_05.xlsx&amp;sheet=U0&amp;row=2167&amp;col=6&amp;number=3.3&amp;sourceID=14","3.3")</f>
        <v>3.3</v>
      </c>
      <c r="G2167" s="4" t="str">
        <f>HYPERLINK("http://141.218.60.56/~jnz1568/getInfo.php?workbook=10_05.xlsx&amp;sheet=U0&amp;row=2167&amp;col=7&amp;number=0.0374&amp;sourceID=14","0.0374")</f>
        <v>0.0374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HYPERLINK("http://141.218.60.56/~jnz1568/getInfo.php?workbook=10_05.xlsx&amp;sheet=U0&amp;row=2168&amp;col=6&amp;number=3.4&amp;sourceID=14","3.4")</f>
        <v>3.4</v>
      </c>
      <c r="G2168" s="4" t="str">
        <f>HYPERLINK("http://141.218.60.56/~jnz1568/getInfo.php?workbook=10_05.xlsx&amp;sheet=U0&amp;row=2168&amp;col=7&amp;number=0.0373&amp;sourceID=14","0.0373")</f>
        <v>0.0373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HYPERLINK("http://141.218.60.56/~jnz1568/getInfo.php?workbook=10_05.xlsx&amp;sheet=U0&amp;row=2169&amp;col=6&amp;number=3.5&amp;sourceID=14","3.5")</f>
        <v>3.5</v>
      </c>
      <c r="G2169" s="4" t="str">
        <f>HYPERLINK("http://141.218.60.56/~jnz1568/getInfo.php?workbook=10_05.xlsx&amp;sheet=U0&amp;row=2169&amp;col=7&amp;number=0.0373&amp;sourceID=14","0.0373")</f>
        <v>0.0373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HYPERLINK("http://141.218.60.56/~jnz1568/getInfo.php?workbook=10_05.xlsx&amp;sheet=U0&amp;row=2170&amp;col=6&amp;number=3.6&amp;sourceID=14","3.6")</f>
        <v>3.6</v>
      </c>
      <c r="G2170" s="4" t="str">
        <f>HYPERLINK("http://141.218.60.56/~jnz1568/getInfo.php?workbook=10_05.xlsx&amp;sheet=U0&amp;row=2170&amp;col=7&amp;number=0.0372&amp;sourceID=14","0.0372")</f>
        <v>0.0372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HYPERLINK("http://141.218.60.56/~jnz1568/getInfo.php?workbook=10_05.xlsx&amp;sheet=U0&amp;row=2171&amp;col=6&amp;number=3.7&amp;sourceID=14","3.7")</f>
        <v>3.7</v>
      </c>
      <c r="G2171" s="4" t="str">
        <f>HYPERLINK("http://141.218.60.56/~jnz1568/getInfo.php?workbook=10_05.xlsx&amp;sheet=U0&amp;row=2171&amp;col=7&amp;number=0.037&amp;sourceID=14","0.037")</f>
        <v>0.037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HYPERLINK("http://141.218.60.56/~jnz1568/getInfo.php?workbook=10_05.xlsx&amp;sheet=U0&amp;row=2172&amp;col=6&amp;number=3.8&amp;sourceID=14","3.8")</f>
        <v>3.8</v>
      </c>
      <c r="G2172" s="4" t="str">
        <f>HYPERLINK("http://141.218.60.56/~jnz1568/getInfo.php?workbook=10_05.xlsx&amp;sheet=U0&amp;row=2172&amp;col=7&amp;number=0.0369&amp;sourceID=14","0.0369")</f>
        <v>0.0369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HYPERLINK("http://141.218.60.56/~jnz1568/getInfo.php?workbook=10_05.xlsx&amp;sheet=U0&amp;row=2173&amp;col=6&amp;number=3.9&amp;sourceID=14","3.9")</f>
        <v>3.9</v>
      </c>
      <c r="G2173" s="4" t="str">
        <f>HYPERLINK("http://141.218.60.56/~jnz1568/getInfo.php?workbook=10_05.xlsx&amp;sheet=U0&amp;row=2173&amp;col=7&amp;number=0.0367&amp;sourceID=14","0.0367")</f>
        <v>0.0367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HYPERLINK("http://141.218.60.56/~jnz1568/getInfo.php?workbook=10_05.xlsx&amp;sheet=U0&amp;row=2174&amp;col=6&amp;number=4&amp;sourceID=14","4")</f>
        <v>4</v>
      </c>
      <c r="G2174" s="4" t="str">
        <f>HYPERLINK("http://141.218.60.56/~jnz1568/getInfo.php?workbook=10_05.xlsx&amp;sheet=U0&amp;row=2174&amp;col=7&amp;number=0.0364&amp;sourceID=14","0.0364")</f>
        <v>0.0364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HYPERLINK("http://141.218.60.56/~jnz1568/getInfo.php?workbook=10_05.xlsx&amp;sheet=U0&amp;row=2175&amp;col=6&amp;number=4.1&amp;sourceID=14","4.1")</f>
        <v>4.1</v>
      </c>
      <c r="G2175" s="4" t="str">
        <f>HYPERLINK("http://141.218.60.56/~jnz1568/getInfo.php?workbook=10_05.xlsx&amp;sheet=U0&amp;row=2175&amp;col=7&amp;number=0.0362&amp;sourceID=14","0.0362")</f>
        <v>0.0362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HYPERLINK("http://141.218.60.56/~jnz1568/getInfo.php?workbook=10_05.xlsx&amp;sheet=U0&amp;row=2176&amp;col=6&amp;number=4.2&amp;sourceID=14","4.2")</f>
        <v>4.2</v>
      </c>
      <c r="G2176" s="4" t="str">
        <f>HYPERLINK("http://141.218.60.56/~jnz1568/getInfo.php?workbook=10_05.xlsx&amp;sheet=U0&amp;row=2176&amp;col=7&amp;number=0.0358&amp;sourceID=14","0.0358")</f>
        <v>0.0358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HYPERLINK("http://141.218.60.56/~jnz1568/getInfo.php?workbook=10_05.xlsx&amp;sheet=U0&amp;row=2177&amp;col=6&amp;number=4.3&amp;sourceID=14","4.3")</f>
        <v>4.3</v>
      </c>
      <c r="G2177" s="4" t="str">
        <f>HYPERLINK("http://141.218.60.56/~jnz1568/getInfo.php?workbook=10_05.xlsx&amp;sheet=U0&amp;row=2177&amp;col=7&amp;number=0.0355&amp;sourceID=14","0.0355")</f>
        <v>0.0355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HYPERLINK("http://141.218.60.56/~jnz1568/getInfo.php?workbook=10_05.xlsx&amp;sheet=U0&amp;row=2178&amp;col=6&amp;number=4.4&amp;sourceID=14","4.4")</f>
        <v>4.4</v>
      </c>
      <c r="G2178" s="4" t="str">
        <f>HYPERLINK("http://141.218.60.56/~jnz1568/getInfo.php?workbook=10_05.xlsx&amp;sheet=U0&amp;row=2178&amp;col=7&amp;number=0.0351&amp;sourceID=14","0.0351")</f>
        <v>0.0351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HYPERLINK("http://141.218.60.56/~jnz1568/getInfo.php?workbook=10_05.xlsx&amp;sheet=U0&amp;row=2179&amp;col=6&amp;number=4.5&amp;sourceID=14","4.5")</f>
        <v>4.5</v>
      </c>
      <c r="G2179" s="4" t="str">
        <f>HYPERLINK("http://141.218.60.56/~jnz1568/getInfo.php?workbook=10_05.xlsx&amp;sheet=U0&amp;row=2179&amp;col=7&amp;number=0.0347&amp;sourceID=14","0.0347")</f>
        <v>0.0347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HYPERLINK("http://141.218.60.56/~jnz1568/getInfo.php?workbook=10_05.xlsx&amp;sheet=U0&amp;row=2180&amp;col=6&amp;number=4.6&amp;sourceID=14","4.6")</f>
        <v>4.6</v>
      </c>
      <c r="G2180" s="4" t="str">
        <f>HYPERLINK("http://141.218.60.56/~jnz1568/getInfo.php?workbook=10_05.xlsx&amp;sheet=U0&amp;row=2180&amp;col=7&amp;number=0.0344&amp;sourceID=14","0.0344")</f>
        <v>0.0344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HYPERLINK("http://141.218.60.56/~jnz1568/getInfo.php?workbook=10_05.xlsx&amp;sheet=U0&amp;row=2181&amp;col=6&amp;number=4.7&amp;sourceID=14","4.7")</f>
        <v>4.7</v>
      </c>
      <c r="G2181" s="4" t="str">
        <f>HYPERLINK("http://141.218.60.56/~jnz1568/getInfo.php?workbook=10_05.xlsx&amp;sheet=U0&amp;row=2181&amp;col=7&amp;number=0.0341&amp;sourceID=14","0.0341")</f>
        <v>0.0341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HYPERLINK("http://141.218.60.56/~jnz1568/getInfo.php?workbook=10_05.xlsx&amp;sheet=U0&amp;row=2182&amp;col=6&amp;number=4.8&amp;sourceID=14","4.8")</f>
        <v>4.8</v>
      </c>
      <c r="G2182" s="4" t="str">
        <f>HYPERLINK("http://141.218.60.56/~jnz1568/getInfo.php?workbook=10_05.xlsx&amp;sheet=U0&amp;row=2182&amp;col=7&amp;number=0.0339&amp;sourceID=14","0.0339")</f>
        <v>0.0339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HYPERLINK("http://141.218.60.56/~jnz1568/getInfo.php?workbook=10_05.xlsx&amp;sheet=U0&amp;row=2183&amp;col=6&amp;number=4.9&amp;sourceID=14","4.9")</f>
        <v>4.9</v>
      </c>
      <c r="G2183" s="4" t="str">
        <f>HYPERLINK("http://141.218.60.56/~jnz1568/getInfo.php?workbook=10_05.xlsx&amp;sheet=U0&amp;row=2183&amp;col=7&amp;number=0.0337&amp;sourceID=14","0.0337")</f>
        <v>0.0337</v>
      </c>
    </row>
    <row r="2184" spans="1:7">
      <c r="A2184" s="3">
        <v>10</v>
      </c>
      <c r="B2184" s="3">
        <v>5</v>
      </c>
      <c r="C2184" s="3">
        <v>1</v>
      </c>
      <c r="D2184" s="3">
        <v>111</v>
      </c>
      <c r="E2184" s="3">
        <v>1</v>
      </c>
      <c r="F2184" s="4" t="str">
        <f>HYPERLINK("http://141.218.60.56/~jnz1568/getInfo.php?workbook=10_05.xlsx&amp;sheet=U0&amp;row=2184&amp;col=6&amp;number=3&amp;sourceID=14","3")</f>
        <v>3</v>
      </c>
      <c r="G2184" s="4" t="str">
        <f>HYPERLINK("http://141.218.60.56/~jnz1568/getInfo.php?workbook=10_05.xlsx&amp;sheet=U0&amp;row=2184&amp;col=7&amp;number=0.00381&amp;sourceID=14","0.00381")</f>
        <v>0.00381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HYPERLINK("http://141.218.60.56/~jnz1568/getInfo.php?workbook=10_05.xlsx&amp;sheet=U0&amp;row=2185&amp;col=6&amp;number=3.1&amp;sourceID=14","3.1")</f>
        <v>3.1</v>
      </c>
      <c r="G2185" s="4" t="str">
        <f>HYPERLINK("http://141.218.60.56/~jnz1568/getInfo.php?workbook=10_05.xlsx&amp;sheet=U0&amp;row=2185&amp;col=7&amp;number=0.0038&amp;sourceID=14","0.0038")</f>
        <v>0.0038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HYPERLINK("http://141.218.60.56/~jnz1568/getInfo.php?workbook=10_05.xlsx&amp;sheet=U0&amp;row=2186&amp;col=6&amp;number=3.2&amp;sourceID=14","3.2")</f>
        <v>3.2</v>
      </c>
      <c r="G2186" s="4" t="str">
        <f>HYPERLINK("http://141.218.60.56/~jnz1568/getInfo.php?workbook=10_05.xlsx&amp;sheet=U0&amp;row=2186&amp;col=7&amp;number=0.00379&amp;sourceID=14","0.00379")</f>
        <v>0.00379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HYPERLINK("http://141.218.60.56/~jnz1568/getInfo.php?workbook=10_05.xlsx&amp;sheet=U0&amp;row=2187&amp;col=6&amp;number=3.3&amp;sourceID=14","3.3")</f>
        <v>3.3</v>
      </c>
      <c r="G2187" s="4" t="str">
        <f>HYPERLINK("http://141.218.60.56/~jnz1568/getInfo.php?workbook=10_05.xlsx&amp;sheet=U0&amp;row=2187&amp;col=7&amp;number=0.00378&amp;sourceID=14","0.00378")</f>
        <v>0.00378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HYPERLINK("http://141.218.60.56/~jnz1568/getInfo.php?workbook=10_05.xlsx&amp;sheet=U0&amp;row=2188&amp;col=6&amp;number=3.4&amp;sourceID=14","3.4")</f>
        <v>3.4</v>
      </c>
      <c r="G2188" s="4" t="str">
        <f>HYPERLINK("http://141.218.60.56/~jnz1568/getInfo.php?workbook=10_05.xlsx&amp;sheet=U0&amp;row=2188&amp;col=7&amp;number=0.00376&amp;sourceID=14","0.00376")</f>
        <v>0.00376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HYPERLINK("http://141.218.60.56/~jnz1568/getInfo.php?workbook=10_05.xlsx&amp;sheet=U0&amp;row=2189&amp;col=6&amp;number=3.5&amp;sourceID=14","3.5")</f>
        <v>3.5</v>
      </c>
      <c r="G2189" s="4" t="str">
        <f>HYPERLINK("http://141.218.60.56/~jnz1568/getInfo.php?workbook=10_05.xlsx&amp;sheet=U0&amp;row=2189&amp;col=7&amp;number=0.00374&amp;sourceID=14","0.00374")</f>
        <v>0.00374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HYPERLINK("http://141.218.60.56/~jnz1568/getInfo.php?workbook=10_05.xlsx&amp;sheet=U0&amp;row=2190&amp;col=6&amp;number=3.6&amp;sourceID=14","3.6")</f>
        <v>3.6</v>
      </c>
      <c r="G2190" s="4" t="str">
        <f>HYPERLINK("http://141.218.60.56/~jnz1568/getInfo.php?workbook=10_05.xlsx&amp;sheet=U0&amp;row=2190&amp;col=7&amp;number=0.00371&amp;sourceID=14","0.00371")</f>
        <v>0.00371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HYPERLINK("http://141.218.60.56/~jnz1568/getInfo.php?workbook=10_05.xlsx&amp;sheet=U0&amp;row=2191&amp;col=6&amp;number=3.7&amp;sourceID=14","3.7")</f>
        <v>3.7</v>
      </c>
      <c r="G2191" s="4" t="str">
        <f>HYPERLINK("http://141.218.60.56/~jnz1568/getInfo.php?workbook=10_05.xlsx&amp;sheet=U0&amp;row=2191&amp;col=7&amp;number=0.00368&amp;sourceID=14","0.00368")</f>
        <v>0.00368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HYPERLINK("http://141.218.60.56/~jnz1568/getInfo.php?workbook=10_05.xlsx&amp;sheet=U0&amp;row=2192&amp;col=6&amp;number=3.8&amp;sourceID=14","3.8")</f>
        <v>3.8</v>
      </c>
      <c r="G2192" s="4" t="str">
        <f>HYPERLINK("http://141.218.60.56/~jnz1568/getInfo.php?workbook=10_05.xlsx&amp;sheet=U0&amp;row=2192&amp;col=7&amp;number=0.00364&amp;sourceID=14","0.00364")</f>
        <v>0.00364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HYPERLINK("http://141.218.60.56/~jnz1568/getInfo.php?workbook=10_05.xlsx&amp;sheet=U0&amp;row=2193&amp;col=6&amp;number=3.9&amp;sourceID=14","3.9")</f>
        <v>3.9</v>
      </c>
      <c r="G2193" s="4" t="str">
        <f>HYPERLINK("http://141.218.60.56/~jnz1568/getInfo.php?workbook=10_05.xlsx&amp;sheet=U0&amp;row=2193&amp;col=7&amp;number=0.00359&amp;sourceID=14","0.00359")</f>
        <v>0.00359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HYPERLINK("http://141.218.60.56/~jnz1568/getInfo.php?workbook=10_05.xlsx&amp;sheet=U0&amp;row=2194&amp;col=6&amp;number=4&amp;sourceID=14","4")</f>
        <v>4</v>
      </c>
      <c r="G2194" s="4" t="str">
        <f>HYPERLINK("http://141.218.60.56/~jnz1568/getInfo.php?workbook=10_05.xlsx&amp;sheet=U0&amp;row=2194&amp;col=7&amp;number=0.00353&amp;sourceID=14","0.00353")</f>
        <v>0.00353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HYPERLINK("http://141.218.60.56/~jnz1568/getInfo.php?workbook=10_05.xlsx&amp;sheet=U0&amp;row=2195&amp;col=6&amp;number=4.1&amp;sourceID=14","4.1")</f>
        <v>4.1</v>
      </c>
      <c r="G2195" s="4" t="str">
        <f>HYPERLINK("http://141.218.60.56/~jnz1568/getInfo.php?workbook=10_05.xlsx&amp;sheet=U0&amp;row=2195&amp;col=7&amp;number=0.00346&amp;sourceID=14","0.00346")</f>
        <v>0.00346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HYPERLINK("http://141.218.60.56/~jnz1568/getInfo.php?workbook=10_05.xlsx&amp;sheet=U0&amp;row=2196&amp;col=6&amp;number=4.2&amp;sourceID=14","4.2")</f>
        <v>4.2</v>
      </c>
      <c r="G2196" s="4" t="str">
        <f>HYPERLINK("http://141.218.60.56/~jnz1568/getInfo.php?workbook=10_05.xlsx&amp;sheet=U0&amp;row=2196&amp;col=7&amp;number=0.00337&amp;sourceID=14","0.00337")</f>
        <v>0.00337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HYPERLINK("http://141.218.60.56/~jnz1568/getInfo.php?workbook=10_05.xlsx&amp;sheet=U0&amp;row=2197&amp;col=6&amp;number=4.3&amp;sourceID=14","4.3")</f>
        <v>4.3</v>
      </c>
      <c r="G2197" s="4" t="str">
        <f>HYPERLINK("http://141.218.60.56/~jnz1568/getInfo.php?workbook=10_05.xlsx&amp;sheet=U0&amp;row=2197&amp;col=7&amp;number=0.00326&amp;sourceID=14","0.00326")</f>
        <v>0.00326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HYPERLINK("http://141.218.60.56/~jnz1568/getInfo.php?workbook=10_05.xlsx&amp;sheet=U0&amp;row=2198&amp;col=6&amp;number=4.4&amp;sourceID=14","4.4")</f>
        <v>4.4</v>
      </c>
      <c r="G2198" s="4" t="str">
        <f>HYPERLINK("http://141.218.60.56/~jnz1568/getInfo.php?workbook=10_05.xlsx&amp;sheet=U0&amp;row=2198&amp;col=7&amp;number=0.00314&amp;sourceID=14","0.00314")</f>
        <v>0.00314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HYPERLINK("http://141.218.60.56/~jnz1568/getInfo.php?workbook=10_05.xlsx&amp;sheet=U0&amp;row=2199&amp;col=6&amp;number=4.5&amp;sourceID=14","4.5")</f>
        <v>4.5</v>
      </c>
      <c r="G2199" s="4" t="str">
        <f>HYPERLINK("http://141.218.60.56/~jnz1568/getInfo.php?workbook=10_05.xlsx&amp;sheet=U0&amp;row=2199&amp;col=7&amp;number=0.003&amp;sourceID=14","0.003")</f>
        <v>0.003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HYPERLINK("http://141.218.60.56/~jnz1568/getInfo.php?workbook=10_05.xlsx&amp;sheet=U0&amp;row=2200&amp;col=6&amp;number=4.6&amp;sourceID=14","4.6")</f>
        <v>4.6</v>
      </c>
      <c r="G2200" s="4" t="str">
        <f>HYPERLINK("http://141.218.60.56/~jnz1568/getInfo.php?workbook=10_05.xlsx&amp;sheet=U0&amp;row=2200&amp;col=7&amp;number=0.00284&amp;sourceID=14","0.00284")</f>
        <v>0.00284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HYPERLINK("http://141.218.60.56/~jnz1568/getInfo.php?workbook=10_05.xlsx&amp;sheet=U0&amp;row=2201&amp;col=6&amp;number=4.7&amp;sourceID=14","4.7")</f>
        <v>4.7</v>
      </c>
      <c r="G2201" s="4" t="str">
        <f>HYPERLINK("http://141.218.60.56/~jnz1568/getInfo.php?workbook=10_05.xlsx&amp;sheet=U0&amp;row=2201&amp;col=7&amp;number=0.0027&amp;sourceID=14","0.0027")</f>
        <v>0.0027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HYPERLINK("http://141.218.60.56/~jnz1568/getInfo.php?workbook=10_05.xlsx&amp;sheet=U0&amp;row=2202&amp;col=6&amp;number=4.8&amp;sourceID=14","4.8")</f>
        <v>4.8</v>
      </c>
      <c r="G2202" s="4" t="str">
        <f>HYPERLINK("http://141.218.60.56/~jnz1568/getInfo.php?workbook=10_05.xlsx&amp;sheet=U0&amp;row=2202&amp;col=7&amp;number=0.00259&amp;sourceID=14","0.00259")</f>
        <v>0.00259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HYPERLINK("http://141.218.60.56/~jnz1568/getInfo.php?workbook=10_05.xlsx&amp;sheet=U0&amp;row=2203&amp;col=6&amp;number=4.9&amp;sourceID=14","4.9")</f>
        <v>4.9</v>
      </c>
      <c r="G2203" s="4" t="str">
        <f>HYPERLINK("http://141.218.60.56/~jnz1568/getInfo.php?workbook=10_05.xlsx&amp;sheet=U0&amp;row=2203&amp;col=7&amp;number=0.00252&amp;sourceID=14","0.00252")</f>
        <v>0.00252</v>
      </c>
    </row>
    <row r="2204" spans="1:7">
      <c r="A2204" s="3">
        <v>10</v>
      </c>
      <c r="B2204" s="3">
        <v>5</v>
      </c>
      <c r="C2204" s="3">
        <v>1</v>
      </c>
      <c r="D2204" s="3">
        <v>112</v>
      </c>
      <c r="E2204" s="3">
        <v>1</v>
      </c>
      <c r="F2204" s="4" t="str">
        <f>HYPERLINK("http://141.218.60.56/~jnz1568/getInfo.php?workbook=10_05.xlsx&amp;sheet=U0&amp;row=2204&amp;col=6&amp;number=3&amp;sourceID=14","3")</f>
        <v>3</v>
      </c>
      <c r="G2204" s="4" t="str">
        <f>HYPERLINK("http://141.218.60.56/~jnz1568/getInfo.php?workbook=10_05.xlsx&amp;sheet=U0&amp;row=2204&amp;col=7&amp;number=0.0101&amp;sourceID=14","0.0101")</f>
        <v>0.0101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HYPERLINK("http://141.218.60.56/~jnz1568/getInfo.php?workbook=10_05.xlsx&amp;sheet=U0&amp;row=2205&amp;col=6&amp;number=3.1&amp;sourceID=14","3.1")</f>
        <v>3.1</v>
      </c>
      <c r="G2205" s="4" t="str">
        <f>HYPERLINK("http://141.218.60.56/~jnz1568/getInfo.php?workbook=10_05.xlsx&amp;sheet=U0&amp;row=2205&amp;col=7&amp;number=0.01&amp;sourceID=14","0.01")</f>
        <v>0.01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HYPERLINK("http://141.218.60.56/~jnz1568/getInfo.php?workbook=10_05.xlsx&amp;sheet=U0&amp;row=2206&amp;col=6&amp;number=3.2&amp;sourceID=14","3.2")</f>
        <v>3.2</v>
      </c>
      <c r="G2206" s="4" t="str">
        <f>HYPERLINK("http://141.218.60.56/~jnz1568/getInfo.php?workbook=10_05.xlsx&amp;sheet=U0&amp;row=2206&amp;col=7&amp;number=0.00996&amp;sourceID=14","0.00996")</f>
        <v>0.00996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HYPERLINK("http://141.218.60.56/~jnz1568/getInfo.php?workbook=10_05.xlsx&amp;sheet=U0&amp;row=2207&amp;col=6&amp;number=3.3&amp;sourceID=14","3.3")</f>
        <v>3.3</v>
      </c>
      <c r="G2207" s="4" t="str">
        <f>HYPERLINK("http://141.218.60.56/~jnz1568/getInfo.php?workbook=10_05.xlsx&amp;sheet=U0&amp;row=2207&amp;col=7&amp;number=0.00988&amp;sourceID=14","0.00988")</f>
        <v>0.00988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HYPERLINK("http://141.218.60.56/~jnz1568/getInfo.php?workbook=10_05.xlsx&amp;sheet=U0&amp;row=2208&amp;col=6&amp;number=3.4&amp;sourceID=14","3.4")</f>
        <v>3.4</v>
      </c>
      <c r="G2208" s="4" t="str">
        <f>HYPERLINK("http://141.218.60.56/~jnz1568/getInfo.php?workbook=10_05.xlsx&amp;sheet=U0&amp;row=2208&amp;col=7&amp;number=0.00979&amp;sourceID=14","0.00979")</f>
        <v>0.00979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HYPERLINK("http://141.218.60.56/~jnz1568/getInfo.php?workbook=10_05.xlsx&amp;sheet=U0&amp;row=2209&amp;col=6&amp;number=3.5&amp;sourceID=14","3.5")</f>
        <v>3.5</v>
      </c>
      <c r="G2209" s="4" t="str">
        <f>HYPERLINK("http://141.218.60.56/~jnz1568/getInfo.php?workbook=10_05.xlsx&amp;sheet=U0&amp;row=2209&amp;col=7&amp;number=0.00966&amp;sourceID=14","0.00966")</f>
        <v>0.00966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HYPERLINK("http://141.218.60.56/~jnz1568/getInfo.php?workbook=10_05.xlsx&amp;sheet=U0&amp;row=2210&amp;col=6&amp;number=3.6&amp;sourceID=14","3.6")</f>
        <v>3.6</v>
      </c>
      <c r="G2210" s="4" t="str">
        <f>HYPERLINK("http://141.218.60.56/~jnz1568/getInfo.php?workbook=10_05.xlsx&amp;sheet=U0&amp;row=2210&amp;col=7&amp;number=0.00951&amp;sourceID=14","0.00951")</f>
        <v>0.00951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HYPERLINK("http://141.218.60.56/~jnz1568/getInfo.php?workbook=10_05.xlsx&amp;sheet=U0&amp;row=2211&amp;col=6&amp;number=3.7&amp;sourceID=14","3.7")</f>
        <v>3.7</v>
      </c>
      <c r="G2211" s="4" t="str">
        <f>HYPERLINK("http://141.218.60.56/~jnz1568/getInfo.php?workbook=10_05.xlsx&amp;sheet=U0&amp;row=2211&amp;col=7&amp;number=0.00932&amp;sourceID=14","0.00932")</f>
        <v>0.00932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HYPERLINK("http://141.218.60.56/~jnz1568/getInfo.php?workbook=10_05.xlsx&amp;sheet=U0&amp;row=2212&amp;col=6&amp;number=3.8&amp;sourceID=14","3.8")</f>
        <v>3.8</v>
      </c>
      <c r="G2212" s="4" t="str">
        <f>HYPERLINK("http://141.218.60.56/~jnz1568/getInfo.php?workbook=10_05.xlsx&amp;sheet=U0&amp;row=2212&amp;col=7&amp;number=0.00909&amp;sourceID=14","0.00909")</f>
        <v>0.00909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HYPERLINK("http://141.218.60.56/~jnz1568/getInfo.php?workbook=10_05.xlsx&amp;sheet=U0&amp;row=2213&amp;col=6&amp;number=3.9&amp;sourceID=14","3.9")</f>
        <v>3.9</v>
      </c>
      <c r="G2213" s="4" t="str">
        <f>HYPERLINK("http://141.218.60.56/~jnz1568/getInfo.php?workbook=10_05.xlsx&amp;sheet=U0&amp;row=2213&amp;col=7&amp;number=0.0088&amp;sourceID=14","0.0088")</f>
        <v>0.0088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HYPERLINK("http://141.218.60.56/~jnz1568/getInfo.php?workbook=10_05.xlsx&amp;sheet=U0&amp;row=2214&amp;col=6&amp;number=4&amp;sourceID=14","4")</f>
        <v>4</v>
      </c>
      <c r="G2214" s="4" t="str">
        <f>HYPERLINK("http://141.218.60.56/~jnz1568/getInfo.php?workbook=10_05.xlsx&amp;sheet=U0&amp;row=2214&amp;col=7&amp;number=0.00846&amp;sourceID=14","0.00846")</f>
        <v>0.00846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HYPERLINK("http://141.218.60.56/~jnz1568/getInfo.php?workbook=10_05.xlsx&amp;sheet=U0&amp;row=2215&amp;col=6&amp;number=4.1&amp;sourceID=14","4.1")</f>
        <v>4.1</v>
      </c>
      <c r="G2215" s="4" t="str">
        <f>HYPERLINK("http://141.218.60.56/~jnz1568/getInfo.php?workbook=10_05.xlsx&amp;sheet=U0&amp;row=2215&amp;col=7&amp;number=0.00804&amp;sourceID=14","0.00804")</f>
        <v>0.00804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HYPERLINK("http://141.218.60.56/~jnz1568/getInfo.php?workbook=10_05.xlsx&amp;sheet=U0&amp;row=2216&amp;col=6&amp;number=4.2&amp;sourceID=14","4.2")</f>
        <v>4.2</v>
      </c>
      <c r="G2216" s="4" t="str">
        <f>HYPERLINK("http://141.218.60.56/~jnz1568/getInfo.php?workbook=10_05.xlsx&amp;sheet=U0&amp;row=2216&amp;col=7&amp;number=0.00756&amp;sourceID=14","0.00756")</f>
        <v>0.00756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HYPERLINK("http://141.218.60.56/~jnz1568/getInfo.php?workbook=10_05.xlsx&amp;sheet=U0&amp;row=2217&amp;col=6&amp;number=4.3&amp;sourceID=14","4.3")</f>
        <v>4.3</v>
      </c>
      <c r="G2217" s="4" t="str">
        <f>HYPERLINK("http://141.218.60.56/~jnz1568/getInfo.php?workbook=10_05.xlsx&amp;sheet=U0&amp;row=2217&amp;col=7&amp;number=0.00701&amp;sourceID=14","0.00701")</f>
        <v>0.00701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HYPERLINK("http://141.218.60.56/~jnz1568/getInfo.php?workbook=10_05.xlsx&amp;sheet=U0&amp;row=2218&amp;col=6&amp;number=4.4&amp;sourceID=14","4.4")</f>
        <v>4.4</v>
      </c>
      <c r="G2218" s="4" t="str">
        <f>HYPERLINK("http://141.218.60.56/~jnz1568/getInfo.php?workbook=10_05.xlsx&amp;sheet=U0&amp;row=2218&amp;col=7&amp;number=0.00641&amp;sourceID=14","0.00641")</f>
        <v>0.00641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HYPERLINK("http://141.218.60.56/~jnz1568/getInfo.php?workbook=10_05.xlsx&amp;sheet=U0&amp;row=2219&amp;col=6&amp;number=4.5&amp;sourceID=14","4.5")</f>
        <v>4.5</v>
      </c>
      <c r="G2219" s="4" t="str">
        <f>HYPERLINK("http://141.218.60.56/~jnz1568/getInfo.php?workbook=10_05.xlsx&amp;sheet=U0&amp;row=2219&amp;col=7&amp;number=0.00579&amp;sourceID=14","0.00579")</f>
        <v>0.00579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HYPERLINK("http://141.218.60.56/~jnz1568/getInfo.php?workbook=10_05.xlsx&amp;sheet=U0&amp;row=2220&amp;col=6&amp;number=4.6&amp;sourceID=14","4.6")</f>
        <v>4.6</v>
      </c>
      <c r="G2220" s="4" t="str">
        <f>HYPERLINK("http://141.218.60.56/~jnz1568/getInfo.php?workbook=10_05.xlsx&amp;sheet=U0&amp;row=2220&amp;col=7&amp;number=0.00518&amp;sourceID=14","0.00518")</f>
        <v>0.00518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HYPERLINK("http://141.218.60.56/~jnz1568/getInfo.php?workbook=10_05.xlsx&amp;sheet=U0&amp;row=2221&amp;col=6&amp;number=4.7&amp;sourceID=14","4.7")</f>
        <v>4.7</v>
      </c>
      <c r="G2221" s="4" t="str">
        <f>HYPERLINK("http://141.218.60.56/~jnz1568/getInfo.php?workbook=10_05.xlsx&amp;sheet=U0&amp;row=2221&amp;col=7&amp;number=0.00459&amp;sourceID=14","0.00459")</f>
        <v>0.00459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HYPERLINK("http://141.218.60.56/~jnz1568/getInfo.php?workbook=10_05.xlsx&amp;sheet=U0&amp;row=2222&amp;col=6&amp;number=4.8&amp;sourceID=14","4.8")</f>
        <v>4.8</v>
      </c>
      <c r="G2222" s="4" t="str">
        <f>HYPERLINK("http://141.218.60.56/~jnz1568/getInfo.php?workbook=10_05.xlsx&amp;sheet=U0&amp;row=2222&amp;col=7&amp;number=0.00405&amp;sourceID=14","0.00405")</f>
        <v>0.00405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HYPERLINK("http://141.218.60.56/~jnz1568/getInfo.php?workbook=10_05.xlsx&amp;sheet=U0&amp;row=2223&amp;col=6&amp;number=4.9&amp;sourceID=14","4.9")</f>
        <v>4.9</v>
      </c>
      <c r="G2223" s="4" t="str">
        <f>HYPERLINK("http://141.218.60.56/~jnz1568/getInfo.php?workbook=10_05.xlsx&amp;sheet=U0&amp;row=2223&amp;col=7&amp;number=0.00357&amp;sourceID=14","0.00357")</f>
        <v>0.00357</v>
      </c>
    </row>
    <row r="2224" spans="1:7">
      <c r="A2224" s="3">
        <v>10</v>
      </c>
      <c r="B2224" s="3">
        <v>5</v>
      </c>
      <c r="C2224" s="3">
        <v>1</v>
      </c>
      <c r="D2224" s="3">
        <v>113</v>
      </c>
      <c r="E2224" s="3">
        <v>1</v>
      </c>
      <c r="F2224" s="4" t="str">
        <f>HYPERLINK("http://141.218.60.56/~jnz1568/getInfo.php?workbook=10_05.xlsx&amp;sheet=U0&amp;row=2224&amp;col=6&amp;number=3&amp;sourceID=14","3")</f>
        <v>3</v>
      </c>
      <c r="G2224" s="4" t="str">
        <f>HYPERLINK("http://141.218.60.56/~jnz1568/getInfo.php?workbook=10_05.xlsx&amp;sheet=U0&amp;row=2224&amp;col=7&amp;number=0.00211&amp;sourceID=14","0.00211")</f>
        <v>0.00211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HYPERLINK("http://141.218.60.56/~jnz1568/getInfo.php?workbook=10_05.xlsx&amp;sheet=U0&amp;row=2225&amp;col=6&amp;number=3.1&amp;sourceID=14","3.1")</f>
        <v>3.1</v>
      </c>
      <c r="G2225" s="4" t="str">
        <f>HYPERLINK("http://141.218.60.56/~jnz1568/getInfo.php?workbook=10_05.xlsx&amp;sheet=U0&amp;row=2225&amp;col=7&amp;number=0.00211&amp;sourceID=14","0.00211")</f>
        <v>0.00211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HYPERLINK("http://141.218.60.56/~jnz1568/getInfo.php?workbook=10_05.xlsx&amp;sheet=U0&amp;row=2226&amp;col=6&amp;number=3.2&amp;sourceID=14","3.2")</f>
        <v>3.2</v>
      </c>
      <c r="G2226" s="4" t="str">
        <f>HYPERLINK("http://141.218.60.56/~jnz1568/getInfo.php?workbook=10_05.xlsx&amp;sheet=U0&amp;row=2226&amp;col=7&amp;number=0.0021&amp;sourceID=14","0.0021")</f>
        <v>0.0021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HYPERLINK("http://141.218.60.56/~jnz1568/getInfo.php?workbook=10_05.xlsx&amp;sheet=U0&amp;row=2227&amp;col=6&amp;number=3.3&amp;sourceID=14","3.3")</f>
        <v>3.3</v>
      </c>
      <c r="G2227" s="4" t="str">
        <f>HYPERLINK("http://141.218.60.56/~jnz1568/getInfo.php?workbook=10_05.xlsx&amp;sheet=U0&amp;row=2227&amp;col=7&amp;number=0.00209&amp;sourceID=14","0.00209")</f>
        <v>0.00209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HYPERLINK("http://141.218.60.56/~jnz1568/getInfo.php?workbook=10_05.xlsx&amp;sheet=U0&amp;row=2228&amp;col=6&amp;number=3.4&amp;sourceID=14","3.4")</f>
        <v>3.4</v>
      </c>
      <c r="G2228" s="4" t="str">
        <f>HYPERLINK("http://141.218.60.56/~jnz1568/getInfo.php?workbook=10_05.xlsx&amp;sheet=U0&amp;row=2228&amp;col=7&amp;number=0.00208&amp;sourceID=14","0.00208")</f>
        <v>0.00208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HYPERLINK("http://141.218.60.56/~jnz1568/getInfo.php?workbook=10_05.xlsx&amp;sheet=U0&amp;row=2229&amp;col=6&amp;number=3.5&amp;sourceID=14","3.5")</f>
        <v>3.5</v>
      </c>
      <c r="G2229" s="4" t="str">
        <f>HYPERLINK("http://141.218.60.56/~jnz1568/getInfo.php?workbook=10_05.xlsx&amp;sheet=U0&amp;row=2229&amp;col=7&amp;number=0.00207&amp;sourceID=14","0.00207")</f>
        <v>0.00207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HYPERLINK("http://141.218.60.56/~jnz1568/getInfo.php?workbook=10_05.xlsx&amp;sheet=U0&amp;row=2230&amp;col=6&amp;number=3.6&amp;sourceID=14","3.6")</f>
        <v>3.6</v>
      </c>
      <c r="G2230" s="4" t="str">
        <f>HYPERLINK("http://141.218.60.56/~jnz1568/getInfo.php?workbook=10_05.xlsx&amp;sheet=U0&amp;row=2230&amp;col=7&amp;number=0.00205&amp;sourceID=14","0.00205")</f>
        <v>0.00205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HYPERLINK("http://141.218.60.56/~jnz1568/getInfo.php?workbook=10_05.xlsx&amp;sheet=U0&amp;row=2231&amp;col=6&amp;number=3.7&amp;sourceID=14","3.7")</f>
        <v>3.7</v>
      </c>
      <c r="G2231" s="4" t="str">
        <f>HYPERLINK("http://141.218.60.56/~jnz1568/getInfo.php?workbook=10_05.xlsx&amp;sheet=U0&amp;row=2231&amp;col=7&amp;number=0.00203&amp;sourceID=14","0.00203")</f>
        <v>0.00203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HYPERLINK("http://141.218.60.56/~jnz1568/getInfo.php?workbook=10_05.xlsx&amp;sheet=U0&amp;row=2232&amp;col=6&amp;number=3.8&amp;sourceID=14","3.8")</f>
        <v>3.8</v>
      </c>
      <c r="G2232" s="4" t="str">
        <f>HYPERLINK("http://141.218.60.56/~jnz1568/getInfo.php?workbook=10_05.xlsx&amp;sheet=U0&amp;row=2232&amp;col=7&amp;number=0.002&amp;sourceID=14","0.002")</f>
        <v>0.002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HYPERLINK("http://141.218.60.56/~jnz1568/getInfo.php?workbook=10_05.xlsx&amp;sheet=U0&amp;row=2233&amp;col=6&amp;number=3.9&amp;sourceID=14","3.9")</f>
        <v>3.9</v>
      </c>
      <c r="G2233" s="4" t="str">
        <f>HYPERLINK("http://141.218.60.56/~jnz1568/getInfo.php?workbook=10_05.xlsx&amp;sheet=U0&amp;row=2233&amp;col=7&amp;number=0.00196&amp;sourceID=14","0.00196")</f>
        <v>0.00196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HYPERLINK("http://141.218.60.56/~jnz1568/getInfo.php?workbook=10_05.xlsx&amp;sheet=U0&amp;row=2234&amp;col=6&amp;number=4&amp;sourceID=14","4")</f>
        <v>4</v>
      </c>
      <c r="G2234" s="4" t="str">
        <f>HYPERLINK("http://141.218.60.56/~jnz1568/getInfo.php?workbook=10_05.xlsx&amp;sheet=U0&amp;row=2234&amp;col=7&amp;number=0.00192&amp;sourceID=14","0.00192")</f>
        <v>0.00192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HYPERLINK("http://141.218.60.56/~jnz1568/getInfo.php?workbook=10_05.xlsx&amp;sheet=U0&amp;row=2235&amp;col=6&amp;number=4.1&amp;sourceID=14","4.1")</f>
        <v>4.1</v>
      </c>
      <c r="G2235" s="4" t="str">
        <f>HYPERLINK("http://141.218.60.56/~jnz1568/getInfo.php?workbook=10_05.xlsx&amp;sheet=U0&amp;row=2235&amp;col=7&amp;number=0.00187&amp;sourceID=14","0.00187")</f>
        <v>0.00187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HYPERLINK("http://141.218.60.56/~jnz1568/getInfo.php?workbook=10_05.xlsx&amp;sheet=U0&amp;row=2236&amp;col=6&amp;number=4.2&amp;sourceID=14","4.2")</f>
        <v>4.2</v>
      </c>
      <c r="G2236" s="4" t="str">
        <f>HYPERLINK("http://141.218.60.56/~jnz1568/getInfo.php?workbook=10_05.xlsx&amp;sheet=U0&amp;row=2236&amp;col=7&amp;number=0.00181&amp;sourceID=14","0.00181")</f>
        <v>0.00181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HYPERLINK("http://141.218.60.56/~jnz1568/getInfo.php?workbook=10_05.xlsx&amp;sheet=U0&amp;row=2237&amp;col=6&amp;number=4.3&amp;sourceID=14","4.3")</f>
        <v>4.3</v>
      </c>
      <c r="G2237" s="4" t="str">
        <f>HYPERLINK("http://141.218.60.56/~jnz1568/getInfo.php?workbook=10_05.xlsx&amp;sheet=U0&amp;row=2237&amp;col=7&amp;number=0.00174&amp;sourceID=14","0.00174")</f>
        <v>0.00174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HYPERLINK("http://141.218.60.56/~jnz1568/getInfo.php?workbook=10_05.xlsx&amp;sheet=U0&amp;row=2238&amp;col=6&amp;number=4.4&amp;sourceID=14","4.4")</f>
        <v>4.4</v>
      </c>
      <c r="G2238" s="4" t="str">
        <f>HYPERLINK("http://141.218.60.56/~jnz1568/getInfo.php?workbook=10_05.xlsx&amp;sheet=U0&amp;row=2238&amp;col=7&amp;number=0.00167&amp;sourceID=14","0.00167")</f>
        <v>0.00167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HYPERLINK("http://141.218.60.56/~jnz1568/getInfo.php?workbook=10_05.xlsx&amp;sheet=U0&amp;row=2239&amp;col=6&amp;number=4.5&amp;sourceID=14","4.5")</f>
        <v>4.5</v>
      </c>
      <c r="G2239" s="4" t="str">
        <f>HYPERLINK("http://141.218.60.56/~jnz1568/getInfo.php?workbook=10_05.xlsx&amp;sheet=U0&amp;row=2239&amp;col=7&amp;number=0.00158&amp;sourceID=14","0.00158")</f>
        <v>0.00158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HYPERLINK("http://141.218.60.56/~jnz1568/getInfo.php?workbook=10_05.xlsx&amp;sheet=U0&amp;row=2240&amp;col=6&amp;number=4.6&amp;sourceID=14","4.6")</f>
        <v>4.6</v>
      </c>
      <c r="G2240" s="4" t="str">
        <f>HYPERLINK("http://141.218.60.56/~jnz1568/getInfo.php?workbook=10_05.xlsx&amp;sheet=U0&amp;row=2240&amp;col=7&amp;number=0.00148&amp;sourceID=14","0.00148")</f>
        <v>0.00148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HYPERLINK("http://141.218.60.56/~jnz1568/getInfo.php?workbook=10_05.xlsx&amp;sheet=U0&amp;row=2241&amp;col=6&amp;number=4.7&amp;sourceID=14","4.7")</f>
        <v>4.7</v>
      </c>
      <c r="G2241" s="4" t="str">
        <f>HYPERLINK("http://141.218.60.56/~jnz1568/getInfo.php?workbook=10_05.xlsx&amp;sheet=U0&amp;row=2241&amp;col=7&amp;number=0.00139&amp;sourceID=14","0.00139")</f>
        <v>0.00139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HYPERLINK("http://141.218.60.56/~jnz1568/getInfo.php?workbook=10_05.xlsx&amp;sheet=U0&amp;row=2242&amp;col=6&amp;number=4.8&amp;sourceID=14","4.8")</f>
        <v>4.8</v>
      </c>
      <c r="G2242" s="4" t="str">
        <f>HYPERLINK("http://141.218.60.56/~jnz1568/getInfo.php?workbook=10_05.xlsx&amp;sheet=U0&amp;row=2242&amp;col=7&amp;number=0.0013&amp;sourceID=14","0.0013")</f>
        <v>0.0013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HYPERLINK("http://141.218.60.56/~jnz1568/getInfo.php?workbook=10_05.xlsx&amp;sheet=U0&amp;row=2243&amp;col=6&amp;number=4.9&amp;sourceID=14","4.9")</f>
        <v>4.9</v>
      </c>
      <c r="G2243" s="4" t="str">
        <f>HYPERLINK("http://141.218.60.56/~jnz1568/getInfo.php?workbook=10_05.xlsx&amp;sheet=U0&amp;row=2243&amp;col=7&amp;number=0.00122&amp;sourceID=14","0.00122")</f>
        <v>0.00122</v>
      </c>
    </row>
    <row r="2244" spans="1:7">
      <c r="A2244" s="3">
        <v>10</v>
      </c>
      <c r="B2244" s="3">
        <v>5</v>
      </c>
      <c r="C2244" s="3">
        <v>1</v>
      </c>
      <c r="D2244" s="3">
        <v>114</v>
      </c>
      <c r="E2244" s="3">
        <v>1</v>
      </c>
      <c r="F2244" s="4" t="str">
        <f>HYPERLINK("http://141.218.60.56/~jnz1568/getInfo.php?workbook=10_05.xlsx&amp;sheet=U0&amp;row=2244&amp;col=6&amp;number=3&amp;sourceID=14","3")</f>
        <v>3</v>
      </c>
      <c r="G2244" s="4" t="str">
        <f>HYPERLINK("http://141.218.60.56/~jnz1568/getInfo.php?workbook=10_05.xlsx&amp;sheet=U0&amp;row=2244&amp;col=7&amp;number=0.00198&amp;sourceID=14","0.00198")</f>
        <v>0.00198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HYPERLINK("http://141.218.60.56/~jnz1568/getInfo.php?workbook=10_05.xlsx&amp;sheet=U0&amp;row=2245&amp;col=6&amp;number=3.1&amp;sourceID=14","3.1")</f>
        <v>3.1</v>
      </c>
      <c r="G2245" s="4" t="str">
        <f>HYPERLINK("http://141.218.60.56/~jnz1568/getInfo.php?workbook=10_05.xlsx&amp;sheet=U0&amp;row=2245&amp;col=7&amp;number=0.00197&amp;sourceID=14","0.00197")</f>
        <v>0.00197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HYPERLINK("http://141.218.60.56/~jnz1568/getInfo.php?workbook=10_05.xlsx&amp;sheet=U0&amp;row=2246&amp;col=6&amp;number=3.2&amp;sourceID=14","3.2")</f>
        <v>3.2</v>
      </c>
      <c r="G2246" s="4" t="str">
        <f>HYPERLINK("http://141.218.60.56/~jnz1568/getInfo.php?workbook=10_05.xlsx&amp;sheet=U0&amp;row=2246&amp;col=7&amp;number=0.00197&amp;sourceID=14","0.00197")</f>
        <v>0.00197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HYPERLINK("http://141.218.60.56/~jnz1568/getInfo.php?workbook=10_05.xlsx&amp;sheet=U0&amp;row=2247&amp;col=6&amp;number=3.3&amp;sourceID=14","3.3")</f>
        <v>3.3</v>
      </c>
      <c r="G2247" s="4" t="str">
        <f>HYPERLINK("http://141.218.60.56/~jnz1568/getInfo.php?workbook=10_05.xlsx&amp;sheet=U0&amp;row=2247&amp;col=7&amp;number=0.00196&amp;sourceID=14","0.00196")</f>
        <v>0.00196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HYPERLINK("http://141.218.60.56/~jnz1568/getInfo.php?workbook=10_05.xlsx&amp;sheet=U0&amp;row=2248&amp;col=6&amp;number=3.4&amp;sourceID=14","3.4")</f>
        <v>3.4</v>
      </c>
      <c r="G2248" s="4" t="str">
        <f>HYPERLINK("http://141.218.60.56/~jnz1568/getInfo.php?workbook=10_05.xlsx&amp;sheet=U0&amp;row=2248&amp;col=7&amp;number=0.00195&amp;sourceID=14","0.00195")</f>
        <v>0.00195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HYPERLINK("http://141.218.60.56/~jnz1568/getInfo.php?workbook=10_05.xlsx&amp;sheet=U0&amp;row=2249&amp;col=6&amp;number=3.5&amp;sourceID=14","3.5")</f>
        <v>3.5</v>
      </c>
      <c r="G2249" s="4" t="str">
        <f>HYPERLINK("http://141.218.60.56/~jnz1568/getInfo.php?workbook=10_05.xlsx&amp;sheet=U0&amp;row=2249&amp;col=7&amp;number=0.00193&amp;sourceID=14","0.00193")</f>
        <v>0.00193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HYPERLINK("http://141.218.60.56/~jnz1568/getInfo.php?workbook=10_05.xlsx&amp;sheet=U0&amp;row=2250&amp;col=6&amp;number=3.6&amp;sourceID=14","3.6")</f>
        <v>3.6</v>
      </c>
      <c r="G2250" s="4" t="str">
        <f>HYPERLINK("http://141.218.60.56/~jnz1568/getInfo.php?workbook=10_05.xlsx&amp;sheet=U0&amp;row=2250&amp;col=7&amp;number=0.00192&amp;sourceID=14","0.00192")</f>
        <v>0.00192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HYPERLINK("http://141.218.60.56/~jnz1568/getInfo.php?workbook=10_05.xlsx&amp;sheet=U0&amp;row=2251&amp;col=6&amp;number=3.7&amp;sourceID=14","3.7")</f>
        <v>3.7</v>
      </c>
      <c r="G2251" s="4" t="str">
        <f>HYPERLINK("http://141.218.60.56/~jnz1568/getInfo.php?workbook=10_05.xlsx&amp;sheet=U0&amp;row=2251&amp;col=7&amp;number=0.0019&amp;sourceID=14","0.0019")</f>
        <v>0.0019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HYPERLINK("http://141.218.60.56/~jnz1568/getInfo.php?workbook=10_05.xlsx&amp;sheet=U0&amp;row=2252&amp;col=6&amp;number=3.8&amp;sourceID=14","3.8")</f>
        <v>3.8</v>
      </c>
      <c r="G2252" s="4" t="str">
        <f>HYPERLINK("http://141.218.60.56/~jnz1568/getInfo.php?workbook=10_05.xlsx&amp;sheet=U0&amp;row=2252&amp;col=7&amp;number=0.00187&amp;sourceID=14","0.00187")</f>
        <v>0.00187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HYPERLINK("http://141.218.60.56/~jnz1568/getInfo.php?workbook=10_05.xlsx&amp;sheet=U0&amp;row=2253&amp;col=6&amp;number=3.9&amp;sourceID=14","3.9")</f>
        <v>3.9</v>
      </c>
      <c r="G2253" s="4" t="str">
        <f>HYPERLINK("http://141.218.60.56/~jnz1568/getInfo.php?workbook=10_05.xlsx&amp;sheet=U0&amp;row=2253&amp;col=7&amp;number=0.00184&amp;sourceID=14","0.00184")</f>
        <v>0.00184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HYPERLINK("http://141.218.60.56/~jnz1568/getInfo.php?workbook=10_05.xlsx&amp;sheet=U0&amp;row=2254&amp;col=6&amp;number=4&amp;sourceID=14","4")</f>
        <v>4</v>
      </c>
      <c r="G2254" s="4" t="str">
        <f>HYPERLINK("http://141.218.60.56/~jnz1568/getInfo.php?workbook=10_05.xlsx&amp;sheet=U0&amp;row=2254&amp;col=7&amp;number=0.00181&amp;sourceID=14","0.00181")</f>
        <v>0.00181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HYPERLINK("http://141.218.60.56/~jnz1568/getInfo.php?workbook=10_05.xlsx&amp;sheet=U0&amp;row=2255&amp;col=6&amp;number=4.1&amp;sourceID=14","4.1")</f>
        <v>4.1</v>
      </c>
      <c r="G2255" s="4" t="str">
        <f>HYPERLINK("http://141.218.60.56/~jnz1568/getInfo.php?workbook=10_05.xlsx&amp;sheet=U0&amp;row=2255&amp;col=7&amp;number=0.00176&amp;sourceID=14","0.00176")</f>
        <v>0.00176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HYPERLINK("http://141.218.60.56/~jnz1568/getInfo.php?workbook=10_05.xlsx&amp;sheet=U0&amp;row=2256&amp;col=6&amp;number=4.2&amp;sourceID=14","4.2")</f>
        <v>4.2</v>
      </c>
      <c r="G2256" s="4" t="str">
        <f>HYPERLINK("http://141.218.60.56/~jnz1568/getInfo.php?workbook=10_05.xlsx&amp;sheet=U0&amp;row=2256&amp;col=7&amp;number=0.00171&amp;sourceID=14","0.00171")</f>
        <v>0.00171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HYPERLINK("http://141.218.60.56/~jnz1568/getInfo.php?workbook=10_05.xlsx&amp;sheet=U0&amp;row=2257&amp;col=6&amp;number=4.3&amp;sourceID=14","4.3")</f>
        <v>4.3</v>
      </c>
      <c r="G2257" s="4" t="str">
        <f>HYPERLINK("http://141.218.60.56/~jnz1568/getInfo.php?workbook=10_05.xlsx&amp;sheet=U0&amp;row=2257&amp;col=7&amp;number=0.00165&amp;sourceID=14","0.00165")</f>
        <v>0.00165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HYPERLINK("http://141.218.60.56/~jnz1568/getInfo.php?workbook=10_05.xlsx&amp;sheet=U0&amp;row=2258&amp;col=6&amp;number=4.4&amp;sourceID=14","4.4")</f>
        <v>4.4</v>
      </c>
      <c r="G2258" s="4" t="str">
        <f>HYPERLINK("http://141.218.60.56/~jnz1568/getInfo.php?workbook=10_05.xlsx&amp;sheet=U0&amp;row=2258&amp;col=7&amp;number=0.00158&amp;sourceID=14","0.00158")</f>
        <v>0.00158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HYPERLINK("http://141.218.60.56/~jnz1568/getInfo.php?workbook=10_05.xlsx&amp;sheet=U0&amp;row=2259&amp;col=6&amp;number=4.5&amp;sourceID=14","4.5")</f>
        <v>4.5</v>
      </c>
      <c r="G2259" s="4" t="str">
        <f>HYPERLINK("http://141.218.60.56/~jnz1568/getInfo.php?workbook=10_05.xlsx&amp;sheet=U0&amp;row=2259&amp;col=7&amp;number=0.00151&amp;sourceID=14","0.00151")</f>
        <v>0.00151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HYPERLINK("http://141.218.60.56/~jnz1568/getInfo.php?workbook=10_05.xlsx&amp;sheet=U0&amp;row=2260&amp;col=6&amp;number=4.6&amp;sourceID=14","4.6")</f>
        <v>4.6</v>
      </c>
      <c r="G2260" s="4" t="str">
        <f>HYPERLINK("http://141.218.60.56/~jnz1568/getInfo.php?workbook=10_05.xlsx&amp;sheet=U0&amp;row=2260&amp;col=7&amp;number=0.00143&amp;sourceID=14","0.00143")</f>
        <v>0.00143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HYPERLINK("http://141.218.60.56/~jnz1568/getInfo.php?workbook=10_05.xlsx&amp;sheet=U0&amp;row=2261&amp;col=6&amp;number=4.7&amp;sourceID=14","4.7")</f>
        <v>4.7</v>
      </c>
      <c r="G2261" s="4" t="str">
        <f>HYPERLINK("http://141.218.60.56/~jnz1568/getInfo.php?workbook=10_05.xlsx&amp;sheet=U0&amp;row=2261&amp;col=7&amp;number=0.00136&amp;sourceID=14","0.00136")</f>
        <v>0.00136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HYPERLINK("http://141.218.60.56/~jnz1568/getInfo.php?workbook=10_05.xlsx&amp;sheet=U0&amp;row=2262&amp;col=6&amp;number=4.8&amp;sourceID=14","4.8")</f>
        <v>4.8</v>
      </c>
      <c r="G2262" s="4" t="str">
        <f>HYPERLINK("http://141.218.60.56/~jnz1568/getInfo.php?workbook=10_05.xlsx&amp;sheet=U0&amp;row=2262&amp;col=7&amp;number=0.00129&amp;sourceID=14","0.00129")</f>
        <v>0.00129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HYPERLINK("http://141.218.60.56/~jnz1568/getInfo.php?workbook=10_05.xlsx&amp;sheet=U0&amp;row=2263&amp;col=6&amp;number=4.9&amp;sourceID=14","4.9")</f>
        <v>4.9</v>
      </c>
      <c r="G2263" s="4" t="str">
        <f>HYPERLINK("http://141.218.60.56/~jnz1568/getInfo.php?workbook=10_05.xlsx&amp;sheet=U0&amp;row=2263&amp;col=7&amp;number=0.00123&amp;sourceID=14","0.00123")</f>
        <v>0.00123</v>
      </c>
    </row>
    <row r="2264" spans="1:7">
      <c r="A2264" s="3">
        <v>10</v>
      </c>
      <c r="B2264" s="3">
        <v>5</v>
      </c>
      <c r="C2264" s="3">
        <v>1</v>
      </c>
      <c r="D2264" s="3">
        <v>115</v>
      </c>
      <c r="E2264" s="3">
        <v>1</v>
      </c>
      <c r="F2264" s="4" t="str">
        <f>HYPERLINK("http://141.218.60.56/~jnz1568/getInfo.php?workbook=10_05.xlsx&amp;sheet=U0&amp;row=2264&amp;col=6&amp;number=3&amp;sourceID=14","3")</f>
        <v>3</v>
      </c>
      <c r="G2264" s="4" t="str">
        <f>HYPERLINK("http://141.218.60.56/~jnz1568/getInfo.php?workbook=10_05.xlsx&amp;sheet=U0&amp;row=2264&amp;col=7&amp;number=0.00155&amp;sourceID=14","0.00155")</f>
        <v>0.00155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HYPERLINK("http://141.218.60.56/~jnz1568/getInfo.php?workbook=10_05.xlsx&amp;sheet=U0&amp;row=2265&amp;col=6&amp;number=3.1&amp;sourceID=14","3.1")</f>
        <v>3.1</v>
      </c>
      <c r="G2265" s="4" t="str">
        <f>HYPERLINK("http://141.218.60.56/~jnz1568/getInfo.php?workbook=10_05.xlsx&amp;sheet=U0&amp;row=2265&amp;col=7&amp;number=0.00154&amp;sourceID=14","0.00154")</f>
        <v>0.00154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HYPERLINK("http://141.218.60.56/~jnz1568/getInfo.php?workbook=10_05.xlsx&amp;sheet=U0&amp;row=2266&amp;col=6&amp;number=3.2&amp;sourceID=14","3.2")</f>
        <v>3.2</v>
      </c>
      <c r="G2266" s="4" t="str">
        <f>HYPERLINK("http://141.218.60.56/~jnz1568/getInfo.php?workbook=10_05.xlsx&amp;sheet=U0&amp;row=2266&amp;col=7&amp;number=0.00154&amp;sourceID=14","0.00154")</f>
        <v>0.00154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HYPERLINK("http://141.218.60.56/~jnz1568/getInfo.php?workbook=10_05.xlsx&amp;sheet=U0&amp;row=2267&amp;col=6&amp;number=3.3&amp;sourceID=14","3.3")</f>
        <v>3.3</v>
      </c>
      <c r="G2267" s="4" t="str">
        <f>HYPERLINK("http://141.218.60.56/~jnz1568/getInfo.php?workbook=10_05.xlsx&amp;sheet=U0&amp;row=2267&amp;col=7&amp;number=0.00153&amp;sourceID=14","0.00153")</f>
        <v>0.00153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HYPERLINK("http://141.218.60.56/~jnz1568/getInfo.php?workbook=10_05.xlsx&amp;sheet=U0&amp;row=2268&amp;col=6&amp;number=3.4&amp;sourceID=14","3.4")</f>
        <v>3.4</v>
      </c>
      <c r="G2268" s="4" t="str">
        <f>HYPERLINK("http://141.218.60.56/~jnz1568/getInfo.php?workbook=10_05.xlsx&amp;sheet=U0&amp;row=2268&amp;col=7&amp;number=0.00152&amp;sourceID=14","0.00152")</f>
        <v>0.00152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HYPERLINK("http://141.218.60.56/~jnz1568/getInfo.php?workbook=10_05.xlsx&amp;sheet=U0&amp;row=2269&amp;col=6&amp;number=3.5&amp;sourceID=14","3.5")</f>
        <v>3.5</v>
      </c>
      <c r="G2269" s="4" t="str">
        <f>HYPERLINK("http://141.218.60.56/~jnz1568/getInfo.php?workbook=10_05.xlsx&amp;sheet=U0&amp;row=2269&amp;col=7&amp;number=0.00151&amp;sourceID=14","0.00151")</f>
        <v>0.00151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HYPERLINK("http://141.218.60.56/~jnz1568/getInfo.php?workbook=10_05.xlsx&amp;sheet=U0&amp;row=2270&amp;col=6&amp;number=3.6&amp;sourceID=14","3.6")</f>
        <v>3.6</v>
      </c>
      <c r="G2270" s="4" t="str">
        <f>HYPERLINK("http://141.218.60.56/~jnz1568/getInfo.php?workbook=10_05.xlsx&amp;sheet=U0&amp;row=2270&amp;col=7&amp;number=0.0015&amp;sourceID=14","0.0015")</f>
        <v>0.0015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HYPERLINK("http://141.218.60.56/~jnz1568/getInfo.php?workbook=10_05.xlsx&amp;sheet=U0&amp;row=2271&amp;col=6&amp;number=3.7&amp;sourceID=14","3.7")</f>
        <v>3.7</v>
      </c>
      <c r="G2271" s="4" t="str">
        <f>HYPERLINK("http://141.218.60.56/~jnz1568/getInfo.php?workbook=10_05.xlsx&amp;sheet=U0&amp;row=2271&amp;col=7&amp;number=0.00149&amp;sourceID=14","0.00149")</f>
        <v>0.00149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HYPERLINK("http://141.218.60.56/~jnz1568/getInfo.php?workbook=10_05.xlsx&amp;sheet=U0&amp;row=2272&amp;col=6&amp;number=3.8&amp;sourceID=14","3.8")</f>
        <v>3.8</v>
      </c>
      <c r="G2272" s="4" t="str">
        <f>HYPERLINK("http://141.218.60.56/~jnz1568/getInfo.php?workbook=10_05.xlsx&amp;sheet=U0&amp;row=2272&amp;col=7&amp;number=0.00147&amp;sourceID=14","0.00147")</f>
        <v>0.00147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HYPERLINK("http://141.218.60.56/~jnz1568/getInfo.php?workbook=10_05.xlsx&amp;sheet=U0&amp;row=2273&amp;col=6&amp;number=3.9&amp;sourceID=14","3.9")</f>
        <v>3.9</v>
      </c>
      <c r="G2273" s="4" t="str">
        <f>HYPERLINK("http://141.218.60.56/~jnz1568/getInfo.php?workbook=10_05.xlsx&amp;sheet=U0&amp;row=2273&amp;col=7&amp;number=0.00145&amp;sourceID=14","0.00145")</f>
        <v>0.00145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HYPERLINK("http://141.218.60.56/~jnz1568/getInfo.php?workbook=10_05.xlsx&amp;sheet=U0&amp;row=2274&amp;col=6&amp;number=4&amp;sourceID=14","4")</f>
        <v>4</v>
      </c>
      <c r="G2274" s="4" t="str">
        <f>HYPERLINK("http://141.218.60.56/~jnz1568/getInfo.php?workbook=10_05.xlsx&amp;sheet=U0&amp;row=2274&amp;col=7&amp;number=0.00142&amp;sourceID=14","0.00142")</f>
        <v>0.00142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HYPERLINK("http://141.218.60.56/~jnz1568/getInfo.php?workbook=10_05.xlsx&amp;sheet=U0&amp;row=2275&amp;col=6&amp;number=4.1&amp;sourceID=14","4.1")</f>
        <v>4.1</v>
      </c>
      <c r="G2275" s="4" t="str">
        <f>HYPERLINK("http://141.218.60.56/~jnz1568/getInfo.php?workbook=10_05.xlsx&amp;sheet=U0&amp;row=2275&amp;col=7&amp;number=0.00139&amp;sourceID=14","0.00139")</f>
        <v>0.00139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HYPERLINK("http://141.218.60.56/~jnz1568/getInfo.php?workbook=10_05.xlsx&amp;sheet=U0&amp;row=2276&amp;col=6&amp;number=4.2&amp;sourceID=14","4.2")</f>
        <v>4.2</v>
      </c>
      <c r="G2276" s="4" t="str">
        <f>HYPERLINK("http://141.218.60.56/~jnz1568/getInfo.php?workbook=10_05.xlsx&amp;sheet=U0&amp;row=2276&amp;col=7&amp;number=0.00136&amp;sourceID=14","0.00136")</f>
        <v>0.00136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HYPERLINK("http://141.218.60.56/~jnz1568/getInfo.php?workbook=10_05.xlsx&amp;sheet=U0&amp;row=2277&amp;col=6&amp;number=4.3&amp;sourceID=14","4.3")</f>
        <v>4.3</v>
      </c>
      <c r="G2277" s="4" t="str">
        <f>HYPERLINK("http://141.218.60.56/~jnz1568/getInfo.php?workbook=10_05.xlsx&amp;sheet=U0&amp;row=2277&amp;col=7&amp;number=0.00132&amp;sourceID=14","0.00132")</f>
        <v>0.00132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HYPERLINK("http://141.218.60.56/~jnz1568/getInfo.php?workbook=10_05.xlsx&amp;sheet=U0&amp;row=2278&amp;col=6&amp;number=4.4&amp;sourceID=14","4.4")</f>
        <v>4.4</v>
      </c>
      <c r="G2278" s="4" t="str">
        <f>HYPERLINK("http://141.218.60.56/~jnz1568/getInfo.php?workbook=10_05.xlsx&amp;sheet=U0&amp;row=2278&amp;col=7&amp;number=0.00128&amp;sourceID=14","0.00128")</f>
        <v>0.00128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HYPERLINK("http://141.218.60.56/~jnz1568/getInfo.php?workbook=10_05.xlsx&amp;sheet=U0&amp;row=2279&amp;col=6&amp;number=4.5&amp;sourceID=14","4.5")</f>
        <v>4.5</v>
      </c>
      <c r="G2279" s="4" t="str">
        <f>HYPERLINK("http://141.218.60.56/~jnz1568/getInfo.php?workbook=10_05.xlsx&amp;sheet=U0&amp;row=2279&amp;col=7&amp;number=0.00124&amp;sourceID=14","0.00124")</f>
        <v>0.00124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HYPERLINK("http://141.218.60.56/~jnz1568/getInfo.php?workbook=10_05.xlsx&amp;sheet=U0&amp;row=2280&amp;col=6&amp;number=4.6&amp;sourceID=14","4.6")</f>
        <v>4.6</v>
      </c>
      <c r="G2280" s="4" t="str">
        <f>HYPERLINK("http://141.218.60.56/~jnz1568/getInfo.php?workbook=10_05.xlsx&amp;sheet=U0&amp;row=2280&amp;col=7&amp;number=0.00121&amp;sourceID=14","0.00121")</f>
        <v>0.00121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HYPERLINK("http://141.218.60.56/~jnz1568/getInfo.php?workbook=10_05.xlsx&amp;sheet=U0&amp;row=2281&amp;col=6&amp;number=4.7&amp;sourceID=14","4.7")</f>
        <v>4.7</v>
      </c>
      <c r="G2281" s="4" t="str">
        <f>HYPERLINK("http://141.218.60.56/~jnz1568/getInfo.php?workbook=10_05.xlsx&amp;sheet=U0&amp;row=2281&amp;col=7&amp;number=0.00118&amp;sourceID=14","0.00118")</f>
        <v>0.00118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HYPERLINK("http://141.218.60.56/~jnz1568/getInfo.php?workbook=10_05.xlsx&amp;sheet=U0&amp;row=2282&amp;col=6&amp;number=4.8&amp;sourceID=14","4.8")</f>
        <v>4.8</v>
      </c>
      <c r="G2282" s="4" t="str">
        <f>HYPERLINK("http://141.218.60.56/~jnz1568/getInfo.php?workbook=10_05.xlsx&amp;sheet=U0&amp;row=2282&amp;col=7&amp;number=0.00115&amp;sourceID=14","0.00115")</f>
        <v>0.00115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HYPERLINK("http://141.218.60.56/~jnz1568/getInfo.php?workbook=10_05.xlsx&amp;sheet=U0&amp;row=2283&amp;col=6&amp;number=4.9&amp;sourceID=14","4.9")</f>
        <v>4.9</v>
      </c>
      <c r="G2283" s="4" t="str">
        <f>HYPERLINK("http://141.218.60.56/~jnz1568/getInfo.php?workbook=10_05.xlsx&amp;sheet=U0&amp;row=2283&amp;col=7&amp;number=0.00113&amp;sourceID=14","0.00113")</f>
        <v>0.00113</v>
      </c>
    </row>
    <row r="2284" spans="1:7">
      <c r="A2284" s="3">
        <v>10</v>
      </c>
      <c r="B2284" s="3">
        <v>5</v>
      </c>
      <c r="C2284" s="3">
        <v>1</v>
      </c>
      <c r="D2284" s="3">
        <v>116</v>
      </c>
      <c r="E2284" s="3">
        <v>1</v>
      </c>
      <c r="F2284" s="4" t="str">
        <f>HYPERLINK("http://141.218.60.56/~jnz1568/getInfo.php?workbook=10_05.xlsx&amp;sheet=U0&amp;row=2284&amp;col=6&amp;number=3&amp;sourceID=14","3")</f>
        <v>3</v>
      </c>
      <c r="G2284" s="4" t="str">
        <f>HYPERLINK("http://141.218.60.56/~jnz1568/getInfo.php?workbook=10_05.xlsx&amp;sheet=U0&amp;row=2284&amp;col=7&amp;number=0.00137&amp;sourceID=14","0.00137")</f>
        <v>0.00137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HYPERLINK("http://141.218.60.56/~jnz1568/getInfo.php?workbook=10_05.xlsx&amp;sheet=U0&amp;row=2285&amp;col=6&amp;number=3.1&amp;sourceID=14","3.1")</f>
        <v>3.1</v>
      </c>
      <c r="G2285" s="4" t="str">
        <f>HYPERLINK("http://141.218.60.56/~jnz1568/getInfo.php?workbook=10_05.xlsx&amp;sheet=U0&amp;row=2285&amp;col=7&amp;number=0.00136&amp;sourceID=14","0.00136")</f>
        <v>0.00136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HYPERLINK("http://141.218.60.56/~jnz1568/getInfo.php?workbook=10_05.xlsx&amp;sheet=U0&amp;row=2286&amp;col=6&amp;number=3.2&amp;sourceID=14","3.2")</f>
        <v>3.2</v>
      </c>
      <c r="G2286" s="4" t="str">
        <f>HYPERLINK("http://141.218.60.56/~jnz1568/getInfo.php?workbook=10_05.xlsx&amp;sheet=U0&amp;row=2286&amp;col=7&amp;number=0.00135&amp;sourceID=14","0.00135")</f>
        <v>0.00135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HYPERLINK("http://141.218.60.56/~jnz1568/getInfo.php?workbook=10_05.xlsx&amp;sheet=U0&amp;row=2287&amp;col=6&amp;number=3.3&amp;sourceID=14","3.3")</f>
        <v>3.3</v>
      </c>
      <c r="G2287" s="4" t="str">
        <f>HYPERLINK("http://141.218.60.56/~jnz1568/getInfo.php?workbook=10_05.xlsx&amp;sheet=U0&amp;row=2287&amp;col=7&amp;number=0.00134&amp;sourceID=14","0.00134")</f>
        <v>0.00134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HYPERLINK("http://141.218.60.56/~jnz1568/getInfo.php?workbook=10_05.xlsx&amp;sheet=U0&amp;row=2288&amp;col=6&amp;number=3.4&amp;sourceID=14","3.4")</f>
        <v>3.4</v>
      </c>
      <c r="G2288" s="4" t="str">
        <f>HYPERLINK("http://141.218.60.56/~jnz1568/getInfo.php?workbook=10_05.xlsx&amp;sheet=U0&amp;row=2288&amp;col=7&amp;number=0.00133&amp;sourceID=14","0.00133")</f>
        <v>0.00133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HYPERLINK("http://141.218.60.56/~jnz1568/getInfo.php?workbook=10_05.xlsx&amp;sheet=U0&amp;row=2289&amp;col=6&amp;number=3.5&amp;sourceID=14","3.5")</f>
        <v>3.5</v>
      </c>
      <c r="G2289" s="4" t="str">
        <f>HYPERLINK("http://141.218.60.56/~jnz1568/getInfo.php?workbook=10_05.xlsx&amp;sheet=U0&amp;row=2289&amp;col=7&amp;number=0.00132&amp;sourceID=14","0.00132")</f>
        <v>0.00132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HYPERLINK("http://141.218.60.56/~jnz1568/getInfo.php?workbook=10_05.xlsx&amp;sheet=U0&amp;row=2290&amp;col=6&amp;number=3.6&amp;sourceID=14","3.6")</f>
        <v>3.6</v>
      </c>
      <c r="G2290" s="4" t="str">
        <f>HYPERLINK("http://141.218.60.56/~jnz1568/getInfo.php?workbook=10_05.xlsx&amp;sheet=U0&amp;row=2290&amp;col=7&amp;number=0.0013&amp;sourceID=14","0.0013")</f>
        <v>0.0013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HYPERLINK("http://141.218.60.56/~jnz1568/getInfo.php?workbook=10_05.xlsx&amp;sheet=U0&amp;row=2291&amp;col=6&amp;number=3.7&amp;sourceID=14","3.7")</f>
        <v>3.7</v>
      </c>
      <c r="G2291" s="4" t="str">
        <f>HYPERLINK("http://141.218.60.56/~jnz1568/getInfo.php?workbook=10_05.xlsx&amp;sheet=U0&amp;row=2291&amp;col=7&amp;number=0.00128&amp;sourceID=14","0.00128")</f>
        <v>0.00128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HYPERLINK("http://141.218.60.56/~jnz1568/getInfo.php?workbook=10_05.xlsx&amp;sheet=U0&amp;row=2292&amp;col=6&amp;number=3.8&amp;sourceID=14","3.8")</f>
        <v>3.8</v>
      </c>
      <c r="G2292" s="4" t="str">
        <f>HYPERLINK("http://141.218.60.56/~jnz1568/getInfo.php?workbook=10_05.xlsx&amp;sheet=U0&amp;row=2292&amp;col=7&amp;number=0.00126&amp;sourceID=14","0.00126")</f>
        <v>0.00126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HYPERLINK("http://141.218.60.56/~jnz1568/getInfo.php?workbook=10_05.xlsx&amp;sheet=U0&amp;row=2293&amp;col=6&amp;number=3.9&amp;sourceID=14","3.9")</f>
        <v>3.9</v>
      </c>
      <c r="G2293" s="4" t="str">
        <f>HYPERLINK("http://141.218.60.56/~jnz1568/getInfo.php?workbook=10_05.xlsx&amp;sheet=U0&amp;row=2293&amp;col=7&amp;number=0.00123&amp;sourceID=14","0.00123")</f>
        <v>0.00123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HYPERLINK("http://141.218.60.56/~jnz1568/getInfo.php?workbook=10_05.xlsx&amp;sheet=U0&amp;row=2294&amp;col=6&amp;number=4&amp;sourceID=14","4")</f>
        <v>4</v>
      </c>
      <c r="G2294" s="4" t="str">
        <f>HYPERLINK("http://141.218.60.56/~jnz1568/getInfo.php?workbook=10_05.xlsx&amp;sheet=U0&amp;row=2294&amp;col=7&amp;number=0.00119&amp;sourceID=14","0.00119")</f>
        <v>0.00119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HYPERLINK("http://141.218.60.56/~jnz1568/getInfo.php?workbook=10_05.xlsx&amp;sheet=U0&amp;row=2295&amp;col=6&amp;number=4.1&amp;sourceID=14","4.1")</f>
        <v>4.1</v>
      </c>
      <c r="G2295" s="4" t="str">
        <f>HYPERLINK("http://141.218.60.56/~jnz1568/getInfo.php?workbook=10_05.xlsx&amp;sheet=U0&amp;row=2295&amp;col=7&amp;number=0.00115&amp;sourceID=14","0.00115")</f>
        <v>0.00115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HYPERLINK("http://141.218.60.56/~jnz1568/getInfo.php?workbook=10_05.xlsx&amp;sheet=U0&amp;row=2296&amp;col=6&amp;number=4.2&amp;sourceID=14","4.2")</f>
        <v>4.2</v>
      </c>
      <c r="G2296" s="4" t="str">
        <f>HYPERLINK("http://141.218.60.56/~jnz1568/getInfo.php?workbook=10_05.xlsx&amp;sheet=U0&amp;row=2296&amp;col=7&amp;number=0.0011&amp;sourceID=14","0.0011")</f>
        <v>0.0011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HYPERLINK("http://141.218.60.56/~jnz1568/getInfo.php?workbook=10_05.xlsx&amp;sheet=U0&amp;row=2297&amp;col=6&amp;number=4.3&amp;sourceID=14","4.3")</f>
        <v>4.3</v>
      </c>
      <c r="G2297" s="4" t="str">
        <f>HYPERLINK("http://141.218.60.56/~jnz1568/getInfo.php?workbook=10_05.xlsx&amp;sheet=U0&amp;row=2297&amp;col=7&amp;number=0.00104&amp;sourceID=14","0.00104")</f>
        <v>0.00104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HYPERLINK("http://141.218.60.56/~jnz1568/getInfo.php?workbook=10_05.xlsx&amp;sheet=U0&amp;row=2298&amp;col=6&amp;number=4.4&amp;sourceID=14","4.4")</f>
        <v>4.4</v>
      </c>
      <c r="G2298" s="4" t="str">
        <f>HYPERLINK("http://141.218.60.56/~jnz1568/getInfo.php?workbook=10_05.xlsx&amp;sheet=U0&amp;row=2298&amp;col=7&amp;number=0.000992&amp;sourceID=14","0.000992")</f>
        <v>0.000992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HYPERLINK("http://141.218.60.56/~jnz1568/getInfo.php?workbook=10_05.xlsx&amp;sheet=U0&amp;row=2299&amp;col=6&amp;number=4.5&amp;sourceID=14","4.5")</f>
        <v>4.5</v>
      </c>
      <c r="G2299" s="4" t="str">
        <f>HYPERLINK("http://141.218.60.56/~jnz1568/getInfo.php?workbook=10_05.xlsx&amp;sheet=U0&amp;row=2299&amp;col=7&amp;number=0.000948&amp;sourceID=14","0.000948")</f>
        <v>0.000948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HYPERLINK("http://141.218.60.56/~jnz1568/getInfo.php?workbook=10_05.xlsx&amp;sheet=U0&amp;row=2300&amp;col=6&amp;number=4.6&amp;sourceID=14","4.6")</f>
        <v>4.6</v>
      </c>
      <c r="G2300" s="4" t="str">
        <f>HYPERLINK("http://141.218.60.56/~jnz1568/getInfo.php?workbook=10_05.xlsx&amp;sheet=U0&amp;row=2300&amp;col=7&amp;number=0.000913&amp;sourceID=14","0.000913")</f>
        <v>0.000913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HYPERLINK("http://141.218.60.56/~jnz1568/getInfo.php?workbook=10_05.xlsx&amp;sheet=U0&amp;row=2301&amp;col=6&amp;number=4.7&amp;sourceID=14","4.7")</f>
        <v>4.7</v>
      </c>
      <c r="G2301" s="4" t="str">
        <f>HYPERLINK("http://141.218.60.56/~jnz1568/getInfo.php?workbook=10_05.xlsx&amp;sheet=U0&amp;row=2301&amp;col=7&amp;number=0.000885&amp;sourceID=14","0.000885")</f>
        <v>0.000885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HYPERLINK("http://141.218.60.56/~jnz1568/getInfo.php?workbook=10_05.xlsx&amp;sheet=U0&amp;row=2302&amp;col=6&amp;number=4.8&amp;sourceID=14","4.8")</f>
        <v>4.8</v>
      </c>
      <c r="G2302" s="4" t="str">
        <f>HYPERLINK("http://141.218.60.56/~jnz1568/getInfo.php?workbook=10_05.xlsx&amp;sheet=U0&amp;row=2302&amp;col=7&amp;number=0.000854&amp;sourceID=14","0.000854")</f>
        <v>0.000854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HYPERLINK("http://141.218.60.56/~jnz1568/getInfo.php?workbook=10_05.xlsx&amp;sheet=U0&amp;row=2303&amp;col=6&amp;number=4.9&amp;sourceID=14","4.9")</f>
        <v>4.9</v>
      </c>
      <c r="G2303" s="4" t="str">
        <f>HYPERLINK("http://141.218.60.56/~jnz1568/getInfo.php?workbook=10_05.xlsx&amp;sheet=U0&amp;row=2303&amp;col=7&amp;number=0.00082&amp;sourceID=14","0.00082")</f>
        <v>0.00082</v>
      </c>
    </row>
    <row r="2304" spans="1:7">
      <c r="A2304" s="3">
        <v>10</v>
      </c>
      <c r="B2304" s="3">
        <v>5</v>
      </c>
      <c r="C2304" s="3">
        <v>1</v>
      </c>
      <c r="D2304" s="3">
        <v>117</v>
      </c>
      <c r="E2304" s="3">
        <v>1</v>
      </c>
      <c r="F2304" s="4" t="str">
        <f>HYPERLINK("http://141.218.60.56/~jnz1568/getInfo.php?workbook=10_05.xlsx&amp;sheet=U0&amp;row=2304&amp;col=6&amp;number=3&amp;sourceID=14","3")</f>
        <v>3</v>
      </c>
      <c r="G2304" s="4" t="str">
        <f>HYPERLINK("http://141.218.60.56/~jnz1568/getInfo.php?workbook=10_05.xlsx&amp;sheet=U0&amp;row=2304&amp;col=7&amp;number=0.00407&amp;sourceID=14","0.00407")</f>
        <v>0.00407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HYPERLINK("http://141.218.60.56/~jnz1568/getInfo.php?workbook=10_05.xlsx&amp;sheet=U0&amp;row=2305&amp;col=6&amp;number=3.1&amp;sourceID=14","3.1")</f>
        <v>3.1</v>
      </c>
      <c r="G2305" s="4" t="str">
        <f>HYPERLINK("http://141.218.60.56/~jnz1568/getInfo.php?workbook=10_05.xlsx&amp;sheet=U0&amp;row=2305&amp;col=7&amp;number=0.00404&amp;sourceID=14","0.00404")</f>
        <v>0.00404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HYPERLINK("http://141.218.60.56/~jnz1568/getInfo.php?workbook=10_05.xlsx&amp;sheet=U0&amp;row=2306&amp;col=6&amp;number=3.2&amp;sourceID=14","3.2")</f>
        <v>3.2</v>
      </c>
      <c r="G2306" s="4" t="str">
        <f>HYPERLINK("http://141.218.60.56/~jnz1568/getInfo.php?workbook=10_05.xlsx&amp;sheet=U0&amp;row=2306&amp;col=7&amp;number=0.004&amp;sourceID=14","0.004")</f>
        <v>0.004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HYPERLINK("http://141.218.60.56/~jnz1568/getInfo.php?workbook=10_05.xlsx&amp;sheet=U0&amp;row=2307&amp;col=6&amp;number=3.3&amp;sourceID=14","3.3")</f>
        <v>3.3</v>
      </c>
      <c r="G2307" s="4" t="str">
        <f>HYPERLINK("http://141.218.60.56/~jnz1568/getInfo.php?workbook=10_05.xlsx&amp;sheet=U0&amp;row=2307&amp;col=7&amp;number=0.00394&amp;sourceID=14","0.00394")</f>
        <v>0.00394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HYPERLINK("http://141.218.60.56/~jnz1568/getInfo.php?workbook=10_05.xlsx&amp;sheet=U0&amp;row=2308&amp;col=6&amp;number=3.4&amp;sourceID=14","3.4")</f>
        <v>3.4</v>
      </c>
      <c r="G2308" s="4" t="str">
        <f>HYPERLINK("http://141.218.60.56/~jnz1568/getInfo.php?workbook=10_05.xlsx&amp;sheet=U0&amp;row=2308&amp;col=7&amp;number=0.00388&amp;sourceID=14","0.00388")</f>
        <v>0.00388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HYPERLINK("http://141.218.60.56/~jnz1568/getInfo.php?workbook=10_05.xlsx&amp;sheet=U0&amp;row=2309&amp;col=6&amp;number=3.5&amp;sourceID=14","3.5")</f>
        <v>3.5</v>
      </c>
      <c r="G2309" s="4" t="str">
        <f>HYPERLINK("http://141.218.60.56/~jnz1568/getInfo.php?workbook=10_05.xlsx&amp;sheet=U0&amp;row=2309&amp;col=7&amp;number=0.0038&amp;sourceID=14","0.0038")</f>
        <v>0.0038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HYPERLINK("http://141.218.60.56/~jnz1568/getInfo.php?workbook=10_05.xlsx&amp;sheet=U0&amp;row=2310&amp;col=6&amp;number=3.6&amp;sourceID=14","3.6")</f>
        <v>3.6</v>
      </c>
      <c r="G2310" s="4" t="str">
        <f>HYPERLINK("http://141.218.60.56/~jnz1568/getInfo.php?workbook=10_05.xlsx&amp;sheet=U0&amp;row=2310&amp;col=7&amp;number=0.00369&amp;sourceID=14","0.00369")</f>
        <v>0.00369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HYPERLINK("http://141.218.60.56/~jnz1568/getInfo.php?workbook=10_05.xlsx&amp;sheet=U0&amp;row=2311&amp;col=6&amp;number=3.7&amp;sourceID=14","3.7")</f>
        <v>3.7</v>
      </c>
      <c r="G2311" s="4" t="str">
        <f>HYPERLINK("http://141.218.60.56/~jnz1568/getInfo.php?workbook=10_05.xlsx&amp;sheet=U0&amp;row=2311&amp;col=7&amp;number=0.00357&amp;sourceID=14","0.00357")</f>
        <v>0.00357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HYPERLINK("http://141.218.60.56/~jnz1568/getInfo.php?workbook=10_05.xlsx&amp;sheet=U0&amp;row=2312&amp;col=6&amp;number=3.8&amp;sourceID=14","3.8")</f>
        <v>3.8</v>
      </c>
      <c r="G2312" s="4" t="str">
        <f>HYPERLINK("http://141.218.60.56/~jnz1568/getInfo.php?workbook=10_05.xlsx&amp;sheet=U0&amp;row=2312&amp;col=7&amp;number=0.00342&amp;sourceID=14","0.00342")</f>
        <v>0.00342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HYPERLINK("http://141.218.60.56/~jnz1568/getInfo.php?workbook=10_05.xlsx&amp;sheet=U0&amp;row=2313&amp;col=6&amp;number=3.9&amp;sourceID=14","3.9")</f>
        <v>3.9</v>
      </c>
      <c r="G2313" s="4" t="str">
        <f>HYPERLINK("http://141.218.60.56/~jnz1568/getInfo.php?workbook=10_05.xlsx&amp;sheet=U0&amp;row=2313&amp;col=7&amp;number=0.00324&amp;sourceID=14","0.00324")</f>
        <v>0.00324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HYPERLINK("http://141.218.60.56/~jnz1568/getInfo.php?workbook=10_05.xlsx&amp;sheet=U0&amp;row=2314&amp;col=6&amp;number=4&amp;sourceID=14","4")</f>
        <v>4</v>
      </c>
      <c r="G2314" s="4" t="str">
        <f>HYPERLINK("http://141.218.60.56/~jnz1568/getInfo.php?workbook=10_05.xlsx&amp;sheet=U0&amp;row=2314&amp;col=7&amp;number=0.00303&amp;sourceID=14","0.00303")</f>
        <v>0.00303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HYPERLINK("http://141.218.60.56/~jnz1568/getInfo.php?workbook=10_05.xlsx&amp;sheet=U0&amp;row=2315&amp;col=6&amp;number=4.1&amp;sourceID=14","4.1")</f>
        <v>4.1</v>
      </c>
      <c r="G2315" s="4" t="str">
        <f>HYPERLINK("http://141.218.60.56/~jnz1568/getInfo.php?workbook=10_05.xlsx&amp;sheet=U0&amp;row=2315&amp;col=7&amp;number=0.00278&amp;sourceID=14","0.00278")</f>
        <v>0.00278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HYPERLINK("http://141.218.60.56/~jnz1568/getInfo.php?workbook=10_05.xlsx&amp;sheet=U0&amp;row=2316&amp;col=6&amp;number=4.2&amp;sourceID=14","4.2")</f>
        <v>4.2</v>
      </c>
      <c r="G2316" s="4" t="str">
        <f>HYPERLINK("http://141.218.60.56/~jnz1568/getInfo.php?workbook=10_05.xlsx&amp;sheet=U0&amp;row=2316&amp;col=7&amp;number=0.00252&amp;sourceID=14","0.00252")</f>
        <v>0.00252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HYPERLINK("http://141.218.60.56/~jnz1568/getInfo.php?workbook=10_05.xlsx&amp;sheet=U0&amp;row=2317&amp;col=6&amp;number=4.3&amp;sourceID=14","4.3")</f>
        <v>4.3</v>
      </c>
      <c r="G2317" s="4" t="str">
        <f>HYPERLINK("http://141.218.60.56/~jnz1568/getInfo.php?workbook=10_05.xlsx&amp;sheet=U0&amp;row=2317&amp;col=7&amp;number=0.00226&amp;sourceID=14","0.00226")</f>
        <v>0.00226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HYPERLINK("http://141.218.60.56/~jnz1568/getInfo.php?workbook=10_05.xlsx&amp;sheet=U0&amp;row=2318&amp;col=6&amp;number=4.4&amp;sourceID=14","4.4")</f>
        <v>4.4</v>
      </c>
      <c r="G2318" s="4" t="str">
        <f>HYPERLINK("http://141.218.60.56/~jnz1568/getInfo.php?workbook=10_05.xlsx&amp;sheet=U0&amp;row=2318&amp;col=7&amp;number=0.00202&amp;sourceID=14","0.00202")</f>
        <v>0.00202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HYPERLINK("http://141.218.60.56/~jnz1568/getInfo.php?workbook=10_05.xlsx&amp;sheet=U0&amp;row=2319&amp;col=6&amp;number=4.5&amp;sourceID=14","4.5")</f>
        <v>4.5</v>
      </c>
      <c r="G2319" s="4" t="str">
        <f>HYPERLINK("http://141.218.60.56/~jnz1568/getInfo.php?workbook=10_05.xlsx&amp;sheet=U0&amp;row=2319&amp;col=7&amp;number=0.00182&amp;sourceID=14","0.00182")</f>
        <v>0.00182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HYPERLINK("http://141.218.60.56/~jnz1568/getInfo.php?workbook=10_05.xlsx&amp;sheet=U0&amp;row=2320&amp;col=6&amp;number=4.6&amp;sourceID=14","4.6")</f>
        <v>4.6</v>
      </c>
      <c r="G2320" s="4" t="str">
        <f>HYPERLINK("http://141.218.60.56/~jnz1568/getInfo.php?workbook=10_05.xlsx&amp;sheet=U0&amp;row=2320&amp;col=7&amp;number=0.00166&amp;sourceID=14","0.00166")</f>
        <v>0.00166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HYPERLINK("http://141.218.60.56/~jnz1568/getInfo.php?workbook=10_05.xlsx&amp;sheet=U0&amp;row=2321&amp;col=6&amp;number=4.7&amp;sourceID=14","4.7")</f>
        <v>4.7</v>
      </c>
      <c r="G2321" s="4" t="str">
        <f>HYPERLINK("http://141.218.60.56/~jnz1568/getInfo.php?workbook=10_05.xlsx&amp;sheet=U0&amp;row=2321&amp;col=7&amp;number=0.00151&amp;sourceID=14","0.00151")</f>
        <v>0.00151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HYPERLINK("http://141.218.60.56/~jnz1568/getInfo.php?workbook=10_05.xlsx&amp;sheet=U0&amp;row=2322&amp;col=6&amp;number=4.8&amp;sourceID=14","4.8")</f>
        <v>4.8</v>
      </c>
      <c r="G2322" s="4" t="str">
        <f>HYPERLINK("http://141.218.60.56/~jnz1568/getInfo.php?workbook=10_05.xlsx&amp;sheet=U0&amp;row=2322&amp;col=7&amp;number=0.00136&amp;sourceID=14","0.00136")</f>
        <v>0.00136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HYPERLINK("http://141.218.60.56/~jnz1568/getInfo.php?workbook=10_05.xlsx&amp;sheet=U0&amp;row=2323&amp;col=6&amp;number=4.9&amp;sourceID=14","4.9")</f>
        <v>4.9</v>
      </c>
      <c r="G2323" s="4" t="str">
        <f>HYPERLINK("http://141.218.60.56/~jnz1568/getInfo.php?workbook=10_05.xlsx&amp;sheet=U0&amp;row=2323&amp;col=7&amp;number=0.00123&amp;sourceID=14","0.00123")</f>
        <v>0.00123</v>
      </c>
    </row>
    <row r="2324" spans="1:7">
      <c r="A2324" s="3">
        <v>10</v>
      </c>
      <c r="B2324" s="3">
        <v>5</v>
      </c>
      <c r="C2324" s="3">
        <v>1</v>
      </c>
      <c r="D2324" s="3">
        <v>118</v>
      </c>
      <c r="E2324" s="3">
        <v>1</v>
      </c>
      <c r="F2324" s="4" t="str">
        <f>HYPERLINK("http://141.218.60.56/~jnz1568/getInfo.php?workbook=10_05.xlsx&amp;sheet=U0&amp;row=2324&amp;col=6&amp;number=3&amp;sourceID=14","3")</f>
        <v>3</v>
      </c>
      <c r="G2324" s="4" t="str">
        <f>HYPERLINK("http://141.218.60.56/~jnz1568/getInfo.php?workbook=10_05.xlsx&amp;sheet=U0&amp;row=2324&amp;col=7&amp;number=0.00489&amp;sourceID=14","0.00489")</f>
        <v>0.00489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HYPERLINK("http://141.218.60.56/~jnz1568/getInfo.php?workbook=10_05.xlsx&amp;sheet=U0&amp;row=2325&amp;col=6&amp;number=3.1&amp;sourceID=14","3.1")</f>
        <v>3.1</v>
      </c>
      <c r="G2325" s="4" t="str">
        <f>HYPERLINK("http://141.218.60.56/~jnz1568/getInfo.php?workbook=10_05.xlsx&amp;sheet=U0&amp;row=2325&amp;col=7&amp;number=0.00486&amp;sourceID=14","0.00486")</f>
        <v>0.00486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HYPERLINK("http://141.218.60.56/~jnz1568/getInfo.php?workbook=10_05.xlsx&amp;sheet=U0&amp;row=2326&amp;col=6&amp;number=3.2&amp;sourceID=14","3.2")</f>
        <v>3.2</v>
      </c>
      <c r="G2326" s="4" t="str">
        <f>HYPERLINK("http://141.218.60.56/~jnz1568/getInfo.php?workbook=10_05.xlsx&amp;sheet=U0&amp;row=2326&amp;col=7&amp;number=0.00483&amp;sourceID=14","0.00483")</f>
        <v>0.00483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HYPERLINK("http://141.218.60.56/~jnz1568/getInfo.php?workbook=10_05.xlsx&amp;sheet=U0&amp;row=2327&amp;col=6&amp;number=3.3&amp;sourceID=14","3.3")</f>
        <v>3.3</v>
      </c>
      <c r="G2327" s="4" t="str">
        <f>HYPERLINK("http://141.218.60.56/~jnz1568/getInfo.php?workbook=10_05.xlsx&amp;sheet=U0&amp;row=2327&amp;col=7&amp;number=0.00478&amp;sourceID=14","0.00478")</f>
        <v>0.00478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HYPERLINK("http://141.218.60.56/~jnz1568/getInfo.php?workbook=10_05.xlsx&amp;sheet=U0&amp;row=2328&amp;col=6&amp;number=3.4&amp;sourceID=14","3.4")</f>
        <v>3.4</v>
      </c>
      <c r="G2328" s="4" t="str">
        <f>HYPERLINK("http://141.218.60.56/~jnz1568/getInfo.php?workbook=10_05.xlsx&amp;sheet=U0&amp;row=2328&amp;col=7&amp;number=0.00473&amp;sourceID=14","0.00473")</f>
        <v>0.00473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HYPERLINK("http://141.218.60.56/~jnz1568/getInfo.php?workbook=10_05.xlsx&amp;sheet=U0&amp;row=2329&amp;col=6&amp;number=3.5&amp;sourceID=14","3.5")</f>
        <v>3.5</v>
      </c>
      <c r="G2329" s="4" t="str">
        <f>HYPERLINK("http://141.218.60.56/~jnz1568/getInfo.php?workbook=10_05.xlsx&amp;sheet=U0&amp;row=2329&amp;col=7&amp;number=0.00466&amp;sourceID=14","0.00466")</f>
        <v>0.00466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HYPERLINK("http://141.218.60.56/~jnz1568/getInfo.php?workbook=10_05.xlsx&amp;sheet=U0&amp;row=2330&amp;col=6&amp;number=3.6&amp;sourceID=14","3.6")</f>
        <v>3.6</v>
      </c>
      <c r="G2330" s="4" t="str">
        <f>HYPERLINK("http://141.218.60.56/~jnz1568/getInfo.php?workbook=10_05.xlsx&amp;sheet=U0&amp;row=2330&amp;col=7&amp;number=0.00458&amp;sourceID=14","0.00458")</f>
        <v>0.00458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HYPERLINK("http://141.218.60.56/~jnz1568/getInfo.php?workbook=10_05.xlsx&amp;sheet=U0&amp;row=2331&amp;col=6&amp;number=3.7&amp;sourceID=14","3.7")</f>
        <v>3.7</v>
      </c>
      <c r="G2331" s="4" t="str">
        <f>HYPERLINK("http://141.218.60.56/~jnz1568/getInfo.php?workbook=10_05.xlsx&amp;sheet=U0&amp;row=2331&amp;col=7&amp;number=0.00448&amp;sourceID=14","0.00448")</f>
        <v>0.00448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HYPERLINK("http://141.218.60.56/~jnz1568/getInfo.php?workbook=10_05.xlsx&amp;sheet=U0&amp;row=2332&amp;col=6&amp;number=3.8&amp;sourceID=14","3.8")</f>
        <v>3.8</v>
      </c>
      <c r="G2332" s="4" t="str">
        <f>HYPERLINK("http://141.218.60.56/~jnz1568/getInfo.php?workbook=10_05.xlsx&amp;sheet=U0&amp;row=2332&amp;col=7&amp;number=0.00435&amp;sourceID=14","0.00435")</f>
        <v>0.00435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HYPERLINK("http://141.218.60.56/~jnz1568/getInfo.php?workbook=10_05.xlsx&amp;sheet=U0&amp;row=2333&amp;col=6&amp;number=3.9&amp;sourceID=14","3.9")</f>
        <v>3.9</v>
      </c>
      <c r="G2333" s="4" t="str">
        <f>HYPERLINK("http://141.218.60.56/~jnz1568/getInfo.php?workbook=10_05.xlsx&amp;sheet=U0&amp;row=2333&amp;col=7&amp;number=0.0042&amp;sourceID=14","0.0042")</f>
        <v>0.0042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HYPERLINK("http://141.218.60.56/~jnz1568/getInfo.php?workbook=10_05.xlsx&amp;sheet=U0&amp;row=2334&amp;col=6&amp;number=4&amp;sourceID=14","4")</f>
        <v>4</v>
      </c>
      <c r="G2334" s="4" t="str">
        <f>HYPERLINK("http://141.218.60.56/~jnz1568/getInfo.php?workbook=10_05.xlsx&amp;sheet=U0&amp;row=2334&amp;col=7&amp;number=0.00401&amp;sourceID=14","0.00401")</f>
        <v>0.00401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HYPERLINK("http://141.218.60.56/~jnz1568/getInfo.php?workbook=10_05.xlsx&amp;sheet=U0&amp;row=2335&amp;col=6&amp;number=4.1&amp;sourceID=14","4.1")</f>
        <v>4.1</v>
      </c>
      <c r="G2335" s="4" t="str">
        <f>HYPERLINK("http://141.218.60.56/~jnz1568/getInfo.php?workbook=10_05.xlsx&amp;sheet=U0&amp;row=2335&amp;col=7&amp;number=0.00379&amp;sourceID=14","0.00379")</f>
        <v>0.00379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HYPERLINK("http://141.218.60.56/~jnz1568/getInfo.php?workbook=10_05.xlsx&amp;sheet=U0&amp;row=2336&amp;col=6&amp;number=4.2&amp;sourceID=14","4.2")</f>
        <v>4.2</v>
      </c>
      <c r="G2336" s="4" t="str">
        <f>HYPERLINK("http://141.218.60.56/~jnz1568/getInfo.php?workbook=10_05.xlsx&amp;sheet=U0&amp;row=2336&amp;col=7&amp;number=0.00355&amp;sourceID=14","0.00355")</f>
        <v>0.00355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HYPERLINK("http://141.218.60.56/~jnz1568/getInfo.php?workbook=10_05.xlsx&amp;sheet=U0&amp;row=2337&amp;col=6&amp;number=4.3&amp;sourceID=14","4.3")</f>
        <v>4.3</v>
      </c>
      <c r="G2337" s="4" t="str">
        <f>HYPERLINK("http://141.218.60.56/~jnz1568/getInfo.php?workbook=10_05.xlsx&amp;sheet=U0&amp;row=2337&amp;col=7&amp;number=0.00328&amp;sourceID=14","0.00328")</f>
        <v>0.00328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HYPERLINK("http://141.218.60.56/~jnz1568/getInfo.php?workbook=10_05.xlsx&amp;sheet=U0&amp;row=2338&amp;col=6&amp;number=4.4&amp;sourceID=14","4.4")</f>
        <v>4.4</v>
      </c>
      <c r="G2338" s="4" t="str">
        <f>HYPERLINK("http://141.218.60.56/~jnz1568/getInfo.php?workbook=10_05.xlsx&amp;sheet=U0&amp;row=2338&amp;col=7&amp;number=0.00302&amp;sourceID=14","0.00302")</f>
        <v>0.00302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HYPERLINK("http://141.218.60.56/~jnz1568/getInfo.php?workbook=10_05.xlsx&amp;sheet=U0&amp;row=2339&amp;col=6&amp;number=4.5&amp;sourceID=14","4.5")</f>
        <v>4.5</v>
      </c>
      <c r="G2339" s="4" t="str">
        <f>HYPERLINK("http://141.218.60.56/~jnz1568/getInfo.php?workbook=10_05.xlsx&amp;sheet=U0&amp;row=2339&amp;col=7&amp;number=0.00278&amp;sourceID=14","0.00278")</f>
        <v>0.00278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HYPERLINK("http://141.218.60.56/~jnz1568/getInfo.php?workbook=10_05.xlsx&amp;sheet=U0&amp;row=2340&amp;col=6&amp;number=4.6&amp;sourceID=14","4.6")</f>
        <v>4.6</v>
      </c>
      <c r="G2340" s="4" t="str">
        <f>HYPERLINK("http://141.218.60.56/~jnz1568/getInfo.php?workbook=10_05.xlsx&amp;sheet=U0&amp;row=2340&amp;col=7&amp;number=0.00259&amp;sourceID=14","0.00259")</f>
        <v>0.00259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HYPERLINK("http://141.218.60.56/~jnz1568/getInfo.php?workbook=10_05.xlsx&amp;sheet=U0&amp;row=2341&amp;col=6&amp;number=4.7&amp;sourceID=14","4.7")</f>
        <v>4.7</v>
      </c>
      <c r="G2341" s="4" t="str">
        <f>HYPERLINK("http://141.218.60.56/~jnz1568/getInfo.php?workbook=10_05.xlsx&amp;sheet=U0&amp;row=2341&amp;col=7&amp;number=0.00243&amp;sourceID=14","0.00243")</f>
        <v>0.00243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HYPERLINK("http://141.218.60.56/~jnz1568/getInfo.php?workbook=10_05.xlsx&amp;sheet=U0&amp;row=2342&amp;col=6&amp;number=4.8&amp;sourceID=14","4.8")</f>
        <v>4.8</v>
      </c>
      <c r="G2342" s="4" t="str">
        <f>HYPERLINK("http://141.218.60.56/~jnz1568/getInfo.php?workbook=10_05.xlsx&amp;sheet=U0&amp;row=2342&amp;col=7&amp;number=0.00228&amp;sourceID=14","0.00228")</f>
        <v>0.00228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HYPERLINK("http://141.218.60.56/~jnz1568/getInfo.php?workbook=10_05.xlsx&amp;sheet=U0&amp;row=2343&amp;col=6&amp;number=4.9&amp;sourceID=14","4.9")</f>
        <v>4.9</v>
      </c>
      <c r="G2343" s="4" t="str">
        <f>HYPERLINK("http://141.218.60.56/~jnz1568/getInfo.php?workbook=10_05.xlsx&amp;sheet=U0&amp;row=2343&amp;col=7&amp;number=0.00212&amp;sourceID=14","0.00212")</f>
        <v>0.00212</v>
      </c>
    </row>
    <row r="2344" spans="1:7">
      <c r="A2344" s="3">
        <v>10</v>
      </c>
      <c r="B2344" s="3">
        <v>5</v>
      </c>
      <c r="C2344" s="3">
        <v>1</v>
      </c>
      <c r="D2344" s="3">
        <v>119</v>
      </c>
      <c r="E2344" s="3">
        <v>1</v>
      </c>
      <c r="F2344" s="4" t="str">
        <f>HYPERLINK("http://141.218.60.56/~jnz1568/getInfo.php?workbook=10_05.xlsx&amp;sheet=U0&amp;row=2344&amp;col=6&amp;number=3&amp;sourceID=14","3")</f>
        <v>3</v>
      </c>
      <c r="G2344" s="4" t="str">
        <f>HYPERLINK("http://141.218.60.56/~jnz1568/getInfo.php?workbook=10_05.xlsx&amp;sheet=U0&amp;row=2344&amp;col=7&amp;number=0.00301&amp;sourceID=14","0.00301")</f>
        <v>0.00301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HYPERLINK("http://141.218.60.56/~jnz1568/getInfo.php?workbook=10_05.xlsx&amp;sheet=U0&amp;row=2345&amp;col=6&amp;number=3.1&amp;sourceID=14","3.1")</f>
        <v>3.1</v>
      </c>
      <c r="G2345" s="4" t="str">
        <f>HYPERLINK("http://141.218.60.56/~jnz1568/getInfo.php?workbook=10_05.xlsx&amp;sheet=U0&amp;row=2345&amp;col=7&amp;number=0.00299&amp;sourceID=14","0.00299")</f>
        <v>0.00299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HYPERLINK("http://141.218.60.56/~jnz1568/getInfo.php?workbook=10_05.xlsx&amp;sheet=U0&amp;row=2346&amp;col=6&amp;number=3.2&amp;sourceID=14","3.2")</f>
        <v>3.2</v>
      </c>
      <c r="G2346" s="4" t="str">
        <f>HYPERLINK("http://141.218.60.56/~jnz1568/getInfo.php?workbook=10_05.xlsx&amp;sheet=U0&amp;row=2346&amp;col=7&amp;number=0.00297&amp;sourceID=14","0.00297")</f>
        <v>0.00297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HYPERLINK("http://141.218.60.56/~jnz1568/getInfo.php?workbook=10_05.xlsx&amp;sheet=U0&amp;row=2347&amp;col=6&amp;number=3.3&amp;sourceID=14","3.3")</f>
        <v>3.3</v>
      </c>
      <c r="G2347" s="4" t="str">
        <f>HYPERLINK("http://141.218.60.56/~jnz1568/getInfo.php?workbook=10_05.xlsx&amp;sheet=U0&amp;row=2347&amp;col=7&amp;number=0.00294&amp;sourceID=14","0.00294")</f>
        <v>0.00294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HYPERLINK("http://141.218.60.56/~jnz1568/getInfo.php?workbook=10_05.xlsx&amp;sheet=U0&amp;row=2348&amp;col=6&amp;number=3.4&amp;sourceID=14","3.4")</f>
        <v>3.4</v>
      </c>
      <c r="G2348" s="4" t="str">
        <f>HYPERLINK("http://141.218.60.56/~jnz1568/getInfo.php?workbook=10_05.xlsx&amp;sheet=U0&amp;row=2348&amp;col=7&amp;number=0.00291&amp;sourceID=14","0.00291")</f>
        <v>0.00291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HYPERLINK("http://141.218.60.56/~jnz1568/getInfo.php?workbook=10_05.xlsx&amp;sheet=U0&amp;row=2349&amp;col=6&amp;number=3.5&amp;sourceID=14","3.5")</f>
        <v>3.5</v>
      </c>
      <c r="G2349" s="4" t="str">
        <f>HYPERLINK("http://141.218.60.56/~jnz1568/getInfo.php?workbook=10_05.xlsx&amp;sheet=U0&amp;row=2349&amp;col=7&amp;number=0.00287&amp;sourceID=14","0.00287")</f>
        <v>0.00287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HYPERLINK("http://141.218.60.56/~jnz1568/getInfo.php?workbook=10_05.xlsx&amp;sheet=U0&amp;row=2350&amp;col=6&amp;number=3.6&amp;sourceID=14","3.6")</f>
        <v>3.6</v>
      </c>
      <c r="G2350" s="4" t="str">
        <f>HYPERLINK("http://141.218.60.56/~jnz1568/getInfo.php?workbook=10_05.xlsx&amp;sheet=U0&amp;row=2350&amp;col=7&amp;number=0.00282&amp;sourceID=14","0.00282")</f>
        <v>0.00282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HYPERLINK("http://141.218.60.56/~jnz1568/getInfo.php?workbook=10_05.xlsx&amp;sheet=U0&amp;row=2351&amp;col=6&amp;number=3.7&amp;sourceID=14","3.7")</f>
        <v>3.7</v>
      </c>
      <c r="G2351" s="4" t="str">
        <f>HYPERLINK("http://141.218.60.56/~jnz1568/getInfo.php?workbook=10_05.xlsx&amp;sheet=U0&amp;row=2351&amp;col=7&amp;number=0.00276&amp;sourceID=14","0.00276")</f>
        <v>0.00276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HYPERLINK("http://141.218.60.56/~jnz1568/getInfo.php?workbook=10_05.xlsx&amp;sheet=U0&amp;row=2352&amp;col=6&amp;number=3.8&amp;sourceID=14","3.8")</f>
        <v>3.8</v>
      </c>
      <c r="G2352" s="4" t="str">
        <f>HYPERLINK("http://141.218.60.56/~jnz1568/getInfo.php?workbook=10_05.xlsx&amp;sheet=U0&amp;row=2352&amp;col=7&amp;number=0.00269&amp;sourceID=14","0.00269")</f>
        <v>0.00269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HYPERLINK("http://141.218.60.56/~jnz1568/getInfo.php?workbook=10_05.xlsx&amp;sheet=U0&amp;row=2353&amp;col=6&amp;number=3.9&amp;sourceID=14","3.9")</f>
        <v>3.9</v>
      </c>
      <c r="G2353" s="4" t="str">
        <f>HYPERLINK("http://141.218.60.56/~jnz1568/getInfo.php?workbook=10_05.xlsx&amp;sheet=U0&amp;row=2353&amp;col=7&amp;number=0.0026&amp;sourceID=14","0.0026")</f>
        <v>0.0026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HYPERLINK("http://141.218.60.56/~jnz1568/getInfo.php?workbook=10_05.xlsx&amp;sheet=U0&amp;row=2354&amp;col=6&amp;number=4&amp;sourceID=14","4")</f>
        <v>4</v>
      </c>
      <c r="G2354" s="4" t="str">
        <f>HYPERLINK("http://141.218.60.56/~jnz1568/getInfo.php?workbook=10_05.xlsx&amp;sheet=U0&amp;row=2354&amp;col=7&amp;number=0.00249&amp;sourceID=14","0.00249")</f>
        <v>0.00249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HYPERLINK("http://141.218.60.56/~jnz1568/getInfo.php?workbook=10_05.xlsx&amp;sheet=U0&amp;row=2355&amp;col=6&amp;number=4.1&amp;sourceID=14","4.1")</f>
        <v>4.1</v>
      </c>
      <c r="G2355" s="4" t="str">
        <f>HYPERLINK("http://141.218.60.56/~jnz1568/getInfo.php?workbook=10_05.xlsx&amp;sheet=U0&amp;row=2355&amp;col=7&amp;number=0.00236&amp;sourceID=14","0.00236")</f>
        <v>0.00236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HYPERLINK("http://141.218.60.56/~jnz1568/getInfo.php?workbook=10_05.xlsx&amp;sheet=U0&amp;row=2356&amp;col=6&amp;number=4.2&amp;sourceID=14","4.2")</f>
        <v>4.2</v>
      </c>
      <c r="G2356" s="4" t="str">
        <f>HYPERLINK("http://141.218.60.56/~jnz1568/getInfo.php?workbook=10_05.xlsx&amp;sheet=U0&amp;row=2356&amp;col=7&amp;number=0.00221&amp;sourceID=14","0.00221")</f>
        <v>0.00221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HYPERLINK("http://141.218.60.56/~jnz1568/getInfo.php?workbook=10_05.xlsx&amp;sheet=U0&amp;row=2357&amp;col=6&amp;number=4.3&amp;sourceID=14","4.3")</f>
        <v>4.3</v>
      </c>
      <c r="G2357" s="4" t="str">
        <f>HYPERLINK("http://141.218.60.56/~jnz1568/getInfo.php?workbook=10_05.xlsx&amp;sheet=U0&amp;row=2357&amp;col=7&amp;number=0.00205&amp;sourceID=14","0.00205")</f>
        <v>0.00205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HYPERLINK("http://141.218.60.56/~jnz1568/getInfo.php?workbook=10_05.xlsx&amp;sheet=U0&amp;row=2358&amp;col=6&amp;number=4.4&amp;sourceID=14","4.4")</f>
        <v>4.4</v>
      </c>
      <c r="G2358" s="4" t="str">
        <f>HYPERLINK("http://141.218.60.56/~jnz1568/getInfo.php?workbook=10_05.xlsx&amp;sheet=U0&amp;row=2358&amp;col=7&amp;number=0.0019&amp;sourceID=14","0.0019")</f>
        <v>0.0019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HYPERLINK("http://141.218.60.56/~jnz1568/getInfo.php?workbook=10_05.xlsx&amp;sheet=U0&amp;row=2359&amp;col=6&amp;number=4.5&amp;sourceID=14","4.5")</f>
        <v>4.5</v>
      </c>
      <c r="G2359" s="4" t="str">
        <f>HYPERLINK("http://141.218.60.56/~jnz1568/getInfo.php?workbook=10_05.xlsx&amp;sheet=U0&amp;row=2359&amp;col=7&amp;number=0.00175&amp;sourceID=14","0.00175")</f>
        <v>0.00175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HYPERLINK("http://141.218.60.56/~jnz1568/getInfo.php?workbook=10_05.xlsx&amp;sheet=U0&amp;row=2360&amp;col=6&amp;number=4.6&amp;sourceID=14","4.6")</f>
        <v>4.6</v>
      </c>
      <c r="G2360" s="4" t="str">
        <f>HYPERLINK("http://141.218.60.56/~jnz1568/getInfo.php?workbook=10_05.xlsx&amp;sheet=U0&amp;row=2360&amp;col=7&amp;number=0.00163&amp;sourceID=14","0.00163")</f>
        <v>0.00163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HYPERLINK("http://141.218.60.56/~jnz1568/getInfo.php?workbook=10_05.xlsx&amp;sheet=U0&amp;row=2361&amp;col=6&amp;number=4.7&amp;sourceID=14","4.7")</f>
        <v>4.7</v>
      </c>
      <c r="G2361" s="4" t="str">
        <f>HYPERLINK("http://141.218.60.56/~jnz1568/getInfo.php?workbook=10_05.xlsx&amp;sheet=U0&amp;row=2361&amp;col=7&amp;number=0.00153&amp;sourceID=14","0.00153")</f>
        <v>0.00153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HYPERLINK("http://141.218.60.56/~jnz1568/getInfo.php?workbook=10_05.xlsx&amp;sheet=U0&amp;row=2362&amp;col=6&amp;number=4.8&amp;sourceID=14","4.8")</f>
        <v>4.8</v>
      </c>
      <c r="G2362" s="4" t="str">
        <f>HYPERLINK("http://141.218.60.56/~jnz1568/getInfo.php?workbook=10_05.xlsx&amp;sheet=U0&amp;row=2362&amp;col=7&amp;number=0.00143&amp;sourceID=14","0.00143")</f>
        <v>0.00143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HYPERLINK("http://141.218.60.56/~jnz1568/getInfo.php?workbook=10_05.xlsx&amp;sheet=U0&amp;row=2363&amp;col=6&amp;number=4.9&amp;sourceID=14","4.9")</f>
        <v>4.9</v>
      </c>
      <c r="G2363" s="4" t="str">
        <f>HYPERLINK("http://141.218.60.56/~jnz1568/getInfo.php?workbook=10_05.xlsx&amp;sheet=U0&amp;row=2363&amp;col=7&amp;number=0.00134&amp;sourceID=14","0.00134")</f>
        <v>0.00134</v>
      </c>
    </row>
    <row r="2364" spans="1:7">
      <c r="A2364" s="3">
        <v>10</v>
      </c>
      <c r="B2364" s="3">
        <v>5</v>
      </c>
      <c r="C2364" s="3">
        <v>1</v>
      </c>
      <c r="D2364" s="3">
        <v>120</v>
      </c>
      <c r="E2364" s="3">
        <v>1</v>
      </c>
      <c r="F2364" s="4" t="str">
        <f>HYPERLINK("http://141.218.60.56/~jnz1568/getInfo.php?workbook=10_05.xlsx&amp;sheet=U0&amp;row=2364&amp;col=6&amp;number=3&amp;sourceID=14","3")</f>
        <v>3</v>
      </c>
      <c r="G2364" s="4" t="str">
        <f>HYPERLINK("http://141.218.60.56/~jnz1568/getInfo.php?workbook=10_05.xlsx&amp;sheet=U0&amp;row=2364&amp;col=7&amp;number=0.00502&amp;sourceID=14","0.00502")</f>
        <v>0.00502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HYPERLINK("http://141.218.60.56/~jnz1568/getInfo.php?workbook=10_05.xlsx&amp;sheet=U0&amp;row=2365&amp;col=6&amp;number=3.1&amp;sourceID=14","3.1")</f>
        <v>3.1</v>
      </c>
      <c r="G2365" s="4" t="str">
        <f>HYPERLINK("http://141.218.60.56/~jnz1568/getInfo.php?workbook=10_05.xlsx&amp;sheet=U0&amp;row=2365&amp;col=7&amp;number=0.00499&amp;sourceID=14","0.00499")</f>
        <v>0.00499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HYPERLINK("http://141.218.60.56/~jnz1568/getInfo.php?workbook=10_05.xlsx&amp;sheet=U0&amp;row=2366&amp;col=6&amp;number=3.2&amp;sourceID=14","3.2")</f>
        <v>3.2</v>
      </c>
      <c r="G2366" s="4" t="str">
        <f>HYPERLINK("http://141.218.60.56/~jnz1568/getInfo.php?workbook=10_05.xlsx&amp;sheet=U0&amp;row=2366&amp;col=7&amp;number=0.00496&amp;sourceID=14","0.00496")</f>
        <v>0.00496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HYPERLINK("http://141.218.60.56/~jnz1568/getInfo.php?workbook=10_05.xlsx&amp;sheet=U0&amp;row=2367&amp;col=6&amp;number=3.3&amp;sourceID=14","3.3")</f>
        <v>3.3</v>
      </c>
      <c r="G2367" s="4" t="str">
        <f>HYPERLINK("http://141.218.60.56/~jnz1568/getInfo.php?workbook=10_05.xlsx&amp;sheet=U0&amp;row=2367&amp;col=7&amp;number=0.00492&amp;sourceID=14","0.00492")</f>
        <v>0.00492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HYPERLINK("http://141.218.60.56/~jnz1568/getInfo.php?workbook=10_05.xlsx&amp;sheet=U0&amp;row=2368&amp;col=6&amp;number=3.4&amp;sourceID=14","3.4")</f>
        <v>3.4</v>
      </c>
      <c r="G2368" s="4" t="str">
        <f>HYPERLINK("http://141.218.60.56/~jnz1568/getInfo.php?workbook=10_05.xlsx&amp;sheet=U0&amp;row=2368&amp;col=7&amp;number=0.00487&amp;sourceID=14","0.00487")</f>
        <v>0.00487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HYPERLINK("http://141.218.60.56/~jnz1568/getInfo.php?workbook=10_05.xlsx&amp;sheet=U0&amp;row=2369&amp;col=6&amp;number=3.5&amp;sourceID=14","3.5")</f>
        <v>3.5</v>
      </c>
      <c r="G2369" s="4" t="str">
        <f>HYPERLINK("http://141.218.60.56/~jnz1568/getInfo.php?workbook=10_05.xlsx&amp;sheet=U0&amp;row=2369&amp;col=7&amp;number=0.0048&amp;sourceID=14","0.0048")</f>
        <v>0.0048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HYPERLINK("http://141.218.60.56/~jnz1568/getInfo.php?workbook=10_05.xlsx&amp;sheet=U0&amp;row=2370&amp;col=6&amp;number=3.6&amp;sourceID=14","3.6")</f>
        <v>3.6</v>
      </c>
      <c r="G2370" s="4" t="str">
        <f>HYPERLINK("http://141.218.60.56/~jnz1568/getInfo.php?workbook=10_05.xlsx&amp;sheet=U0&amp;row=2370&amp;col=7&amp;number=0.00472&amp;sourceID=14","0.00472")</f>
        <v>0.00472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HYPERLINK("http://141.218.60.56/~jnz1568/getInfo.php?workbook=10_05.xlsx&amp;sheet=U0&amp;row=2371&amp;col=6&amp;number=3.7&amp;sourceID=14","3.7")</f>
        <v>3.7</v>
      </c>
      <c r="G2371" s="4" t="str">
        <f>HYPERLINK("http://141.218.60.56/~jnz1568/getInfo.php?workbook=10_05.xlsx&amp;sheet=U0&amp;row=2371&amp;col=7&amp;number=0.00463&amp;sourceID=14","0.00463")</f>
        <v>0.00463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HYPERLINK("http://141.218.60.56/~jnz1568/getInfo.php?workbook=10_05.xlsx&amp;sheet=U0&amp;row=2372&amp;col=6&amp;number=3.8&amp;sourceID=14","3.8")</f>
        <v>3.8</v>
      </c>
      <c r="G2372" s="4" t="str">
        <f>HYPERLINK("http://141.218.60.56/~jnz1568/getInfo.php?workbook=10_05.xlsx&amp;sheet=U0&amp;row=2372&amp;col=7&amp;number=0.00451&amp;sourceID=14","0.00451")</f>
        <v>0.00451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HYPERLINK("http://141.218.60.56/~jnz1568/getInfo.php?workbook=10_05.xlsx&amp;sheet=U0&amp;row=2373&amp;col=6&amp;number=3.9&amp;sourceID=14","3.9")</f>
        <v>3.9</v>
      </c>
      <c r="G2373" s="4" t="str">
        <f>HYPERLINK("http://141.218.60.56/~jnz1568/getInfo.php?workbook=10_05.xlsx&amp;sheet=U0&amp;row=2373&amp;col=7&amp;number=0.00436&amp;sourceID=14","0.00436")</f>
        <v>0.00436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HYPERLINK("http://141.218.60.56/~jnz1568/getInfo.php?workbook=10_05.xlsx&amp;sheet=U0&amp;row=2374&amp;col=6&amp;number=4&amp;sourceID=14","4")</f>
        <v>4</v>
      </c>
      <c r="G2374" s="4" t="str">
        <f>HYPERLINK("http://141.218.60.56/~jnz1568/getInfo.php?workbook=10_05.xlsx&amp;sheet=U0&amp;row=2374&amp;col=7&amp;number=0.00419&amp;sourceID=14","0.00419")</f>
        <v>0.00419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HYPERLINK("http://141.218.60.56/~jnz1568/getInfo.php?workbook=10_05.xlsx&amp;sheet=U0&amp;row=2375&amp;col=6&amp;number=4.1&amp;sourceID=14","4.1")</f>
        <v>4.1</v>
      </c>
      <c r="G2375" s="4" t="str">
        <f>HYPERLINK("http://141.218.60.56/~jnz1568/getInfo.php?workbook=10_05.xlsx&amp;sheet=U0&amp;row=2375&amp;col=7&amp;number=0.00399&amp;sourceID=14","0.00399")</f>
        <v>0.00399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HYPERLINK("http://141.218.60.56/~jnz1568/getInfo.php?workbook=10_05.xlsx&amp;sheet=U0&amp;row=2376&amp;col=6&amp;number=4.2&amp;sourceID=14","4.2")</f>
        <v>4.2</v>
      </c>
      <c r="G2376" s="4" t="str">
        <f>HYPERLINK("http://141.218.60.56/~jnz1568/getInfo.php?workbook=10_05.xlsx&amp;sheet=U0&amp;row=2376&amp;col=7&amp;number=0.00376&amp;sourceID=14","0.00376")</f>
        <v>0.00376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HYPERLINK("http://141.218.60.56/~jnz1568/getInfo.php?workbook=10_05.xlsx&amp;sheet=U0&amp;row=2377&amp;col=6&amp;number=4.3&amp;sourceID=14","4.3")</f>
        <v>4.3</v>
      </c>
      <c r="G2377" s="4" t="str">
        <f>HYPERLINK("http://141.218.60.56/~jnz1568/getInfo.php?workbook=10_05.xlsx&amp;sheet=U0&amp;row=2377&amp;col=7&amp;number=0.00353&amp;sourceID=14","0.00353")</f>
        <v>0.00353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HYPERLINK("http://141.218.60.56/~jnz1568/getInfo.php?workbook=10_05.xlsx&amp;sheet=U0&amp;row=2378&amp;col=6&amp;number=4.4&amp;sourceID=14","4.4")</f>
        <v>4.4</v>
      </c>
      <c r="G2378" s="4" t="str">
        <f>HYPERLINK("http://141.218.60.56/~jnz1568/getInfo.php?workbook=10_05.xlsx&amp;sheet=U0&amp;row=2378&amp;col=7&amp;number=0.0033&amp;sourceID=14","0.0033")</f>
        <v>0.0033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HYPERLINK("http://141.218.60.56/~jnz1568/getInfo.php?workbook=10_05.xlsx&amp;sheet=U0&amp;row=2379&amp;col=6&amp;number=4.5&amp;sourceID=14","4.5")</f>
        <v>4.5</v>
      </c>
      <c r="G2379" s="4" t="str">
        <f>HYPERLINK("http://141.218.60.56/~jnz1568/getInfo.php?workbook=10_05.xlsx&amp;sheet=U0&amp;row=2379&amp;col=7&amp;number=0.00311&amp;sourceID=14","0.00311")</f>
        <v>0.00311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HYPERLINK("http://141.218.60.56/~jnz1568/getInfo.php?workbook=10_05.xlsx&amp;sheet=U0&amp;row=2380&amp;col=6&amp;number=4.6&amp;sourceID=14","4.6")</f>
        <v>4.6</v>
      </c>
      <c r="G2380" s="4" t="str">
        <f>HYPERLINK("http://141.218.60.56/~jnz1568/getInfo.php?workbook=10_05.xlsx&amp;sheet=U0&amp;row=2380&amp;col=7&amp;number=0.00297&amp;sourceID=14","0.00297")</f>
        <v>0.00297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HYPERLINK("http://141.218.60.56/~jnz1568/getInfo.php?workbook=10_05.xlsx&amp;sheet=U0&amp;row=2381&amp;col=6&amp;number=4.7&amp;sourceID=14","4.7")</f>
        <v>4.7</v>
      </c>
      <c r="G2381" s="4" t="str">
        <f>HYPERLINK("http://141.218.60.56/~jnz1568/getInfo.php?workbook=10_05.xlsx&amp;sheet=U0&amp;row=2381&amp;col=7&amp;number=0.00286&amp;sourceID=14","0.00286")</f>
        <v>0.00286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HYPERLINK("http://141.218.60.56/~jnz1568/getInfo.php?workbook=10_05.xlsx&amp;sheet=U0&amp;row=2382&amp;col=6&amp;number=4.8&amp;sourceID=14","4.8")</f>
        <v>4.8</v>
      </c>
      <c r="G2382" s="4" t="str">
        <f>HYPERLINK("http://141.218.60.56/~jnz1568/getInfo.php?workbook=10_05.xlsx&amp;sheet=U0&amp;row=2382&amp;col=7&amp;number=0.00274&amp;sourceID=14","0.00274")</f>
        <v>0.00274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HYPERLINK("http://141.218.60.56/~jnz1568/getInfo.php?workbook=10_05.xlsx&amp;sheet=U0&amp;row=2383&amp;col=6&amp;number=4.9&amp;sourceID=14","4.9")</f>
        <v>4.9</v>
      </c>
      <c r="G2383" s="4" t="str">
        <f>HYPERLINK("http://141.218.60.56/~jnz1568/getInfo.php?workbook=10_05.xlsx&amp;sheet=U0&amp;row=2383&amp;col=7&amp;number=0.0026&amp;sourceID=14","0.0026")</f>
        <v>0.0026</v>
      </c>
    </row>
    <row r="2384" spans="1:7">
      <c r="A2384" s="3">
        <v>10</v>
      </c>
      <c r="B2384" s="3">
        <v>5</v>
      </c>
      <c r="C2384" s="3">
        <v>1</v>
      </c>
      <c r="D2384" s="3">
        <v>121</v>
      </c>
      <c r="E2384" s="3">
        <v>1</v>
      </c>
      <c r="F2384" s="4" t="str">
        <f>HYPERLINK("http://141.218.60.56/~jnz1568/getInfo.php?workbook=10_05.xlsx&amp;sheet=U0&amp;row=2384&amp;col=6&amp;number=3&amp;sourceID=14","3")</f>
        <v>3</v>
      </c>
      <c r="G2384" s="4" t="str">
        <f>HYPERLINK("http://141.218.60.56/~jnz1568/getInfo.php?workbook=10_05.xlsx&amp;sheet=U0&amp;row=2384&amp;col=7&amp;number=0.0091&amp;sourceID=14","0.0091")</f>
        <v>0.0091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HYPERLINK("http://141.218.60.56/~jnz1568/getInfo.php?workbook=10_05.xlsx&amp;sheet=U0&amp;row=2385&amp;col=6&amp;number=3.1&amp;sourceID=14","3.1")</f>
        <v>3.1</v>
      </c>
      <c r="G2385" s="4" t="str">
        <f>HYPERLINK("http://141.218.60.56/~jnz1568/getInfo.php?workbook=10_05.xlsx&amp;sheet=U0&amp;row=2385&amp;col=7&amp;number=0.00904&amp;sourceID=14","0.00904")</f>
        <v>0.00904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HYPERLINK("http://141.218.60.56/~jnz1568/getInfo.php?workbook=10_05.xlsx&amp;sheet=U0&amp;row=2386&amp;col=6&amp;number=3.2&amp;sourceID=14","3.2")</f>
        <v>3.2</v>
      </c>
      <c r="G2386" s="4" t="str">
        <f>HYPERLINK("http://141.218.60.56/~jnz1568/getInfo.php?workbook=10_05.xlsx&amp;sheet=U0&amp;row=2386&amp;col=7&amp;number=0.00896&amp;sourceID=14","0.00896")</f>
        <v>0.00896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HYPERLINK("http://141.218.60.56/~jnz1568/getInfo.php?workbook=10_05.xlsx&amp;sheet=U0&amp;row=2387&amp;col=6&amp;number=3.3&amp;sourceID=14","3.3")</f>
        <v>3.3</v>
      </c>
      <c r="G2387" s="4" t="str">
        <f>HYPERLINK("http://141.218.60.56/~jnz1568/getInfo.php?workbook=10_05.xlsx&amp;sheet=U0&amp;row=2387&amp;col=7&amp;number=0.00886&amp;sourceID=14","0.00886")</f>
        <v>0.00886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HYPERLINK("http://141.218.60.56/~jnz1568/getInfo.php?workbook=10_05.xlsx&amp;sheet=U0&amp;row=2388&amp;col=6&amp;number=3.4&amp;sourceID=14","3.4")</f>
        <v>3.4</v>
      </c>
      <c r="G2388" s="4" t="str">
        <f>HYPERLINK("http://141.218.60.56/~jnz1568/getInfo.php?workbook=10_05.xlsx&amp;sheet=U0&amp;row=2388&amp;col=7&amp;number=0.00874&amp;sourceID=14","0.00874")</f>
        <v>0.00874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HYPERLINK("http://141.218.60.56/~jnz1568/getInfo.php?workbook=10_05.xlsx&amp;sheet=U0&amp;row=2389&amp;col=6&amp;number=3.5&amp;sourceID=14","3.5")</f>
        <v>3.5</v>
      </c>
      <c r="G2389" s="4" t="str">
        <f>HYPERLINK("http://141.218.60.56/~jnz1568/getInfo.php?workbook=10_05.xlsx&amp;sheet=U0&amp;row=2389&amp;col=7&amp;number=0.00859&amp;sourceID=14","0.00859")</f>
        <v>0.00859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HYPERLINK("http://141.218.60.56/~jnz1568/getInfo.php?workbook=10_05.xlsx&amp;sheet=U0&amp;row=2390&amp;col=6&amp;number=3.6&amp;sourceID=14","3.6")</f>
        <v>3.6</v>
      </c>
      <c r="G2390" s="4" t="str">
        <f>HYPERLINK("http://141.218.60.56/~jnz1568/getInfo.php?workbook=10_05.xlsx&amp;sheet=U0&amp;row=2390&amp;col=7&amp;number=0.00841&amp;sourceID=14","0.00841")</f>
        <v>0.00841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HYPERLINK("http://141.218.60.56/~jnz1568/getInfo.php?workbook=10_05.xlsx&amp;sheet=U0&amp;row=2391&amp;col=6&amp;number=3.7&amp;sourceID=14","3.7")</f>
        <v>3.7</v>
      </c>
      <c r="G2391" s="4" t="str">
        <f>HYPERLINK("http://141.218.60.56/~jnz1568/getInfo.php?workbook=10_05.xlsx&amp;sheet=U0&amp;row=2391&amp;col=7&amp;number=0.00818&amp;sourceID=14","0.00818")</f>
        <v>0.00818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HYPERLINK("http://141.218.60.56/~jnz1568/getInfo.php?workbook=10_05.xlsx&amp;sheet=U0&amp;row=2392&amp;col=6&amp;number=3.8&amp;sourceID=14","3.8")</f>
        <v>3.8</v>
      </c>
      <c r="G2392" s="4" t="str">
        <f>HYPERLINK("http://141.218.60.56/~jnz1568/getInfo.php?workbook=10_05.xlsx&amp;sheet=U0&amp;row=2392&amp;col=7&amp;number=0.00791&amp;sourceID=14","0.00791")</f>
        <v>0.00791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HYPERLINK("http://141.218.60.56/~jnz1568/getInfo.php?workbook=10_05.xlsx&amp;sheet=U0&amp;row=2393&amp;col=6&amp;number=3.9&amp;sourceID=14","3.9")</f>
        <v>3.9</v>
      </c>
      <c r="G2393" s="4" t="str">
        <f>HYPERLINK("http://141.218.60.56/~jnz1568/getInfo.php?workbook=10_05.xlsx&amp;sheet=U0&amp;row=2393&amp;col=7&amp;number=0.00758&amp;sourceID=14","0.00758")</f>
        <v>0.00758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HYPERLINK("http://141.218.60.56/~jnz1568/getInfo.php?workbook=10_05.xlsx&amp;sheet=U0&amp;row=2394&amp;col=6&amp;number=4&amp;sourceID=14","4")</f>
        <v>4</v>
      </c>
      <c r="G2394" s="4" t="str">
        <f>HYPERLINK("http://141.218.60.56/~jnz1568/getInfo.php?workbook=10_05.xlsx&amp;sheet=U0&amp;row=2394&amp;col=7&amp;number=0.00721&amp;sourceID=14","0.00721")</f>
        <v>0.00721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HYPERLINK("http://141.218.60.56/~jnz1568/getInfo.php?workbook=10_05.xlsx&amp;sheet=U0&amp;row=2395&amp;col=6&amp;number=4.1&amp;sourceID=14","4.1")</f>
        <v>4.1</v>
      </c>
      <c r="G2395" s="4" t="str">
        <f>HYPERLINK("http://141.218.60.56/~jnz1568/getInfo.php?workbook=10_05.xlsx&amp;sheet=U0&amp;row=2395&amp;col=7&amp;number=0.00679&amp;sourceID=14","0.00679")</f>
        <v>0.00679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HYPERLINK("http://141.218.60.56/~jnz1568/getInfo.php?workbook=10_05.xlsx&amp;sheet=U0&amp;row=2396&amp;col=6&amp;number=4.2&amp;sourceID=14","4.2")</f>
        <v>4.2</v>
      </c>
      <c r="G2396" s="4" t="str">
        <f>HYPERLINK("http://141.218.60.56/~jnz1568/getInfo.php?workbook=10_05.xlsx&amp;sheet=U0&amp;row=2396&amp;col=7&amp;number=0.00635&amp;sourceID=14","0.00635")</f>
        <v>0.00635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HYPERLINK("http://141.218.60.56/~jnz1568/getInfo.php?workbook=10_05.xlsx&amp;sheet=U0&amp;row=2397&amp;col=6&amp;number=4.3&amp;sourceID=14","4.3")</f>
        <v>4.3</v>
      </c>
      <c r="G2397" s="4" t="str">
        <f>HYPERLINK("http://141.218.60.56/~jnz1568/getInfo.php?workbook=10_05.xlsx&amp;sheet=U0&amp;row=2397&amp;col=7&amp;number=0.00593&amp;sourceID=14","0.00593")</f>
        <v>0.00593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HYPERLINK("http://141.218.60.56/~jnz1568/getInfo.php?workbook=10_05.xlsx&amp;sheet=U0&amp;row=2398&amp;col=6&amp;number=4.4&amp;sourceID=14","4.4")</f>
        <v>4.4</v>
      </c>
      <c r="G2398" s="4" t="str">
        <f>HYPERLINK("http://141.218.60.56/~jnz1568/getInfo.php?workbook=10_05.xlsx&amp;sheet=U0&amp;row=2398&amp;col=7&amp;number=0.00557&amp;sourceID=14","0.00557")</f>
        <v>0.00557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HYPERLINK("http://141.218.60.56/~jnz1568/getInfo.php?workbook=10_05.xlsx&amp;sheet=U0&amp;row=2399&amp;col=6&amp;number=4.5&amp;sourceID=14","4.5")</f>
        <v>4.5</v>
      </c>
      <c r="G2399" s="4" t="str">
        <f>HYPERLINK("http://141.218.60.56/~jnz1568/getInfo.php?workbook=10_05.xlsx&amp;sheet=U0&amp;row=2399&amp;col=7&amp;number=0.00527&amp;sourceID=14","0.00527")</f>
        <v>0.00527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HYPERLINK("http://141.218.60.56/~jnz1568/getInfo.php?workbook=10_05.xlsx&amp;sheet=U0&amp;row=2400&amp;col=6&amp;number=4.6&amp;sourceID=14","4.6")</f>
        <v>4.6</v>
      </c>
      <c r="G2400" s="4" t="str">
        <f>HYPERLINK("http://141.218.60.56/~jnz1568/getInfo.php?workbook=10_05.xlsx&amp;sheet=U0&amp;row=2400&amp;col=7&amp;number=0.005&amp;sourceID=14","0.005")</f>
        <v>0.005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HYPERLINK("http://141.218.60.56/~jnz1568/getInfo.php?workbook=10_05.xlsx&amp;sheet=U0&amp;row=2401&amp;col=6&amp;number=4.7&amp;sourceID=14","4.7")</f>
        <v>4.7</v>
      </c>
      <c r="G2401" s="4" t="str">
        <f>HYPERLINK("http://141.218.60.56/~jnz1568/getInfo.php?workbook=10_05.xlsx&amp;sheet=U0&amp;row=2401&amp;col=7&amp;number=0.00472&amp;sourceID=14","0.00472")</f>
        <v>0.00472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HYPERLINK("http://141.218.60.56/~jnz1568/getInfo.php?workbook=10_05.xlsx&amp;sheet=U0&amp;row=2402&amp;col=6&amp;number=4.8&amp;sourceID=14","4.8")</f>
        <v>4.8</v>
      </c>
      <c r="G2402" s="4" t="str">
        <f>HYPERLINK("http://141.218.60.56/~jnz1568/getInfo.php?workbook=10_05.xlsx&amp;sheet=U0&amp;row=2402&amp;col=7&amp;number=0.00445&amp;sourceID=14","0.00445")</f>
        <v>0.00445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HYPERLINK("http://141.218.60.56/~jnz1568/getInfo.php?workbook=10_05.xlsx&amp;sheet=U0&amp;row=2403&amp;col=6&amp;number=4.9&amp;sourceID=14","4.9")</f>
        <v>4.9</v>
      </c>
      <c r="G2403" s="4" t="str">
        <f>HYPERLINK("http://141.218.60.56/~jnz1568/getInfo.php?workbook=10_05.xlsx&amp;sheet=U0&amp;row=2403&amp;col=7&amp;number=0.00423&amp;sourceID=14","0.00423")</f>
        <v>0.00423</v>
      </c>
    </row>
    <row r="2404" spans="1:7">
      <c r="A2404" s="3">
        <v>10</v>
      </c>
      <c r="B2404" s="3">
        <v>5</v>
      </c>
      <c r="C2404" s="3">
        <v>1</v>
      </c>
      <c r="D2404" s="3">
        <v>122</v>
      </c>
      <c r="E2404" s="3">
        <v>1</v>
      </c>
      <c r="F2404" s="4" t="str">
        <f>HYPERLINK("http://141.218.60.56/~jnz1568/getInfo.php?workbook=10_05.xlsx&amp;sheet=U0&amp;row=2404&amp;col=6&amp;number=3&amp;sourceID=14","3")</f>
        <v>3</v>
      </c>
      <c r="G2404" s="4" t="str">
        <f>HYPERLINK("http://141.218.60.56/~jnz1568/getInfo.php?workbook=10_05.xlsx&amp;sheet=U0&amp;row=2404&amp;col=7&amp;number=0.00905&amp;sourceID=14","0.00905")</f>
        <v>0.00905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HYPERLINK("http://141.218.60.56/~jnz1568/getInfo.php?workbook=10_05.xlsx&amp;sheet=U0&amp;row=2405&amp;col=6&amp;number=3.1&amp;sourceID=14","3.1")</f>
        <v>3.1</v>
      </c>
      <c r="G2405" s="4" t="str">
        <f>HYPERLINK("http://141.218.60.56/~jnz1568/getInfo.php?workbook=10_05.xlsx&amp;sheet=U0&amp;row=2405&amp;col=7&amp;number=0.00898&amp;sourceID=14","0.00898")</f>
        <v>0.00898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HYPERLINK("http://141.218.60.56/~jnz1568/getInfo.php?workbook=10_05.xlsx&amp;sheet=U0&amp;row=2406&amp;col=6&amp;number=3.2&amp;sourceID=14","3.2")</f>
        <v>3.2</v>
      </c>
      <c r="G2406" s="4" t="str">
        <f>HYPERLINK("http://141.218.60.56/~jnz1568/getInfo.php?workbook=10_05.xlsx&amp;sheet=U0&amp;row=2406&amp;col=7&amp;number=0.0089&amp;sourceID=14","0.0089")</f>
        <v>0.0089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HYPERLINK("http://141.218.60.56/~jnz1568/getInfo.php?workbook=10_05.xlsx&amp;sheet=U0&amp;row=2407&amp;col=6&amp;number=3.3&amp;sourceID=14","3.3")</f>
        <v>3.3</v>
      </c>
      <c r="G2407" s="4" t="str">
        <f>HYPERLINK("http://141.218.60.56/~jnz1568/getInfo.php?workbook=10_05.xlsx&amp;sheet=U0&amp;row=2407&amp;col=7&amp;number=0.0088&amp;sourceID=14","0.0088")</f>
        <v>0.0088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HYPERLINK("http://141.218.60.56/~jnz1568/getInfo.php?workbook=10_05.xlsx&amp;sheet=U0&amp;row=2408&amp;col=6&amp;number=3.4&amp;sourceID=14","3.4")</f>
        <v>3.4</v>
      </c>
      <c r="G2408" s="4" t="str">
        <f>HYPERLINK("http://141.218.60.56/~jnz1568/getInfo.php?workbook=10_05.xlsx&amp;sheet=U0&amp;row=2408&amp;col=7&amp;number=0.00868&amp;sourceID=14","0.00868")</f>
        <v>0.00868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HYPERLINK("http://141.218.60.56/~jnz1568/getInfo.php?workbook=10_05.xlsx&amp;sheet=U0&amp;row=2409&amp;col=6&amp;number=3.5&amp;sourceID=14","3.5")</f>
        <v>3.5</v>
      </c>
      <c r="G2409" s="4" t="str">
        <f>HYPERLINK("http://141.218.60.56/~jnz1568/getInfo.php?workbook=10_05.xlsx&amp;sheet=U0&amp;row=2409&amp;col=7&amp;number=0.00852&amp;sourceID=14","0.00852")</f>
        <v>0.00852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HYPERLINK("http://141.218.60.56/~jnz1568/getInfo.php?workbook=10_05.xlsx&amp;sheet=U0&amp;row=2410&amp;col=6&amp;number=3.6&amp;sourceID=14","3.6")</f>
        <v>3.6</v>
      </c>
      <c r="G2410" s="4" t="str">
        <f>HYPERLINK("http://141.218.60.56/~jnz1568/getInfo.php?workbook=10_05.xlsx&amp;sheet=U0&amp;row=2410&amp;col=7&amp;number=0.00833&amp;sourceID=14","0.00833")</f>
        <v>0.00833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HYPERLINK("http://141.218.60.56/~jnz1568/getInfo.php?workbook=10_05.xlsx&amp;sheet=U0&amp;row=2411&amp;col=6&amp;number=3.7&amp;sourceID=14","3.7")</f>
        <v>3.7</v>
      </c>
      <c r="G2411" s="4" t="str">
        <f>HYPERLINK("http://141.218.60.56/~jnz1568/getInfo.php?workbook=10_05.xlsx&amp;sheet=U0&amp;row=2411&amp;col=7&amp;number=0.00809&amp;sourceID=14","0.00809")</f>
        <v>0.00809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HYPERLINK("http://141.218.60.56/~jnz1568/getInfo.php?workbook=10_05.xlsx&amp;sheet=U0&amp;row=2412&amp;col=6&amp;number=3.8&amp;sourceID=14","3.8")</f>
        <v>3.8</v>
      </c>
      <c r="G2412" s="4" t="str">
        <f>HYPERLINK("http://141.218.60.56/~jnz1568/getInfo.php?workbook=10_05.xlsx&amp;sheet=U0&amp;row=2412&amp;col=7&amp;number=0.00781&amp;sourceID=14","0.00781")</f>
        <v>0.00781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HYPERLINK("http://141.218.60.56/~jnz1568/getInfo.php?workbook=10_05.xlsx&amp;sheet=U0&amp;row=2413&amp;col=6&amp;number=3.9&amp;sourceID=14","3.9")</f>
        <v>3.9</v>
      </c>
      <c r="G2413" s="4" t="str">
        <f>HYPERLINK("http://141.218.60.56/~jnz1568/getInfo.php?workbook=10_05.xlsx&amp;sheet=U0&amp;row=2413&amp;col=7&amp;number=0.00747&amp;sourceID=14","0.00747")</f>
        <v>0.00747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HYPERLINK("http://141.218.60.56/~jnz1568/getInfo.php?workbook=10_05.xlsx&amp;sheet=U0&amp;row=2414&amp;col=6&amp;number=4&amp;sourceID=14","4")</f>
        <v>4</v>
      </c>
      <c r="G2414" s="4" t="str">
        <f>HYPERLINK("http://141.218.60.56/~jnz1568/getInfo.php?workbook=10_05.xlsx&amp;sheet=U0&amp;row=2414&amp;col=7&amp;number=0.00707&amp;sourceID=14","0.00707")</f>
        <v>0.00707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HYPERLINK("http://141.218.60.56/~jnz1568/getInfo.php?workbook=10_05.xlsx&amp;sheet=U0&amp;row=2415&amp;col=6&amp;number=4.1&amp;sourceID=14","4.1")</f>
        <v>4.1</v>
      </c>
      <c r="G2415" s="4" t="str">
        <f>HYPERLINK("http://141.218.60.56/~jnz1568/getInfo.php?workbook=10_05.xlsx&amp;sheet=U0&amp;row=2415&amp;col=7&amp;number=0.00664&amp;sourceID=14","0.00664")</f>
        <v>0.00664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HYPERLINK("http://141.218.60.56/~jnz1568/getInfo.php?workbook=10_05.xlsx&amp;sheet=U0&amp;row=2416&amp;col=6&amp;number=4.2&amp;sourceID=14","4.2")</f>
        <v>4.2</v>
      </c>
      <c r="G2416" s="4" t="str">
        <f>HYPERLINK("http://141.218.60.56/~jnz1568/getInfo.php?workbook=10_05.xlsx&amp;sheet=U0&amp;row=2416&amp;col=7&amp;number=0.00618&amp;sourceID=14","0.00618")</f>
        <v>0.00618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HYPERLINK("http://141.218.60.56/~jnz1568/getInfo.php?workbook=10_05.xlsx&amp;sheet=U0&amp;row=2417&amp;col=6&amp;number=4.3&amp;sourceID=14","4.3")</f>
        <v>4.3</v>
      </c>
      <c r="G2417" s="4" t="str">
        <f>HYPERLINK("http://141.218.60.56/~jnz1568/getInfo.php?workbook=10_05.xlsx&amp;sheet=U0&amp;row=2417&amp;col=7&amp;number=0.00575&amp;sourceID=14","0.00575")</f>
        <v>0.00575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HYPERLINK("http://141.218.60.56/~jnz1568/getInfo.php?workbook=10_05.xlsx&amp;sheet=U0&amp;row=2418&amp;col=6&amp;number=4.4&amp;sourceID=14","4.4")</f>
        <v>4.4</v>
      </c>
      <c r="G2418" s="4" t="str">
        <f>HYPERLINK("http://141.218.60.56/~jnz1568/getInfo.php?workbook=10_05.xlsx&amp;sheet=U0&amp;row=2418&amp;col=7&amp;number=0.00538&amp;sourceID=14","0.00538")</f>
        <v>0.00538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HYPERLINK("http://141.218.60.56/~jnz1568/getInfo.php?workbook=10_05.xlsx&amp;sheet=U0&amp;row=2419&amp;col=6&amp;number=4.5&amp;sourceID=14","4.5")</f>
        <v>4.5</v>
      </c>
      <c r="G2419" s="4" t="str">
        <f>HYPERLINK("http://141.218.60.56/~jnz1568/getInfo.php?workbook=10_05.xlsx&amp;sheet=U0&amp;row=2419&amp;col=7&amp;number=0.00508&amp;sourceID=14","0.00508")</f>
        <v>0.00508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HYPERLINK("http://141.218.60.56/~jnz1568/getInfo.php?workbook=10_05.xlsx&amp;sheet=U0&amp;row=2420&amp;col=6&amp;number=4.6&amp;sourceID=14","4.6")</f>
        <v>4.6</v>
      </c>
      <c r="G2420" s="4" t="str">
        <f>HYPERLINK("http://141.218.60.56/~jnz1568/getInfo.php?workbook=10_05.xlsx&amp;sheet=U0&amp;row=2420&amp;col=7&amp;number=0.00481&amp;sourceID=14","0.00481")</f>
        <v>0.00481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HYPERLINK("http://141.218.60.56/~jnz1568/getInfo.php?workbook=10_05.xlsx&amp;sheet=U0&amp;row=2421&amp;col=6&amp;number=4.7&amp;sourceID=14","4.7")</f>
        <v>4.7</v>
      </c>
      <c r="G2421" s="4" t="str">
        <f>HYPERLINK("http://141.218.60.56/~jnz1568/getInfo.php?workbook=10_05.xlsx&amp;sheet=U0&amp;row=2421&amp;col=7&amp;number=0.00454&amp;sourceID=14","0.00454")</f>
        <v>0.00454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HYPERLINK("http://141.218.60.56/~jnz1568/getInfo.php?workbook=10_05.xlsx&amp;sheet=U0&amp;row=2422&amp;col=6&amp;number=4.8&amp;sourceID=14","4.8")</f>
        <v>4.8</v>
      </c>
      <c r="G2422" s="4" t="str">
        <f>HYPERLINK("http://141.218.60.56/~jnz1568/getInfo.php?workbook=10_05.xlsx&amp;sheet=U0&amp;row=2422&amp;col=7&amp;number=0.00428&amp;sourceID=14","0.00428")</f>
        <v>0.00428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HYPERLINK("http://141.218.60.56/~jnz1568/getInfo.php?workbook=10_05.xlsx&amp;sheet=U0&amp;row=2423&amp;col=6&amp;number=4.9&amp;sourceID=14","4.9")</f>
        <v>4.9</v>
      </c>
      <c r="G2423" s="4" t="str">
        <f>HYPERLINK("http://141.218.60.56/~jnz1568/getInfo.php?workbook=10_05.xlsx&amp;sheet=U0&amp;row=2423&amp;col=7&amp;number=0.00404&amp;sourceID=14","0.00404")</f>
        <v>0.00404</v>
      </c>
    </row>
    <row r="2424" spans="1:7">
      <c r="A2424" s="3">
        <v>10</v>
      </c>
      <c r="B2424" s="3">
        <v>5</v>
      </c>
      <c r="C2424" s="3">
        <v>1</v>
      </c>
      <c r="D2424" s="3">
        <v>123</v>
      </c>
      <c r="E2424" s="3">
        <v>1</v>
      </c>
      <c r="F2424" s="4" t="str">
        <f>HYPERLINK("http://141.218.60.56/~jnz1568/getInfo.php?workbook=10_05.xlsx&amp;sheet=U0&amp;row=2424&amp;col=6&amp;number=3&amp;sourceID=14","3")</f>
        <v>3</v>
      </c>
      <c r="G2424" s="4" t="str">
        <f>HYPERLINK("http://141.218.60.56/~jnz1568/getInfo.php?workbook=10_05.xlsx&amp;sheet=U0&amp;row=2424&amp;col=7&amp;number=0.00706&amp;sourceID=14","0.00706")</f>
        <v>0.00706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HYPERLINK("http://141.218.60.56/~jnz1568/getInfo.php?workbook=10_05.xlsx&amp;sheet=U0&amp;row=2425&amp;col=6&amp;number=3.1&amp;sourceID=14","3.1")</f>
        <v>3.1</v>
      </c>
      <c r="G2425" s="4" t="str">
        <f>HYPERLINK("http://141.218.60.56/~jnz1568/getInfo.php?workbook=10_05.xlsx&amp;sheet=U0&amp;row=2425&amp;col=7&amp;number=0.00701&amp;sourceID=14","0.00701")</f>
        <v>0.00701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HYPERLINK("http://141.218.60.56/~jnz1568/getInfo.php?workbook=10_05.xlsx&amp;sheet=U0&amp;row=2426&amp;col=6&amp;number=3.2&amp;sourceID=14","3.2")</f>
        <v>3.2</v>
      </c>
      <c r="G2426" s="4" t="str">
        <f>HYPERLINK("http://141.218.60.56/~jnz1568/getInfo.php?workbook=10_05.xlsx&amp;sheet=U0&amp;row=2426&amp;col=7&amp;number=0.00695&amp;sourceID=14","0.00695")</f>
        <v>0.00695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HYPERLINK("http://141.218.60.56/~jnz1568/getInfo.php?workbook=10_05.xlsx&amp;sheet=U0&amp;row=2427&amp;col=6&amp;number=3.3&amp;sourceID=14","3.3")</f>
        <v>3.3</v>
      </c>
      <c r="G2427" s="4" t="str">
        <f>HYPERLINK("http://141.218.60.56/~jnz1568/getInfo.php?workbook=10_05.xlsx&amp;sheet=U0&amp;row=2427&amp;col=7&amp;number=0.00688&amp;sourceID=14","0.00688")</f>
        <v>0.00688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HYPERLINK("http://141.218.60.56/~jnz1568/getInfo.php?workbook=10_05.xlsx&amp;sheet=U0&amp;row=2428&amp;col=6&amp;number=3.4&amp;sourceID=14","3.4")</f>
        <v>3.4</v>
      </c>
      <c r="G2428" s="4" t="str">
        <f>HYPERLINK("http://141.218.60.56/~jnz1568/getInfo.php?workbook=10_05.xlsx&amp;sheet=U0&amp;row=2428&amp;col=7&amp;number=0.00679&amp;sourceID=14","0.00679")</f>
        <v>0.00679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HYPERLINK("http://141.218.60.56/~jnz1568/getInfo.php?workbook=10_05.xlsx&amp;sheet=U0&amp;row=2429&amp;col=6&amp;number=3.5&amp;sourceID=14","3.5")</f>
        <v>3.5</v>
      </c>
      <c r="G2429" s="4" t="str">
        <f>HYPERLINK("http://141.218.60.56/~jnz1568/getInfo.php?workbook=10_05.xlsx&amp;sheet=U0&amp;row=2429&amp;col=7&amp;number=0.00668&amp;sourceID=14","0.00668")</f>
        <v>0.00668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HYPERLINK("http://141.218.60.56/~jnz1568/getInfo.php?workbook=10_05.xlsx&amp;sheet=U0&amp;row=2430&amp;col=6&amp;number=3.6&amp;sourceID=14","3.6")</f>
        <v>3.6</v>
      </c>
      <c r="G2430" s="4" t="str">
        <f>HYPERLINK("http://141.218.60.56/~jnz1568/getInfo.php?workbook=10_05.xlsx&amp;sheet=U0&amp;row=2430&amp;col=7&amp;number=0.00655&amp;sourceID=14","0.00655")</f>
        <v>0.00655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HYPERLINK("http://141.218.60.56/~jnz1568/getInfo.php?workbook=10_05.xlsx&amp;sheet=U0&amp;row=2431&amp;col=6&amp;number=3.7&amp;sourceID=14","3.7")</f>
        <v>3.7</v>
      </c>
      <c r="G2431" s="4" t="str">
        <f>HYPERLINK("http://141.218.60.56/~jnz1568/getInfo.php?workbook=10_05.xlsx&amp;sheet=U0&amp;row=2431&amp;col=7&amp;number=0.00638&amp;sourceID=14","0.00638")</f>
        <v>0.00638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HYPERLINK("http://141.218.60.56/~jnz1568/getInfo.php?workbook=10_05.xlsx&amp;sheet=U0&amp;row=2432&amp;col=6&amp;number=3.8&amp;sourceID=14","3.8")</f>
        <v>3.8</v>
      </c>
      <c r="G2432" s="4" t="str">
        <f>HYPERLINK("http://141.218.60.56/~jnz1568/getInfo.php?workbook=10_05.xlsx&amp;sheet=U0&amp;row=2432&amp;col=7&amp;number=0.00618&amp;sourceID=14","0.00618")</f>
        <v>0.00618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HYPERLINK("http://141.218.60.56/~jnz1568/getInfo.php?workbook=10_05.xlsx&amp;sheet=U0&amp;row=2433&amp;col=6&amp;number=3.9&amp;sourceID=14","3.9")</f>
        <v>3.9</v>
      </c>
      <c r="G2433" s="4" t="str">
        <f>HYPERLINK("http://141.218.60.56/~jnz1568/getInfo.php?workbook=10_05.xlsx&amp;sheet=U0&amp;row=2433&amp;col=7&amp;number=0.00593&amp;sourceID=14","0.00593")</f>
        <v>0.00593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HYPERLINK("http://141.218.60.56/~jnz1568/getInfo.php?workbook=10_05.xlsx&amp;sheet=U0&amp;row=2434&amp;col=6&amp;number=4&amp;sourceID=14","4")</f>
        <v>4</v>
      </c>
      <c r="G2434" s="4" t="str">
        <f>HYPERLINK("http://141.218.60.56/~jnz1568/getInfo.php?workbook=10_05.xlsx&amp;sheet=U0&amp;row=2434&amp;col=7&amp;number=0.00565&amp;sourceID=14","0.00565")</f>
        <v>0.00565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HYPERLINK("http://141.218.60.56/~jnz1568/getInfo.php?workbook=10_05.xlsx&amp;sheet=U0&amp;row=2435&amp;col=6&amp;number=4.1&amp;sourceID=14","4.1")</f>
        <v>4.1</v>
      </c>
      <c r="G2435" s="4" t="str">
        <f>HYPERLINK("http://141.218.60.56/~jnz1568/getInfo.php?workbook=10_05.xlsx&amp;sheet=U0&amp;row=2435&amp;col=7&amp;number=0.00532&amp;sourceID=14","0.00532")</f>
        <v>0.00532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HYPERLINK("http://141.218.60.56/~jnz1568/getInfo.php?workbook=10_05.xlsx&amp;sheet=U0&amp;row=2436&amp;col=6&amp;number=4.2&amp;sourceID=14","4.2")</f>
        <v>4.2</v>
      </c>
      <c r="G2436" s="4" t="str">
        <f>HYPERLINK("http://141.218.60.56/~jnz1568/getInfo.php?workbook=10_05.xlsx&amp;sheet=U0&amp;row=2436&amp;col=7&amp;number=0.00498&amp;sourceID=14","0.00498")</f>
        <v>0.00498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HYPERLINK("http://141.218.60.56/~jnz1568/getInfo.php?workbook=10_05.xlsx&amp;sheet=U0&amp;row=2437&amp;col=6&amp;number=4.3&amp;sourceID=14","4.3")</f>
        <v>4.3</v>
      </c>
      <c r="G2437" s="4" t="str">
        <f>HYPERLINK("http://141.218.60.56/~jnz1568/getInfo.php?workbook=10_05.xlsx&amp;sheet=U0&amp;row=2437&amp;col=7&amp;number=0.00463&amp;sourceID=14","0.00463")</f>
        <v>0.00463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HYPERLINK("http://141.218.60.56/~jnz1568/getInfo.php?workbook=10_05.xlsx&amp;sheet=U0&amp;row=2438&amp;col=6&amp;number=4.4&amp;sourceID=14","4.4")</f>
        <v>4.4</v>
      </c>
      <c r="G2438" s="4" t="str">
        <f>HYPERLINK("http://141.218.60.56/~jnz1568/getInfo.php?workbook=10_05.xlsx&amp;sheet=U0&amp;row=2438&amp;col=7&amp;number=0.00434&amp;sourceID=14","0.00434")</f>
        <v>0.00434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HYPERLINK("http://141.218.60.56/~jnz1568/getInfo.php?workbook=10_05.xlsx&amp;sheet=U0&amp;row=2439&amp;col=6&amp;number=4.5&amp;sourceID=14","4.5")</f>
        <v>4.5</v>
      </c>
      <c r="G2439" s="4" t="str">
        <f>HYPERLINK("http://141.218.60.56/~jnz1568/getInfo.php?workbook=10_05.xlsx&amp;sheet=U0&amp;row=2439&amp;col=7&amp;number=0.0041&amp;sourceID=14","0.0041")</f>
        <v>0.0041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HYPERLINK("http://141.218.60.56/~jnz1568/getInfo.php?workbook=10_05.xlsx&amp;sheet=U0&amp;row=2440&amp;col=6&amp;number=4.6&amp;sourceID=14","4.6")</f>
        <v>4.6</v>
      </c>
      <c r="G2440" s="4" t="str">
        <f>HYPERLINK("http://141.218.60.56/~jnz1568/getInfo.php?workbook=10_05.xlsx&amp;sheet=U0&amp;row=2440&amp;col=7&amp;number=0.0039&amp;sourceID=14","0.0039")</f>
        <v>0.0039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HYPERLINK("http://141.218.60.56/~jnz1568/getInfo.php?workbook=10_05.xlsx&amp;sheet=U0&amp;row=2441&amp;col=6&amp;number=4.7&amp;sourceID=14","4.7")</f>
        <v>4.7</v>
      </c>
      <c r="G2441" s="4" t="str">
        <f>HYPERLINK("http://141.218.60.56/~jnz1568/getInfo.php?workbook=10_05.xlsx&amp;sheet=U0&amp;row=2441&amp;col=7&amp;number=0.0037&amp;sourceID=14","0.0037")</f>
        <v>0.0037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HYPERLINK("http://141.218.60.56/~jnz1568/getInfo.php?workbook=10_05.xlsx&amp;sheet=U0&amp;row=2442&amp;col=6&amp;number=4.8&amp;sourceID=14","4.8")</f>
        <v>4.8</v>
      </c>
      <c r="G2442" s="4" t="str">
        <f>HYPERLINK("http://141.218.60.56/~jnz1568/getInfo.php?workbook=10_05.xlsx&amp;sheet=U0&amp;row=2442&amp;col=7&amp;number=0.00347&amp;sourceID=14","0.00347")</f>
        <v>0.00347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HYPERLINK("http://141.218.60.56/~jnz1568/getInfo.php?workbook=10_05.xlsx&amp;sheet=U0&amp;row=2443&amp;col=6&amp;number=4.9&amp;sourceID=14","4.9")</f>
        <v>4.9</v>
      </c>
      <c r="G2443" s="4" t="str">
        <f>HYPERLINK("http://141.218.60.56/~jnz1568/getInfo.php?workbook=10_05.xlsx&amp;sheet=U0&amp;row=2443&amp;col=7&amp;number=0.00326&amp;sourceID=14","0.00326")</f>
        <v>0.00326</v>
      </c>
    </row>
    <row r="2444" spans="1:7">
      <c r="A2444" s="3">
        <v>10</v>
      </c>
      <c r="B2444" s="3">
        <v>5</v>
      </c>
      <c r="C2444" s="3">
        <v>1</v>
      </c>
      <c r="D2444" s="3">
        <v>124</v>
      </c>
      <c r="E2444" s="3">
        <v>1</v>
      </c>
      <c r="F2444" s="4" t="str">
        <f>HYPERLINK("http://141.218.60.56/~jnz1568/getInfo.php?workbook=10_05.xlsx&amp;sheet=U0&amp;row=2444&amp;col=6&amp;number=3&amp;sourceID=14","3")</f>
        <v>3</v>
      </c>
      <c r="G2444" s="4" t="str">
        <f>HYPERLINK("http://141.218.60.56/~jnz1568/getInfo.php?workbook=10_05.xlsx&amp;sheet=U0&amp;row=2444&amp;col=7&amp;number=0.00302&amp;sourceID=14","0.00302")</f>
        <v>0.00302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HYPERLINK("http://141.218.60.56/~jnz1568/getInfo.php?workbook=10_05.xlsx&amp;sheet=U0&amp;row=2445&amp;col=6&amp;number=3.1&amp;sourceID=14","3.1")</f>
        <v>3.1</v>
      </c>
      <c r="G2445" s="4" t="str">
        <f>HYPERLINK("http://141.218.60.56/~jnz1568/getInfo.php?workbook=10_05.xlsx&amp;sheet=U0&amp;row=2445&amp;col=7&amp;number=0.00298&amp;sourceID=14","0.00298")</f>
        <v>0.00298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HYPERLINK("http://141.218.60.56/~jnz1568/getInfo.php?workbook=10_05.xlsx&amp;sheet=U0&amp;row=2446&amp;col=6&amp;number=3.2&amp;sourceID=14","3.2")</f>
        <v>3.2</v>
      </c>
      <c r="G2446" s="4" t="str">
        <f>HYPERLINK("http://141.218.60.56/~jnz1568/getInfo.php?workbook=10_05.xlsx&amp;sheet=U0&amp;row=2446&amp;col=7&amp;number=0.00294&amp;sourceID=14","0.00294")</f>
        <v>0.00294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HYPERLINK("http://141.218.60.56/~jnz1568/getInfo.php?workbook=10_05.xlsx&amp;sheet=U0&amp;row=2447&amp;col=6&amp;number=3.3&amp;sourceID=14","3.3")</f>
        <v>3.3</v>
      </c>
      <c r="G2447" s="4" t="str">
        <f>HYPERLINK("http://141.218.60.56/~jnz1568/getInfo.php?workbook=10_05.xlsx&amp;sheet=U0&amp;row=2447&amp;col=7&amp;number=0.00288&amp;sourceID=14","0.00288")</f>
        <v>0.00288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HYPERLINK("http://141.218.60.56/~jnz1568/getInfo.php?workbook=10_05.xlsx&amp;sheet=U0&amp;row=2448&amp;col=6&amp;number=3.4&amp;sourceID=14","3.4")</f>
        <v>3.4</v>
      </c>
      <c r="G2448" s="4" t="str">
        <f>HYPERLINK("http://141.218.60.56/~jnz1568/getInfo.php?workbook=10_05.xlsx&amp;sheet=U0&amp;row=2448&amp;col=7&amp;number=0.00281&amp;sourceID=14","0.00281")</f>
        <v>0.00281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HYPERLINK("http://141.218.60.56/~jnz1568/getInfo.php?workbook=10_05.xlsx&amp;sheet=U0&amp;row=2449&amp;col=6&amp;number=3.5&amp;sourceID=14","3.5")</f>
        <v>3.5</v>
      </c>
      <c r="G2449" s="4" t="str">
        <f>HYPERLINK("http://141.218.60.56/~jnz1568/getInfo.php?workbook=10_05.xlsx&amp;sheet=U0&amp;row=2449&amp;col=7&amp;number=0.00273&amp;sourceID=14","0.00273")</f>
        <v>0.00273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HYPERLINK("http://141.218.60.56/~jnz1568/getInfo.php?workbook=10_05.xlsx&amp;sheet=U0&amp;row=2450&amp;col=6&amp;number=3.6&amp;sourceID=14","3.6")</f>
        <v>3.6</v>
      </c>
      <c r="G2450" s="4" t="str">
        <f>HYPERLINK("http://141.218.60.56/~jnz1568/getInfo.php?workbook=10_05.xlsx&amp;sheet=U0&amp;row=2450&amp;col=7&amp;number=0.00263&amp;sourceID=14","0.00263")</f>
        <v>0.00263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HYPERLINK("http://141.218.60.56/~jnz1568/getInfo.php?workbook=10_05.xlsx&amp;sheet=U0&amp;row=2451&amp;col=6&amp;number=3.7&amp;sourceID=14","3.7")</f>
        <v>3.7</v>
      </c>
      <c r="G2451" s="4" t="str">
        <f>HYPERLINK("http://141.218.60.56/~jnz1568/getInfo.php?workbook=10_05.xlsx&amp;sheet=U0&amp;row=2451&amp;col=7&amp;number=0.0025&amp;sourceID=14","0.0025")</f>
        <v>0.0025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HYPERLINK("http://141.218.60.56/~jnz1568/getInfo.php?workbook=10_05.xlsx&amp;sheet=U0&amp;row=2452&amp;col=6&amp;number=3.8&amp;sourceID=14","3.8")</f>
        <v>3.8</v>
      </c>
      <c r="G2452" s="4" t="str">
        <f>HYPERLINK("http://141.218.60.56/~jnz1568/getInfo.php?workbook=10_05.xlsx&amp;sheet=U0&amp;row=2452&amp;col=7&amp;number=0.00235&amp;sourceID=14","0.00235")</f>
        <v>0.00235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HYPERLINK("http://141.218.60.56/~jnz1568/getInfo.php?workbook=10_05.xlsx&amp;sheet=U0&amp;row=2453&amp;col=6&amp;number=3.9&amp;sourceID=14","3.9")</f>
        <v>3.9</v>
      </c>
      <c r="G2453" s="4" t="str">
        <f>HYPERLINK("http://141.218.60.56/~jnz1568/getInfo.php?workbook=10_05.xlsx&amp;sheet=U0&amp;row=2453&amp;col=7&amp;number=0.00217&amp;sourceID=14","0.00217")</f>
        <v>0.00217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HYPERLINK("http://141.218.60.56/~jnz1568/getInfo.php?workbook=10_05.xlsx&amp;sheet=U0&amp;row=2454&amp;col=6&amp;number=4&amp;sourceID=14","4")</f>
        <v>4</v>
      </c>
      <c r="G2454" s="4" t="str">
        <f>HYPERLINK("http://141.218.60.56/~jnz1568/getInfo.php?workbook=10_05.xlsx&amp;sheet=U0&amp;row=2454&amp;col=7&amp;number=0.00197&amp;sourceID=14","0.00197")</f>
        <v>0.00197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HYPERLINK("http://141.218.60.56/~jnz1568/getInfo.php?workbook=10_05.xlsx&amp;sheet=U0&amp;row=2455&amp;col=6&amp;number=4.1&amp;sourceID=14","4.1")</f>
        <v>4.1</v>
      </c>
      <c r="G2455" s="4" t="str">
        <f>HYPERLINK("http://141.218.60.56/~jnz1568/getInfo.php?workbook=10_05.xlsx&amp;sheet=U0&amp;row=2455&amp;col=7&amp;number=0.00175&amp;sourceID=14","0.00175")</f>
        <v>0.00175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HYPERLINK("http://141.218.60.56/~jnz1568/getInfo.php?workbook=10_05.xlsx&amp;sheet=U0&amp;row=2456&amp;col=6&amp;number=4.2&amp;sourceID=14","4.2")</f>
        <v>4.2</v>
      </c>
      <c r="G2456" s="4" t="str">
        <f>HYPERLINK("http://141.218.60.56/~jnz1568/getInfo.php?workbook=10_05.xlsx&amp;sheet=U0&amp;row=2456&amp;col=7&amp;number=0.00152&amp;sourceID=14","0.00152")</f>
        <v>0.00152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HYPERLINK("http://141.218.60.56/~jnz1568/getInfo.php?workbook=10_05.xlsx&amp;sheet=U0&amp;row=2457&amp;col=6&amp;number=4.3&amp;sourceID=14","4.3")</f>
        <v>4.3</v>
      </c>
      <c r="G2457" s="4" t="str">
        <f>HYPERLINK("http://141.218.60.56/~jnz1568/getInfo.php?workbook=10_05.xlsx&amp;sheet=U0&amp;row=2457&amp;col=7&amp;number=0.00132&amp;sourceID=14","0.00132")</f>
        <v>0.00132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HYPERLINK("http://141.218.60.56/~jnz1568/getInfo.php?workbook=10_05.xlsx&amp;sheet=U0&amp;row=2458&amp;col=6&amp;number=4.4&amp;sourceID=14","4.4")</f>
        <v>4.4</v>
      </c>
      <c r="G2458" s="4" t="str">
        <f>HYPERLINK("http://141.218.60.56/~jnz1568/getInfo.php?workbook=10_05.xlsx&amp;sheet=U0&amp;row=2458&amp;col=7&amp;number=0.00114&amp;sourceID=14","0.00114")</f>
        <v>0.00114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HYPERLINK("http://141.218.60.56/~jnz1568/getInfo.php?workbook=10_05.xlsx&amp;sheet=U0&amp;row=2459&amp;col=6&amp;number=4.5&amp;sourceID=14","4.5")</f>
        <v>4.5</v>
      </c>
      <c r="G2459" s="4" t="str">
        <f>HYPERLINK("http://141.218.60.56/~jnz1568/getInfo.php?workbook=10_05.xlsx&amp;sheet=U0&amp;row=2459&amp;col=7&amp;number=0.000985&amp;sourceID=14","0.000985")</f>
        <v>0.000985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HYPERLINK("http://141.218.60.56/~jnz1568/getInfo.php?workbook=10_05.xlsx&amp;sheet=U0&amp;row=2460&amp;col=6&amp;number=4.6&amp;sourceID=14","4.6")</f>
        <v>4.6</v>
      </c>
      <c r="G2460" s="4" t="str">
        <f>HYPERLINK("http://141.218.60.56/~jnz1568/getInfo.php?workbook=10_05.xlsx&amp;sheet=U0&amp;row=2460&amp;col=7&amp;number=0.000846&amp;sourceID=14","0.000846")</f>
        <v>0.000846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HYPERLINK("http://141.218.60.56/~jnz1568/getInfo.php?workbook=10_05.xlsx&amp;sheet=U0&amp;row=2461&amp;col=6&amp;number=4.7&amp;sourceID=14","4.7")</f>
        <v>4.7</v>
      </c>
      <c r="G2461" s="4" t="str">
        <f>HYPERLINK("http://141.218.60.56/~jnz1568/getInfo.php?workbook=10_05.xlsx&amp;sheet=U0&amp;row=2461&amp;col=7&amp;number=0.00072&amp;sourceID=14","0.00072")</f>
        <v>0.00072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HYPERLINK("http://141.218.60.56/~jnz1568/getInfo.php?workbook=10_05.xlsx&amp;sheet=U0&amp;row=2462&amp;col=6&amp;number=4.8&amp;sourceID=14","4.8")</f>
        <v>4.8</v>
      </c>
      <c r="G2462" s="4" t="str">
        <f>HYPERLINK("http://141.218.60.56/~jnz1568/getInfo.php?workbook=10_05.xlsx&amp;sheet=U0&amp;row=2462&amp;col=7&amp;number=0.000612&amp;sourceID=14","0.000612")</f>
        <v>0.000612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HYPERLINK("http://141.218.60.56/~jnz1568/getInfo.php?workbook=10_05.xlsx&amp;sheet=U0&amp;row=2463&amp;col=6&amp;number=4.9&amp;sourceID=14","4.9")</f>
        <v>4.9</v>
      </c>
      <c r="G2463" s="4" t="str">
        <f>HYPERLINK("http://141.218.60.56/~jnz1568/getInfo.php?workbook=10_05.xlsx&amp;sheet=U0&amp;row=2463&amp;col=7&amp;number=0.000522&amp;sourceID=14","0.000522")</f>
        <v>0.000522</v>
      </c>
    </row>
    <row r="2464" spans="1:7">
      <c r="A2464" s="3">
        <v>10</v>
      </c>
      <c r="B2464" s="3">
        <v>5</v>
      </c>
      <c r="C2464" s="3">
        <v>1</v>
      </c>
      <c r="D2464" s="3">
        <v>125</v>
      </c>
      <c r="E2464" s="3">
        <v>1</v>
      </c>
      <c r="F2464" s="4" t="str">
        <f>HYPERLINK("http://141.218.60.56/~jnz1568/getInfo.php?workbook=10_05.xlsx&amp;sheet=U0&amp;row=2464&amp;col=6&amp;number=3&amp;sourceID=14","3")</f>
        <v>3</v>
      </c>
      <c r="G2464" s="4" t="str">
        <f>HYPERLINK("http://141.218.60.56/~jnz1568/getInfo.php?workbook=10_05.xlsx&amp;sheet=U0&amp;row=2464&amp;col=7&amp;number=0.00618&amp;sourceID=14","0.00618")</f>
        <v>0.00618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HYPERLINK("http://141.218.60.56/~jnz1568/getInfo.php?workbook=10_05.xlsx&amp;sheet=U0&amp;row=2465&amp;col=6&amp;number=3.1&amp;sourceID=14","3.1")</f>
        <v>3.1</v>
      </c>
      <c r="G2465" s="4" t="str">
        <f>HYPERLINK("http://141.218.60.56/~jnz1568/getInfo.php?workbook=10_05.xlsx&amp;sheet=U0&amp;row=2465&amp;col=7&amp;number=0.00617&amp;sourceID=14","0.00617")</f>
        <v>0.00617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HYPERLINK("http://141.218.60.56/~jnz1568/getInfo.php?workbook=10_05.xlsx&amp;sheet=U0&amp;row=2466&amp;col=6&amp;number=3.2&amp;sourceID=14","3.2")</f>
        <v>3.2</v>
      </c>
      <c r="G2466" s="4" t="str">
        <f>HYPERLINK("http://141.218.60.56/~jnz1568/getInfo.php?workbook=10_05.xlsx&amp;sheet=U0&amp;row=2466&amp;col=7&amp;number=0.00615&amp;sourceID=14","0.00615")</f>
        <v>0.00615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HYPERLINK("http://141.218.60.56/~jnz1568/getInfo.php?workbook=10_05.xlsx&amp;sheet=U0&amp;row=2467&amp;col=6&amp;number=3.3&amp;sourceID=14","3.3")</f>
        <v>3.3</v>
      </c>
      <c r="G2467" s="4" t="str">
        <f>HYPERLINK("http://141.218.60.56/~jnz1568/getInfo.php?workbook=10_05.xlsx&amp;sheet=U0&amp;row=2467&amp;col=7&amp;number=0.00614&amp;sourceID=14","0.00614")</f>
        <v>0.00614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HYPERLINK("http://141.218.60.56/~jnz1568/getInfo.php?workbook=10_05.xlsx&amp;sheet=U0&amp;row=2468&amp;col=6&amp;number=3.4&amp;sourceID=14","3.4")</f>
        <v>3.4</v>
      </c>
      <c r="G2468" s="4" t="str">
        <f>HYPERLINK("http://141.218.60.56/~jnz1568/getInfo.php?workbook=10_05.xlsx&amp;sheet=U0&amp;row=2468&amp;col=7&amp;number=0.00612&amp;sourceID=14","0.00612")</f>
        <v>0.00612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HYPERLINK("http://141.218.60.56/~jnz1568/getInfo.php?workbook=10_05.xlsx&amp;sheet=U0&amp;row=2469&amp;col=6&amp;number=3.5&amp;sourceID=14","3.5")</f>
        <v>3.5</v>
      </c>
      <c r="G2469" s="4" t="str">
        <f>HYPERLINK("http://141.218.60.56/~jnz1568/getInfo.php?workbook=10_05.xlsx&amp;sheet=U0&amp;row=2469&amp;col=7&amp;number=0.00609&amp;sourceID=14","0.00609")</f>
        <v>0.00609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HYPERLINK("http://141.218.60.56/~jnz1568/getInfo.php?workbook=10_05.xlsx&amp;sheet=U0&amp;row=2470&amp;col=6&amp;number=3.6&amp;sourceID=14","3.6")</f>
        <v>3.6</v>
      </c>
      <c r="G2470" s="4" t="str">
        <f>HYPERLINK("http://141.218.60.56/~jnz1568/getInfo.php?workbook=10_05.xlsx&amp;sheet=U0&amp;row=2470&amp;col=7&amp;number=0.00606&amp;sourceID=14","0.00606")</f>
        <v>0.00606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HYPERLINK("http://141.218.60.56/~jnz1568/getInfo.php?workbook=10_05.xlsx&amp;sheet=U0&amp;row=2471&amp;col=6&amp;number=3.7&amp;sourceID=14","3.7")</f>
        <v>3.7</v>
      </c>
      <c r="G2471" s="4" t="str">
        <f>HYPERLINK("http://141.218.60.56/~jnz1568/getInfo.php?workbook=10_05.xlsx&amp;sheet=U0&amp;row=2471&amp;col=7&amp;number=0.00603&amp;sourceID=14","0.00603")</f>
        <v>0.00603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HYPERLINK("http://141.218.60.56/~jnz1568/getInfo.php?workbook=10_05.xlsx&amp;sheet=U0&amp;row=2472&amp;col=6&amp;number=3.8&amp;sourceID=14","3.8")</f>
        <v>3.8</v>
      </c>
      <c r="G2472" s="4" t="str">
        <f>HYPERLINK("http://141.218.60.56/~jnz1568/getInfo.php?workbook=10_05.xlsx&amp;sheet=U0&amp;row=2472&amp;col=7&amp;number=0.00598&amp;sourceID=14","0.00598")</f>
        <v>0.00598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HYPERLINK("http://141.218.60.56/~jnz1568/getInfo.php?workbook=10_05.xlsx&amp;sheet=U0&amp;row=2473&amp;col=6&amp;number=3.9&amp;sourceID=14","3.9")</f>
        <v>3.9</v>
      </c>
      <c r="G2473" s="4" t="str">
        <f>HYPERLINK("http://141.218.60.56/~jnz1568/getInfo.php?workbook=10_05.xlsx&amp;sheet=U0&amp;row=2473&amp;col=7&amp;number=0.00592&amp;sourceID=14","0.00592")</f>
        <v>0.00592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HYPERLINK("http://141.218.60.56/~jnz1568/getInfo.php?workbook=10_05.xlsx&amp;sheet=U0&amp;row=2474&amp;col=6&amp;number=4&amp;sourceID=14","4")</f>
        <v>4</v>
      </c>
      <c r="G2474" s="4" t="str">
        <f>HYPERLINK("http://141.218.60.56/~jnz1568/getInfo.php?workbook=10_05.xlsx&amp;sheet=U0&amp;row=2474&amp;col=7&amp;number=0.00585&amp;sourceID=14","0.00585")</f>
        <v>0.00585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HYPERLINK("http://141.218.60.56/~jnz1568/getInfo.php?workbook=10_05.xlsx&amp;sheet=U0&amp;row=2475&amp;col=6&amp;number=4.1&amp;sourceID=14","4.1")</f>
        <v>4.1</v>
      </c>
      <c r="G2475" s="4" t="str">
        <f>HYPERLINK("http://141.218.60.56/~jnz1568/getInfo.php?workbook=10_05.xlsx&amp;sheet=U0&amp;row=2475&amp;col=7&amp;number=0.00576&amp;sourceID=14","0.00576")</f>
        <v>0.00576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HYPERLINK("http://141.218.60.56/~jnz1568/getInfo.php?workbook=10_05.xlsx&amp;sheet=U0&amp;row=2476&amp;col=6&amp;number=4.2&amp;sourceID=14","4.2")</f>
        <v>4.2</v>
      </c>
      <c r="G2476" s="4" t="str">
        <f>HYPERLINK("http://141.218.60.56/~jnz1568/getInfo.php?workbook=10_05.xlsx&amp;sheet=U0&amp;row=2476&amp;col=7&amp;number=0.00565&amp;sourceID=14","0.00565")</f>
        <v>0.00565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HYPERLINK("http://141.218.60.56/~jnz1568/getInfo.php?workbook=10_05.xlsx&amp;sheet=U0&amp;row=2477&amp;col=6&amp;number=4.3&amp;sourceID=14","4.3")</f>
        <v>4.3</v>
      </c>
      <c r="G2477" s="4" t="str">
        <f>HYPERLINK("http://141.218.60.56/~jnz1568/getInfo.php?workbook=10_05.xlsx&amp;sheet=U0&amp;row=2477&amp;col=7&amp;number=0.00553&amp;sourceID=14","0.00553")</f>
        <v>0.00553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HYPERLINK("http://141.218.60.56/~jnz1568/getInfo.php?workbook=10_05.xlsx&amp;sheet=U0&amp;row=2478&amp;col=6&amp;number=4.4&amp;sourceID=14","4.4")</f>
        <v>4.4</v>
      </c>
      <c r="G2478" s="4" t="str">
        <f>HYPERLINK("http://141.218.60.56/~jnz1568/getInfo.php?workbook=10_05.xlsx&amp;sheet=U0&amp;row=2478&amp;col=7&amp;number=0.00538&amp;sourceID=14","0.00538")</f>
        <v>0.00538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HYPERLINK("http://141.218.60.56/~jnz1568/getInfo.php?workbook=10_05.xlsx&amp;sheet=U0&amp;row=2479&amp;col=6&amp;number=4.5&amp;sourceID=14","4.5")</f>
        <v>4.5</v>
      </c>
      <c r="G2479" s="4" t="str">
        <f>HYPERLINK("http://141.218.60.56/~jnz1568/getInfo.php?workbook=10_05.xlsx&amp;sheet=U0&amp;row=2479&amp;col=7&amp;number=0.00521&amp;sourceID=14","0.00521")</f>
        <v>0.00521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HYPERLINK("http://141.218.60.56/~jnz1568/getInfo.php?workbook=10_05.xlsx&amp;sheet=U0&amp;row=2480&amp;col=6&amp;number=4.6&amp;sourceID=14","4.6")</f>
        <v>4.6</v>
      </c>
      <c r="G2480" s="4" t="str">
        <f>HYPERLINK("http://141.218.60.56/~jnz1568/getInfo.php?workbook=10_05.xlsx&amp;sheet=U0&amp;row=2480&amp;col=7&amp;number=0.00503&amp;sourceID=14","0.00503")</f>
        <v>0.00503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HYPERLINK("http://141.218.60.56/~jnz1568/getInfo.php?workbook=10_05.xlsx&amp;sheet=U0&amp;row=2481&amp;col=6&amp;number=4.7&amp;sourceID=14","4.7")</f>
        <v>4.7</v>
      </c>
      <c r="G2481" s="4" t="str">
        <f>HYPERLINK("http://141.218.60.56/~jnz1568/getInfo.php?workbook=10_05.xlsx&amp;sheet=U0&amp;row=2481&amp;col=7&amp;number=0.00487&amp;sourceID=14","0.00487")</f>
        <v>0.00487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HYPERLINK("http://141.218.60.56/~jnz1568/getInfo.php?workbook=10_05.xlsx&amp;sheet=U0&amp;row=2482&amp;col=6&amp;number=4.8&amp;sourceID=14","4.8")</f>
        <v>4.8</v>
      </c>
      <c r="G2482" s="4" t="str">
        <f>HYPERLINK("http://141.218.60.56/~jnz1568/getInfo.php?workbook=10_05.xlsx&amp;sheet=U0&amp;row=2482&amp;col=7&amp;number=0.00474&amp;sourceID=14","0.00474")</f>
        <v>0.00474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HYPERLINK("http://141.218.60.56/~jnz1568/getInfo.php?workbook=10_05.xlsx&amp;sheet=U0&amp;row=2483&amp;col=6&amp;number=4.9&amp;sourceID=14","4.9")</f>
        <v>4.9</v>
      </c>
      <c r="G2483" s="4" t="str">
        <f>HYPERLINK("http://141.218.60.56/~jnz1568/getInfo.php?workbook=10_05.xlsx&amp;sheet=U0&amp;row=2483&amp;col=7&amp;number=0.00468&amp;sourceID=14","0.00468")</f>
        <v>0.00468</v>
      </c>
    </row>
    <row r="2484" spans="1:7">
      <c r="A2484" s="3">
        <v>10</v>
      </c>
      <c r="B2484" s="3">
        <v>5</v>
      </c>
      <c r="C2484" s="3">
        <v>1</v>
      </c>
      <c r="D2484" s="3">
        <v>126</v>
      </c>
      <c r="E2484" s="3">
        <v>1</v>
      </c>
      <c r="F2484" s="4" t="str">
        <f>HYPERLINK("http://141.218.60.56/~jnz1568/getInfo.php?workbook=10_05.xlsx&amp;sheet=U0&amp;row=2484&amp;col=6&amp;number=3&amp;sourceID=14","3")</f>
        <v>3</v>
      </c>
      <c r="G2484" s="4" t="str">
        <f>HYPERLINK("http://141.218.60.56/~jnz1568/getInfo.php?workbook=10_05.xlsx&amp;sheet=U0&amp;row=2484&amp;col=7&amp;number=0.00655&amp;sourceID=14","0.00655")</f>
        <v>0.00655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HYPERLINK("http://141.218.60.56/~jnz1568/getInfo.php?workbook=10_05.xlsx&amp;sheet=U0&amp;row=2485&amp;col=6&amp;number=3.1&amp;sourceID=14","3.1")</f>
        <v>3.1</v>
      </c>
      <c r="G2485" s="4" t="str">
        <f>HYPERLINK("http://141.218.60.56/~jnz1568/getInfo.php?workbook=10_05.xlsx&amp;sheet=U0&amp;row=2485&amp;col=7&amp;number=0.00653&amp;sourceID=14","0.00653")</f>
        <v>0.00653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HYPERLINK("http://141.218.60.56/~jnz1568/getInfo.php?workbook=10_05.xlsx&amp;sheet=U0&amp;row=2486&amp;col=6&amp;number=3.2&amp;sourceID=14","3.2")</f>
        <v>3.2</v>
      </c>
      <c r="G2486" s="4" t="str">
        <f>HYPERLINK("http://141.218.60.56/~jnz1568/getInfo.php?workbook=10_05.xlsx&amp;sheet=U0&amp;row=2486&amp;col=7&amp;number=0.0065&amp;sourceID=14","0.0065")</f>
        <v>0.0065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HYPERLINK("http://141.218.60.56/~jnz1568/getInfo.php?workbook=10_05.xlsx&amp;sheet=U0&amp;row=2487&amp;col=6&amp;number=3.3&amp;sourceID=14","3.3")</f>
        <v>3.3</v>
      </c>
      <c r="G2487" s="4" t="str">
        <f>HYPERLINK("http://141.218.60.56/~jnz1568/getInfo.php?workbook=10_05.xlsx&amp;sheet=U0&amp;row=2487&amp;col=7&amp;number=0.00647&amp;sourceID=14","0.00647")</f>
        <v>0.00647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HYPERLINK("http://141.218.60.56/~jnz1568/getInfo.php?workbook=10_05.xlsx&amp;sheet=U0&amp;row=2488&amp;col=6&amp;number=3.4&amp;sourceID=14","3.4")</f>
        <v>3.4</v>
      </c>
      <c r="G2488" s="4" t="str">
        <f>HYPERLINK("http://141.218.60.56/~jnz1568/getInfo.php?workbook=10_05.xlsx&amp;sheet=U0&amp;row=2488&amp;col=7&amp;number=0.00643&amp;sourceID=14","0.00643")</f>
        <v>0.00643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HYPERLINK("http://141.218.60.56/~jnz1568/getInfo.php?workbook=10_05.xlsx&amp;sheet=U0&amp;row=2489&amp;col=6&amp;number=3.5&amp;sourceID=14","3.5")</f>
        <v>3.5</v>
      </c>
      <c r="G2489" s="4" t="str">
        <f>HYPERLINK("http://141.218.60.56/~jnz1568/getInfo.php?workbook=10_05.xlsx&amp;sheet=U0&amp;row=2489&amp;col=7&amp;number=0.00639&amp;sourceID=14","0.00639")</f>
        <v>0.00639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HYPERLINK("http://141.218.60.56/~jnz1568/getInfo.php?workbook=10_05.xlsx&amp;sheet=U0&amp;row=2490&amp;col=6&amp;number=3.6&amp;sourceID=14","3.6")</f>
        <v>3.6</v>
      </c>
      <c r="G2490" s="4" t="str">
        <f>HYPERLINK("http://141.218.60.56/~jnz1568/getInfo.php?workbook=10_05.xlsx&amp;sheet=U0&amp;row=2490&amp;col=7&amp;number=0.00633&amp;sourceID=14","0.00633")</f>
        <v>0.00633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HYPERLINK("http://141.218.60.56/~jnz1568/getInfo.php?workbook=10_05.xlsx&amp;sheet=U0&amp;row=2491&amp;col=6&amp;number=3.7&amp;sourceID=14","3.7")</f>
        <v>3.7</v>
      </c>
      <c r="G2491" s="4" t="str">
        <f>HYPERLINK("http://141.218.60.56/~jnz1568/getInfo.php?workbook=10_05.xlsx&amp;sheet=U0&amp;row=2491&amp;col=7&amp;number=0.00625&amp;sourceID=14","0.00625")</f>
        <v>0.00625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HYPERLINK("http://141.218.60.56/~jnz1568/getInfo.php?workbook=10_05.xlsx&amp;sheet=U0&amp;row=2492&amp;col=6&amp;number=3.8&amp;sourceID=14","3.8")</f>
        <v>3.8</v>
      </c>
      <c r="G2492" s="4" t="str">
        <f>HYPERLINK("http://141.218.60.56/~jnz1568/getInfo.php?workbook=10_05.xlsx&amp;sheet=U0&amp;row=2492&amp;col=7&amp;number=0.00616&amp;sourceID=14","0.00616")</f>
        <v>0.00616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HYPERLINK("http://141.218.60.56/~jnz1568/getInfo.php?workbook=10_05.xlsx&amp;sheet=U0&amp;row=2493&amp;col=6&amp;number=3.9&amp;sourceID=14","3.9")</f>
        <v>3.9</v>
      </c>
      <c r="G2493" s="4" t="str">
        <f>HYPERLINK("http://141.218.60.56/~jnz1568/getInfo.php?workbook=10_05.xlsx&amp;sheet=U0&amp;row=2493&amp;col=7&amp;number=0.00604&amp;sourceID=14","0.00604")</f>
        <v>0.00604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HYPERLINK("http://141.218.60.56/~jnz1568/getInfo.php?workbook=10_05.xlsx&amp;sheet=U0&amp;row=2494&amp;col=6&amp;number=4&amp;sourceID=14","4")</f>
        <v>4</v>
      </c>
      <c r="G2494" s="4" t="str">
        <f>HYPERLINK("http://141.218.60.56/~jnz1568/getInfo.php?workbook=10_05.xlsx&amp;sheet=U0&amp;row=2494&amp;col=7&amp;number=0.0059&amp;sourceID=14","0.0059")</f>
        <v>0.0059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HYPERLINK("http://141.218.60.56/~jnz1568/getInfo.php?workbook=10_05.xlsx&amp;sheet=U0&amp;row=2495&amp;col=6&amp;number=4.1&amp;sourceID=14","4.1")</f>
        <v>4.1</v>
      </c>
      <c r="G2495" s="4" t="str">
        <f>HYPERLINK("http://141.218.60.56/~jnz1568/getInfo.php?workbook=10_05.xlsx&amp;sheet=U0&amp;row=2495&amp;col=7&amp;number=0.00573&amp;sourceID=14","0.00573")</f>
        <v>0.00573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HYPERLINK("http://141.218.60.56/~jnz1568/getInfo.php?workbook=10_05.xlsx&amp;sheet=U0&amp;row=2496&amp;col=6&amp;number=4.2&amp;sourceID=14","4.2")</f>
        <v>4.2</v>
      </c>
      <c r="G2496" s="4" t="str">
        <f>HYPERLINK("http://141.218.60.56/~jnz1568/getInfo.php?workbook=10_05.xlsx&amp;sheet=U0&amp;row=2496&amp;col=7&amp;number=0.00553&amp;sourceID=14","0.00553")</f>
        <v>0.00553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HYPERLINK("http://141.218.60.56/~jnz1568/getInfo.php?workbook=10_05.xlsx&amp;sheet=U0&amp;row=2497&amp;col=6&amp;number=4.3&amp;sourceID=14","4.3")</f>
        <v>4.3</v>
      </c>
      <c r="G2497" s="4" t="str">
        <f>HYPERLINK("http://141.218.60.56/~jnz1568/getInfo.php?workbook=10_05.xlsx&amp;sheet=U0&amp;row=2497&amp;col=7&amp;number=0.00529&amp;sourceID=14","0.00529")</f>
        <v>0.00529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HYPERLINK("http://141.218.60.56/~jnz1568/getInfo.php?workbook=10_05.xlsx&amp;sheet=U0&amp;row=2498&amp;col=6&amp;number=4.4&amp;sourceID=14","4.4")</f>
        <v>4.4</v>
      </c>
      <c r="G2498" s="4" t="str">
        <f>HYPERLINK("http://141.218.60.56/~jnz1568/getInfo.php?workbook=10_05.xlsx&amp;sheet=U0&amp;row=2498&amp;col=7&amp;number=0.00503&amp;sourceID=14","0.00503")</f>
        <v>0.00503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HYPERLINK("http://141.218.60.56/~jnz1568/getInfo.php?workbook=10_05.xlsx&amp;sheet=U0&amp;row=2499&amp;col=6&amp;number=4.5&amp;sourceID=14","4.5")</f>
        <v>4.5</v>
      </c>
      <c r="G2499" s="4" t="str">
        <f>HYPERLINK("http://141.218.60.56/~jnz1568/getInfo.php?workbook=10_05.xlsx&amp;sheet=U0&amp;row=2499&amp;col=7&amp;number=0.00475&amp;sourceID=14","0.00475")</f>
        <v>0.00475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HYPERLINK("http://141.218.60.56/~jnz1568/getInfo.php?workbook=10_05.xlsx&amp;sheet=U0&amp;row=2500&amp;col=6&amp;number=4.6&amp;sourceID=14","4.6")</f>
        <v>4.6</v>
      </c>
      <c r="G2500" s="4" t="str">
        <f>HYPERLINK("http://141.218.60.56/~jnz1568/getInfo.php?workbook=10_05.xlsx&amp;sheet=U0&amp;row=2500&amp;col=7&amp;number=0.00449&amp;sourceID=14","0.00449")</f>
        <v>0.00449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HYPERLINK("http://141.218.60.56/~jnz1568/getInfo.php?workbook=10_05.xlsx&amp;sheet=U0&amp;row=2501&amp;col=6&amp;number=4.7&amp;sourceID=14","4.7")</f>
        <v>4.7</v>
      </c>
      <c r="G2501" s="4" t="str">
        <f>HYPERLINK("http://141.218.60.56/~jnz1568/getInfo.php?workbook=10_05.xlsx&amp;sheet=U0&amp;row=2501&amp;col=7&amp;number=0.00429&amp;sourceID=14","0.00429")</f>
        <v>0.00429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HYPERLINK("http://141.218.60.56/~jnz1568/getInfo.php?workbook=10_05.xlsx&amp;sheet=U0&amp;row=2502&amp;col=6&amp;number=4.8&amp;sourceID=14","4.8")</f>
        <v>4.8</v>
      </c>
      <c r="G2502" s="4" t="str">
        <f>HYPERLINK("http://141.218.60.56/~jnz1568/getInfo.php?workbook=10_05.xlsx&amp;sheet=U0&amp;row=2502&amp;col=7&amp;number=0.00416&amp;sourceID=14","0.00416")</f>
        <v>0.00416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HYPERLINK("http://141.218.60.56/~jnz1568/getInfo.php?workbook=10_05.xlsx&amp;sheet=U0&amp;row=2503&amp;col=6&amp;number=4.9&amp;sourceID=14","4.9")</f>
        <v>4.9</v>
      </c>
      <c r="G2503" s="4" t="str">
        <f>HYPERLINK("http://141.218.60.56/~jnz1568/getInfo.php?workbook=10_05.xlsx&amp;sheet=U0&amp;row=2503&amp;col=7&amp;number=0.00408&amp;sourceID=14","0.00408")</f>
        <v>0.00408</v>
      </c>
    </row>
    <row r="2504" spans="1:7">
      <c r="A2504" s="3">
        <v>10</v>
      </c>
      <c r="B2504" s="3">
        <v>5</v>
      </c>
      <c r="C2504" s="3">
        <v>1</v>
      </c>
      <c r="D2504" s="3">
        <v>127</v>
      </c>
      <c r="E2504" s="3">
        <v>1</v>
      </c>
      <c r="F2504" s="4" t="str">
        <f>HYPERLINK("http://141.218.60.56/~jnz1568/getInfo.php?workbook=10_05.xlsx&amp;sheet=U0&amp;row=2504&amp;col=6&amp;number=3&amp;sourceID=14","3")</f>
        <v>3</v>
      </c>
      <c r="G2504" s="4" t="str">
        <f>HYPERLINK("http://141.218.60.56/~jnz1568/getInfo.php?workbook=10_05.xlsx&amp;sheet=U0&amp;row=2504&amp;col=7&amp;number=0.00219&amp;sourceID=14","0.00219")</f>
        <v>0.00219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HYPERLINK("http://141.218.60.56/~jnz1568/getInfo.php?workbook=10_05.xlsx&amp;sheet=U0&amp;row=2505&amp;col=6&amp;number=3.1&amp;sourceID=14","3.1")</f>
        <v>3.1</v>
      </c>
      <c r="G2505" s="4" t="str">
        <f>HYPERLINK("http://141.218.60.56/~jnz1568/getInfo.php?workbook=10_05.xlsx&amp;sheet=U0&amp;row=2505&amp;col=7&amp;number=0.00218&amp;sourceID=14","0.00218")</f>
        <v>0.00218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HYPERLINK("http://141.218.60.56/~jnz1568/getInfo.php?workbook=10_05.xlsx&amp;sheet=U0&amp;row=2506&amp;col=6&amp;number=3.2&amp;sourceID=14","3.2")</f>
        <v>3.2</v>
      </c>
      <c r="G2506" s="4" t="str">
        <f>HYPERLINK("http://141.218.60.56/~jnz1568/getInfo.php?workbook=10_05.xlsx&amp;sheet=U0&amp;row=2506&amp;col=7&amp;number=0.00218&amp;sourceID=14","0.00218")</f>
        <v>0.00218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HYPERLINK("http://141.218.60.56/~jnz1568/getInfo.php?workbook=10_05.xlsx&amp;sheet=U0&amp;row=2507&amp;col=6&amp;number=3.3&amp;sourceID=14","3.3")</f>
        <v>3.3</v>
      </c>
      <c r="G2507" s="4" t="str">
        <f>HYPERLINK("http://141.218.60.56/~jnz1568/getInfo.php?workbook=10_05.xlsx&amp;sheet=U0&amp;row=2507&amp;col=7&amp;number=0.00216&amp;sourceID=14","0.00216")</f>
        <v>0.00216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HYPERLINK("http://141.218.60.56/~jnz1568/getInfo.php?workbook=10_05.xlsx&amp;sheet=U0&amp;row=2508&amp;col=6&amp;number=3.4&amp;sourceID=14","3.4")</f>
        <v>3.4</v>
      </c>
      <c r="G2508" s="4" t="str">
        <f>HYPERLINK("http://141.218.60.56/~jnz1568/getInfo.php?workbook=10_05.xlsx&amp;sheet=U0&amp;row=2508&amp;col=7&amp;number=0.00215&amp;sourceID=14","0.00215")</f>
        <v>0.00215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HYPERLINK("http://141.218.60.56/~jnz1568/getInfo.php?workbook=10_05.xlsx&amp;sheet=U0&amp;row=2509&amp;col=6&amp;number=3.5&amp;sourceID=14","3.5")</f>
        <v>3.5</v>
      </c>
      <c r="G2509" s="4" t="str">
        <f>HYPERLINK("http://141.218.60.56/~jnz1568/getInfo.php?workbook=10_05.xlsx&amp;sheet=U0&amp;row=2509&amp;col=7&amp;number=0.00213&amp;sourceID=14","0.00213")</f>
        <v>0.00213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HYPERLINK("http://141.218.60.56/~jnz1568/getInfo.php?workbook=10_05.xlsx&amp;sheet=U0&amp;row=2510&amp;col=6&amp;number=3.6&amp;sourceID=14","3.6")</f>
        <v>3.6</v>
      </c>
      <c r="G2510" s="4" t="str">
        <f>HYPERLINK("http://141.218.60.56/~jnz1568/getInfo.php?workbook=10_05.xlsx&amp;sheet=U0&amp;row=2510&amp;col=7&amp;number=0.00211&amp;sourceID=14","0.00211")</f>
        <v>0.00211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HYPERLINK("http://141.218.60.56/~jnz1568/getInfo.php?workbook=10_05.xlsx&amp;sheet=U0&amp;row=2511&amp;col=6&amp;number=3.7&amp;sourceID=14","3.7")</f>
        <v>3.7</v>
      </c>
      <c r="G2511" s="4" t="str">
        <f>HYPERLINK("http://141.218.60.56/~jnz1568/getInfo.php?workbook=10_05.xlsx&amp;sheet=U0&amp;row=2511&amp;col=7&amp;number=0.00209&amp;sourceID=14","0.00209")</f>
        <v>0.00209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HYPERLINK("http://141.218.60.56/~jnz1568/getInfo.php?workbook=10_05.xlsx&amp;sheet=U0&amp;row=2512&amp;col=6&amp;number=3.8&amp;sourceID=14","3.8")</f>
        <v>3.8</v>
      </c>
      <c r="G2512" s="4" t="str">
        <f>HYPERLINK("http://141.218.60.56/~jnz1568/getInfo.php?workbook=10_05.xlsx&amp;sheet=U0&amp;row=2512&amp;col=7&amp;number=0.00205&amp;sourceID=14","0.00205")</f>
        <v>0.00205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HYPERLINK("http://141.218.60.56/~jnz1568/getInfo.php?workbook=10_05.xlsx&amp;sheet=U0&amp;row=2513&amp;col=6&amp;number=3.9&amp;sourceID=14","3.9")</f>
        <v>3.9</v>
      </c>
      <c r="G2513" s="4" t="str">
        <f>HYPERLINK("http://141.218.60.56/~jnz1568/getInfo.php?workbook=10_05.xlsx&amp;sheet=U0&amp;row=2513&amp;col=7&amp;number=0.00201&amp;sourceID=14","0.00201")</f>
        <v>0.00201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HYPERLINK("http://141.218.60.56/~jnz1568/getInfo.php?workbook=10_05.xlsx&amp;sheet=U0&amp;row=2514&amp;col=6&amp;number=4&amp;sourceID=14","4")</f>
        <v>4</v>
      </c>
      <c r="G2514" s="4" t="str">
        <f>HYPERLINK("http://141.218.60.56/~jnz1568/getInfo.php?workbook=10_05.xlsx&amp;sheet=U0&amp;row=2514&amp;col=7&amp;number=0.00197&amp;sourceID=14","0.00197")</f>
        <v>0.00197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HYPERLINK("http://141.218.60.56/~jnz1568/getInfo.php?workbook=10_05.xlsx&amp;sheet=U0&amp;row=2515&amp;col=6&amp;number=4.1&amp;sourceID=14","4.1")</f>
        <v>4.1</v>
      </c>
      <c r="G2515" s="4" t="str">
        <f>HYPERLINK("http://141.218.60.56/~jnz1568/getInfo.php?workbook=10_05.xlsx&amp;sheet=U0&amp;row=2515&amp;col=7&amp;number=0.00191&amp;sourceID=14","0.00191")</f>
        <v>0.00191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HYPERLINK("http://141.218.60.56/~jnz1568/getInfo.php?workbook=10_05.xlsx&amp;sheet=U0&amp;row=2516&amp;col=6&amp;number=4.2&amp;sourceID=14","4.2")</f>
        <v>4.2</v>
      </c>
      <c r="G2516" s="4" t="str">
        <f>HYPERLINK("http://141.218.60.56/~jnz1568/getInfo.php?workbook=10_05.xlsx&amp;sheet=U0&amp;row=2516&amp;col=7&amp;number=0.00184&amp;sourceID=14","0.00184")</f>
        <v>0.00184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HYPERLINK("http://141.218.60.56/~jnz1568/getInfo.php?workbook=10_05.xlsx&amp;sheet=U0&amp;row=2517&amp;col=6&amp;number=4.3&amp;sourceID=14","4.3")</f>
        <v>4.3</v>
      </c>
      <c r="G2517" s="4" t="str">
        <f>HYPERLINK("http://141.218.60.56/~jnz1568/getInfo.php?workbook=10_05.xlsx&amp;sheet=U0&amp;row=2517&amp;col=7&amp;number=0.00177&amp;sourceID=14","0.00177")</f>
        <v>0.00177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HYPERLINK("http://141.218.60.56/~jnz1568/getInfo.php?workbook=10_05.xlsx&amp;sheet=U0&amp;row=2518&amp;col=6&amp;number=4.4&amp;sourceID=14","4.4")</f>
        <v>4.4</v>
      </c>
      <c r="G2518" s="4" t="str">
        <f>HYPERLINK("http://141.218.60.56/~jnz1568/getInfo.php?workbook=10_05.xlsx&amp;sheet=U0&amp;row=2518&amp;col=7&amp;number=0.00169&amp;sourceID=14","0.00169")</f>
        <v>0.00169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HYPERLINK("http://141.218.60.56/~jnz1568/getInfo.php?workbook=10_05.xlsx&amp;sheet=U0&amp;row=2519&amp;col=6&amp;number=4.5&amp;sourceID=14","4.5")</f>
        <v>4.5</v>
      </c>
      <c r="G2519" s="4" t="str">
        <f>HYPERLINK("http://141.218.60.56/~jnz1568/getInfo.php?workbook=10_05.xlsx&amp;sheet=U0&amp;row=2519&amp;col=7&amp;number=0.00161&amp;sourceID=14","0.00161")</f>
        <v>0.00161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HYPERLINK("http://141.218.60.56/~jnz1568/getInfo.php?workbook=10_05.xlsx&amp;sheet=U0&amp;row=2520&amp;col=6&amp;number=4.6&amp;sourceID=14","4.6")</f>
        <v>4.6</v>
      </c>
      <c r="G2520" s="4" t="str">
        <f>HYPERLINK("http://141.218.60.56/~jnz1568/getInfo.php?workbook=10_05.xlsx&amp;sheet=U0&amp;row=2520&amp;col=7&amp;number=0.00153&amp;sourceID=14","0.00153")</f>
        <v>0.00153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HYPERLINK("http://141.218.60.56/~jnz1568/getInfo.php?workbook=10_05.xlsx&amp;sheet=U0&amp;row=2521&amp;col=6&amp;number=4.7&amp;sourceID=14","4.7")</f>
        <v>4.7</v>
      </c>
      <c r="G2521" s="4" t="str">
        <f>HYPERLINK("http://141.218.60.56/~jnz1568/getInfo.php?workbook=10_05.xlsx&amp;sheet=U0&amp;row=2521&amp;col=7&amp;number=0.00145&amp;sourceID=14","0.00145")</f>
        <v>0.00145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HYPERLINK("http://141.218.60.56/~jnz1568/getInfo.php?workbook=10_05.xlsx&amp;sheet=U0&amp;row=2522&amp;col=6&amp;number=4.8&amp;sourceID=14","4.8")</f>
        <v>4.8</v>
      </c>
      <c r="G2522" s="4" t="str">
        <f>HYPERLINK("http://141.218.60.56/~jnz1568/getInfo.php?workbook=10_05.xlsx&amp;sheet=U0&amp;row=2522&amp;col=7&amp;number=0.00137&amp;sourceID=14","0.00137")</f>
        <v>0.00137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HYPERLINK("http://141.218.60.56/~jnz1568/getInfo.php?workbook=10_05.xlsx&amp;sheet=U0&amp;row=2523&amp;col=6&amp;number=4.9&amp;sourceID=14","4.9")</f>
        <v>4.9</v>
      </c>
      <c r="G2523" s="4" t="str">
        <f>HYPERLINK("http://141.218.60.56/~jnz1568/getInfo.php?workbook=10_05.xlsx&amp;sheet=U0&amp;row=2523&amp;col=7&amp;number=0.00129&amp;sourceID=14","0.00129")</f>
        <v>0.00129</v>
      </c>
    </row>
    <row r="2524" spans="1:7">
      <c r="A2524" s="3">
        <v>10</v>
      </c>
      <c r="B2524" s="3">
        <v>5</v>
      </c>
      <c r="C2524" s="3">
        <v>1</v>
      </c>
      <c r="D2524" s="3">
        <v>128</v>
      </c>
      <c r="E2524" s="3">
        <v>1</v>
      </c>
      <c r="F2524" s="4" t="str">
        <f>HYPERLINK("http://141.218.60.56/~jnz1568/getInfo.php?workbook=10_05.xlsx&amp;sheet=U0&amp;row=2524&amp;col=6&amp;number=3&amp;sourceID=14","3")</f>
        <v>3</v>
      </c>
      <c r="G2524" s="4" t="str">
        <f>HYPERLINK("http://141.218.60.56/~jnz1568/getInfo.php?workbook=10_05.xlsx&amp;sheet=U0&amp;row=2524&amp;col=7&amp;number=0.0026&amp;sourceID=14","0.0026")</f>
        <v>0.0026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HYPERLINK("http://141.218.60.56/~jnz1568/getInfo.php?workbook=10_05.xlsx&amp;sheet=U0&amp;row=2525&amp;col=6&amp;number=3.1&amp;sourceID=14","3.1")</f>
        <v>3.1</v>
      </c>
      <c r="G2525" s="4" t="str">
        <f>HYPERLINK("http://141.218.60.56/~jnz1568/getInfo.php?workbook=10_05.xlsx&amp;sheet=U0&amp;row=2525&amp;col=7&amp;number=0.00259&amp;sourceID=14","0.00259")</f>
        <v>0.00259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HYPERLINK("http://141.218.60.56/~jnz1568/getInfo.php?workbook=10_05.xlsx&amp;sheet=U0&amp;row=2526&amp;col=6&amp;number=3.2&amp;sourceID=14","3.2")</f>
        <v>3.2</v>
      </c>
      <c r="G2526" s="4" t="str">
        <f>HYPERLINK("http://141.218.60.56/~jnz1568/getInfo.php?workbook=10_05.xlsx&amp;sheet=U0&amp;row=2526&amp;col=7&amp;number=0.00258&amp;sourceID=14","0.00258")</f>
        <v>0.00258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HYPERLINK("http://141.218.60.56/~jnz1568/getInfo.php?workbook=10_05.xlsx&amp;sheet=U0&amp;row=2527&amp;col=6&amp;number=3.3&amp;sourceID=14","3.3")</f>
        <v>3.3</v>
      </c>
      <c r="G2527" s="4" t="str">
        <f>HYPERLINK("http://141.218.60.56/~jnz1568/getInfo.php?workbook=10_05.xlsx&amp;sheet=U0&amp;row=2527&amp;col=7&amp;number=0.00257&amp;sourceID=14","0.00257")</f>
        <v>0.00257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HYPERLINK("http://141.218.60.56/~jnz1568/getInfo.php?workbook=10_05.xlsx&amp;sheet=U0&amp;row=2528&amp;col=6&amp;number=3.4&amp;sourceID=14","3.4")</f>
        <v>3.4</v>
      </c>
      <c r="G2528" s="4" t="str">
        <f>HYPERLINK("http://141.218.60.56/~jnz1568/getInfo.php?workbook=10_05.xlsx&amp;sheet=U0&amp;row=2528&amp;col=7&amp;number=0.00255&amp;sourceID=14","0.00255")</f>
        <v>0.00255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HYPERLINK("http://141.218.60.56/~jnz1568/getInfo.php?workbook=10_05.xlsx&amp;sheet=U0&amp;row=2529&amp;col=6&amp;number=3.5&amp;sourceID=14","3.5")</f>
        <v>3.5</v>
      </c>
      <c r="G2529" s="4" t="str">
        <f>HYPERLINK("http://141.218.60.56/~jnz1568/getInfo.php?workbook=10_05.xlsx&amp;sheet=U0&amp;row=2529&amp;col=7&amp;number=0.00252&amp;sourceID=14","0.00252")</f>
        <v>0.00252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HYPERLINK("http://141.218.60.56/~jnz1568/getInfo.php?workbook=10_05.xlsx&amp;sheet=U0&amp;row=2530&amp;col=6&amp;number=3.6&amp;sourceID=14","3.6")</f>
        <v>3.6</v>
      </c>
      <c r="G2530" s="4" t="str">
        <f>HYPERLINK("http://141.218.60.56/~jnz1568/getInfo.php?workbook=10_05.xlsx&amp;sheet=U0&amp;row=2530&amp;col=7&amp;number=0.00249&amp;sourceID=14","0.00249")</f>
        <v>0.00249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HYPERLINK("http://141.218.60.56/~jnz1568/getInfo.php?workbook=10_05.xlsx&amp;sheet=U0&amp;row=2531&amp;col=6&amp;number=3.7&amp;sourceID=14","3.7")</f>
        <v>3.7</v>
      </c>
      <c r="G2531" s="4" t="str">
        <f>HYPERLINK("http://141.218.60.56/~jnz1568/getInfo.php?workbook=10_05.xlsx&amp;sheet=U0&amp;row=2531&amp;col=7&amp;number=0.00245&amp;sourceID=14","0.00245")</f>
        <v>0.00245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HYPERLINK("http://141.218.60.56/~jnz1568/getInfo.php?workbook=10_05.xlsx&amp;sheet=U0&amp;row=2532&amp;col=6&amp;number=3.8&amp;sourceID=14","3.8")</f>
        <v>3.8</v>
      </c>
      <c r="G2532" s="4" t="str">
        <f>HYPERLINK("http://141.218.60.56/~jnz1568/getInfo.php?workbook=10_05.xlsx&amp;sheet=U0&amp;row=2532&amp;col=7&amp;number=0.0024&amp;sourceID=14","0.0024")</f>
        <v>0.0024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HYPERLINK("http://141.218.60.56/~jnz1568/getInfo.php?workbook=10_05.xlsx&amp;sheet=U0&amp;row=2533&amp;col=6&amp;number=3.9&amp;sourceID=14","3.9")</f>
        <v>3.9</v>
      </c>
      <c r="G2533" s="4" t="str">
        <f>HYPERLINK("http://141.218.60.56/~jnz1568/getInfo.php?workbook=10_05.xlsx&amp;sheet=U0&amp;row=2533&amp;col=7&amp;number=0.00235&amp;sourceID=14","0.00235")</f>
        <v>0.00235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HYPERLINK("http://141.218.60.56/~jnz1568/getInfo.php?workbook=10_05.xlsx&amp;sheet=U0&amp;row=2534&amp;col=6&amp;number=4&amp;sourceID=14","4")</f>
        <v>4</v>
      </c>
      <c r="G2534" s="4" t="str">
        <f>HYPERLINK("http://141.218.60.56/~jnz1568/getInfo.php?workbook=10_05.xlsx&amp;sheet=U0&amp;row=2534&amp;col=7&amp;number=0.00228&amp;sourceID=14","0.00228")</f>
        <v>0.00228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HYPERLINK("http://141.218.60.56/~jnz1568/getInfo.php?workbook=10_05.xlsx&amp;sheet=U0&amp;row=2535&amp;col=6&amp;number=4.1&amp;sourceID=14","4.1")</f>
        <v>4.1</v>
      </c>
      <c r="G2535" s="4" t="str">
        <f>HYPERLINK("http://141.218.60.56/~jnz1568/getInfo.php?workbook=10_05.xlsx&amp;sheet=U0&amp;row=2535&amp;col=7&amp;number=0.00219&amp;sourceID=14","0.00219")</f>
        <v>0.00219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HYPERLINK("http://141.218.60.56/~jnz1568/getInfo.php?workbook=10_05.xlsx&amp;sheet=U0&amp;row=2536&amp;col=6&amp;number=4.2&amp;sourceID=14","4.2")</f>
        <v>4.2</v>
      </c>
      <c r="G2536" s="4" t="str">
        <f>HYPERLINK("http://141.218.60.56/~jnz1568/getInfo.php?workbook=10_05.xlsx&amp;sheet=U0&amp;row=2536&amp;col=7&amp;number=0.00209&amp;sourceID=14","0.00209")</f>
        <v>0.00209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HYPERLINK("http://141.218.60.56/~jnz1568/getInfo.php?workbook=10_05.xlsx&amp;sheet=U0&amp;row=2537&amp;col=6&amp;number=4.3&amp;sourceID=14","4.3")</f>
        <v>4.3</v>
      </c>
      <c r="G2537" s="4" t="str">
        <f>HYPERLINK("http://141.218.60.56/~jnz1568/getInfo.php?workbook=10_05.xlsx&amp;sheet=U0&amp;row=2537&amp;col=7&amp;number=0.00198&amp;sourceID=14","0.00198")</f>
        <v>0.00198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HYPERLINK("http://141.218.60.56/~jnz1568/getInfo.php?workbook=10_05.xlsx&amp;sheet=U0&amp;row=2538&amp;col=6&amp;number=4.4&amp;sourceID=14","4.4")</f>
        <v>4.4</v>
      </c>
      <c r="G2538" s="4" t="str">
        <f>HYPERLINK("http://141.218.60.56/~jnz1568/getInfo.php?workbook=10_05.xlsx&amp;sheet=U0&amp;row=2538&amp;col=7&amp;number=0.00185&amp;sourceID=14","0.00185")</f>
        <v>0.00185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HYPERLINK("http://141.218.60.56/~jnz1568/getInfo.php?workbook=10_05.xlsx&amp;sheet=U0&amp;row=2539&amp;col=6&amp;number=4.5&amp;sourceID=14","4.5")</f>
        <v>4.5</v>
      </c>
      <c r="G2539" s="4" t="str">
        <f>HYPERLINK("http://141.218.60.56/~jnz1568/getInfo.php?workbook=10_05.xlsx&amp;sheet=U0&amp;row=2539&amp;col=7&amp;number=0.00172&amp;sourceID=14","0.00172")</f>
        <v>0.00172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HYPERLINK("http://141.218.60.56/~jnz1568/getInfo.php?workbook=10_05.xlsx&amp;sheet=U0&amp;row=2540&amp;col=6&amp;number=4.6&amp;sourceID=14","4.6")</f>
        <v>4.6</v>
      </c>
      <c r="G2540" s="4" t="str">
        <f>HYPERLINK("http://141.218.60.56/~jnz1568/getInfo.php?workbook=10_05.xlsx&amp;sheet=U0&amp;row=2540&amp;col=7&amp;number=0.00158&amp;sourceID=14","0.00158")</f>
        <v>0.00158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HYPERLINK("http://141.218.60.56/~jnz1568/getInfo.php?workbook=10_05.xlsx&amp;sheet=U0&amp;row=2541&amp;col=6&amp;number=4.7&amp;sourceID=14","4.7")</f>
        <v>4.7</v>
      </c>
      <c r="G2541" s="4" t="str">
        <f>HYPERLINK("http://141.218.60.56/~jnz1568/getInfo.php?workbook=10_05.xlsx&amp;sheet=U0&amp;row=2541&amp;col=7&amp;number=0.00145&amp;sourceID=14","0.00145")</f>
        <v>0.00145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HYPERLINK("http://141.218.60.56/~jnz1568/getInfo.php?workbook=10_05.xlsx&amp;sheet=U0&amp;row=2542&amp;col=6&amp;number=4.8&amp;sourceID=14","4.8")</f>
        <v>4.8</v>
      </c>
      <c r="G2542" s="4" t="str">
        <f>HYPERLINK("http://141.218.60.56/~jnz1568/getInfo.php?workbook=10_05.xlsx&amp;sheet=U0&amp;row=2542&amp;col=7&amp;number=0.00132&amp;sourceID=14","0.00132")</f>
        <v>0.00132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HYPERLINK("http://141.218.60.56/~jnz1568/getInfo.php?workbook=10_05.xlsx&amp;sheet=U0&amp;row=2543&amp;col=6&amp;number=4.9&amp;sourceID=14","4.9")</f>
        <v>4.9</v>
      </c>
      <c r="G2543" s="4" t="str">
        <f>HYPERLINK("http://141.218.60.56/~jnz1568/getInfo.php?workbook=10_05.xlsx&amp;sheet=U0&amp;row=2543&amp;col=7&amp;number=0.0012&amp;sourceID=14","0.0012")</f>
        <v>0.0012</v>
      </c>
    </row>
    <row r="2544" spans="1:7">
      <c r="A2544" s="3">
        <v>10</v>
      </c>
      <c r="B2544" s="3">
        <v>5</v>
      </c>
      <c r="C2544" s="3">
        <v>1</v>
      </c>
      <c r="D2544" s="3">
        <v>129</v>
      </c>
      <c r="E2544" s="3">
        <v>1</v>
      </c>
      <c r="F2544" s="4" t="str">
        <f>HYPERLINK("http://141.218.60.56/~jnz1568/getInfo.php?workbook=10_05.xlsx&amp;sheet=U0&amp;row=2544&amp;col=6&amp;number=3&amp;sourceID=14","3")</f>
        <v>3</v>
      </c>
      <c r="G2544" s="4" t="str">
        <f>HYPERLINK("http://141.218.60.56/~jnz1568/getInfo.php?workbook=10_05.xlsx&amp;sheet=U0&amp;row=2544&amp;col=7&amp;number=0.0181&amp;sourceID=14","0.0181")</f>
        <v>0.0181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HYPERLINK("http://141.218.60.56/~jnz1568/getInfo.php?workbook=10_05.xlsx&amp;sheet=U0&amp;row=2545&amp;col=6&amp;number=3.1&amp;sourceID=14","3.1")</f>
        <v>3.1</v>
      </c>
      <c r="G2545" s="4" t="str">
        <f>HYPERLINK("http://141.218.60.56/~jnz1568/getInfo.php?workbook=10_05.xlsx&amp;sheet=U0&amp;row=2545&amp;col=7&amp;number=0.018&amp;sourceID=14","0.018")</f>
        <v>0.018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HYPERLINK("http://141.218.60.56/~jnz1568/getInfo.php?workbook=10_05.xlsx&amp;sheet=U0&amp;row=2546&amp;col=6&amp;number=3.2&amp;sourceID=14","3.2")</f>
        <v>3.2</v>
      </c>
      <c r="G2546" s="4" t="str">
        <f>HYPERLINK("http://141.218.60.56/~jnz1568/getInfo.php?workbook=10_05.xlsx&amp;sheet=U0&amp;row=2546&amp;col=7&amp;number=0.018&amp;sourceID=14","0.018")</f>
        <v>0.018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HYPERLINK("http://141.218.60.56/~jnz1568/getInfo.php?workbook=10_05.xlsx&amp;sheet=U0&amp;row=2547&amp;col=6&amp;number=3.3&amp;sourceID=14","3.3")</f>
        <v>3.3</v>
      </c>
      <c r="G2547" s="4" t="str">
        <f>HYPERLINK("http://141.218.60.56/~jnz1568/getInfo.php?workbook=10_05.xlsx&amp;sheet=U0&amp;row=2547&amp;col=7&amp;number=0.0179&amp;sourceID=14","0.0179")</f>
        <v>0.0179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HYPERLINK("http://141.218.60.56/~jnz1568/getInfo.php?workbook=10_05.xlsx&amp;sheet=U0&amp;row=2548&amp;col=6&amp;number=3.4&amp;sourceID=14","3.4")</f>
        <v>3.4</v>
      </c>
      <c r="G2548" s="4" t="str">
        <f>HYPERLINK("http://141.218.60.56/~jnz1568/getInfo.php?workbook=10_05.xlsx&amp;sheet=U0&amp;row=2548&amp;col=7&amp;number=0.0179&amp;sourceID=14","0.0179")</f>
        <v>0.0179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HYPERLINK("http://141.218.60.56/~jnz1568/getInfo.php?workbook=10_05.xlsx&amp;sheet=U0&amp;row=2549&amp;col=6&amp;number=3.5&amp;sourceID=14","3.5")</f>
        <v>3.5</v>
      </c>
      <c r="G2549" s="4" t="str">
        <f>HYPERLINK("http://141.218.60.56/~jnz1568/getInfo.php?workbook=10_05.xlsx&amp;sheet=U0&amp;row=2549&amp;col=7&amp;number=0.0178&amp;sourceID=14","0.0178")</f>
        <v>0.0178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HYPERLINK("http://141.218.60.56/~jnz1568/getInfo.php?workbook=10_05.xlsx&amp;sheet=U0&amp;row=2550&amp;col=6&amp;number=3.6&amp;sourceID=14","3.6")</f>
        <v>3.6</v>
      </c>
      <c r="G2550" s="4" t="str">
        <f>HYPERLINK("http://141.218.60.56/~jnz1568/getInfo.php?workbook=10_05.xlsx&amp;sheet=U0&amp;row=2550&amp;col=7&amp;number=0.0177&amp;sourceID=14","0.0177")</f>
        <v>0.0177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HYPERLINK("http://141.218.60.56/~jnz1568/getInfo.php?workbook=10_05.xlsx&amp;sheet=U0&amp;row=2551&amp;col=6&amp;number=3.7&amp;sourceID=14","3.7")</f>
        <v>3.7</v>
      </c>
      <c r="G2551" s="4" t="str">
        <f>HYPERLINK("http://141.218.60.56/~jnz1568/getInfo.php?workbook=10_05.xlsx&amp;sheet=U0&amp;row=2551&amp;col=7&amp;number=0.0176&amp;sourceID=14","0.0176")</f>
        <v>0.0176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HYPERLINK("http://141.218.60.56/~jnz1568/getInfo.php?workbook=10_05.xlsx&amp;sheet=U0&amp;row=2552&amp;col=6&amp;number=3.8&amp;sourceID=14","3.8")</f>
        <v>3.8</v>
      </c>
      <c r="G2552" s="4" t="str">
        <f>HYPERLINK("http://141.218.60.56/~jnz1568/getInfo.php?workbook=10_05.xlsx&amp;sheet=U0&amp;row=2552&amp;col=7&amp;number=0.0174&amp;sourceID=14","0.0174")</f>
        <v>0.0174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HYPERLINK("http://141.218.60.56/~jnz1568/getInfo.php?workbook=10_05.xlsx&amp;sheet=U0&amp;row=2553&amp;col=6&amp;number=3.9&amp;sourceID=14","3.9")</f>
        <v>3.9</v>
      </c>
      <c r="G2553" s="4" t="str">
        <f>HYPERLINK("http://141.218.60.56/~jnz1568/getInfo.php?workbook=10_05.xlsx&amp;sheet=U0&amp;row=2553&amp;col=7&amp;number=0.0172&amp;sourceID=14","0.0172")</f>
        <v>0.0172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HYPERLINK("http://141.218.60.56/~jnz1568/getInfo.php?workbook=10_05.xlsx&amp;sheet=U0&amp;row=2554&amp;col=6&amp;number=4&amp;sourceID=14","4")</f>
        <v>4</v>
      </c>
      <c r="G2554" s="4" t="str">
        <f>HYPERLINK("http://141.218.60.56/~jnz1568/getInfo.php?workbook=10_05.xlsx&amp;sheet=U0&amp;row=2554&amp;col=7&amp;number=0.017&amp;sourceID=14","0.017")</f>
        <v>0.017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HYPERLINK("http://141.218.60.56/~jnz1568/getInfo.php?workbook=10_05.xlsx&amp;sheet=U0&amp;row=2555&amp;col=6&amp;number=4.1&amp;sourceID=14","4.1")</f>
        <v>4.1</v>
      </c>
      <c r="G2555" s="4" t="str">
        <f>HYPERLINK("http://141.218.60.56/~jnz1568/getInfo.php?workbook=10_05.xlsx&amp;sheet=U0&amp;row=2555&amp;col=7&amp;number=0.0167&amp;sourceID=14","0.0167")</f>
        <v>0.0167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HYPERLINK("http://141.218.60.56/~jnz1568/getInfo.php?workbook=10_05.xlsx&amp;sheet=U0&amp;row=2556&amp;col=6&amp;number=4.2&amp;sourceID=14","4.2")</f>
        <v>4.2</v>
      </c>
      <c r="G2556" s="4" t="str">
        <f>HYPERLINK("http://141.218.60.56/~jnz1568/getInfo.php?workbook=10_05.xlsx&amp;sheet=U0&amp;row=2556&amp;col=7&amp;number=0.0163&amp;sourceID=14","0.0163")</f>
        <v>0.0163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HYPERLINK("http://141.218.60.56/~jnz1568/getInfo.php?workbook=10_05.xlsx&amp;sheet=U0&amp;row=2557&amp;col=6&amp;number=4.3&amp;sourceID=14","4.3")</f>
        <v>4.3</v>
      </c>
      <c r="G2557" s="4" t="str">
        <f>HYPERLINK("http://141.218.60.56/~jnz1568/getInfo.php?workbook=10_05.xlsx&amp;sheet=U0&amp;row=2557&amp;col=7&amp;number=0.0159&amp;sourceID=14","0.0159")</f>
        <v>0.0159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HYPERLINK("http://141.218.60.56/~jnz1568/getInfo.php?workbook=10_05.xlsx&amp;sheet=U0&amp;row=2558&amp;col=6&amp;number=4.4&amp;sourceID=14","4.4")</f>
        <v>4.4</v>
      </c>
      <c r="G2558" s="4" t="str">
        <f>HYPERLINK("http://141.218.60.56/~jnz1568/getInfo.php?workbook=10_05.xlsx&amp;sheet=U0&amp;row=2558&amp;col=7&amp;number=0.0155&amp;sourceID=14","0.0155")</f>
        <v>0.0155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HYPERLINK("http://141.218.60.56/~jnz1568/getInfo.php?workbook=10_05.xlsx&amp;sheet=U0&amp;row=2559&amp;col=6&amp;number=4.5&amp;sourceID=14","4.5")</f>
        <v>4.5</v>
      </c>
      <c r="G2559" s="4" t="str">
        <f>HYPERLINK("http://141.218.60.56/~jnz1568/getInfo.php?workbook=10_05.xlsx&amp;sheet=U0&amp;row=2559&amp;col=7&amp;number=0.015&amp;sourceID=14","0.015")</f>
        <v>0.015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HYPERLINK("http://141.218.60.56/~jnz1568/getInfo.php?workbook=10_05.xlsx&amp;sheet=U0&amp;row=2560&amp;col=6&amp;number=4.6&amp;sourceID=14","4.6")</f>
        <v>4.6</v>
      </c>
      <c r="G2560" s="4" t="str">
        <f>HYPERLINK("http://141.218.60.56/~jnz1568/getInfo.php?workbook=10_05.xlsx&amp;sheet=U0&amp;row=2560&amp;col=7&amp;number=0.0146&amp;sourceID=14","0.0146")</f>
        <v>0.0146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HYPERLINK("http://141.218.60.56/~jnz1568/getInfo.php?workbook=10_05.xlsx&amp;sheet=U0&amp;row=2561&amp;col=6&amp;number=4.7&amp;sourceID=14","4.7")</f>
        <v>4.7</v>
      </c>
      <c r="G2561" s="4" t="str">
        <f>HYPERLINK("http://141.218.60.56/~jnz1568/getInfo.php?workbook=10_05.xlsx&amp;sheet=U0&amp;row=2561&amp;col=7&amp;number=0.0143&amp;sourceID=14","0.0143")</f>
        <v>0.0143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HYPERLINK("http://141.218.60.56/~jnz1568/getInfo.php?workbook=10_05.xlsx&amp;sheet=U0&amp;row=2562&amp;col=6&amp;number=4.8&amp;sourceID=14","4.8")</f>
        <v>4.8</v>
      </c>
      <c r="G2562" s="4" t="str">
        <f>HYPERLINK("http://141.218.60.56/~jnz1568/getInfo.php?workbook=10_05.xlsx&amp;sheet=U0&amp;row=2562&amp;col=7&amp;number=0.0141&amp;sourceID=14","0.0141")</f>
        <v>0.0141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HYPERLINK("http://141.218.60.56/~jnz1568/getInfo.php?workbook=10_05.xlsx&amp;sheet=U0&amp;row=2563&amp;col=6&amp;number=4.9&amp;sourceID=14","4.9")</f>
        <v>4.9</v>
      </c>
      <c r="G2563" s="4" t="str">
        <f>HYPERLINK("http://141.218.60.56/~jnz1568/getInfo.php?workbook=10_05.xlsx&amp;sheet=U0&amp;row=2563&amp;col=7&amp;number=0.0141&amp;sourceID=14","0.0141")</f>
        <v>0.0141</v>
      </c>
    </row>
    <row r="2564" spans="1:7">
      <c r="A2564" s="3">
        <v>10</v>
      </c>
      <c r="B2564" s="3">
        <v>5</v>
      </c>
      <c r="C2564" s="3">
        <v>1</v>
      </c>
      <c r="D2564" s="3">
        <v>130</v>
      </c>
      <c r="E2564" s="3">
        <v>1</v>
      </c>
      <c r="F2564" s="4" t="str">
        <f>HYPERLINK("http://141.218.60.56/~jnz1568/getInfo.php?workbook=10_05.xlsx&amp;sheet=U0&amp;row=2564&amp;col=6&amp;number=3&amp;sourceID=14","3")</f>
        <v>3</v>
      </c>
      <c r="G2564" s="4" t="str">
        <f>HYPERLINK("http://141.218.60.56/~jnz1568/getInfo.php?workbook=10_05.xlsx&amp;sheet=U0&amp;row=2564&amp;col=7&amp;number=0.00547&amp;sourceID=14","0.00547")</f>
        <v>0.00547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HYPERLINK("http://141.218.60.56/~jnz1568/getInfo.php?workbook=10_05.xlsx&amp;sheet=U0&amp;row=2565&amp;col=6&amp;number=3.1&amp;sourceID=14","3.1")</f>
        <v>3.1</v>
      </c>
      <c r="G2565" s="4" t="str">
        <f>HYPERLINK("http://141.218.60.56/~jnz1568/getInfo.php?workbook=10_05.xlsx&amp;sheet=U0&amp;row=2565&amp;col=7&amp;number=0.00545&amp;sourceID=14","0.00545")</f>
        <v>0.00545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HYPERLINK("http://141.218.60.56/~jnz1568/getInfo.php?workbook=10_05.xlsx&amp;sheet=U0&amp;row=2566&amp;col=6&amp;number=3.2&amp;sourceID=14","3.2")</f>
        <v>3.2</v>
      </c>
      <c r="G2566" s="4" t="str">
        <f>HYPERLINK("http://141.218.60.56/~jnz1568/getInfo.php?workbook=10_05.xlsx&amp;sheet=U0&amp;row=2566&amp;col=7&amp;number=0.00543&amp;sourceID=14","0.00543")</f>
        <v>0.00543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HYPERLINK("http://141.218.60.56/~jnz1568/getInfo.php?workbook=10_05.xlsx&amp;sheet=U0&amp;row=2567&amp;col=6&amp;number=3.3&amp;sourceID=14","3.3")</f>
        <v>3.3</v>
      </c>
      <c r="G2567" s="4" t="str">
        <f>HYPERLINK("http://141.218.60.56/~jnz1568/getInfo.php?workbook=10_05.xlsx&amp;sheet=U0&amp;row=2567&amp;col=7&amp;number=0.0054&amp;sourceID=14","0.0054")</f>
        <v>0.0054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HYPERLINK("http://141.218.60.56/~jnz1568/getInfo.php?workbook=10_05.xlsx&amp;sheet=U0&amp;row=2568&amp;col=6&amp;number=3.4&amp;sourceID=14","3.4")</f>
        <v>3.4</v>
      </c>
      <c r="G2568" s="4" t="str">
        <f>HYPERLINK("http://141.218.60.56/~jnz1568/getInfo.php?workbook=10_05.xlsx&amp;sheet=U0&amp;row=2568&amp;col=7&amp;number=0.00536&amp;sourceID=14","0.00536")</f>
        <v>0.00536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HYPERLINK("http://141.218.60.56/~jnz1568/getInfo.php?workbook=10_05.xlsx&amp;sheet=U0&amp;row=2569&amp;col=6&amp;number=3.5&amp;sourceID=14","3.5")</f>
        <v>3.5</v>
      </c>
      <c r="G2569" s="4" t="str">
        <f>HYPERLINK("http://141.218.60.56/~jnz1568/getInfo.php?workbook=10_05.xlsx&amp;sheet=U0&amp;row=2569&amp;col=7&amp;number=0.00531&amp;sourceID=14","0.00531")</f>
        <v>0.00531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HYPERLINK("http://141.218.60.56/~jnz1568/getInfo.php?workbook=10_05.xlsx&amp;sheet=U0&amp;row=2570&amp;col=6&amp;number=3.6&amp;sourceID=14","3.6")</f>
        <v>3.6</v>
      </c>
      <c r="G2570" s="4" t="str">
        <f>HYPERLINK("http://141.218.60.56/~jnz1568/getInfo.php?workbook=10_05.xlsx&amp;sheet=U0&amp;row=2570&amp;col=7&amp;number=0.00525&amp;sourceID=14","0.00525")</f>
        <v>0.00525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HYPERLINK("http://141.218.60.56/~jnz1568/getInfo.php?workbook=10_05.xlsx&amp;sheet=U0&amp;row=2571&amp;col=6&amp;number=3.7&amp;sourceID=14","3.7")</f>
        <v>3.7</v>
      </c>
      <c r="G2571" s="4" t="str">
        <f>HYPERLINK("http://141.218.60.56/~jnz1568/getInfo.php?workbook=10_05.xlsx&amp;sheet=U0&amp;row=2571&amp;col=7&amp;number=0.00518&amp;sourceID=14","0.00518")</f>
        <v>0.00518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HYPERLINK("http://141.218.60.56/~jnz1568/getInfo.php?workbook=10_05.xlsx&amp;sheet=U0&amp;row=2572&amp;col=6&amp;number=3.8&amp;sourceID=14","3.8")</f>
        <v>3.8</v>
      </c>
      <c r="G2572" s="4" t="str">
        <f>HYPERLINK("http://141.218.60.56/~jnz1568/getInfo.php?workbook=10_05.xlsx&amp;sheet=U0&amp;row=2572&amp;col=7&amp;number=0.00508&amp;sourceID=14","0.00508")</f>
        <v>0.00508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HYPERLINK("http://141.218.60.56/~jnz1568/getInfo.php?workbook=10_05.xlsx&amp;sheet=U0&amp;row=2573&amp;col=6&amp;number=3.9&amp;sourceID=14","3.9")</f>
        <v>3.9</v>
      </c>
      <c r="G2573" s="4" t="str">
        <f>HYPERLINK("http://141.218.60.56/~jnz1568/getInfo.php?workbook=10_05.xlsx&amp;sheet=U0&amp;row=2573&amp;col=7&amp;number=0.00497&amp;sourceID=14","0.00497")</f>
        <v>0.00497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HYPERLINK("http://141.218.60.56/~jnz1568/getInfo.php?workbook=10_05.xlsx&amp;sheet=U0&amp;row=2574&amp;col=6&amp;number=4&amp;sourceID=14","4")</f>
        <v>4</v>
      </c>
      <c r="G2574" s="4" t="str">
        <f>HYPERLINK("http://141.218.60.56/~jnz1568/getInfo.php?workbook=10_05.xlsx&amp;sheet=U0&amp;row=2574&amp;col=7&amp;number=0.00484&amp;sourceID=14","0.00484")</f>
        <v>0.00484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HYPERLINK("http://141.218.60.56/~jnz1568/getInfo.php?workbook=10_05.xlsx&amp;sheet=U0&amp;row=2575&amp;col=6&amp;number=4.1&amp;sourceID=14","4.1")</f>
        <v>4.1</v>
      </c>
      <c r="G2575" s="4" t="str">
        <f>HYPERLINK("http://141.218.60.56/~jnz1568/getInfo.php?workbook=10_05.xlsx&amp;sheet=U0&amp;row=2575&amp;col=7&amp;number=0.00468&amp;sourceID=14","0.00468")</f>
        <v>0.00468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HYPERLINK("http://141.218.60.56/~jnz1568/getInfo.php?workbook=10_05.xlsx&amp;sheet=U0&amp;row=2576&amp;col=6&amp;number=4.2&amp;sourceID=14","4.2")</f>
        <v>4.2</v>
      </c>
      <c r="G2576" s="4" t="str">
        <f>HYPERLINK("http://141.218.60.56/~jnz1568/getInfo.php?workbook=10_05.xlsx&amp;sheet=U0&amp;row=2576&amp;col=7&amp;number=0.00449&amp;sourceID=14","0.00449")</f>
        <v>0.00449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HYPERLINK("http://141.218.60.56/~jnz1568/getInfo.php?workbook=10_05.xlsx&amp;sheet=U0&amp;row=2577&amp;col=6&amp;number=4.3&amp;sourceID=14","4.3")</f>
        <v>4.3</v>
      </c>
      <c r="G2577" s="4" t="str">
        <f>HYPERLINK("http://141.218.60.56/~jnz1568/getInfo.php?workbook=10_05.xlsx&amp;sheet=U0&amp;row=2577&amp;col=7&amp;number=0.00429&amp;sourceID=14","0.00429")</f>
        <v>0.00429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HYPERLINK("http://141.218.60.56/~jnz1568/getInfo.php?workbook=10_05.xlsx&amp;sheet=U0&amp;row=2578&amp;col=6&amp;number=4.4&amp;sourceID=14","4.4")</f>
        <v>4.4</v>
      </c>
      <c r="G2578" s="4" t="str">
        <f>HYPERLINK("http://141.218.60.56/~jnz1568/getInfo.php?workbook=10_05.xlsx&amp;sheet=U0&amp;row=2578&amp;col=7&amp;number=0.00407&amp;sourceID=14","0.00407")</f>
        <v>0.00407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HYPERLINK("http://141.218.60.56/~jnz1568/getInfo.php?workbook=10_05.xlsx&amp;sheet=U0&amp;row=2579&amp;col=6&amp;number=4.5&amp;sourceID=14","4.5")</f>
        <v>4.5</v>
      </c>
      <c r="G2579" s="4" t="str">
        <f>HYPERLINK("http://141.218.60.56/~jnz1568/getInfo.php?workbook=10_05.xlsx&amp;sheet=U0&amp;row=2579&amp;col=7&amp;number=0.00385&amp;sourceID=14","0.00385")</f>
        <v>0.00385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HYPERLINK("http://141.218.60.56/~jnz1568/getInfo.php?workbook=10_05.xlsx&amp;sheet=U0&amp;row=2580&amp;col=6&amp;number=4.6&amp;sourceID=14","4.6")</f>
        <v>4.6</v>
      </c>
      <c r="G2580" s="4" t="str">
        <f>HYPERLINK("http://141.218.60.56/~jnz1568/getInfo.php?workbook=10_05.xlsx&amp;sheet=U0&amp;row=2580&amp;col=7&amp;number=0.00364&amp;sourceID=14","0.00364")</f>
        <v>0.00364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HYPERLINK("http://141.218.60.56/~jnz1568/getInfo.php?workbook=10_05.xlsx&amp;sheet=U0&amp;row=2581&amp;col=6&amp;number=4.7&amp;sourceID=14","4.7")</f>
        <v>4.7</v>
      </c>
      <c r="G2581" s="4" t="str">
        <f>HYPERLINK("http://141.218.60.56/~jnz1568/getInfo.php?workbook=10_05.xlsx&amp;sheet=U0&amp;row=2581&amp;col=7&amp;number=0.00345&amp;sourceID=14","0.00345")</f>
        <v>0.00345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HYPERLINK("http://141.218.60.56/~jnz1568/getInfo.php?workbook=10_05.xlsx&amp;sheet=U0&amp;row=2582&amp;col=6&amp;number=4.8&amp;sourceID=14","4.8")</f>
        <v>4.8</v>
      </c>
      <c r="G2582" s="4" t="str">
        <f>HYPERLINK("http://141.218.60.56/~jnz1568/getInfo.php?workbook=10_05.xlsx&amp;sheet=U0&amp;row=2582&amp;col=7&amp;number=0.00326&amp;sourceID=14","0.00326")</f>
        <v>0.00326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HYPERLINK("http://141.218.60.56/~jnz1568/getInfo.php?workbook=10_05.xlsx&amp;sheet=U0&amp;row=2583&amp;col=6&amp;number=4.9&amp;sourceID=14","4.9")</f>
        <v>4.9</v>
      </c>
      <c r="G2583" s="4" t="str">
        <f>HYPERLINK("http://141.218.60.56/~jnz1568/getInfo.php?workbook=10_05.xlsx&amp;sheet=U0&amp;row=2583&amp;col=7&amp;number=0.00306&amp;sourceID=14","0.00306")</f>
        <v>0.00306</v>
      </c>
    </row>
    <row r="2584" spans="1:7">
      <c r="A2584" s="3">
        <v>10</v>
      </c>
      <c r="B2584" s="3">
        <v>5</v>
      </c>
      <c r="C2584" s="3">
        <v>1</v>
      </c>
      <c r="D2584" s="3">
        <v>131</v>
      </c>
      <c r="E2584" s="3">
        <v>1</v>
      </c>
      <c r="F2584" s="4" t="str">
        <f>HYPERLINK("http://141.218.60.56/~jnz1568/getInfo.php?workbook=10_05.xlsx&amp;sheet=U0&amp;row=2584&amp;col=6&amp;number=3&amp;sourceID=14","3")</f>
        <v>3</v>
      </c>
      <c r="G2584" s="4" t="str">
        <f>HYPERLINK("http://141.218.60.56/~jnz1568/getInfo.php?workbook=10_05.xlsx&amp;sheet=U0&amp;row=2584&amp;col=7&amp;number=0.00278&amp;sourceID=14","0.00278")</f>
        <v>0.00278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HYPERLINK("http://141.218.60.56/~jnz1568/getInfo.php?workbook=10_05.xlsx&amp;sheet=U0&amp;row=2585&amp;col=6&amp;number=3.1&amp;sourceID=14","3.1")</f>
        <v>3.1</v>
      </c>
      <c r="G2585" s="4" t="str">
        <f>HYPERLINK("http://141.218.60.56/~jnz1568/getInfo.php?workbook=10_05.xlsx&amp;sheet=U0&amp;row=2585&amp;col=7&amp;number=0.00277&amp;sourceID=14","0.00277")</f>
        <v>0.00277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HYPERLINK("http://141.218.60.56/~jnz1568/getInfo.php?workbook=10_05.xlsx&amp;sheet=U0&amp;row=2586&amp;col=6&amp;number=3.2&amp;sourceID=14","3.2")</f>
        <v>3.2</v>
      </c>
      <c r="G2586" s="4" t="str">
        <f>HYPERLINK("http://141.218.60.56/~jnz1568/getInfo.php?workbook=10_05.xlsx&amp;sheet=U0&amp;row=2586&amp;col=7&amp;number=0.00275&amp;sourceID=14","0.00275")</f>
        <v>0.00275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HYPERLINK("http://141.218.60.56/~jnz1568/getInfo.php?workbook=10_05.xlsx&amp;sheet=U0&amp;row=2587&amp;col=6&amp;number=3.3&amp;sourceID=14","3.3")</f>
        <v>3.3</v>
      </c>
      <c r="G2587" s="4" t="str">
        <f>HYPERLINK("http://141.218.60.56/~jnz1568/getInfo.php?workbook=10_05.xlsx&amp;sheet=U0&amp;row=2587&amp;col=7&amp;number=0.00273&amp;sourceID=14","0.00273")</f>
        <v>0.00273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HYPERLINK("http://141.218.60.56/~jnz1568/getInfo.php?workbook=10_05.xlsx&amp;sheet=U0&amp;row=2588&amp;col=6&amp;number=3.4&amp;sourceID=14","3.4")</f>
        <v>3.4</v>
      </c>
      <c r="G2588" s="4" t="str">
        <f>HYPERLINK("http://141.218.60.56/~jnz1568/getInfo.php?workbook=10_05.xlsx&amp;sheet=U0&amp;row=2588&amp;col=7&amp;number=0.0027&amp;sourceID=14","0.0027")</f>
        <v>0.0027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HYPERLINK("http://141.218.60.56/~jnz1568/getInfo.php?workbook=10_05.xlsx&amp;sheet=U0&amp;row=2589&amp;col=6&amp;number=3.5&amp;sourceID=14","3.5")</f>
        <v>3.5</v>
      </c>
      <c r="G2589" s="4" t="str">
        <f>HYPERLINK("http://141.218.60.56/~jnz1568/getInfo.php?workbook=10_05.xlsx&amp;sheet=U0&amp;row=2589&amp;col=7&amp;number=0.00267&amp;sourceID=14","0.00267")</f>
        <v>0.00267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HYPERLINK("http://141.218.60.56/~jnz1568/getInfo.php?workbook=10_05.xlsx&amp;sheet=U0&amp;row=2590&amp;col=6&amp;number=3.6&amp;sourceID=14","3.6")</f>
        <v>3.6</v>
      </c>
      <c r="G2590" s="4" t="str">
        <f>HYPERLINK("http://141.218.60.56/~jnz1568/getInfo.php?workbook=10_05.xlsx&amp;sheet=U0&amp;row=2590&amp;col=7&amp;number=0.00263&amp;sourceID=14","0.00263")</f>
        <v>0.00263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HYPERLINK("http://141.218.60.56/~jnz1568/getInfo.php?workbook=10_05.xlsx&amp;sheet=U0&amp;row=2591&amp;col=6&amp;number=3.7&amp;sourceID=14","3.7")</f>
        <v>3.7</v>
      </c>
      <c r="G2591" s="4" t="str">
        <f>HYPERLINK("http://141.218.60.56/~jnz1568/getInfo.php?workbook=10_05.xlsx&amp;sheet=U0&amp;row=2591&amp;col=7&amp;number=0.00259&amp;sourceID=14","0.00259")</f>
        <v>0.00259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HYPERLINK("http://141.218.60.56/~jnz1568/getInfo.php?workbook=10_05.xlsx&amp;sheet=U0&amp;row=2592&amp;col=6&amp;number=3.8&amp;sourceID=14","3.8")</f>
        <v>3.8</v>
      </c>
      <c r="G2592" s="4" t="str">
        <f>HYPERLINK("http://141.218.60.56/~jnz1568/getInfo.php?workbook=10_05.xlsx&amp;sheet=U0&amp;row=2592&amp;col=7&amp;number=0.00253&amp;sourceID=14","0.00253")</f>
        <v>0.00253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HYPERLINK("http://141.218.60.56/~jnz1568/getInfo.php?workbook=10_05.xlsx&amp;sheet=U0&amp;row=2593&amp;col=6&amp;number=3.9&amp;sourceID=14","3.9")</f>
        <v>3.9</v>
      </c>
      <c r="G2593" s="4" t="str">
        <f>HYPERLINK("http://141.218.60.56/~jnz1568/getInfo.php?workbook=10_05.xlsx&amp;sheet=U0&amp;row=2593&amp;col=7&amp;number=0.00245&amp;sourceID=14","0.00245")</f>
        <v>0.00245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HYPERLINK("http://141.218.60.56/~jnz1568/getInfo.php?workbook=10_05.xlsx&amp;sheet=U0&amp;row=2594&amp;col=6&amp;number=4&amp;sourceID=14","4")</f>
        <v>4</v>
      </c>
      <c r="G2594" s="4" t="str">
        <f>HYPERLINK("http://141.218.60.56/~jnz1568/getInfo.php?workbook=10_05.xlsx&amp;sheet=U0&amp;row=2594&amp;col=7&amp;number=0.00237&amp;sourceID=14","0.00237")</f>
        <v>0.00237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HYPERLINK("http://141.218.60.56/~jnz1568/getInfo.php?workbook=10_05.xlsx&amp;sheet=U0&amp;row=2595&amp;col=6&amp;number=4.1&amp;sourceID=14","4.1")</f>
        <v>4.1</v>
      </c>
      <c r="G2595" s="4" t="str">
        <f>HYPERLINK("http://141.218.60.56/~jnz1568/getInfo.php?workbook=10_05.xlsx&amp;sheet=U0&amp;row=2595&amp;col=7&amp;number=0.00227&amp;sourceID=14","0.00227")</f>
        <v>0.00227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HYPERLINK("http://141.218.60.56/~jnz1568/getInfo.php?workbook=10_05.xlsx&amp;sheet=U0&amp;row=2596&amp;col=6&amp;number=4.2&amp;sourceID=14","4.2")</f>
        <v>4.2</v>
      </c>
      <c r="G2596" s="4" t="str">
        <f>HYPERLINK("http://141.218.60.56/~jnz1568/getInfo.php?workbook=10_05.xlsx&amp;sheet=U0&amp;row=2596&amp;col=7&amp;number=0.00216&amp;sourceID=14","0.00216")</f>
        <v>0.00216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HYPERLINK("http://141.218.60.56/~jnz1568/getInfo.php?workbook=10_05.xlsx&amp;sheet=U0&amp;row=2597&amp;col=6&amp;number=4.3&amp;sourceID=14","4.3")</f>
        <v>4.3</v>
      </c>
      <c r="G2597" s="4" t="str">
        <f>HYPERLINK("http://141.218.60.56/~jnz1568/getInfo.php?workbook=10_05.xlsx&amp;sheet=U0&amp;row=2597&amp;col=7&amp;number=0.00204&amp;sourceID=14","0.00204")</f>
        <v>0.00204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HYPERLINK("http://141.218.60.56/~jnz1568/getInfo.php?workbook=10_05.xlsx&amp;sheet=U0&amp;row=2598&amp;col=6&amp;number=4.4&amp;sourceID=14","4.4")</f>
        <v>4.4</v>
      </c>
      <c r="G2598" s="4" t="str">
        <f>HYPERLINK("http://141.218.60.56/~jnz1568/getInfo.php?workbook=10_05.xlsx&amp;sheet=U0&amp;row=2598&amp;col=7&amp;number=0.00193&amp;sourceID=14","0.00193")</f>
        <v>0.00193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HYPERLINK("http://141.218.60.56/~jnz1568/getInfo.php?workbook=10_05.xlsx&amp;sheet=U0&amp;row=2599&amp;col=6&amp;number=4.5&amp;sourceID=14","4.5")</f>
        <v>4.5</v>
      </c>
      <c r="G2599" s="4" t="str">
        <f>HYPERLINK("http://141.218.60.56/~jnz1568/getInfo.php?workbook=10_05.xlsx&amp;sheet=U0&amp;row=2599&amp;col=7&amp;number=0.00184&amp;sourceID=14","0.00184")</f>
        <v>0.00184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HYPERLINK("http://141.218.60.56/~jnz1568/getInfo.php?workbook=10_05.xlsx&amp;sheet=U0&amp;row=2600&amp;col=6&amp;number=4.6&amp;sourceID=14","4.6")</f>
        <v>4.6</v>
      </c>
      <c r="G2600" s="4" t="str">
        <f>HYPERLINK("http://141.218.60.56/~jnz1568/getInfo.php?workbook=10_05.xlsx&amp;sheet=U0&amp;row=2600&amp;col=7&amp;number=0.00178&amp;sourceID=14","0.00178")</f>
        <v>0.00178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HYPERLINK("http://141.218.60.56/~jnz1568/getInfo.php?workbook=10_05.xlsx&amp;sheet=U0&amp;row=2601&amp;col=6&amp;number=4.7&amp;sourceID=14","4.7")</f>
        <v>4.7</v>
      </c>
      <c r="G2601" s="4" t="str">
        <f>HYPERLINK("http://141.218.60.56/~jnz1568/getInfo.php?workbook=10_05.xlsx&amp;sheet=U0&amp;row=2601&amp;col=7&amp;number=0.00174&amp;sourceID=14","0.00174")</f>
        <v>0.00174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HYPERLINK("http://141.218.60.56/~jnz1568/getInfo.php?workbook=10_05.xlsx&amp;sheet=U0&amp;row=2602&amp;col=6&amp;number=4.8&amp;sourceID=14","4.8")</f>
        <v>4.8</v>
      </c>
      <c r="G2602" s="4" t="str">
        <f>HYPERLINK("http://141.218.60.56/~jnz1568/getInfo.php?workbook=10_05.xlsx&amp;sheet=U0&amp;row=2602&amp;col=7&amp;number=0.00168&amp;sourceID=14","0.00168")</f>
        <v>0.00168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HYPERLINK("http://141.218.60.56/~jnz1568/getInfo.php?workbook=10_05.xlsx&amp;sheet=U0&amp;row=2603&amp;col=6&amp;number=4.9&amp;sourceID=14","4.9")</f>
        <v>4.9</v>
      </c>
      <c r="G2603" s="4" t="str">
        <f>HYPERLINK("http://141.218.60.56/~jnz1568/getInfo.php?workbook=10_05.xlsx&amp;sheet=U0&amp;row=2603&amp;col=7&amp;number=0.00161&amp;sourceID=14","0.00161")</f>
        <v>0.00161</v>
      </c>
    </row>
    <row r="2604" spans="1:7">
      <c r="A2604" s="3">
        <v>10</v>
      </c>
      <c r="B2604" s="3">
        <v>5</v>
      </c>
      <c r="C2604" s="3">
        <v>1</v>
      </c>
      <c r="D2604" s="3">
        <v>132</v>
      </c>
      <c r="E2604" s="3">
        <v>1</v>
      </c>
      <c r="F2604" s="4" t="str">
        <f>HYPERLINK("http://141.218.60.56/~jnz1568/getInfo.php?workbook=10_05.xlsx&amp;sheet=U0&amp;row=2604&amp;col=6&amp;number=3&amp;sourceID=14","3")</f>
        <v>3</v>
      </c>
      <c r="G2604" s="4" t="str">
        <f>HYPERLINK("http://141.218.60.56/~jnz1568/getInfo.php?workbook=10_05.xlsx&amp;sheet=U0&amp;row=2604&amp;col=7&amp;number=0.00439&amp;sourceID=14","0.00439")</f>
        <v>0.00439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HYPERLINK("http://141.218.60.56/~jnz1568/getInfo.php?workbook=10_05.xlsx&amp;sheet=U0&amp;row=2605&amp;col=6&amp;number=3.1&amp;sourceID=14","3.1")</f>
        <v>3.1</v>
      </c>
      <c r="G2605" s="4" t="str">
        <f>HYPERLINK("http://141.218.60.56/~jnz1568/getInfo.php?workbook=10_05.xlsx&amp;sheet=U0&amp;row=2605&amp;col=7&amp;number=0.00436&amp;sourceID=14","0.00436")</f>
        <v>0.00436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HYPERLINK("http://141.218.60.56/~jnz1568/getInfo.php?workbook=10_05.xlsx&amp;sheet=U0&amp;row=2606&amp;col=6&amp;number=3.2&amp;sourceID=14","3.2")</f>
        <v>3.2</v>
      </c>
      <c r="G2606" s="4" t="str">
        <f>HYPERLINK("http://141.218.60.56/~jnz1568/getInfo.php?workbook=10_05.xlsx&amp;sheet=U0&amp;row=2606&amp;col=7&amp;number=0.00433&amp;sourceID=14","0.00433")</f>
        <v>0.00433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HYPERLINK("http://141.218.60.56/~jnz1568/getInfo.php?workbook=10_05.xlsx&amp;sheet=U0&amp;row=2607&amp;col=6&amp;number=3.3&amp;sourceID=14","3.3")</f>
        <v>3.3</v>
      </c>
      <c r="G2607" s="4" t="str">
        <f>HYPERLINK("http://141.218.60.56/~jnz1568/getInfo.php?workbook=10_05.xlsx&amp;sheet=U0&amp;row=2607&amp;col=7&amp;number=0.00429&amp;sourceID=14","0.00429")</f>
        <v>0.00429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HYPERLINK("http://141.218.60.56/~jnz1568/getInfo.php?workbook=10_05.xlsx&amp;sheet=U0&amp;row=2608&amp;col=6&amp;number=3.4&amp;sourceID=14","3.4")</f>
        <v>3.4</v>
      </c>
      <c r="G2608" s="4" t="str">
        <f>HYPERLINK("http://141.218.60.56/~jnz1568/getInfo.php?workbook=10_05.xlsx&amp;sheet=U0&amp;row=2608&amp;col=7&amp;number=0.00423&amp;sourceID=14","0.00423")</f>
        <v>0.00423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HYPERLINK("http://141.218.60.56/~jnz1568/getInfo.php?workbook=10_05.xlsx&amp;sheet=U0&amp;row=2609&amp;col=6&amp;number=3.5&amp;sourceID=14","3.5")</f>
        <v>3.5</v>
      </c>
      <c r="G2609" s="4" t="str">
        <f>HYPERLINK("http://141.218.60.56/~jnz1568/getInfo.php?workbook=10_05.xlsx&amp;sheet=U0&amp;row=2609&amp;col=7&amp;number=0.00417&amp;sourceID=14","0.00417")</f>
        <v>0.00417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HYPERLINK("http://141.218.60.56/~jnz1568/getInfo.php?workbook=10_05.xlsx&amp;sheet=U0&amp;row=2610&amp;col=6&amp;number=3.6&amp;sourceID=14","3.6")</f>
        <v>3.6</v>
      </c>
      <c r="G2610" s="4" t="str">
        <f>HYPERLINK("http://141.218.60.56/~jnz1568/getInfo.php?workbook=10_05.xlsx&amp;sheet=U0&amp;row=2610&amp;col=7&amp;number=0.00408&amp;sourceID=14","0.00408")</f>
        <v>0.00408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HYPERLINK("http://141.218.60.56/~jnz1568/getInfo.php?workbook=10_05.xlsx&amp;sheet=U0&amp;row=2611&amp;col=6&amp;number=3.7&amp;sourceID=14","3.7")</f>
        <v>3.7</v>
      </c>
      <c r="G2611" s="4" t="str">
        <f>HYPERLINK("http://141.218.60.56/~jnz1568/getInfo.php?workbook=10_05.xlsx&amp;sheet=U0&amp;row=2611&amp;col=7&amp;number=0.00398&amp;sourceID=14","0.00398")</f>
        <v>0.00398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HYPERLINK("http://141.218.60.56/~jnz1568/getInfo.php?workbook=10_05.xlsx&amp;sheet=U0&amp;row=2612&amp;col=6&amp;number=3.8&amp;sourceID=14","3.8")</f>
        <v>3.8</v>
      </c>
      <c r="G2612" s="4" t="str">
        <f>HYPERLINK("http://141.218.60.56/~jnz1568/getInfo.php?workbook=10_05.xlsx&amp;sheet=U0&amp;row=2612&amp;col=7&amp;number=0.00386&amp;sourceID=14","0.00386")</f>
        <v>0.00386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HYPERLINK("http://141.218.60.56/~jnz1568/getInfo.php?workbook=10_05.xlsx&amp;sheet=U0&amp;row=2613&amp;col=6&amp;number=3.9&amp;sourceID=14","3.9")</f>
        <v>3.9</v>
      </c>
      <c r="G2613" s="4" t="str">
        <f>HYPERLINK("http://141.218.60.56/~jnz1568/getInfo.php?workbook=10_05.xlsx&amp;sheet=U0&amp;row=2613&amp;col=7&amp;number=0.00371&amp;sourceID=14","0.00371")</f>
        <v>0.00371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HYPERLINK("http://141.218.60.56/~jnz1568/getInfo.php?workbook=10_05.xlsx&amp;sheet=U0&amp;row=2614&amp;col=6&amp;number=4&amp;sourceID=14","4")</f>
        <v>4</v>
      </c>
      <c r="G2614" s="4" t="str">
        <f>HYPERLINK("http://141.218.60.56/~jnz1568/getInfo.php?workbook=10_05.xlsx&amp;sheet=U0&amp;row=2614&amp;col=7&amp;number=0.00354&amp;sourceID=14","0.00354")</f>
        <v>0.00354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HYPERLINK("http://141.218.60.56/~jnz1568/getInfo.php?workbook=10_05.xlsx&amp;sheet=U0&amp;row=2615&amp;col=6&amp;number=4.1&amp;sourceID=14","4.1")</f>
        <v>4.1</v>
      </c>
      <c r="G2615" s="4" t="str">
        <f>HYPERLINK("http://141.218.60.56/~jnz1568/getInfo.php?workbook=10_05.xlsx&amp;sheet=U0&amp;row=2615&amp;col=7&amp;number=0.00334&amp;sourceID=14","0.00334")</f>
        <v>0.00334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HYPERLINK("http://141.218.60.56/~jnz1568/getInfo.php?workbook=10_05.xlsx&amp;sheet=U0&amp;row=2616&amp;col=6&amp;number=4.2&amp;sourceID=14","4.2")</f>
        <v>4.2</v>
      </c>
      <c r="G2616" s="4" t="str">
        <f>HYPERLINK("http://141.218.60.56/~jnz1568/getInfo.php?workbook=10_05.xlsx&amp;sheet=U0&amp;row=2616&amp;col=7&amp;number=0.00312&amp;sourceID=14","0.00312")</f>
        <v>0.00312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HYPERLINK("http://141.218.60.56/~jnz1568/getInfo.php?workbook=10_05.xlsx&amp;sheet=U0&amp;row=2617&amp;col=6&amp;number=4.3&amp;sourceID=14","4.3")</f>
        <v>4.3</v>
      </c>
      <c r="G2617" s="4" t="str">
        <f>HYPERLINK("http://141.218.60.56/~jnz1568/getInfo.php?workbook=10_05.xlsx&amp;sheet=U0&amp;row=2617&amp;col=7&amp;number=0.00289&amp;sourceID=14","0.00289")</f>
        <v>0.00289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HYPERLINK("http://141.218.60.56/~jnz1568/getInfo.php?workbook=10_05.xlsx&amp;sheet=U0&amp;row=2618&amp;col=6&amp;number=4.4&amp;sourceID=14","4.4")</f>
        <v>4.4</v>
      </c>
      <c r="G2618" s="4" t="str">
        <f>HYPERLINK("http://141.218.60.56/~jnz1568/getInfo.php?workbook=10_05.xlsx&amp;sheet=U0&amp;row=2618&amp;col=7&amp;number=0.00269&amp;sourceID=14","0.00269")</f>
        <v>0.00269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HYPERLINK("http://141.218.60.56/~jnz1568/getInfo.php?workbook=10_05.xlsx&amp;sheet=U0&amp;row=2619&amp;col=6&amp;number=4.5&amp;sourceID=14","4.5")</f>
        <v>4.5</v>
      </c>
      <c r="G2619" s="4" t="str">
        <f>HYPERLINK("http://141.218.60.56/~jnz1568/getInfo.php?workbook=10_05.xlsx&amp;sheet=U0&amp;row=2619&amp;col=7&amp;number=0.00254&amp;sourceID=14","0.00254")</f>
        <v>0.00254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HYPERLINK("http://141.218.60.56/~jnz1568/getInfo.php?workbook=10_05.xlsx&amp;sheet=U0&amp;row=2620&amp;col=6&amp;number=4.6&amp;sourceID=14","4.6")</f>
        <v>4.6</v>
      </c>
      <c r="G2620" s="4" t="str">
        <f>HYPERLINK("http://141.218.60.56/~jnz1568/getInfo.php?workbook=10_05.xlsx&amp;sheet=U0&amp;row=2620&amp;col=7&amp;number=0.00243&amp;sourceID=14","0.00243")</f>
        <v>0.00243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HYPERLINK("http://141.218.60.56/~jnz1568/getInfo.php?workbook=10_05.xlsx&amp;sheet=U0&amp;row=2621&amp;col=6&amp;number=4.7&amp;sourceID=14","4.7")</f>
        <v>4.7</v>
      </c>
      <c r="G2621" s="4" t="str">
        <f>HYPERLINK("http://141.218.60.56/~jnz1568/getInfo.php?workbook=10_05.xlsx&amp;sheet=U0&amp;row=2621&amp;col=7&amp;number=0.00234&amp;sourceID=14","0.00234")</f>
        <v>0.00234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HYPERLINK("http://141.218.60.56/~jnz1568/getInfo.php?workbook=10_05.xlsx&amp;sheet=U0&amp;row=2622&amp;col=6&amp;number=4.8&amp;sourceID=14","4.8")</f>
        <v>4.8</v>
      </c>
      <c r="G2622" s="4" t="str">
        <f>HYPERLINK("http://141.218.60.56/~jnz1568/getInfo.php?workbook=10_05.xlsx&amp;sheet=U0&amp;row=2622&amp;col=7&amp;number=0.00222&amp;sourceID=14","0.00222")</f>
        <v>0.00222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HYPERLINK("http://141.218.60.56/~jnz1568/getInfo.php?workbook=10_05.xlsx&amp;sheet=U0&amp;row=2623&amp;col=6&amp;number=4.9&amp;sourceID=14","4.9")</f>
        <v>4.9</v>
      </c>
      <c r="G2623" s="4" t="str">
        <f>HYPERLINK("http://141.218.60.56/~jnz1568/getInfo.php?workbook=10_05.xlsx&amp;sheet=U0&amp;row=2623&amp;col=7&amp;number=0.0021&amp;sourceID=14","0.0021")</f>
        <v>0.0021</v>
      </c>
    </row>
    <row r="2624" spans="1:7">
      <c r="A2624" s="3">
        <v>10</v>
      </c>
      <c r="B2624" s="3">
        <v>5</v>
      </c>
      <c r="C2624" s="3">
        <v>1</v>
      </c>
      <c r="D2624" s="3">
        <v>133</v>
      </c>
      <c r="E2624" s="3">
        <v>1</v>
      </c>
      <c r="F2624" s="4" t="str">
        <f>HYPERLINK("http://141.218.60.56/~jnz1568/getInfo.php?workbook=10_05.xlsx&amp;sheet=U0&amp;row=2624&amp;col=6&amp;number=3&amp;sourceID=14","3")</f>
        <v>3</v>
      </c>
      <c r="G2624" s="4" t="str">
        <f>HYPERLINK("http://141.218.60.56/~jnz1568/getInfo.php?workbook=10_05.xlsx&amp;sheet=U0&amp;row=2624&amp;col=7&amp;number=0.00285&amp;sourceID=14","0.00285")</f>
        <v>0.00285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HYPERLINK("http://141.218.60.56/~jnz1568/getInfo.php?workbook=10_05.xlsx&amp;sheet=U0&amp;row=2625&amp;col=6&amp;number=3.1&amp;sourceID=14","3.1")</f>
        <v>3.1</v>
      </c>
      <c r="G2625" s="4" t="str">
        <f>HYPERLINK("http://141.218.60.56/~jnz1568/getInfo.php?workbook=10_05.xlsx&amp;sheet=U0&amp;row=2625&amp;col=7&amp;number=0.00283&amp;sourceID=14","0.00283")</f>
        <v>0.00283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HYPERLINK("http://141.218.60.56/~jnz1568/getInfo.php?workbook=10_05.xlsx&amp;sheet=U0&amp;row=2626&amp;col=6&amp;number=3.2&amp;sourceID=14","3.2")</f>
        <v>3.2</v>
      </c>
      <c r="G2626" s="4" t="str">
        <f>HYPERLINK("http://141.218.60.56/~jnz1568/getInfo.php?workbook=10_05.xlsx&amp;sheet=U0&amp;row=2626&amp;col=7&amp;number=0.00279&amp;sourceID=14","0.00279")</f>
        <v>0.00279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HYPERLINK("http://141.218.60.56/~jnz1568/getInfo.php?workbook=10_05.xlsx&amp;sheet=U0&amp;row=2627&amp;col=6&amp;number=3.3&amp;sourceID=14","3.3")</f>
        <v>3.3</v>
      </c>
      <c r="G2627" s="4" t="str">
        <f>HYPERLINK("http://141.218.60.56/~jnz1568/getInfo.php?workbook=10_05.xlsx&amp;sheet=U0&amp;row=2627&amp;col=7&amp;number=0.00276&amp;sourceID=14","0.00276")</f>
        <v>0.00276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HYPERLINK("http://141.218.60.56/~jnz1568/getInfo.php?workbook=10_05.xlsx&amp;sheet=U0&amp;row=2628&amp;col=6&amp;number=3.4&amp;sourceID=14","3.4")</f>
        <v>3.4</v>
      </c>
      <c r="G2628" s="4" t="str">
        <f>HYPERLINK("http://141.218.60.56/~jnz1568/getInfo.php?workbook=10_05.xlsx&amp;sheet=U0&amp;row=2628&amp;col=7&amp;number=0.00271&amp;sourceID=14","0.00271")</f>
        <v>0.00271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HYPERLINK("http://141.218.60.56/~jnz1568/getInfo.php?workbook=10_05.xlsx&amp;sheet=U0&amp;row=2629&amp;col=6&amp;number=3.5&amp;sourceID=14","3.5")</f>
        <v>3.5</v>
      </c>
      <c r="G2629" s="4" t="str">
        <f>HYPERLINK("http://141.218.60.56/~jnz1568/getInfo.php?workbook=10_05.xlsx&amp;sheet=U0&amp;row=2629&amp;col=7&amp;number=0.00265&amp;sourceID=14","0.00265")</f>
        <v>0.00265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HYPERLINK("http://141.218.60.56/~jnz1568/getInfo.php?workbook=10_05.xlsx&amp;sheet=U0&amp;row=2630&amp;col=6&amp;number=3.6&amp;sourceID=14","3.6")</f>
        <v>3.6</v>
      </c>
      <c r="G2630" s="4" t="str">
        <f>HYPERLINK("http://141.218.60.56/~jnz1568/getInfo.php?workbook=10_05.xlsx&amp;sheet=U0&amp;row=2630&amp;col=7&amp;number=0.00258&amp;sourceID=14","0.00258")</f>
        <v>0.00258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HYPERLINK("http://141.218.60.56/~jnz1568/getInfo.php?workbook=10_05.xlsx&amp;sheet=U0&amp;row=2631&amp;col=6&amp;number=3.7&amp;sourceID=14","3.7")</f>
        <v>3.7</v>
      </c>
      <c r="G2631" s="4" t="str">
        <f>HYPERLINK("http://141.218.60.56/~jnz1568/getInfo.php?workbook=10_05.xlsx&amp;sheet=U0&amp;row=2631&amp;col=7&amp;number=0.00249&amp;sourceID=14","0.00249")</f>
        <v>0.00249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HYPERLINK("http://141.218.60.56/~jnz1568/getInfo.php?workbook=10_05.xlsx&amp;sheet=U0&amp;row=2632&amp;col=6&amp;number=3.8&amp;sourceID=14","3.8")</f>
        <v>3.8</v>
      </c>
      <c r="G2632" s="4" t="str">
        <f>HYPERLINK("http://141.218.60.56/~jnz1568/getInfo.php?workbook=10_05.xlsx&amp;sheet=U0&amp;row=2632&amp;col=7&amp;number=0.00238&amp;sourceID=14","0.00238")</f>
        <v>0.00238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HYPERLINK("http://141.218.60.56/~jnz1568/getInfo.php?workbook=10_05.xlsx&amp;sheet=U0&amp;row=2633&amp;col=6&amp;number=3.9&amp;sourceID=14","3.9")</f>
        <v>3.9</v>
      </c>
      <c r="G2633" s="4" t="str">
        <f>HYPERLINK("http://141.218.60.56/~jnz1568/getInfo.php?workbook=10_05.xlsx&amp;sheet=U0&amp;row=2633&amp;col=7&amp;number=0.00226&amp;sourceID=14","0.00226")</f>
        <v>0.00226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HYPERLINK("http://141.218.60.56/~jnz1568/getInfo.php?workbook=10_05.xlsx&amp;sheet=U0&amp;row=2634&amp;col=6&amp;number=4&amp;sourceID=14","4")</f>
        <v>4</v>
      </c>
      <c r="G2634" s="4" t="str">
        <f>HYPERLINK("http://141.218.60.56/~jnz1568/getInfo.php?workbook=10_05.xlsx&amp;sheet=U0&amp;row=2634&amp;col=7&amp;number=0.0021&amp;sourceID=14","0.0021")</f>
        <v>0.0021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HYPERLINK("http://141.218.60.56/~jnz1568/getInfo.php?workbook=10_05.xlsx&amp;sheet=U0&amp;row=2635&amp;col=6&amp;number=4.1&amp;sourceID=14","4.1")</f>
        <v>4.1</v>
      </c>
      <c r="G2635" s="4" t="str">
        <f>HYPERLINK("http://141.218.60.56/~jnz1568/getInfo.php?workbook=10_05.xlsx&amp;sheet=U0&amp;row=2635&amp;col=7&amp;number=0.00193&amp;sourceID=14","0.00193")</f>
        <v>0.00193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HYPERLINK("http://141.218.60.56/~jnz1568/getInfo.php?workbook=10_05.xlsx&amp;sheet=U0&amp;row=2636&amp;col=6&amp;number=4.2&amp;sourceID=14","4.2")</f>
        <v>4.2</v>
      </c>
      <c r="G2636" s="4" t="str">
        <f>HYPERLINK("http://141.218.60.56/~jnz1568/getInfo.php?workbook=10_05.xlsx&amp;sheet=U0&amp;row=2636&amp;col=7&amp;number=0.00175&amp;sourceID=14","0.00175")</f>
        <v>0.00175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HYPERLINK("http://141.218.60.56/~jnz1568/getInfo.php?workbook=10_05.xlsx&amp;sheet=U0&amp;row=2637&amp;col=6&amp;number=4.3&amp;sourceID=14","4.3")</f>
        <v>4.3</v>
      </c>
      <c r="G2637" s="4" t="str">
        <f>HYPERLINK("http://141.218.60.56/~jnz1568/getInfo.php?workbook=10_05.xlsx&amp;sheet=U0&amp;row=2637&amp;col=7&amp;number=0.00156&amp;sourceID=14","0.00156")</f>
        <v>0.00156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HYPERLINK("http://141.218.60.56/~jnz1568/getInfo.php?workbook=10_05.xlsx&amp;sheet=U0&amp;row=2638&amp;col=6&amp;number=4.4&amp;sourceID=14","4.4")</f>
        <v>4.4</v>
      </c>
      <c r="G2638" s="4" t="str">
        <f>HYPERLINK("http://141.218.60.56/~jnz1568/getInfo.php?workbook=10_05.xlsx&amp;sheet=U0&amp;row=2638&amp;col=7&amp;number=0.00139&amp;sourceID=14","0.00139")</f>
        <v>0.00139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HYPERLINK("http://141.218.60.56/~jnz1568/getInfo.php?workbook=10_05.xlsx&amp;sheet=U0&amp;row=2639&amp;col=6&amp;number=4.5&amp;sourceID=14","4.5")</f>
        <v>4.5</v>
      </c>
      <c r="G2639" s="4" t="str">
        <f>HYPERLINK("http://141.218.60.56/~jnz1568/getInfo.php?workbook=10_05.xlsx&amp;sheet=U0&amp;row=2639&amp;col=7&amp;number=0.00123&amp;sourceID=14","0.00123")</f>
        <v>0.00123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HYPERLINK("http://141.218.60.56/~jnz1568/getInfo.php?workbook=10_05.xlsx&amp;sheet=U0&amp;row=2640&amp;col=6&amp;number=4.6&amp;sourceID=14","4.6")</f>
        <v>4.6</v>
      </c>
      <c r="G2640" s="4" t="str">
        <f>HYPERLINK("http://141.218.60.56/~jnz1568/getInfo.php?workbook=10_05.xlsx&amp;sheet=U0&amp;row=2640&amp;col=7&amp;number=0.00109&amp;sourceID=14","0.00109")</f>
        <v>0.00109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HYPERLINK("http://141.218.60.56/~jnz1568/getInfo.php?workbook=10_05.xlsx&amp;sheet=U0&amp;row=2641&amp;col=6&amp;number=4.7&amp;sourceID=14","4.7")</f>
        <v>4.7</v>
      </c>
      <c r="G2641" s="4" t="str">
        <f>HYPERLINK("http://141.218.60.56/~jnz1568/getInfo.php?workbook=10_05.xlsx&amp;sheet=U0&amp;row=2641&amp;col=7&amp;number=0.000972&amp;sourceID=14","0.000972")</f>
        <v>0.000972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HYPERLINK("http://141.218.60.56/~jnz1568/getInfo.php?workbook=10_05.xlsx&amp;sheet=U0&amp;row=2642&amp;col=6&amp;number=4.8&amp;sourceID=14","4.8")</f>
        <v>4.8</v>
      </c>
      <c r="G2642" s="4" t="str">
        <f>HYPERLINK("http://141.218.60.56/~jnz1568/getInfo.php?workbook=10_05.xlsx&amp;sheet=U0&amp;row=2642&amp;col=7&amp;number=0.000866&amp;sourceID=14","0.000866")</f>
        <v>0.000866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HYPERLINK("http://141.218.60.56/~jnz1568/getInfo.php?workbook=10_05.xlsx&amp;sheet=U0&amp;row=2643&amp;col=6&amp;number=4.9&amp;sourceID=14","4.9")</f>
        <v>4.9</v>
      </c>
      <c r="G2643" s="4" t="str">
        <f>HYPERLINK("http://141.218.60.56/~jnz1568/getInfo.php?workbook=10_05.xlsx&amp;sheet=U0&amp;row=2643&amp;col=7&amp;number=0.000771&amp;sourceID=14","0.000771")</f>
        <v>0.000771</v>
      </c>
    </row>
    <row r="2644" spans="1:7">
      <c r="A2644" s="3">
        <v>10</v>
      </c>
      <c r="B2644" s="3">
        <v>5</v>
      </c>
      <c r="C2644" s="3">
        <v>1</v>
      </c>
      <c r="D2644" s="3">
        <v>134</v>
      </c>
      <c r="E2644" s="3">
        <v>1</v>
      </c>
      <c r="F2644" s="4" t="str">
        <f>HYPERLINK("http://141.218.60.56/~jnz1568/getInfo.php?workbook=10_05.xlsx&amp;sheet=U0&amp;row=2644&amp;col=6&amp;number=3&amp;sourceID=14","3")</f>
        <v>3</v>
      </c>
      <c r="G2644" s="4" t="str">
        <f>HYPERLINK("http://141.218.60.56/~jnz1568/getInfo.php?workbook=10_05.xlsx&amp;sheet=U0&amp;row=2644&amp;col=7&amp;number=0.00587&amp;sourceID=14","0.00587")</f>
        <v>0.00587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HYPERLINK("http://141.218.60.56/~jnz1568/getInfo.php?workbook=10_05.xlsx&amp;sheet=U0&amp;row=2645&amp;col=6&amp;number=3.1&amp;sourceID=14","3.1")</f>
        <v>3.1</v>
      </c>
      <c r="G2645" s="4" t="str">
        <f>HYPERLINK("http://141.218.60.56/~jnz1568/getInfo.php?workbook=10_05.xlsx&amp;sheet=U0&amp;row=2645&amp;col=7&amp;number=0.00586&amp;sourceID=14","0.00586")</f>
        <v>0.00586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HYPERLINK("http://141.218.60.56/~jnz1568/getInfo.php?workbook=10_05.xlsx&amp;sheet=U0&amp;row=2646&amp;col=6&amp;number=3.2&amp;sourceID=14","3.2")</f>
        <v>3.2</v>
      </c>
      <c r="G2646" s="4" t="str">
        <f>HYPERLINK("http://141.218.60.56/~jnz1568/getInfo.php?workbook=10_05.xlsx&amp;sheet=U0&amp;row=2646&amp;col=7&amp;number=0.00586&amp;sourceID=14","0.00586")</f>
        <v>0.00586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HYPERLINK("http://141.218.60.56/~jnz1568/getInfo.php?workbook=10_05.xlsx&amp;sheet=U0&amp;row=2647&amp;col=6&amp;number=3.3&amp;sourceID=14","3.3")</f>
        <v>3.3</v>
      </c>
      <c r="G2647" s="4" t="str">
        <f>HYPERLINK("http://141.218.60.56/~jnz1568/getInfo.php?workbook=10_05.xlsx&amp;sheet=U0&amp;row=2647&amp;col=7&amp;number=0.00585&amp;sourceID=14","0.00585")</f>
        <v>0.00585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HYPERLINK("http://141.218.60.56/~jnz1568/getInfo.php?workbook=10_05.xlsx&amp;sheet=U0&amp;row=2648&amp;col=6&amp;number=3.4&amp;sourceID=14","3.4")</f>
        <v>3.4</v>
      </c>
      <c r="G2648" s="4" t="str">
        <f>HYPERLINK("http://141.218.60.56/~jnz1568/getInfo.php?workbook=10_05.xlsx&amp;sheet=U0&amp;row=2648&amp;col=7&amp;number=0.00584&amp;sourceID=14","0.00584")</f>
        <v>0.00584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HYPERLINK("http://141.218.60.56/~jnz1568/getInfo.php?workbook=10_05.xlsx&amp;sheet=U0&amp;row=2649&amp;col=6&amp;number=3.5&amp;sourceID=14","3.5")</f>
        <v>3.5</v>
      </c>
      <c r="G2649" s="4" t="str">
        <f>HYPERLINK("http://141.218.60.56/~jnz1568/getInfo.php?workbook=10_05.xlsx&amp;sheet=U0&amp;row=2649&amp;col=7&amp;number=0.00583&amp;sourceID=14","0.00583")</f>
        <v>0.00583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HYPERLINK("http://141.218.60.56/~jnz1568/getInfo.php?workbook=10_05.xlsx&amp;sheet=U0&amp;row=2650&amp;col=6&amp;number=3.6&amp;sourceID=14","3.6")</f>
        <v>3.6</v>
      </c>
      <c r="G2650" s="4" t="str">
        <f>HYPERLINK("http://141.218.60.56/~jnz1568/getInfo.php?workbook=10_05.xlsx&amp;sheet=U0&amp;row=2650&amp;col=7&amp;number=0.00581&amp;sourceID=14","0.00581")</f>
        <v>0.00581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HYPERLINK("http://141.218.60.56/~jnz1568/getInfo.php?workbook=10_05.xlsx&amp;sheet=U0&amp;row=2651&amp;col=6&amp;number=3.7&amp;sourceID=14","3.7")</f>
        <v>3.7</v>
      </c>
      <c r="G2651" s="4" t="str">
        <f>HYPERLINK("http://141.218.60.56/~jnz1568/getInfo.php?workbook=10_05.xlsx&amp;sheet=U0&amp;row=2651&amp;col=7&amp;number=0.00579&amp;sourceID=14","0.00579")</f>
        <v>0.00579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HYPERLINK("http://141.218.60.56/~jnz1568/getInfo.php?workbook=10_05.xlsx&amp;sheet=U0&amp;row=2652&amp;col=6&amp;number=3.8&amp;sourceID=14","3.8")</f>
        <v>3.8</v>
      </c>
      <c r="G2652" s="4" t="str">
        <f>HYPERLINK("http://141.218.60.56/~jnz1568/getInfo.php?workbook=10_05.xlsx&amp;sheet=U0&amp;row=2652&amp;col=7&amp;number=0.00576&amp;sourceID=14","0.00576")</f>
        <v>0.00576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HYPERLINK("http://141.218.60.56/~jnz1568/getInfo.php?workbook=10_05.xlsx&amp;sheet=U0&amp;row=2653&amp;col=6&amp;number=3.9&amp;sourceID=14","3.9")</f>
        <v>3.9</v>
      </c>
      <c r="G2653" s="4" t="str">
        <f>HYPERLINK("http://141.218.60.56/~jnz1568/getInfo.php?workbook=10_05.xlsx&amp;sheet=U0&amp;row=2653&amp;col=7&amp;number=0.00573&amp;sourceID=14","0.00573")</f>
        <v>0.00573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HYPERLINK("http://141.218.60.56/~jnz1568/getInfo.php?workbook=10_05.xlsx&amp;sheet=U0&amp;row=2654&amp;col=6&amp;number=4&amp;sourceID=14","4")</f>
        <v>4</v>
      </c>
      <c r="G2654" s="4" t="str">
        <f>HYPERLINK("http://141.218.60.56/~jnz1568/getInfo.php?workbook=10_05.xlsx&amp;sheet=U0&amp;row=2654&amp;col=7&amp;number=0.0057&amp;sourceID=14","0.0057")</f>
        <v>0.0057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HYPERLINK("http://141.218.60.56/~jnz1568/getInfo.php?workbook=10_05.xlsx&amp;sheet=U0&amp;row=2655&amp;col=6&amp;number=4.1&amp;sourceID=14","4.1")</f>
        <v>4.1</v>
      </c>
      <c r="G2655" s="4" t="str">
        <f>HYPERLINK("http://141.218.60.56/~jnz1568/getInfo.php?workbook=10_05.xlsx&amp;sheet=U0&amp;row=2655&amp;col=7&amp;number=0.00565&amp;sourceID=14","0.00565")</f>
        <v>0.00565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HYPERLINK("http://141.218.60.56/~jnz1568/getInfo.php?workbook=10_05.xlsx&amp;sheet=U0&amp;row=2656&amp;col=6&amp;number=4.2&amp;sourceID=14","4.2")</f>
        <v>4.2</v>
      </c>
      <c r="G2656" s="4" t="str">
        <f>HYPERLINK("http://141.218.60.56/~jnz1568/getInfo.php?workbook=10_05.xlsx&amp;sheet=U0&amp;row=2656&amp;col=7&amp;number=0.0056&amp;sourceID=14","0.0056")</f>
        <v>0.0056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HYPERLINK("http://141.218.60.56/~jnz1568/getInfo.php?workbook=10_05.xlsx&amp;sheet=U0&amp;row=2657&amp;col=6&amp;number=4.3&amp;sourceID=14","4.3")</f>
        <v>4.3</v>
      </c>
      <c r="G2657" s="4" t="str">
        <f>HYPERLINK("http://141.218.60.56/~jnz1568/getInfo.php?workbook=10_05.xlsx&amp;sheet=U0&amp;row=2657&amp;col=7&amp;number=0.00555&amp;sourceID=14","0.00555")</f>
        <v>0.00555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HYPERLINK("http://141.218.60.56/~jnz1568/getInfo.php?workbook=10_05.xlsx&amp;sheet=U0&amp;row=2658&amp;col=6&amp;number=4.4&amp;sourceID=14","4.4")</f>
        <v>4.4</v>
      </c>
      <c r="G2658" s="4" t="str">
        <f>HYPERLINK("http://141.218.60.56/~jnz1568/getInfo.php?workbook=10_05.xlsx&amp;sheet=U0&amp;row=2658&amp;col=7&amp;number=0.0055&amp;sourceID=14","0.0055")</f>
        <v>0.0055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HYPERLINK("http://141.218.60.56/~jnz1568/getInfo.php?workbook=10_05.xlsx&amp;sheet=U0&amp;row=2659&amp;col=6&amp;number=4.5&amp;sourceID=14","4.5")</f>
        <v>4.5</v>
      </c>
      <c r="G2659" s="4" t="str">
        <f>HYPERLINK("http://141.218.60.56/~jnz1568/getInfo.php?workbook=10_05.xlsx&amp;sheet=U0&amp;row=2659&amp;col=7&amp;number=0.00545&amp;sourceID=14","0.00545")</f>
        <v>0.00545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HYPERLINK("http://141.218.60.56/~jnz1568/getInfo.php?workbook=10_05.xlsx&amp;sheet=U0&amp;row=2660&amp;col=6&amp;number=4.6&amp;sourceID=14","4.6")</f>
        <v>4.6</v>
      </c>
      <c r="G2660" s="4" t="str">
        <f>HYPERLINK("http://141.218.60.56/~jnz1568/getInfo.php?workbook=10_05.xlsx&amp;sheet=U0&amp;row=2660&amp;col=7&amp;number=0.0054&amp;sourceID=14","0.0054")</f>
        <v>0.0054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HYPERLINK("http://141.218.60.56/~jnz1568/getInfo.php?workbook=10_05.xlsx&amp;sheet=U0&amp;row=2661&amp;col=6&amp;number=4.7&amp;sourceID=14","4.7")</f>
        <v>4.7</v>
      </c>
      <c r="G2661" s="4" t="str">
        <f>HYPERLINK("http://141.218.60.56/~jnz1568/getInfo.php?workbook=10_05.xlsx&amp;sheet=U0&amp;row=2661&amp;col=7&amp;number=0.00536&amp;sourceID=14","0.00536")</f>
        <v>0.00536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HYPERLINK("http://141.218.60.56/~jnz1568/getInfo.php?workbook=10_05.xlsx&amp;sheet=U0&amp;row=2662&amp;col=6&amp;number=4.8&amp;sourceID=14","4.8")</f>
        <v>4.8</v>
      </c>
      <c r="G2662" s="4" t="str">
        <f>HYPERLINK("http://141.218.60.56/~jnz1568/getInfo.php?workbook=10_05.xlsx&amp;sheet=U0&amp;row=2662&amp;col=7&amp;number=0.00531&amp;sourceID=14","0.00531")</f>
        <v>0.00531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HYPERLINK("http://141.218.60.56/~jnz1568/getInfo.php?workbook=10_05.xlsx&amp;sheet=U0&amp;row=2663&amp;col=6&amp;number=4.9&amp;sourceID=14","4.9")</f>
        <v>4.9</v>
      </c>
      <c r="G2663" s="4" t="str">
        <f>HYPERLINK("http://141.218.60.56/~jnz1568/getInfo.php?workbook=10_05.xlsx&amp;sheet=U0&amp;row=2663&amp;col=7&amp;number=0.00526&amp;sourceID=14","0.00526")</f>
        <v>0.00526</v>
      </c>
    </row>
    <row r="2664" spans="1:7">
      <c r="A2664" s="3">
        <v>10</v>
      </c>
      <c r="B2664" s="3">
        <v>5</v>
      </c>
      <c r="C2664" s="3">
        <v>1</v>
      </c>
      <c r="D2664" s="3">
        <v>135</v>
      </c>
      <c r="E2664" s="3">
        <v>1</v>
      </c>
      <c r="F2664" s="4" t="str">
        <f>HYPERLINK("http://141.218.60.56/~jnz1568/getInfo.php?workbook=10_05.xlsx&amp;sheet=U0&amp;row=2664&amp;col=6&amp;number=3&amp;sourceID=14","3")</f>
        <v>3</v>
      </c>
      <c r="G2664" s="4" t="str">
        <f>HYPERLINK("http://141.218.60.56/~jnz1568/getInfo.php?workbook=10_05.xlsx&amp;sheet=U0&amp;row=2664&amp;col=7&amp;number=0.00729&amp;sourceID=14","0.00729")</f>
        <v>0.00729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HYPERLINK("http://141.218.60.56/~jnz1568/getInfo.php?workbook=10_05.xlsx&amp;sheet=U0&amp;row=2665&amp;col=6&amp;number=3.1&amp;sourceID=14","3.1")</f>
        <v>3.1</v>
      </c>
      <c r="G2665" s="4" t="str">
        <f>HYPERLINK("http://141.218.60.56/~jnz1568/getInfo.php?workbook=10_05.xlsx&amp;sheet=U0&amp;row=2665&amp;col=7&amp;number=0.00728&amp;sourceID=14","0.00728")</f>
        <v>0.00728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HYPERLINK("http://141.218.60.56/~jnz1568/getInfo.php?workbook=10_05.xlsx&amp;sheet=U0&amp;row=2666&amp;col=6&amp;number=3.2&amp;sourceID=14","3.2")</f>
        <v>3.2</v>
      </c>
      <c r="G2666" s="4" t="str">
        <f>HYPERLINK("http://141.218.60.56/~jnz1568/getInfo.php?workbook=10_05.xlsx&amp;sheet=U0&amp;row=2666&amp;col=7&amp;number=0.00726&amp;sourceID=14","0.00726")</f>
        <v>0.00726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HYPERLINK("http://141.218.60.56/~jnz1568/getInfo.php?workbook=10_05.xlsx&amp;sheet=U0&amp;row=2667&amp;col=6&amp;number=3.3&amp;sourceID=14","3.3")</f>
        <v>3.3</v>
      </c>
      <c r="G2667" s="4" t="str">
        <f>HYPERLINK("http://141.218.60.56/~jnz1568/getInfo.php?workbook=10_05.xlsx&amp;sheet=U0&amp;row=2667&amp;col=7&amp;number=0.00725&amp;sourceID=14","0.00725")</f>
        <v>0.00725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HYPERLINK("http://141.218.60.56/~jnz1568/getInfo.php?workbook=10_05.xlsx&amp;sheet=U0&amp;row=2668&amp;col=6&amp;number=3.4&amp;sourceID=14","3.4")</f>
        <v>3.4</v>
      </c>
      <c r="G2668" s="4" t="str">
        <f>HYPERLINK("http://141.218.60.56/~jnz1568/getInfo.php?workbook=10_05.xlsx&amp;sheet=U0&amp;row=2668&amp;col=7&amp;number=0.00723&amp;sourceID=14","0.00723")</f>
        <v>0.00723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HYPERLINK("http://141.218.60.56/~jnz1568/getInfo.php?workbook=10_05.xlsx&amp;sheet=U0&amp;row=2669&amp;col=6&amp;number=3.5&amp;sourceID=14","3.5")</f>
        <v>3.5</v>
      </c>
      <c r="G2669" s="4" t="str">
        <f>HYPERLINK("http://141.218.60.56/~jnz1568/getInfo.php?workbook=10_05.xlsx&amp;sheet=U0&amp;row=2669&amp;col=7&amp;number=0.00721&amp;sourceID=14","0.00721")</f>
        <v>0.00721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HYPERLINK("http://141.218.60.56/~jnz1568/getInfo.php?workbook=10_05.xlsx&amp;sheet=U0&amp;row=2670&amp;col=6&amp;number=3.6&amp;sourceID=14","3.6")</f>
        <v>3.6</v>
      </c>
      <c r="G2670" s="4" t="str">
        <f>HYPERLINK("http://141.218.60.56/~jnz1568/getInfo.php?workbook=10_05.xlsx&amp;sheet=U0&amp;row=2670&amp;col=7&amp;number=0.00718&amp;sourceID=14","0.00718")</f>
        <v>0.00718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HYPERLINK("http://141.218.60.56/~jnz1568/getInfo.php?workbook=10_05.xlsx&amp;sheet=U0&amp;row=2671&amp;col=6&amp;number=3.7&amp;sourceID=14","3.7")</f>
        <v>3.7</v>
      </c>
      <c r="G2671" s="4" t="str">
        <f>HYPERLINK("http://141.218.60.56/~jnz1568/getInfo.php?workbook=10_05.xlsx&amp;sheet=U0&amp;row=2671&amp;col=7&amp;number=0.00714&amp;sourceID=14","0.00714")</f>
        <v>0.00714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HYPERLINK("http://141.218.60.56/~jnz1568/getInfo.php?workbook=10_05.xlsx&amp;sheet=U0&amp;row=2672&amp;col=6&amp;number=3.8&amp;sourceID=14","3.8")</f>
        <v>3.8</v>
      </c>
      <c r="G2672" s="4" t="str">
        <f>HYPERLINK("http://141.218.60.56/~jnz1568/getInfo.php?workbook=10_05.xlsx&amp;sheet=U0&amp;row=2672&amp;col=7&amp;number=0.0071&amp;sourceID=14","0.0071")</f>
        <v>0.0071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HYPERLINK("http://141.218.60.56/~jnz1568/getInfo.php?workbook=10_05.xlsx&amp;sheet=U0&amp;row=2673&amp;col=6&amp;number=3.9&amp;sourceID=14","3.9")</f>
        <v>3.9</v>
      </c>
      <c r="G2673" s="4" t="str">
        <f>HYPERLINK("http://141.218.60.56/~jnz1568/getInfo.php?workbook=10_05.xlsx&amp;sheet=U0&amp;row=2673&amp;col=7&amp;number=0.00704&amp;sourceID=14","0.00704")</f>
        <v>0.00704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HYPERLINK("http://141.218.60.56/~jnz1568/getInfo.php?workbook=10_05.xlsx&amp;sheet=U0&amp;row=2674&amp;col=6&amp;number=4&amp;sourceID=14","4")</f>
        <v>4</v>
      </c>
      <c r="G2674" s="4" t="str">
        <f>HYPERLINK("http://141.218.60.56/~jnz1568/getInfo.php?workbook=10_05.xlsx&amp;sheet=U0&amp;row=2674&amp;col=7&amp;number=0.00698&amp;sourceID=14","0.00698")</f>
        <v>0.00698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HYPERLINK("http://141.218.60.56/~jnz1568/getInfo.php?workbook=10_05.xlsx&amp;sheet=U0&amp;row=2675&amp;col=6&amp;number=4.1&amp;sourceID=14","4.1")</f>
        <v>4.1</v>
      </c>
      <c r="G2675" s="4" t="str">
        <f>HYPERLINK("http://141.218.60.56/~jnz1568/getInfo.php?workbook=10_05.xlsx&amp;sheet=U0&amp;row=2675&amp;col=7&amp;number=0.0069&amp;sourceID=14","0.0069")</f>
        <v>0.0069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HYPERLINK("http://141.218.60.56/~jnz1568/getInfo.php?workbook=10_05.xlsx&amp;sheet=U0&amp;row=2676&amp;col=6&amp;number=4.2&amp;sourceID=14","4.2")</f>
        <v>4.2</v>
      </c>
      <c r="G2676" s="4" t="str">
        <f>HYPERLINK("http://141.218.60.56/~jnz1568/getInfo.php?workbook=10_05.xlsx&amp;sheet=U0&amp;row=2676&amp;col=7&amp;number=0.00681&amp;sourceID=14","0.00681")</f>
        <v>0.00681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HYPERLINK("http://141.218.60.56/~jnz1568/getInfo.php?workbook=10_05.xlsx&amp;sheet=U0&amp;row=2677&amp;col=6&amp;number=4.3&amp;sourceID=14","4.3")</f>
        <v>4.3</v>
      </c>
      <c r="G2677" s="4" t="str">
        <f>HYPERLINK("http://141.218.60.56/~jnz1568/getInfo.php?workbook=10_05.xlsx&amp;sheet=U0&amp;row=2677&amp;col=7&amp;number=0.00672&amp;sourceID=14","0.00672")</f>
        <v>0.00672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HYPERLINK("http://141.218.60.56/~jnz1568/getInfo.php?workbook=10_05.xlsx&amp;sheet=U0&amp;row=2678&amp;col=6&amp;number=4.4&amp;sourceID=14","4.4")</f>
        <v>4.4</v>
      </c>
      <c r="G2678" s="4" t="str">
        <f>HYPERLINK("http://141.218.60.56/~jnz1568/getInfo.php?workbook=10_05.xlsx&amp;sheet=U0&amp;row=2678&amp;col=7&amp;number=0.00664&amp;sourceID=14","0.00664")</f>
        <v>0.00664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HYPERLINK("http://141.218.60.56/~jnz1568/getInfo.php?workbook=10_05.xlsx&amp;sheet=U0&amp;row=2679&amp;col=6&amp;number=4.5&amp;sourceID=14","4.5")</f>
        <v>4.5</v>
      </c>
      <c r="G2679" s="4" t="str">
        <f>HYPERLINK("http://141.218.60.56/~jnz1568/getInfo.php?workbook=10_05.xlsx&amp;sheet=U0&amp;row=2679&amp;col=7&amp;number=0.00657&amp;sourceID=14","0.00657")</f>
        <v>0.00657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HYPERLINK("http://141.218.60.56/~jnz1568/getInfo.php?workbook=10_05.xlsx&amp;sheet=U0&amp;row=2680&amp;col=6&amp;number=4.6&amp;sourceID=14","4.6")</f>
        <v>4.6</v>
      </c>
      <c r="G2680" s="4" t="str">
        <f>HYPERLINK("http://141.218.60.56/~jnz1568/getInfo.php?workbook=10_05.xlsx&amp;sheet=U0&amp;row=2680&amp;col=7&amp;number=0.00651&amp;sourceID=14","0.00651")</f>
        <v>0.00651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HYPERLINK("http://141.218.60.56/~jnz1568/getInfo.php?workbook=10_05.xlsx&amp;sheet=U0&amp;row=2681&amp;col=6&amp;number=4.7&amp;sourceID=14","4.7")</f>
        <v>4.7</v>
      </c>
      <c r="G2681" s="4" t="str">
        <f>HYPERLINK("http://141.218.60.56/~jnz1568/getInfo.php?workbook=10_05.xlsx&amp;sheet=U0&amp;row=2681&amp;col=7&amp;number=0.00647&amp;sourceID=14","0.00647")</f>
        <v>0.00647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HYPERLINK("http://141.218.60.56/~jnz1568/getInfo.php?workbook=10_05.xlsx&amp;sheet=U0&amp;row=2682&amp;col=6&amp;number=4.8&amp;sourceID=14","4.8")</f>
        <v>4.8</v>
      </c>
      <c r="G2682" s="4" t="str">
        <f>HYPERLINK("http://141.218.60.56/~jnz1568/getInfo.php?workbook=10_05.xlsx&amp;sheet=U0&amp;row=2682&amp;col=7&amp;number=0.00641&amp;sourceID=14","0.00641")</f>
        <v>0.00641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HYPERLINK("http://141.218.60.56/~jnz1568/getInfo.php?workbook=10_05.xlsx&amp;sheet=U0&amp;row=2683&amp;col=6&amp;number=4.9&amp;sourceID=14","4.9")</f>
        <v>4.9</v>
      </c>
      <c r="G2683" s="4" t="str">
        <f>HYPERLINK("http://141.218.60.56/~jnz1568/getInfo.php?workbook=10_05.xlsx&amp;sheet=U0&amp;row=2683&amp;col=7&amp;number=0.00633&amp;sourceID=14","0.00633")</f>
        <v>0.00633</v>
      </c>
    </row>
    <row r="2684" spans="1:7">
      <c r="A2684" s="3">
        <v>10</v>
      </c>
      <c r="B2684" s="3">
        <v>5</v>
      </c>
      <c r="C2684" s="3">
        <v>1</v>
      </c>
      <c r="D2684" s="3">
        <v>136</v>
      </c>
      <c r="E2684" s="3">
        <v>1</v>
      </c>
      <c r="F2684" s="4" t="str">
        <f>HYPERLINK("http://141.218.60.56/~jnz1568/getInfo.php?workbook=10_05.xlsx&amp;sheet=U0&amp;row=2684&amp;col=6&amp;number=3&amp;sourceID=14","3")</f>
        <v>3</v>
      </c>
      <c r="G2684" s="4" t="str">
        <f>HYPERLINK("http://141.218.60.56/~jnz1568/getInfo.php?workbook=10_05.xlsx&amp;sheet=U0&amp;row=2684&amp;col=7&amp;number=0.00589&amp;sourceID=14","0.00589")</f>
        <v>0.00589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HYPERLINK("http://141.218.60.56/~jnz1568/getInfo.php?workbook=10_05.xlsx&amp;sheet=U0&amp;row=2685&amp;col=6&amp;number=3.1&amp;sourceID=14","3.1")</f>
        <v>3.1</v>
      </c>
      <c r="G2685" s="4" t="str">
        <f>HYPERLINK("http://141.218.60.56/~jnz1568/getInfo.php?workbook=10_05.xlsx&amp;sheet=U0&amp;row=2685&amp;col=7&amp;number=0.00589&amp;sourceID=14","0.00589")</f>
        <v>0.00589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HYPERLINK("http://141.218.60.56/~jnz1568/getInfo.php?workbook=10_05.xlsx&amp;sheet=U0&amp;row=2686&amp;col=6&amp;number=3.2&amp;sourceID=14","3.2")</f>
        <v>3.2</v>
      </c>
      <c r="G2686" s="4" t="str">
        <f>HYPERLINK("http://141.218.60.56/~jnz1568/getInfo.php?workbook=10_05.xlsx&amp;sheet=U0&amp;row=2686&amp;col=7&amp;number=0.00588&amp;sourceID=14","0.00588")</f>
        <v>0.00588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HYPERLINK("http://141.218.60.56/~jnz1568/getInfo.php?workbook=10_05.xlsx&amp;sheet=U0&amp;row=2687&amp;col=6&amp;number=3.3&amp;sourceID=14","3.3")</f>
        <v>3.3</v>
      </c>
      <c r="G2687" s="4" t="str">
        <f>HYPERLINK("http://141.218.60.56/~jnz1568/getInfo.php?workbook=10_05.xlsx&amp;sheet=U0&amp;row=2687&amp;col=7&amp;number=0.00587&amp;sourceID=14","0.00587")</f>
        <v>0.00587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HYPERLINK("http://141.218.60.56/~jnz1568/getInfo.php?workbook=10_05.xlsx&amp;sheet=U0&amp;row=2688&amp;col=6&amp;number=3.4&amp;sourceID=14","3.4")</f>
        <v>3.4</v>
      </c>
      <c r="G2688" s="4" t="str">
        <f>HYPERLINK("http://141.218.60.56/~jnz1568/getInfo.php?workbook=10_05.xlsx&amp;sheet=U0&amp;row=2688&amp;col=7&amp;number=0.00586&amp;sourceID=14","0.00586")</f>
        <v>0.00586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HYPERLINK("http://141.218.60.56/~jnz1568/getInfo.php?workbook=10_05.xlsx&amp;sheet=U0&amp;row=2689&amp;col=6&amp;number=3.5&amp;sourceID=14","3.5")</f>
        <v>3.5</v>
      </c>
      <c r="G2689" s="4" t="str">
        <f>HYPERLINK("http://141.218.60.56/~jnz1568/getInfo.php?workbook=10_05.xlsx&amp;sheet=U0&amp;row=2689&amp;col=7&amp;number=0.00585&amp;sourceID=14","0.00585")</f>
        <v>0.00585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HYPERLINK("http://141.218.60.56/~jnz1568/getInfo.php?workbook=10_05.xlsx&amp;sheet=U0&amp;row=2690&amp;col=6&amp;number=3.6&amp;sourceID=14","3.6")</f>
        <v>3.6</v>
      </c>
      <c r="G2690" s="4" t="str">
        <f>HYPERLINK("http://141.218.60.56/~jnz1568/getInfo.php?workbook=10_05.xlsx&amp;sheet=U0&amp;row=2690&amp;col=7&amp;number=0.00583&amp;sourceID=14","0.00583")</f>
        <v>0.00583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HYPERLINK("http://141.218.60.56/~jnz1568/getInfo.php?workbook=10_05.xlsx&amp;sheet=U0&amp;row=2691&amp;col=6&amp;number=3.7&amp;sourceID=14","3.7")</f>
        <v>3.7</v>
      </c>
      <c r="G2691" s="4" t="str">
        <f>HYPERLINK("http://141.218.60.56/~jnz1568/getInfo.php?workbook=10_05.xlsx&amp;sheet=U0&amp;row=2691&amp;col=7&amp;number=0.00581&amp;sourceID=14","0.00581")</f>
        <v>0.00581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HYPERLINK("http://141.218.60.56/~jnz1568/getInfo.php?workbook=10_05.xlsx&amp;sheet=U0&amp;row=2692&amp;col=6&amp;number=3.8&amp;sourceID=14","3.8")</f>
        <v>3.8</v>
      </c>
      <c r="G2692" s="4" t="str">
        <f>HYPERLINK("http://141.218.60.56/~jnz1568/getInfo.php?workbook=10_05.xlsx&amp;sheet=U0&amp;row=2692&amp;col=7&amp;number=0.00579&amp;sourceID=14","0.00579")</f>
        <v>0.00579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HYPERLINK("http://141.218.60.56/~jnz1568/getInfo.php?workbook=10_05.xlsx&amp;sheet=U0&amp;row=2693&amp;col=6&amp;number=3.9&amp;sourceID=14","3.9")</f>
        <v>3.9</v>
      </c>
      <c r="G2693" s="4" t="str">
        <f>HYPERLINK("http://141.218.60.56/~jnz1568/getInfo.php?workbook=10_05.xlsx&amp;sheet=U0&amp;row=2693&amp;col=7&amp;number=0.00575&amp;sourceID=14","0.00575")</f>
        <v>0.00575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HYPERLINK("http://141.218.60.56/~jnz1568/getInfo.php?workbook=10_05.xlsx&amp;sheet=U0&amp;row=2694&amp;col=6&amp;number=4&amp;sourceID=14","4")</f>
        <v>4</v>
      </c>
      <c r="G2694" s="4" t="str">
        <f>HYPERLINK("http://141.218.60.56/~jnz1568/getInfo.php?workbook=10_05.xlsx&amp;sheet=U0&amp;row=2694&amp;col=7&amp;number=0.00572&amp;sourceID=14","0.00572")</f>
        <v>0.00572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HYPERLINK("http://141.218.60.56/~jnz1568/getInfo.php?workbook=10_05.xlsx&amp;sheet=U0&amp;row=2695&amp;col=6&amp;number=4.1&amp;sourceID=14","4.1")</f>
        <v>4.1</v>
      </c>
      <c r="G2695" s="4" t="str">
        <f>HYPERLINK("http://141.218.60.56/~jnz1568/getInfo.php?workbook=10_05.xlsx&amp;sheet=U0&amp;row=2695&amp;col=7&amp;number=0.00567&amp;sourceID=14","0.00567")</f>
        <v>0.00567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HYPERLINK("http://141.218.60.56/~jnz1568/getInfo.php?workbook=10_05.xlsx&amp;sheet=U0&amp;row=2696&amp;col=6&amp;number=4.2&amp;sourceID=14","4.2")</f>
        <v>4.2</v>
      </c>
      <c r="G2696" s="4" t="str">
        <f>HYPERLINK("http://141.218.60.56/~jnz1568/getInfo.php?workbook=10_05.xlsx&amp;sheet=U0&amp;row=2696&amp;col=7&amp;number=0.00562&amp;sourceID=14","0.00562")</f>
        <v>0.00562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HYPERLINK("http://141.218.60.56/~jnz1568/getInfo.php?workbook=10_05.xlsx&amp;sheet=U0&amp;row=2697&amp;col=6&amp;number=4.3&amp;sourceID=14","4.3")</f>
        <v>4.3</v>
      </c>
      <c r="G2697" s="4" t="str">
        <f>HYPERLINK("http://141.218.60.56/~jnz1568/getInfo.php?workbook=10_05.xlsx&amp;sheet=U0&amp;row=2697&amp;col=7&amp;number=0.00556&amp;sourceID=14","0.00556")</f>
        <v>0.00556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HYPERLINK("http://141.218.60.56/~jnz1568/getInfo.php?workbook=10_05.xlsx&amp;sheet=U0&amp;row=2698&amp;col=6&amp;number=4.4&amp;sourceID=14","4.4")</f>
        <v>4.4</v>
      </c>
      <c r="G2698" s="4" t="str">
        <f>HYPERLINK("http://141.218.60.56/~jnz1568/getInfo.php?workbook=10_05.xlsx&amp;sheet=U0&amp;row=2698&amp;col=7&amp;number=0.00549&amp;sourceID=14","0.00549")</f>
        <v>0.00549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HYPERLINK("http://141.218.60.56/~jnz1568/getInfo.php?workbook=10_05.xlsx&amp;sheet=U0&amp;row=2699&amp;col=6&amp;number=4.5&amp;sourceID=14","4.5")</f>
        <v>4.5</v>
      </c>
      <c r="G2699" s="4" t="str">
        <f>HYPERLINK("http://141.218.60.56/~jnz1568/getInfo.php?workbook=10_05.xlsx&amp;sheet=U0&amp;row=2699&amp;col=7&amp;number=0.00542&amp;sourceID=14","0.00542")</f>
        <v>0.00542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HYPERLINK("http://141.218.60.56/~jnz1568/getInfo.php?workbook=10_05.xlsx&amp;sheet=U0&amp;row=2700&amp;col=6&amp;number=4.6&amp;sourceID=14","4.6")</f>
        <v>4.6</v>
      </c>
      <c r="G2700" s="4" t="str">
        <f>HYPERLINK("http://141.218.60.56/~jnz1568/getInfo.php?workbook=10_05.xlsx&amp;sheet=U0&amp;row=2700&amp;col=7&amp;number=0.00536&amp;sourceID=14","0.00536")</f>
        <v>0.00536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HYPERLINK("http://141.218.60.56/~jnz1568/getInfo.php?workbook=10_05.xlsx&amp;sheet=U0&amp;row=2701&amp;col=6&amp;number=4.7&amp;sourceID=14","4.7")</f>
        <v>4.7</v>
      </c>
      <c r="G2701" s="4" t="str">
        <f>HYPERLINK("http://141.218.60.56/~jnz1568/getInfo.php?workbook=10_05.xlsx&amp;sheet=U0&amp;row=2701&amp;col=7&amp;number=0.00529&amp;sourceID=14","0.00529")</f>
        <v>0.00529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HYPERLINK("http://141.218.60.56/~jnz1568/getInfo.php?workbook=10_05.xlsx&amp;sheet=U0&amp;row=2702&amp;col=6&amp;number=4.8&amp;sourceID=14","4.8")</f>
        <v>4.8</v>
      </c>
      <c r="G2702" s="4" t="str">
        <f>HYPERLINK("http://141.218.60.56/~jnz1568/getInfo.php?workbook=10_05.xlsx&amp;sheet=U0&amp;row=2702&amp;col=7&amp;number=0.00523&amp;sourceID=14","0.00523")</f>
        <v>0.00523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HYPERLINK("http://141.218.60.56/~jnz1568/getInfo.php?workbook=10_05.xlsx&amp;sheet=U0&amp;row=2703&amp;col=6&amp;number=4.9&amp;sourceID=14","4.9")</f>
        <v>4.9</v>
      </c>
      <c r="G2703" s="4" t="str">
        <f>HYPERLINK("http://141.218.60.56/~jnz1568/getInfo.php?workbook=10_05.xlsx&amp;sheet=U0&amp;row=2703&amp;col=7&amp;number=0.00517&amp;sourceID=14","0.00517")</f>
        <v>0.00517</v>
      </c>
    </row>
    <row r="2704" spans="1:7">
      <c r="A2704" s="3">
        <v>10</v>
      </c>
      <c r="B2704" s="3">
        <v>5</v>
      </c>
      <c r="C2704" s="3">
        <v>1</v>
      </c>
      <c r="D2704" s="3">
        <v>137</v>
      </c>
      <c r="E2704" s="3">
        <v>1</v>
      </c>
      <c r="F2704" s="4" t="str">
        <f>HYPERLINK("http://141.218.60.56/~jnz1568/getInfo.php?workbook=10_05.xlsx&amp;sheet=U0&amp;row=2704&amp;col=6&amp;number=3&amp;sourceID=14","3")</f>
        <v>3</v>
      </c>
      <c r="G2704" s="4" t="str">
        <f>HYPERLINK("http://141.218.60.56/~jnz1568/getInfo.php?workbook=10_05.xlsx&amp;sheet=U0&amp;row=2704&amp;col=7&amp;number=0.00117&amp;sourceID=14","0.00117")</f>
        <v>0.00117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HYPERLINK("http://141.218.60.56/~jnz1568/getInfo.php?workbook=10_05.xlsx&amp;sheet=U0&amp;row=2705&amp;col=6&amp;number=3.1&amp;sourceID=14","3.1")</f>
        <v>3.1</v>
      </c>
      <c r="G2705" s="4" t="str">
        <f>HYPERLINK("http://141.218.60.56/~jnz1568/getInfo.php?workbook=10_05.xlsx&amp;sheet=U0&amp;row=2705&amp;col=7&amp;number=0.00115&amp;sourceID=14","0.00115")</f>
        <v>0.00115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HYPERLINK("http://141.218.60.56/~jnz1568/getInfo.php?workbook=10_05.xlsx&amp;sheet=U0&amp;row=2706&amp;col=6&amp;number=3.2&amp;sourceID=14","3.2")</f>
        <v>3.2</v>
      </c>
      <c r="G2706" s="4" t="str">
        <f>HYPERLINK("http://141.218.60.56/~jnz1568/getInfo.php?workbook=10_05.xlsx&amp;sheet=U0&amp;row=2706&amp;col=7&amp;number=0.00113&amp;sourceID=14","0.00113")</f>
        <v>0.00113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HYPERLINK("http://141.218.60.56/~jnz1568/getInfo.php?workbook=10_05.xlsx&amp;sheet=U0&amp;row=2707&amp;col=6&amp;number=3.3&amp;sourceID=14","3.3")</f>
        <v>3.3</v>
      </c>
      <c r="G2707" s="4" t="str">
        <f>HYPERLINK("http://141.218.60.56/~jnz1568/getInfo.php?workbook=10_05.xlsx&amp;sheet=U0&amp;row=2707&amp;col=7&amp;number=0.00111&amp;sourceID=14","0.00111")</f>
        <v>0.00111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HYPERLINK("http://141.218.60.56/~jnz1568/getInfo.php?workbook=10_05.xlsx&amp;sheet=U0&amp;row=2708&amp;col=6&amp;number=3.4&amp;sourceID=14","3.4")</f>
        <v>3.4</v>
      </c>
      <c r="G2708" s="4" t="str">
        <f>HYPERLINK("http://141.218.60.56/~jnz1568/getInfo.php?workbook=10_05.xlsx&amp;sheet=U0&amp;row=2708&amp;col=7&amp;number=0.00108&amp;sourceID=14","0.00108")</f>
        <v>0.00108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HYPERLINK("http://141.218.60.56/~jnz1568/getInfo.php?workbook=10_05.xlsx&amp;sheet=U0&amp;row=2709&amp;col=6&amp;number=3.5&amp;sourceID=14","3.5")</f>
        <v>3.5</v>
      </c>
      <c r="G2709" s="4" t="str">
        <f>HYPERLINK("http://141.218.60.56/~jnz1568/getInfo.php?workbook=10_05.xlsx&amp;sheet=U0&amp;row=2709&amp;col=7&amp;number=0.00104&amp;sourceID=14","0.00104")</f>
        <v>0.00104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HYPERLINK("http://141.218.60.56/~jnz1568/getInfo.php?workbook=10_05.xlsx&amp;sheet=U0&amp;row=2710&amp;col=6&amp;number=3.6&amp;sourceID=14","3.6")</f>
        <v>3.6</v>
      </c>
      <c r="G2710" s="4" t="str">
        <f>HYPERLINK("http://141.218.60.56/~jnz1568/getInfo.php?workbook=10_05.xlsx&amp;sheet=U0&amp;row=2710&amp;col=7&amp;number=0.000991&amp;sourceID=14","0.000991")</f>
        <v>0.000991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HYPERLINK("http://141.218.60.56/~jnz1568/getInfo.php?workbook=10_05.xlsx&amp;sheet=U0&amp;row=2711&amp;col=6&amp;number=3.7&amp;sourceID=14","3.7")</f>
        <v>3.7</v>
      </c>
      <c r="G2711" s="4" t="str">
        <f>HYPERLINK("http://141.218.60.56/~jnz1568/getInfo.php?workbook=10_05.xlsx&amp;sheet=U0&amp;row=2711&amp;col=7&amp;number=0.000936&amp;sourceID=14","0.000936")</f>
        <v>0.000936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HYPERLINK("http://141.218.60.56/~jnz1568/getInfo.php?workbook=10_05.xlsx&amp;sheet=U0&amp;row=2712&amp;col=6&amp;number=3.8&amp;sourceID=14","3.8")</f>
        <v>3.8</v>
      </c>
      <c r="G2712" s="4" t="str">
        <f>HYPERLINK("http://141.218.60.56/~jnz1568/getInfo.php?workbook=10_05.xlsx&amp;sheet=U0&amp;row=2712&amp;col=7&amp;number=0.00087&amp;sourceID=14","0.00087")</f>
        <v>0.00087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HYPERLINK("http://141.218.60.56/~jnz1568/getInfo.php?workbook=10_05.xlsx&amp;sheet=U0&amp;row=2713&amp;col=6&amp;number=3.9&amp;sourceID=14","3.9")</f>
        <v>3.9</v>
      </c>
      <c r="G2713" s="4" t="str">
        <f>HYPERLINK("http://141.218.60.56/~jnz1568/getInfo.php?workbook=10_05.xlsx&amp;sheet=U0&amp;row=2713&amp;col=7&amp;number=0.000795&amp;sourceID=14","0.000795")</f>
        <v>0.000795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HYPERLINK("http://141.218.60.56/~jnz1568/getInfo.php?workbook=10_05.xlsx&amp;sheet=U0&amp;row=2714&amp;col=6&amp;number=4&amp;sourceID=14","4")</f>
        <v>4</v>
      </c>
      <c r="G2714" s="4" t="str">
        <f>HYPERLINK("http://141.218.60.56/~jnz1568/getInfo.php?workbook=10_05.xlsx&amp;sheet=U0&amp;row=2714&amp;col=7&amp;number=0.000714&amp;sourceID=14","0.000714")</f>
        <v>0.000714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HYPERLINK("http://141.218.60.56/~jnz1568/getInfo.php?workbook=10_05.xlsx&amp;sheet=U0&amp;row=2715&amp;col=6&amp;number=4.1&amp;sourceID=14","4.1")</f>
        <v>4.1</v>
      </c>
      <c r="G2715" s="4" t="str">
        <f>HYPERLINK("http://141.218.60.56/~jnz1568/getInfo.php?workbook=10_05.xlsx&amp;sheet=U0&amp;row=2715&amp;col=7&amp;number=0.000631&amp;sourceID=14","0.000631")</f>
        <v>0.000631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HYPERLINK("http://141.218.60.56/~jnz1568/getInfo.php?workbook=10_05.xlsx&amp;sheet=U0&amp;row=2716&amp;col=6&amp;number=4.2&amp;sourceID=14","4.2")</f>
        <v>4.2</v>
      </c>
      <c r="G2716" s="4" t="str">
        <f>HYPERLINK("http://141.218.60.56/~jnz1568/getInfo.php?workbook=10_05.xlsx&amp;sheet=U0&amp;row=2716&amp;col=7&amp;number=0.000556&amp;sourceID=14","0.000556")</f>
        <v>0.000556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HYPERLINK("http://141.218.60.56/~jnz1568/getInfo.php?workbook=10_05.xlsx&amp;sheet=U0&amp;row=2717&amp;col=6&amp;number=4.3&amp;sourceID=14","4.3")</f>
        <v>4.3</v>
      </c>
      <c r="G2717" s="4" t="str">
        <f>HYPERLINK("http://141.218.60.56/~jnz1568/getInfo.php?workbook=10_05.xlsx&amp;sheet=U0&amp;row=2717&amp;col=7&amp;number=0.000492&amp;sourceID=14","0.000492")</f>
        <v>0.000492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HYPERLINK("http://141.218.60.56/~jnz1568/getInfo.php?workbook=10_05.xlsx&amp;sheet=U0&amp;row=2718&amp;col=6&amp;number=4.4&amp;sourceID=14","4.4")</f>
        <v>4.4</v>
      </c>
      <c r="G2718" s="4" t="str">
        <f>HYPERLINK("http://141.218.60.56/~jnz1568/getInfo.php?workbook=10_05.xlsx&amp;sheet=U0&amp;row=2718&amp;col=7&amp;number=0.000439&amp;sourceID=14","0.000439")</f>
        <v>0.000439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HYPERLINK("http://141.218.60.56/~jnz1568/getInfo.php?workbook=10_05.xlsx&amp;sheet=U0&amp;row=2719&amp;col=6&amp;number=4.5&amp;sourceID=14","4.5")</f>
        <v>4.5</v>
      </c>
      <c r="G2719" s="4" t="str">
        <f>HYPERLINK("http://141.218.60.56/~jnz1568/getInfo.php?workbook=10_05.xlsx&amp;sheet=U0&amp;row=2719&amp;col=7&amp;number=0.00039&amp;sourceID=14","0.00039")</f>
        <v>0.00039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HYPERLINK("http://141.218.60.56/~jnz1568/getInfo.php?workbook=10_05.xlsx&amp;sheet=U0&amp;row=2720&amp;col=6&amp;number=4.6&amp;sourceID=14","4.6")</f>
        <v>4.6</v>
      </c>
      <c r="G2720" s="4" t="str">
        <f>HYPERLINK("http://141.218.60.56/~jnz1568/getInfo.php?workbook=10_05.xlsx&amp;sheet=U0&amp;row=2720&amp;col=7&amp;number=0.000343&amp;sourceID=14","0.000343")</f>
        <v>0.000343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HYPERLINK("http://141.218.60.56/~jnz1568/getInfo.php?workbook=10_05.xlsx&amp;sheet=U0&amp;row=2721&amp;col=6&amp;number=4.7&amp;sourceID=14","4.7")</f>
        <v>4.7</v>
      </c>
      <c r="G2721" s="4" t="str">
        <f>HYPERLINK("http://141.218.60.56/~jnz1568/getInfo.php?workbook=10_05.xlsx&amp;sheet=U0&amp;row=2721&amp;col=7&amp;number=0.0003&amp;sourceID=14","0.0003")</f>
        <v>0.0003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HYPERLINK("http://141.218.60.56/~jnz1568/getInfo.php?workbook=10_05.xlsx&amp;sheet=U0&amp;row=2722&amp;col=6&amp;number=4.8&amp;sourceID=14","4.8")</f>
        <v>4.8</v>
      </c>
      <c r="G2722" s="4" t="str">
        <f>HYPERLINK("http://141.218.60.56/~jnz1568/getInfo.php?workbook=10_05.xlsx&amp;sheet=U0&amp;row=2722&amp;col=7&amp;number=0.000263&amp;sourceID=14","0.000263")</f>
        <v>0.000263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HYPERLINK("http://141.218.60.56/~jnz1568/getInfo.php?workbook=10_05.xlsx&amp;sheet=U0&amp;row=2723&amp;col=6&amp;number=4.9&amp;sourceID=14","4.9")</f>
        <v>4.9</v>
      </c>
      <c r="G2723" s="4" t="str">
        <f>HYPERLINK("http://141.218.60.56/~jnz1568/getInfo.php?workbook=10_05.xlsx&amp;sheet=U0&amp;row=2723&amp;col=7&amp;number=0.000231&amp;sourceID=14","0.000231")</f>
        <v>0.000231</v>
      </c>
    </row>
    <row r="2724" spans="1:7">
      <c r="A2724" s="3">
        <v>10</v>
      </c>
      <c r="B2724" s="3">
        <v>5</v>
      </c>
      <c r="C2724" s="3">
        <v>1</v>
      </c>
      <c r="D2724" s="3">
        <v>138</v>
      </c>
      <c r="E2724" s="3">
        <v>1</v>
      </c>
      <c r="F2724" s="4" t="str">
        <f>HYPERLINK("http://141.218.60.56/~jnz1568/getInfo.php?workbook=10_05.xlsx&amp;sheet=U0&amp;row=2724&amp;col=6&amp;number=3&amp;sourceID=14","3")</f>
        <v>3</v>
      </c>
      <c r="G2724" s="4" t="str">
        <f>HYPERLINK("http://141.218.60.56/~jnz1568/getInfo.php?workbook=10_05.xlsx&amp;sheet=U0&amp;row=2724&amp;col=7&amp;number=0.00212&amp;sourceID=14","0.00212")</f>
        <v>0.00212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HYPERLINK("http://141.218.60.56/~jnz1568/getInfo.php?workbook=10_05.xlsx&amp;sheet=U0&amp;row=2725&amp;col=6&amp;number=3.1&amp;sourceID=14","3.1")</f>
        <v>3.1</v>
      </c>
      <c r="G2725" s="4" t="str">
        <f>HYPERLINK("http://141.218.60.56/~jnz1568/getInfo.php?workbook=10_05.xlsx&amp;sheet=U0&amp;row=2725&amp;col=7&amp;number=0.00212&amp;sourceID=14","0.00212")</f>
        <v>0.00212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HYPERLINK("http://141.218.60.56/~jnz1568/getInfo.php?workbook=10_05.xlsx&amp;sheet=U0&amp;row=2726&amp;col=6&amp;number=3.2&amp;sourceID=14","3.2")</f>
        <v>3.2</v>
      </c>
      <c r="G2726" s="4" t="str">
        <f>HYPERLINK("http://141.218.60.56/~jnz1568/getInfo.php?workbook=10_05.xlsx&amp;sheet=U0&amp;row=2726&amp;col=7&amp;number=0.00212&amp;sourceID=14","0.00212")</f>
        <v>0.00212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HYPERLINK("http://141.218.60.56/~jnz1568/getInfo.php?workbook=10_05.xlsx&amp;sheet=U0&amp;row=2727&amp;col=6&amp;number=3.3&amp;sourceID=14","3.3")</f>
        <v>3.3</v>
      </c>
      <c r="G2727" s="4" t="str">
        <f>HYPERLINK("http://141.218.60.56/~jnz1568/getInfo.php?workbook=10_05.xlsx&amp;sheet=U0&amp;row=2727&amp;col=7&amp;number=0.00211&amp;sourceID=14","0.00211")</f>
        <v>0.00211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HYPERLINK("http://141.218.60.56/~jnz1568/getInfo.php?workbook=10_05.xlsx&amp;sheet=U0&amp;row=2728&amp;col=6&amp;number=3.4&amp;sourceID=14","3.4")</f>
        <v>3.4</v>
      </c>
      <c r="G2728" s="4" t="str">
        <f>HYPERLINK("http://141.218.60.56/~jnz1568/getInfo.php?workbook=10_05.xlsx&amp;sheet=U0&amp;row=2728&amp;col=7&amp;number=0.00211&amp;sourceID=14","0.00211")</f>
        <v>0.00211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HYPERLINK("http://141.218.60.56/~jnz1568/getInfo.php?workbook=10_05.xlsx&amp;sheet=U0&amp;row=2729&amp;col=6&amp;number=3.5&amp;sourceID=14","3.5")</f>
        <v>3.5</v>
      </c>
      <c r="G2729" s="4" t="str">
        <f>HYPERLINK("http://141.218.60.56/~jnz1568/getInfo.php?workbook=10_05.xlsx&amp;sheet=U0&amp;row=2729&amp;col=7&amp;number=0.0021&amp;sourceID=14","0.0021")</f>
        <v>0.0021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HYPERLINK("http://141.218.60.56/~jnz1568/getInfo.php?workbook=10_05.xlsx&amp;sheet=U0&amp;row=2730&amp;col=6&amp;number=3.6&amp;sourceID=14","3.6")</f>
        <v>3.6</v>
      </c>
      <c r="G2730" s="4" t="str">
        <f>HYPERLINK("http://141.218.60.56/~jnz1568/getInfo.php?workbook=10_05.xlsx&amp;sheet=U0&amp;row=2730&amp;col=7&amp;number=0.00209&amp;sourceID=14","0.00209")</f>
        <v>0.00209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HYPERLINK("http://141.218.60.56/~jnz1568/getInfo.php?workbook=10_05.xlsx&amp;sheet=U0&amp;row=2731&amp;col=6&amp;number=3.7&amp;sourceID=14","3.7")</f>
        <v>3.7</v>
      </c>
      <c r="G2731" s="4" t="str">
        <f>HYPERLINK("http://141.218.60.56/~jnz1568/getInfo.php?workbook=10_05.xlsx&amp;sheet=U0&amp;row=2731&amp;col=7&amp;number=0.00208&amp;sourceID=14","0.00208")</f>
        <v>0.00208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HYPERLINK("http://141.218.60.56/~jnz1568/getInfo.php?workbook=10_05.xlsx&amp;sheet=U0&amp;row=2732&amp;col=6&amp;number=3.8&amp;sourceID=14","3.8")</f>
        <v>3.8</v>
      </c>
      <c r="G2732" s="4" t="str">
        <f>HYPERLINK("http://141.218.60.56/~jnz1568/getInfo.php?workbook=10_05.xlsx&amp;sheet=U0&amp;row=2732&amp;col=7&amp;number=0.00207&amp;sourceID=14","0.00207")</f>
        <v>0.00207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HYPERLINK("http://141.218.60.56/~jnz1568/getInfo.php?workbook=10_05.xlsx&amp;sheet=U0&amp;row=2733&amp;col=6&amp;number=3.9&amp;sourceID=14","3.9")</f>
        <v>3.9</v>
      </c>
      <c r="G2733" s="4" t="str">
        <f>HYPERLINK("http://141.218.60.56/~jnz1568/getInfo.php?workbook=10_05.xlsx&amp;sheet=U0&amp;row=2733&amp;col=7&amp;number=0.00205&amp;sourceID=14","0.00205")</f>
        <v>0.00205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HYPERLINK("http://141.218.60.56/~jnz1568/getInfo.php?workbook=10_05.xlsx&amp;sheet=U0&amp;row=2734&amp;col=6&amp;number=4&amp;sourceID=14","4")</f>
        <v>4</v>
      </c>
      <c r="G2734" s="4" t="str">
        <f>HYPERLINK("http://141.218.60.56/~jnz1568/getInfo.php?workbook=10_05.xlsx&amp;sheet=U0&amp;row=2734&amp;col=7&amp;number=0.00203&amp;sourceID=14","0.00203")</f>
        <v>0.00203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HYPERLINK("http://141.218.60.56/~jnz1568/getInfo.php?workbook=10_05.xlsx&amp;sheet=U0&amp;row=2735&amp;col=6&amp;number=4.1&amp;sourceID=14","4.1")</f>
        <v>4.1</v>
      </c>
      <c r="G2735" s="4" t="str">
        <f>HYPERLINK("http://141.218.60.56/~jnz1568/getInfo.php?workbook=10_05.xlsx&amp;sheet=U0&amp;row=2735&amp;col=7&amp;number=0.00201&amp;sourceID=14","0.00201")</f>
        <v>0.00201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HYPERLINK("http://141.218.60.56/~jnz1568/getInfo.php?workbook=10_05.xlsx&amp;sheet=U0&amp;row=2736&amp;col=6&amp;number=4.2&amp;sourceID=14","4.2")</f>
        <v>4.2</v>
      </c>
      <c r="G2736" s="4" t="str">
        <f>HYPERLINK("http://141.218.60.56/~jnz1568/getInfo.php?workbook=10_05.xlsx&amp;sheet=U0&amp;row=2736&amp;col=7&amp;number=0.00198&amp;sourceID=14","0.00198")</f>
        <v>0.00198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HYPERLINK("http://141.218.60.56/~jnz1568/getInfo.php?workbook=10_05.xlsx&amp;sheet=U0&amp;row=2737&amp;col=6&amp;number=4.3&amp;sourceID=14","4.3")</f>
        <v>4.3</v>
      </c>
      <c r="G2737" s="4" t="str">
        <f>HYPERLINK("http://141.218.60.56/~jnz1568/getInfo.php?workbook=10_05.xlsx&amp;sheet=U0&amp;row=2737&amp;col=7&amp;number=0.00195&amp;sourceID=14","0.00195")</f>
        <v>0.00195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HYPERLINK("http://141.218.60.56/~jnz1568/getInfo.php?workbook=10_05.xlsx&amp;sheet=U0&amp;row=2738&amp;col=6&amp;number=4.4&amp;sourceID=14","4.4")</f>
        <v>4.4</v>
      </c>
      <c r="G2738" s="4" t="str">
        <f>HYPERLINK("http://141.218.60.56/~jnz1568/getInfo.php?workbook=10_05.xlsx&amp;sheet=U0&amp;row=2738&amp;col=7&amp;number=0.00192&amp;sourceID=14","0.00192")</f>
        <v>0.00192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HYPERLINK("http://141.218.60.56/~jnz1568/getInfo.php?workbook=10_05.xlsx&amp;sheet=U0&amp;row=2739&amp;col=6&amp;number=4.5&amp;sourceID=14","4.5")</f>
        <v>4.5</v>
      </c>
      <c r="G2739" s="4" t="str">
        <f>HYPERLINK("http://141.218.60.56/~jnz1568/getInfo.php?workbook=10_05.xlsx&amp;sheet=U0&amp;row=2739&amp;col=7&amp;number=0.00189&amp;sourceID=14","0.00189")</f>
        <v>0.00189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HYPERLINK("http://141.218.60.56/~jnz1568/getInfo.php?workbook=10_05.xlsx&amp;sheet=U0&amp;row=2740&amp;col=6&amp;number=4.6&amp;sourceID=14","4.6")</f>
        <v>4.6</v>
      </c>
      <c r="G2740" s="4" t="str">
        <f>HYPERLINK("http://141.218.60.56/~jnz1568/getInfo.php?workbook=10_05.xlsx&amp;sheet=U0&amp;row=2740&amp;col=7&amp;number=0.00185&amp;sourceID=14","0.00185")</f>
        <v>0.00185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HYPERLINK("http://141.218.60.56/~jnz1568/getInfo.php?workbook=10_05.xlsx&amp;sheet=U0&amp;row=2741&amp;col=6&amp;number=4.7&amp;sourceID=14","4.7")</f>
        <v>4.7</v>
      </c>
      <c r="G2741" s="4" t="str">
        <f>HYPERLINK("http://141.218.60.56/~jnz1568/getInfo.php?workbook=10_05.xlsx&amp;sheet=U0&amp;row=2741&amp;col=7&amp;number=0.00182&amp;sourceID=14","0.00182")</f>
        <v>0.00182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HYPERLINK("http://141.218.60.56/~jnz1568/getInfo.php?workbook=10_05.xlsx&amp;sheet=U0&amp;row=2742&amp;col=6&amp;number=4.8&amp;sourceID=14","4.8")</f>
        <v>4.8</v>
      </c>
      <c r="G2742" s="4" t="str">
        <f>HYPERLINK("http://141.218.60.56/~jnz1568/getInfo.php?workbook=10_05.xlsx&amp;sheet=U0&amp;row=2742&amp;col=7&amp;number=0.00178&amp;sourceID=14","0.00178")</f>
        <v>0.00178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HYPERLINK("http://141.218.60.56/~jnz1568/getInfo.php?workbook=10_05.xlsx&amp;sheet=U0&amp;row=2743&amp;col=6&amp;number=4.9&amp;sourceID=14","4.9")</f>
        <v>4.9</v>
      </c>
      <c r="G2743" s="4" t="str">
        <f>HYPERLINK("http://141.218.60.56/~jnz1568/getInfo.php?workbook=10_05.xlsx&amp;sheet=U0&amp;row=2743&amp;col=7&amp;number=0.00174&amp;sourceID=14","0.00174")</f>
        <v>0.00174</v>
      </c>
    </row>
    <row r="2744" spans="1:7">
      <c r="A2744" s="3">
        <v>10</v>
      </c>
      <c r="B2744" s="3">
        <v>5</v>
      </c>
      <c r="C2744" s="3">
        <v>1</v>
      </c>
      <c r="D2744" s="3">
        <v>139</v>
      </c>
      <c r="E2744" s="3">
        <v>1</v>
      </c>
      <c r="F2744" s="4" t="str">
        <f>HYPERLINK("http://141.218.60.56/~jnz1568/getInfo.php?workbook=10_05.xlsx&amp;sheet=U0&amp;row=2744&amp;col=6&amp;number=3&amp;sourceID=14","3")</f>
        <v>3</v>
      </c>
      <c r="G2744" s="4" t="str">
        <f>HYPERLINK("http://141.218.60.56/~jnz1568/getInfo.php?workbook=10_05.xlsx&amp;sheet=U0&amp;row=2744&amp;col=7&amp;number=0.00161&amp;sourceID=14","0.00161")</f>
        <v>0.00161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HYPERLINK("http://141.218.60.56/~jnz1568/getInfo.php?workbook=10_05.xlsx&amp;sheet=U0&amp;row=2745&amp;col=6&amp;number=3.1&amp;sourceID=14","3.1")</f>
        <v>3.1</v>
      </c>
      <c r="G2745" s="4" t="str">
        <f>HYPERLINK("http://141.218.60.56/~jnz1568/getInfo.php?workbook=10_05.xlsx&amp;sheet=U0&amp;row=2745&amp;col=7&amp;number=0.0016&amp;sourceID=14","0.0016")</f>
        <v>0.0016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HYPERLINK("http://141.218.60.56/~jnz1568/getInfo.php?workbook=10_05.xlsx&amp;sheet=U0&amp;row=2746&amp;col=6&amp;number=3.2&amp;sourceID=14","3.2")</f>
        <v>3.2</v>
      </c>
      <c r="G2746" s="4" t="str">
        <f>HYPERLINK("http://141.218.60.56/~jnz1568/getInfo.php?workbook=10_05.xlsx&amp;sheet=U0&amp;row=2746&amp;col=7&amp;number=0.00159&amp;sourceID=14","0.00159")</f>
        <v>0.00159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HYPERLINK("http://141.218.60.56/~jnz1568/getInfo.php?workbook=10_05.xlsx&amp;sheet=U0&amp;row=2747&amp;col=6&amp;number=3.3&amp;sourceID=14","3.3")</f>
        <v>3.3</v>
      </c>
      <c r="G2747" s="4" t="str">
        <f>HYPERLINK("http://141.218.60.56/~jnz1568/getInfo.php?workbook=10_05.xlsx&amp;sheet=U0&amp;row=2747&amp;col=7&amp;number=0.00158&amp;sourceID=14","0.00158")</f>
        <v>0.00158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HYPERLINK("http://141.218.60.56/~jnz1568/getInfo.php?workbook=10_05.xlsx&amp;sheet=U0&amp;row=2748&amp;col=6&amp;number=3.4&amp;sourceID=14","3.4")</f>
        <v>3.4</v>
      </c>
      <c r="G2748" s="4" t="str">
        <f>HYPERLINK("http://141.218.60.56/~jnz1568/getInfo.php?workbook=10_05.xlsx&amp;sheet=U0&amp;row=2748&amp;col=7&amp;number=0.00157&amp;sourceID=14","0.00157")</f>
        <v>0.00157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HYPERLINK("http://141.218.60.56/~jnz1568/getInfo.php?workbook=10_05.xlsx&amp;sheet=U0&amp;row=2749&amp;col=6&amp;number=3.5&amp;sourceID=14","3.5")</f>
        <v>3.5</v>
      </c>
      <c r="G2749" s="4" t="str">
        <f>HYPERLINK("http://141.218.60.56/~jnz1568/getInfo.php?workbook=10_05.xlsx&amp;sheet=U0&amp;row=2749&amp;col=7&amp;number=0.00155&amp;sourceID=14","0.00155")</f>
        <v>0.00155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HYPERLINK("http://141.218.60.56/~jnz1568/getInfo.php?workbook=10_05.xlsx&amp;sheet=U0&amp;row=2750&amp;col=6&amp;number=3.6&amp;sourceID=14","3.6")</f>
        <v>3.6</v>
      </c>
      <c r="G2750" s="4" t="str">
        <f>HYPERLINK("http://141.218.60.56/~jnz1568/getInfo.php?workbook=10_05.xlsx&amp;sheet=U0&amp;row=2750&amp;col=7&amp;number=0.00153&amp;sourceID=14","0.00153")</f>
        <v>0.00153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HYPERLINK("http://141.218.60.56/~jnz1568/getInfo.php?workbook=10_05.xlsx&amp;sheet=U0&amp;row=2751&amp;col=6&amp;number=3.7&amp;sourceID=14","3.7")</f>
        <v>3.7</v>
      </c>
      <c r="G2751" s="4" t="str">
        <f>HYPERLINK("http://141.218.60.56/~jnz1568/getInfo.php?workbook=10_05.xlsx&amp;sheet=U0&amp;row=2751&amp;col=7&amp;number=0.0015&amp;sourceID=14","0.0015")</f>
        <v>0.0015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HYPERLINK("http://141.218.60.56/~jnz1568/getInfo.php?workbook=10_05.xlsx&amp;sheet=U0&amp;row=2752&amp;col=6&amp;number=3.8&amp;sourceID=14","3.8")</f>
        <v>3.8</v>
      </c>
      <c r="G2752" s="4" t="str">
        <f>HYPERLINK("http://141.218.60.56/~jnz1568/getInfo.php?workbook=10_05.xlsx&amp;sheet=U0&amp;row=2752&amp;col=7&amp;number=0.00147&amp;sourceID=14","0.00147")</f>
        <v>0.00147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HYPERLINK("http://141.218.60.56/~jnz1568/getInfo.php?workbook=10_05.xlsx&amp;sheet=U0&amp;row=2753&amp;col=6&amp;number=3.9&amp;sourceID=14","3.9")</f>
        <v>3.9</v>
      </c>
      <c r="G2753" s="4" t="str">
        <f>HYPERLINK("http://141.218.60.56/~jnz1568/getInfo.php?workbook=10_05.xlsx&amp;sheet=U0&amp;row=2753&amp;col=7&amp;number=0.00144&amp;sourceID=14","0.00144")</f>
        <v>0.00144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HYPERLINK("http://141.218.60.56/~jnz1568/getInfo.php?workbook=10_05.xlsx&amp;sheet=U0&amp;row=2754&amp;col=6&amp;number=4&amp;sourceID=14","4")</f>
        <v>4</v>
      </c>
      <c r="G2754" s="4" t="str">
        <f>HYPERLINK("http://141.218.60.56/~jnz1568/getInfo.php?workbook=10_05.xlsx&amp;sheet=U0&amp;row=2754&amp;col=7&amp;number=0.0014&amp;sourceID=14","0.0014")</f>
        <v>0.0014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HYPERLINK("http://141.218.60.56/~jnz1568/getInfo.php?workbook=10_05.xlsx&amp;sheet=U0&amp;row=2755&amp;col=6&amp;number=4.1&amp;sourceID=14","4.1")</f>
        <v>4.1</v>
      </c>
      <c r="G2755" s="4" t="str">
        <f>HYPERLINK("http://141.218.60.56/~jnz1568/getInfo.php?workbook=10_05.xlsx&amp;sheet=U0&amp;row=2755&amp;col=7&amp;number=0.00135&amp;sourceID=14","0.00135")</f>
        <v>0.00135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HYPERLINK("http://141.218.60.56/~jnz1568/getInfo.php?workbook=10_05.xlsx&amp;sheet=U0&amp;row=2756&amp;col=6&amp;number=4.2&amp;sourceID=14","4.2")</f>
        <v>4.2</v>
      </c>
      <c r="G2756" s="4" t="str">
        <f>HYPERLINK("http://141.218.60.56/~jnz1568/getInfo.php?workbook=10_05.xlsx&amp;sheet=U0&amp;row=2756&amp;col=7&amp;number=0.00131&amp;sourceID=14","0.00131")</f>
        <v>0.00131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HYPERLINK("http://141.218.60.56/~jnz1568/getInfo.php?workbook=10_05.xlsx&amp;sheet=U0&amp;row=2757&amp;col=6&amp;number=4.3&amp;sourceID=14","4.3")</f>
        <v>4.3</v>
      </c>
      <c r="G2757" s="4" t="str">
        <f>HYPERLINK("http://141.218.60.56/~jnz1568/getInfo.php?workbook=10_05.xlsx&amp;sheet=U0&amp;row=2757&amp;col=7&amp;number=0.00127&amp;sourceID=14","0.00127")</f>
        <v>0.00127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HYPERLINK("http://141.218.60.56/~jnz1568/getInfo.php?workbook=10_05.xlsx&amp;sheet=U0&amp;row=2758&amp;col=6&amp;number=4.4&amp;sourceID=14","4.4")</f>
        <v>4.4</v>
      </c>
      <c r="G2758" s="4" t="str">
        <f>HYPERLINK("http://141.218.60.56/~jnz1568/getInfo.php?workbook=10_05.xlsx&amp;sheet=U0&amp;row=2758&amp;col=7&amp;number=0.00125&amp;sourceID=14","0.00125")</f>
        <v>0.00125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HYPERLINK("http://141.218.60.56/~jnz1568/getInfo.php?workbook=10_05.xlsx&amp;sheet=U0&amp;row=2759&amp;col=6&amp;number=4.5&amp;sourceID=14","4.5")</f>
        <v>4.5</v>
      </c>
      <c r="G2759" s="4" t="str">
        <f>HYPERLINK("http://141.218.60.56/~jnz1568/getInfo.php?workbook=10_05.xlsx&amp;sheet=U0&amp;row=2759&amp;col=7&amp;number=0.00123&amp;sourceID=14","0.00123")</f>
        <v>0.00123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HYPERLINK("http://141.218.60.56/~jnz1568/getInfo.php?workbook=10_05.xlsx&amp;sheet=U0&amp;row=2760&amp;col=6&amp;number=4.6&amp;sourceID=14","4.6")</f>
        <v>4.6</v>
      </c>
      <c r="G2760" s="4" t="str">
        <f>HYPERLINK("http://141.218.60.56/~jnz1568/getInfo.php?workbook=10_05.xlsx&amp;sheet=U0&amp;row=2760&amp;col=7&amp;number=0.00121&amp;sourceID=14","0.00121")</f>
        <v>0.00121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HYPERLINK("http://141.218.60.56/~jnz1568/getInfo.php?workbook=10_05.xlsx&amp;sheet=U0&amp;row=2761&amp;col=6&amp;number=4.7&amp;sourceID=14","4.7")</f>
        <v>4.7</v>
      </c>
      <c r="G2761" s="4" t="str">
        <f>HYPERLINK("http://141.218.60.56/~jnz1568/getInfo.php?workbook=10_05.xlsx&amp;sheet=U0&amp;row=2761&amp;col=7&amp;number=0.00118&amp;sourceID=14","0.00118")</f>
        <v>0.00118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HYPERLINK("http://141.218.60.56/~jnz1568/getInfo.php?workbook=10_05.xlsx&amp;sheet=U0&amp;row=2762&amp;col=6&amp;number=4.8&amp;sourceID=14","4.8")</f>
        <v>4.8</v>
      </c>
      <c r="G2762" s="4" t="str">
        <f>HYPERLINK("http://141.218.60.56/~jnz1568/getInfo.php?workbook=10_05.xlsx&amp;sheet=U0&amp;row=2762&amp;col=7&amp;number=0.00113&amp;sourceID=14","0.00113")</f>
        <v>0.00113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HYPERLINK("http://141.218.60.56/~jnz1568/getInfo.php?workbook=10_05.xlsx&amp;sheet=U0&amp;row=2763&amp;col=6&amp;number=4.9&amp;sourceID=14","4.9")</f>
        <v>4.9</v>
      </c>
      <c r="G2763" s="4" t="str">
        <f>HYPERLINK("http://141.218.60.56/~jnz1568/getInfo.php?workbook=10_05.xlsx&amp;sheet=U0&amp;row=2763&amp;col=7&amp;number=0.00108&amp;sourceID=14","0.00108")</f>
        <v>0.00108</v>
      </c>
    </row>
    <row r="2764" spans="1:7">
      <c r="A2764" s="3">
        <v>10</v>
      </c>
      <c r="B2764" s="3">
        <v>5</v>
      </c>
      <c r="C2764" s="3">
        <v>1</v>
      </c>
      <c r="D2764" s="3">
        <v>140</v>
      </c>
      <c r="E2764" s="3">
        <v>1</v>
      </c>
      <c r="F2764" s="4" t="str">
        <f>HYPERLINK("http://141.218.60.56/~jnz1568/getInfo.php?workbook=10_05.xlsx&amp;sheet=U0&amp;row=2764&amp;col=6&amp;number=3&amp;sourceID=14","3")</f>
        <v>3</v>
      </c>
      <c r="G2764" s="4" t="str">
        <f>HYPERLINK("http://141.218.60.56/~jnz1568/getInfo.php?workbook=10_05.xlsx&amp;sheet=U0&amp;row=2764&amp;col=7&amp;number=0.00449&amp;sourceID=14","0.00449")</f>
        <v>0.00449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HYPERLINK("http://141.218.60.56/~jnz1568/getInfo.php?workbook=10_05.xlsx&amp;sheet=U0&amp;row=2765&amp;col=6&amp;number=3.1&amp;sourceID=14","3.1")</f>
        <v>3.1</v>
      </c>
      <c r="G2765" s="4" t="str">
        <f>HYPERLINK("http://141.218.60.56/~jnz1568/getInfo.php?workbook=10_05.xlsx&amp;sheet=U0&amp;row=2765&amp;col=7&amp;number=0.00447&amp;sourceID=14","0.00447")</f>
        <v>0.00447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HYPERLINK("http://141.218.60.56/~jnz1568/getInfo.php?workbook=10_05.xlsx&amp;sheet=U0&amp;row=2766&amp;col=6&amp;number=3.2&amp;sourceID=14","3.2")</f>
        <v>3.2</v>
      </c>
      <c r="G2766" s="4" t="str">
        <f>HYPERLINK("http://141.218.60.56/~jnz1568/getInfo.php?workbook=10_05.xlsx&amp;sheet=U0&amp;row=2766&amp;col=7&amp;number=0.00445&amp;sourceID=14","0.00445")</f>
        <v>0.00445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HYPERLINK("http://141.218.60.56/~jnz1568/getInfo.php?workbook=10_05.xlsx&amp;sheet=U0&amp;row=2767&amp;col=6&amp;number=3.3&amp;sourceID=14","3.3")</f>
        <v>3.3</v>
      </c>
      <c r="G2767" s="4" t="str">
        <f>HYPERLINK("http://141.218.60.56/~jnz1568/getInfo.php?workbook=10_05.xlsx&amp;sheet=U0&amp;row=2767&amp;col=7&amp;number=0.00443&amp;sourceID=14","0.00443")</f>
        <v>0.00443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HYPERLINK("http://141.218.60.56/~jnz1568/getInfo.php?workbook=10_05.xlsx&amp;sheet=U0&amp;row=2768&amp;col=6&amp;number=3.4&amp;sourceID=14","3.4")</f>
        <v>3.4</v>
      </c>
      <c r="G2768" s="4" t="str">
        <f>HYPERLINK("http://141.218.60.56/~jnz1568/getInfo.php?workbook=10_05.xlsx&amp;sheet=U0&amp;row=2768&amp;col=7&amp;number=0.0044&amp;sourceID=14","0.0044")</f>
        <v>0.0044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HYPERLINK("http://141.218.60.56/~jnz1568/getInfo.php?workbook=10_05.xlsx&amp;sheet=U0&amp;row=2769&amp;col=6&amp;number=3.5&amp;sourceID=14","3.5")</f>
        <v>3.5</v>
      </c>
      <c r="G2769" s="4" t="str">
        <f>HYPERLINK("http://141.218.60.56/~jnz1568/getInfo.php?workbook=10_05.xlsx&amp;sheet=U0&amp;row=2769&amp;col=7&amp;number=0.00436&amp;sourceID=14","0.00436")</f>
        <v>0.00436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HYPERLINK("http://141.218.60.56/~jnz1568/getInfo.php?workbook=10_05.xlsx&amp;sheet=U0&amp;row=2770&amp;col=6&amp;number=3.6&amp;sourceID=14","3.6")</f>
        <v>3.6</v>
      </c>
      <c r="G2770" s="4" t="str">
        <f>HYPERLINK("http://141.218.60.56/~jnz1568/getInfo.php?workbook=10_05.xlsx&amp;sheet=U0&amp;row=2770&amp;col=7&amp;number=0.00432&amp;sourceID=14","0.00432")</f>
        <v>0.00432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HYPERLINK("http://141.218.60.56/~jnz1568/getInfo.php?workbook=10_05.xlsx&amp;sheet=U0&amp;row=2771&amp;col=6&amp;number=3.7&amp;sourceID=14","3.7")</f>
        <v>3.7</v>
      </c>
      <c r="G2771" s="4" t="str">
        <f>HYPERLINK("http://141.218.60.56/~jnz1568/getInfo.php?workbook=10_05.xlsx&amp;sheet=U0&amp;row=2771&amp;col=7&amp;number=0.00426&amp;sourceID=14","0.00426")</f>
        <v>0.00426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HYPERLINK("http://141.218.60.56/~jnz1568/getInfo.php?workbook=10_05.xlsx&amp;sheet=U0&amp;row=2772&amp;col=6&amp;number=3.8&amp;sourceID=14","3.8")</f>
        <v>3.8</v>
      </c>
      <c r="G2772" s="4" t="str">
        <f>HYPERLINK("http://141.218.60.56/~jnz1568/getInfo.php?workbook=10_05.xlsx&amp;sheet=U0&amp;row=2772&amp;col=7&amp;number=0.00419&amp;sourceID=14","0.00419")</f>
        <v>0.00419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HYPERLINK("http://141.218.60.56/~jnz1568/getInfo.php?workbook=10_05.xlsx&amp;sheet=U0&amp;row=2773&amp;col=6&amp;number=3.9&amp;sourceID=14","3.9")</f>
        <v>3.9</v>
      </c>
      <c r="G2773" s="4" t="str">
        <f>HYPERLINK("http://141.218.60.56/~jnz1568/getInfo.php?workbook=10_05.xlsx&amp;sheet=U0&amp;row=2773&amp;col=7&amp;number=0.0041&amp;sourceID=14","0.0041")</f>
        <v>0.0041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HYPERLINK("http://141.218.60.56/~jnz1568/getInfo.php?workbook=10_05.xlsx&amp;sheet=U0&amp;row=2774&amp;col=6&amp;number=4&amp;sourceID=14","4")</f>
        <v>4</v>
      </c>
      <c r="G2774" s="4" t="str">
        <f>HYPERLINK("http://141.218.60.56/~jnz1568/getInfo.php?workbook=10_05.xlsx&amp;sheet=U0&amp;row=2774&amp;col=7&amp;number=0.00399&amp;sourceID=14","0.00399")</f>
        <v>0.00399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HYPERLINK("http://141.218.60.56/~jnz1568/getInfo.php?workbook=10_05.xlsx&amp;sheet=U0&amp;row=2775&amp;col=6&amp;number=4.1&amp;sourceID=14","4.1")</f>
        <v>4.1</v>
      </c>
      <c r="G2775" s="4" t="str">
        <f>HYPERLINK("http://141.218.60.56/~jnz1568/getInfo.php?workbook=10_05.xlsx&amp;sheet=U0&amp;row=2775&amp;col=7&amp;number=0.00386&amp;sourceID=14","0.00386")</f>
        <v>0.00386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HYPERLINK("http://141.218.60.56/~jnz1568/getInfo.php?workbook=10_05.xlsx&amp;sheet=U0&amp;row=2776&amp;col=6&amp;number=4.2&amp;sourceID=14","4.2")</f>
        <v>4.2</v>
      </c>
      <c r="G2776" s="4" t="str">
        <f>HYPERLINK("http://141.218.60.56/~jnz1568/getInfo.php?workbook=10_05.xlsx&amp;sheet=U0&amp;row=2776&amp;col=7&amp;number=0.0037&amp;sourceID=14","0.0037")</f>
        <v>0.0037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HYPERLINK("http://141.218.60.56/~jnz1568/getInfo.php?workbook=10_05.xlsx&amp;sheet=U0&amp;row=2777&amp;col=6&amp;number=4.3&amp;sourceID=14","4.3")</f>
        <v>4.3</v>
      </c>
      <c r="G2777" s="4" t="str">
        <f>HYPERLINK("http://141.218.60.56/~jnz1568/getInfo.php?workbook=10_05.xlsx&amp;sheet=U0&amp;row=2777&amp;col=7&amp;number=0.00352&amp;sourceID=14","0.00352")</f>
        <v>0.00352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HYPERLINK("http://141.218.60.56/~jnz1568/getInfo.php?workbook=10_05.xlsx&amp;sheet=U0&amp;row=2778&amp;col=6&amp;number=4.4&amp;sourceID=14","4.4")</f>
        <v>4.4</v>
      </c>
      <c r="G2778" s="4" t="str">
        <f>HYPERLINK("http://141.218.60.56/~jnz1568/getInfo.php?workbook=10_05.xlsx&amp;sheet=U0&amp;row=2778&amp;col=7&amp;number=0.00331&amp;sourceID=14","0.00331")</f>
        <v>0.00331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HYPERLINK("http://141.218.60.56/~jnz1568/getInfo.php?workbook=10_05.xlsx&amp;sheet=U0&amp;row=2779&amp;col=6&amp;number=4.5&amp;sourceID=14","4.5")</f>
        <v>4.5</v>
      </c>
      <c r="G2779" s="4" t="str">
        <f>HYPERLINK("http://141.218.60.56/~jnz1568/getInfo.php?workbook=10_05.xlsx&amp;sheet=U0&amp;row=2779&amp;col=7&amp;number=0.00308&amp;sourceID=14","0.00308")</f>
        <v>0.00308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HYPERLINK("http://141.218.60.56/~jnz1568/getInfo.php?workbook=10_05.xlsx&amp;sheet=U0&amp;row=2780&amp;col=6&amp;number=4.6&amp;sourceID=14","4.6")</f>
        <v>4.6</v>
      </c>
      <c r="G2780" s="4" t="str">
        <f>HYPERLINK("http://141.218.60.56/~jnz1568/getInfo.php?workbook=10_05.xlsx&amp;sheet=U0&amp;row=2780&amp;col=7&amp;number=0.00286&amp;sourceID=14","0.00286")</f>
        <v>0.00286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HYPERLINK("http://141.218.60.56/~jnz1568/getInfo.php?workbook=10_05.xlsx&amp;sheet=U0&amp;row=2781&amp;col=6&amp;number=4.7&amp;sourceID=14","4.7")</f>
        <v>4.7</v>
      </c>
      <c r="G2781" s="4" t="str">
        <f>HYPERLINK("http://141.218.60.56/~jnz1568/getInfo.php?workbook=10_05.xlsx&amp;sheet=U0&amp;row=2781&amp;col=7&amp;number=0.00266&amp;sourceID=14","0.00266")</f>
        <v>0.00266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HYPERLINK("http://141.218.60.56/~jnz1568/getInfo.php?workbook=10_05.xlsx&amp;sheet=U0&amp;row=2782&amp;col=6&amp;number=4.8&amp;sourceID=14","4.8")</f>
        <v>4.8</v>
      </c>
      <c r="G2782" s="4" t="str">
        <f>HYPERLINK("http://141.218.60.56/~jnz1568/getInfo.php?workbook=10_05.xlsx&amp;sheet=U0&amp;row=2782&amp;col=7&amp;number=0.00251&amp;sourceID=14","0.00251")</f>
        <v>0.00251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HYPERLINK("http://141.218.60.56/~jnz1568/getInfo.php?workbook=10_05.xlsx&amp;sheet=U0&amp;row=2783&amp;col=6&amp;number=4.9&amp;sourceID=14","4.9")</f>
        <v>4.9</v>
      </c>
      <c r="G2783" s="4" t="str">
        <f>HYPERLINK("http://141.218.60.56/~jnz1568/getInfo.php?workbook=10_05.xlsx&amp;sheet=U0&amp;row=2783&amp;col=7&amp;number=0.00239&amp;sourceID=14","0.00239")</f>
        <v>0.00239</v>
      </c>
    </row>
    <row r="2784" spans="1:7">
      <c r="A2784" s="3">
        <v>10</v>
      </c>
      <c r="B2784" s="3">
        <v>5</v>
      </c>
      <c r="C2784" s="3">
        <v>1</v>
      </c>
      <c r="D2784" s="3">
        <v>141</v>
      </c>
      <c r="E2784" s="3">
        <v>1</v>
      </c>
      <c r="F2784" s="4" t="str">
        <f>HYPERLINK("http://141.218.60.56/~jnz1568/getInfo.php?workbook=10_05.xlsx&amp;sheet=U0&amp;row=2784&amp;col=6&amp;number=3&amp;sourceID=14","3")</f>
        <v>3</v>
      </c>
      <c r="G2784" s="4" t="str">
        <f>HYPERLINK("http://141.218.60.56/~jnz1568/getInfo.php?workbook=10_05.xlsx&amp;sheet=U0&amp;row=2784&amp;col=7&amp;number=0.002&amp;sourceID=14","0.002")</f>
        <v>0.002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HYPERLINK("http://141.218.60.56/~jnz1568/getInfo.php?workbook=10_05.xlsx&amp;sheet=U0&amp;row=2785&amp;col=6&amp;number=3.1&amp;sourceID=14","3.1")</f>
        <v>3.1</v>
      </c>
      <c r="G2785" s="4" t="str">
        <f>HYPERLINK("http://141.218.60.56/~jnz1568/getInfo.php?workbook=10_05.xlsx&amp;sheet=U0&amp;row=2785&amp;col=7&amp;number=0.002&amp;sourceID=14","0.002")</f>
        <v>0.002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HYPERLINK("http://141.218.60.56/~jnz1568/getInfo.php?workbook=10_05.xlsx&amp;sheet=U0&amp;row=2786&amp;col=6&amp;number=3.2&amp;sourceID=14","3.2")</f>
        <v>3.2</v>
      </c>
      <c r="G2786" s="4" t="str">
        <f>HYPERLINK("http://141.218.60.56/~jnz1568/getInfo.php?workbook=10_05.xlsx&amp;sheet=U0&amp;row=2786&amp;col=7&amp;number=0.002&amp;sourceID=14","0.002")</f>
        <v>0.002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HYPERLINK("http://141.218.60.56/~jnz1568/getInfo.php?workbook=10_05.xlsx&amp;sheet=U0&amp;row=2787&amp;col=6&amp;number=3.3&amp;sourceID=14","3.3")</f>
        <v>3.3</v>
      </c>
      <c r="G2787" s="4" t="str">
        <f>HYPERLINK("http://141.218.60.56/~jnz1568/getInfo.php?workbook=10_05.xlsx&amp;sheet=U0&amp;row=2787&amp;col=7&amp;number=0.00199&amp;sourceID=14","0.00199")</f>
        <v>0.00199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HYPERLINK("http://141.218.60.56/~jnz1568/getInfo.php?workbook=10_05.xlsx&amp;sheet=U0&amp;row=2788&amp;col=6&amp;number=3.4&amp;sourceID=14","3.4")</f>
        <v>3.4</v>
      </c>
      <c r="G2788" s="4" t="str">
        <f>HYPERLINK("http://141.218.60.56/~jnz1568/getInfo.php?workbook=10_05.xlsx&amp;sheet=U0&amp;row=2788&amp;col=7&amp;number=0.00199&amp;sourceID=14","0.00199")</f>
        <v>0.00199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HYPERLINK("http://141.218.60.56/~jnz1568/getInfo.php?workbook=10_05.xlsx&amp;sheet=U0&amp;row=2789&amp;col=6&amp;number=3.5&amp;sourceID=14","3.5")</f>
        <v>3.5</v>
      </c>
      <c r="G2789" s="4" t="str">
        <f>HYPERLINK("http://141.218.60.56/~jnz1568/getInfo.php?workbook=10_05.xlsx&amp;sheet=U0&amp;row=2789&amp;col=7&amp;number=0.00199&amp;sourceID=14","0.00199")</f>
        <v>0.00199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HYPERLINK("http://141.218.60.56/~jnz1568/getInfo.php?workbook=10_05.xlsx&amp;sheet=U0&amp;row=2790&amp;col=6&amp;number=3.6&amp;sourceID=14","3.6")</f>
        <v>3.6</v>
      </c>
      <c r="G2790" s="4" t="str">
        <f>HYPERLINK("http://141.218.60.56/~jnz1568/getInfo.php?workbook=10_05.xlsx&amp;sheet=U0&amp;row=2790&amp;col=7&amp;number=0.00199&amp;sourceID=14","0.00199")</f>
        <v>0.00199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HYPERLINK("http://141.218.60.56/~jnz1568/getInfo.php?workbook=10_05.xlsx&amp;sheet=U0&amp;row=2791&amp;col=6&amp;number=3.7&amp;sourceID=14","3.7")</f>
        <v>3.7</v>
      </c>
      <c r="G2791" s="4" t="str">
        <f>HYPERLINK("http://141.218.60.56/~jnz1568/getInfo.php?workbook=10_05.xlsx&amp;sheet=U0&amp;row=2791&amp;col=7&amp;number=0.00198&amp;sourceID=14","0.00198")</f>
        <v>0.00198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HYPERLINK("http://141.218.60.56/~jnz1568/getInfo.php?workbook=10_05.xlsx&amp;sheet=U0&amp;row=2792&amp;col=6&amp;number=3.8&amp;sourceID=14","3.8")</f>
        <v>3.8</v>
      </c>
      <c r="G2792" s="4" t="str">
        <f>HYPERLINK("http://141.218.60.56/~jnz1568/getInfo.php?workbook=10_05.xlsx&amp;sheet=U0&amp;row=2792&amp;col=7&amp;number=0.00198&amp;sourceID=14","0.00198")</f>
        <v>0.00198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HYPERLINK("http://141.218.60.56/~jnz1568/getInfo.php?workbook=10_05.xlsx&amp;sheet=U0&amp;row=2793&amp;col=6&amp;number=3.9&amp;sourceID=14","3.9")</f>
        <v>3.9</v>
      </c>
      <c r="G2793" s="4" t="str">
        <f>HYPERLINK("http://141.218.60.56/~jnz1568/getInfo.php?workbook=10_05.xlsx&amp;sheet=U0&amp;row=2793&amp;col=7&amp;number=0.00197&amp;sourceID=14","0.00197")</f>
        <v>0.00197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HYPERLINK("http://141.218.60.56/~jnz1568/getInfo.php?workbook=10_05.xlsx&amp;sheet=U0&amp;row=2794&amp;col=6&amp;number=4&amp;sourceID=14","4")</f>
        <v>4</v>
      </c>
      <c r="G2794" s="4" t="str">
        <f>HYPERLINK("http://141.218.60.56/~jnz1568/getInfo.php?workbook=10_05.xlsx&amp;sheet=U0&amp;row=2794&amp;col=7&amp;number=0.00196&amp;sourceID=14","0.00196")</f>
        <v>0.00196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HYPERLINK("http://141.218.60.56/~jnz1568/getInfo.php?workbook=10_05.xlsx&amp;sheet=U0&amp;row=2795&amp;col=6&amp;number=4.1&amp;sourceID=14","4.1")</f>
        <v>4.1</v>
      </c>
      <c r="G2795" s="4" t="str">
        <f>HYPERLINK("http://141.218.60.56/~jnz1568/getInfo.php?workbook=10_05.xlsx&amp;sheet=U0&amp;row=2795&amp;col=7&amp;number=0.00196&amp;sourceID=14","0.00196")</f>
        <v>0.00196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HYPERLINK("http://141.218.60.56/~jnz1568/getInfo.php?workbook=10_05.xlsx&amp;sheet=U0&amp;row=2796&amp;col=6&amp;number=4.2&amp;sourceID=14","4.2")</f>
        <v>4.2</v>
      </c>
      <c r="G2796" s="4" t="str">
        <f>HYPERLINK("http://141.218.60.56/~jnz1568/getInfo.php?workbook=10_05.xlsx&amp;sheet=U0&amp;row=2796&amp;col=7&amp;number=0.00195&amp;sourceID=14","0.00195")</f>
        <v>0.00195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HYPERLINK("http://141.218.60.56/~jnz1568/getInfo.php?workbook=10_05.xlsx&amp;sheet=U0&amp;row=2797&amp;col=6&amp;number=4.3&amp;sourceID=14","4.3")</f>
        <v>4.3</v>
      </c>
      <c r="G2797" s="4" t="str">
        <f>HYPERLINK("http://141.218.60.56/~jnz1568/getInfo.php?workbook=10_05.xlsx&amp;sheet=U0&amp;row=2797&amp;col=7&amp;number=0.00194&amp;sourceID=14","0.00194")</f>
        <v>0.00194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HYPERLINK("http://141.218.60.56/~jnz1568/getInfo.php?workbook=10_05.xlsx&amp;sheet=U0&amp;row=2798&amp;col=6&amp;number=4.4&amp;sourceID=14","4.4")</f>
        <v>4.4</v>
      </c>
      <c r="G2798" s="4" t="str">
        <f>HYPERLINK("http://141.218.60.56/~jnz1568/getInfo.php?workbook=10_05.xlsx&amp;sheet=U0&amp;row=2798&amp;col=7&amp;number=0.00193&amp;sourceID=14","0.00193")</f>
        <v>0.00193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HYPERLINK("http://141.218.60.56/~jnz1568/getInfo.php?workbook=10_05.xlsx&amp;sheet=U0&amp;row=2799&amp;col=6&amp;number=4.5&amp;sourceID=14","4.5")</f>
        <v>4.5</v>
      </c>
      <c r="G2799" s="4" t="str">
        <f>HYPERLINK("http://141.218.60.56/~jnz1568/getInfo.php?workbook=10_05.xlsx&amp;sheet=U0&amp;row=2799&amp;col=7&amp;number=0.00192&amp;sourceID=14","0.00192")</f>
        <v>0.00192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HYPERLINK("http://141.218.60.56/~jnz1568/getInfo.php?workbook=10_05.xlsx&amp;sheet=U0&amp;row=2800&amp;col=6&amp;number=4.6&amp;sourceID=14","4.6")</f>
        <v>4.6</v>
      </c>
      <c r="G2800" s="4" t="str">
        <f>HYPERLINK("http://141.218.60.56/~jnz1568/getInfo.php?workbook=10_05.xlsx&amp;sheet=U0&amp;row=2800&amp;col=7&amp;number=0.00191&amp;sourceID=14","0.00191")</f>
        <v>0.00191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HYPERLINK("http://141.218.60.56/~jnz1568/getInfo.php?workbook=10_05.xlsx&amp;sheet=U0&amp;row=2801&amp;col=6&amp;number=4.7&amp;sourceID=14","4.7")</f>
        <v>4.7</v>
      </c>
      <c r="G2801" s="4" t="str">
        <f>HYPERLINK("http://141.218.60.56/~jnz1568/getInfo.php?workbook=10_05.xlsx&amp;sheet=U0&amp;row=2801&amp;col=7&amp;number=0.0019&amp;sourceID=14","0.0019")</f>
        <v>0.0019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HYPERLINK("http://141.218.60.56/~jnz1568/getInfo.php?workbook=10_05.xlsx&amp;sheet=U0&amp;row=2802&amp;col=6&amp;number=4.8&amp;sourceID=14","4.8")</f>
        <v>4.8</v>
      </c>
      <c r="G2802" s="4" t="str">
        <f>HYPERLINK("http://141.218.60.56/~jnz1568/getInfo.php?workbook=10_05.xlsx&amp;sheet=U0&amp;row=2802&amp;col=7&amp;number=0.00189&amp;sourceID=14","0.00189")</f>
        <v>0.00189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HYPERLINK("http://141.218.60.56/~jnz1568/getInfo.php?workbook=10_05.xlsx&amp;sheet=U0&amp;row=2803&amp;col=6&amp;number=4.9&amp;sourceID=14","4.9")</f>
        <v>4.9</v>
      </c>
      <c r="G2803" s="4" t="str">
        <f>HYPERLINK("http://141.218.60.56/~jnz1568/getInfo.php?workbook=10_05.xlsx&amp;sheet=U0&amp;row=2803&amp;col=7&amp;number=0.00187&amp;sourceID=14","0.00187")</f>
        <v>0.00187</v>
      </c>
    </row>
    <row r="2804" spans="1:7">
      <c r="A2804" s="3">
        <v>10</v>
      </c>
      <c r="B2804" s="3">
        <v>5</v>
      </c>
      <c r="C2804" s="3">
        <v>1</v>
      </c>
      <c r="D2804" s="3">
        <v>142</v>
      </c>
      <c r="E2804" s="3">
        <v>1</v>
      </c>
      <c r="F2804" s="4" t="str">
        <f>HYPERLINK("http://141.218.60.56/~jnz1568/getInfo.php?workbook=10_05.xlsx&amp;sheet=U0&amp;row=2804&amp;col=6&amp;number=3&amp;sourceID=14","3")</f>
        <v>3</v>
      </c>
      <c r="G2804" s="4" t="str">
        <f>HYPERLINK("http://141.218.60.56/~jnz1568/getInfo.php?workbook=10_05.xlsx&amp;sheet=U0&amp;row=2804&amp;col=7&amp;number=0.00402&amp;sourceID=14","0.00402")</f>
        <v>0.00402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HYPERLINK("http://141.218.60.56/~jnz1568/getInfo.php?workbook=10_05.xlsx&amp;sheet=U0&amp;row=2805&amp;col=6&amp;number=3.1&amp;sourceID=14","3.1")</f>
        <v>3.1</v>
      </c>
      <c r="G2805" s="4" t="str">
        <f>HYPERLINK("http://141.218.60.56/~jnz1568/getInfo.php?workbook=10_05.xlsx&amp;sheet=U0&amp;row=2805&amp;col=7&amp;number=0.00402&amp;sourceID=14","0.00402")</f>
        <v>0.00402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HYPERLINK("http://141.218.60.56/~jnz1568/getInfo.php?workbook=10_05.xlsx&amp;sheet=U0&amp;row=2806&amp;col=6&amp;number=3.2&amp;sourceID=14","3.2")</f>
        <v>3.2</v>
      </c>
      <c r="G2806" s="4" t="str">
        <f>HYPERLINK("http://141.218.60.56/~jnz1568/getInfo.php?workbook=10_05.xlsx&amp;sheet=U0&amp;row=2806&amp;col=7&amp;number=0.00402&amp;sourceID=14","0.00402")</f>
        <v>0.00402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HYPERLINK("http://141.218.60.56/~jnz1568/getInfo.php?workbook=10_05.xlsx&amp;sheet=U0&amp;row=2807&amp;col=6&amp;number=3.3&amp;sourceID=14","3.3")</f>
        <v>3.3</v>
      </c>
      <c r="G2807" s="4" t="str">
        <f>HYPERLINK("http://141.218.60.56/~jnz1568/getInfo.php?workbook=10_05.xlsx&amp;sheet=U0&amp;row=2807&amp;col=7&amp;number=0.00402&amp;sourceID=14","0.00402")</f>
        <v>0.00402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HYPERLINK("http://141.218.60.56/~jnz1568/getInfo.php?workbook=10_05.xlsx&amp;sheet=U0&amp;row=2808&amp;col=6&amp;number=3.4&amp;sourceID=14","3.4")</f>
        <v>3.4</v>
      </c>
      <c r="G2808" s="4" t="str">
        <f>HYPERLINK("http://141.218.60.56/~jnz1568/getInfo.php?workbook=10_05.xlsx&amp;sheet=U0&amp;row=2808&amp;col=7&amp;number=0.00402&amp;sourceID=14","0.00402")</f>
        <v>0.00402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HYPERLINK("http://141.218.60.56/~jnz1568/getInfo.php?workbook=10_05.xlsx&amp;sheet=U0&amp;row=2809&amp;col=6&amp;number=3.5&amp;sourceID=14","3.5")</f>
        <v>3.5</v>
      </c>
      <c r="G2809" s="4" t="str">
        <f>HYPERLINK("http://141.218.60.56/~jnz1568/getInfo.php?workbook=10_05.xlsx&amp;sheet=U0&amp;row=2809&amp;col=7&amp;number=0.00402&amp;sourceID=14","0.00402")</f>
        <v>0.00402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HYPERLINK("http://141.218.60.56/~jnz1568/getInfo.php?workbook=10_05.xlsx&amp;sheet=U0&amp;row=2810&amp;col=6&amp;number=3.6&amp;sourceID=14","3.6")</f>
        <v>3.6</v>
      </c>
      <c r="G2810" s="4" t="str">
        <f>HYPERLINK("http://141.218.60.56/~jnz1568/getInfo.php?workbook=10_05.xlsx&amp;sheet=U0&amp;row=2810&amp;col=7&amp;number=0.00402&amp;sourceID=14","0.00402")</f>
        <v>0.00402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HYPERLINK("http://141.218.60.56/~jnz1568/getInfo.php?workbook=10_05.xlsx&amp;sheet=U0&amp;row=2811&amp;col=6&amp;number=3.7&amp;sourceID=14","3.7")</f>
        <v>3.7</v>
      </c>
      <c r="G2811" s="4" t="str">
        <f>HYPERLINK("http://141.218.60.56/~jnz1568/getInfo.php?workbook=10_05.xlsx&amp;sheet=U0&amp;row=2811&amp;col=7&amp;number=0.00401&amp;sourceID=14","0.00401")</f>
        <v>0.00401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HYPERLINK("http://141.218.60.56/~jnz1568/getInfo.php?workbook=10_05.xlsx&amp;sheet=U0&amp;row=2812&amp;col=6&amp;number=3.8&amp;sourceID=14","3.8")</f>
        <v>3.8</v>
      </c>
      <c r="G2812" s="4" t="str">
        <f>HYPERLINK("http://141.218.60.56/~jnz1568/getInfo.php?workbook=10_05.xlsx&amp;sheet=U0&amp;row=2812&amp;col=7&amp;number=0.00401&amp;sourceID=14","0.00401")</f>
        <v>0.00401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HYPERLINK("http://141.218.60.56/~jnz1568/getInfo.php?workbook=10_05.xlsx&amp;sheet=U0&amp;row=2813&amp;col=6&amp;number=3.9&amp;sourceID=14","3.9")</f>
        <v>3.9</v>
      </c>
      <c r="G2813" s="4" t="str">
        <f>HYPERLINK("http://141.218.60.56/~jnz1568/getInfo.php?workbook=10_05.xlsx&amp;sheet=U0&amp;row=2813&amp;col=7&amp;number=0.00401&amp;sourceID=14","0.00401")</f>
        <v>0.00401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HYPERLINK("http://141.218.60.56/~jnz1568/getInfo.php?workbook=10_05.xlsx&amp;sheet=U0&amp;row=2814&amp;col=6&amp;number=4&amp;sourceID=14","4")</f>
        <v>4</v>
      </c>
      <c r="G2814" s="4" t="str">
        <f>HYPERLINK("http://141.218.60.56/~jnz1568/getInfo.php?workbook=10_05.xlsx&amp;sheet=U0&amp;row=2814&amp;col=7&amp;number=0.004&amp;sourceID=14","0.004")</f>
        <v>0.004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HYPERLINK("http://141.218.60.56/~jnz1568/getInfo.php?workbook=10_05.xlsx&amp;sheet=U0&amp;row=2815&amp;col=6&amp;number=4.1&amp;sourceID=14","4.1")</f>
        <v>4.1</v>
      </c>
      <c r="G2815" s="4" t="str">
        <f>HYPERLINK("http://141.218.60.56/~jnz1568/getInfo.php?workbook=10_05.xlsx&amp;sheet=U0&amp;row=2815&amp;col=7&amp;number=0.004&amp;sourceID=14","0.004")</f>
        <v>0.004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HYPERLINK("http://141.218.60.56/~jnz1568/getInfo.php?workbook=10_05.xlsx&amp;sheet=U0&amp;row=2816&amp;col=6&amp;number=4.2&amp;sourceID=14","4.2")</f>
        <v>4.2</v>
      </c>
      <c r="G2816" s="4" t="str">
        <f>HYPERLINK("http://141.218.60.56/~jnz1568/getInfo.php?workbook=10_05.xlsx&amp;sheet=U0&amp;row=2816&amp;col=7&amp;number=0.00399&amp;sourceID=14","0.00399")</f>
        <v>0.00399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HYPERLINK("http://141.218.60.56/~jnz1568/getInfo.php?workbook=10_05.xlsx&amp;sheet=U0&amp;row=2817&amp;col=6&amp;number=4.3&amp;sourceID=14","4.3")</f>
        <v>4.3</v>
      </c>
      <c r="G2817" s="4" t="str">
        <f>HYPERLINK("http://141.218.60.56/~jnz1568/getInfo.php?workbook=10_05.xlsx&amp;sheet=U0&amp;row=2817&amp;col=7&amp;number=0.00398&amp;sourceID=14","0.00398")</f>
        <v>0.00398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HYPERLINK("http://141.218.60.56/~jnz1568/getInfo.php?workbook=10_05.xlsx&amp;sheet=U0&amp;row=2818&amp;col=6&amp;number=4.4&amp;sourceID=14","4.4")</f>
        <v>4.4</v>
      </c>
      <c r="G2818" s="4" t="str">
        <f>HYPERLINK("http://141.218.60.56/~jnz1568/getInfo.php?workbook=10_05.xlsx&amp;sheet=U0&amp;row=2818&amp;col=7&amp;number=0.00397&amp;sourceID=14","0.00397")</f>
        <v>0.00397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HYPERLINK("http://141.218.60.56/~jnz1568/getInfo.php?workbook=10_05.xlsx&amp;sheet=U0&amp;row=2819&amp;col=6&amp;number=4.5&amp;sourceID=14","4.5")</f>
        <v>4.5</v>
      </c>
      <c r="G2819" s="4" t="str">
        <f>HYPERLINK("http://141.218.60.56/~jnz1568/getInfo.php?workbook=10_05.xlsx&amp;sheet=U0&amp;row=2819&amp;col=7&amp;number=0.00395&amp;sourceID=14","0.00395")</f>
        <v>0.00395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HYPERLINK("http://141.218.60.56/~jnz1568/getInfo.php?workbook=10_05.xlsx&amp;sheet=U0&amp;row=2820&amp;col=6&amp;number=4.6&amp;sourceID=14","4.6")</f>
        <v>4.6</v>
      </c>
      <c r="G2820" s="4" t="str">
        <f>HYPERLINK("http://141.218.60.56/~jnz1568/getInfo.php?workbook=10_05.xlsx&amp;sheet=U0&amp;row=2820&amp;col=7&amp;number=0.00392&amp;sourceID=14","0.00392")</f>
        <v>0.00392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HYPERLINK("http://141.218.60.56/~jnz1568/getInfo.php?workbook=10_05.xlsx&amp;sheet=U0&amp;row=2821&amp;col=6&amp;number=4.7&amp;sourceID=14","4.7")</f>
        <v>4.7</v>
      </c>
      <c r="G2821" s="4" t="str">
        <f>HYPERLINK("http://141.218.60.56/~jnz1568/getInfo.php?workbook=10_05.xlsx&amp;sheet=U0&amp;row=2821&amp;col=7&amp;number=0.0039&amp;sourceID=14","0.0039")</f>
        <v>0.0039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HYPERLINK("http://141.218.60.56/~jnz1568/getInfo.php?workbook=10_05.xlsx&amp;sheet=U0&amp;row=2822&amp;col=6&amp;number=4.8&amp;sourceID=14","4.8")</f>
        <v>4.8</v>
      </c>
      <c r="G2822" s="4" t="str">
        <f>HYPERLINK("http://141.218.60.56/~jnz1568/getInfo.php?workbook=10_05.xlsx&amp;sheet=U0&amp;row=2822&amp;col=7&amp;number=0.00387&amp;sourceID=14","0.00387")</f>
        <v>0.00387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HYPERLINK("http://141.218.60.56/~jnz1568/getInfo.php?workbook=10_05.xlsx&amp;sheet=U0&amp;row=2823&amp;col=6&amp;number=4.9&amp;sourceID=14","4.9")</f>
        <v>4.9</v>
      </c>
      <c r="G2823" s="4" t="str">
        <f>HYPERLINK("http://141.218.60.56/~jnz1568/getInfo.php?workbook=10_05.xlsx&amp;sheet=U0&amp;row=2823&amp;col=7&amp;number=0.00384&amp;sourceID=14","0.00384")</f>
        <v>0.00384</v>
      </c>
    </row>
    <row r="2824" spans="1:7">
      <c r="A2824" s="3">
        <v>10</v>
      </c>
      <c r="B2824" s="3">
        <v>5</v>
      </c>
      <c r="C2824" s="3">
        <v>1</v>
      </c>
      <c r="D2824" s="3">
        <v>143</v>
      </c>
      <c r="E2824" s="3">
        <v>1</v>
      </c>
      <c r="F2824" s="4" t="str">
        <f>HYPERLINK("http://141.218.60.56/~jnz1568/getInfo.php?workbook=10_05.xlsx&amp;sheet=U0&amp;row=2824&amp;col=6&amp;number=3&amp;sourceID=14","3")</f>
        <v>3</v>
      </c>
      <c r="G2824" s="4" t="str">
        <f>HYPERLINK("http://141.218.60.56/~jnz1568/getInfo.php?workbook=10_05.xlsx&amp;sheet=U0&amp;row=2824&amp;col=7&amp;number=0.00634&amp;sourceID=14","0.00634")</f>
        <v>0.00634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HYPERLINK("http://141.218.60.56/~jnz1568/getInfo.php?workbook=10_05.xlsx&amp;sheet=U0&amp;row=2825&amp;col=6&amp;number=3.1&amp;sourceID=14","3.1")</f>
        <v>3.1</v>
      </c>
      <c r="G2825" s="4" t="str">
        <f>HYPERLINK("http://141.218.60.56/~jnz1568/getInfo.php?workbook=10_05.xlsx&amp;sheet=U0&amp;row=2825&amp;col=7&amp;number=0.00633&amp;sourceID=14","0.00633")</f>
        <v>0.00633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HYPERLINK("http://141.218.60.56/~jnz1568/getInfo.php?workbook=10_05.xlsx&amp;sheet=U0&amp;row=2826&amp;col=6&amp;number=3.2&amp;sourceID=14","3.2")</f>
        <v>3.2</v>
      </c>
      <c r="G2826" s="4" t="str">
        <f>HYPERLINK("http://141.218.60.56/~jnz1568/getInfo.php?workbook=10_05.xlsx&amp;sheet=U0&amp;row=2826&amp;col=7&amp;number=0.00633&amp;sourceID=14","0.00633")</f>
        <v>0.00633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HYPERLINK("http://141.218.60.56/~jnz1568/getInfo.php?workbook=10_05.xlsx&amp;sheet=U0&amp;row=2827&amp;col=6&amp;number=3.3&amp;sourceID=14","3.3")</f>
        <v>3.3</v>
      </c>
      <c r="G2827" s="4" t="str">
        <f>HYPERLINK("http://141.218.60.56/~jnz1568/getInfo.php?workbook=10_05.xlsx&amp;sheet=U0&amp;row=2827&amp;col=7&amp;number=0.00633&amp;sourceID=14","0.00633")</f>
        <v>0.00633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HYPERLINK("http://141.218.60.56/~jnz1568/getInfo.php?workbook=10_05.xlsx&amp;sheet=U0&amp;row=2828&amp;col=6&amp;number=3.4&amp;sourceID=14","3.4")</f>
        <v>3.4</v>
      </c>
      <c r="G2828" s="4" t="str">
        <f>HYPERLINK("http://141.218.60.56/~jnz1568/getInfo.php?workbook=10_05.xlsx&amp;sheet=U0&amp;row=2828&amp;col=7&amp;number=0.00632&amp;sourceID=14","0.00632")</f>
        <v>0.00632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HYPERLINK("http://141.218.60.56/~jnz1568/getInfo.php?workbook=10_05.xlsx&amp;sheet=U0&amp;row=2829&amp;col=6&amp;number=3.5&amp;sourceID=14","3.5")</f>
        <v>3.5</v>
      </c>
      <c r="G2829" s="4" t="str">
        <f>HYPERLINK("http://141.218.60.56/~jnz1568/getInfo.php?workbook=10_05.xlsx&amp;sheet=U0&amp;row=2829&amp;col=7&amp;number=0.00631&amp;sourceID=14","0.00631")</f>
        <v>0.00631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HYPERLINK("http://141.218.60.56/~jnz1568/getInfo.php?workbook=10_05.xlsx&amp;sheet=U0&amp;row=2830&amp;col=6&amp;number=3.6&amp;sourceID=14","3.6")</f>
        <v>3.6</v>
      </c>
      <c r="G2830" s="4" t="str">
        <f>HYPERLINK("http://141.218.60.56/~jnz1568/getInfo.php?workbook=10_05.xlsx&amp;sheet=U0&amp;row=2830&amp;col=7&amp;number=0.0063&amp;sourceID=14","0.0063")</f>
        <v>0.0063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HYPERLINK("http://141.218.60.56/~jnz1568/getInfo.php?workbook=10_05.xlsx&amp;sheet=U0&amp;row=2831&amp;col=6&amp;number=3.7&amp;sourceID=14","3.7")</f>
        <v>3.7</v>
      </c>
      <c r="G2831" s="4" t="str">
        <f>HYPERLINK("http://141.218.60.56/~jnz1568/getInfo.php?workbook=10_05.xlsx&amp;sheet=U0&amp;row=2831&amp;col=7&amp;number=0.00629&amp;sourceID=14","0.00629")</f>
        <v>0.00629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HYPERLINK("http://141.218.60.56/~jnz1568/getInfo.php?workbook=10_05.xlsx&amp;sheet=U0&amp;row=2832&amp;col=6&amp;number=3.8&amp;sourceID=14","3.8")</f>
        <v>3.8</v>
      </c>
      <c r="G2832" s="4" t="str">
        <f>HYPERLINK("http://141.218.60.56/~jnz1568/getInfo.php?workbook=10_05.xlsx&amp;sheet=U0&amp;row=2832&amp;col=7&amp;number=0.00627&amp;sourceID=14","0.00627")</f>
        <v>0.00627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HYPERLINK("http://141.218.60.56/~jnz1568/getInfo.php?workbook=10_05.xlsx&amp;sheet=U0&amp;row=2833&amp;col=6&amp;number=3.9&amp;sourceID=14","3.9")</f>
        <v>3.9</v>
      </c>
      <c r="G2833" s="4" t="str">
        <f>HYPERLINK("http://141.218.60.56/~jnz1568/getInfo.php?workbook=10_05.xlsx&amp;sheet=U0&amp;row=2833&amp;col=7&amp;number=0.00625&amp;sourceID=14","0.00625")</f>
        <v>0.00625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HYPERLINK("http://141.218.60.56/~jnz1568/getInfo.php?workbook=10_05.xlsx&amp;sheet=U0&amp;row=2834&amp;col=6&amp;number=4&amp;sourceID=14","4")</f>
        <v>4</v>
      </c>
      <c r="G2834" s="4" t="str">
        <f>HYPERLINK("http://141.218.60.56/~jnz1568/getInfo.php?workbook=10_05.xlsx&amp;sheet=U0&amp;row=2834&amp;col=7&amp;number=0.00623&amp;sourceID=14","0.00623")</f>
        <v>0.00623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HYPERLINK("http://141.218.60.56/~jnz1568/getInfo.php?workbook=10_05.xlsx&amp;sheet=U0&amp;row=2835&amp;col=6&amp;number=4.1&amp;sourceID=14","4.1")</f>
        <v>4.1</v>
      </c>
      <c r="G2835" s="4" t="str">
        <f>HYPERLINK("http://141.218.60.56/~jnz1568/getInfo.php?workbook=10_05.xlsx&amp;sheet=U0&amp;row=2835&amp;col=7&amp;number=0.00621&amp;sourceID=14","0.00621")</f>
        <v>0.00621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HYPERLINK("http://141.218.60.56/~jnz1568/getInfo.php?workbook=10_05.xlsx&amp;sheet=U0&amp;row=2836&amp;col=6&amp;number=4.2&amp;sourceID=14","4.2")</f>
        <v>4.2</v>
      </c>
      <c r="G2836" s="4" t="str">
        <f>HYPERLINK("http://141.218.60.56/~jnz1568/getInfo.php?workbook=10_05.xlsx&amp;sheet=U0&amp;row=2836&amp;col=7&amp;number=0.00618&amp;sourceID=14","0.00618")</f>
        <v>0.00618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HYPERLINK("http://141.218.60.56/~jnz1568/getInfo.php?workbook=10_05.xlsx&amp;sheet=U0&amp;row=2837&amp;col=6&amp;number=4.3&amp;sourceID=14","4.3")</f>
        <v>4.3</v>
      </c>
      <c r="G2837" s="4" t="str">
        <f>HYPERLINK("http://141.218.60.56/~jnz1568/getInfo.php?workbook=10_05.xlsx&amp;sheet=U0&amp;row=2837&amp;col=7&amp;number=0.00614&amp;sourceID=14","0.00614")</f>
        <v>0.00614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HYPERLINK("http://141.218.60.56/~jnz1568/getInfo.php?workbook=10_05.xlsx&amp;sheet=U0&amp;row=2838&amp;col=6&amp;number=4.4&amp;sourceID=14","4.4")</f>
        <v>4.4</v>
      </c>
      <c r="G2838" s="4" t="str">
        <f>HYPERLINK("http://141.218.60.56/~jnz1568/getInfo.php?workbook=10_05.xlsx&amp;sheet=U0&amp;row=2838&amp;col=7&amp;number=0.00611&amp;sourceID=14","0.00611")</f>
        <v>0.00611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HYPERLINK("http://141.218.60.56/~jnz1568/getInfo.php?workbook=10_05.xlsx&amp;sheet=U0&amp;row=2839&amp;col=6&amp;number=4.5&amp;sourceID=14","4.5")</f>
        <v>4.5</v>
      </c>
      <c r="G2839" s="4" t="str">
        <f>HYPERLINK("http://141.218.60.56/~jnz1568/getInfo.php?workbook=10_05.xlsx&amp;sheet=U0&amp;row=2839&amp;col=7&amp;number=0.00608&amp;sourceID=14","0.00608")</f>
        <v>0.00608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HYPERLINK("http://141.218.60.56/~jnz1568/getInfo.php?workbook=10_05.xlsx&amp;sheet=U0&amp;row=2840&amp;col=6&amp;number=4.6&amp;sourceID=14","4.6")</f>
        <v>4.6</v>
      </c>
      <c r="G2840" s="4" t="str">
        <f>HYPERLINK("http://141.218.60.56/~jnz1568/getInfo.php?workbook=10_05.xlsx&amp;sheet=U0&amp;row=2840&amp;col=7&amp;number=0.00605&amp;sourceID=14","0.00605")</f>
        <v>0.00605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HYPERLINK("http://141.218.60.56/~jnz1568/getInfo.php?workbook=10_05.xlsx&amp;sheet=U0&amp;row=2841&amp;col=6&amp;number=4.7&amp;sourceID=14","4.7")</f>
        <v>4.7</v>
      </c>
      <c r="G2841" s="4" t="str">
        <f>HYPERLINK("http://141.218.60.56/~jnz1568/getInfo.php?workbook=10_05.xlsx&amp;sheet=U0&amp;row=2841&amp;col=7&amp;number=0.00602&amp;sourceID=14","0.00602")</f>
        <v>0.00602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HYPERLINK("http://141.218.60.56/~jnz1568/getInfo.php?workbook=10_05.xlsx&amp;sheet=U0&amp;row=2842&amp;col=6&amp;number=4.8&amp;sourceID=14","4.8")</f>
        <v>4.8</v>
      </c>
      <c r="G2842" s="4" t="str">
        <f>HYPERLINK("http://141.218.60.56/~jnz1568/getInfo.php?workbook=10_05.xlsx&amp;sheet=U0&amp;row=2842&amp;col=7&amp;number=0.00599&amp;sourceID=14","0.00599")</f>
        <v>0.00599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HYPERLINK("http://141.218.60.56/~jnz1568/getInfo.php?workbook=10_05.xlsx&amp;sheet=U0&amp;row=2843&amp;col=6&amp;number=4.9&amp;sourceID=14","4.9")</f>
        <v>4.9</v>
      </c>
      <c r="G2843" s="4" t="str">
        <f>HYPERLINK("http://141.218.60.56/~jnz1568/getInfo.php?workbook=10_05.xlsx&amp;sheet=U0&amp;row=2843&amp;col=7&amp;number=0.00594&amp;sourceID=14","0.00594")</f>
        <v>0.00594</v>
      </c>
    </row>
    <row r="2844" spans="1:7">
      <c r="A2844" s="3">
        <v>10</v>
      </c>
      <c r="B2844" s="3">
        <v>5</v>
      </c>
      <c r="C2844" s="3">
        <v>1</v>
      </c>
      <c r="D2844" s="3">
        <v>144</v>
      </c>
      <c r="E2844" s="3">
        <v>1</v>
      </c>
      <c r="F2844" s="4" t="str">
        <f>HYPERLINK("http://141.218.60.56/~jnz1568/getInfo.php?workbook=10_05.xlsx&amp;sheet=U0&amp;row=2844&amp;col=6&amp;number=3&amp;sourceID=14","3")</f>
        <v>3</v>
      </c>
      <c r="G2844" s="4" t="str">
        <f>HYPERLINK("http://141.218.60.56/~jnz1568/getInfo.php?workbook=10_05.xlsx&amp;sheet=U0&amp;row=2844&amp;col=7&amp;number=0.00283&amp;sourceID=14","0.00283")</f>
        <v>0.00283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HYPERLINK("http://141.218.60.56/~jnz1568/getInfo.php?workbook=10_05.xlsx&amp;sheet=U0&amp;row=2845&amp;col=6&amp;number=3.1&amp;sourceID=14","3.1")</f>
        <v>3.1</v>
      </c>
      <c r="G2845" s="4" t="str">
        <f>HYPERLINK("http://141.218.60.56/~jnz1568/getInfo.php?workbook=10_05.xlsx&amp;sheet=U0&amp;row=2845&amp;col=7&amp;number=0.00283&amp;sourceID=14","0.00283")</f>
        <v>0.00283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HYPERLINK("http://141.218.60.56/~jnz1568/getInfo.php?workbook=10_05.xlsx&amp;sheet=U0&amp;row=2846&amp;col=6&amp;number=3.2&amp;sourceID=14","3.2")</f>
        <v>3.2</v>
      </c>
      <c r="G2846" s="4" t="str">
        <f>HYPERLINK("http://141.218.60.56/~jnz1568/getInfo.php?workbook=10_05.xlsx&amp;sheet=U0&amp;row=2846&amp;col=7&amp;number=0.00282&amp;sourceID=14","0.00282")</f>
        <v>0.00282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HYPERLINK("http://141.218.60.56/~jnz1568/getInfo.php?workbook=10_05.xlsx&amp;sheet=U0&amp;row=2847&amp;col=6&amp;number=3.3&amp;sourceID=14","3.3")</f>
        <v>3.3</v>
      </c>
      <c r="G2847" s="4" t="str">
        <f>HYPERLINK("http://141.218.60.56/~jnz1568/getInfo.php?workbook=10_05.xlsx&amp;sheet=U0&amp;row=2847&amp;col=7&amp;number=0.00282&amp;sourceID=14","0.00282")</f>
        <v>0.00282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HYPERLINK("http://141.218.60.56/~jnz1568/getInfo.php?workbook=10_05.xlsx&amp;sheet=U0&amp;row=2848&amp;col=6&amp;number=3.4&amp;sourceID=14","3.4")</f>
        <v>3.4</v>
      </c>
      <c r="G2848" s="4" t="str">
        <f>HYPERLINK("http://141.218.60.56/~jnz1568/getInfo.php?workbook=10_05.xlsx&amp;sheet=U0&amp;row=2848&amp;col=7&amp;number=0.00281&amp;sourceID=14","0.00281")</f>
        <v>0.00281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HYPERLINK("http://141.218.60.56/~jnz1568/getInfo.php?workbook=10_05.xlsx&amp;sheet=U0&amp;row=2849&amp;col=6&amp;number=3.5&amp;sourceID=14","3.5")</f>
        <v>3.5</v>
      </c>
      <c r="G2849" s="4" t="str">
        <f>HYPERLINK("http://141.218.60.56/~jnz1568/getInfo.php?workbook=10_05.xlsx&amp;sheet=U0&amp;row=2849&amp;col=7&amp;number=0.00281&amp;sourceID=14","0.00281")</f>
        <v>0.00281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HYPERLINK("http://141.218.60.56/~jnz1568/getInfo.php?workbook=10_05.xlsx&amp;sheet=U0&amp;row=2850&amp;col=6&amp;number=3.6&amp;sourceID=14","3.6")</f>
        <v>3.6</v>
      </c>
      <c r="G2850" s="4" t="str">
        <f>HYPERLINK("http://141.218.60.56/~jnz1568/getInfo.php?workbook=10_05.xlsx&amp;sheet=U0&amp;row=2850&amp;col=7&amp;number=0.0028&amp;sourceID=14","0.0028")</f>
        <v>0.0028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HYPERLINK("http://141.218.60.56/~jnz1568/getInfo.php?workbook=10_05.xlsx&amp;sheet=U0&amp;row=2851&amp;col=6&amp;number=3.7&amp;sourceID=14","3.7")</f>
        <v>3.7</v>
      </c>
      <c r="G2851" s="4" t="str">
        <f>HYPERLINK("http://141.218.60.56/~jnz1568/getInfo.php?workbook=10_05.xlsx&amp;sheet=U0&amp;row=2851&amp;col=7&amp;number=0.00279&amp;sourceID=14","0.00279")</f>
        <v>0.00279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HYPERLINK("http://141.218.60.56/~jnz1568/getInfo.php?workbook=10_05.xlsx&amp;sheet=U0&amp;row=2852&amp;col=6&amp;number=3.8&amp;sourceID=14","3.8")</f>
        <v>3.8</v>
      </c>
      <c r="G2852" s="4" t="str">
        <f>HYPERLINK("http://141.218.60.56/~jnz1568/getInfo.php?workbook=10_05.xlsx&amp;sheet=U0&amp;row=2852&amp;col=7&amp;number=0.00278&amp;sourceID=14","0.00278")</f>
        <v>0.00278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HYPERLINK("http://141.218.60.56/~jnz1568/getInfo.php?workbook=10_05.xlsx&amp;sheet=U0&amp;row=2853&amp;col=6&amp;number=3.9&amp;sourceID=14","3.9")</f>
        <v>3.9</v>
      </c>
      <c r="G2853" s="4" t="str">
        <f>HYPERLINK("http://141.218.60.56/~jnz1568/getInfo.php?workbook=10_05.xlsx&amp;sheet=U0&amp;row=2853&amp;col=7&amp;number=0.00277&amp;sourceID=14","0.00277")</f>
        <v>0.00277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HYPERLINK("http://141.218.60.56/~jnz1568/getInfo.php?workbook=10_05.xlsx&amp;sheet=U0&amp;row=2854&amp;col=6&amp;number=4&amp;sourceID=14","4")</f>
        <v>4</v>
      </c>
      <c r="G2854" s="4" t="str">
        <f>HYPERLINK("http://141.218.60.56/~jnz1568/getInfo.php?workbook=10_05.xlsx&amp;sheet=U0&amp;row=2854&amp;col=7&amp;number=0.00275&amp;sourceID=14","0.00275")</f>
        <v>0.00275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HYPERLINK("http://141.218.60.56/~jnz1568/getInfo.php?workbook=10_05.xlsx&amp;sheet=U0&amp;row=2855&amp;col=6&amp;number=4.1&amp;sourceID=14","4.1")</f>
        <v>4.1</v>
      </c>
      <c r="G2855" s="4" t="str">
        <f>HYPERLINK("http://141.218.60.56/~jnz1568/getInfo.php?workbook=10_05.xlsx&amp;sheet=U0&amp;row=2855&amp;col=7&amp;number=0.00273&amp;sourceID=14","0.00273")</f>
        <v>0.00273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HYPERLINK("http://141.218.60.56/~jnz1568/getInfo.php?workbook=10_05.xlsx&amp;sheet=U0&amp;row=2856&amp;col=6&amp;number=4.2&amp;sourceID=14","4.2")</f>
        <v>4.2</v>
      </c>
      <c r="G2856" s="4" t="str">
        <f>HYPERLINK("http://141.218.60.56/~jnz1568/getInfo.php?workbook=10_05.xlsx&amp;sheet=U0&amp;row=2856&amp;col=7&amp;number=0.00271&amp;sourceID=14","0.00271")</f>
        <v>0.00271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HYPERLINK("http://141.218.60.56/~jnz1568/getInfo.php?workbook=10_05.xlsx&amp;sheet=U0&amp;row=2857&amp;col=6&amp;number=4.3&amp;sourceID=14","4.3")</f>
        <v>4.3</v>
      </c>
      <c r="G2857" s="4" t="str">
        <f>HYPERLINK("http://141.218.60.56/~jnz1568/getInfo.php?workbook=10_05.xlsx&amp;sheet=U0&amp;row=2857&amp;col=7&amp;number=0.00268&amp;sourceID=14","0.00268")</f>
        <v>0.00268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HYPERLINK("http://141.218.60.56/~jnz1568/getInfo.php?workbook=10_05.xlsx&amp;sheet=U0&amp;row=2858&amp;col=6&amp;number=4.4&amp;sourceID=14","4.4")</f>
        <v>4.4</v>
      </c>
      <c r="G2858" s="4" t="str">
        <f>HYPERLINK("http://141.218.60.56/~jnz1568/getInfo.php?workbook=10_05.xlsx&amp;sheet=U0&amp;row=2858&amp;col=7&amp;number=0.00266&amp;sourceID=14","0.00266")</f>
        <v>0.00266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HYPERLINK("http://141.218.60.56/~jnz1568/getInfo.php?workbook=10_05.xlsx&amp;sheet=U0&amp;row=2859&amp;col=6&amp;number=4.5&amp;sourceID=14","4.5")</f>
        <v>4.5</v>
      </c>
      <c r="G2859" s="4" t="str">
        <f>HYPERLINK("http://141.218.60.56/~jnz1568/getInfo.php?workbook=10_05.xlsx&amp;sheet=U0&amp;row=2859&amp;col=7&amp;number=0.00264&amp;sourceID=14","0.00264")</f>
        <v>0.00264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HYPERLINK("http://141.218.60.56/~jnz1568/getInfo.php?workbook=10_05.xlsx&amp;sheet=U0&amp;row=2860&amp;col=6&amp;number=4.6&amp;sourceID=14","4.6")</f>
        <v>4.6</v>
      </c>
      <c r="G2860" s="4" t="str">
        <f>HYPERLINK("http://141.218.60.56/~jnz1568/getInfo.php?workbook=10_05.xlsx&amp;sheet=U0&amp;row=2860&amp;col=7&amp;number=0.00261&amp;sourceID=14","0.00261")</f>
        <v>0.00261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HYPERLINK("http://141.218.60.56/~jnz1568/getInfo.php?workbook=10_05.xlsx&amp;sheet=U0&amp;row=2861&amp;col=6&amp;number=4.7&amp;sourceID=14","4.7")</f>
        <v>4.7</v>
      </c>
      <c r="G2861" s="4" t="str">
        <f>HYPERLINK("http://141.218.60.56/~jnz1568/getInfo.php?workbook=10_05.xlsx&amp;sheet=U0&amp;row=2861&amp;col=7&amp;number=0.00259&amp;sourceID=14","0.00259")</f>
        <v>0.00259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HYPERLINK("http://141.218.60.56/~jnz1568/getInfo.php?workbook=10_05.xlsx&amp;sheet=U0&amp;row=2862&amp;col=6&amp;number=4.8&amp;sourceID=14","4.8")</f>
        <v>4.8</v>
      </c>
      <c r="G2862" s="4" t="str">
        <f>HYPERLINK("http://141.218.60.56/~jnz1568/getInfo.php?workbook=10_05.xlsx&amp;sheet=U0&amp;row=2862&amp;col=7&amp;number=0.00257&amp;sourceID=14","0.00257")</f>
        <v>0.00257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HYPERLINK("http://141.218.60.56/~jnz1568/getInfo.php?workbook=10_05.xlsx&amp;sheet=U0&amp;row=2863&amp;col=6&amp;number=4.9&amp;sourceID=14","4.9")</f>
        <v>4.9</v>
      </c>
      <c r="G2863" s="4" t="str">
        <f>HYPERLINK("http://141.218.60.56/~jnz1568/getInfo.php?workbook=10_05.xlsx&amp;sheet=U0&amp;row=2863&amp;col=7&amp;number=0.00254&amp;sourceID=14","0.00254")</f>
        <v>0.00254</v>
      </c>
    </row>
    <row r="2864" spans="1:7">
      <c r="A2864" s="3">
        <v>10</v>
      </c>
      <c r="B2864" s="3">
        <v>5</v>
      </c>
      <c r="C2864" s="3">
        <v>1</v>
      </c>
      <c r="D2864" s="3">
        <v>145</v>
      </c>
      <c r="E2864" s="3">
        <v>1</v>
      </c>
      <c r="F2864" s="4" t="str">
        <f>HYPERLINK("http://141.218.60.56/~jnz1568/getInfo.php?workbook=10_05.xlsx&amp;sheet=U0&amp;row=2864&amp;col=6&amp;number=3&amp;sourceID=14","3")</f>
        <v>3</v>
      </c>
      <c r="G2864" s="4" t="str">
        <f>HYPERLINK("http://141.218.60.56/~jnz1568/getInfo.php?workbook=10_05.xlsx&amp;sheet=U0&amp;row=2864&amp;col=7&amp;number=0.00496&amp;sourceID=14","0.00496")</f>
        <v>0.00496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HYPERLINK("http://141.218.60.56/~jnz1568/getInfo.php?workbook=10_05.xlsx&amp;sheet=U0&amp;row=2865&amp;col=6&amp;number=3.1&amp;sourceID=14","3.1")</f>
        <v>3.1</v>
      </c>
      <c r="G2865" s="4" t="str">
        <f>HYPERLINK("http://141.218.60.56/~jnz1568/getInfo.php?workbook=10_05.xlsx&amp;sheet=U0&amp;row=2865&amp;col=7&amp;number=0.00496&amp;sourceID=14","0.00496")</f>
        <v>0.00496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HYPERLINK("http://141.218.60.56/~jnz1568/getInfo.php?workbook=10_05.xlsx&amp;sheet=U0&amp;row=2866&amp;col=6&amp;number=3.2&amp;sourceID=14","3.2")</f>
        <v>3.2</v>
      </c>
      <c r="G2866" s="4" t="str">
        <f>HYPERLINK("http://141.218.60.56/~jnz1568/getInfo.php?workbook=10_05.xlsx&amp;sheet=U0&amp;row=2866&amp;col=7&amp;number=0.00495&amp;sourceID=14","0.00495")</f>
        <v>0.00495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HYPERLINK("http://141.218.60.56/~jnz1568/getInfo.php?workbook=10_05.xlsx&amp;sheet=U0&amp;row=2867&amp;col=6&amp;number=3.3&amp;sourceID=14","3.3")</f>
        <v>3.3</v>
      </c>
      <c r="G2867" s="4" t="str">
        <f>HYPERLINK("http://141.218.60.56/~jnz1568/getInfo.php?workbook=10_05.xlsx&amp;sheet=U0&amp;row=2867&amp;col=7&amp;number=0.00495&amp;sourceID=14","0.00495")</f>
        <v>0.00495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HYPERLINK("http://141.218.60.56/~jnz1568/getInfo.php?workbook=10_05.xlsx&amp;sheet=U0&amp;row=2868&amp;col=6&amp;number=3.4&amp;sourceID=14","3.4")</f>
        <v>3.4</v>
      </c>
      <c r="G2868" s="4" t="str">
        <f>HYPERLINK("http://141.218.60.56/~jnz1568/getInfo.php?workbook=10_05.xlsx&amp;sheet=U0&amp;row=2868&amp;col=7&amp;number=0.00495&amp;sourceID=14","0.00495")</f>
        <v>0.00495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HYPERLINK("http://141.218.60.56/~jnz1568/getInfo.php?workbook=10_05.xlsx&amp;sheet=U0&amp;row=2869&amp;col=6&amp;number=3.5&amp;sourceID=14","3.5")</f>
        <v>3.5</v>
      </c>
      <c r="G2869" s="4" t="str">
        <f>HYPERLINK("http://141.218.60.56/~jnz1568/getInfo.php?workbook=10_05.xlsx&amp;sheet=U0&amp;row=2869&amp;col=7&amp;number=0.00494&amp;sourceID=14","0.00494")</f>
        <v>0.00494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HYPERLINK("http://141.218.60.56/~jnz1568/getInfo.php?workbook=10_05.xlsx&amp;sheet=U0&amp;row=2870&amp;col=6&amp;number=3.6&amp;sourceID=14","3.6")</f>
        <v>3.6</v>
      </c>
      <c r="G2870" s="4" t="str">
        <f>HYPERLINK("http://141.218.60.56/~jnz1568/getInfo.php?workbook=10_05.xlsx&amp;sheet=U0&amp;row=2870&amp;col=7&amp;number=0.00494&amp;sourceID=14","0.00494")</f>
        <v>0.00494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HYPERLINK("http://141.218.60.56/~jnz1568/getInfo.php?workbook=10_05.xlsx&amp;sheet=U0&amp;row=2871&amp;col=6&amp;number=3.7&amp;sourceID=14","3.7")</f>
        <v>3.7</v>
      </c>
      <c r="G2871" s="4" t="str">
        <f>HYPERLINK("http://141.218.60.56/~jnz1568/getInfo.php?workbook=10_05.xlsx&amp;sheet=U0&amp;row=2871&amp;col=7&amp;number=0.00493&amp;sourceID=14","0.00493")</f>
        <v>0.00493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HYPERLINK("http://141.218.60.56/~jnz1568/getInfo.php?workbook=10_05.xlsx&amp;sheet=U0&amp;row=2872&amp;col=6&amp;number=3.8&amp;sourceID=14","3.8")</f>
        <v>3.8</v>
      </c>
      <c r="G2872" s="4" t="str">
        <f>HYPERLINK("http://141.218.60.56/~jnz1568/getInfo.php?workbook=10_05.xlsx&amp;sheet=U0&amp;row=2872&amp;col=7&amp;number=0.00492&amp;sourceID=14","0.00492")</f>
        <v>0.00492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HYPERLINK("http://141.218.60.56/~jnz1568/getInfo.php?workbook=10_05.xlsx&amp;sheet=U0&amp;row=2873&amp;col=6&amp;number=3.9&amp;sourceID=14","3.9")</f>
        <v>3.9</v>
      </c>
      <c r="G2873" s="4" t="str">
        <f>HYPERLINK("http://141.218.60.56/~jnz1568/getInfo.php?workbook=10_05.xlsx&amp;sheet=U0&amp;row=2873&amp;col=7&amp;number=0.00491&amp;sourceID=14","0.00491")</f>
        <v>0.00491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HYPERLINK("http://141.218.60.56/~jnz1568/getInfo.php?workbook=10_05.xlsx&amp;sheet=U0&amp;row=2874&amp;col=6&amp;number=4&amp;sourceID=14","4")</f>
        <v>4</v>
      </c>
      <c r="G2874" s="4" t="str">
        <f>HYPERLINK("http://141.218.60.56/~jnz1568/getInfo.php?workbook=10_05.xlsx&amp;sheet=U0&amp;row=2874&amp;col=7&amp;number=0.0049&amp;sourceID=14","0.0049")</f>
        <v>0.0049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HYPERLINK("http://141.218.60.56/~jnz1568/getInfo.php?workbook=10_05.xlsx&amp;sheet=U0&amp;row=2875&amp;col=6&amp;number=4.1&amp;sourceID=14","4.1")</f>
        <v>4.1</v>
      </c>
      <c r="G2875" s="4" t="str">
        <f>HYPERLINK("http://141.218.60.56/~jnz1568/getInfo.php?workbook=10_05.xlsx&amp;sheet=U0&amp;row=2875&amp;col=7&amp;number=0.00489&amp;sourceID=14","0.00489")</f>
        <v>0.00489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HYPERLINK("http://141.218.60.56/~jnz1568/getInfo.php?workbook=10_05.xlsx&amp;sheet=U0&amp;row=2876&amp;col=6&amp;number=4.2&amp;sourceID=14","4.2")</f>
        <v>4.2</v>
      </c>
      <c r="G2876" s="4" t="str">
        <f>HYPERLINK("http://141.218.60.56/~jnz1568/getInfo.php?workbook=10_05.xlsx&amp;sheet=U0&amp;row=2876&amp;col=7&amp;number=0.00488&amp;sourceID=14","0.00488")</f>
        <v>0.00488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HYPERLINK("http://141.218.60.56/~jnz1568/getInfo.php?workbook=10_05.xlsx&amp;sheet=U0&amp;row=2877&amp;col=6&amp;number=4.3&amp;sourceID=14","4.3")</f>
        <v>4.3</v>
      </c>
      <c r="G2877" s="4" t="str">
        <f>HYPERLINK("http://141.218.60.56/~jnz1568/getInfo.php?workbook=10_05.xlsx&amp;sheet=U0&amp;row=2877&amp;col=7&amp;number=0.00487&amp;sourceID=14","0.00487")</f>
        <v>0.00487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HYPERLINK("http://141.218.60.56/~jnz1568/getInfo.php?workbook=10_05.xlsx&amp;sheet=U0&amp;row=2878&amp;col=6&amp;number=4.4&amp;sourceID=14","4.4")</f>
        <v>4.4</v>
      </c>
      <c r="G2878" s="4" t="str">
        <f>HYPERLINK("http://141.218.60.56/~jnz1568/getInfo.php?workbook=10_05.xlsx&amp;sheet=U0&amp;row=2878&amp;col=7&amp;number=0.00488&amp;sourceID=14","0.00488")</f>
        <v>0.00488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HYPERLINK("http://141.218.60.56/~jnz1568/getInfo.php?workbook=10_05.xlsx&amp;sheet=U0&amp;row=2879&amp;col=6&amp;number=4.5&amp;sourceID=14","4.5")</f>
        <v>4.5</v>
      </c>
      <c r="G2879" s="4" t="str">
        <f>HYPERLINK("http://141.218.60.56/~jnz1568/getInfo.php?workbook=10_05.xlsx&amp;sheet=U0&amp;row=2879&amp;col=7&amp;number=0.00491&amp;sourceID=14","0.00491")</f>
        <v>0.00491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HYPERLINK("http://141.218.60.56/~jnz1568/getInfo.php?workbook=10_05.xlsx&amp;sheet=U0&amp;row=2880&amp;col=6&amp;number=4.6&amp;sourceID=14","4.6")</f>
        <v>4.6</v>
      </c>
      <c r="G2880" s="4" t="str">
        <f>HYPERLINK("http://141.218.60.56/~jnz1568/getInfo.php?workbook=10_05.xlsx&amp;sheet=U0&amp;row=2880&amp;col=7&amp;number=0.00496&amp;sourceID=14","0.00496")</f>
        <v>0.00496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HYPERLINK("http://141.218.60.56/~jnz1568/getInfo.php?workbook=10_05.xlsx&amp;sheet=U0&amp;row=2881&amp;col=6&amp;number=4.7&amp;sourceID=14","4.7")</f>
        <v>4.7</v>
      </c>
      <c r="G2881" s="4" t="str">
        <f>HYPERLINK("http://141.218.60.56/~jnz1568/getInfo.php?workbook=10_05.xlsx&amp;sheet=U0&amp;row=2881&amp;col=7&amp;number=0.00503&amp;sourceID=14","0.00503")</f>
        <v>0.00503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HYPERLINK("http://141.218.60.56/~jnz1568/getInfo.php?workbook=10_05.xlsx&amp;sheet=U0&amp;row=2882&amp;col=6&amp;number=4.8&amp;sourceID=14","4.8")</f>
        <v>4.8</v>
      </c>
      <c r="G2882" s="4" t="str">
        <f>HYPERLINK("http://141.218.60.56/~jnz1568/getInfo.php?workbook=10_05.xlsx&amp;sheet=U0&amp;row=2882&amp;col=7&amp;number=0.0051&amp;sourceID=14","0.0051")</f>
        <v>0.0051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HYPERLINK("http://141.218.60.56/~jnz1568/getInfo.php?workbook=10_05.xlsx&amp;sheet=U0&amp;row=2883&amp;col=6&amp;number=4.9&amp;sourceID=14","4.9")</f>
        <v>4.9</v>
      </c>
      <c r="G2883" s="4" t="str">
        <f>HYPERLINK("http://141.218.60.56/~jnz1568/getInfo.php?workbook=10_05.xlsx&amp;sheet=U0&amp;row=2883&amp;col=7&amp;number=0.00517&amp;sourceID=14","0.00517")</f>
        <v>0.00517</v>
      </c>
    </row>
    <row r="2884" spans="1:7">
      <c r="A2884" s="3">
        <v>10</v>
      </c>
      <c r="B2884" s="3">
        <v>5</v>
      </c>
      <c r="C2884" s="3">
        <v>1</v>
      </c>
      <c r="D2884" s="3">
        <v>146</v>
      </c>
      <c r="E2884" s="3">
        <v>1</v>
      </c>
      <c r="F2884" s="4" t="str">
        <f>HYPERLINK("http://141.218.60.56/~jnz1568/getInfo.php?workbook=10_05.xlsx&amp;sheet=U0&amp;row=2884&amp;col=6&amp;number=3&amp;sourceID=14","3")</f>
        <v>3</v>
      </c>
      <c r="G2884" s="4" t="str">
        <f>HYPERLINK("http://141.218.60.56/~jnz1568/getInfo.php?workbook=10_05.xlsx&amp;sheet=U0&amp;row=2884&amp;col=7&amp;number=0.00481&amp;sourceID=14","0.00481")</f>
        <v>0.00481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HYPERLINK("http://141.218.60.56/~jnz1568/getInfo.php?workbook=10_05.xlsx&amp;sheet=U0&amp;row=2885&amp;col=6&amp;number=3.1&amp;sourceID=14","3.1")</f>
        <v>3.1</v>
      </c>
      <c r="G2885" s="4" t="str">
        <f>HYPERLINK("http://141.218.60.56/~jnz1568/getInfo.php?workbook=10_05.xlsx&amp;sheet=U0&amp;row=2885&amp;col=7&amp;number=0.00481&amp;sourceID=14","0.00481")</f>
        <v>0.00481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HYPERLINK("http://141.218.60.56/~jnz1568/getInfo.php?workbook=10_05.xlsx&amp;sheet=U0&amp;row=2886&amp;col=6&amp;number=3.2&amp;sourceID=14","3.2")</f>
        <v>3.2</v>
      </c>
      <c r="G2886" s="4" t="str">
        <f>HYPERLINK("http://141.218.60.56/~jnz1568/getInfo.php?workbook=10_05.xlsx&amp;sheet=U0&amp;row=2886&amp;col=7&amp;number=0.00481&amp;sourceID=14","0.00481")</f>
        <v>0.00481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HYPERLINK("http://141.218.60.56/~jnz1568/getInfo.php?workbook=10_05.xlsx&amp;sheet=U0&amp;row=2887&amp;col=6&amp;number=3.3&amp;sourceID=14","3.3")</f>
        <v>3.3</v>
      </c>
      <c r="G2887" s="4" t="str">
        <f>HYPERLINK("http://141.218.60.56/~jnz1568/getInfo.php?workbook=10_05.xlsx&amp;sheet=U0&amp;row=2887&amp;col=7&amp;number=0.00481&amp;sourceID=14","0.00481")</f>
        <v>0.00481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HYPERLINK("http://141.218.60.56/~jnz1568/getInfo.php?workbook=10_05.xlsx&amp;sheet=U0&amp;row=2888&amp;col=6&amp;number=3.4&amp;sourceID=14","3.4")</f>
        <v>3.4</v>
      </c>
      <c r="G2888" s="4" t="str">
        <f>HYPERLINK("http://141.218.60.56/~jnz1568/getInfo.php?workbook=10_05.xlsx&amp;sheet=U0&amp;row=2888&amp;col=7&amp;number=0.00481&amp;sourceID=14","0.00481")</f>
        <v>0.00481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HYPERLINK("http://141.218.60.56/~jnz1568/getInfo.php?workbook=10_05.xlsx&amp;sheet=U0&amp;row=2889&amp;col=6&amp;number=3.5&amp;sourceID=14","3.5")</f>
        <v>3.5</v>
      </c>
      <c r="G2889" s="4" t="str">
        <f>HYPERLINK("http://141.218.60.56/~jnz1568/getInfo.php?workbook=10_05.xlsx&amp;sheet=U0&amp;row=2889&amp;col=7&amp;number=0.0048&amp;sourceID=14","0.0048")</f>
        <v>0.0048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HYPERLINK("http://141.218.60.56/~jnz1568/getInfo.php?workbook=10_05.xlsx&amp;sheet=U0&amp;row=2890&amp;col=6&amp;number=3.6&amp;sourceID=14","3.6")</f>
        <v>3.6</v>
      </c>
      <c r="G2890" s="4" t="str">
        <f>HYPERLINK("http://141.218.60.56/~jnz1568/getInfo.php?workbook=10_05.xlsx&amp;sheet=U0&amp;row=2890&amp;col=7&amp;number=0.0048&amp;sourceID=14","0.0048")</f>
        <v>0.0048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HYPERLINK("http://141.218.60.56/~jnz1568/getInfo.php?workbook=10_05.xlsx&amp;sheet=U0&amp;row=2891&amp;col=6&amp;number=3.7&amp;sourceID=14","3.7")</f>
        <v>3.7</v>
      </c>
      <c r="G2891" s="4" t="str">
        <f>HYPERLINK("http://141.218.60.56/~jnz1568/getInfo.php?workbook=10_05.xlsx&amp;sheet=U0&amp;row=2891&amp;col=7&amp;number=0.00479&amp;sourceID=14","0.00479")</f>
        <v>0.00479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HYPERLINK("http://141.218.60.56/~jnz1568/getInfo.php?workbook=10_05.xlsx&amp;sheet=U0&amp;row=2892&amp;col=6&amp;number=3.8&amp;sourceID=14","3.8")</f>
        <v>3.8</v>
      </c>
      <c r="G2892" s="4" t="str">
        <f>HYPERLINK("http://141.218.60.56/~jnz1568/getInfo.php?workbook=10_05.xlsx&amp;sheet=U0&amp;row=2892&amp;col=7&amp;number=0.00479&amp;sourceID=14","0.00479")</f>
        <v>0.00479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HYPERLINK("http://141.218.60.56/~jnz1568/getInfo.php?workbook=10_05.xlsx&amp;sheet=U0&amp;row=2893&amp;col=6&amp;number=3.9&amp;sourceID=14","3.9")</f>
        <v>3.9</v>
      </c>
      <c r="G2893" s="4" t="str">
        <f>HYPERLINK("http://141.218.60.56/~jnz1568/getInfo.php?workbook=10_05.xlsx&amp;sheet=U0&amp;row=2893&amp;col=7&amp;number=0.00478&amp;sourceID=14","0.00478")</f>
        <v>0.00478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HYPERLINK("http://141.218.60.56/~jnz1568/getInfo.php?workbook=10_05.xlsx&amp;sheet=U0&amp;row=2894&amp;col=6&amp;number=4&amp;sourceID=14","4")</f>
        <v>4</v>
      </c>
      <c r="G2894" s="4" t="str">
        <f>HYPERLINK("http://141.218.60.56/~jnz1568/getInfo.php?workbook=10_05.xlsx&amp;sheet=U0&amp;row=2894&amp;col=7&amp;number=0.00477&amp;sourceID=14","0.00477")</f>
        <v>0.00477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HYPERLINK("http://141.218.60.56/~jnz1568/getInfo.php?workbook=10_05.xlsx&amp;sheet=U0&amp;row=2895&amp;col=6&amp;number=4.1&amp;sourceID=14","4.1")</f>
        <v>4.1</v>
      </c>
      <c r="G2895" s="4" t="str">
        <f>HYPERLINK("http://141.218.60.56/~jnz1568/getInfo.php?workbook=10_05.xlsx&amp;sheet=U0&amp;row=2895&amp;col=7&amp;number=0.00477&amp;sourceID=14","0.00477")</f>
        <v>0.00477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HYPERLINK("http://141.218.60.56/~jnz1568/getInfo.php?workbook=10_05.xlsx&amp;sheet=U0&amp;row=2896&amp;col=6&amp;number=4.2&amp;sourceID=14","4.2")</f>
        <v>4.2</v>
      </c>
      <c r="G2896" s="4" t="str">
        <f>HYPERLINK("http://141.218.60.56/~jnz1568/getInfo.php?workbook=10_05.xlsx&amp;sheet=U0&amp;row=2896&amp;col=7&amp;number=0.00476&amp;sourceID=14","0.00476")</f>
        <v>0.00476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HYPERLINK("http://141.218.60.56/~jnz1568/getInfo.php?workbook=10_05.xlsx&amp;sheet=U0&amp;row=2897&amp;col=6&amp;number=4.3&amp;sourceID=14","4.3")</f>
        <v>4.3</v>
      </c>
      <c r="G2897" s="4" t="str">
        <f>HYPERLINK("http://141.218.60.56/~jnz1568/getInfo.php?workbook=10_05.xlsx&amp;sheet=U0&amp;row=2897&amp;col=7&amp;number=0.00475&amp;sourceID=14","0.00475")</f>
        <v>0.00475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HYPERLINK("http://141.218.60.56/~jnz1568/getInfo.php?workbook=10_05.xlsx&amp;sheet=U0&amp;row=2898&amp;col=6&amp;number=4.4&amp;sourceID=14","4.4")</f>
        <v>4.4</v>
      </c>
      <c r="G2898" s="4" t="str">
        <f>HYPERLINK("http://141.218.60.56/~jnz1568/getInfo.php?workbook=10_05.xlsx&amp;sheet=U0&amp;row=2898&amp;col=7&amp;number=0.00476&amp;sourceID=14","0.00476")</f>
        <v>0.00476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HYPERLINK("http://141.218.60.56/~jnz1568/getInfo.php?workbook=10_05.xlsx&amp;sheet=U0&amp;row=2899&amp;col=6&amp;number=4.5&amp;sourceID=14","4.5")</f>
        <v>4.5</v>
      </c>
      <c r="G2899" s="4" t="str">
        <f>HYPERLINK("http://141.218.60.56/~jnz1568/getInfo.php?workbook=10_05.xlsx&amp;sheet=U0&amp;row=2899&amp;col=7&amp;number=0.00477&amp;sourceID=14","0.00477")</f>
        <v>0.00477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HYPERLINK("http://141.218.60.56/~jnz1568/getInfo.php?workbook=10_05.xlsx&amp;sheet=U0&amp;row=2900&amp;col=6&amp;number=4.6&amp;sourceID=14","4.6")</f>
        <v>4.6</v>
      </c>
      <c r="G2900" s="4" t="str">
        <f>HYPERLINK("http://141.218.60.56/~jnz1568/getInfo.php?workbook=10_05.xlsx&amp;sheet=U0&amp;row=2900&amp;col=7&amp;number=0.0048&amp;sourceID=14","0.0048")</f>
        <v>0.0048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HYPERLINK("http://141.218.60.56/~jnz1568/getInfo.php?workbook=10_05.xlsx&amp;sheet=U0&amp;row=2901&amp;col=6&amp;number=4.7&amp;sourceID=14","4.7")</f>
        <v>4.7</v>
      </c>
      <c r="G2901" s="4" t="str">
        <f>HYPERLINK("http://141.218.60.56/~jnz1568/getInfo.php?workbook=10_05.xlsx&amp;sheet=U0&amp;row=2901&amp;col=7&amp;number=0.00484&amp;sourceID=14","0.00484")</f>
        <v>0.00484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HYPERLINK("http://141.218.60.56/~jnz1568/getInfo.php?workbook=10_05.xlsx&amp;sheet=U0&amp;row=2902&amp;col=6&amp;number=4.8&amp;sourceID=14","4.8")</f>
        <v>4.8</v>
      </c>
      <c r="G2902" s="4" t="str">
        <f>HYPERLINK("http://141.218.60.56/~jnz1568/getInfo.php?workbook=10_05.xlsx&amp;sheet=U0&amp;row=2902&amp;col=7&amp;number=0.00489&amp;sourceID=14","0.00489")</f>
        <v>0.00489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HYPERLINK("http://141.218.60.56/~jnz1568/getInfo.php?workbook=10_05.xlsx&amp;sheet=U0&amp;row=2903&amp;col=6&amp;number=4.9&amp;sourceID=14","4.9")</f>
        <v>4.9</v>
      </c>
      <c r="G2903" s="4" t="str">
        <f>HYPERLINK("http://141.218.60.56/~jnz1568/getInfo.php?workbook=10_05.xlsx&amp;sheet=U0&amp;row=2903&amp;col=7&amp;number=0.00495&amp;sourceID=14","0.00495")</f>
        <v>0.00495</v>
      </c>
    </row>
    <row r="2904" spans="1:7">
      <c r="A2904" s="3">
        <v>10</v>
      </c>
      <c r="B2904" s="3">
        <v>5</v>
      </c>
      <c r="C2904" s="3">
        <v>1</v>
      </c>
      <c r="D2904" s="3">
        <v>147</v>
      </c>
      <c r="E2904" s="3">
        <v>1</v>
      </c>
      <c r="F2904" s="4" t="str">
        <f>HYPERLINK("http://141.218.60.56/~jnz1568/getInfo.php?workbook=10_05.xlsx&amp;sheet=U0&amp;row=2904&amp;col=6&amp;number=3&amp;sourceID=14","3")</f>
        <v>3</v>
      </c>
      <c r="G2904" s="4" t="str">
        <f>HYPERLINK("http://141.218.60.56/~jnz1568/getInfo.php?workbook=10_05.xlsx&amp;sheet=U0&amp;row=2904&amp;col=7&amp;number=0.00348&amp;sourceID=14","0.00348")</f>
        <v>0.00348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HYPERLINK("http://141.218.60.56/~jnz1568/getInfo.php?workbook=10_05.xlsx&amp;sheet=U0&amp;row=2905&amp;col=6&amp;number=3.1&amp;sourceID=14","3.1")</f>
        <v>3.1</v>
      </c>
      <c r="G2905" s="4" t="str">
        <f>HYPERLINK("http://141.218.60.56/~jnz1568/getInfo.php?workbook=10_05.xlsx&amp;sheet=U0&amp;row=2905&amp;col=7&amp;number=0.00348&amp;sourceID=14","0.00348")</f>
        <v>0.00348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HYPERLINK("http://141.218.60.56/~jnz1568/getInfo.php?workbook=10_05.xlsx&amp;sheet=U0&amp;row=2906&amp;col=6&amp;number=3.2&amp;sourceID=14","3.2")</f>
        <v>3.2</v>
      </c>
      <c r="G2906" s="4" t="str">
        <f>HYPERLINK("http://141.218.60.56/~jnz1568/getInfo.php?workbook=10_05.xlsx&amp;sheet=U0&amp;row=2906&amp;col=7&amp;number=0.00348&amp;sourceID=14","0.00348")</f>
        <v>0.00348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HYPERLINK("http://141.218.60.56/~jnz1568/getInfo.php?workbook=10_05.xlsx&amp;sheet=U0&amp;row=2907&amp;col=6&amp;number=3.3&amp;sourceID=14","3.3")</f>
        <v>3.3</v>
      </c>
      <c r="G2907" s="4" t="str">
        <f>HYPERLINK("http://141.218.60.56/~jnz1568/getInfo.php?workbook=10_05.xlsx&amp;sheet=U0&amp;row=2907&amp;col=7&amp;number=0.00348&amp;sourceID=14","0.00348")</f>
        <v>0.00348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HYPERLINK("http://141.218.60.56/~jnz1568/getInfo.php?workbook=10_05.xlsx&amp;sheet=U0&amp;row=2908&amp;col=6&amp;number=3.4&amp;sourceID=14","3.4")</f>
        <v>3.4</v>
      </c>
      <c r="G2908" s="4" t="str">
        <f>HYPERLINK("http://141.218.60.56/~jnz1568/getInfo.php?workbook=10_05.xlsx&amp;sheet=U0&amp;row=2908&amp;col=7&amp;number=0.00348&amp;sourceID=14","0.00348")</f>
        <v>0.00348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HYPERLINK("http://141.218.60.56/~jnz1568/getInfo.php?workbook=10_05.xlsx&amp;sheet=U0&amp;row=2909&amp;col=6&amp;number=3.5&amp;sourceID=14","3.5")</f>
        <v>3.5</v>
      </c>
      <c r="G2909" s="4" t="str">
        <f>HYPERLINK("http://141.218.60.56/~jnz1568/getInfo.php?workbook=10_05.xlsx&amp;sheet=U0&amp;row=2909&amp;col=7&amp;number=0.00348&amp;sourceID=14","0.00348")</f>
        <v>0.00348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HYPERLINK("http://141.218.60.56/~jnz1568/getInfo.php?workbook=10_05.xlsx&amp;sheet=U0&amp;row=2910&amp;col=6&amp;number=3.6&amp;sourceID=14","3.6")</f>
        <v>3.6</v>
      </c>
      <c r="G2910" s="4" t="str">
        <f>HYPERLINK("http://141.218.60.56/~jnz1568/getInfo.php?workbook=10_05.xlsx&amp;sheet=U0&amp;row=2910&amp;col=7&amp;number=0.00349&amp;sourceID=14","0.00349")</f>
        <v>0.00349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HYPERLINK("http://141.218.60.56/~jnz1568/getInfo.php?workbook=10_05.xlsx&amp;sheet=U0&amp;row=2911&amp;col=6&amp;number=3.7&amp;sourceID=14","3.7")</f>
        <v>3.7</v>
      </c>
      <c r="G2911" s="4" t="str">
        <f>HYPERLINK("http://141.218.60.56/~jnz1568/getInfo.php?workbook=10_05.xlsx&amp;sheet=U0&amp;row=2911&amp;col=7&amp;number=0.00349&amp;sourceID=14","0.00349")</f>
        <v>0.00349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HYPERLINK("http://141.218.60.56/~jnz1568/getInfo.php?workbook=10_05.xlsx&amp;sheet=U0&amp;row=2912&amp;col=6&amp;number=3.8&amp;sourceID=14","3.8")</f>
        <v>3.8</v>
      </c>
      <c r="G2912" s="4" t="str">
        <f>HYPERLINK("http://141.218.60.56/~jnz1568/getInfo.php?workbook=10_05.xlsx&amp;sheet=U0&amp;row=2912&amp;col=7&amp;number=0.00349&amp;sourceID=14","0.00349")</f>
        <v>0.00349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HYPERLINK("http://141.218.60.56/~jnz1568/getInfo.php?workbook=10_05.xlsx&amp;sheet=U0&amp;row=2913&amp;col=6&amp;number=3.9&amp;sourceID=14","3.9")</f>
        <v>3.9</v>
      </c>
      <c r="G2913" s="4" t="str">
        <f>HYPERLINK("http://141.218.60.56/~jnz1568/getInfo.php?workbook=10_05.xlsx&amp;sheet=U0&amp;row=2913&amp;col=7&amp;number=0.00349&amp;sourceID=14","0.00349")</f>
        <v>0.00349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HYPERLINK("http://141.218.60.56/~jnz1568/getInfo.php?workbook=10_05.xlsx&amp;sheet=U0&amp;row=2914&amp;col=6&amp;number=4&amp;sourceID=14","4")</f>
        <v>4</v>
      </c>
      <c r="G2914" s="4" t="str">
        <f>HYPERLINK("http://141.218.60.56/~jnz1568/getInfo.php?workbook=10_05.xlsx&amp;sheet=U0&amp;row=2914&amp;col=7&amp;number=0.00349&amp;sourceID=14","0.00349")</f>
        <v>0.00349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HYPERLINK("http://141.218.60.56/~jnz1568/getInfo.php?workbook=10_05.xlsx&amp;sheet=U0&amp;row=2915&amp;col=6&amp;number=4.1&amp;sourceID=14","4.1")</f>
        <v>4.1</v>
      </c>
      <c r="G2915" s="4" t="str">
        <f>HYPERLINK("http://141.218.60.56/~jnz1568/getInfo.php?workbook=10_05.xlsx&amp;sheet=U0&amp;row=2915&amp;col=7&amp;number=0.00349&amp;sourceID=14","0.00349")</f>
        <v>0.00349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HYPERLINK("http://141.218.60.56/~jnz1568/getInfo.php?workbook=10_05.xlsx&amp;sheet=U0&amp;row=2916&amp;col=6&amp;number=4.2&amp;sourceID=14","4.2")</f>
        <v>4.2</v>
      </c>
      <c r="G2916" s="4" t="str">
        <f>HYPERLINK("http://141.218.60.56/~jnz1568/getInfo.php?workbook=10_05.xlsx&amp;sheet=U0&amp;row=2916&amp;col=7&amp;number=0.00349&amp;sourceID=14","0.00349")</f>
        <v>0.00349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HYPERLINK("http://141.218.60.56/~jnz1568/getInfo.php?workbook=10_05.xlsx&amp;sheet=U0&amp;row=2917&amp;col=6&amp;number=4.3&amp;sourceID=14","4.3")</f>
        <v>4.3</v>
      </c>
      <c r="G2917" s="4" t="str">
        <f>HYPERLINK("http://141.218.60.56/~jnz1568/getInfo.php?workbook=10_05.xlsx&amp;sheet=U0&amp;row=2917&amp;col=7&amp;number=0.00349&amp;sourceID=14","0.00349")</f>
        <v>0.00349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HYPERLINK("http://141.218.60.56/~jnz1568/getInfo.php?workbook=10_05.xlsx&amp;sheet=U0&amp;row=2918&amp;col=6&amp;number=4.4&amp;sourceID=14","4.4")</f>
        <v>4.4</v>
      </c>
      <c r="G2918" s="4" t="str">
        <f>HYPERLINK("http://141.218.60.56/~jnz1568/getInfo.php?workbook=10_05.xlsx&amp;sheet=U0&amp;row=2918&amp;col=7&amp;number=0.00349&amp;sourceID=14","0.00349")</f>
        <v>0.00349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HYPERLINK("http://141.218.60.56/~jnz1568/getInfo.php?workbook=10_05.xlsx&amp;sheet=U0&amp;row=2919&amp;col=6&amp;number=4.5&amp;sourceID=14","4.5")</f>
        <v>4.5</v>
      </c>
      <c r="G2919" s="4" t="str">
        <f>HYPERLINK("http://141.218.60.56/~jnz1568/getInfo.php?workbook=10_05.xlsx&amp;sheet=U0&amp;row=2919&amp;col=7&amp;number=0.00348&amp;sourceID=14","0.00348")</f>
        <v>0.00348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HYPERLINK("http://141.218.60.56/~jnz1568/getInfo.php?workbook=10_05.xlsx&amp;sheet=U0&amp;row=2920&amp;col=6&amp;number=4.6&amp;sourceID=14","4.6")</f>
        <v>4.6</v>
      </c>
      <c r="G2920" s="4" t="str">
        <f>HYPERLINK("http://141.218.60.56/~jnz1568/getInfo.php?workbook=10_05.xlsx&amp;sheet=U0&amp;row=2920&amp;col=7&amp;number=0.00348&amp;sourceID=14","0.00348")</f>
        <v>0.00348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HYPERLINK("http://141.218.60.56/~jnz1568/getInfo.php?workbook=10_05.xlsx&amp;sheet=U0&amp;row=2921&amp;col=6&amp;number=4.7&amp;sourceID=14","4.7")</f>
        <v>4.7</v>
      </c>
      <c r="G2921" s="4" t="str">
        <f>HYPERLINK("http://141.218.60.56/~jnz1568/getInfo.php?workbook=10_05.xlsx&amp;sheet=U0&amp;row=2921&amp;col=7&amp;number=0.00347&amp;sourceID=14","0.00347")</f>
        <v>0.00347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HYPERLINK("http://141.218.60.56/~jnz1568/getInfo.php?workbook=10_05.xlsx&amp;sheet=U0&amp;row=2922&amp;col=6&amp;number=4.8&amp;sourceID=14","4.8")</f>
        <v>4.8</v>
      </c>
      <c r="G2922" s="4" t="str">
        <f>HYPERLINK("http://141.218.60.56/~jnz1568/getInfo.php?workbook=10_05.xlsx&amp;sheet=U0&amp;row=2922&amp;col=7&amp;number=0.00345&amp;sourceID=14","0.00345")</f>
        <v>0.00345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HYPERLINK("http://141.218.60.56/~jnz1568/getInfo.php?workbook=10_05.xlsx&amp;sheet=U0&amp;row=2923&amp;col=6&amp;number=4.9&amp;sourceID=14","4.9")</f>
        <v>4.9</v>
      </c>
      <c r="G2923" s="4" t="str">
        <f>HYPERLINK("http://141.218.60.56/~jnz1568/getInfo.php?workbook=10_05.xlsx&amp;sheet=U0&amp;row=2923&amp;col=7&amp;number=0.00344&amp;sourceID=14","0.00344")</f>
        <v>0.00344</v>
      </c>
    </row>
    <row r="2924" spans="1:7">
      <c r="A2924" s="3">
        <v>10</v>
      </c>
      <c r="B2924" s="3">
        <v>5</v>
      </c>
      <c r="C2924" s="3">
        <v>1</v>
      </c>
      <c r="D2924" s="3">
        <v>148</v>
      </c>
      <c r="E2924" s="3">
        <v>1</v>
      </c>
      <c r="F2924" s="4" t="str">
        <f>HYPERLINK("http://141.218.60.56/~jnz1568/getInfo.php?workbook=10_05.xlsx&amp;sheet=U0&amp;row=2924&amp;col=6&amp;number=3&amp;sourceID=14","3")</f>
        <v>3</v>
      </c>
      <c r="G2924" s="4" t="str">
        <f>HYPERLINK("http://141.218.60.56/~jnz1568/getInfo.php?workbook=10_05.xlsx&amp;sheet=U0&amp;row=2924&amp;col=7&amp;number=0.00291&amp;sourceID=14","0.00291")</f>
        <v>0.00291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HYPERLINK("http://141.218.60.56/~jnz1568/getInfo.php?workbook=10_05.xlsx&amp;sheet=U0&amp;row=2925&amp;col=6&amp;number=3.1&amp;sourceID=14","3.1")</f>
        <v>3.1</v>
      </c>
      <c r="G2925" s="4" t="str">
        <f>HYPERLINK("http://141.218.60.56/~jnz1568/getInfo.php?workbook=10_05.xlsx&amp;sheet=U0&amp;row=2925&amp;col=7&amp;number=0.00291&amp;sourceID=14","0.00291")</f>
        <v>0.00291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HYPERLINK("http://141.218.60.56/~jnz1568/getInfo.php?workbook=10_05.xlsx&amp;sheet=U0&amp;row=2926&amp;col=6&amp;number=3.2&amp;sourceID=14","3.2")</f>
        <v>3.2</v>
      </c>
      <c r="G2926" s="4" t="str">
        <f>HYPERLINK("http://141.218.60.56/~jnz1568/getInfo.php?workbook=10_05.xlsx&amp;sheet=U0&amp;row=2926&amp;col=7&amp;number=0.00291&amp;sourceID=14","0.00291")</f>
        <v>0.00291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HYPERLINK("http://141.218.60.56/~jnz1568/getInfo.php?workbook=10_05.xlsx&amp;sheet=U0&amp;row=2927&amp;col=6&amp;number=3.3&amp;sourceID=14","3.3")</f>
        <v>3.3</v>
      </c>
      <c r="G2927" s="4" t="str">
        <f>HYPERLINK("http://141.218.60.56/~jnz1568/getInfo.php?workbook=10_05.xlsx&amp;sheet=U0&amp;row=2927&amp;col=7&amp;number=0.00291&amp;sourceID=14","0.00291")</f>
        <v>0.00291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HYPERLINK("http://141.218.60.56/~jnz1568/getInfo.php?workbook=10_05.xlsx&amp;sheet=U0&amp;row=2928&amp;col=6&amp;number=3.4&amp;sourceID=14","3.4")</f>
        <v>3.4</v>
      </c>
      <c r="G2928" s="4" t="str">
        <f>HYPERLINK("http://141.218.60.56/~jnz1568/getInfo.php?workbook=10_05.xlsx&amp;sheet=U0&amp;row=2928&amp;col=7&amp;number=0.00291&amp;sourceID=14","0.00291")</f>
        <v>0.00291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HYPERLINK("http://141.218.60.56/~jnz1568/getInfo.php?workbook=10_05.xlsx&amp;sheet=U0&amp;row=2929&amp;col=6&amp;number=3.5&amp;sourceID=14","3.5")</f>
        <v>3.5</v>
      </c>
      <c r="G2929" s="4" t="str">
        <f>HYPERLINK("http://141.218.60.56/~jnz1568/getInfo.php?workbook=10_05.xlsx&amp;sheet=U0&amp;row=2929&amp;col=7&amp;number=0.00291&amp;sourceID=14","0.00291")</f>
        <v>0.00291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HYPERLINK("http://141.218.60.56/~jnz1568/getInfo.php?workbook=10_05.xlsx&amp;sheet=U0&amp;row=2930&amp;col=6&amp;number=3.6&amp;sourceID=14","3.6")</f>
        <v>3.6</v>
      </c>
      <c r="G2930" s="4" t="str">
        <f>HYPERLINK("http://141.218.60.56/~jnz1568/getInfo.php?workbook=10_05.xlsx&amp;sheet=U0&amp;row=2930&amp;col=7&amp;number=0.00291&amp;sourceID=14","0.00291")</f>
        <v>0.00291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HYPERLINK("http://141.218.60.56/~jnz1568/getInfo.php?workbook=10_05.xlsx&amp;sheet=U0&amp;row=2931&amp;col=6&amp;number=3.7&amp;sourceID=14","3.7")</f>
        <v>3.7</v>
      </c>
      <c r="G2931" s="4" t="str">
        <f>HYPERLINK("http://141.218.60.56/~jnz1568/getInfo.php?workbook=10_05.xlsx&amp;sheet=U0&amp;row=2931&amp;col=7&amp;number=0.00292&amp;sourceID=14","0.00292")</f>
        <v>0.00292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HYPERLINK("http://141.218.60.56/~jnz1568/getInfo.php?workbook=10_05.xlsx&amp;sheet=U0&amp;row=2932&amp;col=6&amp;number=3.8&amp;sourceID=14","3.8")</f>
        <v>3.8</v>
      </c>
      <c r="G2932" s="4" t="str">
        <f>HYPERLINK("http://141.218.60.56/~jnz1568/getInfo.php?workbook=10_05.xlsx&amp;sheet=U0&amp;row=2932&amp;col=7&amp;number=0.00292&amp;sourceID=14","0.00292")</f>
        <v>0.00292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HYPERLINK("http://141.218.60.56/~jnz1568/getInfo.php?workbook=10_05.xlsx&amp;sheet=U0&amp;row=2933&amp;col=6&amp;number=3.9&amp;sourceID=14","3.9")</f>
        <v>3.9</v>
      </c>
      <c r="G2933" s="4" t="str">
        <f>HYPERLINK("http://141.218.60.56/~jnz1568/getInfo.php?workbook=10_05.xlsx&amp;sheet=U0&amp;row=2933&amp;col=7&amp;number=0.00292&amp;sourceID=14","0.00292")</f>
        <v>0.00292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HYPERLINK("http://141.218.60.56/~jnz1568/getInfo.php?workbook=10_05.xlsx&amp;sheet=U0&amp;row=2934&amp;col=6&amp;number=4&amp;sourceID=14","4")</f>
        <v>4</v>
      </c>
      <c r="G2934" s="4" t="str">
        <f>HYPERLINK("http://141.218.60.56/~jnz1568/getInfo.php?workbook=10_05.xlsx&amp;sheet=U0&amp;row=2934&amp;col=7&amp;number=0.00292&amp;sourceID=14","0.00292")</f>
        <v>0.00292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HYPERLINK("http://141.218.60.56/~jnz1568/getInfo.php?workbook=10_05.xlsx&amp;sheet=U0&amp;row=2935&amp;col=6&amp;number=4.1&amp;sourceID=14","4.1")</f>
        <v>4.1</v>
      </c>
      <c r="G2935" s="4" t="str">
        <f>HYPERLINK("http://141.218.60.56/~jnz1568/getInfo.php?workbook=10_05.xlsx&amp;sheet=U0&amp;row=2935&amp;col=7&amp;number=0.00293&amp;sourceID=14","0.00293")</f>
        <v>0.00293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HYPERLINK("http://141.218.60.56/~jnz1568/getInfo.php?workbook=10_05.xlsx&amp;sheet=U0&amp;row=2936&amp;col=6&amp;number=4.2&amp;sourceID=14","4.2")</f>
        <v>4.2</v>
      </c>
      <c r="G2936" s="4" t="str">
        <f>HYPERLINK("http://141.218.60.56/~jnz1568/getInfo.php?workbook=10_05.xlsx&amp;sheet=U0&amp;row=2936&amp;col=7&amp;number=0.00293&amp;sourceID=14","0.00293")</f>
        <v>0.00293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HYPERLINK("http://141.218.60.56/~jnz1568/getInfo.php?workbook=10_05.xlsx&amp;sheet=U0&amp;row=2937&amp;col=6&amp;number=4.3&amp;sourceID=14","4.3")</f>
        <v>4.3</v>
      </c>
      <c r="G2937" s="4" t="str">
        <f>HYPERLINK("http://141.218.60.56/~jnz1568/getInfo.php?workbook=10_05.xlsx&amp;sheet=U0&amp;row=2937&amp;col=7&amp;number=0.00294&amp;sourceID=14","0.00294")</f>
        <v>0.00294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HYPERLINK("http://141.218.60.56/~jnz1568/getInfo.php?workbook=10_05.xlsx&amp;sheet=U0&amp;row=2938&amp;col=6&amp;number=4.4&amp;sourceID=14","4.4")</f>
        <v>4.4</v>
      </c>
      <c r="G2938" s="4" t="str">
        <f>HYPERLINK("http://141.218.60.56/~jnz1568/getInfo.php?workbook=10_05.xlsx&amp;sheet=U0&amp;row=2938&amp;col=7&amp;number=0.00295&amp;sourceID=14","0.00295")</f>
        <v>0.00295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HYPERLINK("http://141.218.60.56/~jnz1568/getInfo.php?workbook=10_05.xlsx&amp;sheet=U0&amp;row=2939&amp;col=6&amp;number=4.5&amp;sourceID=14","4.5")</f>
        <v>4.5</v>
      </c>
      <c r="G2939" s="4" t="str">
        <f>HYPERLINK("http://141.218.60.56/~jnz1568/getInfo.php?workbook=10_05.xlsx&amp;sheet=U0&amp;row=2939&amp;col=7&amp;number=0.00296&amp;sourceID=14","0.00296")</f>
        <v>0.00296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HYPERLINK("http://141.218.60.56/~jnz1568/getInfo.php?workbook=10_05.xlsx&amp;sheet=U0&amp;row=2940&amp;col=6&amp;number=4.6&amp;sourceID=14","4.6")</f>
        <v>4.6</v>
      </c>
      <c r="G2940" s="4" t="str">
        <f>HYPERLINK("http://141.218.60.56/~jnz1568/getInfo.php?workbook=10_05.xlsx&amp;sheet=U0&amp;row=2940&amp;col=7&amp;number=0.00297&amp;sourceID=14","0.00297")</f>
        <v>0.00297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HYPERLINK("http://141.218.60.56/~jnz1568/getInfo.php?workbook=10_05.xlsx&amp;sheet=U0&amp;row=2941&amp;col=6&amp;number=4.7&amp;sourceID=14","4.7")</f>
        <v>4.7</v>
      </c>
      <c r="G2941" s="4" t="str">
        <f>HYPERLINK("http://141.218.60.56/~jnz1568/getInfo.php?workbook=10_05.xlsx&amp;sheet=U0&amp;row=2941&amp;col=7&amp;number=0.00299&amp;sourceID=14","0.00299")</f>
        <v>0.00299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HYPERLINK("http://141.218.60.56/~jnz1568/getInfo.php?workbook=10_05.xlsx&amp;sheet=U0&amp;row=2942&amp;col=6&amp;number=4.8&amp;sourceID=14","4.8")</f>
        <v>4.8</v>
      </c>
      <c r="G2942" s="4" t="str">
        <f>HYPERLINK("http://141.218.60.56/~jnz1568/getInfo.php?workbook=10_05.xlsx&amp;sheet=U0&amp;row=2942&amp;col=7&amp;number=0.00301&amp;sourceID=14","0.00301")</f>
        <v>0.00301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HYPERLINK("http://141.218.60.56/~jnz1568/getInfo.php?workbook=10_05.xlsx&amp;sheet=U0&amp;row=2943&amp;col=6&amp;number=4.9&amp;sourceID=14","4.9")</f>
        <v>4.9</v>
      </c>
      <c r="G2943" s="4" t="str">
        <f>HYPERLINK("http://141.218.60.56/~jnz1568/getInfo.php?workbook=10_05.xlsx&amp;sheet=U0&amp;row=2943&amp;col=7&amp;number=0.00304&amp;sourceID=14","0.00304")</f>
        <v>0.00304</v>
      </c>
    </row>
    <row r="2944" spans="1:7">
      <c r="A2944" s="3">
        <v>10</v>
      </c>
      <c r="B2944" s="3">
        <v>5</v>
      </c>
      <c r="C2944" s="3">
        <v>1</v>
      </c>
      <c r="D2944" s="3">
        <v>149</v>
      </c>
      <c r="E2944" s="3">
        <v>1</v>
      </c>
      <c r="F2944" s="4" t="str">
        <f>HYPERLINK("http://141.218.60.56/~jnz1568/getInfo.php?workbook=10_05.xlsx&amp;sheet=U0&amp;row=2944&amp;col=6&amp;number=3&amp;sourceID=14","3")</f>
        <v>3</v>
      </c>
      <c r="G2944" s="4" t="str">
        <f>HYPERLINK("http://141.218.60.56/~jnz1568/getInfo.php?workbook=10_05.xlsx&amp;sheet=U0&amp;row=2944&amp;col=7&amp;number=0.000132&amp;sourceID=14","0.000132")</f>
        <v>0.000132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HYPERLINK("http://141.218.60.56/~jnz1568/getInfo.php?workbook=10_05.xlsx&amp;sheet=U0&amp;row=2945&amp;col=6&amp;number=3.1&amp;sourceID=14","3.1")</f>
        <v>3.1</v>
      </c>
      <c r="G2945" s="4" t="str">
        <f>HYPERLINK("http://141.218.60.56/~jnz1568/getInfo.php?workbook=10_05.xlsx&amp;sheet=U0&amp;row=2945&amp;col=7&amp;number=0.000132&amp;sourceID=14","0.000132")</f>
        <v>0.000132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HYPERLINK("http://141.218.60.56/~jnz1568/getInfo.php?workbook=10_05.xlsx&amp;sheet=U0&amp;row=2946&amp;col=6&amp;number=3.2&amp;sourceID=14","3.2")</f>
        <v>3.2</v>
      </c>
      <c r="G2946" s="4" t="str">
        <f>HYPERLINK("http://141.218.60.56/~jnz1568/getInfo.php?workbook=10_05.xlsx&amp;sheet=U0&amp;row=2946&amp;col=7&amp;number=0.000133&amp;sourceID=14","0.000133")</f>
        <v>0.000133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HYPERLINK("http://141.218.60.56/~jnz1568/getInfo.php?workbook=10_05.xlsx&amp;sheet=U0&amp;row=2947&amp;col=6&amp;number=3.3&amp;sourceID=14","3.3")</f>
        <v>3.3</v>
      </c>
      <c r="G2947" s="4" t="str">
        <f>HYPERLINK("http://141.218.60.56/~jnz1568/getInfo.php?workbook=10_05.xlsx&amp;sheet=U0&amp;row=2947&amp;col=7&amp;number=0.000134&amp;sourceID=14","0.000134")</f>
        <v>0.000134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HYPERLINK("http://141.218.60.56/~jnz1568/getInfo.php?workbook=10_05.xlsx&amp;sheet=U0&amp;row=2948&amp;col=6&amp;number=3.4&amp;sourceID=14","3.4")</f>
        <v>3.4</v>
      </c>
      <c r="G2948" s="4" t="str">
        <f>HYPERLINK("http://141.218.60.56/~jnz1568/getInfo.php?workbook=10_05.xlsx&amp;sheet=U0&amp;row=2948&amp;col=7&amp;number=0.000135&amp;sourceID=14","0.000135")</f>
        <v>0.000135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HYPERLINK("http://141.218.60.56/~jnz1568/getInfo.php?workbook=10_05.xlsx&amp;sheet=U0&amp;row=2949&amp;col=6&amp;number=3.5&amp;sourceID=14","3.5")</f>
        <v>3.5</v>
      </c>
      <c r="G2949" s="4" t="str">
        <f>HYPERLINK("http://141.218.60.56/~jnz1568/getInfo.php?workbook=10_05.xlsx&amp;sheet=U0&amp;row=2949&amp;col=7&amp;number=0.000137&amp;sourceID=14","0.000137")</f>
        <v>0.000137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HYPERLINK("http://141.218.60.56/~jnz1568/getInfo.php?workbook=10_05.xlsx&amp;sheet=U0&amp;row=2950&amp;col=6&amp;number=3.6&amp;sourceID=14","3.6")</f>
        <v>3.6</v>
      </c>
      <c r="G2950" s="4" t="str">
        <f>HYPERLINK("http://141.218.60.56/~jnz1568/getInfo.php?workbook=10_05.xlsx&amp;sheet=U0&amp;row=2950&amp;col=7&amp;number=0.000139&amp;sourceID=14","0.000139")</f>
        <v>0.000139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HYPERLINK("http://141.218.60.56/~jnz1568/getInfo.php?workbook=10_05.xlsx&amp;sheet=U0&amp;row=2951&amp;col=6&amp;number=3.7&amp;sourceID=14","3.7")</f>
        <v>3.7</v>
      </c>
      <c r="G2951" s="4" t="str">
        <f>HYPERLINK("http://141.218.60.56/~jnz1568/getInfo.php?workbook=10_05.xlsx&amp;sheet=U0&amp;row=2951&amp;col=7&amp;number=0.000141&amp;sourceID=14","0.000141")</f>
        <v>0.000141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HYPERLINK("http://141.218.60.56/~jnz1568/getInfo.php?workbook=10_05.xlsx&amp;sheet=U0&amp;row=2952&amp;col=6&amp;number=3.8&amp;sourceID=14","3.8")</f>
        <v>3.8</v>
      </c>
      <c r="G2952" s="4" t="str">
        <f>HYPERLINK("http://141.218.60.56/~jnz1568/getInfo.php?workbook=10_05.xlsx&amp;sheet=U0&amp;row=2952&amp;col=7&amp;number=0.000144&amp;sourceID=14","0.000144")</f>
        <v>0.000144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HYPERLINK("http://141.218.60.56/~jnz1568/getInfo.php?workbook=10_05.xlsx&amp;sheet=U0&amp;row=2953&amp;col=6&amp;number=3.9&amp;sourceID=14","3.9")</f>
        <v>3.9</v>
      </c>
      <c r="G2953" s="4" t="str">
        <f>HYPERLINK("http://141.218.60.56/~jnz1568/getInfo.php?workbook=10_05.xlsx&amp;sheet=U0&amp;row=2953&amp;col=7&amp;number=0.000147&amp;sourceID=14","0.000147")</f>
        <v>0.000147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HYPERLINK("http://141.218.60.56/~jnz1568/getInfo.php?workbook=10_05.xlsx&amp;sheet=U0&amp;row=2954&amp;col=6&amp;number=4&amp;sourceID=14","4")</f>
        <v>4</v>
      </c>
      <c r="G2954" s="4" t="str">
        <f>HYPERLINK("http://141.218.60.56/~jnz1568/getInfo.php?workbook=10_05.xlsx&amp;sheet=U0&amp;row=2954&amp;col=7&amp;number=0.000151&amp;sourceID=14","0.000151")</f>
        <v>0.000151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HYPERLINK("http://141.218.60.56/~jnz1568/getInfo.php?workbook=10_05.xlsx&amp;sheet=U0&amp;row=2955&amp;col=6&amp;number=4.1&amp;sourceID=14","4.1")</f>
        <v>4.1</v>
      </c>
      <c r="G2955" s="4" t="str">
        <f>HYPERLINK("http://141.218.60.56/~jnz1568/getInfo.php?workbook=10_05.xlsx&amp;sheet=U0&amp;row=2955&amp;col=7&amp;number=0.000155&amp;sourceID=14","0.000155")</f>
        <v>0.000155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HYPERLINK("http://141.218.60.56/~jnz1568/getInfo.php?workbook=10_05.xlsx&amp;sheet=U0&amp;row=2956&amp;col=6&amp;number=4.2&amp;sourceID=14","4.2")</f>
        <v>4.2</v>
      </c>
      <c r="G2956" s="4" t="str">
        <f>HYPERLINK("http://141.218.60.56/~jnz1568/getInfo.php?workbook=10_05.xlsx&amp;sheet=U0&amp;row=2956&amp;col=7&amp;number=0.000158&amp;sourceID=14","0.000158")</f>
        <v>0.000158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HYPERLINK("http://141.218.60.56/~jnz1568/getInfo.php?workbook=10_05.xlsx&amp;sheet=U0&amp;row=2957&amp;col=6&amp;number=4.3&amp;sourceID=14","4.3")</f>
        <v>4.3</v>
      </c>
      <c r="G2957" s="4" t="str">
        <f>HYPERLINK("http://141.218.60.56/~jnz1568/getInfo.php?workbook=10_05.xlsx&amp;sheet=U0&amp;row=2957&amp;col=7&amp;number=0.000161&amp;sourceID=14","0.000161")</f>
        <v>0.000161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HYPERLINK("http://141.218.60.56/~jnz1568/getInfo.php?workbook=10_05.xlsx&amp;sheet=U0&amp;row=2958&amp;col=6&amp;number=4.4&amp;sourceID=14","4.4")</f>
        <v>4.4</v>
      </c>
      <c r="G2958" s="4" t="str">
        <f>HYPERLINK("http://141.218.60.56/~jnz1568/getInfo.php?workbook=10_05.xlsx&amp;sheet=U0&amp;row=2958&amp;col=7&amp;number=0.000162&amp;sourceID=14","0.000162")</f>
        <v>0.000162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HYPERLINK("http://141.218.60.56/~jnz1568/getInfo.php?workbook=10_05.xlsx&amp;sheet=U0&amp;row=2959&amp;col=6&amp;number=4.5&amp;sourceID=14","4.5")</f>
        <v>4.5</v>
      </c>
      <c r="G2959" s="4" t="str">
        <f>HYPERLINK("http://141.218.60.56/~jnz1568/getInfo.php?workbook=10_05.xlsx&amp;sheet=U0&amp;row=2959&amp;col=7&amp;number=0.000162&amp;sourceID=14","0.000162")</f>
        <v>0.000162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HYPERLINK("http://141.218.60.56/~jnz1568/getInfo.php?workbook=10_05.xlsx&amp;sheet=U0&amp;row=2960&amp;col=6&amp;number=4.6&amp;sourceID=14","4.6")</f>
        <v>4.6</v>
      </c>
      <c r="G2960" s="4" t="str">
        <f>HYPERLINK("http://141.218.60.56/~jnz1568/getInfo.php?workbook=10_05.xlsx&amp;sheet=U0&amp;row=2960&amp;col=7&amp;number=0.000162&amp;sourceID=14","0.000162")</f>
        <v>0.000162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HYPERLINK("http://141.218.60.56/~jnz1568/getInfo.php?workbook=10_05.xlsx&amp;sheet=U0&amp;row=2961&amp;col=6&amp;number=4.7&amp;sourceID=14","4.7")</f>
        <v>4.7</v>
      </c>
      <c r="G2961" s="4" t="str">
        <f>HYPERLINK("http://141.218.60.56/~jnz1568/getInfo.php?workbook=10_05.xlsx&amp;sheet=U0&amp;row=2961&amp;col=7&amp;number=0.000162&amp;sourceID=14","0.000162")</f>
        <v>0.000162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HYPERLINK("http://141.218.60.56/~jnz1568/getInfo.php?workbook=10_05.xlsx&amp;sheet=U0&amp;row=2962&amp;col=6&amp;number=4.8&amp;sourceID=14","4.8")</f>
        <v>4.8</v>
      </c>
      <c r="G2962" s="4" t="str">
        <f>HYPERLINK("http://141.218.60.56/~jnz1568/getInfo.php?workbook=10_05.xlsx&amp;sheet=U0&amp;row=2962&amp;col=7&amp;number=0.000162&amp;sourceID=14","0.000162")</f>
        <v>0.000162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HYPERLINK("http://141.218.60.56/~jnz1568/getInfo.php?workbook=10_05.xlsx&amp;sheet=U0&amp;row=2963&amp;col=6&amp;number=4.9&amp;sourceID=14","4.9")</f>
        <v>4.9</v>
      </c>
      <c r="G2963" s="4" t="str">
        <f>HYPERLINK("http://141.218.60.56/~jnz1568/getInfo.php?workbook=10_05.xlsx&amp;sheet=U0&amp;row=2963&amp;col=7&amp;number=0.000159&amp;sourceID=14","0.000159")</f>
        <v>0.000159</v>
      </c>
    </row>
    <row r="2964" spans="1:7">
      <c r="A2964" s="3">
        <v>10</v>
      </c>
      <c r="B2964" s="3">
        <v>5</v>
      </c>
      <c r="C2964" s="3">
        <v>1</v>
      </c>
      <c r="D2964" s="3">
        <v>150</v>
      </c>
      <c r="E2964" s="3">
        <v>1</v>
      </c>
      <c r="F2964" s="4" t="str">
        <f>HYPERLINK("http://141.218.60.56/~jnz1568/getInfo.php?workbook=10_05.xlsx&amp;sheet=U0&amp;row=2964&amp;col=6&amp;number=3&amp;sourceID=14","3")</f>
        <v>3</v>
      </c>
      <c r="G2964" s="4" t="str">
        <f>HYPERLINK("http://141.218.60.56/~jnz1568/getInfo.php?workbook=10_05.xlsx&amp;sheet=U0&amp;row=2964&amp;col=7&amp;number=0.00165&amp;sourceID=14","0.00165")</f>
        <v>0.00165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HYPERLINK("http://141.218.60.56/~jnz1568/getInfo.php?workbook=10_05.xlsx&amp;sheet=U0&amp;row=2965&amp;col=6&amp;number=3.1&amp;sourceID=14","3.1")</f>
        <v>3.1</v>
      </c>
      <c r="G2965" s="4" t="str">
        <f>HYPERLINK("http://141.218.60.56/~jnz1568/getInfo.php?workbook=10_05.xlsx&amp;sheet=U0&amp;row=2965&amp;col=7&amp;number=0.00164&amp;sourceID=14","0.00164")</f>
        <v>0.00164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HYPERLINK("http://141.218.60.56/~jnz1568/getInfo.php?workbook=10_05.xlsx&amp;sheet=U0&amp;row=2966&amp;col=6&amp;number=3.2&amp;sourceID=14","3.2")</f>
        <v>3.2</v>
      </c>
      <c r="G2966" s="4" t="str">
        <f>HYPERLINK("http://141.218.60.56/~jnz1568/getInfo.php?workbook=10_05.xlsx&amp;sheet=U0&amp;row=2966&amp;col=7&amp;number=0.00164&amp;sourceID=14","0.00164")</f>
        <v>0.00164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HYPERLINK("http://141.218.60.56/~jnz1568/getInfo.php?workbook=10_05.xlsx&amp;sheet=U0&amp;row=2967&amp;col=6&amp;number=3.3&amp;sourceID=14","3.3")</f>
        <v>3.3</v>
      </c>
      <c r="G2967" s="4" t="str">
        <f>HYPERLINK("http://141.218.60.56/~jnz1568/getInfo.php?workbook=10_05.xlsx&amp;sheet=U0&amp;row=2967&amp;col=7&amp;number=0.00164&amp;sourceID=14","0.00164")</f>
        <v>0.00164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HYPERLINK("http://141.218.60.56/~jnz1568/getInfo.php?workbook=10_05.xlsx&amp;sheet=U0&amp;row=2968&amp;col=6&amp;number=3.4&amp;sourceID=14","3.4")</f>
        <v>3.4</v>
      </c>
      <c r="G2968" s="4" t="str">
        <f>HYPERLINK("http://141.218.60.56/~jnz1568/getInfo.php?workbook=10_05.xlsx&amp;sheet=U0&amp;row=2968&amp;col=7&amp;number=0.00163&amp;sourceID=14","0.00163")</f>
        <v>0.00163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HYPERLINK("http://141.218.60.56/~jnz1568/getInfo.php?workbook=10_05.xlsx&amp;sheet=U0&amp;row=2969&amp;col=6&amp;number=3.5&amp;sourceID=14","3.5")</f>
        <v>3.5</v>
      </c>
      <c r="G2969" s="4" t="str">
        <f>HYPERLINK("http://141.218.60.56/~jnz1568/getInfo.php?workbook=10_05.xlsx&amp;sheet=U0&amp;row=2969&amp;col=7&amp;number=0.00163&amp;sourceID=14","0.00163")</f>
        <v>0.00163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HYPERLINK("http://141.218.60.56/~jnz1568/getInfo.php?workbook=10_05.xlsx&amp;sheet=U0&amp;row=2970&amp;col=6&amp;number=3.6&amp;sourceID=14","3.6")</f>
        <v>3.6</v>
      </c>
      <c r="G2970" s="4" t="str">
        <f>HYPERLINK("http://141.218.60.56/~jnz1568/getInfo.php?workbook=10_05.xlsx&amp;sheet=U0&amp;row=2970&amp;col=7&amp;number=0.00162&amp;sourceID=14","0.00162")</f>
        <v>0.00162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HYPERLINK("http://141.218.60.56/~jnz1568/getInfo.php?workbook=10_05.xlsx&amp;sheet=U0&amp;row=2971&amp;col=6&amp;number=3.7&amp;sourceID=14","3.7")</f>
        <v>3.7</v>
      </c>
      <c r="G2971" s="4" t="str">
        <f>HYPERLINK("http://141.218.60.56/~jnz1568/getInfo.php?workbook=10_05.xlsx&amp;sheet=U0&amp;row=2971&amp;col=7&amp;number=0.00161&amp;sourceID=14","0.00161")</f>
        <v>0.00161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HYPERLINK("http://141.218.60.56/~jnz1568/getInfo.php?workbook=10_05.xlsx&amp;sheet=U0&amp;row=2972&amp;col=6&amp;number=3.8&amp;sourceID=14","3.8")</f>
        <v>3.8</v>
      </c>
      <c r="G2972" s="4" t="str">
        <f>HYPERLINK("http://141.218.60.56/~jnz1568/getInfo.php?workbook=10_05.xlsx&amp;sheet=U0&amp;row=2972&amp;col=7&amp;number=0.0016&amp;sourceID=14","0.0016")</f>
        <v>0.0016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HYPERLINK("http://141.218.60.56/~jnz1568/getInfo.php?workbook=10_05.xlsx&amp;sheet=U0&amp;row=2973&amp;col=6&amp;number=3.9&amp;sourceID=14","3.9")</f>
        <v>3.9</v>
      </c>
      <c r="G2973" s="4" t="str">
        <f>HYPERLINK("http://141.218.60.56/~jnz1568/getInfo.php?workbook=10_05.xlsx&amp;sheet=U0&amp;row=2973&amp;col=7&amp;number=0.00159&amp;sourceID=14","0.00159")</f>
        <v>0.00159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HYPERLINK("http://141.218.60.56/~jnz1568/getInfo.php?workbook=10_05.xlsx&amp;sheet=U0&amp;row=2974&amp;col=6&amp;number=4&amp;sourceID=14","4")</f>
        <v>4</v>
      </c>
      <c r="G2974" s="4" t="str">
        <f>HYPERLINK("http://141.218.60.56/~jnz1568/getInfo.php?workbook=10_05.xlsx&amp;sheet=U0&amp;row=2974&amp;col=7&amp;number=0.00157&amp;sourceID=14","0.00157")</f>
        <v>0.00157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HYPERLINK("http://141.218.60.56/~jnz1568/getInfo.php?workbook=10_05.xlsx&amp;sheet=U0&amp;row=2975&amp;col=6&amp;number=4.1&amp;sourceID=14","4.1")</f>
        <v>4.1</v>
      </c>
      <c r="G2975" s="4" t="str">
        <f>HYPERLINK("http://141.218.60.56/~jnz1568/getInfo.php?workbook=10_05.xlsx&amp;sheet=U0&amp;row=2975&amp;col=7&amp;number=0.00155&amp;sourceID=14","0.00155")</f>
        <v>0.00155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HYPERLINK("http://141.218.60.56/~jnz1568/getInfo.php?workbook=10_05.xlsx&amp;sheet=U0&amp;row=2976&amp;col=6&amp;number=4.2&amp;sourceID=14","4.2")</f>
        <v>4.2</v>
      </c>
      <c r="G2976" s="4" t="str">
        <f>HYPERLINK("http://141.218.60.56/~jnz1568/getInfo.php?workbook=10_05.xlsx&amp;sheet=U0&amp;row=2976&amp;col=7&amp;number=0.00153&amp;sourceID=14","0.00153")</f>
        <v>0.00153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HYPERLINK("http://141.218.60.56/~jnz1568/getInfo.php?workbook=10_05.xlsx&amp;sheet=U0&amp;row=2977&amp;col=6&amp;number=4.3&amp;sourceID=14","4.3")</f>
        <v>4.3</v>
      </c>
      <c r="G2977" s="4" t="str">
        <f>HYPERLINK("http://141.218.60.56/~jnz1568/getInfo.php?workbook=10_05.xlsx&amp;sheet=U0&amp;row=2977&amp;col=7&amp;number=0.00151&amp;sourceID=14","0.00151")</f>
        <v>0.00151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HYPERLINK("http://141.218.60.56/~jnz1568/getInfo.php?workbook=10_05.xlsx&amp;sheet=U0&amp;row=2978&amp;col=6&amp;number=4.4&amp;sourceID=14","4.4")</f>
        <v>4.4</v>
      </c>
      <c r="G2978" s="4" t="str">
        <f>HYPERLINK("http://141.218.60.56/~jnz1568/getInfo.php?workbook=10_05.xlsx&amp;sheet=U0&amp;row=2978&amp;col=7&amp;number=0.00149&amp;sourceID=14","0.00149")</f>
        <v>0.00149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HYPERLINK("http://141.218.60.56/~jnz1568/getInfo.php?workbook=10_05.xlsx&amp;sheet=U0&amp;row=2979&amp;col=6&amp;number=4.5&amp;sourceID=14","4.5")</f>
        <v>4.5</v>
      </c>
      <c r="G2979" s="4" t="str">
        <f>HYPERLINK("http://141.218.60.56/~jnz1568/getInfo.php?workbook=10_05.xlsx&amp;sheet=U0&amp;row=2979&amp;col=7&amp;number=0.00148&amp;sourceID=14","0.00148")</f>
        <v>0.00148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HYPERLINK("http://141.218.60.56/~jnz1568/getInfo.php?workbook=10_05.xlsx&amp;sheet=U0&amp;row=2980&amp;col=6&amp;number=4.6&amp;sourceID=14","4.6")</f>
        <v>4.6</v>
      </c>
      <c r="G2980" s="4" t="str">
        <f>HYPERLINK("http://141.218.60.56/~jnz1568/getInfo.php?workbook=10_05.xlsx&amp;sheet=U0&amp;row=2980&amp;col=7&amp;number=0.00147&amp;sourceID=14","0.00147")</f>
        <v>0.00147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HYPERLINK("http://141.218.60.56/~jnz1568/getInfo.php?workbook=10_05.xlsx&amp;sheet=U0&amp;row=2981&amp;col=6&amp;number=4.7&amp;sourceID=14","4.7")</f>
        <v>4.7</v>
      </c>
      <c r="G2981" s="4" t="str">
        <f>HYPERLINK("http://141.218.60.56/~jnz1568/getInfo.php?workbook=10_05.xlsx&amp;sheet=U0&amp;row=2981&amp;col=7&amp;number=0.00146&amp;sourceID=14","0.00146")</f>
        <v>0.00146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HYPERLINK("http://141.218.60.56/~jnz1568/getInfo.php?workbook=10_05.xlsx&amp;sheet=U0&amp;row=2982&amp;col=6&amp;number=4.8&amp;sourceID=14","4.8")</f>
        <v>4.8</v>
      </c>
      <c r="G2982" s="4" t="str">
        <f>HYPERLINK("http://141.218.60.56/~jnz1568/getInfo.php?workbook=10_05.xlsx&amp;sheet=U0&amp;row=2982&amp;col=7&amp;number=0.00146&amp;sourceID=14","0.00146")</f>
        <v>0.00146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HYPERLINK("http://141.218.60.56/~jnz1568/getInfo.php?workbook=10_05.xlsx&amp;sheet=U0&amp;row=2983&amp;col=6&amp;number=4.9&amp;sourceID=14","4.9")</f>
        <v>4.9</v>
      </c>
      <c r="G2983" s="4" t="str">
        <f>HYPERLINK("http://141.218.60.56/~jnz1568/getInfo.php?workbook=10_05.xlsx&amp;sheet=U0&amp;row=2983&amp;col=7&amp;number=0.00145&amp;sourceID=14","0.00145")</f>
        <v>0.00145</v>
      </c>
    </row>
    <row r="2984" spans="1:7">
      <c r="A2984" s="3">
        <v>10</v>
      </c>
      <c r="B2984" s="3">
        <v>5</v>
      </c>
      <c r="C2984" s="3">
        <v>1</v>
      </c>
      <c r="D2984" s="3">
        <v>151</v>
      </c>
      <c r="E2984" s="3">
        <v>1</v>
      </c>
      <c r="F2984" s="4" t="str">
        <f>HYPERLINK("http://141.218.60.56/~jnz1568/getInfo.php?workbook=10_05.xlsx&amp;sheet=U0&amp;row=2984&amp;col=6&amp;number=3&amp;sourceID=14","3")</f>
        <v>3</v>
      </c>
      <c r="G2984" s="4" t="str">
        <f>HYPERLINK("http://141.218.60.56/~jnz1568/getInfo.php?workbook=10_05.xlsx&amp;sheet=U0&amp;row=2984&amp;col=7&amp;number=0.000949&amp;sourceID=14","0.000949")</f>
        <v>0.000949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HYPERLINK("http://141.218.60.56/~jnz1568/getInfo.php?workbook=10_05.xlsx&amp;sheet=U0&amp;row=2985&amp;col=6&amp;number=3.1&amp;sourceID=14","3.1")</f>
        <v>3.1</v>
      </c>
      <c r="G2985" s="4" t="str">
        <f>HYPERLINK("http://141.218.60.56/~jnz1568/getInfo.php?workbook=10_05.xlsx&amp;sheet=U0&amp;row=2985&amp;col=7&amp;number=0.000946&amp;sourceID=14","0.000946")</f>
        <v>0.000946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HYPERLINK("http://141.218.60.56/~jnz1568/getInfo.php?workbook=10_05.xlsx&amp;sheet=U0&amp;row=2986&amp;col=6&amp;number=3.2&amp;sourceID=14","3.2")</f>
        <v>3.2</v>
      </c>
      <c r="G2986" s="4" t="str">
        <f>HYPERLINK("http://141.218.60.56/~jnz1568/getInfo.php?workbook=10_05.xlsx&amp;sheet=U0&amp;row=2986&amp;col=7&amp;number=0.000943&amp;sourceID=14","0.000943")</f>
        <v>0.000943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HYPERLINK("http://141.218.60.56/~jnz1568/getInfo.php?workbook=10_05.xlsx&amp;sheet=U0&amp;row=2987&amp;col=6&amp;number=3.3&amp;sourceID=14","3.3")</f>
        <v>3.3</v>
      </c>
      <c r="G2987" s="4" t="str">
        <f>HYPERLINK("http://141.218.60.56/~jnz1568/getInfo.php?workbook=10_05.xlsx&amp;sheet=U0&amp;row=2987&amp;col=7&amp;number=0.00094&amp;sourceID=14","0.00094")</f>
        <v>0.00094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HYPERLINK("http://141.218.60.56/~jnz1568/getInfo.php?workbook=10_05.xlsx&amp;sheet=U0&amp;row=2988&amp;col=6&amp;number=3.4&amp;sourceID=14","3.4")</f>
        <v>3.4</v>
      </c>
      <c r="G2988" s="4" t="str">
        <f>HYPERLINK("http://141.218.60.56/~jnz1568/getInfo.php?workbook=10_05.xlsx&amp;sheet=U0&amp;row=2988&amp;col=7&amp;number=0.000935&amp;sourceID=14","0.000935")</f>
        <v>0.000935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HYPERLINK("http://141.218.60.56/~jnz1568/getInfo.php?workbook=10_05.xlsx&amp;sheet=U0&amp;row=2989&amp;col=6&amp;number=3.5&amp;sourceID=14","3.5")</f>
        <v>3.5</v>
      </c>
      <c r="G2989" s="4" t="str">
        <f>HYPERLINK("http://141.218.60.56/~jnz1568/getInfo.php?workbook=10_05.xlsx&amp;sheet=U0&amp;row=2989&amp;col=7&amp;number=0.00093&amp;sourceID=14","0.00093")</f>
        <v>0.00093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HYPERLINK("http://141.218.60.56/~jnz1568/getInfo.php?workbook=10_05.xlsx&amp;sheet=U0&amp;row=2990&amp;col=6&amp;number=3.6&amp;sourceID=14","3.6")</f>
        <v>3.6</v>
      </c>
      <c r="G2990" s="4" t="str">
        <f>HYPERLINK("http://141.218.60.56/~jnz1568/getInfo.php?workbook=10_05.xlsx&amp;sheet=U0&amp;row=2990&amp;col=7&amp;number=0.000923&amp;sourceID=14","0.000923")</f>
        <v>0.000923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HYPERLINK("http://141.218.60.56/~jnz1568/getInfo.php?workbook=10_05.xlsx&amp;sheet=U0&amp;row=2991&amp;col=6&amp;number=3.7&amp;sourceID=14","3.7")</f>
        <v>3.7</v>
      </c>
      <c r="G2991" s="4" t="str">
        <f>HYPERLINK("http://141.218.60.56/~jnz1568/getInfo.php?workbook=10_05.xlsx&amp;sheet=U0&amp;row=2991&amp;col=7&amp;number=0.000914&amp;sourceID=14","0.000914")</f>
        <v>0.000914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HYPERLINK("http://141.218.60.56/~jnz1568/getInfo.php?workbook=10_05.xlsx&amp;sheet=U0&amp;row=2992&amp;col=6&amp;number=3.8&amp;sourceID=14","3.8")</f>
        <v>3.8</v>
      </c>
      <c r="G2992" s="4" t="str">
        <f>HYPERLINK("http://141.218.60.56/~jnz1568/getInfo.php?workbook=10_05.xlsx&amp;sheet=U0&amp;row=2992&amp;col=7&amp;number=0.000904&amp;sourceID=14","0.000904")</f>
        <v>0.000904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HYPERLINK("http://141.218.60.56/~jnz1568/getInfo.php?workbook=10_05.xlsx&amp;sheet=U0&amp;row=2993&amp;col=6&amp;number=3.9&amp;sourceID=14","3.9")</f>
        <v>3.9</v>
      </c>
      <c r="G2993" s="4" t="str">
        <f>HYPERLINK("http://141.218.60.56/~jnz1568/getInfo.php?workbook=10_05.xlsx&amp;sheet=U0&amp;row=2993&amp;col=7&amp;number=0.000892&amp;sourceID=14","0.000892")</f>
        <v>0.000892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HYPERLINK("http://141.218.60.56/~jnz1568/getInfo.php?workbook=10_05.xlsx&amp;sheet=U0&amp;row=2994&amp;col=6&amp;number=4&amp;sourceID=14","4")</f>
        <v>4</v>
      </c>
      <c r="G2994" s="4" t="str">
        <f>HYPERLINK("http://141.218.60.56/~jnz1568/getInfo.php?workbook=10_05.xlsx&amp;sheet=U0&amp;row=2994&amp;col=7&amp;number=0.000878&amp;sourceID=14","0.000878")</f>
        <v>0.000878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HYPERLINK("http://141.218.60.56/~jnz1568/getInfo.php?workbook=10_05.xlsx&amp;sheet=U0&amp;row=2995&amp;col=6&amp;number=4.1&amp;sourceID=14","4.1")</f>
        <v>4.1</v>
      </c>
      <c r="G2995" s="4" t="str">
        <f>HYPERLINK("http://141.218.60.56/~jnz1568/getInfo.php?workbook=10_05.xlsx&amp;sheet=U0&amp;row=2995&amp;col=7&amp;number=0.000862&amp;sourceID=14","0.000862")</f>
        <v>0.000862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HYPERLINK("http://141.218.60.56/~jnz1568/getInfo.php?workbook=10_05.xlsx&amp;sheet=U0&amp;row=2996&amp;col=6&amp;number=4.2&amp;sourceID=14","4.2")</f>
        <v>4.2</v>
      </c>
      <c r="G2996" s="4" t="str">
        <f>HYPERLINK("http://141.218.60.56/~jnz1568/getInfo.php?workbook=10_05.xlsx&amp;sheet=U0&amp;row=2996&amp;col=7&amp;number=0.000845&amp;sourceID=14","0.000845")</f>
        <v>0.000845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HYPERLINK("http://141.218.60.56/~jnz1568/getInfo.php?workbook=10_05.xlsx&amp;sheet=U0&amp;row=2997&amp;col=6&amp;number=4.3&amp;sourceID=14","4.3")</f>
        <v>4.3</v>
      </c>
      <c r="G2997" s="4" t="str">
        <f>HYPERLINK("http://141.218.60.56/~jnz1568/getInfo.php?workbook=10_05.xlsx&amp;sheet=U0&amp;row=2997&amp;col=7&amp;number=0.000829&amp;sourceID=14","0.000829")</f>
        <v>0.000829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HYPERLINK("http://141.218.60.56/~jnz1568/getInfo.php?workbook=10_05.xlsx&amp;sheet=U0&amp;row=2998&amp;col=6&amp;number=4.4&amp;sourceID=14","4.4")</f>
        <v>4.4</v>
      </c>
      <c r="G2998" s="4" t="str">
        <f>HYPERLINK("http://141.218.60.56/~jnz1568/getInfo.php?workbook=10_05.xlsx&amp;sheet=U0&amp;row=2998&amp;col=7&amp;number=0.000816&amp;sourceID=14","0.000816")</f>
        <v>0.000816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HYPERLINK("http://141.218.60.56/~jnz1568/getInfo.php?workbook=10_05.xlsx&amp;sheet=U0&amp;row=2999&amp;col=6&amp;number=4.5&amp;sourceID=14","4.5")</f>
        <v>4.5</v>
      </c>
      <c r="G2999" s="4" t="str">
        <f>HYPERLINK("http://141.218.60.56/~jnz1568/getInfo.php?workbook=10_05.xlsx&amp;sheet=U0&amp;row=2999&amp;col=7&amp;number=0.000806&amp;sourceID=14","0.000806")</f>
        <v>0.000806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HYPERLINK("http://141.218.60.56/~jnz1568/getInfo.php?workbook=10_05.xlsx&amp;sheet=U0&amp;row=3000&amp;col=6&amp;number=4.6&amp;sourceID=14","4.6")</f>
        <v>4.6</v>
      </c>
      <c r="G3000" s="4" t="str">
        <f>HYPERLINK("http://141.218.60.56/~jnz1568/getInfo.php?workbook=10_05.xlsx&amp;sheet=U0&amp;row=3000&amp;col=7&amp;number=0.000798&amp;sourceID=14","0.000798")</f>
        <v>0.000798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HYPERLINK("http://141.218.60.56/~jnz1568/getInfo.php?workbook=10_05.xlsx&amp;sheet=U0&amp;row=3001&amp;col=6&amp;number=4.7&amp;sourceID=14","4.7")</f>
        <v>4.7</v>
      </c>
      <c r="G3001" s="4" t="str">
        <f>HYPERLINK("http://141.218.60.56/~jnz1568/getInfo.php?workbook=10_05.xlsx&amp;sheet=U0&amp;row=3001&amp;col=7&amp;number=0.000784&amp;sourceID=14","0.000784")</f>
        <v>0.000784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HYPERLINK("http://141.218.60.56/~jnz1568/getInfo.php?workbook=10_05.xlsx&amp;sheet=U0&amp;row=3002&amp;col=6&amp;number=4.8&amp;sourceID=14","4.8")</f>
        <v>4.8</v>
      </c>
      <c r="G3002" s="4" t="str">
        <f>HYPERLINK("http://141.218.60.56/~jnz1568/getInfo.php?workbook=10_05.xlsx&amp;sheet=U0&amp;row=3002&amp;col=7&amp;number=0.000763&amp;sourceID=14","0.000763")</f>
        <v>0.000763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HYPERLINK("http://141.218.60.56/~jnz1568/getInfo.php?workbook=10_05.xlsx&amp;sheet=U0&amp;row=3003&amp;col=6&amp;number=4.9&amp;sourceID=14","4.9")</f>
        <v>4.9</v>
      </c>
      <c r="G3003" s="4" t="str">
        <f>HYPERLINK("http://141.218.60.56/~jnz1568/getInfo.php?workbook=10_05.xlsx&amp;sheet=U0&amp;row=3003&amp;col=7&amp;number=0.000739&amp;sourceID=14","0.000739")</f>
        <v>0.000739</v>
      </c>
    </row>
    <row r="3004" spans="1:7">
      <c r="A3004" s="3">
        <v>10</v>
      </c>
      <c r="B3004" s="3">
        <v>5</v>
      </c>
      <c r="C3004" s="3">
        <v>1</v>
      </c>
      <c r="D3004" s="3">
        <v>152</v>
      </c>
      <c r="E3004" s="3">
        <v>1</v>
      </c>
      <c r="F3004" s="4" t="str">
        <f>HYPERLINK("http://141.218.60.56/~jnz1568/getInfo.php?workbook=10_05.xlsx&amp;sheet=U0&amp;row=3004&amp;col=6&amp;number=3&amp;sourceID=14","3")</f>
        <v>3</v>
      </c>
      <c r="G3004" s="4" t="str">
        <f>HYPERLINK("http://141.218.60.56/~jnz1568/getInfo.php?workbook=10_05.xlsx&amp;sheet=U0&amp;row=3004&amp;col=7&amp;number=0.0118&amp;sourceID=14","0.0118")</f>
        <v>0.0118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HYPERLINK("http://141.218.60.56/~jnz1568/getInfo.php?workbook=10_05.xlsx&amp;sheet=U0&amp;row=3005&amp;col=6&amp;number=3.1&amp;sourceID=14","3.1")</f>
        <v>3.1</v>
      </c>
      <c r="G3005" s="4" t="str">
        <f>HYPERLINK("http://141.218.60.56/~jnz1568/getInfo.php?workbook=10_05.xlsx&amp;sheet=U0&amp;row=3005&amp;col=7&amp;number=0.0118&amp;sourceID=14","0.0118")</f>
        <v>0.0118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HYPERLINK("http://141.218.60.56/~jnz1568/getInfo.php?workbook=10_05.xlsx&amp;sheet=U0&amp;row=3006&amp;col=6&amp;number=3.2&amp;sourceID=14","3.2")</f>
        <v>3.2</v>
      </c>
      <c r="G3006" s="4" t="str">
        <f>HYPERLINK("http://141.218.60.56/~jnz1568/getInfo.php?workbook=10_05.xlsx&amp;sheet=U0&amp;row=3006&amp;col=7&amp;number=0.0118&amp;sourceID=14","0.0118")</f>
        <v>0.0118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HYPERLINK("http://141.218.60.56/~jnz1568/getInfo.php?workbook=10_05.xlsx&amp;sheet=U0&amp;row=3007&amp;col=6&amp;number=3.3&amp;sourceID=14","3.3")</f>
        <v>3.3</v>
      </c>
      <c r="G3007" s="4" t="str">
        <f>HYPERLINK("http://141.218.60.56/~jnz1568/getInfo.php?workbook=10_05.xlsx&amp;sheet=U0&amp;row=3007&amp;col=7&amp;number=0.0118&amp;sourceID=14","0.0118")</f>
        <v>0.0118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HYPERLINK("http://141.218.60.56/~jnz1568/getInfo.php?workbook=10_05.xlsx&amp;sheet=U0&amp;row=3008&amp;col=6&amp;number=3.4&amp;sourceID=14","3.4")</f>
        <v>3.4</v>
      </c>
      <c r="G3008" s="4" t="str">
        <f>HYPERLINK("http://141.218.60.56/~jnz1568/getInfo.php?workbook=10_05.xlsx&amp;sheet=U0&amp;row=3008&amp;col=7&amp;number=0.0119&amp;sourceID=14","0.0119")</f>
        <v>0.0119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HYPERLINK("http://141.218.60.56/~jnz1568/getInfo.php?workbook=10_05.xlsx&amp;sheet=U0&amp;row=3009&amp;col=6&amp;number=3.5&amp;sourceID=14","3.5")</f>
        <v>3.5</v>
      </c>
      <c r="G3009" s="4" t="str">
        <f>HYPERLINK("http://141.218.60.56/~jnz1568/getInfo.php?workbook=10_05.xlsx&amp;sheet=U0&amp;row=3009&amp;col=7&amp;number=0.0119&amp;sourceID=14","0.0119")</f>
        <v>0.0119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HYPERLINK("http://141.218.60.56/~jnz1568/getInfo.php?workbook=10_05.xlsx&amp;sheet=U0&amp;row=3010&amp;col=6&amp;number=3.6&amp;sourceID=14","3.6")</f>
        <v>3.6</v>
      </c>
      <c r="G3010" s="4" t="str">
        <f>HYPERLINK("http://141.218.60.56/~jnz1568/getInfo.php?workbook=10_05.xlsx&amp;sheet=U0&amp;row=3010&amp;col=7&amp;number=0.0119&amp;sourceID=14","0.0119")</f>
        <v>0.0119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HYPERLINK("http://141.218.60.56/~jnz1568/getInfo.php?workbook=10_05.xlsx&amp;sheet=U0&amp;row=3011&amp;col=6&amp;number=3.7&amp;sourceID=14","3.7")</f>
        <v>3.7</v>
      </c>
      <c r="G3011" s="4" t="str">
        <f>HYPERLINK("http://141.218.60.56/~jnz1568/getInfo.php?workbook=10_05.xlsx&amp;sheet=U0&amp;row=3011&amp;col=7&amp;number=0.012&amp;sourceID=14","0.012")</f>
        <v>0.012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HYPERLINK("http://141.218.60.56/~jnz1568/getInfo.php?workbook=10_05.xlsx&amp;sheet=U0&amp;row=3012&amp;col=6&amp;number=3.8&amp;sourceID=14","3.8")</f>
        <v>3.8</v>
      </c>
      <c r="G3012" s="4" t="str">
        <f>HYPERLINK("http://141.218.60.56/~jnz1568/getInfo.php?workbook=10_05.xlsx&amp;sheet=U0&amp;row=3012&amp;col=7&amp;number=0.0121&amp;sourceID=14","0.0121")</f>
        <v>0.0121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HYPERLINK("http://141.218.60.56/~jnz1568/getInfo.php?workbook=10_05.xlsx&amp;sheet=U0&amp;row=3013&amp;col=6&amp;number=3.9&amp;sourceID=14","3.9")</f>
        <v>3.9</v>
      </c>
      <c r="G3013" s="4" t="str">
        <f>HYPERLINK("http://141.218.60.56/~jnz1568/getInfo.php?workbook=10_05.xlsx&amp;sheet=U0&amp;row=3013&amp;col=7&amp;number=0.0121&amp;sourceID=14","0.0121")</f>
        <v>0.0121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HYPERLINK("http://141.218.60.56/~jnz1568/getInfo.php?workbook=10_05.xlsx&amp;sheet=U0&amp;row=3014&amp;col=6&amp;number=4&amp;sourceID=14","4")</f>
        <v>4</v>
      </c>
      <c r="G3014" s="4" t="str">
        <f>HYPERLINK("http://141.218.60.56/~jnz1568/getInfo.php?workbook=10_05.xlsx&amp;sheet=U0&amp;row=3014&amp;col=7&amp;number=0.0122&amp;sourceID=14","0.0122")</f>
        <v>0.0122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HYPERLINK("http://141.218.60.56/~jnz1568/getInfo.php?workbook=10_05.xlsx&amp;sheet=U0&amp;row=3015&amp;col=6&amp;number=4.1&amp;sourceID=14","4.1")</f>
        <v>4.1</v>
      </c>
      <c r="G3015" s="4" t="str">
        <f>HYPERLINK("http://141.218.60.56/~jnz1568/getInfo.php?workbook=10_05.xlsx&amp;sheet=U0&amp;row=3015&amp;col=7&amp;number=0.0123&amp;sourceID=14","0.0123")</f>
        <v>0.0123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HYPERLINK("http://141.218.60.56/~jnz1568/getInfo.php?workbook=10_05.xlsx&amp;sheet=U0&amp;row=3016&amp;col=6&amp;number=4.2&amp;sourceID=14","4.2")</f>
        <v>4.2</v>
      </c>
      <c r="G3016" s="4" t="str">
        <f>HYPERLINK("http://141.218.60.56/~jnz1568/getInfo.php?workbook=10_05.xlsx&amp;sheet=U0&amp;row=3016&amp;col=7&amp;number=0.0125&amp;sourceID=14","0.0125")</f>
        <v>0.0125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HYPERLINK("http://141.218.60.56/~jnz1568/getInfo.php?workbook=10_05.xlsx&amp;sheet=U0&amp;row=3017&amp;col=6&amp;number=4.3&amp;sourceID=14","4.3")</f>
        <v>4.3</v>
      </c>
      <c r="G3017" s="4" t="str">
        <f>HYPERLINK("http://141.218.60.56/~jnz1568/getInfo.php?workbook=10_05.xlsx&amp;sheet=U0&amp;row=3017&amp;col=7&amp;number=0.0126&amp;sourceID=14","0.0126")</f>
        <v>0.0126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HYPERLINK("http://141.218.60.56/~jnz1568/getInfo.php?workbook=10_05.xlsx&amp;sheet=U0&amp;row=3018&amp;col=6&amp;number=4.4&amp;sourceID=14","4.4")</f>
        <v>4.4</v>
      </c>
      <c r="G3018" s="4" t="str">
        <f>HYPERLINK("http://141.218.60.56/~jnz1568/getInfo.php?workbook=10_05.xlsx&amp;sheet=U0&amp;row=3018&amp;col=7&amp;number=0.0128&amp;sourceID=14","0.0128")</f>
        <v>0.0128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HYPERLINK("http://141.218.60.56/~jnz1568/getInfo.php?workbook=10_05.xlsx&amp;sheet=U0&amp;row=3019&amp;col=6&amp;number=4.5&amp;sourceID=14","4.5")</f>
        <v>4.5</v>
      </c>
      <c r="G3019" s="4" t="str">
        <f>HYPERLINK("http://141.218.60.56/~jnz1568/getInfo.php?workbook=10_05.xlsx&amp;sheet=U0&amp;row=3019&amp;col=7&amp;number=0.0129&amp;sourceID=14","0.0129")</f>
        <v>0.0129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HYPERLINK("http://141.218.60.56/~jnz1568/getInfo.php?workbook=10_05.xlsx&amp;sheet=U0&amp;row=3020&amp;col=6&amp;number=4.6&amp;sourceID=14","4.6")</f>
        <v>4.6</v>
      </c>
      <c r="G3020" s="4" t="str">
        <f>HYPERLINK("http://141.218.60.56/~jnz1568/getInfo.php?workbook=10_05.xlsx&amp;sheet=U0&amp;row=3020&amp;col=7&amp;number=0.013&amp;sourceID=14","0.013")</f>
        <v>0.013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HYPERLINK("http://141.218.60.56/~jnz1568/getInfo.php?workbook=10_05.xlsx&amp;sheet=U0&amp;row=3021&amp;col=6&amp;number=4.7&amp;sourceID=14","4.7")</f>
        <v>4.7</v>
      </c>
      <c r="G3021" s="4" t="str">
        <f>HYPERLINK("http://141.218.60.56/~jnz1568/getInfo.php?workbook=10_05.xlsx&amp;sheet=U0&amp;row=3021&amp;col=7&amp;number=0.0131&amp;sourceID=14","0.0131")</f>
        <v>0.0131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HYPERLINK("http://141.218.60.56/~jnz1568/getInfo.php?workbook=10_05.xlsx&amp;sheet=U0&amp;row=3022&amp;col=6&amp;number=4.8&amp;sourceID=14","4.8")</f>
        <v>4.8</v>
      </c>
      <c r="G3022" s="4" t="str">
        <f>HYPERLINK("http://141.218.60.56/~jnz1568/getInfo.php?workbook=10_05.xlsx&amp;sheet=U0&amp;row=3022&amp;col=7&amp;number=0.0133&amp;sourceID=14","0.0133")</f>
        <v>0.0133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HYPERLINK("http://141.218.60.56/~jnz1568/getInfo.php?workbook=10_05.xlsx&amp;sheet=U0&amp;row=3023&amp;col=6&amp;number=4.9&amp;sourceID=14","4.9")</f>
        <v>4.9</v>
      </c>
      <c r="G3023" s="4" t="str">
        <f>HYPERLINK("http://141.218.60.56/~jnz1568/getInfo.php?workbook=10_05.xlsx&amp;sheet=U0&amp;row=3023&amp;col=7&amp;number=0.0135&amp;sourceID=14","0.0135")</f>
        <v>0.0135</v>
      </c>
    </row>
    <row r="3024" spans="1:7">
      <c r="A3024" s="3">
        <v>10</v>
      </c>
      <c r="B3024" s="3">
        <v>5</v>
      </c>
      <c r="C3024" s="3">
        <v>1</v>
      </c>
      <c r="D3024" s="3">
        <v>153</v>
      </c>
      <c r="E3024" s="3">
        <v>1</v>
      </c>
      <c r="F3024" s="4" t="str">
        <f>HYPERLINK("http://141.218.60.56/~jnz1568/getInfo.php?workbook=10_05.xlsx&amp;sheet=U0&amp;row=3024&amp;col=6&amp;number=3&amp;sourceID=14","3")</f>
        <v>3</v>
      </c>
      <c r="G3024" s="4" t="str">
        <f>HYPERLINK("http://141.218.60.56/~jnz1568/getInfo.php?workbook=10_05.xlsx&amp;sheet=U0&amp;row=3024&amp;col=7&amp;number=0.00233&amp;sourceID=14","0.00233")</f>
        <v>0.00233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HYPERLINK("http://141.218.60.56/~jnz1568/getInfo.php?workbook=10_05.xlsx&amp;sheet=U0&amp;row=3025&amp;col=6&amp;number=3.1&amp;sourceID=14","3.1")</f>
        <v>3.1</v>
      </c>
      <c r="G3025" s="4" t="str">
        <f>HYPERLINK("http://141.218.60.56/~jnz1568/getInfo.php?workbook=10_05.xlsx&amp;sheet=U0&amp;row=3025&amp;col=7&amp;number=0.00233&amp;sourceID=14","0.00233")</f>
        <v>0.00233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HYPERLINK("http://141.218.60.56/~jnz1568/getInfo.php?workbook=10_05.xlsx&amp;sheet=U0&amp;row=3026&amp;col=6&amp;number=3.2&amp;sourceID=14","3.2")</f>
        <v>3.2</v>
      </c>
      <c r="G3026" s="4" t="str">
        <f>HYPERLINK("http://141.218.60.56/~jnz1568/getInfo.php?workbook=10_05.xlsx&amp;sheet=U0&amp;row=3026&amp;col=7&amp;number=0.00233&amp;sourceID=14","0.00233")</f>
        <v>0.00233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HYPERLINK("http://141.218.60.56/~jnz1568/getInfo.php?workbook=10_05.xlsx&amp;sheet=U0&amp;row=3027&amp;col=6&amp;number=3.3&amp;sourceID=14","3.3")</f>
        <v>3.3</v>
      </c>
      <c r="G3027" s="4" t="str">
        <f>HYPERLINK("http://141.218.60.56/~jnz1568/getInfo.php?workbook=10_05.xlsx&amp;sheet=U0&amp;row=3027&amp;col=7&amp;number=0.00233&amp;sourceID=14","0.00233")</f>
        <v>0.00233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HYPERLINK("http://141.218.60.56/~jnz1568/getInfo.php?workbook=10_05.xlsx&amp;sheet=U0&amp;row=3028&amp;col=6&amp;number=3.4&amp;sourceID=14","3.4")</f>
        <v>3.4</v>
      </c>
      <c r="G3028" s="4" t="str">
        <f>HYPERLINK("http://141.218.60.56/~jnz1568/getInfo.php?workbook=10_05.xlsx&amp;sheet=U0&amp;row=3028&amp;col=7&amp;number=0.00234&amp;sourceID=14","0.00234")</f>
        <v>0.00234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HYPERLINK("http://141.218.60.56/~jnz1568/getInfo.php?workbook=10_05.xlsx&amp;sheet=U0&amp;row=3029&amp;col=6&amp;number=3.5&amp;sourceID=14","3.5")</f>
        <v>3.5</v>
      </c>
      <c r="G3029" s="4" t="str">
        <f>HYPERLINK("http://141.218.60.56/~jnz1568/getInfo.php?workbook=10_05.xlsx&amp;sheet=U0&amp;row=3029&amp;col=7&amp;number=0.00234&amp;sourceID=14","0.00234")</f>
        <v>0.00234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HYPERLINK("http://141.218.60.56/~jnz1568/getInfo.php?workbook=10_05.xlsx&amp;sheet=U0&amp;row=3030&amp;col=6&amp;number=3.6&amp;sourceID=14","3.6")</f>
        <v>3.6</v>
      </c>
      <c r="G3030" s="4" t="str">
        <f>HYPERLINK("http://141.218.60.56/~jnz1568/getInfo.php?workbook=10_05.xlsx&amp;sheet=U0&amp;row=3030&amp;col=7&amp;number=0.00234&amp;sourceID=14","0.00234")</f>
        <v>0.00234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HYPERLINK("http://141.218.60.56/~jnz1568/getInfo.php?workbook=10_05.xlsx&amp;sheet=U0&amp;row=3031&amp;col=6&amp;number=3.7&amp;sourceID=14","3.7")</f>
        <v>3.7</v>
      </c>
      <c r="G3031" s="4" t="str">
        <f>HYPERLINK("http://141.218.60.56/~jnz1568/getInfo.php?workbook=10_05.xlsx&amp;sheet=U0&amp;row=3031&amp;col=7&amp;number=0.00235&amp;sourceID=14","0.00235")</f>
        <v>0.00235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HYPERLINK("http://141.218.60.56/~jnz1568/getInfo.php?workbook=10_05.xlsx&amp;sheet=U0&amp;row=3032&amp;col=6&amp;number=3.8&amp;sourceID=14","3.8")</f>
        <v>3.8</v>
      </c>
      <c r="G3032" s="4" t="str">
        <f>HYPERLINK("http://141.218.60.56/~jnz1568/getInfo.php?workbook=10_05.xlsx&amp;sheet=U0&amp;row=3032&amp;col=7&amp;number=0.00235&amp;sourceID=14","0.00235")</f>
        <v>0.00235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HYPERLINK("http://141.218.60.56/~jnz1568/getInfo.php?workbook=10_05.xlsx&amp;sheet=U0&amp;row=3033&amp;col=6&amp;number=3.9&amp;sourceID=14","3.9")</f>
        <v>3.9</v>
      </c>
      <c r="G3033" s="4" t="str">
        <f>HYPERLINK("http://141.218.60.56/~jnz1568/getInfo.php?workbook=10_05.xlsx&amp;sheet=U0&amp;row=3033&amp;col=7&amp;number=0.00236&amp;sourceID=14","0.00236")</f>
        <v>0.00236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HYPERLINK("http://141.218.60.56/~jnz1568/getInfo.php?workbook=10_05.xlsx&amp;sheet=U0&amp;row=3034&amp;col=6&amp;number=4&amp;sourceID=14","4")</f>
        <v>4</v>
      </c>
      <c r="G3034" s="4" t="str">
        <f>HYPERLINK("http://141.218.60.56/~jnz1568/getInfo.php?workbook=10_05.xlsx&amp;sheet=U0&amp;row=3034&amp;col=7&amp;number=0.00237&amp;sourceID=14","0.00237")</f>
        <v>0.00237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HYPERLINK("http://141.218.60.56/~jnz1568/getInfo.php?workbook=10_05.xlsx&amp;sheet=U0&amp;row=3035&amp;col=6&amp;number=4.1&amp;sourceID=14","4.1")</f>
        <v>4.1</v>
      </c>
      <c r="G3035" s="4" t="str">
        <f>HYPERLINK("http://141.218.60.56/~jnz1568/getInfo.php?workbook=10_05.xlsx&amp;sheet=U0&amp;row=3035&amp;col=7&amp;number=0.00237&amp;sourceID=14","0.00237")</f>
        <v>0.00237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HYPERLINK("http://141.218.60.56/~jnz1568/getInfo.php?workbook=10_05.xlsx&amp;sheet=U0&amp;row=3036&amp;col=6&amp;number=4.2&amp;sourceID=14","4.2")</f>
        <v>4.2</v>
      </c>
      <c r="G3036" s="4" t="str">
        <f>HYPERLINK("http://141.218.60.56/~jnz1568/getInfo.php?workbook=10_05.xlsx&amp;sheet=U0&amp;row=3036&amp;col=7&amp;number=0.00238&amp;sourceID=14","0.00238")</f>
        <v>0.00238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HYPERLINK("http://141.218.60.56/~jnz1568/getInfo.php?workbook=10_05.xlsx&amp;sheet=U0&amp;row=3037&amp;col=6&amp;number=4.3&amp;sourceID=14","4.3")</f>
        <v>4.3</v>
      </c>
      <c r="G3037" s="4" t="str">
        <f>HYPERLINK("http://141.218.60.56/~jnz1568/getInfo.php?workbook=10_05.xlsx&amp;sheet=U0&amp;row=3037&amp;col=7&amp;number=0.00238&amp;sourceID=14","0.00238")</f>
        <v>0.00238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HYPERLINK("http://141.218.60.56/~jnz1568/getInfo.php?workbook=10_05.xlsx&amp;sheet=U0&amp;row=3038&amp;col=6&amp;number=4.4&amp;sourceID=14","4.4")</f>
        <v>4.4</v>
      </c>
      <c r="G3038" s="4" t="str">
        <f>HYPERLINK("http://141.218.60.56/~jnz1568/getInfo.php?workbook=10_05.xlsx&amp;sheet=U0&amp;row=3038&amp;col=7&amp;number=0.00236&amp;sourceID=14","0.00236")</f>
        <v>0.00236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HYPERLINK("http://141.218.60.56/~jnz1568/getInfo.php?workbook=10_05.xlsx&amp;sheet=U0&amp;row=3039&amp;col=6&amp;number=4.5&amp;sourceID=14","4.5")</f>
        <v>4.5</v>
      </c>
      <c r="G3039" s="4" t="str">
        <f>HYPERLINK("http://141.218.60.56/~jnz1568/getInfo.php?workbook=10_05.xlsx&amp;sheet=U0&amp;row=3039&amp;col=7&amp;number=0.00234&amp;sourceID=14","0.00234")</f>
        <v>0.00234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HYPERLINK("http://141.218.60.56/~jnz1568/getInfo.php?workbook=10_05.xlsx&amp;sheet=U0&amp;row=3040&amp;col=6&amp;number=4.6&amp;sourceID=14","4.6")</f>
        <v>4.6</v>
      </c>
      <c r="G3040" s="4" t="str">
        <f>HYPERLINK("http://141.218.60.56/~jnz1568/getInfo.php?workbook=10_05.xlsx&amp;sheet=U0&amp;row=3040&amp;col=7&amp;number=0.00231&amp;sourceID=14","0.00231")</f>
        <v>0.00231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HYPERLINK("http://141.218.60.56/~jnz1568/getInfo.php?workbook=10_05.xlsx&amp;sheet=U0&amp;row=3041&amp;col=6&amp;number=4.7&amp;sourceID=14","4.7")</f>
        <v>4.7</v>
      </c>
      <c r="G3041" s="4" t="str">
        <f>HYPERLINK("http://141.218.60.56/~jnz1568/getInfo.php?workbook=10_05.xlsx&amp;sheet=U0&amp;row=3041&amp;col=7&amp;number=0.00227&amp;sourceID=14","0.00227")</f>
        <v>0.00227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HYPERLINK("http://141.218.60.56/~jnz1568/getInfo.php?workbook=10_05.xlsx&amp;sheet=U0&amp;row=3042&amp;col=6&amp;number=4.8&amp;sourceID=14","4.8")</f>
        <v>4.8</v>
      </c>
      <c r="G3042" s="4" t="str">
        <f>HYPERLINK("http://141.218.60.56/~jnz1568/getInfo.php?workbook=10_05.xlsx&amp;sheet=U0&amp;row=3042&amp;col=7&amp;number=0.00223&amp;sourceID=14","0.00223")</f>
        <v>0.00223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HYPERLINK("http://141.218.60.56/~jnz1568/getInfo.php?workbook=10_05.xlsx&amp;sheet=U0&amp;row=3043&amp;col=6&amp;number=4.9&amp;sourceID=14","4.9")</f>
        <v>4.9</v>
      </c>
      <c r="G3043" s="4" t="str">
        <f>HYPERLINK("http://141.218.60.56/~jnz1568/getInfo.php?workbook=10_05.xlsx&amp;sheet=U0&amp;row=3043&amp;col=7&amp;number=0.00218&amp;sourceID=14","0.00218")</f>
        <v>0.00218</v>
      </c>
    </row>
    <row r="3044" spans="1:7">
      <c r="A3044" s="3">
        <v>10</v>
      </c>
      <c r="B3044" s="3">
        <v>5</v>
      </c>
      <c r="C3044" s="3">
        <v>1</v>
      </c>
      <c r="D3044" s="3">
        <v>154</v>
      </c>
      <c r="E3044" s="3">
        <v>1</v>
      </c>
      <c r="F3044" s="4" t="str">
        <f>HYPERLINK("http://141.218.60.56/~jnz1568/getInfo.php?workbook=10_05.xlsx&amp;sheet=U0&amp;row=3044&amp;col=6&amp;number=3&amp;sourceID=14","3")</f>
        <v>3</v>
      </c>
      <c r="G3044" s="4" t="str">
        <f>HYPERLINK("http://141.218.60.56/~jnz1568/getInfo.php?workbook=10_05.xlsx&amp;sheet=U0&amp;row=3044&amp;col=7&amp;number=0.000656&amp;sourceID=14","0.000656")</f>
        <v>0.000656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HYPERLINK("http://141.218.60.56/~jnz1568/getInfo.php?workbook=10_05.xlsx&amp;sheet=U0&amp;row=3045&amp;col=6&amp;number=3.1&amp;sourceID=14","3.1")</f>
        <v>3.1</v>
      </c>
      <c r="G3045" s="4" t="str">
        <f>HYPERLINK("http://141.218.60.56/~jnz1568/getInfo.php?workbook=10_05.xlsx&amp;sheet=U0&amp;row=3045&amp;col=7&amp;number=0.000658&amp;sourceID=14","0.000658")</f>
        <v>0.000658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HYPERLINK("http://141.218.60.56/~jnz1568/getInfo.php?workbook=10_05.xlsx&amp;sheet=U0&amp;row=3046&amp;col=6&amp;number=3.2&amp;sourceID=14","3.2")</f>
        <v>3.2</v>
      </c>
      <c r="G3046" s="4" t="str">
        <f>HYPERLINK("http://141.218.60.56/~jnz1568/getInfo.php?workbook=10_05.xlsx&amp;sheet=U0&amp;row=3046&amp;col=7&amp;number=0.000661&amp;sourceID=14","0.000661")</f>
        <v>0.000661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HYPERLINK("http://141.218.60.56/~jnz1568/getInfo.php?workbook=10_05.xlsx&amp;sheet=U0&amp;row=3047&amp;col=6&amp;number=3.3&amp;sourceID=14","3.3")</f>
        <v>3.3</v>
      </c>
      <c r="G3047" s="4" t="str">
        <f>HYPERLINK("http://141.218.60.56/~jnz1568/getInfo.php?workbook=10_05.xlsx&amp;sheet=U0&amp;row=3047&amp;col=7&amp;number=0.000664&amp;sourceID=14","0.000664")</f>
        <v>0.000664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HYPERLINK("http://141.218.60.56/~jnz1568/getInfo.php?workbook=10_05.xlsx&amp;sheet=U0&amp;row=3048&amp;col=6&amp;number=3.4&amp;sourceID=14","3.4")</f>
        <v>3.4</v>
      </c>
      <c r="G3048" s="4" t="str">
        <f>HYPERLINK("http://141.218.60.56/~jnz1568/getInfo.php?workbook=10_05.xlsx&amp;sheet=U0&amp;row=3048&amp;col=7&amp;number=0.000667&amp;sourceID=14","0.000667")</f>
        <v>0.000667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HYPERLINK("http://141.218.60.56/~jnz1568/getInfo.php?workbook=10_05.xlsx&amp;sheet=U0&amp;row=3049&amp;col=6&amp;number=3.5&amp;sourceID=14","3.5")</f>
        <v>3.5</v>
      </c>
      <c r="G3049" s="4" t="str">
        <f>HYPERLINK("http://141.218.60.56/~jnz1568/getInfo.php?workbook=10_05.xlsx&amp;sheet=U0&amp;row=3049&amp;col=7&amp;number=0.000672&amp;sourceID=14","0.000672")</f>
        <v>0.000672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HYPERLINK("http://141.218.60.56/~jnz1568/getInfo.php?workbook=10_05.xlsx&amp;sheet=U0&amp;row=3050&amp;col=6&amp;number=3.6&amp;sourceID=14","3.6")</f>
        <v>3.6</v>
      </c>
      <c r="G3050" s="4" t="str">
        <f>HYPERLINK("http://141.218.60.56/~jnz1568/getInfo.php?workbook=10_05.xlsx&amp;sheet=U0&amp;row=3050&amp;col=7&amp;number=0.000678&amp;sourceID=14","0.000678")</f>
        <v>0.000678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HYPERLINK("http://141.218.60.56/~jnz1568/getInfo.php?workbook=10_05.xlsx&amp;sheet=U0&amp;row=3051&amp;col=6&amp;number=3.7&amp;sourceID=14","3.7")</f>
        <v>3.7</v>
      </c>
      <c r="G3051" s="4" t="str">
        <f>HYPERLINK("http://141.218.60.56/~jnz1568/getInfo.php?workbook=10_05.xlsx&amp;sheet=U0&amp;row=3051&amp;col=7&amp;number=0.000684&amp;sourceID=14","0.000684")</f>
        <v>0.000684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HYPERLINK("http://141.218.60.56/~jnz1568/getInfo.php?workbook=10_05.xlsx&amp;sheet=U0&amp;row=3052&amp;col=6&amp;number=3.8&amp;sourceID=14","3.8")</f>
        <v>3.8</v>
      </c>
      <c r="G3052" s="4" t="str">
        <f>HYPERLINK("http://141.218.60.56/~jnz1568/getInfo.php?workbook=10_05.xlsx&amp;sheet=U0&amp;row=3052&amp;col=7&amp;number=0.000692&amp;sourceID=14","0.000692")</f>
        <v>0.000692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HYPERLINK("http://141.218.60.56/~jnz1568/getInfo.php?workbook=10_05.xlsx&amp;sheet=U0&amp;row=3053&amp;col=6&amp;number=3.9&amp;sourceID=14","3.9")</f>
        <v>3.9</v>
      </c>
      <c r="G3053" s="4" t="str">
        <f>HYPERLINK("http://141.218.60.56/~jnz1568/getInfo.php?workbook=10_05.xlsx&amp;sheet=U0&amp;row=3053&amp;col=7&amp;number=0.000701&amp;sourceID=14","0.000701")</f>
        <v>0.000701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HYPERLINK("http://141.218.60.56/~jnz1568/getInfo.php?workbook=10_05.xlsx&amp;sheet=U0&amp;row=3054&amp;col=6&amp;number=4&amp;sourceID=14","4")</f>
        <v>4</v>
      </c>
      <c r="G3054" s="4" t="str">
        <f>HYPERLINK("http://141.218.60.56/~jnz1568/getInfo.php?workbook=10_05.xlsx&amp;sheet=U0&amp;row=3054&amp;col=7&amp;number=0.000709&amp;sourceID=14","0.000709")</f>
        <v>0.000709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HYPERLINK("http://141.218.60.56/~jnz1568/getInfo.php?workbook=10_05.xlsx&amp;sheet=U0&amp;row=3055&amp;col=6&amp;number=4.1&amp;sourceID=14","4.1")</f>
        <v>4.1</v>
      </c>
      <c r="G3055" s="4" t="str">
        <f>HYPERLINK("http://141.218.60.56/~jnz1568/getInfo.php?workbook=10_05.xlsx&amp;sheet=U0&amp;row=3055&amp;col=7&amp;number=0.000717&amp;sourceID=14","0.000717")</f>
        <v>0.000717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HYPERLINK("http://141.218.60.56/~jnz1568/getInfo.php?workbook=10_05.xlsx&amp;sheet=U0&amp;row=3056&amp;col=6&amp;number=4.2&amp;sourceID=14","4.2")</f>
        <v>4.2</v>
      </c>
      <c r="G3056" s="4" t="str">
        <f>HYPERLINK("http://141.218.60.56/~jnz1568/getInfo.php?workbook=10_05.xlsx&amp;sheet=U0&amp;row=3056&amp;col=7&amp;number=0.000722&amp;sourceID=14","0.000722")</f>
        <v>0.000722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HYPERLINK("http://141.218.60.56/~jnz1568/getInfo.php?workbook=10_05.xlsx&amp;sheet=U0&amp;row=3057&amp;col=6&amp;number=4.3&amp;sourceID=14","4.3")</f>
        <v>4.3</v>
      </c>
      <c r="G3057" s="4" t="str">
        <f>HYPERLINK("http://141.218.60.56/~jnz1568/getInfo.php?workbook=10_05.xlsx&amp;sheet=U0&amp;row=3057&amp;col=7&amp;number=0.000721&amp;sourceID=14","0.000721")</f>
        <v>0.000721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HYPERLINK("http://141.218.60.56/~jnz1568/getInfo.php?workbook=10_05.xlsx&amp;sheet=U0&amp;row=3058&amp;col=6&amp;number=4.4&amp;sourceID=14","4.4")</f>
        <v>4.4</v>
      </c>
      <c r="G3058" s="4" t="str">
        <f>HYPERLINK("http://141.218.60.56/~jnz1568/getInfo.php?workbook=10_05.xlsx&amp;sheet=U0&amp;row=3058&amp;col=7&amp;number=0.000713&amp;sourceID=14","0.000713")</f>
        <v>0.000713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HYPERLINK("http://141.218.60.56/~jnz1568/getInfo.php?workbook=10_05.xlsx&amp;sheet=U0&amp;row=3059&amp;col=6&amp;number=4.5&amp;sourceID=14","4.5")</f>
        <v>4.5</v>
      </c>
      <c r="G3059" s="4" t="str">
        <f>HYPERLINK("http://141.218.60.56/~jnz1568/getInfo.php?workbook=10_05.xlsx&amp;sheet=U0&amp;row=3059&amp;col=7&amp;number=0.000703&amp;sourceID=14","0.000703")</f>
        <v>0.000703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HYPERLINK("http://141.218.60.56/~jnz1568/getInfo.php?workbook=10_05.xlsx&amp;sheet=U0&amp;row=3060&amp;col=6&amp;number=4.6&amp;sourceID=14","4.6")</f>
        <v>4.6</v>
      </c>
      <c r="G3060" s="4" t="str">
        <f>HYPERLINK("http://141.218.60.56/~jnz1568/getInfo.php?workbook=10_05.xlsx&amp;sheet=U0&amp;row=3060&amp;col=7&amp;number=0.000693&amp;sourceID=14","0.000693")</f>
        <v>0.000693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HYPERLINK("http://141.218.60.56/~jnz1568/getInfo.php?workbook=10_05.xlsx&amp;sheet=U0&amp;row=3061&amp;col=6&amp;number=4.7&amp;sourceID=14","4.7")</f>
        <v>4.7</v>
      </c>
      <c r="G3061" s="4" t="str">
        <f>HYPERLINK("http://141.218.60.56/~jnz1568/getInfo.php?workbook=10_05.xlsx&amp;sheet=U0&amp;row=3061&amp;col=7&amp;number=0.000684&amp;sourceID=14","0.000684")</f>
        <v>0.000684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HYPERLINK("http://141.218.60.56/~jnz1568/getInfo.php?workbook=10_05.xlsx&amp;sheet=U0&amp;row=3062&amp;col=6&amp;number=4.8&amp;sourceID=14","4.8")</f>
        <v>4.8</v>
      </c>
      <c r="G3062" s="4" t="str">
        <f>HYPERLINK("http://141.218.60.56/~jnz1568/getInfo.php?workbook=10_05.xlsx&amp;sheet=U0&amp;row=3062&amp;col=7&amp;number=0.000672&amp;sourceID=14","0.000672")</f>
        <v>0.000672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HYPERLINK("http://141.218.60.56/~jnz1568/getInfo.php?workbook=10_05.xlsx&amp;sheet=U0&amp;row=3063&amp;col=6&amp;number=4.9&amp;sourceID=14","4.9")</f>
        <v>4.9</v>
      </c>
      <c r="G3063" s="4" t="str">
        <f>HYPERLINK("http://141.218.60.56/~jnz1568/getInfo.php?workbook=10_05.xlsx&amp;sheet=U0&amp;row=3063&amp;col=7&amp;number=0.000655&amp;sourceID=14","0.000655")</f>
        <v>0.000655</v>
      </c>
    </row>
    <row r="3064" spans="1:7">
      <c r="A3064" s="3">
        <v>10</v>
      </c>
      <c r="B3064" s="3">
        <v>5</v>
      </c>
      <c r="C3064" s="3">
        <v>1</v>
      </c>
      <c r="D3064" s="3">
        <v>155</v>
      </c>
      <c r="E3064" s="3">
        <v>1</v>
      </c>
      <c r="F3064" s="4" t="str">
        <f>HYPERLINK("http://141.218.60.56/~jnz1568/getInfo.php?workbook=10_05.xlsx&amp;sheet=U0&amp;row=3064&amp;col=6&amp;number=3&amp;sourceID=14","3")</f>
        <v>3</v>
      </c>
      <c r="G3064" s="4" t="str">
        <f>HYPERLINK("http://141.218.60.56/~jnz1568/getInfo.php?workbook=10_05.xlsx&amp;sheet=U0&amp;row=3064&amp;col=7&amp;number=0.000548&amp;sourceID=14","0.000548")</f>
        <v>0.000548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HYPERLINK("http://141.218.60.56/~jnz1568/getInfo.php?workbook=10_05.xlsx&amp;sheet=U0&amp;row=3065&amp;col=6&amp;number=3.1&amp;sourceID=14","3.1")</f>
        <v>3.1</v>
      </c>
      <c r="G3065" s="4" t="str">
        <f>HYPERLINK("http://141.218.60.56/~jnz1568/getInfo.php?workbook=10_05.xlsx&amp;sheet=U0&amp;row=3065&amp;col=7&amp;number=0.000548&amp;sourceID=14","0.000548")</f>
        <v>0.000548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HYPERLINK("http://141.218.60.56/~jnz1568/getInfo.php?workbook=10_05.xlsx&amp;sheet=U0&amp;row=3066&amp;col=6&amp;number=3.2&amp;sourceID=14","3.2")</f>
        <v>3.2</v>
      </c>
      <c r="G3066" s="4" t="str">
        <f>HYPERLINK("http://141.218.60.56/~jnz1568/getInfo.php?workbook=10_05.xlsx&amp;sheet=U0&amp;row=3066&amp;col=7&amp;number=0.000547&amp;sourceID=14","0.000547")</f>
        <v>0.000547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HYPERLINK("http://141.218.60.56/~jnz1568/getInfo.php?workbook=10_05.xlsx&amp;sheet=U0&amp;row=3067&amp;col=6&amp;number=3.3&amp;sourceID=14","3.3")</f>
        <v>3.3</v>
      </c>
      <c r="G3067" s="4" t="str">
        <f>HYPERLINK("http://141.218.60.56/~jnz1568/getInfo.php?workbook=10_05.xlsx&amp;sheet=U0&amp;row=3067&amp;col=7&amp;number=0.000546&amp;sourceID=14","0.000546")</f>
        <v>0.000546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HYPERLINK("http://141.218.60.56/~jnz1568/getInfo.php?workbook=10_05.xlsx&amp;sheet=U0&amp;row=3068&amp;col=6&amp;number=3.4&amp;sourceID=14","3.4")</f>
        <v>3.4</v>
      </c>
      <c r="G3068" s="4" t="str">
        <f>HYPERLINK("http://141.218.60.56/~jnz1568/getInfo.php?workbook=10_05.xlsx&amp;sheet=U0&amp;row=3068&amp;col=7&amp;number=0.000546&amp;sourceID=14","0.000546")</f>
        <v>0.000546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HYPERLINK("http://141.218.60.56/~jnz1568/getInfo.php?workbook=10_05.xlsx&amp;sheet=U0&amp;row=3069&amp;col=6&amp;number=3.5&amp;sourceID=14","3.5")</f>
        <v>3.5</v>
      </c>
      <c r="G3069" s="4" t="str">
        <f>HYPERLINK("http://141.218.60.56/~jnz1568/getInfo.php?workbook=10_05.xlsx&amp;sheet=U0&amp;row=3069&amp;col=7&amp;number=0.000545&amp;sourceID=14","0.000545")</f>
        <v>0.000545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HYPERLINK("http://141.218.60.56/~jnz1568/getInfo.php?workbook=10_05.xlsx&amp;sheet=U0&amp;row=3070&amp;col=6&amp;number=3.6&amp;sourceID=14","3.6")</f>
        <v>3.6</v>
      </c>
      <c r="G3070" s="4" t="str">
        <f>HYPERLINK("http://141.218.60.56/~jnz1568/getInfo.php?workbook=10_05.xlsx&amp;sheet=U0&amp;row=3070&amp;col=7&amp;number=0.000543&amp;sourceID=14","0.000543")</f>
        <v>0.000543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HYPERLINK("http://141.218.60.56/~jnz1568/getInfo.php?workbook=10_05.xlsx&amp;sheet=U0&amp;row=3071&amp;col=6&amp;number=3.7&amp;sourceID=14","3.7")</f>
        <v>3.7</v>
      </c>
      <c r="G3071" s="4" t="str">
        <f>HYPERLINK("http://141.218.60.56/~jnz1568/getInfo.php?workbook=10_05.xlsx&amp;sheet=U0&amp;row=3071&amp;col=7&amp;number=0.000542&amp;sourceID=14","0.000542")</f>
        <v>0.000542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HYPERLINK("http://141.218.60.56/~jnz1568/getInfo.php?workbook=10_05.xlsx&amp;sheet=U0&amp;row=3072&amp;col=6&amp;number=3.8&amp;sourceID=14","3.8")</f>
        <v>3.8</v>
      </c>
      <c r="G3072" s="4" t="str">
        <f>HYPERLINK("http://141.218.60.56/~jnz1568/getInfo.php?workbook=10_05.xlsx&amp;sheet=U0&amp;row=3072&amp;col=7&amp;number=0.00054&amp;sourceID=14","0.00054")</f>
        <v>0.00054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HYPERLINK("http://141.218.60.56/~jnz1568/getInfo.php?workbook=10_05.xlsx&amp;sheet=U0&amp;row=3073&amp;col=6&amp;number=3.9&amp;sourceID=14","3.9")</f>
        <v>3.9</v>
      </c>
      <c r="G3073" s="4" t="str">
        <f>HYPERLINK("http://141.218.60.56/~jnz1568/getInfo.php?workbook=10_05.xlsx&amp;sheet=U0&amp;row=3073&amp;col=7&amp;number=0.000537&amp;sourceID=14","0.000537")</f>
        <v>0.000537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HYPERLINK("http://141.218.60.56/~jnz1568/getInfo.php?workbook=10_05.xlsx&amp;sheet=U0&amp;row=3074&amp;col=6&amp;number=4&amp;sourceID=14","4")</f>
        <v>4</v>
      </c>
      <c r="G3074" s="4" t="str">
        <f>HYPERLINK("http://141.218.60.56/~jnz1568/getInfo.php?workbook=10_05.xlsx&amp;sheet=U0&amp;row=3074&amp;col=7&amp;number=0.000534&amp;sourceID=14","0.000534")</f>
        <v>0.000534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HYPERLINK("http://141.218.60.56/~jnz1568/getInfo.php?workbook=10_05.xlsx&amp;sheet=U0&amp;row=3075&amp;col=6&amp;number=4.1&amp;sourceID=14","4.1")</f>
        <v>4.1</v>
      </c>
      <c r="G3075" s="4" t="str">
        <f>HYPERLINK("http://141.218.60.56/~jnz1568/getInfo.php?workbook=10_05.xlsx&amp;sheet=U0&amp;row=3075&amp;col=7&amp;number=0.00053&amp;sourceID=14","0.00053")</f>
        <v>0.00053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HYPERLINK("http://141.218.60.56/~jnz1568/getInfo.php?workbook=10_05.xlsx&amp;sheet=U0&amp;row=3076&amp;col=6&amp;number=4.2&amp;sourceID=14","4.2")</f>
        <v>4.2</v>
      </c>
      <c r="G3076" s="4" t="str">
        <f>HYPERLINK("http://141.218.60.56/~jnz1568/getInfo.php?workbook=10_05.xlsx&amp;sheet=U0&amp;row=3076&amp;col=7&amp;number=0.000525&amp;sourceID=14","0.000525")</f>
        <v>0.000525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HYPERLINK("http://141.218.60.56/~jnz1568/getInfo.php?workbook=10_05.xlsx&amp;sheet=U0&amp;row=3077&amp;col=6&amp;number=4.3&amp;sourceID=14","4.3")</f>
        <v>4.3</v>
      </c>
      <c r="G3077" s="4" t="str">
        <f>HYPERLINK("http://141.218.60.56/~jnz1568/getInfo.php?workbook=10_05.xlsx&amp;sheet=U0&amp;row=3077&amp;col=7&amp;number=0.000519&amp;sourceID=14","0.000519")</f>
        <v>0.000519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HYPERLINK("http://141.218.60.56/~jnz1568/getInfo.php?workbook=10_05.xlsx&amp;sheet=U0&amp;row=3078&amp;col=6&amp;number=4.4&amp;sourceID=14","4.4")</f>
        <v>4.4</v>
      </c>
      <c r="G3078" s="4" t="str">
        <f>HYPERLINK("http://141.218.60.56/~jnz1568/getInfo.php?workbook=10_05.xlsx&amp;sheet=U0&amp;row=3078&amp;col=7&amp;number=0.000511&amp;sourceID=14","0.000511")</f>
        <v>0.000511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HYPERLINK("http://141.218.60.56/~jnz1568/getInfo.php?workbook=10_05.xlsx&amp;sheet=U0&amp;row=3079&amp;col=6&amp;number=4.5&amp;sourceID=14","4.5")</f>
        <v>4.5</v>
      </c>
      <c r="G3079" s="4" t="str">
        <f>HYPERLINK("http://141.218.60.56/~jnz1568/getInfo.php?workbook=10_05.xlsx&amp;sheet=U0&amp;row=3079&amp;col=7&amp;number=0.0005&amp;sourceID=14","0.0005")</f>
        <v>0.0005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HYPERLINK("http://141.218.60.56/~jnz1568/getInfo.php?workbook=10_05.xlsx&amp;sheet=U0&amp;row=3080&amp;col=6&amp;number=4.6&amp;sourceID=14","4.6")</f>
        <v>4.6</v>
      </c>
      <c r="G3080" s="4" t="str">
        <f>HYPERLINK("http://141.218.60.56/~jnz1568/getInfo.php?workbook=10_05.xlsx&amp;sheet=U0&amp;row=3080&amp;col=7&amp;number=0.000487&amp;sourceID=14","0.000487")</f>
        <v>0.000487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HYPERLINK("http://141.218.60.56/~jnz1568/getInfo.php?workbook=10_05.xlsx&amp;sheet=U0&amp;row=3081&amp;col=6&amp;number=4.7&amp;sourceID=14","4.7")</f>
        <v>4.7</v>
      </c>
      <c r="G3081" s="4" t="str">
        <f>HYPERLINK("http://141.218.60.56/~jnz1568/getInfo.php?workbook=10_05.xlsx&amp;sheet=U0&amp;row=3081&amp;col=7&amp;number=0.000472&amp;sourceID=14","0.000472")</f>
        <v>0.000472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HYPERLINK("http://141.218.60.56/~jnz1568/getInfo.php?workbook=10_05.xlsx&amp;sheet=U0&amp;row=3082&amp;col=6&amp;number=4.8&amp;sourceID=14","4.8")</f>
        <v>4.8</v>
      </c>
      <c r="G3082" s="4" t="str">
        <f>HYPERLINK("http://141.218.60.56/~jnz1568/getInfo.php?workbook=10_05.xlsx&amp;sheet=U0&amp;row=3082&amp;col=7&amp;number=0.000455&amp;sourceID=14","0.000455")</f>
        <v>0.000455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HYPERLINK("http://141.218.60.56/~jnz1568/getInfo.php?workbook=10_05.xlsx&amp;sheet=U0&amp;row=3083&amp;col=6&amp;number=4.9&amp;sourceID=14","4.9")</f>
        <v>4.9</v>
      </c>
      <c r="G3083" s="4" t="str">
        <f>HYPERLINK("http://141.218.60.56/~jnz1568/getInfo.php?workbook=10_05.xlsx&amp;sheet=U0&amp;row=3083&amp;col=7&amp;number=0.000437&amp;sourceID=14","0.000437")</f>
        <v>0.000437</v>
      </c>
    </row>
    <row r="3084" spans="1:7">
      <c r="A3084" s="3">
        <v>10</v>
      </c>
      <c r="B3084" s="3">
        <v>5</v>
      </c>
      <c r="C3084" s="3">
        <v>1</v>
      </c>
      <c r="D3084" s="3">
        <v>156</v>
      </c>
      <c r="E3084" s="3">
        <v>1</v>
      </c>
      <c r="F3084" s="4" t="str">
        <f>HYPERLINK("http://141.218.60.56/~jnz1568/getInfo.php?workbook=10_05.xlsx&amp;sheet=U0&amp;row=3084&amp;col=6&amp;number=3&amp;sourceID=14","3")</f>
        <v>3</v>
      </c>
      <c r="G3084" s="4" t="str">
        <f>HYPERLINK("http://141.218.60.56/~jnz1568/getInfo.php?workbook=10_05.xlsx&amp;sheet=U0&amp;row=3084&amp;col=7&amp;number=0.0013&amp;sourceID=14","0.0013")</f>
        <v>0.0013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HYPERLINK("http://141.218.60.56/~jnz1568/getInfo.php?workbook=10_05.xlsx&amp;sheet=U0&amp;row=3085&amp;col=6&amp;number=3.1&amp;sourceID=14","3.1")</f>
        <v>3.1</v>
      </c>
      <c r="G3085" s="4" t="str">
        <f>HYPERLINK("http://141.218.60.56/~jnz1568/getInfo.php?workbook=10_05.xlsx&amp;sheet=U0&amp;row=3085&amp;col=7&amp;number=0.0013&amp;sourceID=14","0.0013")</f>
        <v>0.0013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HYPERLINK("http://141.218.60.56/~jnz1568/getInfo.php?workbook=10_05.xlsx&amp;sheet=U0&amp;row=3086&amp;col=6&amp;number=3.2&amp;sourceID=14","3.2")</f>
        <v>3.2</v>
      </c>
      <c r="G3086" s="4" t="str">
        <f>HYPERLINK("http://141.218.60.56/~jnz1568/getInfo.php?workbook=10_05.xlsx&amp;sheet=U0&amp;row=3086&amp;col=7&amp;number=0.0013&amp;sourceID=14","0.0013")</f>
        <v>0.0013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HYPERLINK("http://141.218.60.56/~jnz1568/getInfo.php?workbook=10_05.xlsx&amp;sheet=U0&amp;row=3087&amp;col=6&amp;number=3.3&amp;sourceID=14","3.3")</f>
        <v>3.3</v>
      </c>
      <c r="G3087" s="4" t="str">
        <f>HYPERLINK("http://141.218.60.56/~jnz1568/getInfo.php?workbook=10_05.xlsx&amp;sheet=U0&amp;row=3087&amp;col=7&amp;number=0.0013&amp;sourceID=14","0.0013")</f>
        <v>0.0013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HYPERLINK("http://141.218.60.56/~jnz1568/getInfo.php?workbook=10_05.xlsx&amp;sheet=U0&amp;row=3088&amp;col=6&amp;number=3.4&amp;sourceID=14","3.4")</f>
        <v>3.4</v>
      </c>
      <c r="G3088" s="4" t="str">
        <f>HYPERLINK("http://141.218.60.56/~jnz1568/getInfo.php?workbook=10_05.xlsx&amp;sheet=U0&amp;row=3088&amp;col=7&amp;number=0.0013&amp;sourceID=14","0.0013")</f>
        <v>0.0013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HYPERLINK("http://141.218.60.56/~jnz1568/getInfo.php?workbook=10_05.xlsx&amp;sheet=U0&amp;row=3089&amp;col=6&amp;number=3.5&amp;sourceID=14","3.5")</f>
        <v>3.5</v>
      </c>
      <c r="G3089" s="4" t="str">
        <f>HYPERLINK("http://141.218.60.56/~jnz1568/getInfo.php?workbook=10_05.xlsx&amp;sheet=U0&amp;row=3089&amp;col=7&amp;number=0.0013&amp;sourceID=14","0.0013")</f>
        <v>0.0013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HYPERLINK("http://141.218.60.56/~jnz1568/getInfo.php?workbook=10_05.xlsx&amp;sheet=U0&amp;row=3090&amp;col=6&amp;number=3.6&amp;sourceID=14","3.6")</f>
        <v>3.6</v>
      </c>
      <c r="G3090" s="4" t="str">
        <f>HYPERLINK("http://141.218.60.56/~jnz1568/getInfo.php?workbook=10_05.xlsx&amp;sheet=U0&amp;row=3090&amp;col=7&amp;number=0.0013&amp;sourceID=14","0.0013")</f>
        <v>0.0013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HYPERLINK("http://141.218.60.56/~jnz1568/getInfo.php?workbook=10_05.xlsx&amp;sheet=U0&amp;row=3091&amp;col=6&amp;number=3.7&amp;sourceID=14","3.7")</f>
        <v>3.7</v>
      </c>
      <c r="G3091" s="4" t="str">
        <f>HYPERLINK("http://141.218.60.56/~jnz1568/getInfo.php?workbook=10_05.xlsx&amp;sheet=U0&amp;row=3091&amp;col=7&amp;number=0.00129&amp;sourceID=14","0.00129")</f>
        <v>0.00129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HYPERLINK("http://141.218.60.56/~jnz1568/getInfo.php?workbook=10_05.xlsx&amp;sheet=U0&amp;row=3092&amp;col=6&amp;number=3.8&amp;sourceID=14","3.8")</f>
        <v>3.8</v>
      </c>
      <c r="G3092" s="4" t="str">
        <f>HYPERLINK("http://141.218.60.56/~jnz1568/getInfo.php?workbook=10_05.xlsx&amp;sheet=U0&amp;row=3092&amp;col=7&amp;number=0.00129&amp;sourceID=14","0.00129")</f>
        <v>0.00129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HYPERLINK("http://141.218.60.56/~jnz1568/getInfo.php?workbook=10_05.xlsx&amp;sheet=U0&amp;row=3093&amp;col=6&amp;number=3.9&amp;sourceID=14","3.9")</f>
        <v>3.9</v>
      </c>
      <c r="G3093" s="4" t="str">
        <f>HYPERLINK("http://141.218.60.56/~jnz1568/getInfo.php?workbook=10_05.xlsx&amp;sheet=U0&amp;row=3093&amp;col=7&amp;number=0.00129&amp;sourceID=14","0.00129")</f>
        <v>0.00129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HYPERLINK("http://141.218.60.56/~jnz1568/getInfo.php?workbook=10_05.xlsx&amp;sheet=U0&amp;row=3094&amp;col=6&amp;number=4&amp;sourceID=14","4")</f>
        <v>4</v>
      </c>
      <c r="G3094" s="4" t="str">
        <f>HYPERLINK("http://141.218.60.56/~jnz1568/getInfo.php?workbook=10_05.xlsx&amp;sheet=U0&amp;row=3094&amp;col=7&amp;number=0.00129&amp;sourceID=14","0.00129")</f>
        <v>0.00129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HYPERLINK("http://141.218.60.56/~jnz1568/getInfo.php?workbook=10_05.xlsx&amp;sheet=U0&amp;row=3095&amp;col=6&amp;number=4.1&amp;sourceID=14","4.1")</f>
        <v>4.1</v>
      </c>
      <c r="G3095" s="4" t="str">
        <f>HYPERLINK("http://141.218.60.56/~jnz1568/getInfo.php?workbook=10_05.xlsx&amp;sheet=U0&amp;row=3095&amp;col=7&amp;number=0.00129&amp;sourceID=14","0.00129")</f>
        <v>0.00129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HYPERLINK("http://141.218.60.56/~jnz1568/getInfo.php?workbook=10_05.xlsx&amp;sheet=U0&amp;row=3096&amp;col=6&amp;number=4.2&amp;sourceID=14","4.2")</f>
        <v>4.2</v>
      </c>
      <c r="G3096" s="4" t="str">
        <f>HYPERLINK("http://141.218.60.56/~jnz1568/getInfo.php?workbook=10_05.xlsx&amp;sheet=U0&amp;row=3096&amp;col=7&amp;number=0.00128&amp;sourceID=14","0.00128")</f>
        <v>0.00128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HYPERLINK("http://141.218.60.56/~jnz1568/getInfo.php?workbook=10_05.xlsx&amp;sheet=U0&amp;row=3097&amp;col=6&amp;number=4.3&amp;sourceID=14","4.3")</f>
        <v>4.3</v>
      </c>
      <c r="G3097" s="4" t="str">
        <f>HYPERLINK("http://141.218.60.56/~jnz1568/getInfo.php?workbook=10_05.xlsx&amp;sheet=U0&amp;row=3097&amp;col=7&amp;number=0.00128&amp;sourceID=14","0.00128")</f>
        <v>0.00128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HYPERLINK("http://141.218.60.56/~jnz1568/getInfo.php?workbook=10_05.xlsx&amp;sheet=U0&amp;row=3098&amp;col=6&amp;number=4.4&amp;sourceID=14","4.4")</f>
        <v>4.4</v>
      </c>
      <c r="G3098" s="4" t="str">
        <f>HYPERLINK("http://141.218.60.56/~jnz1568/getInfo.php?workbook=10_05.xlsx&amp;sheet=U0&amp;row=3098&amp;col=7&amp;number=0.00128&amp;sourceID=14","0.00128")</f>
        <v>0.00128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HYPERLINK("http://141.218.60.56/~jnz1568/getInfo.php?workbook=10_05.xlsx&amp;sheet=U0&amp;row=3099&amp;col=6&amp;number=4.5&amp;sourceID=14","4.5")</f>
        <v>4.5</v>
      </c>
      <c r="G3099" s="4" t="str">
        <f>HYPERLINK("http://141.218.60.56/~jnz1568/getInfo.php?workbook=10_05.xlsx&amp;sheet=U0&amp;row=3099&amp;col=7&amp;number=0.00127&amp;sourceID=14","0.00127")</f>
        <v>0.00127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HYPERLINK("http://141.218.60.56/~jnz1568/getInfo.php?workbook=10_05.xlsx&amp;sheet=U0&amp;row=3100&amp;col=6&amp;number=4.6&amp;sourceID=14","4.6")</f>
        <v>4.6</v>
      </c>
      <c r="G3100" s="4" t="str">
        <f>HYPERLINK("http://141.218.60.56/~jnz1568/getInfo.php?workbook=10_05.xlsx&amp;sheet=U0&amp;row=3100&amp;col=7&amp;number=0.00126&amp;sourceID=14","0.00126")</f>
        <v>0.00126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HYPERLINK("http://141.218.60.56/~jnz1568/getInfo.php?workbook=10_05.xlsx&amp;sheet=U0&amp;row=3101&amp;col=6&amp;number=4.7&amp;sourceID=14","4.7")</f>
        <v>4.7</v>
      </c>
      <c r="G3101" s="4" t="str">
        <f>HYPERLINK("http://141.218.60.56/~jnz1568/getInfo.php?workbook=10_05.xlsx&amp;sheet=U0&amp;row=3101&amp;col=7&amp;number=0.00125&amp;sourceID=14","0.00125")</f>
        <v>0.00125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HYPERLINK("http://141.218.60.56/~jnz1568/getInfo.php?workbook=10_05.xlsx&amp;sheet=U0&amp;row=3102&amp;col=6&amp;number=4.8&amp;sourceID=14","4.8")</f>
        <v>4.8</v>
      </c>
      <c r="G3102" s="4" t="str">
        <f>HYPERLINK("http://141.218.60.56/~jnz1568/getInfo.php?workbook=10_05.xlsx&amp;sheet=U0&amp;row=3102&amp;col=7&amp;number=0.00124&amp;sourceID=14","0.00124")</f>
        <v>0.00124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HYPERLINK("http://141.218.60.56/~jnz1568/getInfo.php?workbook=10_05.xlsx&amp;sheet=U0&amp;row=3103&amp;col=6&amp;number=4.9&amp;sourceID=14","4.9")</f>
        <v>4.9</v>
      </c>
      <c r="G3103" s="4" t="str">
        <f>HYPERLINK("http://141.218.60.56/~jnz1568/getInfo.php?workbook=10_05.xlsx&amp;sheet=U0&amp;row=3103&amp;col=7&amp;number=0.00123&amp;sourceID=14","0.00123")</f>
        <v>0.00123</v>
      </c>
    </row>
    <row r="3104" spans="1:7">
      <c r="A3104" s="3">
        <v>10</v>
      </c>
      <c r="B3104" s="3">
        <v>5</v>
      </c>
      <c r="C3104" s="3">
        <v>1</v>
      </c>
      <c r="D3104" s="3">
        <v>157</v>
      </c>
      <c r="E3104" s="3">
        <v>1</v>
      </c>
      <c r="F3104" s="4" t="str">
        <f>HYPERLINK("http://141.218.60.56/~jnz1568/getInfo.php?workbook=10_05.xlsx&amp;sheet=U0&amp;row=3104&amp;col=6&amp;number=3&amp;sourceID=14","3")</f>
        <v>3</v>
      </c>
      <c r="G3104" s="4" t="str">
        <f>HYPERLINK("http://141.218.60.56/~jnz1568/getInfo.php?workbook=10_05.xlsx&amp;sheet=U0&amp;row=3104&amp;col=7&amp;number=0.00113&amp;sourceID=14","0.00113")</f>
        <v>0.00113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HYPERLINK("http://141.218.60.56/~jnz1568/getInfo.php?workbook=10_05.xlsx&amp;sheet=U0&amp;row=3105&amp;col=6&amp;number=3.1&amp;sourceID=14","3.1")</f>
        <v>3.1</v>
      </c>
      <c r="G3105" s="4" t="str">
        <f>HYPERLINK("http://141.218.60.56/~jnz1568/getInfo.php?workbook=10_05.xlsx&amp;sheet=U0&amp;row=3105&amp;col=7&amp;number=0.00113&amp;sourceID=14","0.00113")</f>
        <v>0.00113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HYPERLINK("http://141.218.60.56/~jnz1568/getInfo.php?workbook=10_05.xlsx&amp;sheet=U0&amp;row=3106&amp;col=6&amp;number=3.2&amp;sourceID=14","3.2")</f>
        <v>3.2</v>
      </c>
      <c r="G3106" s="4" t="str">
        <f>HYPERLINK("http://141.218.60.56/~jnz1568/getInfo.php?workbook=10_05.xlsx&amp;sheet=U0&amp;row=3106&amp;col=7&amp;number=0.00113&amp;sourceID=14","0.00113")</f>
        <v>0.00113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HYPERLINK("http://141.218.60.56/~jnz1568/getInfo.php?workbook=10_05.xlsx&amp;sheet=U0&amp;row=3107&amp;col=6&amp;number=3.3&amp;sourceID=14","3.3")</f>
        <v>3.3</v>
      </c>
      <c r="G3107" s="4" t="str">
        <f>HYPERLINK("http://141.218.60.56/~jnz1568/getInfo.php?workbook=10_05.xlsx&amp;sheet=U0&amp;row=3107&amp;col=7&amp;number=0.00113&amp;sourceID=14","0.00113")</f>
        <v>0.00113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HYPERLINK("http://141.218.60.56/~jnz1568/getInfo.php?workbook=10_05.xlsx&amp;sheet=U0&amp;row=3108&amp;col=6&amp;number=3.4&amp;sourceID=14","3.4")</f>
        <v>3.4</v>
      </c>
      <c r="G3108" s="4" t="str">
        <f>HYPERLINK("http://141.218.60.56/~jnz1568/getInfo.php?workbook=10_05.xlsx&amp;sheet=U0&amp;row=3108&amp;col=7&amp;number=0.00113&amp;sourceID=14","0.00113")</f>
        <v>0.00113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HYPERLINK("http://141.218.60.56/~jnz1568/getInfo.php?workbook=10_05.xlsx&amp;sheet=U0&amp;row=3109&amp;col=6&amp;number=3.5&amp;sourceID=14","3.5")</f>
        <v>3.5</v>
      </c>
      <c r="G3109" s="4" t="str">
        <f>HYPERLINK("http://141.218.60.56/~jnz1568/getInfo.php?workbook=10_05.xlsx&amp;sheet=U0&amp;row=3109&amp;col=7&amp;number=0.00113&amp;sourceID=14","0.00113")</f>
        <v>0.00113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HYPERLINK("http://141.218.60.56/~jnz1568/getInfo.php?workbook=10_05.xlsx&amp;sheet=U0&amp;row=3110&amp;col=6&amp;number=3.6&amp;sourceID=14","3.6")</f>
        <v>3.6</v>
      </c>
      <c r="G3110" s="4" t="str">
        <f>HYPERLINK("http://141.218.60.56/~jnz1568/getInfo.php?workbook=10_05.xlsx&amp;sheet=U0&amp;row=3110&amp;col=7&amp;number=0.00112&amp;sourceID=14","0.00112")</f>
        <v>0.00112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HYPERLINK("http://141.218.60.56/~jnz1568/getInfo.php?workbook=10_05.xlsx&amp;sheet=U0&amp;row=3111&amp;col=6&amp;number=3.7&amp;sourceID=14","3.7")</f>
        <v>3.7</v>
      </c>
      <c r="G3111" s="4" t="str">
        <f>HYPERLINK("http://141.218.60.56/~jnz1568/getInfo.php?workbook=10_05.xlsx&amp;sheet=U0&amp;row=3111&amp;col=7&amp;number=0.00112&amp;sourceID=14","0.00112")</f>
        <v>0.00112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HYPERLINK("http://141.218.60.56/~jnz1568/getInfo.php?workbook=10_05.xlsx&amp;sheet=U0&amp;row=3112&amp;col=6&amp;number=3.8&amp;sourceID=14","3.8")</f>
        <v>3.8</v>
      </c>
      <c r="G3112" s="4" t="str">
        <f>HYPERLINK("http://141.218.60.56/~jnz1568/getInfo.php?workbook=10_05.xlsx&amp;sheet=U0&amp;row=3112&amp;col=7&amp;number=0.00112&amp;sourceID=14","0.00112")</f>
        <v>0.00112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HYPERLINK("http://141.218.60.56/~jnz1568/getInfo.php?workbook=10_05.xlsx&amp;sheet=U0&amp;row=3113&amp;col=6&amp;number=3.9&amp;sourceID=14","3.9")</f>
        <v>3.9</v>
      </c>
      <c r="G3113" s="4" t="str">
        <f>HYPERLINK("http://141.218.60.56/~jnz1568/getInfo.php?workbook=10_05.xlsx&amp;sheet=U0&amp;row=3113&amp;col=7&amp;number=0.00112&amp;sourceID=14","0.00112")</f>
        <v>0.00112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HYPERLINK("http://141.218.60.56/~jnz1568/getInfo.php?workbook=10_05.xlsx&amp;sheet=U0&amp;row=3114&amp;col=6&amp;number=4&amp;sourceID=14","4")</f>
        <v>4</v>
      </c>
      <c r="G3114" s="4" t="str">
        <f>HYPERLINK("http://141.218.60.56/~jnz1568/getInfo.php?workbook=10_05.xlsx&amp;sheet=U0&amp;row=3114&amp;col=7&amp;number=0.00111&amp;sourceID=14","0.00111")</f>
        <v>0.00111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HYPERLINK("http://141.218.60.56/~jnz1568/getInfo.php?workbook=10_05.xlsx&amp;sheet=U0&amp;row=3115&amp;col=6&amp;number=4.1&amp;sourceID=14","4.1")</f>
        <v>4.1</v>
      </c>
      <c r="G3115" s="4" t="str">
        <f>HYPERLINK("http://141.218.60.56/~jnz1568/getInfo.php?workbook=10_05.xlsx&amp;sheet=U0&amp;row=3115&amp;col=7&amp;number=0.00111&amp;sourceID=14","0.00111")</f>
        <v>0.00111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HYPERLINK("http://141.218.60.56/~jnz1568/getInfo.php?workbook=10_05.xlsx&amp;sheet=U0&amp;row=3116&amp;col=6&amp;number=4.2&amp;sourceID=14","4.2")</f>
        <v>4.2</v>
      </c>
      <c r="G3116" s="4" t="str">
        <f>HYPERLINK("http://141.218.60.56/~jnz1568/getInfo.php?workbook=10_05.xlsx&amp;sheet=U0&amp;row=3116&amp;col=7&amp;number=0.0011&amp;sourceID=14","0.0011")</f>
        <v>0.0011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HYPERLINK("http://141.218.60.56/~jnz1568/getInfo.php?workbook=10_05.xlsx&amp;sheet=U0&amp;row=3117&amp;col=6&amp;number=4.3&amp;sourceID=14","4.3")</f>
        <v>4.3</v>
      </c>
      <c r="G3117" s="4" t="str">
        <f>HYPERLINK("http://141.218.60.56/~jnz1568/getInfo.php?workbook=10_05.xlsx&amp;sheet=U0&amp;row=3117&amp;col=7&amp;number=0.00109&amp;sourceID=14","0.00109")</f>
        <v>0.00109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HYPERLINK("http://141.218.60.56/~jnz1568/getInfo.php?workbook=10_05.xlsx&amp;sheet=U0&amp;row=3118&amp;col=6&amp;number=4.4&amp;sourceID=14","4.4")</f>
        <v>4.4</v>
      </c>
      <c r="G3118" s="4" t="str">
        <f>HYPERLINK("http://141.218.60.56/~jnz1568/getInfo.php?workbook=10_05.xlsx&amp;sheet=U0&amp;row=3118&amp;col=7&amp;number=0.00108&amp;sourceID=14","0.00108")</f>
        <v>0.00108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HYPERLINK("http://141.218.60.56/~jnz1568/getInfo.php?workbook=10_05.xlsx&amp;sheet=U0&amp;row=3119&amp;col=6&amp;number=4.5&amp;sourceID=14","4.5")</f>
        <v>4.5</v>
      </c>
      <c r="G3119" s="4" t="str">
        <f>HYPERLINK("http://141.218.60.56/~jnz1568/getInfo.php?workbook=10_05.xlsx&amp;sheet=U0&amp;row=3119&amp;col=7&amp;number=0.00107&amp;sourceID=14","0.00107")</f>
        <v>0.00107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HYPERLINK("http://141.218.60.56/~jnz1568/getInfo.php?workbook=10_05.xlsx&amp;sheet=U0&amp;row=3120&amp;col=6&amp;number=4.6&amp;sourceID=14","4.6")</f>
        <v>4.6</v>
      </c>
      <c r="G3120" s="4" t="str">
        <f>HYPERLINK("http://141.218.60.56/~jnz1568/getInfo.php?workbook=10_05.xlsx&amp;sheet=U0&amp;row=3120&amp;col=7&amp;number=0.00105&amp;sourceID=14","0.00105")</f>
        <v>0.00105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HYPERLINK("http://141.218.60.56/~jnz1568/getInfo.php?workbook=10_05.xlsx&amp;sheet=U0&amp;row=3121&amp;col=6&amp;number=4.7&amp;sourceID=14","4.7")</f>
        <v>4.7</v>
      </c>
      <c r="G3121" s="4" t="str">
        <f>HYPERLINK("http://141.218.60.56/~jnz1568/getInfo.php?workbook=10_05.xlsx&amp;sheet=U0&amp;row=3121&amp;col=7&amp;number=0.00103&amp;sourceID=14","0.00103")</f>
        <v>0.00103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HYPERLINK("http://141.218.60.56/~jnz1568/getInfo.php?workbook=10_05.xlsx&amp;sheet=U0&amp;row=3122&amp;col=6&amp;number=4.8&amp;sourceID=14","4.8")</f>
        <v>4.8</v>
      </c>
      <c r="G3122" s="4" t="str">
        <f>HYPERLINK("http://141.218.60.56/~jnz1568/getInfo.php?workbook=10_05.xlsx&amp;sheet=U0&amp;row=3122&amp;col=7&amp;number=0.00101&amp;sourceID=14","0.00101")</f>
        <v>0.00101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HYPERLINK("http://141.218.60.56/~jnz1568/getInfo.php?workbook=10_05.xlsx&amp;sheet=U0&amp;row=3123&amp;col=6&amp;number=4.9&amp;sourceID=14","4.9")</f>
        <v>4.9</v>
      </c>
      <c r="G3123" s="4" t="str">
        <f>HYPERLINK("http://141.218.60.56/~jnz1568/getInfo.php?workbook=10_05.xlsx&amp;sheet=U0&amp;row=3123&amp;col=7&amp;number=0.000992&amp;sourceID=14","0.000992")</f>
        <v>0.000992</v>
      </c>
    </row>
    <row r="3124" spans="1:7">
      <c r="A3124" s="3">
        <v>10</v>
      </c>
      <c r="B3124" s="3">
        <v>5</v>
      </c>
      <c r="C3124" s="3">
        <v>1</v>
      </c>
      <c r="D3124" s="3">
        <v>158</v>
      </c>
      <c r="E3124" s="3">
        <v>1</v>
      </c>
      <c r="F3124" s="4" t="str">
        <f>HYPERLINK("http://141.218.60.56/~jnz1568/getInfo.php?workbook=10_05.xlsx&amp;sheet=U0&amp;row=3124&amp;col=6&amp;number=3&amp;sourceID=14","3")</f>
        <v>3</v>
      </c>
      <c r="G3124" s="4" t="str">
        <f>HYPERLINK("http://141.218.60.56/~jnz1568/getInfo.php?workbook=10_05.xlsx&amp;sheet=U0&amp;row=3124&amp;col=7&amp;number=0.00633&amp;sourceID=14","0.00633")</f>
        <v>0.00633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HYPERLINK("http://141.218.60.56/~jnz1568/getInfo.php?workbook=10_05.xlsx&amp;sheet=U0&amp;row=3125&amp;col=6&amp;number=3.1&amp;sourceID=14","3.1")</f>
        <v>3.1</v>
      </c>
      <c r="G3125" s="4" t="str">
        <f>HYPERLINK("http://141.218.60.56/~jnz1568/getInfo.php?workbook=10_05.xlsx&amp;sheet=U0&amp;row=3125&amp;col=7&amp;number=0.00633&amp;sourceID=14","0.00633")</f>
        <v>0.00633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HYPERLINK("http://141.218.60.56/~jnz1568/getInfo.php?workbook=10_05.xlsx&amp;sheet=U0&amp;row=3126&amp;col=6&amp;number=3.2&amp;sourceID=14","3.2")</f>
        <v>3.2</v>
      </c>
      <c r="G3126" s="4" t="str">
        <f>HYPERLINK("http://141.218.60.56/~jnz1568/getInfo.php?workbook=10_05.xlsx&amp;sheet=U0&amp;row=3126&amp;col=7&amp;number=0.00634&amp;sourceID=14","0.00634")</f>
        <v>0.00634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HYPERLINK("http://141.218.60.56/~jnz1568/getInfo.php?workbook=10_05.xlsx&amp;sheet=U0&amp;row=3127&amp;col=6&amp;number=3.3&amp;sourceID=14","3.3")</f>
        <v>3.3</v>
      </c>
      <c r="G3127" s="4" t="str">
        <f>HYPERLINK("http://141.218.60.56/~jnz1568/getInfo.php?workbook=10_05.xlsx&amp;sheet=U0&amp;row=3127&amp;col=7&amp;number=0.00635&amp;sourceID=14","0.00635")</f>
        <v>0.00635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HYPERLINK("http://141.218.60.56/~jnz1568/getInfo.php?workbook=10_05.xlsx&amp;sheet=U0&amp;row=3128&amp;col=6&amp;number=3.4&amp;sourceID=14","3.4")</f>
        <v>3.4</v>
      </c>
      <c r="G3128" s="4" t="str">
        <f>HYPERLINK("http://141.218.60.56/~jnz1568/getInfo.php?workbook=10_05.xlsx&amp;sheet=U0&amp;row=3128&amp;col=7&amp;number=0.00635&amp;sourceID=14","0.00635")</f>
        <v>0.00635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HYPERLINK("http://141.218.60.56/~jnz1568/getInfo.php?workbook=10_05.xlsx&amp;sheet=U0&amp;row=3129&amp;col=6&amp;number=3.5&amp;sourceID=14","3.5")</f>
        <v>3.5</v>
      </c>
      <c r="G3129" s="4" t="str">
        <f>HYPERLINK("http://141.218.60.56/~jnz1568/getInfo.php?workbook=10_05.xlsx&amp;sheet=U0&amp;row=3129&amp;col=7&amp;number=0.00637&amp;sourceID=14","0.00637")</f>
        <v>0.00637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HYPERLINK("http://141.218.60.56/~jnz1568/getInfo.php?workbook=10_05.xlsx&amp;sheet=U0&amp;row=3130&amp;col=6&amp;number=3.6&amp;sourceID=14","3.6")</f>
        <v>3.6</v>
      </c>
      <c r="G3130" s="4" t="str">
        <f>HYPERLINK("http://141.218.60.56/~jnz1568/getInfo.php?workbook=10_05.xlsx&amp;sheet=U0&amp;row=3130&amp;col=7&amp;number=0.00638&amp;sourceID=14","0.00638")</f>
        <v>0.00638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HYPERLINK("http://141.218.60.56/~jnz1568/getInfo.php?workbook=10_05.xlsx&amp;sheet=U0&amp;row=3131&amp;col=6&amp;number=3.7&amp;sourceID=14","3.7")</f>
        <v>3.7</v>
      </c>
      <c r="G3131" s="4" t="str">
        <f>HYPERLINK("http://141.218.60.56/~jnz1568/getInfo.php?workbook=10_05.xlsx&amp;sheet=U0&amp;row=3131&amp;col=7&amp;number=0.0064&amp;sourceID=14","0.0064")</f>
        <v>0.0064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HYPERLINK("http://141.218.60.56/~jnz1568/getInfo.php?workbook=10_05.xlsx&amp;sheet=U0&amp;row=3132&amp;col=6&amp;number=3.8&amp;sourceID=14","3.8")</f>
        <v>3.8</v>
      </c>
      <c r="G3132" s="4" t="str">
        <f>HYPERLINK("http://141.218.60.56/~jnz1568/getInfo.php?workbook=10_05.xlsx&amp;sheet=U0&amp;row=3132&amp;col=7&amp;number=0.00642&amp;sourceID=14","0.00642")</f>
        <v>0.00642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HYPERLINK("http://141.218.60.56/~jnz1568/getInfo.php?workbook=10_05.xlsx&amp;sheet=U0&amp;row=3133&amp;col=6&amp;number=3.9&amp;sourceID=14","3.9")</f>
        <v>3.9</v>
      </c>
      <c r="G3133" s="4" t="str">
        <f>HYPERLINK("http://141.218.60.56/~jnz1568/getInfo.php?workbook=10_05.xlsx&amp;sheet=U0&amp;row=3133&amp;col=7&amp;number=0.00645&amp;sourceID=14","0.00645")</f>
        <v>0.00645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HYPERLINK("http://141.218.60.56/~jnz1568/getInfo.php?workbook=10_05.xlsx&amp;sheet=U0&amp;row=3134&amp;col=6&amp;number=4&amp;sourceID=14","4")</f>
        <v>4</v>
      </c>
      <c r="G3134" s="4" t="str">
        <f>HYPERLINK("http://141.218.60.56/~jnz1568/getInfo.php?workbook=10_05.xlsx&amp;sheet=U0&amp;row=3134&amp;col=7&amp;number=0.00648&amp;sourceID=14","0.00648")</f>
        <v>0.00648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HYPERLINK("http://141.218.60.56/~jnz1568/getInfo.php?workbook=10_05.xlsx&amp;sheet=U0&amp;row=3135&amp;col=6&amp;number=4.1&amp;sourceID=14","4.1")</f>
        <v>4.1</v>
      </c>
      <c r="G3135" s="4" t="str">
        <f>HYPERLINK("http://141.218.60.56/~jnz1568/getInfo.php?workbook=10_05.xlsx&amp;sheet=U0&amp;row=3135&amp;col=7&amp;number=0.00652&amp;sourceID=14","0.00652")</f>
        <v>0.00652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HYPERLINK("http://141.218.60.56/~jnz1568/getInfo.php?workbook=10_05.xlsx&amp;sheet=U0&amp;row=3136&amp;col=6&amp;number=4.2&amp;sourceID=14","4.2")</f>
        <v>4.2</v>
      </c>
      <c r="G3136" s="4" t="str">
        <f>HYPERLINK("http://141.218.60.56/~jnz1568/getInfo.php?workbook=10_05.xlsx&amp;sheet=U0&amp;row=3136&amp;col=7&amp;number=0.00656&amp;sourceID=14","0.00656")</f>
        <v>0.00656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HYPERLINK("http://141.218.60.56/~jnz1568/getInfo.php?workbook=10_05.xlsx&amp;sheet=U0&amp;row=3137&amp;col=6&amp;number=4.3&amp;sourceID=14","4.3")</f>
        <v>4.3</v>
      </c>
      <c r="G3137" s="4" t="str">
        <f>HYPERLINK("http://141.218.60.56/~jnz1568/getInfo.php?workbook=10_05.xlsx&amp;sheet=U0&amp;row=3137&amp;col=7&amp;number=0.00661&amp;sourceID=14","0.00661")</f>
        <v>0.00661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HYPERLINK("http://141.218.60.56/~jnz1568/getInfo.php?workbook=10_05.xlsx&amp;sheet=U0&amp;row=3138&amp;col=6&amp;number=4.4&amp;sourceID=14","4.4")</f>
        <v>4.4</v>
      </c>
      <c r="G3138" s="4" t="str">
        <f>HYPERLINK("http://141.218.60.56/~jnz1568/getInfo.php?workbook=10_05.xlsx&amp;sheet=U0&amp;row=3138&amp;col=7&amp;number=0.00665&amp;sourceID=14","0.00665")</f>
        <v>0.00665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HYPERLINK("http://141.218.60.56/~jnz1568/getInfo.php?workbook=10_05.xlsx&amp;sheet=U0&amp;row=3139&amp;col=6&amp;number=4.5&amp;sourceID=14","4.5")</f>
        <v>4.5</v>
      </c>
      <c r="G3139" s="4" t="str">
        <f>HYPERLINK("http://141.218.60.56/~jnz1568/getInfo.php?workbook=10_05.xlsx&amp;sheet=U0&amp;row=3139&amp;col=7&amp;number=0.00669&amp;sourceID=14","0.00669")</f>
        <v>0.00669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HYPERLINK("http://141.218.60.56/~jnz1568/getInfo.php?workbook=10_05.xlsx&amp;sheet=U0&amp;row=3140&amp;col=6&amp;number=4.6&amp;sourceID=14","4.6")</f>
        <v>4.6</v>
      </c>
      <c r="G3140" s="4" t="str">
        <f>HYPERLINK("http://141.218.60.56/~jnz1568/getInfo.php?workbook=10_05.xlsx&amp;sheet=U0&amp;row=3140&amp;col=7&amp;number=0.00673&amp;sourceID=14","0.00673")</f>
        <v>0.00673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HYPERLINK("http://141.218.60.56/~jnz1568/getInfo.php?workbook=10_05.xlsx&amp;sheet=U0&amp;row=3141&amp;col=6&amp;number=4.7&amp;sourceID=14","4.7")</f>
        <v>4.7</v>
      </c>
      <c r="G3141" s="4" t="str">
        <f>HYPERLINK("http://141.218.60.56/~jnz1568/getInfo.php?workbook=10_05.xlsx&amp;sheet=U0&amp;row=3141&amp;col=7&amp;number=0.00676&amp;sourceID=14","0.00676")</f>
        <v>0.00676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HYPERLINK("http://141.218.60.56/~jnz1568/getInfo.php?workbook=10_05.xlsx&amp;sheet=U0&amp;row=3142&amp;col=6&amp;number=4.8&amp;sourceID=14","4.8")</f>
        <v>4.8</v>
      </c>
      <c r="G3142" s="4" t="str">
        <f>HYPERLINK("http://141.218.60.56/~jnz1568/getInfo.php?workbook=10_05.xlsx&amp;sheet=U0&amp;row=3142&amp;col=7&amp;number=0.00682&amp;sourceID=14","0.00682")</f>
        <v>0.00682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HYPERLINK("http://141.218.60.56/~jnz1568/getInfo.php?workbook=10_05.xlsx&amp;sheet=U0&amp;row=3143&amp;col=6&amp;number=4.9&amp;sourceID=14","4.9")</f>
        <v>4.9</v>
      </c>
      <c r="G3143" s="4" t="str">
        <f>HYPERLINK("http://141.218.60.56/~jnz1568/getInfo.php?workbook=10_05.xlsx&amp;sheet=U0&amp;row=3143&amp;col=7&amp;number=0.00691&amp;sourceID=14","0.00691")</f>
        <v>0.00691</v>
      </c>
    </row>
    <row r="3144" spans="1:7">
      <c r="A3144" s="3">
        <v>10</v>
      </c>
      <c r="B3144" s="3">
        <v>5</v>
      </c>
      <c r="C3144" s="3">
        <v>1</v>
      </c>
      <c r="D3144" s="3">
        <v>159</v>
      </c>
      <c r="E3144" s="3">
        <v>1</v>
      </c>
      <c r="F3144" s="4" t="str">
        <f>HYPERLINK("http://141.218.60.56/~jnz1568/getInfo.php?workbook=10_05.xlsx&amp;sheet=U0&amp;row=3144&amp;col=6&amp;number=3&amp;sourceID=14","3")</f>
        <v>3</v>
      </c>
      <c r="G3144" s="4" t="str">
        <f>HYPERLINK("http://141.218.60.56/~jnz1568/getInfo.php?workbook=10_05.xlsx&amp;sheet=U0&amp;row=3144&amp;col=7&amp;number=0.000627&amp;sourceID=14","0.000627")</f>
        <v>0.000627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HYPERLINK("http://141.218.60.56/~jnz1568/getInfo.php?workbook=10_05.xlsx&amp;sheet=U0&amp;row=3145&amp;col=6&amp;number=3.1&amp;sourceID=14","3.1")</f>
        <v>3.1</v>
      </c>
      <c r="G3145" s="4" t="str">
        <f>HYPERLINK("http://141.218.60.56/~jnz1568/getInfo.php?workbook=10_05.xlsx&amp;sheet=U0&amp;row=3145&amp;col=7&amp;number=0.000629&amp;sourceID=14","0.000629")</f>
        <v>0.000629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HYPERLINK("http://141.218.60.56/~jnz1568/getInfo.php?workbook=10_05.xlsx&amp;sheet=U0&amp;row=3146&amp;col=6&amp;number=3.2&amp;sourceID=14","3.2")</f>
        <v>3.2</v>
      </c>
      <c r="G3146" s="4" t="str">
        <f>HYPERLINK("http://141.218.60.56/~jnz1568/getInfo.php?workbook=10_05.xlsx&amp;sheet=U0&amp;row=3146&amp;col=7&amp;number=0.000633&amp;sourceID=14","0.000633")</f>
        <v>0.000633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HYPERLINK("http://141.218.60.56/~jnz1568/getInfo.php?workbook=10_05.xlsx&amp;sheet=U0&amp;row=3147&amp;col=6&amp;number=3.3&amp;sourceID=14","3.3")</f>
        <v>3.3</v>
      </c>
      <c r="G3147" s="4" t="str">
        <f>HYPERLINK("http://141.218.60.56/~jnz1568/getInfo.php?workbook=10_05.xlsx&amp;sheet=U0&amp;row=3147&amp;col=7&amp;number=0.000637&amp;sourceID=14","0.000637")</f>
        <v>0.000637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HYPERLINK("http://141.218.60.56/~jnz1568/getInfo.php?workbook=10_05.xlsx&amp;sheet=U0&amp;row=3148&amp;col=6&amp;number=3.4&amp;sourceID=14","3.4")</f>
        <v>3.4</v>
      </c>
      <c r="G3148" s="4" t="str">
        <f>HYPERLINK("http://141.218.60.56/~jnz1568/getInfo.php?workbook=10_05.xlsx&amp;sheet=U0&amp;row=3148&amp;col=7&amp;number=0.000642&amp;sourceID=14","0.000642")</f>
        <v>0.000642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HYPERLINK("http://141.218.60.56/~jnz1568/getInfo.php?workbook=10_05.xlsx&amp;sheet=U0&amp;row=3149&amp;col=6&amp;number=3.5&amp;sourceID=14","3.5")</f>
        <v>3.5</v>
      </c>
      <c r="G3149" s="4" t="str">
        <f>HYPERLINK("http://141.218.60.56/~jnz1568/getInfo.php?workbook=10_05.xlsx&amp;sheet=U0&amp;row=3149&amp;col=7&amp;number=0.000648&amp;sourceID=14","0.000648")</f>
        <v>0.000648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HYPERLINK("http://141.218.60.56/~jnz1568/getInfo.php?workbook=10_05.xlsx&amp;sheet=U0&amp;row=3150&amp;col=6&amp;number=3.6&amp;sourceID=14","3.6")</f>
        <v>3.6</v>
      </c>
      <c r="G3150" s="4" t="str">
        <f>HYPERLINK("http://141.218.60.56/~jnz1568/getInfo.php?workbook=10_05.xlsx&amp;sheet=U0&amp;row=3150&amp;col=7&amp;number=0.000655&amp;sourceID=14","0.000655")</f>
        <v>0.000655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HYPERLINK("http://141.218.60.56/~jnz1568/getInfo.php?workbook=10_05.xlsx&amp;sheet=U0&amp;row=3151&amp;col=6&amp;number=3.7&amp;sourceID=14","3.7")</f>
        <v>3.7</v>
      </c>
      <c r="G3151" s="4" t="str">
        <f>HYPERLINK("http://141.218.60.56/~jnz1568/getInfo.php?workbook=10_05.xlsx&amp;sheet=U0&amp;row=3151&amp;col=7&amp;number=0.000664&amp;sourceID=14","0.000664")</f>
        <v>0.000664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HYPERLINK("http://141.218.60.56/~jnz1568/getInfo.php?workbook=10_05.xlsx&amp;sheet=U0&amp;row=3152&amp;col=6&amp;number=3.8&amp;sourceID=14","3.8")</f>
        <v>3.8</v>
      </c>
      <c r="G3152" s="4" t="str">
        <f>HYPERLINK("http://141.218.60.56/~jnz1568/getInfo.php?workbook=10_05.xlsx&amp;sheet=U0&amp;row=3152&amp;col=7&amp;number=0.000674&amp;sourceID=14","0.000674")</f>
        <v>0.000674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HYPERLINK("http://141.218.60.56/~jnz1568/getInfo.php?workbook=10_05.xlsx&amp;sheet=U0&amp;row=3153&amp;col=6&amp;number=3.9&amp;sourceID=14","3.9")</f>
        <v>3.9</v>
      </c>
      <c r="G3153" s="4" t="str">
        <f>HYPERLINK("http://141.218.60.56/~jnz1568/getInfo.php?workbook=10_05.xlsx&amp;sheet=U0&amp;row=3153&amp;col=7&amp;number=0.000685&amp;sourceID=14","0.000685")</f>
        <v>0.000685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HYPERLINK("http://141.218.60.56/~jnz1568/getInfo.php?workbook=10_05.xlsx&amp;sheet=U0&amp;row=3154&amp;col=6&amp;number=4&amp;sourceID=14","4")</f>
        <v>4</v>
      </c>
      <c r="G3154" s="4" t="str">
        <f>HYPERLINK("http://141.218.60.56/~jnz1568/getInfo.php?workbook=10_05.xlsx&amp;sheet=U0&amp;row=3154&amp;col=7&amp;number=0.000695&amp;sourceID=14","0.000695")</f>
        <v>0.000695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HYPERLINK("http://141.218.60.56/~jnz1568/getInfo.php?workbook=10_05.xlsx&amp;sheet=U0&amp;row=3155&amp;col=6&amp;number=4.1&amp;sourceID=14","4.1")</f>
        <v>4.1</v>
      </c>
      <c r="G3155" s="4" t="str">
        <f>HYPERLINK("http://141.218.60.56/~jnz1568/getInfo.php?workbook=10_05.xlsx&amp;sheet=U0&amp;row=3155&amp;col=7&amp;number=0.000704&amp;sourceID=14","0.000704")</f>
        <v>0.000704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HYPERLINK("http://141.218.60.56/~jnz1568/getInfo.php?workbook=10_05.xlsx&amp;sheet=U0&amp;row=3156&amp;col=6&amp;number=4.2&amp;sourceID=14","4.2")</f>
        <v>4.2</v>
      </c>
      <c r="G3156" s="4" t="str">
        <f>HYPERLINK("http://141.218.60.56/~jnz1568/getInfo.php?workbook=10_05.xlsx&amp;sheet=U0&amp;row=3156&amp;col=7&amp;number=0.000707&amp;sourceID=14","0.000707")</f>
        <v>0.000707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HYPERLINK("http://141.218.60.56/~jnz1568/getInfo.php?workbook=10_05.xlsx&amp;sheet=U0&amp;row=3157&amp;col=6&amp;number=4.3&amp;sourceID=14","4.3")</f>
        <v>4.3</v>
      </c>
      <c r="G3157" s="4" t="str">
        <f>HYPERLINK("http://141.218.60.56/~jnz1568/getInfo.php?workbook=10_05.xlsx&amp;sheet=U0&amp;row=3157&amp;col=7&amp;number=0.0007&amp;sourceID=14","0.0007")</f>
        <v>0.0007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HYPERLINK("http://141.218.60.56/~jnz1568/getInfo.php?workbook=10_05.xlsx&amp;sheet=U0&amp;row=3158&amp;col=6&amp;number=4.4&amp;sourceID=14","4.4")</f>
        <v>4.4</v>
      </c>
      <c r="G3158" s="4" t="str">
        <f>HYPERLINK("http://141.218.60.56/~jnz1568/getInfo.php?workbook=10_05.xlsx&amp;sheet=U0&amp;row=3158&amp;col=7&amp;number=0.000684&amp;sourceID=14","0.000684")</f>
        <v>0.000684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HYPERLINK("http://141.218.60.56/~jnz1568/getInfo.php?workbook=10_05.xlsx&amp;sheet=U0&amp;row=3159&amp;col=6&amp;number=4.5&amp;sourceID=14","4.5")</f>
        <v>4.5</v>
      </c>
      <c r="G3159" s="4" t="str">
        <f>HYPERLINK("http://141.218.60.56/~jnz1568/getInfo.php?workbook=10_05.xlsx&amp;sheet=U0&amp;row=3159&amp;col=7&amp;number=0.000663&amp;sourceID=14","0.000663")</f>
        <v>0.000663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HYPERLINK("http://141.218.60.56/~jnz1568/getInfo.php?workbook=10_05.xlsx&amp;sheet=U0&amp;row=3160&amp;col=6&amp;number=4.6&amp;sourceID=14","4.6")</f>
        <v>4.6</v>
      </c>
      <c r="G3160" s="4" t="str">
        <f>HYPERLINK("http://141.218.60.56/~jnz1568/getInfo.php?workbook=10_05.xlsx&amp;sheet=U0&amp;row=3160&amp;col=7&amp;number=0.000643&amp;sourceID=14","0.000643")</f>
        <v>0.000643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HYPERLINK("http://141.218.60.56/~jnz1568/getInfo.php?workbook=10_05.xlsx&amp;sheet=U0&amp;row=3161&amp;col=6&amp;number=4.7&amp;sourceID=14","4.7")</f>
        <v>4.7</v>
      </c>
      <c r="G3161" s="4" t="str">
        <f>HYPERLINK("http://141.218.60.56/~jnz1568/getInfo.php?workbook=10_05.xlsx&amp;sheet=U0&amp;row=3161&amp;col=7&amp;number=0.000626&amp;sourceID=14","0.000626")</f>
        <v>0.000626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HYPERLINK("http://141.218.60.56/~jnz1568/getInfo.php?workbook=10_05.xlsx&amp;sheet=U0&amp;row=3162&amp;col=6&amp;number=4.8&amp;sourceID=14","4.8")</f>
        <v>4.8</v>
      </c>
      <c r="G3162" s="4" t="str">
        <f>HYPERLINK("http://141.218.60.56/~jnz1568/getInfo.php?workbook=10_05.xlsx&amp;sheet=U0&amp;row=3162&amp;col=7&amp;number=0.000605&amp;sourceID=14","0.000605")</f>
        <v>0.000605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HYPERLINK("http://141.218.60.56/~jnz1568/getInfo.php?workbook=10_05.xlsx&amp;sheet=U0&amp;row=3163&amp;col=6&amp;number=4.9&amp;sourceID=14","4.9")</f>
        <v>4.9</v>
      </c>
      <c r="G3163" s="4" t="str">
        <f>HYPERLINK("http://141.218.60.56/~jnz1568/getInfo.php?workbook=10_05.xlsx&amp;sheet=U0&amp;row=3163&amp;col=7&amp;number=0.000576&amp;sourceID=14","0.000576")</f>
        <v>0.000576</v>
      </c>
    </row>
    <row r="3164" spans="1:7">
      <c r="A3164" s="3">
        <v>10</v>
      </c>
      <c r="B3164" s="3">
        <v>5</v>
      </c>
      <c r="C3164" s="3">
        <v>1</v>
      </c>
      <c r="D3164" s="3">
        <v>160</v>
      </c>
      <c r="E3164" s="3">
        <v>1</v>
      </c>
      <c r="F3164" s="4" t="str">
        <f>HYPERLINK("http://141.218.60.56/~jnz1568/getInfo.php?workbook=10_05.xlsx&amp;sheet=U0&amp;row=3164&amp;col=6&amp;number=3&amp;sourceID=14","3")</f>
        <v>3</v>
      </c>
      <c r="G3164" s="4" t="str">
        <f>HYPERLINK("http://141.218.60.56/~jnz1568/getInfo.php?workbook=10_05.xlsx&amp;sheet=U0&amp;row=3164&amp;col=7&amp;number=0.00334&amp;sourceID=14","0.00334")</f>
        <v>0.00334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HYPERLINK("http://141.218.60.56/~jnz1568/getInfo.php?workbook=10_05.xlsx&amp;sheet=U0&amp;row=3165&amp;col=6&amp;number=3.1&amp;sourceID=14","3.1")</f>
        <v>3.1</v>
      </c>
      <c r="G3165" s="4" t="str">
        <f>HYPERLINK("http://141.218.60.56/~jnz1568/getInfo.php?workbook=10_05.xlsx&amp;sheet=U0&amp;row=3165&amp;col=7&amp;number=0.00333&amp;sourceID=14","0.00333")</f>
        <v>0.00333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HYPERLINK("http://141.218.60.56/~jnz1568/getInfo.php?workbook=10_05.xlsx&amp;sheet=U0&amp;row=3166&amp;col=6&amp;number=3.2&amp;sourceID=14","3.2")</f>
        <v>3.2</v>
      </c>
      <c r="G3166" s="4" t="str">
        <f>HYPERLINK("http://141.218.60.56/~jnz1568/getInfo.php?workbook=10_05.xlsx&amp;sheet=U0&amp;row=3166&amp;col=7&amp;number=0.00333&amp;sourceID=14","0.00333")</f>
        <v>0.00333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HYPERLINK("http://141.218.60.56/~jnz1568/getInfo.php?workbook=10_05.xlsx&amp;sheet=U0&amp;row=3167&amp;col=6&amp;number=3.3&amp;sourceID=14","3.3")</f>
        <v>3.3</v>
      </c>
      <c r="G3167" s="4" t="str">
        <f>HYPERLINK("http://141.218.60.56/~jnz1568/getInfo.php?workbook=10_05.xlsx&amp;sheet=U0&amp;row=3167&amp;col=7&amp;number=0.00332&amp;sourceID=14","0.00332")</f>
        <v>0.00332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HYPERLINK("http://141.218.60.56/~jnz1568/getInfo.php?workbook=10_05.xlsx&amp;sheet=U0&amp;row=3168&amp;col=6&amp;number=3.4&amp;sourceID=14","3.4")</f>
        <v>3.4</v>
      </c>
      <c r="G3168" s="4" t="str">
        <f>HYPERLINK("http://141.218.60.56/~jnz1568/getInfo.php?workbook=10_05.xlsx&amp;sheet=U0&amp;row=3168&amp;col=7&amp;number=0.0033&amp;sourceID=14","0.0033")</f>
        <v>0.0033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HYPERLINK("http://141.218.60.56/~jnz1568/getInfo.php?workbook=10_05.xlsx&amp;sheet=U0&amp;row=3169&amp;col=6&amp;number=3.5&amp;sourceID=14","3.5")</f>
        <v>3.5</v>
      </c>
      <c r="G3169" s="4" t="str">
        <f>HYPERLINK("http://141.218.60.56/~jnz1568/getInfo.php?workbook=10_05.xlsx&amp;sheet=U0&amp;row=3169&amp;col=7&amp;number=0.00329&amp;sourceID=14","0.00329")</f>
        <v>0.00329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HYPERLINK("http://141.218.60.56/~jnz1568/getInfo.php?workbook=10_05.xlsx&amp;sheet=U0&amp;row=3170&amp;col=6&amp;number=3.6&amp;sourceID=14","3.6")</f>
        <v>3.6</v>
      </c>
      <c r="G3170" s="4" t="str">
        <f>HYPERLINK("http://141.218.60.56/~jnz1568/getInfo.php?workbook=10_05.xlsx&amp;sheet=U0&amp;row=3170&amp;col=7&amp;number=0.00326&amp;sourceID=14","0.00326")</f>
        <v>0.00326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HYPERLINK("http://141.218.60.56/~jnz1568/getInfo.php?workbook=10_05.xlsx&amp;sheet=U0&amp;row=3171&amp;col=6&amp;number=3.7&amp;sourceID=14","3.7")</f>
        <v>3.7</v>
      </c>
      <c r="G3171" s="4" t="str">
        <f>HYPERLINK("http://141.218.60.56/~jnz1568/getInfo.php?workbook=10_05.xlsx&amp;sheet=U0&amp;row=3171&amp;col=7&amp;number=0.00324&amp;sourceID=14","0.00324")</f>
        <v>0.00324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HYPERLINK("http://141.218.60.56/~jnz1568/getInfo.php?workbook=10_05.xlsx&amp;sheet=U0&amp;row=3172&amp;col=6&amp;number=3.8&amp;sourceID=14","3.8")</f>
        <v>3.8</v>
      </c>
      <c r="G3172" s="4" t="str">
        <f>HYPERLINK("http://141.218.60.56/~jnz1568/getInfo.php?workbook=10_05.xlsx&amp;sheet=U0&amp;row=3172&amp;col=7&amp;number=0.00321&amp;sourceID=14","0.00321")</f>
        <v>0.00321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HYPERLINK("http://141.218.60.56/~jnz1568/getInfo.php?workbook=10_05.xlsx&amp;sheet=U0&amp;row=3173&amp;col=6&amp;number=3.9&amp;sourceID=14","3.9")</f>
        <v>3.9</v>
      </c>
      <c r="G3173" s="4" t="str">
        <f>HYPERLINK("http://141.218.60.56/~jnz1568/getInfo.php?workbook=10_05.xlsx&amp;sheet=U0&amp;row=3173&amp;col=7&amp;number=0.00316&amp;sourceID=14","0.00316")</f>
        <v>0.00316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HYPERLINK("http://141.218.60.56/~jnz1568/getInfo.php?workbook=10_05.xlsx&amp;sheet=U0&amp;row=3174&amp;col=6&amp;number=4&amp;sourceID=14","4")</f>
        <v>4</v>
      </c>
      <c r="G3174" s="4" t="str">
        <f>HYPERLINK("http://141.218.60.56/~jnz1568/getInfo.php?workbook=10_05.xlsx&amp;sheet=U0&amp;row=3174&amp;col=7&amp;number=0.00311&amp;sourceID=14","0.00311")</f>
        <v>0.00311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HYPERLINK("http://141.218.60.56/~jnz1568/getInfo.php?workbook=10_05.xlsx&amp;sheet=U0&amp;row=3175&amp;col=6&amp;number=4.1&amp;sourceID=14","4.1")</f>
        <v>4.1</v>
      </c>
      <c r="G3175" s="4" t="str">
        <f>HYPERLINK("http://141.218.60.56/~jnz1568/getInfo.php?workbook=10_05.xlsx&amp;sheet=U0&amp;row=3175&amp;col=7&amp;number=0.00305&amp;sourceID=14","0.00305")</f>
        <v>0.00305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HYPERLINK("http://141.218.60.56/~jnz1568/getInfo.php?workbook=10_05.xlsx&amp;sheet=U0&amp;row=3176&amp;col=6&amp;number=4.2&amp;sourceID=14","4.2")</f>
        <v>4.2</v>
      </c>
      <c r="G3176" s="4" t="str">
        <f>HYPERLINK("http://141.218.60.56/~jnz1568/getInfo.php?workbook=10_05.xlsx&amp;sheet=U0&amp;row=3176&amp;col=7&amp;number=0.00297&amp;sourceID=14","0.00297")</f>
        <v>0.00297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HYPERLINK("http://141.218.60.56/~jnz1568/getInfo.php?workbook=10_05.xlsx&amp;sheet=U0&amp;row=3177&amp;col=6&amp;number=4.3&amp;sourceID=14","4.3")</f>
        <v>4.3</v>
      </c>
      <c r="G3177" s="4" t="str">
        <f>HYPERLINK("http://141.218.60.56/~jnz1568/getInfo.php?workbook=10_05.xlsx&amp;sheet=U0&amp;row=3177&amp;col=7&amp;number=0.00288&amp;sourceID=14","0.00288")</f>
        <v>0.00288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HYPERLINK("http://141.218.60.56/~jnz1568/getInfo.php?workbook=10_05.xlsx&amp;sheet=U0&amp;row=3178&amp;col=6&amp;number=4.4&amp;sourceID=14","4.4")</f>
        <v>4.4</v>
      </c>
      <c r="G3178" s="4" t="str">
        <f>HYPERLINK("http://141.218.60.56/~jnz1568/getInfo.php?workbook=10_05.xlsx&amp;sheet=U0&amp;row=3178&amp;col=7&amp;number=0.00277&amp;sourceID=14","0.00277")</f>
        <v>0.00277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HYPERLINK("http://141.218.60.56/~jnz1568/getInfo.php?workbook=10_05.xlsx&amp;sheet=U0&amp;row=3179&amp;col=6&amp;number=4.5&amp;sourceID=14","4.5")</f>
        <v>4.5</v>
      </c>
      <c r="G3179" s="4" t="str">
        <f>HYPERLINK("http://141.218.60.56/~jnz1568/getInfo.php?workbook=10_05.xlsx&amp;sheet=U0&amp;row=3179&amp;col=7&amp;number=0.00264&amp;sourceID=14","0.00264")</f>
        <v>0.00264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HYPERLINK("http://141.218.60.56/~jnz1568/getInfo.php?workbook=10_05.xlsx&amp;sheet=U0&amp;row=3180&amp;col=6&amp;number=4.6&amp;sourceID=14","4.6")</f>
        <v>4.6</v>
      </c>
      <c r="G3180" s="4" t="str">
        <f>HYPERLINK("http://141.218.60.56/~jnz1568/getInfo.php?workbook=10_05.xlsx&amp;sheet=U0&amp;row=3180&amp;col=7&amp;number=0.00249&amp;sourceID=14","0.00249")</f>
        <v>0.00249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HYPERLINK("http://141.218.60.56/~jnz1568/getInfo.php?workbook=10_05.xlsx&amp;sheet=U0&amp;row=3181&amp;col=6&amp;number=4.7&amp;sourceID=14","4.7")</f>
        <v>4.7</v>
      </c>
      <c r="G3181" s="4" t="str">
        <f>HYPERLINK("http://141.218.60.56/~jnz1568/getInfo.php?workbook=10_05.xlsx&amp;sheet=U0&amp;row=3181&amp;col=7&amp;number=0.00234&amp;sourceID=14","0.00234")</f>
        <v>0.00234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HYPERLINK("http://141.218.60.56/~jnz1568/getInfo.php?workbook=10_05.xlsx&amp;sheet=U0&amp;row=3182&amp;col=6&amp;number=4.8&amp;sourceID=14","4.8")</f>
        <v>4.8</v>
      </c>
      <c r="G3182" s="4" t="str">
        <f>HYPERLINK("http://141.218.60.56/~jnz1568/getInfo.php?workbook=10_05.xlsx&amp;sheet=U0&amp;row=3182&amp;col=7&amp;number=0.00218&amp;sourceID=14","0.00218")</f>
        <v>0.00218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HYPERLINK("http://141.218.60.56/~jnz1568/getInfo.php?workbook=10_05.xlsx&amp;sheet=U0&amp;row=3183&amp;col=6&amp;number=4.9&amp;sourceID=14","4.9")</f>
        <v>4.9</v>
      </c>
      <c r="G3183" s="4" t="str">
        <f>HYPERLINK("http://141.218.60.56/~jnz1568/getInfo.php?workbook=10_05.xlsx&amp;sheet=U0&amp;row=3183&amp;col=7&amp;number=0.00204&amp;sourceID=14","0.00204")</f>
        <v>0.00204</v>
      </c>
    </row>
    <row r="3184" spans="1:7">
      <c r="A3184" s="3">
        <v>10</v>
      </c>
      <c r="B3184" s="3">
        <v>5</v>
      </c>
      <c r="C3184" s="3">
        <v>1</v>
      </c>
      <c r="D3184" s="3">
        <v>161</v>
      </c>
      <c r="E3184" s="3">
        <v>1</v>
      </c>
      <c r="F3184" s="4" t="str">
        <f>HYPERLINK("http://141.218.60.56/~jnz1568/getInfo.php?workbook=10_05.xlsx&amp;sheet=U0&amp;row=3184&amp;col=6&amp;number=3&amp;sourceID=14","3")</f>
        <v>3</v>
      </c>
      <c r="G3184" s="4" t="str">
        <f>HYPERLINK("http://141.218.60.56/~jnz1568/getInfo.php?workbook=10_05.xlsx&amp;sheet=U0&amp;row=3184&amp;col=7&amp;number=0.000796&amp;sourceID=14","0.000796")</f>
        <v>0.000796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HYPERLINK("http://141.218.60.56/~jnz1568/getInfo.php?workbook=10_05.xlsx&amp;sheet=U0&amp;row=3185&amp;col=6&amp;number=3.1&amp;sourceID=14","3.1")</f>
        <v>3.1</v>
      </c>
      <c r="G3185" s="4" t="str">
        <f>HYPERLINK("http://141.218.60.56/~jnz1568/getInfo.php?workbook=10_05.xlsx&amp;sheet=U0&amp;row=3185&amp;col=7&amp;number=0.000798&amp;sourceID=14","0.000798")</f>
        <v>0.000798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HYPERLINK("http://141.218.60.56/~jnz1568/getInfo.php?workbook=10_05.xlsx&amp;sheet=U0&amp;row=3186&amp;col=6&amp;number=3.2&amp;sourceID=14","3.2")</f>
        <v>3.2</v>
      </c>
      <c r="G3186" s="4" t="str">
        <f>HYPERLINK("http://141.218.60.56/~jnz1568/getInfo.php?workbook=10_05.xlsx&amp;sheet=U0&amp;row=3186&amp;col=7&amp;number=0.000799&amp;sourceID=14","0.000799")</f>
        <v>0.000799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HYPERLINK("http://141.218.60.56/~jnz1568/getInfo.php?workbook=10_05.xlsx&amp;sheet=U0&amp;row=3187&amp;col=6&amp;number=3.3&amp;sourceID=14","3.3")</f>
        <v>3.3</v>
      </c>
      <c r="G3187" s="4" t="str">
        <f>HYPERLINK("http://141.218.60.56/~jnz1568/getInfo.php?workbook=10_05.xlsx&amp;sheet=U0&amp;row=3187&amp;col=7&amp;number=0.000801&amp;sourceID=14","0.000801")</f>
        <v>0.000801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HYPERLINK("http://141.218.60.56/~jnz1568/getInfo.php?workbook=10_05.xlsx&amp;sheet=U0&amp;row=3188&amp;col=6&amp;number=3.4&amp;sourceID=14","3.4")</f>
        <v>3.4</v>
      </c>
      <c r="G3188" s="4" t="str">
        <f>HYPERLINK("http://141.218.60.56/~jnz1568/getInfo.php?workbook=10_05.xlsx&amp;sheet=U0&amp;row=3188&amp;col=7&amp;number=0.000804&amp;sourceID=14","0.000804")</f>
        <v>0.000804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HYPERLINK("http://141.218.60.56/~jnz1568/getInfo.php?workbook=10_05.xlsx&amp;sheet=U0&amp;row=3189&amp;col=6&amp;number=3.5&amp;sourceID=14","3.5")</f>
        <v>3.5</v>
      </c>
      <c r="G3189" s="4" t="str">
        <f>HYPERLINK("http://141.218.60.56/~jnz1568/getInfo.php?workbook=10_05.xlsx&amp;sheet=U0&amp;row=3189&amp;col=7&amp;number=0.000807&amp;sourceID=14","0.000807")</f>
        <v>0.000807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HYPERLINK("http://141.218.60.56/~jnz1568/getInfo.php?workbook=10_05.xlsx&amp;sheet=U0&amp;row=3190&amp;col=6&amp;number=3.6&amp;sourceID=14","3.6")</f>
        <v>3.6</v>
      </c>
      <c r="G3190" s="4" t="str">
        <f>HYPERLINK("http://141.218.60.56/~jnz1568/getInfo.php?workbook=10_05.xlsx&amp;sheet=U0&amp;row=3190&amp;col=7&amp;number=0.000812&amp;sourceID=14","0.000812")</f>
        <v>0.000812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HYPERLINK("http://141.218.60.56/~jnz1568/getInfo.php?workbook=10_05.xlsx&amp;sheet=U0&amp;row=3191&amp;col=6&amp;number=3.7&amp;sourceID=14","3.7")</f>
        <v>3.7</v>
      </c>
      <c r="G3191" s="4" t="str">
        <f>HYPERLINK("http://141.218.60.56/~jnz1568/getInfo.php?workbook=10_05.xlsx&amp;sheet=U0&amp;row=3191&amp;col=7&amp;number=0.000817&amp;sourceID=14","0.000817")</f>
        <v>0.000817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HYPERLINK("http://141.218.60.56/~jnz1568/getInfo.php?workbook=10_05.xlsx&amp;sheet=U0&amp;row=3192&amp;col=6&amp;number=3.8&amp;sourceID=14","3.8")</f>
        <v>3.8</v>
      </c>
      <c r="G3192" s="4" t="str">
        <f>HYPERLINK("http://141.218.60.56/~jnz1568/getInfo.php?workbook=10_05.xlsx&amp;sheet=U0&amp;row=3192&amp;col=7&amp;number=0.000823&amp;sourceID=14","0.000823")</f>
        <v>0.000823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HYPERLINK("http://141.218.60.56/~jnz1568/getInfo.php?workbook=10_05.xlsx&amp;sheet=U0&amp;row=3193&amp;col=6&amp;number=3.9&amp;sourceID=14","3.9")</f>
        <v>3.9</v>
      </c>
      <c r="G3193" s="4" t="str">
        <f>HYPERLINK("http://141.218.60.56/~jnz1568/getInfo.php?workbook=10_05.xlsx&amp;sheet=U0&amp;row=3193&amp;col=7&amp;number=0.000831&amp;sourceID=14","0.000831")</f>
        <v>0.000831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HYPERLINK("http://141.218.60.56/~jnz1568/getInfo.php?workbook=10_05.xlsx&amp;sheet=U0&amp;row=3194&amp;col=6&amp;number=4&amp;sourceID=14","4")</f>
        <v>4</v>
      </c>
      <c r="G3194" s="4" t="str">
        <f>HYPERLINK("http://141.218.60.56/~jnz1568/getInfo.php?workbook=10_05.xlsx&amp;sheet=U0&amp;row=3194&amp;col=7&amp;number=0.000841&amp;sourceID=14","0.000841")</f>
        <v>0.000841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HYPERLINK("http://141.218.60.56/~jnz1568/getInfo.php?workbook=10_05.xlsx&amp;sheet=U0&amp;row=3195&amp;col=6&amp;number=4.1&amp;sourceID=14","4.1")</f>
        <v>4.1</v>
      </c>
      <c r="G3195" s="4" t="str">
        <f>HYPERLINK("http://141.218.60.56/~jnz1568/getInfo.php?workbook=10_05.xlsx&amp;sheet=U0&amp;row=3195&amp;col=7&amp;number=0.000853&amp;sourceID=14","0.000853")</f>
        <v>0.000853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HYPERLINK("http://141.218.60.56/~jnz1568/getInfo.php?workbook=10_05.xlsx&amp;sheet=U0&amp;row=3196&amp;col=6&amp;number=4.2&amp;sourceID=14","4.2")</f>
        <v>4.2</v>
      </c>
      <c r="G3196" s="4" t="str">
        <f>HYPERLINK("http://141.218.60.56/~jnz1568/getInfo.php?workbook=10_05.xlsx&amp;sheet=U0&amp;row=3196&amp;col=7&amp;number=0.000866&amp;sourceID=14","0.000866")</f>
        <v>0.000866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HYPERLINK("http://141.218.60.56/~jnz1568/getInfo.php?workbook=10_05.xlsx&amp;sheet=U0&amp;row=3197&amp;col=6&amp;number=4.3&amp;sourceID=14","4.3")</f>
        <v>4.3</v>
      </c>
      <c r="G3197" s="4" t="str">
        <f>HYPERLINK("http://141.218.60.56/~jnz1568/getInfo.php?workbook=10_05.xlsx&amp;sheet=U0&amp;row=3197&amp;col=7&amp;number=0.000882&amp;sourceID=14","0.000882")</f>
        <v>0.000882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HYPERLINK("http://141.218.60.56/~jnz1568/getInfo.php?workbook=10_05.xlsx&amp;sheet=U0&amp;row=3198&amp;col=6&amp;number=4.4&amp;sourceID=14","4.4")</f>
        <v>4.4</v>
      </c>
      <c r="G3198" s="4" t="str">
        <f>HYPERLINK("http://141.218.60.56/~jnz1568/getInfo.php?workbook=10_05.xlsx&amp;sheet=U0&amp;row=3198&amp;col=7&amp;number=0.000899&amp;sourceID=14","0.000899")</f>
        <v>0.000899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HYPERLINK("http://141.218.60.56/~jnz1568/getInfo.php?workbook=10_05.xlsx&amp;sheet=U0&amp;row=3199&amp;col=6&amp;number=4.5&amp;sourceID=14","4.5")</f>
        <v>4.5</v>
      </c>
      <c r="G3199" s="4" t="str">
        <f>HYPERLINK("http://141.218.60.56/~jnz1568/getInfo.php?workbook=10_05.xlsx&amp;sheet=U0&amp;row=3199&amp;col=7&amp;number=0.000916&amp;sourceID=14","0.000916")</f>
        <v>0.000916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HYPERLINK("http://141.218.60.56/~jnz1568/getInfo.php?workbook=10_05.xlsx&amp;sheet=U0&amp;row=3200&amp;col=6&amp;number=4.6&amp;sourceID=14","4.6")</f>
        <v>4.6</v>
      </c>
      <c r="G3200" s="4" t="str">
        <f>HYPERLINK("http://141.218.60.56/~jnz1568/getInfo.php?workbook=10_05.xlsx&amp;sheet=U0&amp;row=3200&amp;col=7&amp;number=0.000929&amp;sourceID=14","0.000929")</f>
        <v>0.000929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HYPERLINK("http://141.218.60.56/~jnz1568/getInfo.php?workbook=10_05.xlsx&amp;sheet=U0&amp;row=3201&amp;col=6&amp;number=4.7&amp;sourceID=14","4.7")</f>
        <v>4.7</v>
      </c>
      <c r="G3201" s="4" t="str">
        <f>HYPERLINK("http://141.218.60.56/~jnz1568/getInfo.php?workbook=10_05.xlsx&amp;sheet=U0&amp;row=3201&amp;col=7&amp;number=0.000935&amp;sourceID=14","0.000935")</f>
        <v>0.000935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HYPERLINK("http://141.218.60.56/~jnz1568/getInfo.php?workbook=10_05.xlsx&amp;sheet=U0&amp;row=3202&amp;col=6&amp;number=4.8&amp;sourceID=14","4.8")</f>
        <v>4.8</v>
      </c>
      <c r="G3202" s="4" t="str">
        <f>HYPERLINK("http://141.218.60.56/~jnz1568/getInfo.php?workbook=10_05.xlsx&amp;sheet=U0&amp;row=3202&amp;col=7&amp;number=0.000932&amp;sourceID=14","0.000932")</f>
        <v>0.000932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HYPERLINK("http://141.218.60.56/~jnz1568/getInfo.php?workbook=10_05.xlsx&amp;sheet=U0&amp;row=3203&amp;col=6&amp;number=4.9&amp;sourceID=14","4.9")</f>
        <v>4.9</v>
      </c>
      <c r="G3203" s="4" t="str">
        <f>HYPERLINK("http://141.218.60.56/~jnz1568/getInfo.php?workbook=10_05.xlsx&amp;sheet=U0&amp;row=3203&amp;col=7&amp;number=0.000925&amp;sourceID=14","0.000925")</f>
        <v>0.000925</v>
      </c>
    </row>
    <row r="3204" spans="1:7">
      <c r="A3204" s="3">
        <v>10</v>
      </c>
      <c r="B3204" s="3">
        <v>5</v>
      </c>
      <c r="C3204" s="3">
        <v>1</v>
      </c>
      <c r="D3204" s="3">
        <v>162</v>
      </c>
      <c r="E3204" s="3">
        <v>1</v>
      </c>
      <c r="F3204" s="4" t="str">
        <f>HYPERLINK("http://141.218.60.56/~jnz1568/getInfo.php?workbook=10_05.xlsx&amp;sheet=U0&amp;row=3204&amp;col=6&amp;number=3&amp;sourceID=14","3")</f>
        <v>3</v>
      </c>
      <c r="G3204" s="4" t="str">
        <f>HYPERLINK("http://141.218.60.56/~jnz1568/getInfo.php?workbook=10_05.xlsx&amp;sheet=U0&amp;row=3204&amp;col=7&amp;number=0.00076&amp;sourceID=14","0.00076")</f>
        <v>0.00076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HYPERLINK("http://141.218.60.56/~jnz1568/getInfo.php?workbook=10_05.xlsx&amp;sheet=U0&amp;row=3205&amp;col=6&amp;number=3.1&amp;sourceID=14","3.1")</f>
        <v>3.1</v>
      </c>
      <c r="G3205" s="4" t="str">
        <f>HYPERLINK("http://141.218.60.56/~jnz1568/getInfo.php?workbook=10_05.xlsx&amp;sheet=U0&amp;row=3205&amp;col=7&amp;number=0.000761&amp;sourceID=14","0.000761")</f>
        <v>0.000761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HYPERLINK("http://141.218.60.56/~jnz1568/getInfo.php?workbook=10_05.xlsx&amp;sheet=U0&amp;row=3206&amp;col=6&amp;number=3.2&amp;sourceID=14","3.2")</f>
        <v>3.2</v>
      </c>
      <c r="G3206" s="4" t="str">
        <f>HYPERLINK("http://141.218.60.56/~jnz1568/getInfo.php?workbook=10_05.xlsx&amp;sheet=U0&amp;row=3206&amp;col=7&amp;number=0.000762&amp;sourceID=14","0.000762")</f>
        <v>0.000762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HYPERLINK("http://141.218.60.56/~jnz1568/getInfo.php?workbook=10_05.xlsx&amp;sheet=U0&amp;row=3207&amp;col=6&amp;number=3.3&amp;sourceID=14","3.3")</f>
        <v>3.3</v>
      </c>
      <c r="G3207" s="4" t="str">
        <f>HYPERLINK("http://141.218.60.56/~jnz1568/getInfo.php?workbook=10_05.xlsx&amp;sheet=U0&amp;row=3207&amp;col=7&amp;number=0.000764&amp;sourceID=14","0.000764")</f>
        <v>0.000764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HYPERLINK("http://141.218.60.56/~jnz1568/getInfo.php?workbook=10_05.xlsx&amp;sheet=U0&amp;row=3208&amp;col=6&amp;number=3.4&amp;sourceID=14","3.4")</f>
        <v>3.4</v>
      </c>
      <c r="G3208" s="4" t="str">
        <f>HYPERLINK("http://141.218.60.56/~jnz1568/getInfo.php?workbook=10_05.xlsx&amp;sheet=U0&amp;row=3208&amp;col=7&amp;number=0.000766&amp;sourceID=14","0.000766")</f>
        <v>0.000766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HYPERLINK("http://141.218.60.56/~jnz1568/getInfo.php?workbook=10_05.xlsx&amp;sheet=U0&amp;row=3209&amp;col=6&amp;number=3.5&amp;sourceID=14","3.5")</f>
        <v>3.5</v>
      </c>
      <c r="G3209" s="4" t="str">
        <f>HYPERLINK("http://141.218.60.56/~jnz1568/getInfo.php?workbook=10_05.xlsx&amp;sheet=U0&amp;row=3209&amp;col=7&amp;number=0.000769&amp;sourceID=14","0.000769")</f>
        <v>0.000769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HYPERLINK("http://141.218.60.56/~jnz1568/getInfo.php?workbook=10_05.xlsx&amp;sheet=U0&amp;row=3210&amp;col=6&amp;number=3.6&amp;sourceID=14","3.6")</f>
        <v>3.6</v>
      </c>
      <c r="G3210" s="4" t="str">
        <f>HYPERLINK("http://141.218.60.56/~jnz1568/getInfo.php?workbook=10_05.xlsx&amp;sheet=U0&amp;row=3210&amp;col=7&amp;number=0.000773&amp;sourceID=14","0.000773")</f>
        <v>0.000773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HYPERLINK("http://141.218.60.56/~jnz1568/getInfo.php?workbook=10_05.xlsx&amp;sheet=U0&amp;row=3211&amp;col=6&amp;number=3.7&amp;sourceID=14","3.7")</f>
        <v>3.7</v>
      </c>
      <c r="G3211" s="4" t="str">
        <f>HYPERLINK("http://141.218.60.56/~jnz1568/getInfo.php?workbook=10_05.xlsx&amp;sheet=U0&amp;row=3211&amp;col=7&amp;number=0.000778&amp;sourceID=14","0.000778")</f>
        <v>0.000778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HYPERLINK("http://141.218.60.56/~jnz1568/getInfo.php?workbook=10_05.xlsx&amp;sheet=U0&amp;row=3212&amp;col=6&amp;number=3.8&amp;sourceID=14","3.8")</f>
        <v>3.8</v>
      </c>
      <c r="G3212" s="4" t="str">
        <f>HYPERLINK("http://141.218.60.56/~jnz1568/getInfo.php?workbook=10_05.xlsx&amp;sheet=U0&amp;row=3212&amp;col=7&amp;number=0.000783&amp;sourceID=14","0.000783")</f>
        <v>0.000783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HYPERLINK("http://141.218.60.56/~jnz1568/getInfo.php?workbook=10_05.xlsx&amp;sheet=U0&amp;row=3213&amp;col=6&amp;number=3.9&amp;sourceID=14","3.9")</f>
        <v>3.9</v>
      </c>
      <c r="G3213" s="4" t="str">
        <f>HYPERLINK("http://141.218.60.56/~jnz1568/getInfo.php?workbook=10_05.xlsx&amp;sheet=U0&amp;row=3213&amp;col=7&amp;number=0.00079&amp;sourceID=14","0.00079")</f>
        <v>0.00079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HYPERLINK("http://141.218.60.56/~jnz1568/getInfo.php?workbook=10_05.xlsx&amp;sheet=U0&amp;row=3214&amp;col=6&amp;number=4&amp;sourceID=14","4")</f>
        <v>4</v>
      </c>
      <c r="G3214" s="4" t="str">
        <f>HYPERLINK("http://141.218.60.56/~jnz1568/getInfo.php?workbook=10_05.xlsx&amp;sheet=U0&amp;row=3214&amp;col=7&amp;number=0.000799&amp;sourceID=14","0.000799")</f>
        <v>0.000799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HYPERLINK("http://141.218.60.56/~jnz1568/getInfo.php?workbook=10_05.xlsx&amp;sheet=U0&amp;row=3215&amp;col=6&amp;number=4.1&amp;sourceID=14","4.1")</f>
        <v>4.1</v>
      </c>
      <c r="G3215" s="4" t="str">
        <f>HYPERLINK("http://141.218.60.56/~jnz1568/getInfo.php?workbook=10_05.xlsx&amp;sheet=U0&amp;row=3215&amp;col=7&amp;number=0.000809&amp;sourceID=14","0.000809")</f>
        <v>0.000809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HYPERLINK("http://141.218.60.56/~jnz1568/getInfo.php?workbook=10_05.xlsx&amp;sheet=U0&amp;row=3216&amp;col=6&amp;number=4.2&amp;sourceID=14","4.2")</f>
        <v>4.2</v>
      </c>
      <c r="G3216" s="4" t="str">
        <f>HYPERLINK("http://141.218.60.56/~jnz1568/getInfo.php?workbook=10_05.xlsx&amp;sheet=U0&amp;row=3216&amp;col=7&amp;number=0.00082&amp;sourceID=14","0.00082")</f>
        <v>0.00082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HYPERLINK("http://141.218.60.56/~jnz1568/getInfo.php?workbook=10_05.xlsx&amp;sheet=U0&amp;row=3217&amp;col=6&amp;number=4.3&amp;sourceID=14","4.3")</f>
        <v>4.3</v>
      </c>
      <c r="G3217" s="4" t="str">
        <f>HYPERLINK("http://141.218.60.56/~jnz1568/getInfo.php?workbook=10_05.xlsx&amp;sheet=U0&amp;row=3217&amp;col=7&amp;number=0.000833&amp;sourceID=14","0.000833")</f>
        <v>0.000833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HYPERLINK("http://141.218.60.56/~jnz1568/getInfo.php?workbook=10_05.xlsx&amp;sheet=U0&amp;row=3218&amp;col=6&amp;number=4.4&amp;sourceID=14","4.4")</f>
        <v>4.4</v>
      </c>
      <c r="G3218" s="4" t="str">
        <f>HYPERLINK("http://141.218.60.56/~jnz1568/getInfo.php?workbook=10_05.xlsx&amp;sheet=U0&amp;row=3218&amp;col=7&amp;number=0.000847&amp;sourceID=14","0.000847")</f>
        <v>0.000847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HYPERLINK("http://141.218.60.56/~jnz1568/getInfo.php?workbook=10_05.xlsx&amp;sheet=U0&amp;row=3219&amp;col=6&amp;number=4.5&amp;sourceID=14","4.5")</f>
        <v>4.5</v>
      </c>
      <c r="G3219" s="4" t="str">
        <f>HYPERLINK("http://141.218.60.56/~jnz1568/getInfo.php?workbook=10_05.xlsx&amp;sheet=U0&amp;row=3219&amp;col=7&amp;number=0.000859&amp;sourceID=14","0.000859")</f>
        <v>0.000859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HYPERLINK("http://141.218.60.56/~jnz1568/getInfo.php?workbook=10_05.xlsx&amp;sheet=U0&amp;row=3220&amp;col=6&amp;number=4.6&amp;sourceID=14","4.6")</f>
        <v>4.6</v>
      </c>
      <c r="G3220" s="4" t="str">
        <f>HYPERLINK("http://141.218.60.56/~jnz1568/getInfo.php?workbook=10_05.xlsx&amp;sheet=U0&amp;row=3220&amp;col=7&amp;number=0.000866&amp;sourceID=14","0.000866")</f>
        <v>0.000866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HYPERLINK("http://141.218.60.56/~jnz1568/getInfo.php?workbook=10_05.xlsx&amp;sheet=U0&amp;row=3221&amp;col=6&amp;number=4.7&amp;sourceID=14","4.7")</f>
        <v>4.7</v>
      </c>
      <c r="G3221" s="4" t="str">
        <f>HYPERLINK("http://141.218.60.56/~jnz1568/getInfo.php?workbook=10_05.xlsx&amp;sheet=U0&amp;row=3221&amp;col=7&amp;number=0.000864&amp;sourceID=14","0.000864")</f>
        <v>0.000864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HYPERLINK("http://141.218.60.56/~jnz1568/getInfo.php?workbook=10_05.xlsx&amp;sheet=U0&amp;row=3222&amp;col=6&amp;number=4.8&amp;sourceID=14","4.8")</f>
        <v>4.8</v>
      </c>
      <c r="G3222" s="4" t="str">
        <f>HYPERLINK("http://141.218.60.56/~jnz1568/getInfo.php?workbook=10_05.xlsx&amp;sheet=U0&amp;row=3222&amp;col=7&amp;number=0.000851&amp;sourceID=14","0.000851")</f>
        <v>0.000851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HYPERLINK("http://141.218.60.56/~jnz1568/getInfo.php?workbook=10_05.xlsx&amp;sheet=U0&amp;row=3223&amp;col=6&amp;number=4.9&amp;sourceID=14","4.9")</f>
        <v>4.9</v>
      </c>
      <c r="G3223" s="4" t="str">
        <f>HYPERLINK("http://141.218.60.56/~jnz1568/getInfo.php?workbook=10_05.xlsx&amp;sheet=U0&amp;row=3223&amp;col=7&amp;number=0.000829&amp;sourceID=14","0.000829")</f>
        <v>0.000829</v>
      </c>
    </row>
    <row r="3224" spans="1:7">
      <c r="A3224" s="3">
        <v>10</v>
      </c>
      <c r="B3224" s="3">
        <v>5</v>
      </c>
      <c r="C3224" s="3">
        <v>1</v>
      </c>
      <c r="D3224" s="3">
        <v>163</v>
      </c>
      <c r="E3224" s="3">
        <v>1</v>
      </c>
      <c r="F3224" s="4" t="str">
        <f>HYPERLINK("http://141.218.60.56/~jnz1568/getInfo.php?workbook=10_05.xlsx&amp;sheet=U0&amp;row=3224&amp;col=6&amp;number=3&amp;sourceID=14","3")</f>
        <v>3</v>
      </c>
      <c r="G3224" s="4" t="str">
        <f>HYPERLINK("http://141.218.60.56/~jnz1568/getInfo.php?workbook=10_05.xlsx&amp;sheet=U0&amp;row=3224&amp;col=7&amp;number=0.00113&amp;sourceID=14","0.00113")</f>
        <v>0.00113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HYPERLINK("http://141.218.60.56/~jnz1568/getInfo.php?workbook=10_05.xlsx&amp;sheet=U0&amp;row=3225&amp;col=6&amp;number=3.1&amp;sourceID=14","3.1")</f>
        <v>3.1</v>
      </c>
      <c r="G3225" s="4" t="str">
        <f>HYPERLINK("http://141.218.60.56/~jnz1568/getInfo.php?workbook=10_05.xlsx&amp;sheet=U0&amp;row=3225&amp;col=7&amp;number=0.00113&amp;sourceID=14","0.00113")</f>
        <v>0.00113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HYPERLINK("http://141.218.60.56/~jnz1568/getInfo.php?workbook=10_05.xlsx&amp;sheet=U0&amp;row=3226&amp;col=6&amp;number=3.2&amp;sourceID=14","3.2")</f>
        <v>3.2</v>
      </c>
      <c r="G3226" s="4" t="str">
        <f>HYPERLINK("http://141.218.60.56/~jnz1568/getInfo.php?workbook=10_05.xlsx&amp;sheet=U0&amp;row=3226&amp;col=7&amp;number=0.00114&amp;sourceID=14","0.00114")</f>
        <v>0.00114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HYPERLINK("http://141.218.60.56/~jnz1568/getInfo.php?workbook=10_05.xlsx&amp;sheet=U0&amp;row=3227&amp;col=6&amp;number=3.3&amp;sourceID=14","3.3")</f>
        <v>3.3</v>
      </c>
      <c r="G3227" s="4" t="str">
        <f>HYPERLINK("http://141.218.60.56/~jnz1568/getInfo.php?workbook=10_05.xlsx&amp;sheet=U0&amp;row=3227&amp;col=7&amp;number=0.00116&amp;sourceID=14","0.00116")</f>
        <v>0.00116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HYPERLINK("http://141.218.60.56/~jnz1568/getInfo.php?workbook=10_05.xlsx&amp;sheet=U0&amp;row=3228&amp;col=6&amp;number=3.4&amp;sourceID=14","3.4")</f>
        <v>3.4</v>
      </c>
      <c r="G3228" s="4" t="str">
        <f>HYPERLINK("http://141.218.60.56/~jnz1568/getInfo.php?workbook=10_05.xlsx&amp;sheet=U0&amp;row=3228&amp;col=7&amp;number=0.00117&amp;sourceID=14","0.00117")</f>
        <v>0.00117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HYPERLINK("http://141.218.60.56/~jnz1568/getInfo.php?workbook=10_05.xlsx&amp;sheet=U0&amp;row=3229&amp;col=6&amp;number=3.5&amp;sourceID=14","3.5")</f>
        <v>3.5</v>
      </c>
      <c r="G3229" s="4" t="str">
        <f>HYPERLINK("http://141.218.60.56/~jnz1568/getInfo.php?workbook=10_05.xlsx&amp;sheet=U0&amp;row=3229&amp;col=7&amp;number=0.00119&amp;sourceID=14","0.00119")</f>
        <v>0.00119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HYPERLINK("http://141.218.60.56/~jnz1568/getInfo.php?workbook=10_05.xlsx&amp;sheet=U0&amp;row=3230&amp;col=6&amp;number=3.6&amp;sourceID=14","3.6")</f>
        <v>3.6</v>
      </c>
      <c r="G3230" s="4" t="str">
        <f>HYPERLINK("http://141.218.60.56/~jnz1568/getInfo.php?workbook=10_05.xlsx&amp;sheet=U0&amp;row=3230&amp;col=7&amp;number=0.00121&amp;sourceID=14","0.00121")</f>
        <v>0.00121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HYPERLINK("http://141.218.60.56/~jnz1568/getInfo.php?workbook=10_05.xlsx&amp;sheet=U0&amp;row=3231&amp;col=6&amp;number=3.7&amp;sourceID=14","3.7")</f>
        <v>3.7</v>
      </c>
      <c r="G3231" s="4" t="str">
        <f>HYPERLINK("http://141.218.60.56/~jnz1568/getInfo.php?workbook=10_05.xlsx&amp;sheet=U0&amp;row=3231&amp;col=7&amp;number=0.00124&amp;sourceID=14","0.00124")</f>
        <v>0.00124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HYPERLINK("http://141.218.60.56/~jnz1568/getInfo.php?workbook=10_05.xlsx&amp;sheet=U0&amp;row=3232&amp;col=6&amp;number=3.8&amp;sourceID=14","3.8")</f>
        <v>3.8</v>
      </c>
      <c r="G3232" s="4" t="str">
        <f>HYPERLINK("http://141.218.60.56/~jnz1568/getInfo.php?workbook=10_05.xlsx&amp;sheet=U0&amp;row=3232&amp;col=7&amp;number=0.00127&amp;sourceID=14","0.00127")</f>
        <v>0.00127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HYPERLINK("http://141.218.60.56/~jnz1568/getInfo.php?workbook=10_05.xlsx&amp;sheet=U0&amp;row=3233&amp;col=6&amp;number=3.9&amp;sourceID=14","3.9")</f>
        <v>3.9</v>
      </c>
      <c r="G3233" s="4" t="str">
        <f>HYPERLINK("http://141.218.60.56/~jnz1568/getInfo.php?workbook=10_05.xlsx&amp;sheet=U0&amp;row=3233&amp;col=7&amp;number=0.0013&amp;sourceID=14","0.0013")</f>
        <v>0.0013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HYPERLINK("http://141.218.60.56/~jnz1568/getInfo.php?workbook=10_05.xlsx&amp;sheet=U0&amp;row=3234&amp;col=6&amp;number=4&amp;sourceID=14","4")</f>
        <v>4</v>
      </c>
      <c r="G3234" s="4" t="str">
        <f>HYPERLINK("http://141.218.60.56/~jnz1568/getInfo.php?workbook=10_05.xlsx&amp;sheet=U0&amp;row=3234&amp;col=7&amp;number=0.00133&amp;sourceID=14","0.00133")</f>
        <v>0.00133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HYPERLINK("http://141.218.60.56/~jnz1568/getInfo.php?workbook=10_05.xlsx&amp;sheet=U0&amp;row=3235&amp;col=6&amp;number=4.1&amp;sourceID=14","4.1")</f>
        <v>4.1</v>
      </c>
      <c r="G3235" s="4" t="str">
        <f>HYPERLINK("http://141.218.60.56/~jnz1568/getInfo.php?workbook=10_05.xlsx&amp;sheet=U0&amp;row=3235&amp;col=7&amp;number=0.00136&amp;sourceID=14","0.00136")</f>
        <v>0.00136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HYPERLINK("http://141.218.60.56/~jnz1568/getInfo.php?workbook=10_05.xlsx&amp;sheet=U0&amp;row=3236&amp;col=6&amp;number=4.2&amp;sourceID=14","4.2")</f>
        <v>4.2</v>
      </c>
      <c r="G3236" s="4" t="str">
        <f>HYPERLINK("http://141.218.60.56/~jnz1568/getInfo.php?workbook=10_05.xlsx&amp;sheet=U0&amp;row=3236&amp;col=7&amp;number=0.00138&amp;sourceID=14","0.00138")</f>
        <v>0.00138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HYPERLINK("http://141.218.60.56/~jnz1568/getInfo.php?workbook=10_05.xlsx&amp;sheet=U0&amp;row=3237&amp;col=6&amp;number=4.3&amp;sourceID=14","4.3")</f>
        <v>4.3</v>
      </c>
      <c r="G3237" s="4" t="str">
        <f>HYPERLINK("http://141.218.60.56/~jnz1568/getInfo.php?workbook=10_05.xlsx&amp;sheet=U0&amp;row=3237&amp;col=7&amp;number=0.00138&amp;sourceID=14","0.00138")</f>
        <v>0.00138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HYPERLINK("http://141.218.60.56/~jnz1568/getInfo.php?workbook=10_05.xlsx&amp;sheet=U0&amp;row=3238&amp;col=6&amp;number=4.4&amp;sourceID=14","4.4")</f>
        <v>4.4</v>
      </c>
      <c r="G3238" s="4" t="str">
        <f>HYPERLINK("http://141.218.60.56/~jnz1568/getInfo.php?workbook=10_05.xlsx&amp;sheet=U0&amp;row=3238&amp;col=7&amp;number=0.00136&amp;sourceID=14","0.00136")</f>
        <v>0.00136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HYPERLINK("http://141.218.60.56/~jnz1568/getInfo.php?workbook=10_05.xlsx&amp;sheet=U0&amp;row=3239&amp;col=6&amp;number=4.5&amp;sourceID=14","4.5")</f>
        <v>4.5</v>
      </c>
      <c r="G3239" s="4" t="str">
        <f>HYPERLINK("http://141.218.60.56/~jnz1568/getInfo.php?workbook=10_05.xlsx&amp;sheet=U0&amp;row=3239&amp;col=7&amp;number=0.00133&amp;sourceID=14","0.00133")</f>
        <v>0.00133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HYPERLINK("http://141.218.60.56/~jnz1568/getInfo.php?workbook=10_05.xlsx&amp;sheet=U0&amp;row=3240&amp;col=6&amp;number=4.6&amp;sourceID=14","4.6")</f>
        <v>4.6</v>
      </c>
      <c r="G3240" s="4" t="str">
        <f>HYPERLINK("http://141.218.60.56/~jnz1568/getInfo.php?workbook=10_05.xlsx&amp;sheet=U0&amp;row=3240&amp;col=7&amp;number=0.00129&amp;sourceID=14","0.00129")</f>
        <v>0.00129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HYPERLINK("http://141.218.60.56/~jnz1568/getInfo.php?workbook=10_05.xlsx&amp;sheet=U0&amp;row=3241&amp;col=6&amp;number=4.7&amp;sourceID=14","4.7")</f>
        <v>4.7</v>
      </c>
      <c r="G3241" s="4" t="str">
        <f>HYPERLINK("http://141.218.60.56/~jnz1568/getInfo.php?workbook=10_05.xlsx&amp;sheet=U0&amp;row=3241&amp;col=7&amp;number=0.00124&amp;sourceID=14","0.00124")</f>
        <v>0.00124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HYPERLINK("http://141.218.60.56/~jnz1568/getInfo.php?workbook=10_05.xlsx&amp;sheet=U0&amp;row=3242&amp;col=6&amp;number=4.8&amp;sourceID=14","4.8")</f>
        <v>4.8</v>
      </c>
      <c r="G3242" s="4" t="str">
        <f>HYPERLINK("http://141.218.60.56/~jnz1568/getInfo.php?workbook=10_05.xlsx&amp;sheet=U0&amp;row=3242&amp;col=7&amp;number=0.00118&amp;sourceID=14","0.00118")</f>
        <v>0.00118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HYPERLINK("http://141.218.60.56/~jnz1568/getInfo.php?workbook=10_05.xlsx&amp;sheet=U0&amp;row=3243&amp;col=6&amp;number=4.9&amp;sourceID=14","4.9")</f>
        <v>4.9</v>
      </c>
      <c r="G3243" s="4" t="str">
        <f>HYPERLINK("http://141.218.60.56/~jnz1568/getInfo.php?workbook=10_05.xlsx&amp;sheet=U0&amp;row=3243&amp;col=7&amp;number=0.00112&amp;sourceID=14","0.00112")</f>
        <v>0.00112</v>
      </c>
    </row>
    <row r="3244" spans="1:7">
      <c r="A3244" s="3">
        <v>10</v>
      </c>
      <c r="B3244" s="3">
        <v>5</v>
      </c>
      <c r="C3244" s="3">
        <v>1</v>
      </c>
      <c r="D3244" s="3">
        <v>164</v>
      </c>
      <c r="E3244" s="3">
        <v>1</v>
      </c>
      <c r="F3244" s="4" t="str">
        <f>HYPERLINK("http://141.218.60.56/~jnz1568/getInfo.php?workbook=10_05.xlsx&amp;sheet=U0&amp;row=3244&amp;col=6&amp;number=3&amp;sourceID=14","3")</f>
        <v>3</v>
      </c>
      <c r="G3244" s="4" t="str">
        <f>HYPERLINK("http://141.218.60.56/~jnz1568/getInfo.php?workbook=10_05.xlsx&amp;sheet=U0&amp;row=3244&amp;col=7&amp;number=0.00553&amp;sourceID=14","0.00553")</f>
        <v>0.00553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HYPERLINK("http://141.218.60.56/~jnz1568/getInfo.php?workbook=10_05.xlsx&amp;sheet=U0&amp;row=3245&amp;col=6&amp;number=3.1&amp;sourceID=14","3.1")</f>
        <v>3.1</v>
      </c>
      <c r="G3245" s="4" t="str">
        <f>HYPERLINK("http://141.218.60.56/~jnz1568/getInfo.php?workbook=10_05.xlsx&amp;sheet=U0&amp;row=3245&amp;col=7&amp;number=0.00547&amp;sourceID=14","0.00547")</f>
        <v>0.00547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HYPERLINK("http://141.218.60.56/~jnz1568/getInfo.php?workbook=10_05.xlsx&amp;sheet=U0&amp;row=3246&amp;col=6&amp;number=3.2&amp;sourceID=14","3.2")</f>
        <v>3.2</v>
      </c>
      <c r="G3246" s="4" t="str">
        <f>HYPERLINK("http://141.218.60.56/~jnz1568/getInfo.php?workbook=10_05.xlsx&amp;sheet=U0&amp;row=3246&amp;col=7&amp;number=0.0054&amp;sourceID=14","0.0054")</f>
        <v>0.0054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HYPERLINK("http://141.218.60.56/~jnz1568/getInfo.php?workbook=10_05.xlsx&amp;sheet=U0&amp;row=3247&amp;col=6&amp;number=3.3&amp;sourceID=14","3.3")</f>
        <v>3.3</v>
      </c>
      <c r="G3247" s="4" t="str">
        <f>HYPERLINK("http://141.218.60.56/~jnz1568/getInfo.php?workbook=10_05.xlsx&amp;sheet=U0&amp;row=3247&amp;col=7&amp;number=0.00531&amp;sourceID=14","0.00531")</f>
        <v>0.00531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HYPERLINK("http://141.218.60.56/~jnz1568/getInfo.php?workbook=10_05.xlsx&amp;sheet=U0&amp;row=3248&amp;col=6&amp;number=3.4&amp;sourceID=14","3.4")</f>
        <v>3.4</v>
      </c>
      <c r="G3248" s="4" t="str">
        <f>HYPERLINK("http://141.218.60.56/~jnz1568/getInfo.php?workbook=10_05.xlsx&amp;sheet=U0&amp;row=3248&amp;col=7&amp;number=0.0052&amp;sourceID=14","0.0052")</f>
        <v>0.0052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HYPERLINK("http://141.218.60.56/~jnz1568/getInfo.php?workbook=10_05.xlsx&amp;sheet=U0&amp;row=3249&amp;col=6&amp;number=3.5&amp;sourceID=14","3.5")</f>
        <v>3.5</v>
      </c>
      <c r="G3249" s="4" t="str">
        <f>HYPERLINK("http://141.218.60.56/~jnz1568/getInfo.php?workbook=10_05.xlsx&amp;sheet=U0&amp;row=3249&amp;col=7&amp;number=0.00507&amp;sourceID=14","0.00507")</f>
        <v>0.00507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HYPERLINK("http://141.218.60.56/~jnz1568/getInfo.php?workbook=10_05.xlsx&amp;sheet=U0&amp;row=3250&amp;col=6&amp;number=3.6&amp;sourceID=14","3.6")</f>
        <v>3.6</v>
      </c>
      <c r="G3250" s="4" t="str">
        <f>HYPERLINK("http://141.218.60.56/~jnz1568/getInfo.php?workbook=10_05.xlsx&amp;sheet=U0&amp;row=3250&amp;col=7&amp;number=0.00492&amp;sourceID=14","0.00492")</f>
        <v>0.00492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HYPERLINK("http://141.218.60.56/~jnz1568/getInfo.php?workbook=10_05.xlsx&amp;sheet=U0&amp;row=3251&amp;col=6&amp;number=3.7&amp;sourceID=14","3.7")</f>
        <v>3.7</v>
      </c>
      <c r="G3251" s="4" t="str">
        <f>HYPERLINK("http://141.218.60.56/~jnz1568/getInfo.php?workbook=10_05.xlsx&amp;sheet=U0&amp;row=3251&amp;col=7&amp;number=0.00474&amp;sourceID=14","0.00474")</f>
        <v>0.00474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HYPERLINK("http://141.218.60.56/~jnz1568/getInfo.php?workbook=10_05.xlsx&amp;sheet=U0&amp;row=3252&amp;col=6&amp;number=3.8&amp;sourceID=14","3.8")</f>
        <v>3.8</v>
      </c>
      <c r="G3252" s="4" t="str">
        <f>HYPERLINK("http://141.218.60.56/~jnz1568/getInfo.php?workbook=10_05.xlsx&amp;sheet=U0&amp;row=3252&amp;col=7&amp;number=0.00455&amp;sourceID=14","0.00455")</f>
        <v>0.00455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HYPERLINK("http://141.218.60.56/~jnz1568/getInfo.php?workbook=10_05.xlsx&amp;sheet=U0&amp;row=3253&amp;col=6&amp;number=3.9&amp;sourceID=14","3.9")</f>
        <v>3.9</v>
      </c>
      <c r="G3253" s="4" t="str">
        <f>HYPERLINK("http://141.218.60.56/~jnz1568/getInfo.php?workbook=10_05.xlsx&amp;sheet=U0&amp;row=3253&amp;col=7&amp;number=0.00435&amp;sourceID=14","0.00435")</f>
        <v>0.00435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HYPERLINK("http://141.218.60.56/~jnz1568/getInfo.php?workbook=10_05.xlsx&amp;sheet=U0&amp;row=3254&amp;col=6&amp;number=4&amp;sourceID=14","4")</f>
        <v>4</v>
      </c>
      <c r="G3254" s="4" t="str">
        <f>HYPERLINK("http://141.218.60.56/~jnz1568/getInfo.php?workbook=10_05.xlsx&amp;sheet=U0&amp;row=3254&amp;col=7&amp;number=0.00417&amp;sourceID=14","0.00417")</f>
        <v>0.00417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HYPERLINK("http://141.218.60.56/~jnz1568/getInfo.php?workbook=10_05.xlsx&amp;sheet=U0&amp;row=3255&amp;col=6&amp;number=4.1&amp;sourceID=14","4.1")</f>
        <v>4.1</v>
      </c>
      <c r="G3255" s="4" t="str">
        <f>HYPERLINK("http://141.218.60.56/~jnz1568/getInfo.php?workbook=10_05.xlsx&amp;sheet=U0&amp;row=3255&amp;col=7&amp;number=0.00402&amp;sourceID=14","0.00402")</f>
        <v>0.00402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HYPERLINK("http://141.218.60.56/~jnz1568/getInfo.php?workbook=10_05.xlsx&amp;sheet=U0&amp;row=3256&amp;col=6&amp;number=4.2&amp;sourceID=14","4.2")</f>
        <v>4.2</v>
      </c>
      <c r="G3256" s="4" t="str">
        <f>HYPERLINK("http://141.218.60.56/~jnz1568/getInfo.php?workbook=10_05.xlsx&amp;sheet=U0&amp;row=3256&amp;col=7&amp;number=0.00387&amp;sourceID=14","0.00387")</f>
        <v>0.00387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HYPERLINK("http://141.218.60.56/~jnz1568/getInfo.php?workbook=10_05.xlsx&amp;sheet=U0&amp;row=3257&amp;col=6&amp;number=4.3&amp;sourceID=14","4.3")</f>
        <v>4.3</v>
      </c>
      <c r="G3257" s="4" t="str">
        <f>HYPERLINK("http://141.218.60.56/~jnz1568/getInfo.php?workbook=10_05.xlsx&amp;sheet=U0&amp;row=3257&amp;col=7&amp;number=0.00371&amp;sourceID=14","0.00371")</f>
        <v>0.00371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HYPERLINK("http://141.218.60.56/~jnz1568/getInfo.php?workbook=10_05.xlsx&amp;sheet=U0&amp;row=3258&amp;col=6&amp;number=4.4&amp;sourceID=14","4.4")</f>
        <v>4.4</v>
      </c>
      <c r="G3258" s="4" t="str">
        <f>HYPERLINK("http://141.218.60.56/~jnz1568/getInfo.php?workbook=10_05.xlsx&amp;sheet=U0&amp;row=3258&amp;col=7&amp;number=0.00352&amp;sourceID=14","0.00352")</f>
        <v>0.00352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HYPERLINK("http://141.218.60.56/~jnz1568/getInfo.php?workbook=10_05.xlsx&amp;sheet=U0&amp;row=3259&amp;col=6&amp;number=4.5&amp;sourceID=14","4.5")</f>
        <v>4.5</v>
      </c>
      <c r="G3259" s="4" t="str">
        <f>HYPERLINK("http://141.218.60.56/~jnz1568/getInfo.php?workbook=10_05.xlsx&amp;sheet=U0&amp;row=3259&amp;col=7&amp;number=0.00331&amp;sourceID=14","0.00331")</f>
        <v>0.00331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HYPERLINK("http://141.218.60.56/~jnz1568/getInfo.php?workbook=10_05.xlsx&amp;sheet=U0&amp;row=3260&amp;col=6&amp;number=4.6&amp;sourceID=14","4.6")</f>
        <v>4.6</v>
      </c>
      <c r="G3260" s="4" t="str">
        <f>HYPERLINK("http://141.218.60.56/~jnz1568/getInfo.php?workbook=10_05.xlsx&amp;sheet=U0&amp;row=3260&amp;col=7&amp;number=0.00311&amp;sourceID=14","0.00311")</f>
        <v>0.00311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HYPERLINK("http://141.218.60.56/~jnz1568/getInfo.php?workbook=10_05.xlsx&amp;sheet=U0&amp;row=3261&amp;col=6&amp;number=4.7&amp;sourceID=14","4.7")</f>
        <v>4.7</v>
      </c>
      <c r="G3261" s="4" t="str">
        <f>HYPERLINK("http://141.218.60.56/~jnz1568/getInfo.php?workbook=10_05.xlsx&amp;sheet=U0&amp;row=3261&amp;col=7&amp;number=0.0029&amp;sourceID=14","0.0029")</f>
        <v>0.0029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HYPERLINK("http://141.218.60.56/~jnz1568/getInfo.php?workbook=10_05.xlsx&amp;sheet=U0&amp;row=3262&amp;col=6&amp;number=4.8&amp;sourceID=14","4.8")</f>
        <v>4.8</v>
      </c>
      <c r="G3262" s="4" t="str">
        <f>HYPERLINK("http://141.218.60.56/~jnz1568/getInfo.php?workbook=10_05.xlsx&amp;sheet=U0&amp;row=3262&amp;col=7&amp;number=0.0027&amp;sourceID=14","0.0027")</f>
        <v>0.0027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HYPERLINK("http://141.218.60.56/~jnz1568/getInfo.php?workbook=10_05.xlsx&amp;sheet=U0&amp;row=3263&amp;col=6&amp;number=4.9&amp;sourceID=14","4.9")</f>
        <v>4.9</v>
      </c>
      <c r="G3263" s="4" t="str">
        <f>HYPERLINK("http://141.218.60.56/~jnz1568/getInfo.php?workbook=10_05.xlsx&amp;sheet=U0&amp;row=3263&amp;col=7&amp;number=0.0025&amp;sourceID=14","0.0025")</f>
        <v>0.0025</v>
      </c>
    </row>
    <row r="3264" spans="1:7">
      <c r="A3264" s="3">
        <v>10</v>
      </c>
      <c r="B3264" s="3">
        <v>5</v>
      </c>
      <c r="C3264" s="3">
        <v>1</v>
      </c>
      <c r="D3264" s="3">
        <v>165</v>
      </c>
      <c r="E3264" s="3">
        <v>1</v>
      </c>
      <c r="F3264" s="4" t="str">
        <f>HYPERLINK("http://141.218.60.56/~jnz1568/getInfo.php?workbook=10_05.xlsx&amp;sheet=U0&amp;row=3264&amp;col=6&amp;number=3&amp;sourceID=14","3")</f>
        <v>3</v>
      </c>
      <c r="G3264" s="4" t="str">
        <f>HYPERLINK("http://141.218.60.56/~jnz1568/getInfo.php?workbook=10_05.xlsx&amp;sheet=U0&amp;row=3264&amp;col=7&amp;number=0.00551&amp;sourceID=14","0.00551")</f>
        <v>0.00551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HYPERLINK("http://141.218.60.56/~jnz1568/getInfo.php?workbook=10_05.xlsx&amp;sheet=U0&amp;row=3265&amp;col=6&amp;number=3.1&amp;sourceID=14","3.1")</f>
        <v>3.1</v>
      </c>
      <c r="G3265" s="4" t="str">
        <f>HYPERLINK("http://141.218.60.56/~jnz1568/getInfo.php?workbook=10_05.xlsx&amp;sheet=U0&amp;row=3265&amp;col=7&amp;number=0.00544&amp;sourceID=14","0.00544")</f>
        <v>0.00544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HYPERLINK("http://141.218.60.56/~jnz1568/getInfo.php?workbook=10_05.xlsx&amp;sheet=U0&amp;row=3266&amp;col=6&amp;number=3.2&amp;sourceID=14","3.2")</f>
        <v>3.2</v>
      </c>
      <c r="G3266" s="4" t="str">
        <f>HYPERLINK("http://141.218.60.56/~jnz1568/getInfo.php?workbook=10_05.xlsx&amp;sheet=U0&amp;row=3266&amp;col=7&amp;number=0.00537&amp;sourceID=14","0.00537")</f>
        <v>0.00537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HYPERLINK("http://141.218.60.56/~jnz1568/getInfo.php?workbook=10_05.xlsx&amp;sheet=U0&amp;row=3267&amp;col=6&amp;number=3.3&amp;sourceID=14","3.3")</f>
        <v>3.3</v>
      </c>
      <c r="G3267" s="4" t="str">
        <f>HYPERLINK("http://141.218.60.56/~jnz1568/getInfo.php?workbook=10_05.xlsx&amp;sheet=U0&amp;row=3267&amp;col=7&amp;number=0.00527&amp;sourceID=14","0.00527")</f>
        <v>0.00527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HYPERLINK("http://141.218.60.56/~jnz1568/getInfo.php?workbook=10_05.xlsx&amp;sheet=U0&amp;row=3268&amp;col=6&amp;number=3.4&amp;sourceID=14","3.4")</f>
        <v>3.4</v>
      </c>
      <c r="G3268" s="4" t="str">
        <f>HYPERLINK("http://141.218.60.56/~jnz1568/getInfo.php?workbook=10_05.xlsx&amp;sheet=U0&amp;row=3268&amp;col=7&amp;number=0.00515&amp;sourceID=14","0.00515")</f>
        <v>0.00515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HYPERLINK("http://141.218.60.56/~jnz1568/getInfo.php?workbook=10_05.xlsx&amp;sheet=U0&amp;row=3269&amp;col=6&amp;number=3.5&amp;sourceID=14","3.5")</f>
        <v>3.5</v>
      </c>
      <c r="G3269" s="4" t="str">
        <f>HYPERLINK("http://141.218.60.56/~jnz1568/getInfo.php?workbook=10_05.xlsx&amp;sheet=U0&amp;row=3269&amp;col=7&amp;number=0.00501&amp;sourceID=14","0.00501")</f>
        <v>0.00501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HYPERLINK("http://141.218.60.56/~jnz1568/getInfo.php?workbook=10_05.xlsx&amp;sheet=U0&amp;row=3270&amp;col=6&amp;number=3.6&amp;sourceID=14","3.6")</f>
        <v>3.6</v>
      </c>
      <c r="G3270" s="4" t="str">
        <f>HYPERLINK("http://141.218.60.56/~jnz1568/getInfo.php?workbook=10_05.xlsx&amp;sheet=U0&amp;row=3270&amp;col=7&amp;number=0.00485&amp;sourceID=14","0.00485")</f>
        <v>0.00485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HYPERLINK("http://141.218.60.56/~jnz1568/getInfo.php?workbook=10_05.xlsx&amp;sheet=U0&amp;row=3271&amp;col=6&amp;number=3.7&amp;sourceID=14","3.7")</f>
        <v>3.7</v>
      </c>
      <c r="G3271" s="4" t="str">
        <f>HYPERLINK("http://141.218.60.56/~jnz1568/getInfo.php?workbook=10_05.xlsx&amp;sheet=U0&amp;row=3271&amp;col=7&amp;number=0.00467&amp;sourceID=14","0.00467")</f>
        <v>0.00467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HYPERLINK("http://141.218.60.56/~jnz1568/getInfo.php?workbook=10_05.xlsx&amp;sheet=U0&amp;row=3272&amp;col=6&amp;number=3.8&amp;sourceID=14","3.8")</f>
        <v>3.8</v>
      </c>
      <c r="G3272" s="4" t="str">
        <f>HYPERLINK("http://141.218.60.56/~jnz1568/getInfo.php?workbook=10_05.xlsx&amp;sheet=U0&amp;row=3272&amp;col=7&amp;number=0.00447&amp;sourceID=14","0.00447")</f>
        <v>0.00447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HYPERLINK("http://141.218.60.56/~jnz1568/getInfo.php?workbook=10_05.xlsx&amp;sheet=U0&amp;row=3273&amp;col=6&amp;number=3.9&amp;sourceID=14","3.9")</f>
        <v>3.9</v>
      </c>
      <c r="G3273" s="4" t="str">
        <f>HYPERLINK("http://141.218.60.56/~jnz1568/getInfo.php?workbook=10_05.xlsx&amp;sheet=U0&amp;row=3273&amp;col=7&amp;number=0.00427&amp;sourceID=14","0.00427")</f>
        <v>0.00427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HYPERLINK("http://141.218.60.56/~jnz1568/getInfo.php?workbook=10_05.xlsx&amp;sheet=U0&amp;row=3274&amp;col=6&amp;number=4&amp;sourceID=14","4")</f>
        <v>4</v>
      </c>
      <c r="G3274" s="4" t="str">
        <f>HYPERLINK("http://141.218.60.56/~jnz1568/getInfo.php?workbook=10_05.xlsx&amp;sheet=U0&amp;row=3274&amp;col=7&amp;number=0.0041&amp;sourceID=14","0.0041")</f>
        <v>0.0041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HYPERLINK("http://141.218.60.56/~jnz1568/getInfo.php?workbook=10_05.xlsx&amp;sheet=U0&amp;row=3275&amp;col=6&amp;number=4.1&amp;sourceID=14","4.1")</f>
        <v>4.1</v>
      </c>
      <c r="G3275" s="4" t="str">
        <f>HYPERLINK("http://141.218.60.56/~jnz1568/getInfo.php?workbook=10_05.xlsx&amp;sheet=U0&amp;row=3275&amp;col=7&amp;number=0.00395&amp;sourceID=14","0.00395")</f>
        <v>0.00395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HYPERLINK("http://141.218.60.56/~jnz1568/getInfo.php?workbook=10_05.xlsx&amp;sheet=U0&amp;row=3276&amp;col=6&amp;number=4.2&amp;sourceID=14","4.2")</f>
        <v>4.2</v>
      </c>
      <c r="G3276" s="4" t="str">
        <f>HYPERLINK("http://141.218.60.56/~jnz1568/getInfo.php?workbook=10_05.xlsx&amp;sheet=U0&amp;row=3276&amp;col=7&amp;number=0.00381&amp;sourceID=14","0.00381")</f>
        <v>0.00381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HYPERLINK("http://141.218.60.56/~jnz1568/getInfo.php?workbook=10_05.xlsx&amp;sheet=U0&amp;row=3277&amp;col=6&amp;number=4.3&amp;sourceID=14","4.3")</f>
        <v>4.3</v>
      </c>
      <c r="G3277" s="4" t="str">
        <f>HYPERLINK("http://141.218.60.56/~jnz1568/getInfo.php?workbook=10_05.xlsx&amp;sheet=U0&amp;row=3277&amp;col=7&amp;number=0.00365&amp;sourceID=14","0.00365")</f>
        <v>0.00365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HYPERLINK("http://141.218.60.56/~jnz1568/getInfo.php?workbook=10_05.xlsx&amp;sheet=U0&amp;row=3278&amp;col=6&amp;number=4.4&amp;sourceID=14","4.4")</f>
        <v>4.4</v>
      </c>
      <c r="G3278" s="4" t="str">
        <f>HYPERLINK("http://141.218.60.56/~jnz1568/getInfo.php?workbook=10_05.xlsx&amp;sheet=U0&amp;row=3278&amp;col=7&amp;number=0.00344&amp;sourceID=14","0.00344")</f>
        <v>0.00344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HYPERLINK("http://141.218.60.56/~jnz1568/getInfo.php?workbook=10_05.xlsx&amp;sheet=U0&amp;row=3279&amp;col=6&amp;number=4.5&amp;sourceID=14","4.5")</f>
        <v>4.5</v>
      </c>
      <c r="G3279" s="4" t="str">
        <f>HYPERLINK("http://141.218.60.56/~jnz1568/getInfo.php?workbook=10_05.xlsx&amp;sheet=U0&amp;row=3279&amp;col=7&amp;number=0.0032&amp;sourceID=14","0.0032")</f>
        <v>0.0032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HYPERLINK("http://141.218.60.56/~jnz1568/getInfo.php?workbook=10_05.xlsx&amp;sheet=U0&amp;row=3280&amp;col=6&amp;number=4.6&amp;sourceID=14","4.6")</f>
        <v>4.6</v>
      </c>
      <c r="G3280" s="4" t="str">
        <f>HYPERLINK("http://141.218.60.56/~jnz1568/getInfo.php?workbook=10_05.xlsx&amp;sheet=U0&amp;row=3280&amp;col=7&amp;number=0.00294&amp;sourceID=14","0.00294")</f>
        <v>0.00294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HYPERLINK("http://141.218.60.56/~jnz1568/getInfo.php?workbook=10_05.xlsx&amp;sheet=U0&amp;row=3281&amp;col=6&amp;number=4.7&amp;sourceID=14","4.7")</f>
        <v>4.7</v>
      </c>
      <c r="G3281" s="4" t="str">
        <f>HYPERLINK("http://141.218.60.56/~jnz1568/getInfo.php?workbook=10_05.xlsx&amp;sheet=U0&amp;row=3281&amp;col=7&amp;number=0.00267&amp;sourceID=14","0.00267")</f>
        <v>0.00267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HYPERLINK("http://141.218.60.56/~jnz1568/getInfo.php?workbook=10_05.xlsx&amp;sheet=U0&amp;row=3282&amp;col=6&amp;number=4.8&amp;sourceID=14","4.8")</f>
        <v>4.8</v>
      </c>
      <c r="G3282" s="4" t="str">
        <f>HYPERLINK("http://141.218.60.56/~jnz1568/getInfo.php?workbook=10_05.xlsx&amp;sheet=U0&amp;row=3282&amp;col=7&amp;number=0.00241&amp;sourceID=14","0.00241")</f>
        <v>0.00241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HYPERLINK("http://141.218.60.56/~jnz1568/getInfo.php?workbook=10_05.xlsx&amp;sheet=U0&amp;row=3283&amp;col=6&amp;number=4.9&amp;sourceID=14","4.9")</f>
        <v>4.9</v>
      </c>
      <c r="G3283" s="4" t="str">
        <f>HYPERLINK("http://141.218.60.56/~jnz1568/getInfo.php?workbook=10_05.xlsx&amp;sheet=U0&amp;row=3283&amp;col=7&amp;number=0.00216&amp;sourceID=14","0.00216")</f>
        <v>0.00216</v>
      </c>
    </row>
    <row r="3284" spans="1:7">
      <c r="A3284" s="3">
        <v>10</v>
      </c>
      <c r="B3284" s="3">
        <v>5</v>
      </c>
      <c r="C3284" s="3">
        <v>1</v>
      </c>
      <c r="D3284" s="3">
        <v>166</v>
      </c>
      <c r="E3284" s="3">
        <v>1</v>
      </c>
      <c r="F3284" s="4" t="str">
        <f>HYPERLINK("http://141.218.60.56/~jnz1568/getInfo.php?workbook=10_05.xlsx&amp;sheet=U0&amp;row=3284&amp;col=6&amp;number=3&amp;sourceID=14","3")</f>
        <v>3</v>
      </c>
      <c r="G3284" s="4" t="str">
        <f>HYPERLINK("http://141.218.60.56/~jnz1568/getInfo.php?workbook=10_05.xlsx&amp;sheet=U0&amp;row=3284&amp;col=7&amp;number=0.0102&amp;sourceID=14","0.0102")</f>
        <v>0.0102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HYPERLINK("http://141.218.60.56/~jnz1568/getInfo.php?workbook=10_05.xlsx&amp;sheet=U0&amp;row=3285&amp;col=6&amp;number=3.1&amp;sourceID=14","3.1")</f>
        <v>3.1</v>
      </c>
      <c r="G3285" s="4" t="str">
        <f>HYPERLINK("http://141.218.60.56/~jnz1568/getInfo.php?workbook=10_05.xlsx&amp;sheet=U0&amp;row=3285&amp;col=7&amp;number=0.0102&amp;sourceID=14","0.0102")</f>
        <v>0.0102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HYPERLINK("http://141.218.60.56/~jnz1568/getInfo.php?workbook=10_05.xlsx&amp;sheet=U0&amp;row=3286&amp;col=6&amp;number=3.2&amp;sourceID=14","3.2")</f>
        <v>3.2</v>
      </c>
      <c r="G3286" s="4" t="str">
        <f>HYPERLINK("http://141.218.60.56/~jnz1568/getInfo.php?workbook=10_05.xlsx&amp;sheet=U0&amp;row=3286&amp;col=7&amp;number=0.0102&amp;sourceID=14","0.0102")</f>
        <v>0.0102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HYPERLINK("http://141.218.60.56/~jnz1568/getInfo.php?workbook=10_05.xlsx&amp;sheet=U0&amp;row=3287&amp;col=6&amp;number=3.3&amp;sourceID=14","3.3")</f>
        <v>3.3</v>
      </c>
      <c r="G3287" s="4" t="str">
        <f>HYPERLINK("http://141.218.60.56/~jnz1568/getInfo.php?workbook=10_05.xlsx&amp;sheet=U0&amp;row=3287&amp;col=7&amp;number=0.0102&amp;sourceID=14","0.0102")</f>
        <v>0.0102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HYPERLINK("http://141.218.60.56/~jnz1568/getInfo.php?workbook=10_05.xlsx&amp;sheet=U0&amp;row=3288&amp;col=6&amp;number=3.4&amp;sourceID=14","3.4")</f>
        <v>3.4</v>
      </c>
      <c r="G3288" s="4" t="str">
        <f>HYPERLINK("http://141.218.60.56/~jnz1568/getInfo.php?workbook=10_05.xlsx&amp;sheet=U0&amp;row=3288&amp;col=7&amp;number=0.0102&amp;sourceID=14","0.0102")</f>
        <v>0.0102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HYPERLINK("http://141.218.60.56/~jnz1568/getInfo.php?workbook=10_05.xlsx&amp;sheet=U0&amp;row=3289&amp;col=6&amp;number=3.5&amp;sourceID=14","3.5")</f>
        <v>3.5</v>
      </c>
      <c r="G3289" s="4" t="str">
        <f>HYPERLINK("http://141.218.60.56/~jnz1568/getInfo.php?workbook=10_05.xlsx&amp;sheet=U0&amp;row=3289&amp;col=7&amp;number=0.0103&amp;sourceID=14","0.0103")</f>
        <v>0.0103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HYPERLINK("http://141.218.60.56/~jnz1568/getInfo.php?workbook=10_05.xlsx&amp;sheet=U0&amp;row=3290&amp;col=6&amp;number=3.6&amp;sourceID=14","3.6")</f>
        <v>3.6</v>
      </c>
      <c r="G3290" s="4" t="str">
        <f>HYPERLINK("http://141.218.60.56/~jnz1568/getInfo.php?workbook=10_05.xlsx&amp;sheet=U0&amp;row=3290&amp;col=7&amp;number=0.0103&amp;sourceID=14","0.0103")</f>
        <v>0.0103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HYPERLINK("http://141.218.60.56/~jnz1568/getInfo.php?workbook=10_05.xlsx&amp;sheet=U0&amp;row=3291&amp;col=6&amp;number=3.7&amp;sourceID=14","3.7")</f>
        <v>3.7</v>
      </c>
      <c r="G3291" s="4" t="str">
        <f>HYPERLINK("http://141.218.60.56/~jnz1568/getInfo.php?workbook=10_05.xlsx&amp;sheet=U0&amp;row=3291&amp;col=7&amp;number=0.0103&amp;sourceID=14","0.0103")</f>
        <v>0.0103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HYPERLINK("http://141.218.60.56/~jnz1568/getInfo.php?workbook=10_05.xlsx&amp;sheet=U0&amp;row=3292&amp;col=6&amp;number=3.8&amp;sourceID=14","3.8")</f>
        <v>3.8</v>
      </c>
      <c r="G3292" s="4" t="str">
        <f>HYPERLINK("http://141.218.60.56/~jnz1568/getInfo.php?workbook=10_05.xlsx&amp;sheet=U0&amp;row=3292&amp;col=7&amp;number=0.0103&amp;sourceID=14","0.0103")</f>
        <v>0.0103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HYPERLINK("http://141.218.60.56/~jnz1568/getInfo.php?workbook=10_05.xlsx&amp;sheet=U0&amp;row=3293&amp;col=6&amp;number=3.9&amp;sourceID=14","3.9")</f>
        <v>3.9</v>
      </c>
      <c r="G3293" s="4" t="str">
        <f>HYPERLINK("http://141.218.60.56/~jnz1568/getInfo.php?workbook=10_05.xlsx&amp;sheet=U0&amp;row=3293&amp;col=7&amp;number=0.0104&amp;sourceID=14","0.0104")</f>
        <v>0.0104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HYPERLINK("http://141.218.60.56/~jnz1568/getInfo.php?workbook=10_05.xlsx&amp;sheet=U0&amp;row=3294&amp;col=6&amp;number=4&amp;sourceID=14","4")</f>
        <v>4</v>
      </c>
      <c r="G3294" s="4" t="str">
        <f>HYPERLINK("http://141.218.60.56/~jnz1568/getInfo.php?workbook=10_05.xlsx&amp;sheet=U0&amp;row=3294&amp;col=7&amp;number=0.0103&amp;sourceID=14","0.0103")</f>
        <v>0.0103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HYPERLINK("http://141.218.60.56/~jnz1568/getInfo.php?workbook=10_05.xlsx&amp;sheet=U0&amp;row=3295&amp;col=6&amp;number=4.1&amp;sourceID=14","4.1")</f>
        <v>4.1</v>
      </c>
      <c r="G3295" s="4" t="str">
        <f>HYPERLINK("http://141.218.60.56/~jnz1568/getInfo.php?workbook=10_05.xlsx&amp;sheet=U0&amp;row=3295&amp;col=7&amp;number=0.0103&amp;sourceID=14","0.0103")</f>
        <v>0.0103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HYPERLINK("http://141.218.60.56/~jnz1568/getInfo.php?workbook=10_05.xlsx&amp;sheet=U0&amp;row=3296&amp;col=6&amp;number=4.2&amp;sourceID=14","4.2")</f>
        <v>4.2</v>
      </c>
      <c r="G3296" s="4" t="str">
        <f>HYPERLINK("http://141.218.60.56/~jnz1568/getInfo.php?workbook=10_05.xlsx&amp;sheet=U0&amp;row=3296&amp;col=7&amp;number=0.0101&amp;sourceID=14","0.0101")</f>
        <v>0.0101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HYPERLINK("http://141.218.60.56/~jnz1568/getInfo.php?workbook=10_05.xlsx&amp;sheet=U0&amp;row=3297&amp;col=6&amp;number=4.3&amp;sourceID=14","4.3")</f>
        <v>4.3</v>
      </c>
      <c r="G3297" s="4" t="str">
        <f>HYPERLINK("http://141.218.60.56/~jnz1568/getInfo.php?workbook=10_05.xlsx&amp;sheet=U0&amp;row=3297&amp;col=7&amp;number=0.00995&amp;sourceID=14","0.00995")</f>
        <v>0.00995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HYPERLINK("http://141.218.60.56/~jnz1568/getInfo.php?workbook=10_05.xlsx&amp;sheet=U0&amp;row=3298&amp;col=6&amp;number=4.4&amp;sourceID=14","4.4")</f>
        <v>4.4</v>
      </c>
      <c r="G3298" s="4" t="str">
        <f>HYPERLINK("http://141.218.60.56/~jnz1568/getInfo.php?workbook=10_05.xlsx&amp;sheet=U0&amp;row=3298&amp;col=7&amp;number=0.00974&amp;sourceID=14","0.00974")</f>
        <v>0.00974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HYPERLINK("http://141.218.60.56/~jnz1568/getInfo.php?workbook=10_05.xlsx&amp;sheet=U0&amp;row=3299&amp;col=6&amp;number=4.5&amp;sourceID=14","4.5")</f>
        <v>4.5</v>
      </c>
      <c r="G3299" s="4" t="str">
        <f>HYPERLINK("http://141.218.60.56/~jnz1568/getInfo.php?workbook=10_05.xlsx&amp;sheet=U0&amp;row=3299&amp;col=7&amp;number=0.00955&amp;sourceID=14","0.00955")</f>
        <v>0.00955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HYPERLINK("http://141.218.60.56/~jnz1568/getInfo.php?workbook=10_05.xlsx&amp;sheet=U0&amp;row=3300&amp;col=6&amp;number=4.6&amp;sourceID=14","4.6")</f>
        <v>4.6</v>
      </c>
      <c r="G3300" s="4" t="str">
        <f>HYPERLINK("http://141.218.60.56/~jnz1568/getInfo.php?workbook=10_05.xlsx&amp;sheet=U0&amp;row=3300&amp;col=7&amp;number=0.00938&amp;sourceID=14","0.00938")</f>
        <v>0.00938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HYPERLINK("http://141.218.60.56/~jnz1568/getInfo.php?workbook=10_05.xlsx&amp;sheet=U0&amp;row=3301&amp;col=6&amp;number=4.7&amp;sourceID=14","4.7")</f>
        <v>4.7</v>
      </c>
      <c r="G3301" s="4" t="str">
        <f>HYPERLINK("http://141.218.60.56/~jnz1568/getInfo.php?workbook=10_05.xlsx&amp;sheet=U0&amp;row=3301&amp;col=7&amp;number=0.0092&amp;sourceID=14","0.0092")</f>
        <v>0.0092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HYPERLINK("http://141.218.60.56/~jnz1568/getInfo.php?workbook=10_05.xlsx&amp;sheet=U0&amp;row=3302&amp;col=6&amp;number=4.8&amp;sourceID=14","4.8")</f>
        <v>4.8</v>
      </c>
      <c r="G3302" s="4" t="str">
        <f>HYPERLINK("http://141.218.60.56/~jnz1568/getInfo.php?workbook=10_05.xlsx&amp;sheet=U0&amp;row=3302&amp;col=7&amp;number=0.00901&amp;sourceID=14","0.00901")</f>
        <v>0.00901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HYPERLINK("http://141.218.60.56/~jnz1568/getInfo.php?workbook=10_05.xlsx&amp;sheet=U0&amp;row=3303&amp;col=6&amp;number=4.9&amp;sourceID=14","4.9")</f>
        <v>4.9</v>
      </c>
      <c r="G3303" s="4" t="str">
        <f>HYPERLINK("http://141.218.60.56/~jnz1568/getInfo.php?workbook=10_05.xlsx&amp;sheet=U0&amp;row=3303&amp;col=7&amp;number=0.00884&amp;sourceID=14","0.00884")</f>
        <v>0.00884</v>
      </c>
    </row>
    <row r="3304" spans="1:7">
      <c r="A3304" s="3">
        <v>10</v>
      </c>
      <c r="B3304" s="3">
        <v>5</v>
      </c>
      <c r="C3304" s="3">
        <v>1</v>
      </c>
      <c r="D3304" s="3">
        <v>167</v>
      </c>
      <c r="E3304" s="3">
        <v>1</v>
      </c>
      <c r="F3304" s="4" t="str">
        <f>HYPERLINK("http://141.218.60.56/~jnz1568/getInfo.php?workbook=10_05.xlsx&amp;sheet=U0&amp;row=3304&amp;col=6&amp;number=3&amp;sourceID=14","3")</f>
        <v>3</v>
      </c>
      <c r="G3304" s="4" t="str">
        <f>HYPERLINK("http://141.218.60.56/~jnz1568/getInfo.php?workbook=10_05.xlsx&amp;sheet=U0&amp;row=3304&amp;col=7&amp;number=0.00686&amp;sourceID=14","0.00686")</f>
        <v>0.00686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HYPERLINK("http://141.218.60.56/~jnz1568/getInfo.php?workbook=10_05.xlsx&amp;sheet=U0&amp;row=3305&amp;col=6&amp;number=3.1&amp;sourceID=14","3.1")</f>
        <v>3.1</v>
      </c>
      <c r="G3305" s="4" t="str">
        <f>HYPERLINK("http://141.218.60.56/~jnz1568/getInfo.php?workbook=10_05.xlsx&amp;sheet=U0&amp;row=3305&amp;col=7&amp;number=0.00685&amp;sourceID=14","0.00685")</f>
        <v>0.00685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HYPERLINK("http://141.218.60.56/~jnz1568/getInfo.php?workbook=10_05.xlsx&amp;sheet=U0&amp;row=3306&amp;col=6&amp;number=3.2&amp;sourceID=14","3.2")</f>
        <v>3.2</v>
      </c>
      <c r="G3306" s="4" t="str">
        <f>HYPERLINK("http://141.218.60.56/~jnz1568/getInfo.php?workbook=10_05.xlsx&amp;sheet=U0&amp;row=3306&amp;col=7&amp;number=0.00685&amp;sourceID=14","0.00685")</f>
        <v>0.00685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HYPERLINK("http://141.218.60.56/~jnz1568/getInfo.php?workbook=10_05.xlsx&amp;sheet=U0&amp;row=3307&amp;col=6&amp;number=3.3&amp;sourceID=14","3.3")</f>
        <v>3.3</v>
      </c>
      <c r="G3307" s="4" t="str">
        <f>HYPERLINK("http://141.218.60.56/~jnz1568/getInfo.php?workbook=10_05.xlsx&amp;sheet=U0&amp;row=3307&amp;col=7&amp;number=0.00684&amp;sourceID=14","0.00684")</f>
        <v>0.00684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HYPERLINK("http://141.218.60.56/~jnz1568/getInfo.php?workbook=10_05.xlsx&amp;sheet=U0&amp;row=3308&amp;col=6&amp;number=3.4&amp;sourceID=14","3.4")</f>
        <v>3.4</v>
      </c>
      <c r="G3308" s="4" t="str">
        <f>HYPERLINK("http://141.218.60.56/~jnz1568/getInfo.php?workbook=10_05.xlsx&amp;sheet=U0&amp;row=3308&amp;col=7&amp;number=0.00683&amp;sourceID=14","0.00683")</f>
        <v>0.00683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HYPERLINK("http://141.218.60.56/~jnz1568/getInfo.php?workbook=10_05.xlsx&amp;sheet=U0&amp;row=3309&amp;col=6&amp;number=3.5&amp;sourceID=14","3.5")</f>
        <v>3.5</v>
      </c>
      <c r="G3309" s="4" t="str">
        <f>HYPERLINK("http://141.218.60.56/~jnz1568/getInfo.php?workbook=10_05.xlsx&amp;sheet=U0&amp;row=3309&amp;col=7&amp;number=0.00682&amp;sourceID=14","0.00682")</f>
        <v>0.00682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HYPERLINK("http://141.218.60.56/~jnz1568/getInfo.php?workbook=10_05.xlsx&amp;sheet=U0&amp;row=3310&amp;col=6&amp;number=3.6&amp;sourceID=14","3.6")</f>
        <v>3.6</v>
      </c>
      <c r="G3310" s="4" t="str">
        <f>HYPERLINK("http://141.218.60.56/~jnz1568/getInfo.php?workbook=10_05.xlsx&amp;sheet=U0&amp;row=3310&amp;col=7&amp;number=0.0068&amp;sourceID=14","0.0068")</f>
        <v>0.0068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HYPERLINK("http://141.218.60.56/~jnz1568/getInfo.php?workbook=10_05.xlsx&amp;sheet=U0&amp;row=3311&amp;col=6&amp;number=3.7&amp;sourceID=14","3.7")</f>
        <v>3.7</v>
      </c>
      <c r="G3311" s="4" t="str">
        <f>HYPERLINK("http://141.218.60.56/~jnz1568/getInfo.php?workbook=10_05.xlsx&amp;sheet=U0&amp;row=3311&amp;col=7&amp;number=0.00678&amp;sourceID=14","0.00678")</f>
        <v>0.00678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HYPERLINK("http://141.218.60.56/~jnz1568/getInfo.php?workbook=10_05.xlsx&amp;sheet=U0&amp;row=3312&amp;col=6&amp;number=3.8&amp;sourceID=14","3.8")</f>
        <v>3.8</v>
      </c>
      <c r="G3312" s="4" t="str">
        <f>HYPERLINK("http://141.218.60.56/~jnz1568/getInfo.php?workbook=10_05.xlsx&amp;sheet=U0&amp;row=3312&amp;col=7&amp;number=0.00674&amp;sourceID=14","0.00674")</f>
        <v>0.00674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HYPERLINK("http://141.218.60.56/~jnz1568/getInfo.php?workbook=10_05.xlsx&amp;sheet=U0&amp;row=3313&amp;col=6&amp;number=3.9&amp;sourceID=14","3.9")</f>
        <v>3.9</v>
      </c>
      <c r="G3313" s="4" t="str">
        <f>HYPERLINK("http://141.218.60.56/~jnz1568/getInfo.php?workbook=10_05.xlsx&amp;sheet=U0&amp;row=3313&amp;col=7&amp;number=0.00668&amp;sourceID=14","0.00668")</f>
        <v>0.00668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HYPERLINK("http://141.218.60.56/~jnz1568/getInfo.php?workbook=10_05.xlsx&amp;sheet=U0&amp;row=3314&amp;col=6&amp;number=4&amp;sourceID=14","4")</f>
        <v>4</v>
      </c>
      <c r="G3314" s="4" t="str">
        <f>HYPERLINK("http://141.218.60.56/~jnz1568/getInfo.php?workbook=10_05.xlsx&amp;sheet=U0&amp;row=3314&amp;col=7&amp;number=0.00658&amp;sourceID=14","0.00658")</f>
        <v>0.00658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HYPERLINK("http://141.218.60.56/~jnz1568/getInfo.php?workbook=10_05.xlsx&amp;sheet=U0&amp;row=3315&amp;col=6&amp;number=4.1&amp;sourceID=14","4.1")</f>
        <v>4.1</v>
      </c>
      <c r="G3315" s="4" t="str">
        <f>HYPERLINK("http://141.218.60.56/~jnz1568/getInfo.php?workbook=10_05.xlsx&amp;sheet=U0&amp;row=3315&amp;col=7&amp;number=0.00641&amp;sourceID=14","0.00641")</f>
        <v>0.00641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HYPERLINK("http://141.218.60.56/~jnz1568/getInfo.php?workbook=10_05.xlsx&amp;sheet=U0&amp;row=3316&amp;col=6&amp;number=4.2&amp;sourceID=14","4.2")</f>
        <v>4.2</v>
      </c>
      <c r="G3316" s="4" t="str">
        <f>HYPERLINK("http://141.218.60.56/~jnz1568/getInfo.php?workbook=10_05.xlsx&amp;sheet=U0&amp;row=3316&amp;col=7&amp;number=0.00615&amp;sourceID=14","0.00615")</f>
        <v>0.00615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HYPERLINK("http://141.218.60.56/~jnz1568/getInfo.php?workbook=10_05.xlsx&amp;sheet=U0&amp;row=3317&amp;col=6&amp;number=4.3&amp;sourceID=14","4.3")</f>
        <v>4.3</v>
      </c>
      <c r="G3317" s="4" t="str">
        <f>HYPERLINK("http://141.218.60.56/~jnz1568/getInfo.php?workbook=10_05.xlsx&amp;sheet=U0&amp;row=3317&amp;col=7&amp;number=0.00577&amp;sourceID=14","0.00577")</f>
        <v>0.00577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HYPERLINK("http://141.218.60.56/~jnz1568/getInfo.php?workbook=10_05.xlsx&amp;sheet=U0&amp;row=3318&amp;col=6&amp;number=4.4&amp;sourceID=14","4.4")</f>
        <v>4.4</v>
      </c>
      <c r="G3318" s="4" t="str">
        <f>HYPERLINK("http://141.218.60.56/~jnz1568/getInfo.php?workbook=10_05.xlsx&amp;sheet=U0&amp;row=3318&amp;col=7&amp;number=0.0053&amp;sourceID=14","0.0053")</f>
        <v>0.0053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HYPERLINK("http://141.218.60.56/~jnz1568/getInfo.php?workbook=10_05.xlsx&amp;sheet=U0&amp;row=3319&amp;col=6&amp;number=4.5&amp;sourceID=14","4.5")</f>
        <v>4.5</v>
      </c>
      <c r="G3319" s="4" t="str">
        <f>HYPERLINK("http://141.218.60.56/~jnz1568/getInfo.php?workbook=10_05.xlsx&amp;sheet=U0&amp;row=3319&amp;col=7&amp;number=0.00483&amp;sourceID=14","0.00483")</f>
        <v>0.00483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HYPERLINK("http://141.218.60.56/~jnz1568/getInfo.php?workbook=10_05.xlsx&amp;sheet=U0&amp;row=3320&amp;col=6&amp;number=4.6&amp;sourceID=14","4.6")</f>
        <v>4.6</v>
      </c>
      <c r="G3320" s="4" t="str">
        <f>HYPERLINK("http://141.218.60.56/~jnz1568/getInfo.php?workbook=10_05.xlsx&amp;sheet=U0&amp;row=3320&amp;col=7&amp;number=0.00443&amp;sourceID=14","0.00443")</f>
        <v>0.00443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HYPERLINK("http://141.218.60.56/~jnz1568/getInfo.php?workbook=10_05.xlsx&amp;sheet=U0&amp;row=3321&amp;col=6&amp;number=4.7&amp;sourceID=14","4.7")</f>
        <v>4.7</v>
      </c>
      <c r="G3321" s="4" t="str">
        <f>HYPERLINK("http://141.218.60.56/~jnz1568/getInfo.php?workbook=10_05.xlsx&amp;sheet=U0&amp;row=3321&amp;col=7&amp;number=0.00406&amp;sourceID=14","0.00406")</f>
        <v>0.00406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HYPERLINK("http://141.218.60.56/~jnz1568/getInfo.php?workbook=10_05.xlsx&amp;sheet=U0&amp;row=3322&amp;col=6&amp;number=4.8&amp;sourceID=14","4.8")</f>
        <v>4.8</v>
      </c>
      <c r="G3322" s="4" t="str">
        <f>HYPERLINK("http://141.218.60.56/~jnz1568/getInfo.php?workbook=10_05.xlsx&amp;sheet=U0&amp;row=3322&amp;col=7&amp;number=0.00368&amp;sourceID=14","0.00368")</f>
        <v>0.00368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HYPERLINK("http://141.218.60.56/~jnz1568/getInfo.php?workbook=10_05.xlsx&amp;sheet=U0&amp;row=3323&amp;col=6&amp;number=4.9&amp;sourceID=14","4.9")</f>
        <v>4.9</v>
      </c>
      <c r="G3323" s="4" t="str">
        <f>HYPERLINK("http://141.218.60.56/~jnz1568/getInfo.php?workbook=10_05.xlsx&amp;sheet=U0&amp;row=3323&amp;col=7&amp;number=0.00331&amp;sourceID=14","0.00331")</f>
        <v>0.00331</v>
      </c>
    </row>
    <row r="3324" spans="1:7">
      <c r="A3324" s="3">
        <v>10</v>
      </c>
      <c r="B3324" s="3">
        <v>5</v>
      </c>
      <c r="C3324" s="3">
        <v>1</v>
      </c>
      <c r="D3324" s="3">
        <v>168</v>
      </c>
      <c r="E3324" s="3">
        <v>1</v>
      </c>
      <c r="F3324" s="4" t="str">
        <f>HYPERLINK("http://141.218.60.56/~jnz1568/getInfo.php?workbook=10_05.xlsx&amp;sheet=U0&amp;row=3324&amp;col=6&amp;number=3&amp;sourceID=14","3")</f>
        <v>3</v>
      </c>
      <c r="G3324" s="4" t="str">
        <f>HYPERLINK("http://141.218.60.56/~jnz1568/getInfo.php?workbook=10_05.xlsx&amp;sheet=U0&amp;row=3324&amp;col=7&amp;number=0.00456&amp;sourceID=14","0.00456")</f>
        <v>0.00456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HYPERLINK("http://141.218.60.56/~jnz1568/getInfo.php?workbook=10_05.xlsx&amp;sheet=U0&amp;row=3325&amp;col=6&amp;number=3.1&amp;sourceID=14","3.1")</f>
        <v>3.1</v>
      </c>
      <c r="G3325" s="4" t="str">
        <f>HYPERLINK("http://141.218.60.56/~jnz1568/getInfo.php?workbook=10_05.xlsx&amp;sheet=U0&amp;row=3325&amp;col=7&amp;number=0.00454&amp;sourceID=14","0.00454")</f>
        <v>0.00454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HYPERLINK("http://141.218.60.56/~jnz1568/getInfo.php?workbook=10_05.xlsx&amp;sheet=U0&amp;row=3326&amp;col=6&amp;number=3.2&amp;sourceID=14","3.2")</f>
        <v>3.2</v>
      </c>
      <c r="G3326" s="4" t="str">
        <f>HYPERLINK("http://141.218.60.56/~jnz1568/getInfo.php?workbook=10_05.xlsx&amp;sheet=U0&amp;row=3326&amp;col=7&amp;number=0.00452&amp;sourceID=14","0.00452")</f>
        <v>0.00452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HYPERLINK("http://141.218.60.56/~jnz1568/getInfo.php?workbook=10_05.xlsx&amp;sheet=U0&amp;row=3327&amp;col=6&amp;number=3.3&amp;sourceID=14","3.3")</f>
        <v>3.3</v>
      </c>
      <c r="G3327" s="4" t="str">
        <f>HYPERLINK("http://141.218.60.56/~jnz1568/getInfo.php?workbook=10_05.xlsx&amp;sheet=U0&amp;row=3327&amp;col=7&amp;number=0.00449&amp;sourceID=14","0.00449")</f>
        <v>0.00449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HYPERLINK("http://141.218.60.56/~jnz1568/getInfo.php?workbook=10_05.xlsx&amp;sheet=U0&amp;row=3328&amp;col=6&amp;number=3.4&amp;sourceID=14","3.4")</f>
        <v>3.4</v>
      </c>
      <c r="G3328" s="4" t="str">
        <f>HYPERLINK("http://141.218.60.56/~jnz1568/getInfo.php?workbook=10_05.xlsx&amp;sheet=U0&amp;row=3328&amp;col=7&amp;number=0.00445&amp;sourceID=14","0.00445")</f>
        <v>0.00445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HYPERLINK("http://141.218.60.56/~jnz1568/getInfo.php?workbook=10_05.xlsx&amp;sheet=U0&amp;row=3329&amp;col=6&amp;number=3.5&amp;sourceID=14","3.5")</f>
        <v>3.5</v>
      </c>
      <c r="G3329" s="4" t="str">
        <f>HYPERLINK("http://141.218.60.56/~jnz1568/getInfo.php?workbook=10_05.xlsx&amp;sheet=U0&amp;row=3329&amp;col=7&amp;number=0.00441&amp;sourceID=14","0.00441")</f>
        <v>0.00441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HYPERLINK("http://141.218.60.56/~jnz1568/getInfo.php?workbook=10_05.xlsx&amp;sheet=U0&amp;row=3330&amp;col=6&amp;number=3.6&amp;sourceID=14","3.6")</f>
        <v>3.6</v>
      </c>
      <c r="G3330" s="4" t="str">
        <f>HYPERLINK("http://141.218.60.56/~jnz1568/getInfo.php?workbook=10_05.xlsx&amp;sheet=U0&amp;row=3330&amp;col=7&amp;number=0.00435&amp;sourceID=14","0.00435")</f>
        <v>0.00435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HYPERLINK("http://141.218.60.56/~jnz1568/getInfo.php?workbook=10_05.xlsx&amp;sheet=U0&amp;row=3331&amp;col=6&amp;number=3.7&amp;sourceID=14","3.7")</f>
        <v>3.7</v>
      </c>
      <c r="G3331" s="4" t="str">
        <f>HYPERLINK("http://141.218.60.56/~jnz1568/getInfo.php?workbook=10_05.xlsx&amp;sheet=U0&amp;row=3331&amp;col=7&amp;number=0.00428&amp;sourceID=14","0.00428")</f>
        <v>0.00428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HYPERLINK("http://141.218.60.56/~jnz1568/getInfo.php?workbook=10_05.xlsx&amp;sheet=U0&amp;row=3332&amp;col=6&amp;number=3.8&amp;sourceID=14","3.8")</f>
        <v>3.8</v>
      </c>
      <c r="G3332" s="4" t="str">
        <f>HYPERLINK("http://141.218.60.56/~jnz1568/getInfo.php?workbook=10_05.xlsx&amp;sheet=U0&amp;row=3332&amp;col=7&amp;number=0.0042&amp;sourceID=14","0.0042")</f>
        <v>0.0042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HYPERLINK("http://141.218.60.56/~jnz1568/getInfo.php?workbook=10_05.xlsx&amp;sheet=U0&amp;row=3333&amp;col=6&amp;number=3.9&amp;sourceID=14","3.9")</f>
        <v>3.9</v>
      </c>
      <c r="G3333" s="4" t="str">
        <f>HYPERLINK("http://141.218.60.56/~jnz1568/getInfo.php?workbook=10_05.xlsx&amp;sheet=U0&amp;row=3333&amp;col=7&amp;number=0.00409&amp;sourceID=14","0.00409")</f>
        <v>0.00409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HYPERLINK("http://141.218.60.56/~jnz1568/getInfo.php?workbook=10_05.xlsx&amp;sheet=U0&amp;row=3334&amp;col=6&amp;number=4&amp;sourceID=14","4")</f>
        <v>4</v>
      </c>
      <c r="G3334" s="4" t="str">
        <f>HYPERLINK("http://141.218.60.56/~jnz1568/getInfo.php?workbook=10_05.xlsx&amp;sheet=U0&amp;row=3334&amp;col=7&amp;number=0.00397&amp;sourceID=14","0.00397")</f>
        <v>0.00397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HYPERLINK("http://141.218.60.56/~jnz1568/getInfo.php?workbook=10_05.xlsx&amp;sheet=U0&amp;row=3335&amp;col=6&amp;number=4.1&amp;sourceID=14","4.1")</f>
        <v>4.1</v>
      </c>
      <c r="G3335" s="4" t="str">
        <f>HYPERLINK("http://141.218.60.56/~jnz1568/getInfo.php?workbook=10_05.xlsx&amp;sheet=U0&amp;row=3335&amp;col=7&amp;number=0.00381&amp;sourceID=14","0.00381")</f>
        <v>0.00381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HYPERLINK("http://141.218.60.56/~jnz1568/getInfo.php?workbook=10_05.xlsx&amp;sheet=U0&amp;row=3336&amp;col=6&amp;number=4.2&amp;sourceID=14","4.2")</f>
        <v>4.2</v>
      </c>
      <c r="G3336" s="4" t="str">
        <f>HYPERLINK("http://141.218.60.56/~jnz1568/getInfo.php?workbook=10_05.xlsx&amp;sheet=U0&amp;row=3336&amp;col=7&amp;number=0.00364&amp;sourceID=14","0.00364")</f>
        <v>0.00364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HYPERLINK("http://141.218.60.56/~jnz1568/getInfo.php?workbook=10_05.xlsx&amp;sheet=U0&amp;row=3337&amp;col=6&amp;number=4.3&amp;sourceID=14","4.3")</f>
        <v>4.3</v>
      </c>
      <c r="G3337" s="4" t="str">
        <f>HYPERLINK("http://141.218.60.56/~jnz1568/getInfo.php?workbook=10_05.xlsx&amp;sheet=U0&amp;row=3337&amp;col=7&amp;number=0.00343&amp;sourceID=14","0.00343")</f>
        <v>0.00343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HYPERLINK("http://141.218.60.56/~jnz1568/getInfo.php?workbook=10_05.xlsx&amp;sheet=U0&amp;row=3338&amp;col=6&amp;number=4.4&amp;sourceID=14","4.4")</f>
        <v>4.4</v>
      </c>
      <c r="G3338" s="4" t="str">
        <f>HYPERLINK("http://141.218.60.56/~jnz1568/getInfo.php?workbook=10_05.xlsx&amp;sheet=U0&amp;row=3338&amp;col=7&amp;number=0.00321&amp;sourceID=14","0.00321")</f>
        <v>0.00321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HYPERLINK("http://141.218.60.56/~jnz1568/getInfo.php?workbook=10_05.xlsx&amp;sheet=U0&amp;row=3339&amp;col=6&amp;number=4.5&amp;sourceID=14","4.5")</f>
        <v>4.5</v>
      </c>
      <c r="G3339" s="4" t="str">
        <f>HYPERLINK("http://141.218.60.56/~jnz1568/getInfo.php?workbook=10_05.xlsx&amp;sheet=U0&amp;row=3339&amp;col=7&amp;number=0.00299&amp;sourceID=14","0.00299")</f>
        <v>0.00299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HYPERLINK("http://141.218.60.56/~jnz1568/getInfo.php?workbook=10_05.xlsx&amp;sheet=U0&amp;row=3340&amp;col=6&amp;number=4.6&amp;sourceID=14","4.6")</f>
        <v>4.6</v>
      </c>
      <c r="G3340" s="4" t="str">
        <f>HYPERLINK("http://141.218.60.56/~jnz1568/getInfo.php?workbook=10_05.xlsx&amp;sheet=U0&amp;row=3340&amp;col=7&amp;number=0.00277&amp;sourceID=14","0.00277")</f>
        <v>0.00277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HYPERLINK("http://141.218.60.56/~jnz1568/getInfo.php?workbook=10_05.xlsx&amp;sheet=U0&amp;row=3341&amp;col=6&amp;number=4.7&amp;sourceID=14","4.7")</f>
        <v>4.7</v>
      </c>
      <c r="G3341" s="4" t="str">
        <f>HYPERLINK("http://141.218.60.56/~jnz1568/getInfo.php?workbook=10_05.xlsx&amp;sheet=U0&amp;row=3341&amp;col=7&amp;number=0.00258&amp;sourceID=14","0.00258")</f>
        <v>0.00258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HYPERLINK("http://141.218.60.56/~jnz1568/getInfo.php?workbook=10_05.xlsx&amp;sheet=U0&amp;row=3342&amp;col=6&amp;number=4.8&amp;sourceID=14","4.8")</f>
        <v>4.8</v>
      </c>
      <c r="G3342" s="4" t="str">
        <f>HYPERLINK("http://141.218.60.56/~jnz1568/getInfo.php?workbook=10_05.xlsx&amp;sheet=U0&amp;row=3342&amp;col=7&amp;number=0.0024&amp;sourceID=14","0.0024")</f>
        <v>0.0024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HYPERLINK("http://141.218.60.56/~jnz1568/getInfo.php?workbook=10_05.xlsx&amp;sheet=U0&amp;row=3343&amp;col=6&amp;number=4.9&amp;sourceID=14","4.9")</f>
        <v>4.9</v>
      </c>
      <c r="G3343" s="4" t="str">
        <f>HYPERLINK("http://141.218.60.56/~jnz1568/getInfo.php?workbook=10_05.xlsx&amp;sheet=U0&amp;row=3343&amp;col=7&amp;number=0.00224&amp;sourceID=14","0.00224")</f>
        <v>0.00224</v>
      </c>
    </row>
    <row r="3344" spans="1:7">
      <c r="A3344" s="3">
        <v>10</v>
      </c>
      <c r="B3344" s="3">
        <v>5</v>
      </c>
      <c r="C3344" s="3">
        <v>1</v>
      </c>
      <c r="D3344" s="3">
        <v>169</v>
      </c>
      <c r="E3344" s="3">
        <v>1</v>
      </c>
      <c r="F3344" s="4" t="str">
        <f>HYPERLINK("http://141.218.60.56/~jnz1568/getInfo.php?workbook=10_05.xlsx&amp;sheet=U0&amp;row=3344&amp;col=6&amp;number=3&amp;sourceID=14","3")</f>
        <v>3</v>
      </c>
      <c r="G3344" s="4" t="str">
        <f>HYPERLINK("http://141.218.60.56/~jnz1568/getInfo.php?workbook=10_05.xlsx&amp;sheet=U0&amp;row=3344&amp;col=7&amp;number=0.00435&amp;sourceID=14","0.00435")</f>
        <v>0.00435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HYPERLINK("http://141.218.60.56/~jnz1568/getInfo.php?workbook=10_05.xlsx&amp;sheet=U0&amp;row=3345&amp;col=6&amp;number=3.1&amp;sourceID=14","3.1")</f>
        <v>3.1</v>
      </c>
      <c r="G3345" s="4" t="str">
        <f>HYPERLINK("http://141.218.60.56/~jnz1568/getInfo.php?workbook=10_05.xlsx&amp;sheet=U0&amp;row=3345&amp;col=7&amp;number=0.00434&amp;sourceID=14","0.00434")</f>
        <v>0.00434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HYPERLINK("http://141.218.60.56/~jnz1568/getInfo.php?workbook=10_05.xlsx&amp;sheet=U0&amp;row=3346&amp;col=6&amp;number=3.2&amp;sourceID=14","3.2")</f>
        <v>3.2</v>
      </c>
      <c r="G3346" s="4" t="str">
        <f>HYPERLINK("http://141.218.60.56/~jnz1568/getInfo.php?workbook=10_05.xlsx&amp;sheet=U0&amp;row=3346&amp;col=7&amp;number=0.00433&amp;sourceID=14","0.00433")</f>
        <v>0.00433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HYPERLINK("http://141.218.60.56/~jnz1568/getInfo.php?workbook=10_05.xlsx&amp;sheet=U0&amp;row=3347&amp;col=6&amp;number=3.3&amp;sourceID=14","3.3")</f>
        <v>3.3</v>
      </c>
      <c r="G3347" s="4" t="str">
        <f>HYPERLINK("http://141.218.60.56/~jnz1568/getInfo.php?workbook=10_05.xlsx&amp;sheet=U0&amp;row=3347&amp;col=7&amp;number=0.00431&amp;sourceID=14","0.00431")</f>
        <v>0.00431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HYPERLINK("http://141.218.60.56/~jnz1568/getInfo.php?workbook=10_05.xlsx&amp;sheet=U0&amp;row=3348&amp;col=6&amp;number=3.4&amp;sourceID=14","3.4")</f>
        <v>3.4</v>
      </c>
      <c r="G3348" s="4" t="str">
        <f>HYPERLINK("http://141.218.60.56/~jnz1568/getInfo.php?workbook=10_05.xlsx&amp;sheet=U0&amp;row=3348&amp;col=7&amp;number=0.00429&amp;sourceID=14","0.00429")</f>
        <v>0.00429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HYPERLINK("http://141.218.60.56/~jnz1568/getInfo.php?workbook=10_05.xlsx&amp;sheet=U0&amp;row=3349&amp;col=6&amp;number=3.5&amp;sourceID=14","3.5")</f>
        <v>3.5</v>
      </c>
      <c r="G3349" s="4" t="str">
        <f>HYPERLINK("http://141.218.60.56/~jnz1568/getInfo.php?workbook=10_05.xlsx&amp;sheet=U0&amp;row=3349&amp;col=7&amp;number=0.00426&amp;sourceID=14","0.00426")</f>
        <v>0.00426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HYPERLINK("http://141.218.60.56/~jnz1568/getInfo.php?workbook=10_05.xlsx&amp;sheet=U0&amp;row=3350&amp;col=6&amp;number=3.6&amp;sourceID=14","3.6")</f>
        <v>3.6</v>
      </c>
      <c r="G3350" s="4" t="str">
        <f>HYPERLINK("http://141.218.60.56/~jnz1568/getInfo.php?workbook=10_05.xlsx&amp;sheet=U0&amp;row=3350&amp;col=7&amp;number=0.00423&amp;sourceID=14","0.00423")</f>
        <v>0.00423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HYPERLINK("http://141.218.60.56/~jnz1568/getInfo.php?workbook=10_05.xlsx&amp;sheet=U0&amp;row=3351&amp;col=6&amp;number=3.7&amp;sourceID=14","3.7")</f>
        <v>3.7</v>
      </c>
      <c r="G3351" s="4" t="str">
        <f>HYPERLINK("http://141.218.60.56/~jnz1568/getInfo.php?workbook=10_05.xlsx&amp;sheet=U0&amp;row=3351&amp;col=7&amp;number=0.00419&amp;sourceID=14","0.00419")</f>
        <v>0.00419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HYPERLINK("http://141.218.60.56/~jnz1568/getInfo.php?workbook=10_05.xlsx&amp;sheet=U0&amp;row=3352&amp;col=6&amp;number=3.8&amp;sourceID=14","3.8")</f>
        <v>3.8</v>
      </c>
      <c r="G3352" s="4" t="str">
        <f>HYPERLINK("http://141.218.60.56/~jnz1568/getInfo.php?workbook=10_05.xlsx&amp;sheet=U0&amp;row=3352&amp;col=7&amp;number=0.00414&amp;sourceID=14","0.00414")</f>
        <v>0.00414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HYPERLINK("http://141.218.60.56/~jnz1568/getInfo.php?workbook=10_05.xlsx&amp;sheet=U0&amp;row=3353&amp;col=6&amp;number=3.9&amp;sourceID=14","3.9")</f>
        <v>3.9</v>
      </c>
      <c r="G3353" s="4" t="str">
        <f>HYPERLINK("http://141.218.60.56/~jnz1568/getInfo.php?workbook=10_05.xlsx&amp;sheet=U0&amp;row=3353&amp;col=7&amp;number=0.00408&amp;sourceID=14","0.00408")</f>
        <v>0.00408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HYPERLINK("http://141.218.60.56/~jnz1568/getInfo.php?workbook=10_05.xlsx&amp;sheet=U0&amp;row=3354&amp;col=6&amp;number=4&amp;sourceID=14","4")</f>
        <v>4</v>
      </c>
      <c r="G3354" s="4" t="str">
        <f>HYPERLINK("http://141.218.60.56/~jnz1568/getInfo.php?workbook=10_05.xlsx&amp;sheet=U0&amp;row=3354&amp;col=7&amp;number=0.004&amp;sourceID=14","0.004")</f>
        <v>0.004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HYPERLINK("http://141.218.60.56/~jnz1568/getInfo.php?workbook=10_05.xlsx&amp;sheet=U0&amp;row=3355&amp;col=6&amp;number=4.1&amp;sourceID=14","4.1")</f>
        <v>4.1</v>
      </c>
      <c r="G3355" s="4" t="str">
        <f>HYPERLINK("http://141.218.60.56/~jnz1568/getInfo.php?workbook=10_05.xlsx&amp;sheet=U0&amp;row=3355&amp;col=7&amp;number=0.0039&amp;sourceID=14","0.0039")</f>
        <v>0.0039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HYPERLINK("http://141.218.60.56/~jnz1568/getInfo.php?workbook=10_05.xlsx&amp;sheet=U0&amp;row=3356&amp;col=6&amp;number=4.2&amp;sourceID=14","4.2")</f>
        <v>4.2</v>
      </c>
      <c r="G3356" s="4" t="str">
        <f>HYPERLINK("http://141.218.60.56/~jnz1568/getInfo.php?workbook=10_05.xlsx&amp;sheet=U0&amp;row=3356&amp;col=7&amp;number=0.00379&amp;sourceID=14","0.00379")</f>
        <v>0.00379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HYPERLINK("http://141.218.60.56/~jnz1568/getInfo.php?workbook=10_05.xlsx&amp;sheet=U0&amp;row=3357&amp;col=6&amp;number=4.3&amp;sourceID=14","4.3")</f>
        <v>4.3</v>
      </c>
      <c r="G3357" s="4" t="str">
        <f>HYPERLINK("http://141.218.60.56/~jnz1568/getInfo.php?workbook=10_05.xlsx&amp;sheet=U0&amp;row=3357&amp;col=7&amp;number=0.00366&amp;sourceID=14","0.00366")</f>
        <v>0.00366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HYPERLINK("http://141.218.60.56/~jnz1568/getInfo.php?workbook=10_05.xlsx&amp;sheet=U0&amp;row=3358&amp;col=6&amp;number=4.4&amp;sourceID=14","4.4")</f>
        <v>4.4</v>
      </c>
      <c r="G3358" s="4" t="str">
        <f>HYPERLINK("http://141.218.60.56/~jnz1568/getInfo.php?workbook=10_05.xlsx&amp;sheet=U0&amp;row=3358&amp;col=7&amp;number=0.0035&amp;sourceID=14","0.0035")</f>
        <v>0.0035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HYPERLINK("http://141.218.60.56/~jnz1568/getInfo.php?workbook=10_05.xlsx&amp;sheet=U0&amp;row=3359&amp;col=6&amp;number=4.5&amp;sourceID=14","4.5")</f>
        <v>4.5</v>
      </c>
      <c r="G3359" s="4" t="str">
        <f>HYPERLINK("http://141.218.60.56/~jnz1568/getInfo.php?workbook=10_05.xlsx&amp;sheet=U0&amp;row=3359&amp;col=7&amp;number=0.00333&amp;sourceID=14","0.00333")</f>
        <v>0.00333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HYPERLINK("http://141.218.60.56/~jnz1568/getInfo.php?workbook=10_05.xlsx&amp;sheet=U0&amp;row=3360&amp;col=6&amp;number=4.6&amp;sourceID=14","4.6")</f>
        <v>4.6</v>
      </c>
      <c r="G3360" s="4" t="str">
        <f>HYPERLINK("http://141.218.60.56/~jnz1568/getInfo.php?workbook=10_05.xlsx&amp;sheet=U0&amp;row=3360&amp;col=7&amp;number=0.00316&amp;sourceID=14","0.00316")</f>
        <v>0.00316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HYPERLINK("http://141.218.60.56/~jnz1568/getInfo.php?workbook=10_05.xlsx&amp;sheet=U0&amp;row=3361&amp;col=6&amp;number=4.7&amp;sourceID=14","4.7")</f>
        <v>4.7</v>
      </c>
      <c r="G3361" s="4" t="str">
        <f>HYPERLINK("http://141.218.60.56/~jnz1568/getInfo.php?workbook=10_05.xlsx&amp;sheet=U0&amp;row=3361&amp;col=7&amp;number=0.00302&amp;sourceID=14","0.00302")</f>
        <v>0.00302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HYPERLINK("http://141.218.60.56/~jnz1568/getInfo.php?workbook=10_05.xlsx&amp;sheet=U0&amp;row=3362&amp;col=6&amp;number=4.8&amp;sourceID=14","4.8")</f>
        <v>4.8</v>
      </c>
      <c r="G3362" s="4" t="str">
        <f>HYPERLINK("http://141.218.60.56/~jnz1568/getInfo.php?workbook=10_05.xlsx&amp;sheet=U0&amp;row=3362&amp;col=7&amp;number=0.0029&amp;sourceID=14","0.0029")</f>
        <v>0.0029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HYPERLINK("http://141.218.60.56/~jnz1568/getInfo.php?workbook=10_05.xlsx&amp;sheet=U0&amp;row=3363&amp;col=6&amp;number=4.9&amp;sourceID=14","4.9")</f>
        <v>4.9</v>
      </c>
      <c r="G3363" s="4" t="str">
        <f>HYPERLINK("http://141.218.60.56/~jnz1568/getInfo.php?workbook=10_05.xlsx&amp;sheet=U0&amp;row=3363&amp;col=7&amp;number=0.00282&amp;sourceID=14","0.00282")</f>
        <v>0.00282</v>
      </c>
    </row>
    <row r="3364" spans="1:7">
      <c r="A3364" s="3">
        <v>10</v>
      </c>
      <c r="B3364" s="3">
        <v>5</v>
      </c>
      <c r="C3364" s="3">
        <v>1</v>
      </c>
      <c r="D3364" s="3">
        <v>170</v>
      </c>
      <c r="E3364" s="3">
        <v>1</v>
      </c>
      <c r="F3364" s="4" t="str">
        <f>HYPERLINK("http://141.218.60.56/~jnz1568/getInfo.php?workbook=10_05.xlsx&amp;sheet=U0&amp;row=3364&amp;col=6&amp;number=3&amp;sourceID=14","3")</f>
        <v>3</v>
      </c>
      <c r="G3364" s="4" t="str">
        <f>HYPERLINK("http://141.218.60.56/~jnz1568/getInfo.php?workbook=10_05.xlsx&amp;sheet=U0&amp;row=3364&amp;col=7&amp;number=0.00309&amp;sourceID=14","0.00309")</f>
        <v>0.00309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HYPERLINK("http://141.218.60.56/~jnz1568/getInfo.php?workbook=10_05.xlsx&amp;sheet=U0&amp;row=3365&amp;col=6&amp;number=3.1&amp;sourceID=14","3.1")</f>
        <v>3.1</v>
      </c>
      <c r="G3365" s="4" t="str">
        <f>HYPERLINK("http://141.218.60.56/~jnz1568/getInfo.php?workbook=10_05.xlsx&amp;sheet=U0&amp;row=3365&amp;col=7&amp;number=0.00309&amp;sourceID=14","0.00309")</f>
        <v>0.00309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HYPERLINK("http://141.218.60.56/~jnz1568/getInfo.php?workbook=10_05.xlsx&amp;sheet=U0&amp;row=3366&amp;col=6&amp;number=3.2&amp;sourceID=14","3.2")</f>
        <v>3.2</v>
      </c>
      <c r="G3366" s="4" t="str">
        <f>HYPERLINK("http://141.218.60.56/~jnz1568/getInfo.php?workbook=10_05.xlsx&amp;sheet=U0&amp;row=3366&amp;col=7&amp;number=0.00308&amp;sourceID=14","0.00308")</f>
        <v>0.00308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HYPERLINK("http://141.218.60.56/~jnz1568/getInfo.php?workbook=10_05.xlsx&amp;sheet=U0&amp;row=3367&amp;col=6&amp;number=3.3&amp;sourceID=14","3.3")</f>
        <v>3.3</v>
      </c>
      <c r="G3367" s="4" t="str">
        <f>HYPERLINK("http://141.218.60.56/~jnz1568/getInfo.php?workbook=10_05.xlsx&amp;sheet=U0&amp;row=3367&amp;col=7&amp;number=0.00307&amp;sourceID=14","0.00307")</f>
        <v>0.00307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HYPERLINK("http://141.218.60.56/~jnz1568/getInfo.php?workbook=10_05.xlsx&amp;sheet=U0&amp;row=3368&amp;col=6&amp;number=3.4&amp;sourceID=14","3.4")</f>
        <v>3.4</v>
      </c>
      <c r="G3368" s="4" t="str">
        <f>HYPERLINK("http://141.218.60.56/~jnz1568/getInfo.php?workbook=10_05.xlsx&amp;sheet=U0&amp;row=3368&amp;col=7&amp;number=0.00306&amp;sourceID=14","0.00306")</f>
        <v>0.00306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HYPERLINK("http://141.218.60.56/~jnz1568/getInfo.php?workbook=10_05.xlsx&amp;sheet=U0&amp;row=3369&amp;col=6&amp;number=3.5&amp;sourceID=14","3.5")</f>
        <v>3.5</v>
      </c>
      <c r="G3369" s="4" t="str">
        <f>HYPERLINK("http://141.218.60.56/~jnz1568/getInfo.php?workbook=10_05.xlsx&amp;sheet=U0&amp;row=3369&amp;col=7&amp;number=0.00304&amp;sourceID=14","0.00304")</f>
        <v>0.00304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HYPERLINK("http://141.218.60.56/~jnz1568/getInfo.php?workbook=10_05.xlsx&amp;sheet=U0&amp;row=3370&amp;col=6&amp;number=3.6&amp;sourceID=14","3.6")</f>
        <v>3.6</v>
      </c>
      <c r="G3370" s="4" t="str">
        <f>HYPERLINK("http://141.218.60.56/~jnz1568/getInfo.php?workbook=10_05.xlsx&amp;sheet=U0&amp;row=3370&amp;col=7&amp;number=0.00302&amp;sourceID=14","0.00302")</f>
        <v>0.00302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HYPERLINK("http://141.218.60.56/~jnz1568/getInfo.php?workbook=10_05.xlsx&amp;sheet=U0&amp;row=3371&amp;col=6&amp;number=3.7&amp;sourceID=14","3.7")</f>
        <v>3.7</v>
      </c>
      <c r="G3371" s="4" t="str">
        <f>HYPERLINK("http://141.218.60.56/~jnz1568/getInfo.php?workbook=10_05.xlsx&amp;sheet=U0&amp;row=3371&amp;col=7&amp;number=0.003&amp;sourceID=14","0.003")</f>
        <v>0.003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HYPERLINK("http://141.218.60.56/~jnz1568/getInfo.php?workbook=10_05.xlsx&amp;sheet=U0&amp;row=3372&amp;col=6&amp;number=3.8&amp;sourceID=14","3.8")</f>
        <v>3.8</v>
      </c>
      <c r="G3372" s="4" t="str">
        <f>HYPERLINK("http://141.218.60.56/~jnz1568/getInfo.php?workbook=10_05.xlsx&amp;sheet=U0&amp;row=3372&amp;col=7&amp;number=0.00297&amp;sourceID=14","0.00297")</f>
        <v>0.00297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HYPERLINK("http://141.218.60.56/~jnz1568/getInfo.php?workbook=10_05.xlsx&amp;sheet=U0&amp;row=3373&amp;col=6&amp;number=3.9&amp;sourceID=14","3.9")</f>
        <v>3.9</v>
      </c>
      <c r="G3373" s="4" t="str">
        <f>HYPERLINK("http://141.218.60.56/~jnz1568/getInfo.php?workbook=10_05.xlsx&amp;sheet=U0&amp;row=3373&amp;col=7&amp;number=0.00293&amp;sourceID=14","0.00293")</f>
        <v>0.00293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HYPERLINK("http://141.218.60.56/~jnz1568/getInfo.php?workbook=10_05.xlsx&amp;sheet=U0&amp;row=3374&amp;col=6&amp;number=4&amp;sourceID=14","4")</f>
        <v>4</v>
      </c>
      <c r="G3374" s="4" t="str">
        <f>HYPERLINK("http://141.218.60.56/~jnz1568/getInfo.php?workbook=10_05.xlsx&amp;sheet=U0&amp;row=3374&amp;col=7&amp;number=0.00289&amp;sourceID=14","0.00289")</f>
        <v>0.00289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HYPERLINK("http://141.218.60.56/~jnz1568/getInfo.php?workbook=10_05.xlsx&amp;sheet=U0&amp;row=3375&amp;col=6&amp;number=4.1&amp;sourceID=14","4.1")</f>
        <v>4.1</v>
      </c>
      <c r="G3375" s="4" t="str">
        <f>HYPERLINK("http://141.218.60.56/~jnz1568/getInfo.php?workbook=10_05.xlsx&amp;sheet=U0&amp;row=3375&amp;col=7&amp;number=0.00283&amp;sourceID=14","0.00283")</f>
        <v>0.00283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HYPERLINK("http://141.218.60.56/~jnz1568/getInfo.php?workbook=10_05.xlsx&amp;sheet=U0&amp;row=3376&amp;col=6&amp;number=4.2&amp;sourceID=14","4.2")</f>
        <v>4.2</v>
      </c>
      <c r="G3376" s="4" t="str">
        <f>HYPERLINK("http://141.218.60.56/~jnz1568/getInfo.php?workbook=10_05.xlsx&amp;sheet=U0&amp;row=3376&amp;col=7&amp;number=0.00277&amp;sourceID=14","0.00277")</f>
        <v>0.00277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HYPERLINK("http://141.218.60.56/~jnz1568/getInfo.php?workbook=10_05.xlsx&amp;sheet=U0&amp;row=3377&amp;col=6&amp;number=4.3&amp;sourceID=14","4.3")</f>
        <v>4.3</v>
      </c>
      <c r="G3377" s="4" t="str">
        <f>HYPERLINK("http://141.218.60.56/~jnz1568/getInfo.php?workbook=10_05.xlsx&amp;sheet=U0&amp;row=3377&amp;col=7&amp;number=0.00269&amp;sourceID=14","0.00269")</f>
        <v>0.00269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HYPERLINK("http://141.218.60.56/~jnz1568/getInfo.php?workbook=10_05.xlsx&amp;sheet=U0&amp;row=3378&amp;col=6&amp;number=4.4&amp;sourceID=14","4.4")</f>
        <v>4.4</v>
      </c>
      <c r="G3378" s="4" t="str">
        <f>HYPERLINK("http://141.218.60.56/~jnz1568/getInfo.php?workbook=10_05.xlsx&amp;sheet=U0&amp;row=3378&amp;col=7&amp;number=0.0026&amp;sourceID=14","0.0026")</f>
        <v>0.0026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HYPERLINK("http://141.218.60.56/~jnz1568/getInfo.php?workbook=10_05.xlsx&amp;sheet=U0&amp;row=3379&amp;col=6&amp;number=4.5&amp;sourceID=14","4.5")</f>
        <v>4.5</v>
      </c>
      <c r="G3379" s="4" t="str">
        <f>HYPERLINK("http://141.218.60.56/~jnz1568/getInfo.php?workbook=10_05.xlsx&amp;sheet=U0&amp;row=3379&amp;col=7&amp;number=0.0025&amp;sourceID=14","0.0025")</f>
        <v>0.0025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HYPERLINK("http://141.218.60.56/~jnz1568/getInfo.php?workbook=10_05.xlsx&amp;sheet=U0&amp;row=3380&amp;col=6&amp;number=4.6&amp;sourceID=14","4.6")</f>
        <v>4.6</v>
      </c>
      <c r="G3380" s="4" t="str">
        <f>HYPERLINK("http://141.218.60.56/~jnz1568/getInfo.php?workbook=10_05.xlsx&amp;sheet=U0&amp;row=3380&amp;col=7&amp;number=0.00239&amp;sourceID=14","0.00239")</f>
        <v>0.00239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HYPERLINK("http://141.218.60.56/~jnz1568/getInfo.php?workbook=10_05.xlsx&amp;sheet=U0&amp;row=3381&amp;col=6&amp;number=4.7&amp;sourceID=14","4.7")</f>
        <v>4.7</v>
      </c>
      <c r="G3381" s="4" t="str">
        <f>HYPERLINK("http://141.218.60.56/~jnz1568/getInfo.php?workbook=10_05.xlsx&amp;sheet=U0&amp;row=3381&amp;col=7&amp;number=0.00229&amp;sourceID=14","0.00229")</f>
        <v>0.00229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HYPERLINK("http://141.218.60.56/~jnz1568/getInfo.php?workbook=10_05.xlsx&amp;sheet=U0&amp;row=3382&amp;col=6&amp;number=4.8&amp;sourceID=14","4.8")</f>
        <v>4.8</v>
      </c>
      <c r="G3382" s="4" t="str">
        <f>HYPERLINK("http://141.218.60.56/~jnz1568/getInfo.php?workbook=10_05.xlsx&amp;sheet=U0&amp;row=3382&amp;col=7&amp;number=0.00222&amp;sourceID=14","0.00222")</f>
        <v>0.00222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HYPERLINK("http://141.218.60.56/~jnz1568/getInfo.php?workbook=10_05.xlsx&amp;sheet=U0&amp;row=3383&amp;col=6&amp;number=4.9&amp;sourceID=14","4.9")</f>
        <v>4.9</v>
      </c>
      <c r="G3383" s="4" t="str">
        <f>HYPERLINK("http://141.218.60.56/~jnz1568/getInfo.php?workbook=10_05.xlsx&amp;sheet=U0&amp;row=3383&amp;col=7&amp;number=0.00217&amp;sourceID=14","0.00217")</f>
        <v>0.00217</v>
      </c>
    </row>
    <row r="3384" spans="1:7">
      <c r="A3384" s="3">
        <v>10</v>
      </c>
      <c r="B3384" s="3">
        <v>5</v>
      </c>
      <c r="C3384" s="3">
        <v>1</v>
      </c>
      <c r="D3384" s="3">
        <v>171</v>
      </c>
      <c r="E3384" s="3">
        <v>1</v>
      </c>
      <c r="F3384" s="4" t="str">
        <f>HYPERLINK("http://141.218.60.56/~jnz1568/getInfo.php?workbook=10_05.xlsx&amp;sheet=U0&amp;row=3384&amp;col=6&amp;number=3&amp;sourceID=14","3")</f>
        <v>3</v>
      </c>
      <c r="G3384" s="4" t="str">
        <f>HYPERLINK("http://141.218.60.56/~jnz1568/getInfo.php?workbook=10_05.xlsx&amp;sheet=U0&amp;row=3384&amp;col=7&amp;number=0.0048&amp;sourceID=14","0.0048")</f>
        <v>0.0048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HYPERLINK("http://141.218.60.56/~jnz1568/getInfo.php?workbook=10_05.xlsx&amp;sheet=U0&amp;row=3385&amp;col=6&amp;number=3.1&amp;sourceID=14","3.1")</f>
        <v>3.1</v>
      </c>
      <c r="G3385" s="4" t="str">
        <f>HYPERLINK("http://141.218.60.56/~jnz1568/getInfo.php?workbook=10_05.xlsx&amp;sheet=U0&amp;row=3385&amp;col=7&amp;number=0.00478&amp;sourceID=14","0.00478")</f>
        <v>0.00478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HYPERLINK("http://141.218.60.56/~jnz1568/getInfo.php?workbook=10_05.xlsx&amp;sheet=U0&amp;row=3386&amp;col=6&amp;number=3.2&amp;sourceID=14","3.2")</f>
        <v>3.2</v>
      </c>
      <c r="G3386" s="4" t="str">
        <f>HYPERLINK("http://141.218.60.56/~jnz1568/getInfo.php?workbook=10_05.xlsx&amp;sheet=U0&amp;row=3386&amp;col=7&amp;number=0.00477&amp;sourceID=14","0.00477")</f>
        <v>0.00477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HYPERLINK("http://141.218.60.56/~jnz1568/getInfo.php?workbook=10_05.xlsx&amp;sheet=U0&amp;row=3387&amp;col=6&amp;number=3.3&amp;sourceID=14","3.3")</f>
        <v>3.3</v>
      </c>
      <c r="G3387" s="4" t="str">
        <f>HYPERLINK("http://141.218.60.56/~jnz1568/getInfo.php?workbook=10_05.xlsx&amp;sheet=U0&amp;row=3387&amp;col=7&amp;number=0.00475&amp;sourceID=14","0.00475")</f>
        <v>0.00475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HYPERLINK("http://141.218.60.56/~jnz1568/getInfo.php?workbook=10_05.xlsx&amp;sheet=U0&amp;row=3388&amp;col=6&amp;number=3.4&amp;sourceID=14","3.4")</f>
        <v>3.4</v>
      </c>
      <c r="G3388" s="4" t="str">
        <f>HYPERLINK("http://141.218.60.56/~jnz1568/getInfo.php?workbook=10_05.xlsx&amp;sheet=U0&amp;row=3388&amp;col=7&amp;number=0.00472&amp;sourceID=14","0.00472")</f>
        <v>0.00472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HYPERLINK("http://141.218.60.56/~jnz1568/getInfo.php?workbook=10_05.xlsx&amp;sheet=U0&amp;row=3389&amp;col=6&amp;number=3.5&amp;sourceID=14","3.5")</f>
        <v>3.5</v>
      </c>
      <c r="G3389" s="4" t="str">
        <f>HYPERLINK("http://141.218.60.56/~jnz1568/getInfo.php?workbook=10_05.xlsx&amp;sheet=U0&amp;row=3389&amp;col=7&amp;number=0.00469&amp;sourceID=14","0.00469")</f>
        <v>0.00469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HYPERLINK("http://141.218.60.56/~jnz1568/getInfo.php?workbook=10_05.xlsx&amp;sheet=U0&amp;row=3390&amp;col=6&amp;number=3.6&amp;sourceID=14","3.6")</f>
        <v>3.6</v>
      </c>
      <c r="G3390" s="4" t="str">
        <f>HYPERLINK("http://141.218.60.56/~jnz1568/getInfo.php?workbook=10_05.xlsx&amp;sheet=U0&amp;row=3390&amp;col=7&amp;number=0.00465&amp;sourceID=14","0.00465")</f>
        <v>0.00465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HYPERLINK("http://141.218.60.56/~jnz1568/getInfo.php?workbook=10_05.xlsx&amp;sheet=U0&amp;row=3391&amp;col=6&amp;number=3.7&amp;sourceID=14","3.7")</f>
        <v>3.7</v>
      </c>
      <c r="G3391" s="4" t="str">
        <f>HYPERLINK("http://141.218.60.56/~jnz1568/getInfo.php?workbook=10_05.xlsx&amp;sheet=U0&amp;row=3391&amp;col=7&amp;number=0.0046&amp;sourceID=14","0.0046")</f>
        <v>0.0046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HYPERLINK("http://141.218.60.56/~jnz1568/getInfo.php?workbook=10_05.xlsx&amp;sheet=U0&amp;row=3392&amp;col=6&amp;number=3.8&amp;sourceID=14","3.8")</f>
        <v>3.8</v>
      </c>
      <c r="G3392" s="4" t="str">
        <f>HYPERLINK("http://141.218.60.56/~jnz1568/getInfo.php?workbook=10_05.xlsx&amp;sheet=U0&amp;row=3392&amp;col=7&amp;number=0.00454&amp;sourceID=14","0.00454")</f>
        <v>0.00454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HYPERLINK("http://141.218.60.56/~jnz1568/getInfo.php?workbook=10_05.xlsx&amp;sheet=U0&amp;row=3393&amp;col=6&amp;number=3.9&amp;sourceID=14","3.9")</f>
        <v>3.9</v>
      </c>
      <c r="G3393" s="4" t="str">
        <f>HYPERLINK("http://141.218.60.56/~jnz1568/getInfo.php?workbook=10_05.xlsx&amp;sheet=U0&amp;row=3393&amp;col=7&amp;number=0.00446&amp;sourceID=14","0.00446")</f>
        <v>0.00446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HYPERLINK("http://141.218.60.56/~jnz1568/getInfo.php?workbook=10_05.xlsx&amp;sheet=U0&amp;row=3394&amp;col=6&amp;number=4&amp;sourceID=14","4")</f>
        <v>4</v>
      </c>
      <c r="G3394" s="4" t="str">
        <f>HYPERLINK("http://141.218.60.56/~jnz1568/getInfo.php?workbook=10_05.xlsx&amp;sheet=U0&amp;row=3394&amp;col=7&amp;number=0.00437&amp;sourceID=14","0.00437")</f>
        <v>0.00437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HYPERLINK("http://141.218.60.56/~jnz1568/getInfo.php?workbook=10_05.xlsx&amp;sheet=U0&amp;row=3395&amp;col=6&amp;number=4.1&amp;sourceID=14","4.1")</f>
        <v>4.1</v>
      </c>
      <c r="G3395" s="4" t="str">
        <f>HYPERLINK("http://141.218.60.56/~jnz1568/getInfo.php?workbook=10_05.xlsx&amp;sheet=U0&amp;row=3395&amp;col=7&amp;number=0.00426&amp;sourceID=14","0.00426")</f>
        <v>0.00426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HYPERLINK("http://141.218.60.56/~jnz1568/getInfo.php?workbook=10_05.xlsx&amp;sheet=U0&amp;row=3396&amp;col=6&amp;number=4.2&amp;sourceID=14","4.2")</f>
        <v>4.2</v>
      </c>
      <c r="G3396" s="4" t="str">
        <f>HYPERLINK("http://141.218.60.56/~jnz1568/getInfo.php?workbook=10_05.xlsx&amp;sheet=U0&amp;row=3396&amp;col=7&amp;number=0.00412&amp;sourceID=14","0.00412")</f>
        <v>0.00412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HYPERLINK("http://141.218.60.56/~jnz1568/getInfo.php?workbook=10_05.xlsx&amp;sheet=U0&amp;row=3397&amp;col=6&amp;number=4.3&amp;sourceID=14","4.3")</f>
        <v>4.3</v>
      </c>
      <c r="G3397" s="4" t="str">
        <f>HYPERLINK("http://141.218.60.56/~jnz1568/getInfo.php?workbook=10_05.xlsx&amp;sheet=U0&amp;row=3397&amp;col=7&amp;number=0.00396&amp;sourceID=14","0.00396")</f>
        <v>0.00396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HYPERLINK("http://141.218.60.56/~jnz1568/getInfo.php?workbook=10_05.xlsx&amp;sheet=U0&amp;row=3398&amp;col=6&amp;number=4.4&amp;sourceID=14","4.4")</f>
        <v>4.4</v>
      </c>
      <c r="G3398" s="4" t="str">
        <f>HYPERLINK("http://141.218.60.56/~jnz1568/getInfo.php?workbook=10_05.xlsx&amp;sheet=U0&amp;row=3398&amp;col=7&amp;number=0.00377&amp;sourceID=14","0.00377")</f>
        <v>0.00377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HYPERLINK("http://141.218.60.56/~jnz1568/getInfo.php?workbook=10_05.xlsx&amp;sheet=U0&amp;row=3399&amp;col=6&amp;number=4.5&amp;sourceID=14","4.5")</f>
        <v>4.5</v>
      </c>
      <c r="G3399" s="4" t="str">
        <f>HYPERLINK("http://141.218.60.56/~jnz1568/getInfo.php?workbook=10_05.xlsx&amp;sheet=U0&amp;row=3399&amp;col=7&amp;number=0.00357&amp;sourceID=14","0.00357")</f>
        <v>0.00357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HYPERLINK("http://141.218.60.56/~jnz1568/getInfo.php?workbook=10_05.xlsx&amp;sheet=U0&amp;row=3400&amp;col=6&amp;number=4.6&amp;sourceID=14","4.6")</f>
        <v>4.6</v>
      </c>
      <c r="G3400" s="4" t="str">
        <f>HYPERLINK("http://141.218.60.56/~jnz1568/getInfo.php?workbook=10_05.xlsx&amp;sheet=U0&amp;row=3400&amp;col=7&amp;number=0.00337&amp;sourceID=14","0.00337")</f>
        <v>0.00337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HYPERLINK("http://141.218.60.56/~jnz1568/getInfo.php?workbook=10_05.xlsx&amp;sheet=U0&amp;row=3401&amp;col=6&amp;number=4.7&amp;sourceID=14","4.7")</f>
        <v>4.7</v>
      </c>
      <c r="G3401" s="4" t="str">
        <f>HYPERLINK("http://141.218.60.56/~jnz1568/getInfo.php?workbook=10_05.xlsx&amp;sheet=U0&amp;row=3401&amp;col=7&amp;number=0.00319&amp;sourceID=14","0.00319")</f>
        <v>0.00319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HYPERLINK("http://141.218.60.56/~jnz1568/getInfo.php?workbook=10_05.xlsx&amp;sheet=U0&amp;row=3402&amp;col=6&amp;number=4.8&amp;sourceID=14","4.8")</f>
        <v>4.8</v>
      </c>
      <c r="G3402" s="4" t="str">
        <f>HYPERLINK("http://141.218.60.56/~jnz1568/getInfo.php?workbook=10_05.xlsx&amp;sheet=U0&amp;row=3402&amp;col=7&amp;number=0.00305&amp;sourceID=14","0.00305")</f>
        <v>0.00305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HYPERLINK("http://141.218.60.56/~jnz1568/getInfo.php?workbook=10_05.xlsx&amp;sheet=U0&amp;row=3403&amp;col=6&amp;number=4.9&amp;sourceID=14","4.9")</f>
        <v>4.9</v>
      </c>
      <c r="G3403" s="4" t="str">
        <f>HYPERLINK("http://141.218.60.56/~jnz1568/getInfo.php?workbook=10_05.xlsx&amp;sheet=U0&amp;row=3403&amp;col=7&amp;number=0.00296&amp;sourceID=14","0.00296")</f>
        <v>0.00296</v>
      </c>
    </row>
    <row r="3404" spans="1:7">
      <c r="A3404" s="3">
        <v>10</v>
      </c>
      <c r="B3404" s="3">
        <v>5</v>
      </c>
      <c r="C3404" s="3">
        <v>1</v>
      </c>
      <c r="D3404" s="3">
        <v>172</v>
      </c>
      <c r="E3404" s="3">
        <v>1</v>
      </c>
      <c r="F3404" s="4" t="str">
        <f>HYPERLINK("http://141.218.60.56/~jnz1568/getInfo.php?workbook=10_05.xlsx&amp;sheet=U0&amp;row=3404&amp;col=6&amp;number=3&amp;sourceID=14","3")</f>
        <v>3</v>
      </c>
      <c r="G3404" s="4" t="str">
        <f>HYPERLINK("http://141.218.60.56/~jnz1568/getInfo.php?workbook=10_05.xlsx&amp;sheet=U0&amp;row=3404&amp;col=7&amp;number=0.00397&amp;sourceID=14","0.00397")</f>
        <v>0.00397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HYPERLINK("http://141.218.60.56/~jnz1568/getInfo.php?workbook=10_05.xlsx&amp;sheet=U0&amp;row=3405&amp;col=6&amp;number=3.1&amp;sourceID=14","3.1")</f>
        <v>3.1</v>
      </c>
      <c r="G3405" s="4" t="str">
        <f>HYPERLINK("http://141.218.60.56/~jnz1568/getInfo.php?workbook=10_05.xlsx&amp;sheet=U0&amp;row=3405&amp;col=7&amp;number=0.00396&amp;sourceID=14","0.00396")</f>
        <v>0.00396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HYPERLINK("http://141.218.60.56/~jnz1568/getInfo.php?workbook=10_05.xlsx&amp;sheet=U0&amp;row=3406&amp;col=6&amp;number=3.2&amp;sourceID=14","3.2")</f>
        <v>3.2</v>
      </c>
      <c r="G3406" s="4" t="str">
        <f>HYPERLINK("http://141.218.60.56/~jnz1568/getInfo.php?workbook=10_05.xlsx&amp;sheet=U0&amp;row=3406&amp;col=7&amp;number=0.00394&amp;sourceID=14","0.00394")</f>
        <v>0.00394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HYPERLINK("http://141.218.60.56/~jnz1568/getInfo.php?workbook=10_05.xlsx&amp;sheet=U0&amp;row=3407&amp;col=6&amp;number=3.3&amp;sourceID=14","3.3")</f>
        <v>3.3</v>
      </c>
      <c r="G3407" s="4" t="str">
        <f>HYPERLINK("http://141.218.60.56/~jnz1568/getInfo.php?workbook=10_05.xlsx&amp;sheet=U0&amp;row=3407&amp;col=7&amp;number=0.00392&amp;sourceID=14","0.00392")</f>
        <v>0.00392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HYPERLINK("http://141.218.60.56/~jnz1568/getInfo.php?workbook=10_05.xlsx&amp;sheet=U0&amp;row=3408&amp;col=6&amp;number=3.4&amp;sourceID=14","3.4")</f>
        <v>3.4</v>
      </c>
      <c r="G3408" s="4" t="str">
        <f>HYPERLINK("http://141.218.60.56/~jnz1568/getInfo.php?workbook=10_05.xlsx&amp;sheet=U0&amp;row=3408&amp;col=7&amp;number=0.0039&amp;sourceID=14","0.0039")</f>
        <v>0.0039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HYPERLINK("http://141.218.60.56/~jnz1568/getInfo.php?workbook=10_05.xlsx&amp;sheet=U0&amp;row=3409&amp;col=6&amp;number=3.5&amp;sourceID=14","3.5")</f>
        <v>3.5</v>
      </c>
      <c r="G3409" s="4" t="str">
        <f>HYPERLINK("http://141.218.60.56/~jnz1568/getInfo.php?workbook=10_05.xlsx&amp;sheet=U0&amp;row=3409&amp;col=7&amp;number=0.00387&amp;sourceID=14","0.00387")</f>
        <v>0.00387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HYPERLINK("http://141.218.60.56/~jnz1568/getInfo.php?workbook=10_05.xlsx&amp;sheet=U0&amp;row=3410&amp;col=6&amp;number=3.6&amp;sourceID=14","3.6")</f>
        <v>3.6</v>
      </c>
      <c r="G3410" s="4" t="str">
        <f>HYPERLINK("http://141.218.60.56/~jnz1568/getInfo.php?workbook=10_05.xlsx&amp;sheet=U0&amp;row=3410&amp;col=7&amp;number=0.00383&amp;sourceID=14","0.00383")</f>
        <v>0.00383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HYPERLINK("http://141.218.60.56/~jnz1568/getInfo.php?workbook=10_05.xlsx&amp;sheet=U0&amp;row=3411&amp;col=6&amp;number=3.7&amp;sourceID=14","3.7")</f>
        <v>3.7</v>
      </c>
      <c r="G3411" s="4" t="str">
        <f>HYPERLINK("http://141.218.60.56/~jnz1568/getInfo.php?workbook=10_05.xlsx&amp;sheet=U0&amp;row=3411&amp;col=7&amp;number=0.00378&amp;sourceID=14","0.00378")</f>
        <v>0.00378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HYPERLINK("http://141.218.60.56/~jnz1568/getInfo.php?workbook=10_05.xlsx&amp;sheet=U0&amp;row=3412&amp;col=6&amp;number=3.8&amp;sourceID=14","3.8")</f>
        <v>3.8</v>
      </c>
      <c r="G3412" s="4" t="str">
        <f>HYPERLINK("http://141.218.60.56/~jnz1568/getInfo.php?workbook=10_05.xlsx&amp;sheet=U0&amp;row=3412&amp;col=7&amp;number=0.00372&amp;sourceID=14","0.00372")</f>
        <v>0.00372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HYPERLINK("http://141.218.60.56/~jnz1568/getInfo.php?workbook=10_05.xlsx&amp;sheet=U0&amp;row=3413&amp;col=6&amp;number=3.9&amp;sourceID=14","3.9")</f>
        <v>3.9</v>
      </c>
      <c r="G3413" s="4" t="str">
        <f>HYPERLINK("http://141.218.60.56/~jnz1568/getInfo.php?workbook=10_05.xlsx&amp;sheet=U0&amp;row=3413&amp;col=7&amp;number=0.00365&amp;sourceID=14","0.00365")</f>
        <v>0.00365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HYPERLINK("http://141.218.60.56/~jnz1568/getInfo.php?workbook=10_05.xlsx&amp;sheet=U0&amp;row=3414&amp;col=6&amp;number=4&amp;sourceID=14","4")</f>
        <v>4</v>
      </c>
      <c r="G3414" s="4" t="str">
        <f>HYPERLINK("http://141.218.60.56/~jnz1568/getInfo.php?workbook=10_05.xlsx&amp;sheet=U0&amp;row=3414&amp;col=7&amp;number=0.00356&amp;sourceID=14","0.00356")</f>
        <v>0.00356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HYPERLINK("http://141.218.60.56/~jnz1568/getInfo.php?workbook=10_05.xlsx&amp;sheet=U0&amp;row=3415&amp;col=6&amp;number=4.1&amp;sourceID=14","4.1")</f>
        <v>4.1</v>
      </c>
      <c r="G3415" s="4" t="str">
        <f>HYPERLINK("http://141.218.60.56/~jnz1568/getInfo.php?workbook=10_05.xlsx&amp;sheet=U0&amp;row=3415&amp;col=7&amp;number=0.00345&amp;sourceID=14","0.00345")</f>
        <v>0.00345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HYPERLINK("http://141.218.60.56/~jnz1568/getInfo.php?workbook=10_05.xlsx&amp;sheet=U0&amp;row=3416&amp;col=6&amp;number=4.2&amp;sourceID=14","4.2")</f>
        <v>4.2</v>
      </c>
      <c r="G3416" s="4" t="str">
        <f>HYPERLINK("http://141.218.60.56/~jnz1568/getInfo.php?workbook=10_05.xlsx&amp;sheet=U0&amp;row=3416&amp;col=7&amp;number=0.00332&amp;sourceID=14","0.00332")</f>
        <v>0.00332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HYPERLINK("http://141.218.60.56/~jnz1568/getInfo.php?workbook=10_05.xlsx&amp;sheet=U0&amp;row=3417&amp;col=6&amp;number=4.3&amp;sourceID=14","4.3")</f>
        <v>4.3</v>
      </c>
      <c r="G3417" s="4" t="str">
        <f>HYPERLINK("http://141.218.60.56/~jnz1568/getInfo.php?workbook=10_05.xlsx&amp;sheet=U0&amp;row=3417&amp;col=7&amp;number=0.00317&amp;sourceID=14","0.00317")</f>
        <v>0.00317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HYPERLINK("http://141.218.60.56/~jnz1568/getInfo.php?workbook=10_05.xlsx&amp;sheet=U0&amp;row=3418&amp;col=6&amp;number=4.4&amp;sourceID=14","4.4")</f>
        <v>4.4</v>
      </c>
      <c r="G3418" s="4" t="str">
        <f>HYPERLINK("http://141.218.60.56/~jnz1568/getInfo.php?workbook=10_05.xlsx&amp;sheet=U0&amp;row=3418&amp;col=7&amp;number=0.00301&amp;sourceID=14","0.00301")</f>
        <v>0.00301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HYPERLINK("http://141.218.60.56/~jnz1568/getInfo.php?workbook=10_05.xlsx&amp;sheet=U0&amp;row=3419&amp;col=6&amp;number=4.5&amp;sourceID=14","4.5")</f>
        <v>4.5</v>
      </c>
      <c r="G3419" s="4" t="str">
        <f>HYPERLINK("http://141.218.60.56/~jnz1568/getInfo.php?workbook=10_05.xlsx&amp;sheet=U0&amp;row=3419&amp;col=7&amp;number=0.00284&amp;sourceID=14","0.00284")</f>
        <v>0.00284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HYPERLINK("http://141.218.60.56/~jnz1568/getInfo.php?workbook=10_05.xlsx&amp;sheet=U0&amp;row=3420&amp;col=6&amp;number=4.6&amp;sourceID=14","4.6")</f>
        <v>4.6</v>
      </c>
      <c r="G3420" s="4" t="str">
        <f>HYPERLINK("http://141.218.60.56/~jnz1568/getInfo.php?workbook=10_05.xlsx&amp;sheet=U0&amp;row=3420&amp;col=7&amp;number=0.00268&amp;sourceID=14","0.00268")</f>
        <v>0.00268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HYPERLINK("http://141.218.60.56/~jnz1568/getInfo.php?workbook=10_05.xlsx&amp;sheet=U0&amp;row=3421&amp;col=6&amp;number=4.7&amp;sourceID=14","4.7")</f>
        <v>4.7</v>
      </c>
      <c r="G3421" s="4" t="str">
        <f>HYPERLINK("http://141.218.60.56/~jnz1568/getInfo.php?workbook=10_05.xlsx&amp;sheet=U0&amp;row=3421&amp;col=7&amp;number=0.00256&amp;sourceID=14","0.00256")</f>
        <v>0.00256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HYPERLINK("http://141.218.60.56/~jnz1568/getInfo.php?workbook=10_05.xlsx&amp;sheet=U0&amp;row=3422&amp;col=6&amp;number=4.8&amp;sourceID=14","4.8")</f>
        <v>4.8</v>
      </c>
      <c r="G3422" s="4" t="str">
        <f>HYPERLINK("http://141.218.60.56/~jnz1568/getInfo.php?workbook=10_05.xlsx&amp;sheet=U0&amp;row=3422&amp;col=7&amp;number=0.00248&amp;sourceID=14","0.00248")</f>
        <v>0.00248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HYPERLINK("http://141.218.60.56/~jnz1568/getInfo.php?workbook=10_05.xlsx&amp;sheet=U0&amp;row=3423&amp;col=6&amp;number=4.9&amp;sourceID=14","4.9")</f>
        <v>4.9</v>
      </c>
      <c r="G3423" s="4" t="str">
        <f>HYPERLINK("http://141.218.60.56/~jnz1568/getInfo.php?workbook=10_05.xlsx&amp;sheet=U0&amp;row=3423&amp;col=7&amp;number=0.00242&amp;sourceID=14","0.00242")</f>
        <v>0.00242</v>
      </c>
    </row>
    <row r="3424" spans="1:7">
      <c r="A3424" s="3">
        <v>10</v>
      </c>
      <c r="B3424" s="3">
        <v>5</v>
      </c>
      <c r="C3424" s="3">
        <v>1</v>
      </c>
      <c r="D3424" s="3">
        <v>173</v>
      </c>
      <c r="E3424" s="3">
        <v>1</v>
      </c>
      <c r="F3424" s="4" t="str">
        <f>HYPERLINK("http://141.218.60.56/~jnz1568/getInfo.php?workbook=10_05.xlsx&amp;sheet=U0&amp;row=3424&amp;col=6&amp;number=3&amp;sourceID=14","3")</f>
        <v>3</v>
      </c>
      <c r="G3424" s="4" t="str">
        <f>HYPERLINK("http://141.218.60.56/~jnz1568/getInfo.php?workbook=10_05.xlsx&amp;sheet=U0&amp;row=3424&amp;col=7&amp;number=0.005&amp;sourceID=14","0.005")</f>
        <v>0.005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HYPERLINK("http://141.218.60.56/~jnz1568/getInfo.php?workbook=10_05.xlsx&amp;sheet=U0&amp;row=3425&amp;col=6&amp;number=3.1&amp;sourceID=14","3.1")</f>
        <v>3.1</v>
      </c>
      <c r="G3425" s="4" t="str">
        <f>HYPERLINK("http://141.218.60.56/~jnz1568/getInfo.php?workbook=10_05.xlsx&amp;sheet=U0&amp;row=3425&amp;col=7&amp;number=0.00498&amp;sourceID=14","0.00498")</f>
        <v>0.00498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HYPERLINK("http://141.218.60.56/~jnz1568/getInfo.php?workbook=10_05.xlsx&amp;sheet=U0&amp;row=3426&amp;col=6&amp;number=3.2&amp;sourceID=14","3.2")</f>
        <v>3.2</v>
      </c>
      <c r="G3426" s="4" t="str">
        <f>HYPERLINK("http://141.218.60.56/~jnz1568/getInfo.php?workbook=10_05.xlsx&amp;sheet=U0&amp;row=3426&amp;col=7&amp;number=0.00495&amp;sourceID=14","0.00495")</f>
        <v>0.00495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HYPERLINK("http://141.218.60.56/~jnz1568/getInfo.php?workbook=10_05.xlsx&amp;sheet=U0&amp;row=3427&amp;col=6&amp;number=3.3&amp;sourceID=14","3.3")</f>
        <v>3.3</v>
      </c>
      <c r="G3427" s="4" t="str">
        <f>HYPERLINK("http://141.218.60.56/~jnz1568/getInfo.php?workbook=10_05.xlsx&amp;sheet=U0&amp;row=3427&amp;col=7&amp;number=0.00492&amp;sourceID=14","0.00492")</f>
        <v>0.00492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HYPERLINK("http://141.218.60.56/~jnz1568/getInfo.php?workbook=10_05.xlsx&amp;sheet=U0&amp;row=3428&amp;col=6&amp;number=3.4&amp;sourceID=14","3.4")</f>
        <v>3.4</v>
      </c>
      <c r="G3428" s="4" t="str">
        <f>HYPERLINK("http://141.218.60.56/~jnz1568/getInfo.php?workbook=10_05.xlsx&amp;sheet=U0&amp;row=3428&amp;col=7&amp;number=0.00488&amp;sourceID=14","0.00488")</f>
        <v>0.00488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HYPERLINK("http://141.218.60.56/~jnz1568/getInfo.php?workbook=10_05.xlsx&amp;sheet=U0&amp;row=3429&amp;col=6&amp;number=3.5&amp;sourceID=14","3.5")</f>
        <v>3.5</v>
      </c>
      <c r="G3429" s="4" t="str">
        <f>HYPERLINK("http://141.218.60.56/~jnz1568/getInfo.php?workbook=10_05.xlsx&amp;sheet=U0&amp;row=3429&amp;col=7&amp;number=0.00483&amp;sourceID=14","0.00483")</f>
        <v>0.00483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HYPERLINK("http://141.218.60.56/~jnz1568/getInfo.php?workbook=10_05.xlsx&amp;sheet=U0&amp;row=3430&amp;col=6&amp;number=3.6&amp;sourceID=14","3.6")</f>
        <v>3.6</v>
      </c>
      <c r="G3430" s="4" t="str">
        <f>HYPERLINK("http://141.218.60.56/~jnz1568/getInfo.php?workbook=10_05.xlsx&amp;sheet=U0&amp;row=3430&amp;col=7&amp;number=0.00476&amp;sourceID=14","0.00476")</f>
        <v>0.00476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HYPERLINK("http://141.218.60.56/~jnz1568/getInfo.php?workbook=10_05.xlsx&amp;sheet=U0&amp;row=3431&amp;col=6&amp;number=3.7&amp;sourceID=14","3.7")</f>
        <v>3.7</v>
      </c>
      <c r="G3431" s="4" t="str">
        <f>HYPERLINK("http://141.218.60.56/~jnz1568/getInfo.php?workbook=10_05.xlsx&amp;sheet=U0&amp;row=3431&amp;col=7&amp;number=0.00468&amp;sourceID=14","0.00468")</f>
        <v>0.00468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HYPERLINK("http://141.218.60.56/~jnz1568/getInfo.php?workbook=10_05.xlsx&amp;sheet=U0&amp;row=3432&amp;col=6&amp;number=3.8&amp;sourceID=14","3.8")</f>
        <v>3.8</v>
      </c>
      <c r="G3432" s="4" t="str">
        <f>HYPERLINK("http://141.218.60.56/~jnz1568/getInfo.php?workbook=10_05.xlsx&amp;sheet=U0&amp;row=3432&amp;col=7&amp;number=0.00459&amp;sourceID=14","0.00459")</f>
        <v>0.00459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HYPERLINK("http://141.218.60.56/~jnz1568/getInfo.php?workbook=10_05.xlsx&amp;sheet=U0&amp;row=3433&amp;col=6&amp;number=3.9&amp;sourceID=14","3.9")</f>
        <v>3.9</v>
      </c>
      <c r="G3433" s="4" t="str">
        <f>HYPERLINK("http://141.218.60.56/~jnz1568/getInfo.php?workbook=10_05.xlsx&amp;sheet=U0&amp;row=3433&amp;col=7&amp;number=0.00446&amp;sourceID=14","0.00446")</f>
        <v>0.00446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HYPERLINK("http://141.218.60.56/~jnz1568/getInfo.php?workbook=10_05.xlsx&amp;sheet=U0&amp;row=3434&amp;col=6&amp;number=4&amp;sourceID=14","4")</f>
        <v>4</v>
      </c>
      <c r="G3434" s="4" t="str">
        <f>HYPERLINK("http://141.218.60.56/~jnz1568/getInfo.php?workbook=10_05.xlsx&amp;sheet=U0&amp;row=3434&amp;col=7&amp;number=0.00432&amp;sourceID=14","0.00432")</f>
        <v>0.00432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HYPERLINK("http://141.218.60.56/~jnz1568/getInfo.php?workbook=10_05.xlsx&amp;sheet=U0&amp;row=3435&amp;col=6&amp;number=4.1&amp;sourceID=14","4.1")</f>
        <v>4.1</v>
      </c>
      <c r="G3435" s="4" t="str">
        <f>HYPERLINK("http://141.218.60.56/~jnz1568/getInfo.php?workbook=10_05.xlsx&amp;sheet=U0&amp;row=3435&amp;col=7&amp;number=0.00415&amp;sourceID=14","0.00415")</f>
        <v>0.00415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HYPERLINK("http://141.218.60.56/~jnz1568/getInfo.php?workbook=10_05.xlsx&amp;sheet=U0&amp;row=3436&amp;col=6&amp;number=4.2&amp;sourceID=14","4.2")</f>
        <v>4.2</v>
      </c>
      <c r="G3436" s="4" t="str">
        <f>HYPERLINK("http://141.218.60.56/~jnz1568/getInfo.php?workbook=10_05.xlsx&amp;sheet=U0&amp;row=3436&amp;col=7&amp;number=0.00395&amp;sourceID=14","0.00395")</f>
        <v>0.00395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HYPERLINK("http://141.218.60.56/~jnz1568/getInfo.php?workbook=10_05.xlsx&amp;sheet=U0&amp;row=3437&amp;col=6&amp;number=4.3&amp;sourceID=14","4.3")</f>
        <v>4.3</v>
      </c>
      <c r="G3437" s="4" t="str">
        <f>HYPERLINK("http://141.218.60.56/~jnz1568/getInfo.php?workbook=10_05.xlsx&amp;sheet=U0&amp;row=3437&amp;col=7&amp;number=0.00373&amp;sourceID=14","0.00373")</f>
        <v>0.00373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HYPERLINK("http://141.218.60.56/~jnz1568/getInfo.php?workbook=10_05.xlsx&amp;sheet=U0&amp;row=3438&amp;col=6&amp;number=4.4&amp;sourceID=14","4.4")</f>
        <v>4.4</v>
      </c>
      <c r="G3438" s="4" t="str">
        <f>HYPERLINK("http://141.218.60.56/~jnz1568/getInfo.php?workbook=10_05.xlsx&amp;sheet=U0&amp;row=3438&amp;col=7&amp;number=0.0035&amp;sourceID=14","0.0035")</f>
        <v>0.0035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HYPERLINK("http://141.218.60.56/~jnz1568/getInfo.php?workbook=10_05.xlsx&amp;sheet=U0&amp;row=3439&amp;col=6&amp;number=4.5&amp;sourceID=14","4.5")</f>
        <v>4.5</v>
      </c>
      <c r="G3439" s="4" t="str">
        <f>HYPERLINK("http://141.218.60.56/~jnz1568/getInfo.php?workbook=10_05.xlsx&amp;sheet=U0&amp;row=3439&amp;col=7&amp;number=0.00329&amp;sourceID=14","0.00329")</f>
        <v>0.00329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HYPERLINK("http://141.218.60.56/~jnz1568/getInfo.php?workbook=10_05.xlsx&amp;sheet=U0&amp;row=3440&amp;col=6&amp;number=4.6&amp;sourceID=14","4.6")</f>
        <v>4.6</v>
      </c>
      <c r="G3440" s="4" t="str">
        <f>HYPERLINK("http://141.218.60.56/~jnz1568/getInfo.php?workbook=10_05.xlsx&amp;sheet=U0&amp;row=3440&amp;col=7&amp;number=0.0031&amp;sourceID=14","0.0031")</f>
        <v>0.0031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HYPERLINK("http://141.218.60.56/~jnz1568/getInfo.php?workbook=10_05.xlsx&amp;sheet=U0&amp;row=3441&amp;col=6&amp;number=4.7&amp;sourceID=14","4.7")</f>
        <v>4.7</v>
      </c>
      <c r="G3441" s="4" t="str">
        <f>HYPERLINK("http://141.218.60.56/~jnz1568/getInfo.php?workbook=10_05.xlsx&amp;sheet=U0&amp;row=3441&amp;col=7&amp;number=0.00295&amp;sourceID=14","0.00295")</f>
        <v>0.00295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HYPERLINK("http://141.218.60.56/~jnz1568/getInfo.php?workbook=10_05.xlsx&amp;sheet=U0&amp;row=3442&amp;col=6&amp;number=4.8&amp;sourceID=14","4.8")</f>
        <v>4.8</v>
      </c>
      <c r="G3442" s="4" t="str">
        <f>HYPERLINK("http://141.218.60.56/~jnz1568/getInfo.php?workbook=10_05.xlsx&amp;sheet=U0&amp;row=3442&amp;col=7&amp;number=0.00282&amp;sourceID=14","0.00282")</f>
        <v>0.00282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HYPERLINK("http://141.218.60.56/~jnz1568/getInfo.php?workbook=10_05.xlsx&amp;sheet=U0&amp;row=3443&amp;col=6&amp;number=4.9&amp;sourceID=14","4.9")</f>
        <v>4.9</v>
      </c>
      <c r="G3443" s="4" t="str">
        <f>HYPERLINK("http://141.218.60.56/~jnz1568/getInfo.php?workbook=10_05.xlsx&amp;sheet=U0&amp;row=3443&amp;col=7&amp;number=0.00267&amp;sourceID=14","0.00267")</f>
        <v>0.00267</v>
      </c>
    </row>
    <row r="3444" spans="1:7">
      <c r="A3444" s="3">
        <v>10</v>
      </c>
      <c r="B3444" s="3">
        <v>5</v>
      </c>
      <c r="C3444" s="3">
        <v>1</v>
      </c>
      <c r="D3444" s="3">
        <v>174</v>
      </c>
      <c r="E3444" s="3">
        <v>1</v>
      </c>
      <c r="F3444" s="4" t="str">
        <f>HYPERLINK("http://141.218.60.56/~jnz1568/getInfo.php?workbook=10_05.xlsx&amp;sheet=U0&amp;row=3444&amp;col=6&amp;number=3&amp;sourceID=14","3")</f>
        <v>3</v>
      </c>
      <c r="G3444" s="4" t="str">
        <f>HYPERLINK("http://141.218.60.56/~jnz1568/getInfo.php?workbook=10_05.xlsx&amp;sheet=U0&amp;row=3444&amp;col=7&amp;number=0.0024&amp;sourceID=14","0.0024")</f>
        <v>0.0024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HYPERLINK("http://141.218.60.56/~jnz1568/getInfo.php?workbook=10_05.xlsx&amp;sheet=U0&amp;row=3445&amp;col=6&amp;number=3.1&amp;sourceID=14","3.1")</f>
        <v>3.1</v>
      </c>
      <c r="G3445" s="4" t="str">
        <f>HYPERLINK("http://141.218.60.56/~jnz1568/getInfo.php?workbook=10_05.xlsx&amp;sheet=U0&amp;row=3445&amp;col=7&amp;number=0.00239&amp;sourceID=14","0.00239")</f>
        <v>0.00239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HYPERLINK("http://141.218.60.56/~jnz1568/getInfo.php?workbook=10_05.xlsx&amp;sheet=U0&amp;row=3446&amp;col=6&amp;number=3.2&amp;sourceID=14","3.2")</f>
        <v>3.2</v>
      </c>
      <c r="G3446" s="4" t="str">
        <f>HYPERLINK("http://141.218.60.56/~jnz1568/getInfo.php?workbook=10_05.xlsx&amp;sheet=U0&amp;row=3446&amp;col=7&amp;number=0.00239&amp;sourceID=14","0.00239")</f>
        <v>0.00239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HYPERLINK("http://141.218.60.56/~jnz1568/getInfo.php?workbook=10_05.xlsx&amp;sheet=U0&amp;row=3447&amp;col=6&amp;number=3.3&amp;sourceID=14","3.3")</f>
        <v>3.3</v>
      </c>
      <c r="G3447" s="4" t="str">
        <f>HYPERLINK("http://141.218.60.56/~jnz1568/getInfo.php?workbook=10_05.xlsx&amp;sheet=U0&amp;row=3447&amp;col=7&amp;number=0.00237&amp;sourceID=14","0.00237")</f>
        <v>0.00237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HYPERLINK("http://141.218.60.56/~jnz1568/getInfo.php?workbook=10_05.xlsx&amp;sheet=U0&amp;row=3448&amp;col=6&amp;number=3.4&amp;sourceID=14","3.4")</f>
        <v>3.4</v>
      </c>
      <c r="G3448" s="4" t="str">
        <f>HYPERLINK("http://141.218.60.56/~jnz1568/getInfo.php?workbook=10_05.xlsx&amp;sheet=U0&amp;row=3448&amp;col=7&amp;number=0.00236&amp;sourceID=14","0.00236")</f>
        <v>0.00236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HYPERLINK("http://141.218.60.56/~jnz1568/getInfo.php?workbook=10_05.xlsx&amp;sheet=U0&amp;row=3449&amp;col=6&amp;number=3.5&amp;sourceID=14","3.5")</f>
        <v>3.5</v>
      </c>
      <c r="G3449" s="4" t="str">
        <f>HYPERLINK("http://141.218.60.56/~jnz1568/getInfo.php?workbook=10_05.xlsx&amp;sheet=U0&amp;row=3449&amp;col=7&amp;number=0.00235&amp;sourceID=14","0.00235")</f>
        <v>0.00235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HYPERLINK("http://141.218.60.56/~jnz1568/getInfo.php?workbook=10_05.xlsx&amp;sheet=U0&amp;row=3450&amp;col=6&amp;number=3.6&amp;sourceID=14","3.6")</f>
        <v>3.6</v>
      </c>
      <c r="G3450" s="4" t="str">
        <f>HYPERLINK("http://141.218.60.56/~jnz1568/getInfo.php?workbook=10_05.xlsx&amp;sheet=U0&amp;row=3450&amp;col=7&amp;number=0.00233&amp;sourceID=14","0.00233")</f>
        <v>0.00233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HYPERLINK("http://141.218.60.56/~jnz1568/getInfo.php?workbook=10_05.xlsx&amp;sheet=U0&amp;row=3451&amp;col=6&amp;number=3.7&amp;sourceID=14","3.7")</f>
        <v>3.7</v>
      </c>
      <c r="G3451" s="4" t="str">
        <f>HYPERLINK("http://141.218.60.56/~jnz1568/getInfo.php?workbook=10_05.xlsx&amp;sheet=U0&amp;row=3451&amp;col=7&amp;number=0.0023&amp;sourceID=14","0.0023")</f>
        <v>0.0023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HYPERLINK("http://141.218.60.56/~jnz1568/getInfo.php?workbook=10_05.xlsx&amp;sheet=U0&amp;row=3452&amp;col=6&amp;number=3.8&amp;sourceID=14","3.8")</f>
        <v>3.8</v>
      </c>
      <c r="G3452" s="4" t="str">
        <f>HYPERLINK("http://141.218.60.56/~jnz1568/getInfo.php?workbook=10_05.xlsx&amp;sheet=U0&amp;row=3452&amp;col=7&amp;number=0.00227&amp;sourceID=14","0.00227")</f>
        <v>0.00227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HYPERLINK("http://141.218.60.56/~jnz1568/getInfo.php?workbook=10_05.xlsx&amp;sheet=U0&amp;row=3453&amp;col=6&amp;number=3.9&amp;sourceID=14","3.9")</f>
        <v>3.9</v>
      </c>
      <c r="G3453" s="4" t="str">
        <f>HYPERLINK("http://141.218.60.56/~jnz1568/getInfo.php?workbook=10_05.xlsx&amp;sheet=U0&amp;row=3453&amp;col=7&amp;number=0.00223&amp;sourceID=14","0.00223")</f>
        <v>0.00223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HYPERLINK("http://141.218.60.56/~jnz1568/getInfo.php?workbook=10_05.xlsx&amp;sheet=U0&amp;row=3454&amp;col=6&amp;number=4&amp;sourceID=14","4")</f>
        <v>4</v>
      </c>
      <c r="G3454" s="4" t="str">
        <f>HYPERLINK("http://141.218.60.56/~jnz1568/getInfo.php?workbook=10_05.xlsx&amp;sheet=U0&amp;row=3454&amp;col=7&amp;number=0.00218&amp;sourceID=14","0.00218")</f>
        <v>0.00218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HYPERLINK("http://141.218.60.56/~jnz1568/getInfo.php?workbook=10_05.xlsx&amp;sheet=U0&amp;row=3455&amp;col=6&amp;number=4.1&amp;sourceID=14","4.1")</f>
        <v>4.1</v>
      </c>
      <c r="G3455" s="4" t="str">
        <f>HYPERLINK("http://141.218.60.56/~jnz1568/getInfo.php?workbook=10_05.xlsx&amp;sheet=U0&amp;row=3455&amp;col=7&amp;number=0.00212&amp;sourceID=14","0.00212")</f>
        <v>0.00212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HYPERLINK("http://141.218.60.56/~jnz1568/getInfo.php?workbook=10_05.xlsx&amp;sheet=U0&amp;row=3456&amp;col=6&amp;number=4.2&amp;sourceID=14","4.2")</f>
        <v>4.2</v>
      </c>
      <c r="G3456" s="4" t="str">
        <f>HYPERLINK("http://141.218.60.56/~jnz1568/getInfo.php?workbook=10_05.xlsx&amp;sheet=U0&amp;row=3456&amp;col=7&amp;number=0.00206&amp;sourceID=14","0.00206")</f>
        <v>0.00206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HYPERLINK("http://141.218.60.56/~jnz1568/getInfo.php?workbook=10_05.xlsx&amp;sheet=U0&amp;row=3457&amp;col=6&amp;number=4.3&amp;sourceID=14","4.3")</f>
        <v>4.3</v>
      </c>
      <c r="G3457" s="4" t="str">
        <f>HYPERLINK("http://141.218.60.56/~jnz1568/getInfo.php?workbook=10_05.xlsx&amp;sheet=U0&amp;row=3457&amp;col=7&amp;number=0.00198&amp;sourceID=14","0.00198")</f>
        <v>0.00198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HYPERLINK("http://141.218.60.56/~jnz1568/getInfo.php?workbook=10_05.xlsx&amp;sheet=U0&amp;row=3458&amp;col=6&amp;number=4.4&amp;sourceID=14","4.4")</f>
        <v>4.4</v>
      </c>
      <c r="G3458" s="4" t="str">
        <f>HYPERLINK("http://141.218.60.56/~jnz1568/getInfo.php?workbook=10_05.xlsx&amp;sheet=U0&amp;row=3458&amp;col=7&amp;number=0.00189&amp;sourceID=14","0.00189")</f>
        <v>0.00189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HYPERLINK("http://141.218.60.56/~jnz1568/getInfo.php?workbook=10_05.xlsx&amp;sheet=U0&amp;row=3459&amp;col=6&amp;number=4.5&amp;sourceID=14","4.5")</f>
        <v>4.5</v>
      </c>
      <c r="G3459" s="4" t="str">
        <f>HYPERLINK("http://141.218.60.56/~jnz1568/getInfo.php?workbook=10_05.xlsx&amp;sheet=U0&amp;row=3459&amp;col=7&amp;number=0.0018&amp;sourceID=14","0.0018")</f>
        <v>0.0018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HYPERLINK("http://141.218.60.56/~jnz1568/getInfo.php?workbook=10_05.xlsx&amp;sheet=U0&amp;row=3460&amp;col=6&amp;number=4.6&amp;sourceID=14","4.6")</f>
        <v>4.6</v>
      </c>
      <c r="G3460" s="4" t="str">
        <f>HYPERLINK("http://141.218.60.56/~jnz1568/getInfo.php?workbook=10_05.xlsx&amp;sheet=U0&amp;row=3460&amp;col=7&amp;number=0.00172&amp;sourceID=14","0.00172")</f>
        <v>0.00172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HYPERLINK("http://141.218.60.56/~jnz1568/getInfo.php?workbook=10_05.xlsx&amp;sheet=U0&amp;row=3461&amp;col=6&amp;number=4.7&amp;sourceID=14","4.7")</f>
        <v>4.7</v>
      </c>
      <c r="G3461" s="4" t="str">
        <f>HYPERLINK("http://141.218.60.56/~jnz1568/getInfo.php?workbook=10_05.xlsx&amp;sheet=U0&amp;row=3461&amp;col=7&amp;number=0.00165&amp;sourceID=14","0.00165")</f>
        <v>0.00165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HYPERLINK("http://141.218.60.56/~jnz1568/getInfo.php?workbook=10_05.xlsx&amp;sheet=U0&amp;row=3462&amp;col=6&amp;number=4.8&amp;sourceID=14","4.8")</f>
        <v>4.8</v>
      </c>
      <c r="G3462" s="4" t="str">
        <f>HYPERLINK("http://141.218.60.56/~jnz1568/getInfo.php?workbook=10_05.xlsx&amp;sheet=U0&amp;row=3462&amp;col=7&amp;number=0.00161&amp;sourceID=14","0.00161")</f>
        <v>0.00161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HYPERLINK("http://141.218.60.56/~jnz1568/getInfo.php?workbook=10_05.xlsx&amp;sheet=U0&amp;row=3463&amp;col=6&amp;number=4.9&amp;sourceID=14","4.9")</f>
        <v>4.9</v>
      </c>
      <c r="G3463" s="4" t="str">
        <f>HYPERLINK("http://141.218.60.56/~jnz1568/getInfo.php?workbook=10_05.xlsx&amp;sheet=U0&amp;row=3463&amp;col=7&amp;number=0.00157&amp;sourceID=14","0.00157")</f>
        <v>0.00157</v>
      </c>
    </row>
    <row r="3464" spans="1:7">
      <c r="A3464" s="3">
        <v>10</v>
      </c>
      <c r="B3464" s="3">
        <v>5</v>
      </c>
      <c r="C3464" s="3">
        <v>1</v>
      </c>
      <c r="D3464" s="3">
        <v>175</v>
      </c>
      <c r="E3464" s="3">
        <v>1</v>
      </c>
      <c r="F3464" s="4" t="str">
        <f>HYPERLINK("http://141.218.60.56/~jnz1568/getInfo.php?workbook=10_05.xlsx&amp;sheet=U0&amp;row=3464&amp;col=6&amp;number=3&amp;sourceID=14","3")</f>
        <v>3</v>
      </c>
      <c r="G3464" s="4" t="str">
        <f>HYPERLINK("http://141.218.60.56/~jnz1568/getInfo.php?workbook=10_05.xlsx&amp;sheet=U0&amp;row=3464&amp;col=7&amp;number=0.00437&amp;sourceID=14","0.00437")</f>
        <v>0.00437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HYPERLINK("http://141.218.60.56/~jnz1568/getInfo.php?workbook=10_05.xlsx&amp;sheet=U0&amp;row=3465&amp;col=6&amp;number=3.1&amp;sourceID=14","3.1")</f>
        <v>3.1</v>
      </c>
      <c r="G3465" s="4" t="str">
        <f>HYPERLINK("http://141.218.60.56/~jnz1568/getInfo.php?workbook=10_05.xlsx&amp;sheet=U0&amp;row=3465&amp;col=7&amp;number=0.00436&amp;sourceID=14","0.00436")</f>
        <v>0.00436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HYPERLINK("http://141.218.60.56/~jnz1568/getInfo.php?workbook=10_05.xlsx&amp;sheet=U0&amp;row=3466&amp;col=6&amp;number=3.2&amp;sourceID=14","3.2")</f>
        <v>3.2</v>
      </c>
      <c r="G3466" s="4" t="str">
        <f>HYPERLINK("http://141.218.60.56/~jnz1568/getInfo.php?workbook=10_05.xlsx&amp;sheet=U0&amp;row=3466&amp;col=7&amp;number=0.00436&amp;sourceID=14","0.00436")</f>
        <v>0.00436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HYPERLINK("http://141.218.60.56/~jnz1568/getInfo.php?workbook=10_05.xlsx&amp;sheet=U0&amp;row=3467&amp;col=6&amp;number=3.3&amp;sourceID=14","3.3")</f>
        <v>3.3</v>
      </c>
      <c r="G3467" s="4" t="str">
        <f>HYPERLINK("http://141.218.60.56/~jnz1568/getInfo.php?workbook=10_05.xlsx&amp;sheet=U0&amp;row=3467&amp;col=7&amp;number=0.00435&amp;sourceID=14","0.00435")</f>
        <v>0.00435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HYPERLINK("http://141.218.60.56/~jnz1568/getInfo.php?workbook=10_05.xlsx&amp;sheet=U0&amp;row=3468&amp;col=6&amp;number=3.4&amp;sourceID=14","3.4")</f>
        <v>3.4</v>
      </c>
      <c r="G3468" s="4" t="str">
        <f>HYPERLINK("http://141.218.60.56/~jnz1568/getInfo.php?workbook=10_05.xlsx&amp;sheet=U0&amp;row=3468&amp;col=7&amp;number=0.00435&amp;sourceID=14","0.00435")</f>
        <v>0.00435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HYPERLINK("http://141.218.60.56/~jnz1568/getInfo.php?workbook=10_05.xlsx&amp;sheet=U0&amp;row=3469&amp;col=6&amp;number=3.5&amp;sourceID=14","3.5")</f>
        <v>3.5</v>
      </c>
      <c r="G3469" s="4" t="str">
        <f>HYPERLINK("http://141.218.60.56/~jnz1568/getInfo.php?workbook=10_05.xlsx&amp;sheet=U0&amp;row=3469&amp;col=7&amp;number=0.00434&amp;sourceID=14","0.00434")</f>
        <v>0.00434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HYPERLINK("http://141.218.60.56/~jnz1568/getInfo.php?workbook=10_05.xlsx&amp;sheet=U0&amp;row=3470&amp;col=6&amp;number=3.6&amp;sourceID=14","3.6")</f>
        <v>3.6</v>
      </c>
      <c r="G3470" s="4" t="str">
        <f>HYPERLINK("http://141.218.60.56/~jnz1568/getInfo.php?workbook=10_05.xlsx&amp;sheet=U0&amp;row=3470&amp;col=7&amp;number=0.00432&amp;sourceID=14","0.00432")</f>
        <v>0.00432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HYPERLINK("http://141.218.60.56/~jnz1568/getInfo.php?workbook=10_05.xlsx&amp;sheet=U0&amp;row=3471&amp;col=6&amp;number=3.7&amp;sourceID=14","3.7")</f>
        <v>3.7</v>
      </c>
      <c r="G3471" s="4" t="str">
        <f>HYPERLINK("http://141.218.60.56/~jnz1568/getInfo.php?workbook=10_05.xlsx&amp;sheet=U0&amp;row=3471&amp;col=7&amp;number=0.00431&amp;sourceID=14","0.00431")</f>
        <v>0.00431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HYPERLINK("http://141.218.60.56/~jnz1568/getInfo.php?workbook=10_05.xlsx&amp;sheet=U0&amp;row=3472&amp;col=6&amp;number=3.8&amp;sourceID=14","3.8")</f>
        <v>3.8</v>
      </c>
      <c r="G3472" s="4" t="str">
        <f>HYPERLINK("http://141.218.60.56/~jnz1568/getInfo.php?workbook=10_05.xlsx&amp;sheet=U0&amp;row=3472&amp;col=7&amp;number=0.00429&amp;sourceID=14","0.00429")</f>
        <v>0.00429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HYPERLINK("http://141.218.60.56/~jnz1568/getInfo.php?workbook=10_05.xlsx&amp;sheet=U0&amp;row=3473&amp;col=6&amp;number=3.9&amp;sourceID=14","3.9")</f>
        <v>3.9</v>
      </c>
      <c r="G3473" s="4" t="str">
        <f>HYPERLINK("http://141.218.60.56/~jnz1568/getInfo.php?workbook=10_05.xlsx&amp;sheet=U0&amp;row=3473&amp;col=7&amp;number=0.00427&amp;sourceID=14","0.00427")</f>
        <v>0.00427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HYPERLINK("http://141.218.60.56/~jnz1568/getInfo.php?workbook=10_05.xlsx&amp;sheet=U0&amp;row=3474&amp;col=6&amp;number=4&amp;sourceID=14","4")</f>
        <v>4</v>
      </c>
      <c r="G3474" s="4" t="str">
        <f>HYPERLINK("http://141.218.60.56/~jnz1568/getInfo.php?workbook=10_05.xlsx&amp;sheet=U0&amp;row=3474&amp;col=7&amp;number=0.00424&amp;sourceID=14","0.00424")</f>
        <v>0.00424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HYPERLINK("http://141.218.60.56/~jnz1568/getInfo.php?workbook=10_05.xlsx&amp;sheet=U0&amp;row=3475&amp;col=6&amp;number=4.1&amp;sourceID=14","4.1")</f>
        <v>4.1</v>
      </c>
      <c r="G3475" s="4" t="str">
        <f>HYPERLINK("http://141.218.60.56/~jnz1568/getInfo.php?workbook=10_05.xlsx&amp;sheet=U0&amp;row=3475&amp;col=7&amp;number=0.00421&amp;sourceID=14","0.00421")</f>
        <v>0.00421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HYPERLINK("http://141.218.60.56/~jnz1568/getInfo.php?workbook=10_05.xlsx&amp;sheet=U0&amp;row=3476&amp;col=6&amp;number=4.2&amp;sourceID=14","4.2")</f>
        <v>4.2</v>
      </c>
      <c r="G3476" s="4" t="str">
        <f>HYPERLINK("http://141.218.60.56/~jnz1568/getInfo.php?workbook=10_05.xlsx&amp;sheet=U0&amp;row=3476&amp;col=7&amp;number=0.00417&amp;sourceID=14","0.00417")</f>
        <v>0.00417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HYPERLINK("http://141.218.60.56/~jnz1568/getInfo.php?workbook=10_05.xlsx&amp;sheet=U0&amp;row=3477&amp;col=6&amp;number=4.3&amp;sourceID=14","4.3")</f>
        <v>4.3</v>
      </c>
      <c r="G3477" s="4" t="str">
        <f>HYPERLINK("http://141.218.60.56/~jnz1568/getInfo.php?workbook=10_05.xlsx&amp;sheet=U0&amp;row=3477&amp;col=7&amp;number=0.00413&amp;sourceID=14","0.00413")</f>
        <v>0.00413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HYPERLINK("http://141.218.60.56/~jnz1568/getInfo.php?workbook=10_05.xlsx&amp;sheet=U0&amp;row=3478&amp;col=6&amp;number=4.4&amp;sourceID=14","4.4")</f>
        <v>4.4</v>
      </c>
      <c r="G3478" s="4" t="str">
        <f>HYPERLINK("http://141.218.60.56/~jnz1568/getInfo.php?workbook=10_05.xlsx&amp;sheet=U0&amp;row=3478&amp;col=7&amp;number=0.00409&amp;sourceID=14","0.00409")</f>
        <v>0.00409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HYPERLINK("http://141.218.60.56/~jnz1568/getInfo.php?workbook=10_05.xlsx&amp;sheet=U0&amp;row=3479&amp;col=6&amp;number=4.5&amp;sourceID=14","4.5")</f>
        <v>4.5</v>
      </c>
      <c r="G3479" s="4" t="str">
        <f>HYPERLINK("http://141.218.60.56/~jnz1568/getInfo.php?workbook=10_05.xlsx&amp;sheet=U0&amp;row=3479&amp;col=7&amp;number=0.00406&amp;sourceID=14","0.00406")</f>
        <v>0.00406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HYPERLINK("http://141.218.60.56/~jnz1568/getInfo.php?workbook=10_05.xlsx&amp;sheet=U0&amp;row=3480&amp;col=6&amp;number=4.6&amp;sourceID=14","4.6")</f>
        <v>4.6</v>
      </c>
      <c r="G3480" s="4" t="str">
        <f>HYPERLINK("http://141.218.60.56/~jnz1568/getInfo.php?workbook=10_05.xlsx&amp;sheet=U0&amp;row=3480&amp;col=7&amp;number=0.00404&amp;sourceID=14","0.00404")</f>
        <v>0.00404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HYPERLINK("http://141.218.60.56/~jnz1568/getInfo.php?workbook=10_05.xlsx&amp;sheet=U0&amp;row=3481&amp;col=6&amp;number=4.7&amp;sourceID=14","4.7")</f>
        <v>4.7</v>
      </c>
      <c r="G3481" s="4" t="str">
        <f>HYPERLINK("http://141.218.60.56/~jnz1568/getInfo.php?workbook=10_05.xlsx&amp;sheet=U0&amp;row=3481&amp;col=7&amp;number=0.00403&amp;sourceID=14","0.00403")</f>
        <v>0.00403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HYPERLINK("http://141.218.60.56/~jnz1568/getInfo.php?workbook=10_05.xlsx&amp;sheet=U0&amp;row=3482&amp;col=6&amp;number=4.8&amp;sourceID=14","4.8")</f>
        <v>4.8</v>
      </c>
      <c r="G3482" s="4" t="str">
        <f>HYPERLINK("http://141.218.60.56/~jnz1568/getInfo.php?workbook=10_05.xlsx&amp;sheet=U0&amp;row=3482&amp;col=7&amp;number=0.00401&amp;sourceID=14","0.00401")</f>
        <v>0.00401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HYPERLINK("http://141.218.60.56/~jnz1568/getInfo.php?workbook=10_05.xlsx&amp;sheet=U0&amp;row=3483&amp;col=6&amp;number=4.9&amp;sourceID=14","4.9")</f>
        <v>4.9</v>
      </c>
      <c r="G3483" s="4" t="str">
        <f>HYPERLINK("http://141.218.60.56/~jnz1568/getInfo.php?workbook=10_05.xlsx&amp;sheet=U0&amp;row=3483&amp;col=7&amp;number=0.00397&amp;sourceID=14","0.00397")</f>
        <v>0.00397</v>
      </c>
    </row>
    <row r="3484" spans="1:7">
      <c r="A3484" s="3">
        <v>10</v>
      </c>
      <c r="B3484" s="3">
        <v>5</v>
      </c>
      <c r="C3484" s="3">
        <v>1</v>
      </c>
      <c r="D3484" s="3">
        <v>176</v>
      </c>
      <c r="E3484" s="3">
        <v>1</v>
      </c>
      <c r="F3484" s="4" t="str">
        <f>HYPERLINK("http://141.218.60.56/~jnz1568/getInfo.php?workbook=10_05.xlsx&amp;sheet=U0&amp;row=3484&amp;col=6&amp;number=3&amp;sourceID=14","3")</f>
        <v>3</v>
      </c>
      <c r="G3484" s="4" t="str">
        <f>HYPERLINK("http://141.218.60.56/~jnz1568/getInfo.php?workbook=10_05.xlsx&amp;sheet=U0&amp;row=3484&amp;col=7&amp;number=0.00659&amp;sourceID=14","0.00659")</f>
        <v>0.00659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HYPERLINK("http://141.218.60.56/~jnz1568/getInfo.php?workbook=10_05.xlsx&amp;sheet=U0&amp;row=3485&amp;col=6&amp;number=3.1&amp;sourceID=14","3.1")</f>
        <v>3.1</v>
      </c>
      <c r="G3485" s="4" t="str">
        <f>HYPERLINK("http://141.218.60.56/~jnz1568/getInfo.php?workbook=10_05.xlsx&amp;sheet=U0&amp;row=3485&amp;col=7&amp;number=0.00659&amp;sourceID=14","0.00659")</f>
        <v>0.00659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HYPERLINK("http://141.218.60.56/~jnz1568/getInfo.php?workbook=10_05.xlsx&amp;sheet=U0&amp;row=3486&amp;col=6&amp;number=3.2&amp;sourceID=14","3.2")</f>
        <v>3.2</v>
      </c>
      <c r="G3486" s="4" t="str">
        <f>HYPERLINK("http://141.218.60.56/~jnz1568/getInfo.php?workbook=10_05.xlsx&amp;sheet=U0&amp;row=3486&amp;col=7&amp;number=0.00659&amp;sourceID=14","0.00659")</f>
        <v>0.00659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HYPERLINK("http://141.218.60.56/~jnz1568/getInfo.php?workbook=10_05.xlsx&amp;sheet=U0&amp;row=3487&amp;col=6&amp;number=3.3&amp;sourceID=14","3.3")</f>
        <v>3.3</v>
      </c>
      <c r="G3487" s="4" t="str">
        <f>HYPERLINK("http://141.218.60.56/~jnz1568/getInfo.php?workbook=10_05.xlsx&amp;sheet=U0&amp;row=3487&amp;col=7&amp;number=0.00658&amp;sourceID=14","0.00658")</f>
        <v>0.00658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HYPERLINK("http://141.218.60.56/~jnz1568/getInfo.php?workbook=10_05.xlsx&amp;sheet=U0&amp;row=3488&amp;col=6&amp;number=3.4&amp;sourceID=14","3.4")</f>
        <v>3.4</v>
      </c>
      <c r="G3488" s="4" t="str">
        <f>HYPERLINK("http://141.218.60.56/~jnz1568/getInfo.php?workbook=10_05.xlsx&amp;sheet=U0&amp;row=3488&amp;col=7&amp;number=0.00658&amp;sourceID=14","0.00658")</f>
        <v>0.00658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HYPERLINK("http://141.218.60.56/~jnz1568/getInfo.php?workbook=10_05.xlsx&amp;sheet=U0&amp;row=3489&amp;col=6&amp;number=3.5&amp;sourceID=14","3.5")</f>
        <v>3.5</v>
      </c>
      <c r="G3489" s="4" t="str">
        <f>HYPERLINK("http://141.218.60.56/~jnz1568/getInfo.php?workbook=10_05.xlsx&amp;sheet=U0&amp;row=3489&amp;col=7&amp;number=0.00658&amp;sourceID=14","0.00658")</f>
        <v>0.00658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HYPERLINK("http://141.218.60.56/~jnz1568/getInfo.php?workbook=10_05.xlsx&amp;sheet=U0&amp;row=3490&amp;col=6&amp;number=3.6&amp;sourceID=14","3.6")</f>
        <v>3.6</v>
      </c>
      <c r="G3490" s="4" t="str">
        <f>HYPERLINK("http://141.218.60.56/~jnz1568/getInfo.php?workbook=10_05.xlsx&amp;sheet=U0&amp;row=3490&amp;col=7&amp;number=0.00658&amp;sourceID=14","0.00658")</f>
        <v>0.00658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HYPERLINK("http://141.218.60.56/~jnz1568/getInfo.php?workbook=10_05.xlsx&amp;sheet=U0&amp;row=3491&amp;col=6&amp;number=3.7&amp;sourceID=14","3.7")</f>
        <v>3.7</v>
      </c>
      <c r="G3491" s="4" t="str">
        <f>HYPERLINK("http://141.218.60.56/~jnz1568/getInfo.php?workbook=10_05.xlsx&amp;sheet=U0&amp;row=3491&amp;col=7&amp;number=0.00658&amp;sourceID=14","0.00658")</f>
        <v>0.00658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HYPERLINK("http://141.218.60.56/~jnz1568/getInfo.php?workbook=10_05.xlsx&amp;sheet=U0&amp;row=3492&amp;col=6&amp;number=3.8&amp;sourceID=14","3.8")</f>
        <v>3.8</v>
      </c>
      <c r="G3492" s="4" t="str">
        <f>HYPERLINK("http://141.218.60.56/~jnz1568/getInfo.php?workbook=10_05.xlsx&amp;sheet=U0&amp;row=3492&amp;col=7&amp;number=0.00657&amp;sourceID=14","0.00657")</f>
        <v>0.00657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HYPERLINK("http://141.218.60.56/~jnz1568/getInfo.php?workbook=10_05.xlsx&amp;sheet=U0&amp;row=3493&amp;col=6&amp;number=3.9&amp;sourceID=14","3.9")</f>
        <v>3.9</v>
      </c>
      <c r="G3493" s="4" t="str">
        <f>HYPERLINK("http://141.218.60.56/~jnz1568/getInfo.php?workbook=10_05.xlsx&amp;sheet=U0&amp;row=3493&amp;col=7&amp;number=0.00657&amp;sourceID=14","0.00657")</f>
        <v>0.00657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HYPERLINK("http://141.218.60.56/~jnz1568/getInfo.php?workbook=10_05.xlsx&amp;sheet=U0&amp;row=3494&amp;col=6&amp;number=4&amp;sourceID=14","4")</f>
        <v>4</v>
      </c>
      <c r="G3494" s="4" t="str">
        <f>HYPERLINK("http://141.218.60.56/~jnz1568/getInfo.php?workbook=10_05.xlsx&amp;sheet=U0&amp;row=3494&amp;col=7&amp;number=0.00657&amp;sourceID=14","0.00657")</f>
        <v>0.00657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HYPERLINK("http://141.218.60.56/~jnz1568/getInfo.php?workbook=10_05.xlsx&amp;sheet=U0&amp;row=3495&amp;col=6&amp;number=4.1&amp;sourceID=14","4.1")</f>
        <v>4.1</v>
      </c>
      <c r="G3495" s="4" t="str">
        <f>HYPERLINK("http://141.218.60.56/~jnz1568/getInfo.php?workbook=10_05.xlsx&amp;sheet=U0&amp;row=3495&amp;col=7&amp;number=0.00656&amp;sourceID=14","0.00656")</f>
        <v>0.00656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HYPERLINK("http://141.218.60.56/~jnz1568/getInfo.php?workbook=10_05.xlsx&amp;sheet=U0&amp;row=3496&amp;col=6&amp;number=4.2&amp;sourceID=14","4.2")</f>
        <v>4.2</v>
      </c>
      <c r="G3496" s="4" t="str">
        <f>HYPERLINK("http://141.218.60.56/~jnz1568/getInfo.php?workbook=10_05.xlsx&amp;sheet=U0&amp;row=3496&amp;col=7&amp;number=0.00656&amp;sourceID=14","0.00656")</f>
        <v>0.00656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HYPERLINK("http://141.218.60.56/~jnz1568/getInfo.php?workbook=10_05.xlsx&amp;sheet=U0&amp;row=3497&amp;col=6&amp;number=4.3&amp;sourceID=14","4.3")</f>
        <v>4.3</v>
      </c>
      <c r="G3497" s="4" t="str">
        <f>HYPERLINK("http://141.218.60.56/~jnz1568/getInfo.php?workbook=10_05.xlsx&amp;sheet=U0&amp;row=3497&amp;col=7&amp;number=0.00656&amp;sourceID=14","0.00656")</f>
        <v>0.00656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HYPERLINK("http://141.218.60.56/~jnz1568/getInfo.php?workbook=10_05.xlsx&amp;sheet=U0&amp;row=3498&amp;col=6&amp;number=4.4&amp;sourceID=14","4.4")</f>
        <v>4.4</v>
      </c>
      <c r="G3498" s="4" t="str">
        <f>HYPERLINK("http://141.218.60.56/~jnz1568/getInfo.php?workbook=10_05.xlsx&amp;sheet=U0&amp;row=3498&amp;col=7&amp;number=0.00657&amp;sourceID=14","0.00657")</f>
        <v>0.00657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HYPERLINK("http://141.218.60.56/~jnz1568/getInfo.php?workbook=10_05.xlsx&amp;sheet=U0&amp;row=3499&amp;col=6&amp;number=4.5&amp;sourceID=14","4.5")</f>
        <v>4.5</v>
      </c>
      <c r="G3499" s="4" t="str">
        <f>HYPERLINK("http://141.218.60.56/~jnz1568/getInfo.php?workbook=10_05.xlsx&amp;sheet=U0&amp;row=3499&amp;col=7&amp;number=0.00659&amp;sourceID=14","0.00659")</f>
        <v>0.00659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HYPERLINK("http://141.218.60.56/~jnz1568/getInfo.php?workbook=10_05.xlsx&amp;sheet=U0&amp;row=3500&amp;col=6&amp;number=4.6&amp;sourceID=14","4.6")</f>
        <v>4.6</v>
      </c>
      <c r="G3500" s="4" t="str">
        <f>HYPERLINK("http://141.218.60.56/~jnz1568/getInfo.php?workbook=10_05.xlsx&amp;sheet=U0&amp;row=3500&amp;col=7&amp;number=0.00662&amp;sourceID=14","0.00662")</f>
        <v>0.00662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HYPERLINK("http://141.218.60.56/~jnz1568/getInfo.php?workbook=10_05.xlsx&amp;sheet=U0&amp;row=3501&amp;col=6&amp;number=4.7&amp;sourceID=14","4.7")</f>
        <v>4.7</v>
      </c>
      <c r="G3501" s="4" t="str">
        <f>HYPERLINK("http://141.218.60.56/~jnz1568/getInfo.php?workbook=10_05.xlsx&amp;sheet=U0&amp;row=3501&amp;col=7&amp;number=0.00667&amp;sourceID=14","0.00667")</f>
        <v>0.00667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HYPERLINK("http://141.218.60.56/~jnz1568/getInfo.php?workbook=10_05.xlsx&amp;sheet=U0&amp;row=3502&amp;col=6&amp;number=4.8&amp;sourceID=14","4.8")</f>
        <v>4.8</v>
      </c>
      <c r="G3502" s="4" t="str">
        <f>HYPERLINK("http://141.218.60.56/~jnz1568/getInfo.php?workbook=10_05.xlsx&amp;sheet=U0&amp;row=3502&amp;col=7&amp;number=0.00673&amp;sourceID=14","0.00673")</f>
        <v>0.00673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HYPERLINK("http://141.218.60.56/~jnz1568/getInfo.php?workbook=10_05.xlsx&amp;sheet=U0&amp;row=3503&amp;col=6&amp;number=4.9&amp;sourceID=14","4.9")</f>
        <v>4.9</v>
      </c>
      <c r="G3503" s="4" t="str">
        <f>HYPERLINK("http://141.218.60.56/~jnz1568/getInfo.php?workbook=10_05.xlsx&amp;sheet=U0&amp;row=3503&amp;col=7&amp;number=0.00679&amp;sourceID=14","0.00679")</f>
        <v>0.00679</v>
      </c>
    </row>
    <row r="3504" spans="1:7">
      <c r="A3504" s="3">
        <v>10</v>
      </c>
      <c r="B3504" s="3">
        <v>5</v>
      </c>
      <c r="C3504" s="3">
        <v>1</v>
      </c>
      <c r="D3504" s="3">
        <v>177</v>
      </c>
      <c r="E3504" s="3">
        <v>1</v>
      </c>
      <c r="F3504" s="4" t="str">
        <f>HYPERLINK("http://141.218.60.56/~jnz1568/getInfo.php?workbook=10_05.xlsx&amp;sheet=U0&amp;row=3504&amp;col=6&amp;number=3&amp;sourceID=14","3")</f>
        <v>3</v>
      </c>
      <c r="G3504" s="4" t="str">
        <f>HYPERLINK("http://141.218.60.56/~jnz1568/getInfo.php?workbook=10_05.xlsx&amp;sheet=U0&amp;row=3504&amp;col=7&amp;number=0.00333&amp;sourceID=14","0.00333")</f>
        <v>0.00333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HYPERLINK("http://141.218.60.56/~jnz1568/getInfo.php?workbook=10_05.xlsx&amp;sheet=U0&amp;row=3505&amp;col=6&amp;number=3.1&amp;sourceID=14","3.1")</f>
        <v>3.1</v>
      </c>
      <c r="G3505" s="4" t="str">
        <f>HYPERLINK("http://141.218.60.56/~jnz1568/getInfo.php?workbook=10_05.xlsx&amp;sheet=U0&amp;row=3505&amp;col=7&amp;number=0.00333&amp;sourceID=14","0.00333")</f>
        <v>0.00333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HYPERLINK("http://141.218.60.56/~jnz1568/getInfo.php?workbook=10_05.xlsx&amp;sheet=U0&amp;row=3506&amp;col=6&amp;number=3.2&amp;sourceID=14","3.2")</f>
        <v>3.2</v>
      </c>
      <c r="G3506" s="4" t="str">
        <f>HYPERLINK("http://141.218.60.56/~jnz1568/getInfo.php?workbook=10_05.xlsx&amp;sheet=U0&amp;row=3506&amp;col=7&amp;number=0.00333&amp;sourceID=14","0.00333")</f>
        <v>0.00333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HYPERLINK("http://141.218.60.56/~jnz1568/getInfo.php?workbook=10_05.xlsx&amp;sheet=U0&amp;row=3507&amp;col=6&amp;number=3.3&amp;sourceID=14","3.3")</f>
        <v>3.3</v>
      </c>
      <c r="G3507" s="4" t="str">
        <f>HYPERLINK("http://141.218.60.56/~jnz1568/getInfo.php?workbook=10_05.xlsx&amp;sheet=U0&amp;row=3507&amp;col=7&amp;number=0.00333&amp;sourceID=14","0.00333")</f>
        <v>0.00333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HYPERLINK("http://141.218.60.56/~jnz1568/getInfo.php?workbook=10_05.xlsx&amp;sheet=U0&amp;row=3508&amp;col=6&amp;number=3.4&amp;sourceID=14","3.4")</f>
        <v>3.4</v>
      </c>
      <c r="G3508" s="4" t="str">
        <f>HYPERLINK("http://141.218.60.56/~jnz1568/getInfo.php?workbook=10_05.xlsx&amp;sheet=U0&amp;row=3508&amp;col=7&amp;number=0.00333&amp;sourceID=14","0.00333")</f>
        <v>0.00333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HYPERLINK("http://141.218.60.56/~jnz1568/getInfo.php?workbook=10_05.xlsx&amp;sheet=U0&amp;row=3509&amp;col=6&amp;number=3.5&amp;sourceID=14","3.5")</f>
        <v>3.5</v>
      </c>
      <c r="G3509" s="4" t="str">
        <f>HYPERLINK("http://141.218.60.56/~jnz1568/getInfo.php?workbook=10_05.xlsx&amp;sheet=U0&amp;row=3509&amp;col=7&amp;number=0.00334&amp;sourceID=14","0.00334")</f>
        <v>0.00334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HYPERLINK("http://141.218.60.56/~jnz1568/getInfo.php?workbook=10_05.xlsx&amp;sheet=U0&amp;row=3510&amp;col=6&amp;number=3.6&amp;sourceID=14","3.6")</f>
        <v>3.6</v>
      </c>
      <c r="G3510" s="4" t="str">
        <f>HYPERLINK("http://141.218.60.56/~jnz1568/getInfo.php?workbook=10_05.xlsx&amp;sheet=U0&amp;row=3510&amp;col=7&amp;number=0.00334&amp;sourceID=14","0.00334")</f>
        <v>0.00334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HYPERLINK("http://141.218.60.56/~jnz1568/getInfo.php?workbook=10_05.xlsx&amp;sheet=U0&amp;row=3511&amp;col=6&amp;number=3.7&amp;sourceID=14","3.7")</f>
        <v>3.7</v>
      </c>
      <c r="G3511" s="4" t="str">
        <f>HYPERLINK("http://141.218.60.56/~jnz1568/getInfo.php?workbook=10_05.xlsx&amp;sheet=U0&amp;row=3511&amp;col=7&amp;number=0.00335&amp;sourceID=14","0.00335")</f>
        <v>0.00335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HYPERLINK("http://141.218.60.56/~jnz1568/getInfo.php?workbook=10_05.xlsx&amp;sheet=U0&amp;row=3512&amp;col=6&amp;number=3.8&amp;sourceID=14","3.8")</f>
        <v>3.8</v>
      </c>
      <c r="G3512" s="4" t="str">
        <f>HYPERLINK("http://141.218.60.56/~jnz1568/getInfo.php?workbook=10_05.xlsx&amp;sheet=U0&amp;row=3512&amp;col=7&amp;number=0.00336&amp;sourceID=14","0.00336")</f>
        <v>0.00336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HYPERLINK("http://141.218.60.56/~jnz1568/getInfo.php?workbook=10_05.xlsx&amp;sheet=U0&amp;row=3513&amp;col=6&amp;number=3.9&amp;sourceID=14","3.9")</f>
        <v>3.9</v>
      </c>
      <c r="G3513" s="4" t="str">
        <f>HYPERLINK("http://141.218.60.56/~jnz1568/getInfo.php?workbook=10_05.xlsx&amp;sheet=U0&amp;row=3513&amp;col=7&amp;number=0.00336&amp;sourceID=14","0.00336")</f>
        <v>0.00336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HYPERLINK("http://141.218.60.56/~jnz1568/getInfo.php?workbook=10_05.xlsx&amp;sheet=U0&amp;row=3514&amp;col=6&amp;number=4&amp;sourceID=14","4")</f>
        <v>4</v>
      </c>
      <c r="G3514" s="4" t="str">
        <f>HYPERLINK("http://141.218.60.56/~jnz1568/getInfo.php?workbook=10_05.xlsx&amp;sheet=U0&amp;row=3514&amp;col=7&amp;number=0.00337&amp;sourceID=14","0.00337")</f>
        <v>0.00337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HYPERLINK("http://141.218.60.56/~jnz1568/getInfo.php?workbook=10_05.xlsx&amp;sheet=U0&amp;row=3515&amp;col=6&amp;number=4.1&amp;sourceID=14","4.1")</f>
        <v>4.1</v>
      </c>
      <c r="G3515" s="4" t="str">
        <f>HYPERLINK("http://141.218.60.56/~jnz1568/getInfo.php?workbook=10_05.xlsx&amp;sheet=U0&amp;row=3515&amp;col=7&amp;number=0.00339&amp;sourceID=14","0.00339")</f>
        <v>0.00339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HYPERLINK("http://141.218.60.56/~jnz1568/getInfo.php?workbook=10_05.xlsx&amp;sheet=U0&amp;row=3516&amp;col=6&amp;number=4.2&amp;sourceID=14","4.2")</f>
        <v>4.2</v>
      </c>
      <c r="G3516" s="4" t="str">
        <f>HYPERLINK("http://141.218.60.56/~jnz1568/getInfo.php?workbook=10_05.xlsx&amp;sheet=U0&amp;row=3516&amp;col=7&amp;number=0.0034&amp;sourceID=14","0.0034")</f>
        <v>0.0034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HYPERLINK("http://141.218.60.56/~jnz1568/getInfo.php?workbook=10_05.xlsx&amp;sheet=U0&amp;row=3517&amp;col=6&amp;number=4.3&amp;sourceID=14","4.3")</f>
        <v>4.3</v>
      </c>
      <c r="G3517" s="4" t="str">
        <f>HYPERLINK("http://141.218.60.56/~jnz1568/getInfo.php?workbook=10_05.xlsx&amp;sheet=U0&amp;row=3517&amp;col=7&amp;number=0.00342&amp;sourceID=14","0.00342")</f>
        <v>0.00342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HYPERLINK("http://141.218.60.56/~jnz1568/getInfo.php?workbook=10_05.xlsx&amp;sheet=U0&amp;row=3518&amp;col=6&amp;number=4.4&amp;sourceID=14","4.4")</f>
        <v>4.4</v>
      </c>
      <c r="G3518" s="4" t="str">
        <f>HYPERLINK("http://141.218.60.56/~jnz1568/getInfo.php?workbook=10_05.xlsx&amp;sheet=U0&amp;row=3518&amp;col=7&amp;number=0.00343&amp;sourceID=14","0.00343")</f>
        <v>0.00343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HYPERLINK("http://141.218.60.56/~jnz1568/getInfo.php?workbook=10_05.xlsx&amp;sheet=U0&amp;row=3519&amp;col=6&amp;number=4.5&amp;sourceID=14","4.5")</f>
        <v>4.5</v>
      </c>
      <c r="G3519" s="4" t="str">
        <f>HYPERLINK("http://141.218.60.56/~jnz1568/getInfo.php?workbook=10_05.xlsx&amp;sheet=U0&amp;row=3519&amp;col=7&amp;number=0.00344&amp;sourceID=14","0.00344")</f>
        <v>0.00344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HYPERLINK("http://141.218.60.56/~jnz1568/getInfo.php?workbook=10_05.xlsx&amp;sheet=U0&amp;row=3520&amp;col=6&amp;number=4.6&amp;sourceID=14","4.6")</f>
        <v>4.6</v>
      </c>
      <c r="G3520" s="4" t="str">
        <f>HYPERLINK("http://141.218.60.56/~jnz1568/getInfo.php?workbook=10_05.xlsx&amp;sheet=U0&amp;row=3520&amp;col=7&amp;number=0.00346&amp;sourceID=14","0.00346")</f>
        <v>0.00346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HYPERLINK("http://141.218.60.56/~jnz1568/getInfo.php?workbook=10_05.xlsx&amp;sheet=U0&amp;row=3521&amp;col=6&amp;number=4.7&amp;sourceID=14","4.7")</f>
        <v>4.7</v>
      </c>
      <c r="G3521" s="4" t="str">
        <f>HYPERLINK("http://141.218.60.56/~jnz1568/getInfo.php?workbook=10_05.xlsx&amp;sheet=U0&amp;row=3521&amp;col=7&amp;number=0.00347&amp;sourceID=14","0.00347")</f>
        <v>0.00347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HYPERLINK("http://141.218.60.56/~jnz1568/getInfo.php?workbook=10_05.xlsx&amp;sheet=U0&amp;row=3522&amp;col=6&amp;number=4.8&amp;sourceID=14","4.8")</f>
        <v>4.8</v>
      </c>
      <c r="G3522" s="4" t="str">
        <f>HYPERLINK("http://141.218.60.56/~jnz1568/getInfo.php?workbook=10_05.xlsx&amp;sheet=U0&amp;row=3522&amp;col=7&amp;number=0.00349&amp;sourceID=14","0.00349")</f>
        <v>0.00349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HYPERLINK("http://141.218.60.56/~jnz1568/getInfo.php?workbook=10_05.xlsx&amp;sheet=U0&amp;row=3523&amp;col=6&amp;number=4.9&amp;sourceID=14","4.9")</f>
        <v>4.9</v>
      </c>
      <c r="G3523" s="4" t="str">
        <f>HYPERLINK("http://141.218.60.56/~jnz1568/getInfo.php?workbook=10_05.xlsx&amp;sheet=U0&amp;row=3523&amp;col=7&amp;number=0.00352&amp;sourceID=14","0.00352")</f>
        <v>0.00352</v>
      </c>
    </row>
    <row r="3524" spans="1:7">
      <c r="A3524" s="3">
        <v>10</v>
      </c>
      <c r="B3524" s="3">
        <v>5</v>
      </c>
      <c r="C3524" s="3">
        <v>1</v>
      </c>
      <c r="D3524" s="3">
        <v>178</v>
      </c>
      <c r="E3524" s="3">
        <v>1</v>
      </c>
      <c r="F3524" s="4" t="str">
        <f>HYPERLINK("http://141.218.60.56/~jnz1568/getInfo.php?workbook=10_05.xlsx&amp;sheet=U0&amp;row=3524&amp;col=6&amp;number=3&amp;sourceID=14","3")</f>
        <v>3</v>
      </c>
      <c r="G3524" s="4" t="str">
        <f>HYPERLINK("http://141.218.60.56/~jnz1568/getInfo.php?workbook=10_05.xlsx&amp;sheet=U0&amp;row=3524&amp;col=7&amp;number=0.00392&amp;sourceID=14","0.00392")</f>
        <v>0.00392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HYPERLINK("http://141.218.60.56/~jnz1568/getInfo.php?workbook=10_05.xlsx&amp;sheet=U0&amp;row=3525&amp;col=6&amp;number=3.1&amp;sourceID=14","3.1")</f>
        <v>3.1</v>
      </c>
      <c r="G3525" s="4" t="str">
        <f>HYPERLINK("http://141.218.60.56/~jnz1568/getInfo.php?workbook=10_05.xlsx&amp;sheet=U0&amp;row=3525&amp;col=7&amp;number=0.00392&amp;sourceID=14","0.00392")</f>
        <v>0.00392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HYPERLINK("http://141.218.60.56/~jnz1568/getInfo.php?workbook=10_05.xlsx&amp;sheet=U0&amp;row=3526&amp;col=6&amp;number=3.2&amp;sourceID=14","3.2")</f>
        <v>3.2</v>
      </c>
      <c r="G3526" s="4" t="str">
        <f>HYPERLINK("http://141.218.60.56/~jnz1568/getInfo.php?workbook=10_05.xlsx&amp;sheet=U0&amp;row=3526&amp;col=7&amp;number=0.00392&amp;sourceID=14","0.00392")</f>
        <v>0.00392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HYPERLINK("http://141.218.60.56/~jnz1568/getInfo.php?workbook=10_05.xlsx&amp;sheet=U0&amp;row=3527&amp;col=6&amp;number=3.3&amp;sourceID=14","3.3")</f>
        <v>3.3</v>
      </c>
      <c r="G3527" s="4" t="str">
        <f>HYPERLINK("http://141.218.60.56/~jnz1568/getInfo.php?workbook=10_05.xlsx&amp;sheet=U0&amp;row=3527&amp;col=7&amp;number=0.00392&amp;sourceID=14","0.00392")</f>
        <v>0.00392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HYPERLINK("http://141.218.60.56/~jnz1568/getInfo.php?workbook=10_05.xlsx&amp;sheet=U0&amp;row=3528&amp;col=6&amp;number=3.4&amp;sourceID=14","3.4")</f>
        <v>3.4</v>
      </c>
      <c r="G3528" s="4" t="str">
        <f>HYPERLINK("http://141.218.60.56/~jnz1568/getInfo.php?workbook=10_05.xlsx&amp;sheet=U0&amp;row=3528&amp;col=7&amp;number=0.00391&amp;sourceID=14","0.00391")</f>
        <v>0.00391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HYPERLINK("http://141.218.60.56/~jnz1568/getInfo.php?workbook=10_05.xlsx&amp;sheet=U0&amp;row=3529&amp;col=6&amp;number=3.5&amp;sourceID=14","3.5")</f>
        <v>3.5</v>
      </c>
      <c r="G3529" s="4" t="str">
        <f>HYPERLINK("http://141.218.60.56/~jnz1568/getInfo.php?workbook=10_05.xlsx&amp;sheet=U0&amp;row=3529&amp;col=7&amp;number=0.00391&amp;sourceID=14","0.00391")</f>
        <v>0.00391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HYPERLINK("http://141.218.60.56/~jnz1568/getInfo.php?workbook=10_05.xlsx&amp;sheet=U0&amp;row=3530&amp;col=6&amp;number=3.6&amp;sourceID=14","3.6")</f>
        <v>3.6</v>
      </c>
      <c r="G3530" s="4" t="str">
        <f>HYPERLINK("http://141.218.60.56/~jnz1568/getInfo.php?workbook=10_05.xlsx&amp;sheet=U0&amp;row=3530&amp;col=7&amp;number=0.00391&amp;sourceID=14","0.00391")</f>
        <v>0.00391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HYPERLINK("http://141.218.60.56/~jnz1568/getInfo.php?workbook=10_05.xlsx&amp;sheet=U0&amp;row=3531&amp;col=6&amp;number=3.7&amp;sourceID=14","3.7")</f>
        <v>3.7</v>
      </c>
      <c r="G3531" s="4" t="str">
        <f>HYPERLINK("http://141.218.60.56/~jnz1568/getInfo.php?workbook=10_05.xlsx&amp;sheet=U0&amp;row=3531&amp;col=7&amp;number=0.0039&amp;sourceID=14","0.0039")</f>
        <v>0.0039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HYPERLINK("http://141.218.60.56/~jnz1568/getInfo.php?workbook=10_05.xlsx&amp;sheet=U0&amp;row=3532&amp;col=6&amp;number=3.8&amp;sourceID=14","3.8")</f>
        <v>3.8</v>
      </c>
      <c r="G3532" s="4" t="str">
        <f>HYPERLINK("http://141.218.60.56/~jnz1568/getInfo.php?workbook=10_05.xlsx&amp;sheet=U0&amp;row=3532&amp;col=7&amp;number=0.0039&amp;sourceID=14","0.0039")</f>
        <v>0.0039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HYPERLINK("http://141.218.60.56/~jnz1568/getInfo.php?workbook=10_05.xlsx&amp;sheet=U0&amp;row=3533&amp;col=6&amp;number=3.9&amp;sourceID=14","3.9")</f>
        <v>3.9</v>
      </c>
      <c r="G3533" s="4" t="str">
        <f>HYPERLINK("http://141.218.60.56/~jnz1568/getInfo.php?workbook=10_05.xlsx&amp;sheet=U0&amp;row=3533&amp;col=7&amp;number=0.00389&amp;sourceID=14","0.00389")</f>
        <v>0.00389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HYPERLINK("http://141.218.60.56/~jnz1568/getInfo.php?workbook=10_05.xlsx&amp;sheet=U0&amp;row=3534&amp;col=6&amp;number=4&amp;sourceID=14","4")</f>
        <v>4</v>
      </c>
      <c r="G3534" s="4" t="str">
        <f>HYPERLINK("http://141.218.60.56/~jnz1568/getInfo.php?workbook=10_05.xlsx&amp;sheet=U0&amp;row=3534&amp;col=7&amp;number=0.00388&amp;sourceID=14","0.00388")</f>
        <v>0.00388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HYPERLINK("http://141.218.60.56/~jnz1568/getInfo.php?workbook=10_05.xlsx&amp;sheet=U0&amp;row=3535&amp;col=6&amp;number=4.1&amp;sourceID=14","4.1")</f>
        <v>4.1</v>
      </c>
      <c r="G3535" s="4" t="str">
        <f>HYPERLINK("http://141.218.60.56/~jnz1568/getInfo.php?workbook=10_05.xlsx&amp;sheet=U0&amp;row=3535&amp;col=7&amp;number=0.00387&amp;sourceID=14","0.00387")</f>
        <v>0.00387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HYPERLINK("http://141.218.60.56/~jnz1568/getInfo.php?workbook=10_05.xlsx&amp;sheet=U0&amp;row=3536&amp;col=6&amp;number=4.2&amp;sourceID=14","4.2")</f>
        <v>4.2</v>
      </c>
      <c r="G3536" s="4" t="str">
        <f>HYPERLINK("http://141.218.60.56/~jnz1568/getInfo.php?workbook=10_05.xlsx&amp;sheet=U0&amp;row=3536&amp;col=7&amp;number=0.00386&amp;sourceID=14","0.00386")</f>
        <v>0.00386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HYPERLINK("http://141.218.60.56/~jnz1568/getInfo.php?workbook=10_05.xlsx&amp;sheet=U0&amp;row=3537&amp;col=6&amp;number=4.3&amp;sourceID=14","4.3")</f>
        <v>4.3</v>
      </c>
      <c r="G3537" s="4" t="str">
        <f>HYPERLINK("http://141.218.60.56/~jnz1568/getInfo.php?workbook=10_05.xlsx&amp;sheet=U0&amp;row=3537&amp;col=7&amp;number=0.00385&amp;sourceID=14","0.00385")</f>
        <v>0.00385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HYPERLINK("http://141.218.60.56/~jnz1568/getInfo.php?workbook=10_05.xlsx&amp;sheet=U0&amp;row=3538&amp;col=6&amp;number=4.4&amp;sourceID=14","4.4")</f>
        <v>4.4</v>
      </c>
      <c r="G3538" s="4" t="str">
        <f>HYPERLINK("http://141.218.60.56/~jnz1568/getInfo.php?workbook=10_05.xlsx&amp;sheet=U0&amp;row=3538&amp;col=7&amp;number=0.00384&amp;sourceID=14","0.00384")</f>
        <v>0.00384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HYPERLINK("http://141.218.60.56/~jnz1568/getInfo.php?workbook=10_05.xlsx&amp;sheet=U0&amp;row=3539&amp;col=6&amp;number=4.5&amp;sourceID=14","4.5")</f>
        <v>4.5</v>
      </c>
      <c r="G3539" s="4" t="str">
        <f>HYPERLINK("http://141.218.60.56/~jnz1568/getInfo.php?workbook=10_05.xlsx&amp;sheet=U0&amp;row=3539&amp;col=7&amp;number=0.00384&amp;sourceID=14","0.00384")</f>
        <v>0.00384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HYPERLINK("http://141.218.60.56/~jnz1568/getInfo.php?workbook=10_05.xlsx&amp;sheet=U0&amp;row=3540&amp;col=6&amp;number=4.6&amp;sourceID=14","4.6")</f>
        <v>4.6</v>
      </c>
      <c r="G3540" s="4" t="str">
        <f>HYPERLINK("http://141.218.60.56/~jnz1568/getInfo.php?workbook=10_05.xlsx&amp;sheet=U0&amp;row=3540&amp;col=7&amp;number=0.00385&amp;sourceID=14","0.00385")</f>
        <v>0.00385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HYPERLINK("http://141.218.60.56/~jnz1568/getInfo.php?workbook=10_05.xlsx&amp;sheet=U0&amp;row=3541&amp;col=6&amp;number=4.7&amp;sourceID=14","4.7")</f>
        <v>4.7</v>
      </c>
      <c r="G3541" s="4" t="str">
        <f>HYPERLINK("http://141.218.60.56/~jnz1568/getInfo.php?workbook=10_05.xlsx&amp;sheet=U0&amp;row=3541&amp;col=7&amp;number=0.00386&amp;sourceID=14","0.00386")</f>
        <v>0.00386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HYPERLINK("http://141.218.60.56/~jnz1568/getInfo.php?workbook=10_05.xlsx&amp;sheet=U0&amp;row=3542&amp;col=6&amp;number=4.8&amp;sourceID=14","4.8")</f>
        <v>4.8</v>
      </c>
      <c r="G3542" s="4" t="str">
        <f>HYPERLINK("http://141.218.60.56/~jnz1568/getInfo.php?workbook=10_05.xlsx&amp;sheet=U0&amp;row=3542&amp;col=7&amp;number=0.00387&amp;sourceID=14","0.00387")</f>
        <v>0.00387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HYPERLINK("http://141.218.60.56/~jnz1568/getInfo.php?workbook=10_05.xlsx&amp;sheet=U0&amp;row=3543&amp;col=6&amp;number=4.9&amp;sourceID=14","4.9")</f>
        <v>4.9</v>
      </c>
      <c r="G3543" s="4" t="str">
        <f>HYPERLINK("http://141.218.60.56/~jnz1568/getInfo.php?workbook=10_05.xlsx&amp;sheet=U0&amp;row=3543&amp;col=7&amp;number=0.00388&amp;sourceID=14","0.00388")</f>
        <v>0.00388</v>
      </c>
    </row>
    <row r="3544" spans="1:7">
      <c r="A3544" s="3">
        <v>10</v>
      </c>
      <c r="B3544" s="3">
        <v>5</v>
      </c>
      <c r="C3544" s="3">
        <v>1</v>
      </c>
      <c r="D3544" s="3">
        <v>179</v>
      </c>
      <c r="E3544" s="3">
        <v>1</v>
      </c>
      <c r="F3544" s="4" t="str">
        <f>HYPERLINK("http://141.218.60.56/~jnz1568/getInfo.php?workbook=10_05.xlsx&amp;sheet=U0&amp;row=3544&amp;col=6&amp;number=3&amp;sourceID=14","3")</f>
        <v>3</v>
      </c>
      <c r="G3544" s="4" t="str">
        <f>HYPERLINK("http://141.218.60.56/~jnz1568/getInfo.php?workbook=10_05.xlsx&amp;sheet=U0&amp;row=3544&amp;col=7&amp;number=0.00117&amp;sourceID=14","0.00117")</f>
        <v>0.00117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HYPERLINK("http://141.218.60.56/~jnz1568/getInfo.php?workbook=10_05.xlsx&amp;sheet=U0&amp;row=3545&amp;col=6&amp;number=3.1&amp;sourceID=14","3.1")</f>
        <v>3.1</v>
      </c>
      <c r="G3545" s="4" t="str">
        <f>HYPERLINK("http://141.218.60.56/~jnz1568/getInfo.php?workbook=10_05.xlsx&amp;sheet=U0&amp;row=3545&amp;col=7&amp;number=0.00117&amp;sourceID=14","0.00117")</f>
        <v>0.00117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HYPERLINK("http://141.218.60.56/~jnz1568/getInfo.php?workbook=10_05.xlsx&amp;sheet=U0&amp;row=3546&amp;col=6&amp;number=3.2&amp;sourceID=14","3.2")</f>
        <v>3.2</v>
      </c>
      <c r="G3546" s="4" t="str">
        <f>HYPERLINK("http://141.218.60.56/~jnz1568/getInfo.php?workbook=10_05.xlsx&amp;sheet=U0&amp;row=3546&amp;col=7&amp;number=0.00117&amp;sourceID=14","0.00117")</f>
        <v>0.00117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HYPERLINK("http://141.218.60.56/~jnz1568/getInfo.php?workbook=10_05.xlsx&amp;sheet=U0&amp;row=3547&amp;col=6&amp;number=3.3&amp;sourceID=14","3.3")</f>
        <v>3.3</v>
      </c>
      <c r="G3547" s="4" t="str">
        <f>HYPERLINK("http://141.218.60.56/~jnz1568/getInfo.php?workbook=10_05.xlsx&amp;sheet=U0&amp;row=3547&amp;col=7&amp;number=0.00117&amp;sourceID=14","0.00117")</f>
        <v>0.00117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HYPERLINK("http://141.218.60.56/~jnz1568/getInfo.php?workbook=10_05.xlsx&amp;sheet=U0&amp;row=3548&amp;col=6&amp;number=3.4&amp;sourceID=14","3.4")</f>
        <v>3.4</v>
      </c>
      <c r="G3548" s="4" t="str">
        <f>HYPERLINK("http://141.218.60.56/~jnz1568/getInfo.php?workbook=10_05.xlsx&amp;sheet=U0&amp;row=3548&amp;col=7&amp;number=0.00117&amp;sourceID=14","0.00117")</f>
        <v>0.00117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HYPERLINK("http://141.218.60.56/~jnz1568/getInfo.php?workbook=10_05.xlsx&amp;sheet=U0&amp;row=3549&amp;col=6&amp;number=3.5&amp;sourceID=14","3.5")</f>
        <v>3.5</v>
      </c>
      <c r="G3549" s="4" t="str">
        <f>HYPERLINK("http://141.218.60.56/~jnz1568/getInfo.php?workbook=10_05.xlsx&amp;sheet=U0&amp;row=3549&amp;col=7&amp;number=0.00117&amp;sourceID=14","0.00117")</f>
        <v>0.00117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HYPERLINK("http://141.218.60.56/~jnz1568/getInfo.php?workbook=10_05.xlsx&amp;sheet=U0&amp;row=3550&amp;col=6&amp;number=3.6&amp;sourceID=14","3.6")</f>
        <v>3.6</v>
      </c>
      <c r="G3550" s="4" t="str">
        <f>HYPERLINK("http://141.218.60.56/~jnz1568/getInfo.php?workbook=10_05.xlsx&amp;sheet=U0&amp;row=3550&amp;col=7&amp;number=0.00117&amp;sourceID=14","0.00117")</f>
        <v>0.00117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HYPERLINK("http://141.218.60.56/~jnz1568/getInfo.php?workbook=10_05.xlsx&amp;sheet=U0&amp;row=3551&amp;col=6&amp;number=3.7&amp;sourceID=14","3.7")</f>
        <v>3.7</v>
      </c>
      <c r="G3551" s="4" t="str">
        <f>HYPERLINK("http://141.218.60.56/~jnz1568/getInfo.php?workbook=10_05.xlsx&amp;sheet=U0&amp;row=3551&amp;col=7&amp;number=0.00117&amp;sourceID=14","0.00117")</f>
        <v>0.00117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HYPERLINK("http://141.218.60.56/~jnz1568/getInfo.php?workbook=10_05.xlsx&amp;sheet=U0&amp;row=3552&amp;col=6&amp;number=3.8&amp;sourceID=14","3.8")</f>
        <v>3.8</v>
      </c>
      <c r="G3552" s="4" t="str">
        <f>HYPERLINK("http://141.218.60.56/~jnz1568/getInfo.php?workbook=10_05.xlsx&amp;sheet=U0&amp;row=3552&amp;col=7&amp;number=0.00117&amp;sourceID=14","0.00117")</f>
        <v>0.00117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HYPERLINK("http://141.218.60.56/~jnz1568/getInfo.php?workbook=10_05.xlsx&amp;sheet=U0&amp;row=3553&amp;col=6&amp;number=3.9&amp;sourceID=14","3.9")</f>
        <v>3.9</v>
      </c>
      <c r="G3553" s="4" t="str">
        <f>HYPERLINK("http://141.218.60.56/~jnz1568/getInfo.php?workbook=10_05.xlsx&amp;sheet=U0&amp;row=3553&amp;col=7&amp;number=0.00117&amp;sourceID=14","0.00117")</f>
        <v>0.00117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HYPERLINK("http://141.218.60.56/~jnz1568/getInfo.php?workbook=10_05.xlsx&amp;sheet=U0&amp;row=3554&amp;col=6&amp;number=4&amp;sourceID=14","4")</f>
        <v>4</v>
      </c>
      <c r="G3554" s="4" t="str">
        <f>HYPERLINK("http://141.218.60.56/~jnz1568/getInfo.php?workbook=10_05.xlsx&amp;sheet=U0&amp;row=3554&amp;col=7&amp;number=0.00117&amp;sourceID=14","0.00117")</f>
        <v>0.00117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HYPERLINK("http://141.218.60.56/~jnz1568/getInfo.php?workbook=10_05.xlsx&amp;sheet=U0&amp;row=3555&amp;col=6&amp;number=4.1&amp;sourceID=14","4.1")</f>
        <v>4.1</v>
      </c>
      <c r="G3555" s="4" t="str">
        <f>HYPERLINK("http://141.218.60.56/~jnz1568/getInfo.php?workbook=10_05.xlsx&amp;sheet=U0&amp;row=3555&amp;col=7&amp;number=0.00117&amp;sourceID=14","0.00117")</f>
        <v>0.00117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HYPERLINK("http://141.218.60.56/~jnz1568/getInfo.php?workbook=10_05.xlsx&amp;sheet=U0&amp;row=3556&amp;col=6&amp;number=4.2&amp;sourceID=14","4.2")</f>
        <v>4.2</v>
      </c>
      <c r="G3556" s="4" t="str">
        <f>HYPERLINK("http://141.218.60.56/~jnz1568/getInfo.php?workbook=10_05.xlsx&amp;sheet=U0&amp;row=3556&amp;col=7&amp;number=0.00117&amp;sourceID=14","0.00117")</f>
        <v>0.00117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HYPERLINK("http://141.218.60.56/~jnz1568/getInfo.php?workbook=10_05.xlsx&amp;sheet=U0&amp;row=3557&amp;col=6&amp;number=4.3&amp;sourceID=14","4.3")</f>
        <v>4.3</v>
      </c>
      <c r="G3557" s="4" t="str">
        <f>HYPERLINK("http://141.218.60.56/~jnz1568/getInfo.php?workbook=10_05.xlsx&amp;sheet=U0&amp;row=3557&amp;col=7&amp;number=0.00117&amp;sourceID=14","0.00117")</f>
        <v>0.00117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HYPERLINK("http://141.218.60.56/~jnz1568/getInfo.php?workbook=10_05.xlsx&amp;sheet=U0&amp;row=3558&amp;col=6&amp;number=4.4&amp;sourceID=14","4.4")</f>
        <v>4.4</v>
      </c>
      <c r="G3558" s="4" t="str">
        <f>HYPERLINK("http://141.218.60.56/~jnz1568/getInfo.php?workbook=10_05.xlsx&amp;sheet=U0&amp;row=3558&amp;col=7&amp;number=0.00117&amp;sourceID=14","0.00117")</f>
        <v>0.00117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HYPERLINK("http://141.218.60.56/~jnz1568/getInfo.php?workbook=10_05.xlsx&amp;sheet=U0&amp;row=3559&amp;col=6&amp;number=4.5&amp;sourceID=14","4.5")</f>
        <v>4.5</v>
      </c>
      <c r="G3559" s="4" t="str">
        <f>HYPERLINK("http://141.218.60.56/~jnz1568/getInfo.php?workbook=10_05.xlsx&amp;sheet=U0&amp;row=3559&amp;col=7&amp;number=0.00117&amp;sourceID=14","0.00117")</f>
        <v>0.00117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HYPERLINK("http://141.218.60.56/~jnz1568/getInfo.php?workbook=10_05.xlsx&amp;sheet=U0&amp;row=3560&amp;col=6&amp;number=4.6&amp;sourceID=14","4.6")</f>
        <v>4.6</v>
      </c>
      <c r="G3560" s="4" t="str">
        <f>HYPERLINK("http://141.218.60.56/~jnz1568/getInfo.php?workbook=10_05.xlsx&amp;sheet=U0&amp;row=3560&amp;col=7&amp;number=0.00117&amp;sourceID=14","0.00117")</f>
        <v>0.00117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HYPERLINK("http://141.218.60.56/~jnz1568/getInfo.php?workbook=10_05.xlsx&amp;sheet=U0&amp;row=3561&amp;col=6&amp;number=4.7&amp;sourceID=14","4.7")</f>
        <v>4.7</v>
      </c>
      <c r="G3561" s="4" t="str">
        <f>HYPERLINK("http://141.218.60.56/~jnz1568/getInfo.php?workbook=10_05.xlsx&amp;sheet=U0&amp;row=3561&amp;col=7&amp;number=0.00116&amp;sourceID=14","0.00116")</f>
        <v>0.00116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HYPERLINK("http://141.218.60.56/~jnz1568/getInfo.php?workbook=10_05.xlsx&amp;sheet=U0&amp;row=3562&amp;col=6&amp;number=4.8&amp;sourceID=14","4.8")</f>
        <v>4.8</v>
      </c>
      <c r="G3562" s="4" t="str">
        <f>HYPERLINK("http://141.218.60.56/~jnz1568/getInfo.php?workbook=10_05.xlsx&amp;sheet=U0&amp;row=3562&amp;col=7&amp;number=0.00115&amp;sourceID=14","0.00115")</f>
        <v>0.00115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HYPERLINK("http://141.218.60.56/~jnz1568/getInfo.php?workbook=10_05.xlsx&amp;sheet=U0&amp;row=3563&amp;col=6&amp;number=4.9&amp;sourceID=14","4.9")</f>
        <v>4.9</v>
      </c>
      <c r="G3563" s="4" t="str">
        <f>HYPERLINK("http://141.218.60.56/~jnz1568/getInfo.php?workbook=10_05.xlsx&amp;sheet=U0&amp;row=3563&amp;col=7&amp;number=0.00115&amp;sourceID=14","0.00115")</f>
        <v>0.00115</v>
      </c>
    </row>
    <row r="3564" spans="1:7">
      <c r="A3564" s="3">
        <v>10</v>
      </c>
      <c r="B3564" s="3">
        <v>5</v>
      </c>
      <c r="C3564" s="3">
        <v>1</v>
      </c>
      <c r="D3564" s="3">
        <v>180</v>
      </c>
      <c r="E3564" s="3">
        <v>1</v>
      </c>
      <c r="F3564" s="4" t="str">
        <f>HYPERLINK("http://141.218.60.56/~jnz1568/getInfo.php?workbook=10_05.xlsx&amp;sheet=U0&amp;row=3564&amp;col=6&amp;number=3&amp;sourceID=14","3")</f>
        <v>3</v>
      </c>
      <c r="G3564" s="4" t="str">
        <f>HYPERLINK("http://141.218.60.56/~jnz1568/getInfo.php?workbook=10_05.xlsx&amp;sheet=U0&amp;row=3564&amp;col=7&amp;number=0.00255&amp;sourceID=14","0.00255")</f>
        <v>0.00255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HYPERLINK("http://141.218.60.56/~jnz1568/getInfo.php?workbook=10_05.xlsx&amp;sheet=U0&amp;row=3565&amp;col=6&amp;number=3.1&amp;sourceID=14","3.1")</f>
        <v>3.1</v>
      </c>
      <c r="G3565" s="4" t="str">
        <f>HYPERLINK("http://141.218.60.56/~jnz1568/getInfo.php?workbook=10_05.xlsx&amp;sheet=U0&amp;row=3565&amp;col=7&amp;number=0.00255&amp;sourceID=14","0.00255")</f>
        <v>0.00255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HYPERLINK("http://141.218.60.56/~jnz1568/getInfo.php?workbook=10_05.xlsx&amp;sheet=U0&amp;row=3566&amp;col=6&amp;number=3.2&amp;sourceID=14","3.2")</f>
        <v>3.2</v>
      </c>
      <c r="G3566" s="4" t="str">
        <f>HYPERLINK("http://141.218.60.56/~jnz1568/getInfo.php?workbook=10_05.xlsx&amp;sheet=U0&amp;row=3566&amp;col=7&amp;number=0.00255&amp;sourceID=14","0.00255")</f>
        <v>0.00255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HYPERLINK("http://141.218.60.56/~jnz1568/getInfo.php?workbook=10_05.xlsx&amp;sheet=U0&amp;row=3567&amp;col=6&amp;number=3.3&amp;sourceID=14","3.3")</f>
        <v>3.3</v>
      </c>
      <c r="G3567" s="4" t="str">
        <f>HYPERLINK("http://141.218.60.56/~jnz1568/getInfo.php?workbook=10_05.xlsx&amp;sheet=U0&amp;row=3567&amp;col=7&amp;number=0.00255&amp;sourceID=14","0.00255")</f>
        <v>0.00255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HYPERLINK("http://141.218.60.56/~jnz1568/getInfo.php?workbook=10_05.xlsx&amp;sheet=U0&amp;row=3568&amp;col=6&amp;number=3.4&amp;sourceID=14","3.4")</f>
        <v>3.4</v>
      </c>
      <c r="G3568" s="4" t="str">
        <f>HYPERLINK("http://141.218.60.56/~jnz1568/getInfo.php?workbook=10_05.xlsx&amp;sheet=U0&amp;row=3568&amp;col=7&amp;number=0.00255&amp;sourceID=14","0.00255")</f>
        <v>0.00255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HYPERLINK("http://141.218.60.56/~jnz1568/getInfo.php?workbook=10_05.xlsx&amp;sheet=U0&amp;row=3569&amp;col=6&amp;number=3.5&amp;sourceID=14","3.5")</f>
        <v>3.5</v>
      </c>
      <c r="G3569" s="4" t="str">
        <f>HYPERLINK("http://141.218.60.56/~jnz1568/getInfo.php?workbook=10_05.xlsx&amp;sheet=U0&amp;row=3569&amp;col=7&amp;number=0.00255&amp;sourceID=14","0.00255")</f>
        <v>0.00255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HYPERLINK("http://141.218.60.56/~jnz1568/getInfo.php?workbook=10_05.xlsx&amp;sheet=U0&amp;row=3570&amp;col=6&amp;number=3.6&amp;sourceID=14","3.6")</f>
        <v>3.6</v>
      </c>
      <c r="G3570" s="4" t="str">
        <f>HYPERLINK("http://141.218.60.56/~jnz1568/getInfo.php?workbook=10_05.xlsx&amp;sheet=U0&amp;row=3570&amp;col=7&amp;number=0.00256&amp;sourceID=14","0.00256")</f>
        <v>0.00256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HYPERLINK("http://141.218.60.56/~jnz1568/getInfo.php?workbook=10_05.xlsx&amp;sheet=U0&amp;row=3571&amp;col=6&amp;number=3.7&amp;sourceID=14","3.7")</f>
        <v>3.7</v>
      </c>
      <c r="G3571" s="4" t="str">
        <f>HYPERLINK("http://141.218.60.56/~jnz1568/getInfo.php?workbook=10_05.xlsx&amp;sheet=U0&amp;row=3571&amp;col=7&amp;number=0.00256&amp;sourceID=14","0.00256")</f>
        <v>0.00256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HYPERLINK("http://141.218.60.56/~jnz1568/getInfo.php?workbook=10_05.xlsx&amp;sheet=U0&amp;row=3572&amp;col=6&amp;number=3.8&amp;sourceID=14","3.8")</f>
        <v>3.8</v>
      </c>
      <c r="G3572" s="4" t="str">
        <f>HYPERLINK("http://141.218.60.56/~jnz1568/getInfo.php?workbook=10_05.xlsx&amp;sheet=U0&amp;row=3572&amp;col=7&amp;number=0.00256&amp;sourceID=14","0.00256")</f>
        <v>0.00256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HYPERLINK("http://141.218.60.56/~jnz1568/getInfo.php?workbook=10_05.xlsx&amp;sheet=U0&amp;row=3573&amp;col=6&amp;number=3.9&amp;sourceID=14","3.9")</f>
        <v>3.9</v>
      </c>
      <c r="G3573" s="4" t="str">
        <f>HYPERLINK("http://141.218.60.56/~jnz1568/getInfo.php?workbook=10_05.xlsx&amp;sheet=U0&amp;row=3573&amp;col=7&amp;number=0.00257&amp;sourceID=14","0.00257")</f>
        <v>0.00257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HYPERLINK("http://141.218.60.56/~jnz1568/getInfo.php?workbook=10_05.xlsx&amp;sheet=U0&amp;row=3574&amp;col=6&amp;number=4&amp;sourceID=14","4")</f>
        <v>4</v>
      </c>
      <c r="G3574" s="4" t="str">
        <f>HYPERLINK("http://141.218.60.56/~jnz1568/getInfo.php?workbook=10_05.xlsx&amp;sheet=U0&amp;row=3574&amp;col=7&amp;number=0.00257&amp;sourceID=14","0.00257")</f>
        <v>0.00257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HYPERLINK("http://141.218.60.56/~jnz1568/getInfo.php?workbook=10_05.xlsx&amp;sheet=U0&amp;row=3575&amp;col=6&amp;number=4.1&amp;sourceID=14","4.1")</f>
        <v>4.1</v>
      </c>
      <c r="G3575" s="4" t="str">
        <f>HYPERLINK("http://141.218.60.56/~jnz1568/getInfo.php?workbook=10_05.xlsx&amp;sheet=U0&amp;row=3575&amp;col=7&amp;number=0.00258&amp;sourceID=14","0.00258")</f>
        <v>0.00258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HYPERLINK("http://141.218.60.56/~jnz1568/getInfo.php?workbook=10_05.xlsx&amp;sheet=U0&amp;row=3576&amp;col=6&amp;number=4.2&amp;sourceID=14","4.2")</f>
        <v>4.2</v>
      </c>
      <c r="G3576" s="4" t="str">
        <f>HYPERLINK("http://141.218.60.56/~jnz1568/getInfo.php?workbook=10_05.xlsx&amp;sheet=U0&amp;row=3576&amp;col=7&amp;number=0.00258&amp;sourceID=14","0.00258")</f>
        <v>0.00258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HYPERLINK("http://141.218.60.56/~jnz1568/getInfo.php?workbook=10_05.xlsx&amp;sheet=U0&amp;row=3577&amp;col=6&amp;number=4.3&amp;sourceID=14","4.3")</f>
        <v>4.3</v>
      </c>
      <c r="G3577" s="4" t="str">
        <f>HYPERLINK("http://141.218.60.56/~jnz1568/getInfo.php?workbook=10_05.xlsx&amp;sheet=U0&amp;row=3577&amp;col=7&amp;number=0.00259&amp;sourceID=14","0.00259")</f>
        <v>0.00259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HYPERLINK("http://141.218.60.56/~jnz1568/getInfo.php?workbook=10_05.xlsx&amp;sheet=U0&amp;row=3578&amp;col=6&amp;number=4.4&amp;sourceID=14","4.4")</f>
        <v>4.4</v>
      </c>
      <c r="G3578" s="4" t="str">
        <f>HYPERLINK("http://141.218.60.56/~jnz1568/getInfo.php?workbook=10_05.xlsx&amp;sheet=U0&amp;row=3578&amp;col=7&amp;number=0.0026&amp;sourceID=14","0.0026")</f>
        <v>0.0026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HYPERLINK("http://141.218.60.56/~jnz1568/getInfo.php?workbook=10_05.xlsx&amp;sheet=U0&amp;row=3579&amp;col=6&amp;number=4.5&amp;sourceID=14","4.5")</f>
        <v>4.5</v>
      </c>
      <c r="G3579" s="4" t="str">
        <f>HYPERLINK("http://141.218.60.56/~jnz1568/getInfo.php?workbook=10_05.xlsx&amp;sheet=U0&amp;row=3579&amp;col=7&amp;number=0.00261&amp;sourceID=14","0.00261")</f>
        <v>0.00261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HYPERLINK("http://141.218.60.56/~jnz1568/getInfo.php?workbook=10_05.xlsx&amp;sheet=U0&amp;row=3580&amp;col=6&amp;number=4.6&amp;sourceID=14","4.6")</f>
        <v>4.6</v>
      </c>
      <c r="G3580" s="4" t="str">
        <f>HYPERLINK("http://141.218.60.56/~jnz1568/getInfo.php?workbook=10_05.xlsx&amp;sheet=U0&amp;row=3580&amp;col=7&amp;number=0.00262&amp;sourceID=14","0.00262")</f>
        <v>0.00262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HYPERLINK("http://141.218.60.56/~jnz1568/getInfo.php?workbook=10_05.xlsx&amp;sheet=U0&amp;row=3581&amp;col=6&amp;number=4.7&amp;sourceID=14","4.7")</f>
        <v>4.7</v>
      </c>
      <c r="G3581" s="4" t="str">
        <f>HYPERLINK("http://141.218.60.56/~jnz1568/getInfo.php?workbook=10_05.xlsx&amp;sheet=U0&amp;row=3581&amp;col=7&amp;number=0.00264&amp;sourceID=14","0.00264")</f>
        <v>0.00264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HYPERLINK("http://141.218.60.56/~jnz1568/getInfo.php?workbook=10_05.xlsx&amp;sheet=U0&amp;row=3582&amp;col=6&amp;number=4.8&amp;sourceID=14","4.8")</f>
        <v>4.8</v>
      </c>
      <c r="G3582" s="4" t="str">
        <f>HYPERLINK("http://141.218.60.56/~jnz1568/getInfo.php?workbook=10_05.xlsx&amp;sheet=U0&amp;row=3582&amp;col=7&amp;number=0.00266&amp;sourceID=14","0.00266")</f>
        <v>0.00266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HYPERLINK("http://141.218.60.56/~jnz1568/getInfo.php?workbook=10_05.xlsx&amp;sheet=U0&amp;row=3583&amp;col=6&amp;number=4.9&amp;sourceID=14","4.9")</f>
        <v>4.9</v>
      </c>
      <c r="G3583" s="4" t="str">
        <f>HYPERLINK("http://141.218.60.56/~jnz1568/getInfo.php?workbook=10_05.xlsx&amp;sheet=U0&amp;row=3583&amp;col=7&amp;number=0.00269&amp;sourceID=14","0.00269")</f>
        <v>0.00269</v>
      </c>
    </row>
    <row r="3584" spans="1:7">
      <c r="A3584" s="3">
        <v>10</v>
      </c>
      <c r="B3584" s="3">
        <v>5</v>
      </c>
      <c r="C3584" s="3">
        <v>2</v>
      </c>
      <c r="D3584" s="3">
        <v>3</v>
      </c>
      <c r="E3584" s="3">
        <v>1</v>
      </c>
      <c r="F3584" s="4" t="str">
        <f>HYPERLINK("http://141.218.60.56/~jnz1568/getInfo.php?workbook=10_05.xlsx&amp;sheet=U0&amp;row=3584&amp;col=6&amp;number=3&amp;sourceID=14","3")</f>
        <v>3</v>
      </c>
      <c r="G3584" s="4" t="str">
        <f>HYPERLINK("http://141.218.60.56/~jnz1568/getInfo.php?workbook=10_05.xlsx&amp;sheet=U0&amp;row=3584&amp;col=7&amp;number=0.138&amp;sourceID=14","0.138")</f>
        <v>0.138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HYPERLINK("http://141.218.60.56/~jnz1568/getInfo.php?workbook=10_05.xlsx&amp;sheet=U0&amp;row=3585&amp;col=6&amp;number=3.1&amp;sourceID=14","3.1")</f>
        <v>3.1</v>
      </c>
      <c r="G3585" s="4" t="str">
        <f>HYPERLINK("http://141.218.60.56/~jnz1568/getInfo.php?workbook=10_05.xlsx&amp;sheet=U0&amp;row=3585&amp;col=7&amp;number=0.137&amp;sourceID=14","0.137")</f>
        <v>0.137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HYPERLINK("http://141.218.60.56/~jnz1568/getInfo.php?workbook=10_05.xlsx&amp;sheet=U0&amp;row=3586&amp;col=6&amp;number=3.2&amp;sourceID=14","3.2")</f>
        <v>3.2</v>
      </c>
      <c r="G3586" s="4" t="str">
        <f>HYPERLINK("http://141.218.60.56/~jnz1568/getInfo.php?workbook=10_05.xlsx&amp;sheet=U0&amp;row=3586&amp;col=7&amp;number=0.136&amp;sourceID=14","0.136")</f>
        <v>0.136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HYPERLINK("http://141.218.60.56/~jnz1568/getInfo.php?workbook=10_05.xlsx&amp;sheet=U0&amp;row=3587&amp;col=6&amp;number=3.3&amp;sourceID=14","3.3")</f>
        <v>3.3</v>
      </c>
      <c r="G3587" s="4" t="str">
        <f>HYPERLINK("http://141.218.60.56/~jnz1568/getInfo.php?workbook=10_05.xlsx&amp;sheet=U0&amp;row=3587&amp;col=7&amp;number=0.135&amp;sourceID=14","0.135")</f>
        <v>0.135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HYPERLINK("http://141.218.60.56/~jnz1568/getInfo.php?workbook=10_05.xlsx&amp;sheet=U0&amp;row=3588&amp;col=6&amp;number=3.4&amp;sourceID=14","3.4")</f>
        <v>3.4</v>
      </c>
      <c r="G3588" s="4" t="str">
        <f>HYPERLINK("http://141.218.60.56/~jnz1568/getInfo.php?workbook=10_05.xlsx&amp;sheet=U0&amp;row=3588&amp;col=7&amp;number=0.133&amp;sourceID=14","0.133")</f>
        <v>0.133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HYPERLINK("http://141.218.60.56/~jnz1568/getInfo.php?workbook=10_05.xlsx&amp;sheet=U0&amp;row=3589&amp;col=6&amp;number=3.5&amp;sourceID=14","3.5")</f>
        <v>3.5</v>
      </c>
      <c r="G3589" s="4" t="str">
        <f>HYPERLINK("http://141.218.60.56/~jnz1568/getInfo.php?workbook=10_05.xlsx&amp;sheet=U0&amp;row=3589&amp;col=7&amp;number=0.132&amp;sourceID=14","0.132")</f>
        <v>0.132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HYPERLINK("http://141.218.60.56/~jnz1568/getInfo.php?workbook=10_05.xlsx&amp;sheet=U0&amp;row=3590&amp;col=6&amp;number=3.6&amp;sourceID=14","3.6")</f>
        <v>3.6</v>
      </c>
      <c r="G3590" s="4" t="str">
        <f>HYPERLINK("http://141.218.60.56/~jnz1568/getInfo.php?workbook=10_05.xlsx&amp;sheet=U0&amp;row=3590&amp;col=7&amp;number=0.129&amp;sourceID=14","0.129")</f>
        <v>0.129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HYPERLINK("http://141.218.60.56/~jnz1568/getInfo.php?workbook=10_05.xlsx&amp;sheet=U0&amp;row=3591&amp;col=6&amp;number=3.7&amp;sourceID=14","3.7")</f>
        <v>3.7</v>
      </c>
      <c r="G3591" s="4" t="str">
        <f>HYPERLINK("http://141.218.60.56/~jnz1568/getInfo.php?workbook=10_05.xlsx&amp;sheet=U0&amp;row=3591&amp;col=7&amp;number=0.127&amp;sourceID=14","0.127")</f>
        <v>0.127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HYPERLINK("http://141.218.60.56/~jnz1568/getInfo.php?workbook=10_05.xlsx&amp;sheet=U0&amp;row=3592&amp;col=6&amp;number=3.8&amp;sourceID=14","3.8")</f>
        <v>3.8</v>
      </c>
      <c r="G3592" s="4" t="str">
        <f>HYPERLINK("http://141.218.60.56/~jnz1568/getInfo.php?workbook=10_05.xlsx&amp;sheet=U0&amp;row=3592&amp;col=7&amp;number=0.124&amp;sourceID=14","0.124")</f>
        <v>0.124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HYPERLINK("http://141.218.60.56/~jnz1568/getInfo.php?workbook=10_05.xlsx&amp;sheet=U0&amp;row=3593&amp;col=6&amp;number=3.9&amp;sourceID=14","3.9")</f>
        <v>3.9</v>
      </c>
      <c r="G3593" s="4" t="str">
        <f>HYPERLINK("http://141.218.60.56/~jnz1568/getInfo.php?workbook=10_05.xlsx&amp;sheet=U0&amp;row=3593&amp;col=7&amp;number=0.12&amp;sourceID=14","0.12")</f>
        <v>0.12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HYPERLINK("http://141.218.60.56/~jnz1568/getInfo.php?workbook=10_05.xlsx&amp;sheet=U0&amp;row=3594&amp;col=6&amp;number=4&amp;sourceID=14","4")</f>
        <v>4</v>
      </c>
      <c r="G3594" s="4" t="str">
        <f>HYPERLINK("http://141.218.60.56/~jnz1568/getInfo.php?workbook=10_05.xlsx&amp;sheet=U0&amp;row=3594&amp;col=7&amp;number=0.115&amp;sourceID=14","0.115")</f>
        <v>0.115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HYPERLINK("http://141.218.60.56/~jnz1568/getInfo.php?workbook=10_05.xlsx&amp;sheet=U0&amp;row=3595&amp;col=6&amp;number=4.1&amp;sourceID=14","4.1")</f>
        <v>4.1</v>
      </c>
      <c r="G3595" s="4" t="str">
        <f>HYPERLINK("http://141.218.60.56/~jnz1568/getInfo.php?workbook=10_05.xlsx&amp;sheet=U0&amp;row=3595&amp;col=7&amp;number=0.111&amp;sourceID=14","0.111")</f>
        <v>0.111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HYPERLINK("http://141.218.60.56/~jnz1568/getInfo.php?workbook=10_05.xlsx&amp;sheet=U0&amp;row=3596&amp;col=6&amp;number=4.2&amp;sourceID=14","4.2")</f>
        <v>4.2</v>
      </c>
      <c r="G3596" s="4" t="str">
        <f>HYPERLINK("http://141.218.60.56/~jnz1568/getInfo.php?workbook=10_05.xlsx&amp;sheet=U0&amp;row=3596&amp;col=7&amp;number=0.105&amp;sourceID=14","0.105")</f>
        <v>0.105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HYPERLINK("http://141.218.60.56/~jnz1568/getInfo.php?workbook=10_05.xlsx&amp;sheet=U0&amp;row=3597&amp;col=6&amp;number=4.3&amp;sourceID=14","4.3")</f>
        <v>4.3</v>
      </c>
      <c r="G3597" s="4" t="str">
        <f>HYPERLINK("http://141.218.60.56/~jnz1568/getInfo.php?workbook=10_05.xlsx&amp;sheet=U0&amp;row=3597&amp;col=7&amp;number=0.101&amp;sourceID=14","0.101")</f>
        <v>0.101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HYPERLINK("http://141.218.60.56/~jnz1568/getInfo.php?workbook=10_05.xlsx&amp;sheet=U0&amp;row=3598&amp;col=6&amp;number=4.4&amp;sourceID=14","4.4")</f>
        <v>4.4</v>
      </c>
      <c r="G3598" s="4" t="str">
        <f>HYPERLINK("http://141.218.60.56/~jnz1568/getInfo.php?workbook=10_05.xlsx&amp;sheet=U0&amp;row=3598&amp;col=7&amp;number=0.0976&amp;sourceID=14","0.0976")</f>
        <v>0.0976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HYPERLINK("http://141.218.60.56/~jnz1568/getInfo.php?workbook=10_05.xlsx&amp;sheet=U0&amp;row=3599&amp;col=6&amp;number=4.5&amp;sourceID=14","4.5")</f>
        <v>4.5</v>
      </c>
      <c r="G3599" s="4" t="str">
        <f>HYPERLINK("http://141.218.60.56/~jnz1568/getInfo.php?workbook=10_05.xlsx&amp;sheet=U0&amp;row=3599&amp;col=7&amp;number=0.0956&amp;sourceID=14","0.0956")</f>
        <v>0.0956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HYPERLINK("http://141.218.60.56/~jnz1568/getInfo.php?workbook=10_05.xlsx&amp;sheet=U0&amp;row=3600&amp;col=6&amp;number=4.6&amp;sourceID=14","4.6")</f>
        <v>4.6</v>
      </c>
      <c r="G3600" s="4" t="str">
        <f>HYPERLINK("http://141.218.60.56/~jnz1568/getInfo.php?workbook=10_05.xlsx&amp;sheet=U0&amp;row=3600&amp;col=7&amp;number=0.0943&amp;sourceID=14","0.0943")</f>
        <v>0.0943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HYPERLINK("http://141.218.60.56/~jnz1568/getInfo.php?workbook=10_05.xlsx&amp;sheet=U0&amp;row=3601&amp;col=6&amp;number=4.7&amp;sourceID=14","4.7")</f>
        <v>4.7</v>
      </c>
      <c r="G3601" s="4" t="str">
        <f>HYPERLINK("http://141.218.60.56/~jnz1568/getInfo.php?workbook=10_05.xlsx&amp;sheet=U0&amp;row=3601&amp;col=7&amp;number=0.0923&amp;sourceID=14","0.0923")</f>
        <v>0.0923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HYPERLINK("http://141.218.60.56/~jnz1568/getInfo.php?workbook=10_05.xlsx&amp;sheet=U0&amp;row=3602&amp;col=6&amp;number=4.8&amp;sourceID=14","4.8")</f>
        <v>4.8</v>
      </c>
      <c r="G3602" s="4" t="str">
        <f>HYPERLINK("http://141.218.60.56/~jnz1568/getInfo.php?workbook=10_05.xlsx&amp;sheet=U0&amp;row=3602&amp;col=7&amp;number=0.0887&amp;sourceID=14","0.0887")</f>
        <v>0.0887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HYPERLINK("http://141.218.60.56/~jnz1568/getInfo.php?workbook=10_05.xlsx&amp;sheet=U0&amp;row=3603&amp;col=6&amp;number=4.9&amp;sourceID=14","4.9")</f>
        <v>4.9</v>
      </c>
      <c r="G3603" s="4" t="str">
        <f>HYPERLINK("http://141.218.60.56/~jnz1568/getInfo.php?workbook=10_05.xlsx&amp;sheet=U0&amp;row=3603&amp;col=7&amp;number=0.0843&amp;sourceID=14","0.0843")</f>
        <v>0.0843</v>
      </c>
    </row>
    <row r="3604" spans="1:7">
      <c r="A3604" s="3">
        <v>10</v>
      </c>
      <c r="B3604" s="3">
        <v>5</v>
      </c>
      <c r="C3604" s="3">
        <v>2</v>
      </c>
      <c r="D3604" s="3">
        <v>4</v>
      </c>
      <c r="E3604" s="3">
        <v>1</v>
      </c>
      <c r="F3604" s="4" t="str">
        <f>HYPERLINK("http://141.218.60.56/~jnz1568/getInfo.php?workbook=10_05.xlsx&amp;sheet=U0&amp;row=3604&amp;col=6&amp;number=3&amp;sourceID=14","3")</f>
        <v>3</v>
      </c>
      <c r="G3604" s="4" t="str">
        <f>HYPERLINK("http://141.218.60.56/~jnz1568/getInfo.php?workbook=10_05.xlsx&amp;sheet=U0&amp;row=3604&amp;col=7&amp;number=0.198&amp;sourceID=14","0.198")</f>
        <v>0.198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HYPERLINK("http://141.218.60.56/~jnz1568/getInfo.php?workbook=10_05.xlsx&amp;sheet=U0&amp;row=3605&amp;col=6&amp;number=3.1&amp;sourceID=14","3.1")</f>
        <v>3.1</v>
      </c>
      <c r="G3605" s="4" t="str">
        <f>HYPERLINK("http://141.218.60.56/~jnz1568/getInfo.php?workbook=10_05.xlsx&amp;sheet=U0&amp;row=3605&amp;col=7&amp;number=0.198&amp;sourceID=14","0.198")</f>
        <v>0.198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HYPERLINK("http://141.218.60.56/~jnz1568/getInfo.php?workbook=10_05.xlsx&amp;sheet=U0&amp;row=3606&amp;col=6&amp;number=3.2&amp;sourceID=14","3.2")</f>
        <v>3.2</v>
      </c>
      <c r="G3606" s="4" t="str">
        <f>HYPERLINK("http://141.218.60.56/~jnz1568/getInfo.php?workbook=10_05.xlsx&amp;sheet=U0&amp;row=3606&amp;col=7&amp;number=0.198&amp;sourceID=14","0.198")</f>
        <v>0.198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HYPERLINK("http://141.218.60.56/~jnz1568/getInfo.php?workbook=10_05.xlsx&amp;sheet=U0&amp;row=3607&amp;col=6&amp;number=3.3&amp;sourceID=14","3.3")</f>
        <v>3.3</v>
      </c>
      <c r="G3607" s="4" t="str">
        <f>HYPERLINK("http://141.218.60.56/~jnz1568/getInfo.php?workbook=10_05.xlsx&amp;sheet=U0&amp;row=3607&amp;col=7&amp;number=0.198&amp;sourceID=14","0.198")</f>
        <v>0.198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HYPERLINK("http://141.218.60.56/~jnz1568/getInfo.php?workbook=10_05.xlsx&amp;sheet=U0&amp;row=3608&amp;col=6&amp;number=3.4&amp;sourceID=14","3.4")</f>
        <v>3.4</v>
      </c>
      <c r="G3608" s="4" t="str">
        <f>HYPERLINK("http://141.218.60.56/~jnz1568/getInfo.php?workbook=10_05.xlsx&amp;sheet=U0&amp;row=3608&amp;col=7&amp;number=0.198&amp;sourceID=14","0.198")</f>
        <v>0.198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HYPERLINK("http://141.218.60.56/~jnz1568/getInfo.php?workbook=10_05.xlsx&amp;sheet=U0&amp;row=3609&amp;col=6&amp;number=3.5&amp;sourceID=14","3.5")</f>
        <v>3.5</v>
      </c>
      <c r="G3609" s="4" t="str">
        <f>HYPERLINK("http://141.218.60.56/~jnz1568/getInfo.php?workbook=10_05.xlsx&amp;sheet=U0&amp;row=3609&amp;col=7&amp;number=0.198&amp;sourceID=14","0.198")</f>
        <v>0.198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HYPERLINK("http://141.218.60.56/~jnz1568/getInfo.php?workbook=10_05.xlsx&amp;sheet=U0&amp;row=3610&amp;col=6&amp;number=3.6&amp;sourceID=14","3.6")</f>
        <v>3.6</v>
      </c>
      <c r="G3610" s="4" t="str">
        <f>HYPERLINK("http://141.218.60.56/~jnz1568/getInfo.php?workbook=10_05.xlsx&amp;sheet=U0&amp;row=3610&amp;col=7&amp;number=0.198&amp;sourceID=14","0.198")</f>
        <v>0.198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HYPERLINK("http://141.218.60.56/~jnz1568/getInfo.php?workbook=10_05.xlsx&amp;sheet=U0&amp;row=3611&amp;col=6&amp;number=3.7&amp;sourceID=14","3.7")</f>
        <v>3.7</v>
      </c>
      <c r="G3611" s="4" t="str">
        <f>HYPERLINK("http://141.218.60.56/~jnz1568/getInfo.php?workbook=10_05.xlsx&amp;sheet=U0&amp;row=3611&amp;col=7&amp;number=0.198&amp;sourceID=14","0.198")</f>
        <v>0.198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HYPERLINK("http://141.218.60.56/~jnz1568/getInfo.php?workbook=10_05.xlsx&amp;sheet=U0&amp;row=3612&amp;col=6&amp;number=3.8&amp;sourceID=14","3.8")</f>
        <v>3.8</v>
      </c>
      <c r="G3612" s="4" t="str">
        <f>HYPERLINK("http://141.218.60.56/~jnz1568/getInfo.php?workbook=10_05.xlsx&amp;sheet=U0&amp;row=3612&amp;col=7&amp;number=0.198&amp;sourceID=14","0.198")</f>
        <v>0.198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HYPERLINK("http://141.218.60.56/~jnz1568/getInfo.php?workbook=10_05.xlsx&amp;sheet=U0&amp;row=3613&amp;col=6&amp;number=3.9&amp;sourceID=14","3.9")</f>
        <v>3.9</v>
      </c>
      <c r="G3613" s="4" t="str">
        <f>HYPERLINK("http://141.218.60.56/~jnz1568/getInfo.php?workbook=10_05.xlsx&amp;sheet=U0&amp;row=3613&amp;col=7&amp;number=0.198&amp;sourceID=14","0.198")</f>
        <v>0.198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HYPERLINK("http://141.218.60.56/~jnz1568/getInfo.php?workbook=10_05.xlsx&amp;sheet=U0&amp;row=3614&amp;col=6&amp;number=4&amp;sourceID=14","4")</f>
        <v>4</v>
      </c>
      <c r="G3614" s="4" t="str">
        <f>HYPERLINK("http://141.218.60.56/~jnz1568/getInfo.php?workbook=10_05.xlsx&amp;sheet=U0&amp;row=3614&amp;col=7&amp;number=0.198&amp;sourceID=14","0.198")</f>
        <v>0.198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HYPERLINK("http://141.218.60.56/~jnz1568/getInfo.php?workbook=10_05.xlsx&amp;sheet=U0&amp;row=3615&amp;col=6&amp;number=4.1&amp;sourceID=14","4.1")</f>
        <v>4.1</v>
      </c>
      <c r="G3615" s="4" t="str">
        <f>HYPERLINK("http://141.218.60.56/~jnz1568/getInfo.php?workbook=10_05.xlsx&amp;sheet=U0&amp;row=3615&amp;col=7&amp;number=0.198&amp;sourceID=14","0.198")</f>
        <v>0.198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HYPERLINK("http://141.218.60.56/~jnz1568/getInfo.php?workbook=10_05.xlsx&amp;sheet=U0&amp;row=3616&amp;col=6&amp;number=4.2&amp;sourceID=14","4.2")</f>
        <v>4.2</v>
      </c>
      <c r="G3616" s="4" t="str">
        <f>HYPERLINK("http://141.218.60.56/~jnz1568/getInfo.php?workbook=10_05.xlsx&amp;sheet=U0&amp;row=3616&amp;col=7&amp;number=0.199&amp;sourceID=14","0.199")</f>
        <v>0.199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HYPERLINK("http://141.218.60.56/~jnz1568/getInfo.php?workbook=10_05.xlsx&amp;sheet=U0&amp;row=3617&amp;col=6&amp;number=4.3&amp;sourceID=14","4.3")</f>
        <v>4.3</v>
      </c>
      <c r="G3617" s="4" t="str">
        <f>HYPERLINK("http://141.218.60.56/~jnz1568/getInfo.php?workbook=10_05.xlsx&amp;sheet=U0&amp;row=3617&amp;col=7&amp;number=0.2&amp;sourceID=14","0.2")</f>
        <v>0.2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HYPERLINK("http://141.218.60.56/~jnz1568/getInfo.php?workbook=10_05.xlsx&amp;sheet=U0&amp;row=3618&amp;col=6&amp;number=4.4&amp;sourceID=14","4.4")</f>
        <v>4.4</v>
      </c>
      <c r="G3618" s="4" t="str">
        <f>HYPERLINK("http://141.218.60.56/~jnz1568/getInfo.php?workbook=10_05.xlsx&amp;sheet=U0&amp;row=3618&amp;col=7&amp;number=0.201&amp;sourceID=14","0.201")</f>
        <v>0.201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HYPERLINK("http://141.218.60.56/~jnz1568/getInfo.php?workbook=10_05.xlsx&amp;sheet=U0&amp;row=3619&amp;col=6&amp;number=4.5&amp;sourceID=14","4.5")</f>
        <v>4.5</v>
      </c>
      <c r="G3619" s="4" t="str">
        <f>HYPERLINK("http://141.218.60.56/~jnz1568/getInfo.php?workbook=10_05.xlsx&amp;sheet=U0&amp;row=3619&amp;col=7&amp;number=0.203&amp;sourceID=14","0.203")</f>
        <v>0.203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HYPERLINK("http://141.218.60.56/~jnz1568/getInfo.php?workbook=10_05.xlsx&amp;sheet=U0&amp;row=3620&amp;col=6&amp;number=4.6&amp;sourceID=14","4.6")</f>
        <v>4.6</v>
      </c>
      <c r="G3620" s="4" t="str">
        <f>HYPERLINK("http://141.218.60.56/~jnz1568/getInfo.php?workbook=10_05.xlsx&amp;sheet=U0&amp;row=3620&amp;col=7&amp;number=0.205&amp;sourceID=14","0.205")</f>
        <v>0.205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HYPERLINK("http://141.218.60.56/~jnz1568/getInfo.php?workbook=10_05.xlsx&amp;sheet=U0&amp;row=3621&amp;col=6&amp;number=4.7&amp;sourceID=14","4.7")</f>
        <v>4.7</v>
      </c>
      <c r="G3621" s="4" t="str">
        <f>HYPERLINK("http://141.218.60.56/~jnz1568/getInfo.php?workbook=10_05.xlsx&amp;sheet=U0&amp;row=3621&amp;col=7&amp;number=0.203&amp;sourceID=14","0.203")</f>
        <v>0.203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HYPERLINK("http://141.218.60.56/~jnz1568/getInfo.php?workbook=10_05.xlsx&amp;sheet=U0&amp;row=3622&amp;col=6&amp;number=4.8&amp;sourceID=14","4.8")</f>
        <v>4.8</v>
      </c>
      <c r="G3622" s="4" t="str">
        <f>HYPERLINK("http://141.218.60.56/~jnz1568/getInfo.php?workbook=10_05.xlsx&amp;sheet=U0&amp;row=3622&amp;col=7&amp;number=0.199&amp;sourceID=14","0.199")</f>
        <v>0.199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HYPERLINK("http://141.218.60.56/~jnz1568/getInfo.php?workbook=10_05.xlsx&amp;sheet=U0&amp;row=3623&amp;col=6&amp;number=4.9&amp;sourceID=14","4.9")</f>
        <v>4.9</v>
      </c>
      <c r="G3623" s="4" t="str">
        <f>HYPERLINK("http://141.218.60.56/~jnz1568/getInfo.php?workbook=10_05.xlsx&amp;sheet=U0&amp;row=3623&amp;col=7&amp;number=0.192&amp;sourceID=14","0.192")</f>
        <v>0.192</v>
      </c>
    </row>
    <row r="3624" spans="1:7">
      <c r="A3624" s="3">
        <v>10</v>
      </c>
      <c r="B3624" s="3">
        <v>5</v>
      </c>
      <c r="C3624" s="3">
        <v>2</v>
      </c>
      <c r="D3624" s="3">
        <v>5</v>
      </c>
      <c r="E3624" s="3">
        <v>1</v>
      </c>
      <c r="F3624" s="4" t="str">
        <f>HYPERLINK("http://141.218.60.56/~jnz1568/getInfo.php?workbook=10_05.xlsx&amp;sheet=U0&amp;row=3624&amp;col=6&amp;number=3&amp;sourceID=14","3")</f>
        <v>3</v>
      </c>
      <c r="G3624" s="4" t="str">
        <f>HYPERLINK("http://141.218.60.56/~jnz1568/getInfo.php?workbook=10_05.xlsx&amp;sheet=U0&amp;row=3624&amp;col=7&amp;number=0.312&amp;sourceID=14","0.312")</f>
        <v>0.312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HYPERLINK("http://141.218.60.56/~jnz1568/getInfo.php?workbook=10_05.xlsx&amp;sheet=U0&amp;row=3625&amp;col=6&amp;number=3.1&amp;sourceID=14","3.1")</f>
        <v>3.1</v>
      </c>
      <c r="G3625" s="4" t="str">
        <f>HYPERLINK("http://141.218.60.56/~jnz1568/getInfo.php?workbook=10_05.xlsx&amp;sheet=U0&amp;row=3625&amp;col=7&amp;number=0.313&amp;sourceID=14","0.313")</f>
        <v>0.313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HYPERLINK("http://141.218.60.56/~jnz1568/getInfo.php?workbook=10_05.xlsx&amp;sheet=U0&amp;row=3626&amp;col=6&amp;number=3.2&amp;sourceID=14","3.2")</f>
        <v>3.2</v>
      </c>
      <c r="G3626" s="4" t="str">
        <f>HYPERLINK("http://141.218.60.56/~jnz1568/getInfo.php?workbook=10_05.xlsx&amp;sheet=U0&amp;row=3626&amp;col=7&amp;number=0.314&amp;sourceID=14","0.314")</f>
        <v>0.314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HYPERLINK("http://141.218.60.56/~jnz1568/getInfo.php?workbook=10_05.xlsx&amp;sheet=U0&amp;row=3627&amp;col=6&amp;number=3.3&amp;sourceID=14","3.3")</f>
        <v>3.3</v>
      </c>
      <c r="G3627" s="4" t="str">
        <f>HYPERLINK("http://141.218.60.56/~jnz1568/getInfo.php?workbook=10_05.xlsx&amp;sheet=U0&amp;row=3627&amp;col=7&amp;number=0.315&amp;sourceID=14","0.315")</f>
        <v>0.315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HYPERLINK("http://141.218.60.56/~jnz1568/getInfo.php?workbook=10_05.xlsx&amp;sheet=U0&amp;row=3628&amp;col=6&amp;number=3.4&amp;sourceID=14","3.4")</f>
        <v>3.4</v>
      </c>
      <c r="G3628" s="4" t="str">
        <f>HYPERLINK("http://141.218.60.56/~jnz1568/getInfo.php?workbook=10_05.xlsx&amp;sheet=U0&amp;row=3628&amp;col=7&amp;number=0.317&amp;sourceID=14","0.317")</f>
        <v>0.317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HYPERLINK("http://141.218.60.56/~jnz1568/getInfo.php?workbook=10_05.xlsx&amp;sheet=U0&amp;row=3629&amp;col=6&amp;number=3.5&amp;sourceID=14","3.5")</f>
        <v>3.5</v>
      </c>
      <c r="G3629" s="4" t="str">
        <f>HYPERLINK("http://141.218.60.56/~jnz1568/getInfo.php?workbook=10_05.xlsx&amp;sheet=U0&amp;row=3629&amp;col=7&amp;number=0.319&amp;sourceID=14","0.319")</f>
        <v>0.319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HYPERLINK("http://141.218.60.56/~jnz1568/getInfo.php?workbook=10_05.xlsx&amp;sheet=U0&amp;row=3630&amp;col=6&amp;number=3.6&amp;sourceID=14","3.6")</f>
        <v>3.6</v>
      </c>
      <c r="G3630" s="4" t="str">
        <f>HYPERLINK("http://141.218.60.56/~jnz1568/getInfo.php?workbook=10_05.xlsx&amp;sheet=U0&amp;row=3630&amp;col=7&amp;number=0.322&amp;sourceID=14","0.322")</f>
        <v>0.322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HYPERLINK("http://141.218.60.56/~jnz1568/getInfo.php?workbook=10_05.xlsx&amp;sheet=U0&amp;row=3631&amp;col=6&amp;number=3.7&amp;sourceID=14","3.7")</f>
        <v>3.7</v>
      </c>
      <c r="G3631" s="4" t="str">
        <f>HYPERLINK("http://141.218.60.56/~jnz1568/getInfo.php?workbook=10_05.xlsx&amp;sheet=U0&amp;row=3631&amp;col=7&amp;number=0.325&amp;sourceID=14","0.325")</f>
        <v>0.325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HYPERLINK("http://141.218.60.56/~jnz1568/getInfo.php?workbook=10_05.xlsx&amp;sheet=U0&amp;row=3632&amp;col=6&amp;number=3.8&amp;sourceID=14","3.8")</f>
        <v>3.8</v>
      </c>
      <c r="G3632" s="4" t="str">
        <f>HYPERLINK("http://141.218.60.56/~jnz1568/getInfo.php?workbook=10_05.xlsx&amp;sheet=U0&amp;row=3632&amp;col=7&amp;number=0.329&amp;sourceID=14","0.329")</f>
        <v>0.329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HYPERLINK("http://141.218.60.56/~jnz1568/getInfo.php?workbook=10_05.xlsx&amp;sheet=U0&amp;row=3633&amp;col=6&amp;number=3.9&amp;sourceID=14","3.9")</f>
        <v>3.9</v>
      </c>
      <c r="G3633" s="4" t="str">
        <f>HYPERLINK("http://141.218.60.56/~jnz1568/getInfo.php?workbook=10_05.xlsx&amp;sheet=U0&amp;row=3633&amp;col=7&amp;number=0.334&amp;sourceID=14","0.334")</f>
        <v>0.334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HYPERLINK("http://141.218.60.56/~jnz1568/getInfo.php?workbook=10_05.xlsx&amp;sheet=U0&amp;row=3634&amp;col=6&amp;number=4&amp;sourceID=14","4")</f>
        <v>4</v>
      </c>
      <c r="G3634" s="4" t="str">
        <f>HYPERLINK("http://141.218.60.56/~jnz1568/getInfo.php?workbook=10_05.xlsx&amp;sheet=U0&amp;row=3634&amp;col=7&amp;number=0.34&amp;sourceID=14","0.34")</f>
        <v>0.34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HYPERLINK("http://141.218.60.56/~jnz1568/getInfo.php?workbook=10_05.xlsx&amp;sheet=U0&amp;row=3635&amp;col=6&amp;number=4.1&amp;sourceID=14","4.1")</f>
        <v>4.1</v>
      </c>
      <c r="G3635" s="4" t="str">
        <f>HYPERLINK("http://141.218.60.56/~jnz1568/getInfo.php?workbook=10_05.xlsx&amp;sheet=U0&amp;row=3635&amp;col=7&amp;number=0.347&amp;sourceID=14","0.347")</f>
        <v>0.347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HYPERLINK("http://141.218.60.56/~jnz1568/getInfo.php?workbook=10_05.xlsx&amp;sheet=U0&amp;row=3636&amp;col=6&amp;number=4.2&amp;sourceID=14","4.2")</f>
        <v>4.2</v>
      </c>
      <c r="G3636" s="4" t="str">
        <f>HYPERLINK("http://141.218.60.56/~jnz1568/getInfo.php?workbook=10_05.xlsx&amp;sheet=U0&amp;row=3636&amp;col=7&amp;number=0.354&amp;sourceID=14","0.354")</f>
        <v>0.354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HYPERLINK("http://141.218.60.56/~jnz1568/getInfo.php?workbook=10_05.xlsx&amp;sheet=U0&amp;row=3637&amp;col=6&amp;number=4.3&amp;sourceID=14","4.3")</f>
        <v>4.3</v>
      </c>
      <c r="G3637" s="4" t="str">
        <f>HYPERLINK("http://141.218.60.56/~jnz1568/getInfo.php?workbook=10_05.xlsx&amp;sheet=U0&amp;row=3637&amp;col=7&amp;number=0.361&amp;sourceID=14","0.361")</f>
        <v>0.361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HYPERLINK("http://141.218.60.56/~jnz1568/getInfo.php?workbook=10_05.xlsx&amp;sheet=U0&amp;row=3638&amp;col=6&amp;number=4.4&amp;sourceID=14","4.4")</f>
        <v>4.4</v>
      </c>
      <c r="G3638" s="4" t="str">
        <f>HYPERLINK("http://141.218.60.56/~jnz1568/getInfo.php?workbook=10_05.xlsx&amp;sheet=U0&amp;row=3638&amp;col=7&amp;number=0.368&amp;sourceID=14","0.368")</f>
        <v>0.368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HYPERLINK("http://141.218.60.56/~jnz1568/getInfo.php?workbook=10_05.xlsx&amp;sheet=U0&amp;row=3639&amp;col=6&amp;number=4.5&amp;sourceID=14","4.5")</f>
        <v>4.5</v>
      </c>
      <c r="G3639" s="4" t="str">
        <f>HYPERLINK("http://141.218.60.56/~jnz1568/getInfo.php?workbook=10_05.xlsx&amp;sheet=U0&amp;row=3639&amp;col=7&amp;number=0.374&amp;sourceID=14","0.374")</f>
        <v>0.374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HYPERLINK("http://141.218.60.56/~jnz1568/getInfo.php?workbook=10_05.xlsx&amp;sheet=U0&amp;row=3640&amp;col=6&amp;number=4.6&amp;sourceID=14","4.6")</f>
        <v>4.6</v>
      </c>
      <c r="G3640" s="4" t="str">
        <f>HYPERLINK("http://141.218.60.56/~jnz1568/getInfo.php?workbook=10_05.xlsx&amp;sheet=U0&amp;row=3640&amp;col=7&amp;number=0.376&amp;sourceID=14","0.376")</f>
        <v>0.376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HYPERLINK("http://141.218.60.56/~jnz1568/getInfo.php?workbook=10_05.xlsx&amp;sheet=U0&amp;row=3641&amp;col=6&amp;number=4.7&amp;sourceID=14","4.7")</f>
        <v>4.7</v>
      </c>
      <c r="G3641" s="4" t="str">
        <f>HYPERLINK("http://141.218.60.56/~jnz1568/getInfo.php?workbook=10_05.xlsx&amp;sheet=U0&amp;row=3641&amp;col=7&amp;number=0.374&amp;sourceID=14","0.374")</f>
        <v>0.374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HYPERLINK("http://141.218.60.56/~jnz1568/getInfo.php?workbook=10_05.xlsx&amp;sheet=U0&amp;row=3642&amp;col=6&amp;number=4.8&amp;sourceID=14","4.8")</f>
        <v>4.8</v>
      </c>
      <c r="G3642" s="4" t="str">
        <f>HYPERLINK("http://141.218.60.56/~jnz1568/getInfo.php?workbook=10_05.xlsx&amp;sheet=U0&amp;row=3642&amp;col=7&amp;number=0.368&amp;sourceID=14","0.368")</f>
        <v>0.368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HYPERLINK("http://141.218.60.56/~jnz1568/getInfo.php?workbook=10_05.xlsx&amp;sheet=U0&amp;row=3643&amp;col=6&amp;number=4.9&amp;sourceID=14","4.9")</f>
        <v>4.9</v>
      </c>
      <c r="G3643" s="4" t="str">
        <f>HYPERLINK("http://141.218.60.56/~jnz1568/getInfo.php?workbook=10_05.xlsx&amp;sheet=U0&amp;row=3643&amp;col=7&amp;number=0.357&amp;sourceID=14","0.357")</f>
        <v>0.357</v>
      </c>
    </row>
    <row r="3644" spans="1:7">
      <c r="A3644" s="3">
        <v>10</v>
      </c>
      <c r="B3644" s="3">
        <v>5</v>
      </c>
      <c r="C3644" s="3">
        <v>2</v>
      </c>
      <c r="D3644" s="3">
        <v>6</v>
      </c>
      <c r="E3644" s="3">
        <v>1</v>
      </c>
      <c r="F3644" s="4" t="str">
        <f>HYPERLINK("http://141.218.60.56/~jnz1568/getInfo.php?workbook=10_05.xlsx&amp;sheet=U0&amp;row=3644&amp;col=6&amp;number=3&amp;sourceID=14","3")</f>
        <v>3</v>
      </c>
      <c r="G3644" s="4" t="str">
        <f>HYPERLINK("http://141.218.60.56/~jnz1568/getInfo.php?workbook=10_05.xlsx&amp;sheet=U0&amp;row=3644&amp;col=7&amp;number=1.95&amp;sourceID=14","1.95")</f>
        <v>1.95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HYPERLINK("http://141.218.60.56/~jnz1568/getInfo.php?workbook=10_05.xlsx&amp;sheet=U0&amp;row=3645&amp;col=6&amp;number=3.1&amp;sourceID=14","3.1")</f>
        <v>3.1</v>
      </c>
      <c r="G3645" s="4" t="str">
        <f>HYPERLINK("http://141.218.60.56/~jnz1568/getInfo.php?workbook=10_05.xlsx&amp;sheet=U0&amp;row=3645&amp;col=7&amp;number=1.96&amp;sourceID=14","1.96")</f>
        <v>1.96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HYPERLINK("http://141.218.60.56/~jnz1568/getInfo.php?workbook=10_05.xlsx&amp;sheet=U0&amp;row=3646&amp;col=6&amp;number=3.2&amp;sourceID=14","3.2")</f>
        <v>3.2</v>
      </c>
      <c r="G3646" s="4" t="str">
        <f>HYPERLINK("http://141.218.60.56/~jnz1568/getInfo.php?workbook=10_05.xlsx&amp;sheet=U0&amp;row=3646&amp;col=7&amp;number=1.98&amp;sourceID=14","1.98")</f>
        <v>1.98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HYPERLINK("http://141.218.60.56/~jnz1568/getInfo.php?workbook=10_05.xlsx&amp;sheet=U0&amp;row=3647&amp;col=6&amp;number=3.3&amp;sourceID=14","3.3")</f>
        <v>3.3</v>
      </c>
      <c r="G3647" s="4" t="str">
        <f>HYPERLINK("http://141.218.60.56/~jnz1568/getInfo.php?workbook=10_05.xlsx&amp;sheet=U0&amp;row=3647&amp;col=7&amp;number=2&amp;sourceID=14","2")</f>
        <v>2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HYPERLINK("http://141.218.60.56/~jnz1568/getInfo.php?workbook=10_05.xlsx&amp;sheet=U0&amp;row=3648&amp;col=6&amp;number=3.4&amp;sourceID=14","3.4")</f>
        <v>3.4</v>
      </c>
      <c r="G3648" s="4" t="str">
        <f>HYPERLINK("http://141.218.60.56/~jnz1568/getInfo.php?workbook=10_05.xlsx&amp;sheet=U0&amp;row=3648&amp;col=7&amp;number=2.02&amp;sourceID=14","2.02")</f>
        <v>2.02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HYPERLINK("http://141.218.60.56/~jnz1568/getInfo.php?workbook=10_05.xlsx&amp;sheet=U0&amp;row=3649&amp;col=6&amp;number=3.5&amp;sourceID=14","3.5")</f>
        <v>3.5</v>
      </c>
      <c r="G3649" s="4" t="str">
        <f>HYPERLINK("http://141.218.60.56/~jnz1568/getInfo.php?workbook=10_05.xlsx&amp;sheet=U0&amp;row=3649&amp;col=7&amp;number=2.05&amp;sourceID=14","2.05")</f>
        <v>2.05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HYPERLINK("http://141.218.60.56/~jnz1568/getInfo.php?workbook=10_05.xlsx&amp;sheet=U0&amp;row=3650&amp;col=6&amp;number=3.6&amp;sourceID=14","3.6")</f>
        <v>3.6</v>
      </c>
      <c r="G3650" s="4" t="str">
        <f>HYPERLINK("http://141.218.60.56/~jnz1568/getInfo.php?workbook=10_05.xlsx&amp;sheet=U0&amp;row=3650&amp;col=7&amp;number=2.09&amp;sourceID=14","2.09")</f>
        <v>2.09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HYPERLINK("http://141.218.60.56/~jnz1568/getInfo.php?workbook=10_05.xlsx&amp;sheet=U0&amp;row=3651&amp;col=6&amp;number=3.7&amp;sourceID=14","3.7")</f>
        <v>3.7</v>
      </c>
      <c r="G3651" s="4" t="str">
        <f>HYPERLINK("http://141.218.60.56/~jnz1568/getInfo.php?workbook=10_05.xlsx&amp;sheet=U0&amp;row=3651&amp;col=7&amp;number=2.13&amp;sourceID=14","2.13")</f>
        <v>2.13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HYPERLINK("http://141.218.60.56/~jnz1568/getInfo.php?workbook=10_05.xlsx&amp;sheet=U0&amp;row=3652&amp;col=6&amp;number=3.8&amp;sourceID=14","3.8")</f>
        <v>3.8</v>
      </c>
      <c r="G3652" s="4" t="str">
        <f>HYPERLINK("http://141.218.60.56/~jnz1568/getInfo.php?workbook=10_05.xlsx&amp;sheet=U0&amp;row=3652&amp;col=7&amp;number=2.19&amp;sourceID=14","2.19")</f>
        <v>2.19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HYPERLINK("http://141.218.60.56/~jnz1568/getInfo.php?workbook=10_05.xlsx&amp;sheet=U0&amp;row=3653&amp;col=6&amp;number=3.9&amp;sourceID=14","3.9")</f>
        <v>3.9</v>
      </c>
      <c r="G3653" s="4" t="str">
        <f>HYPERLINK("http://141.218.60.56/~jnz1568/getInfo.php?workbook=10_05.xlsx&amp;sheet=U0&amp;row=3653&amp;col=7&amp;number=2.24&amp;sourceID=14","2.24")</f>
        <v>2.24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HYPERLINK("http://141.218.60.56/~jnz1568/getInfo.php?workbook=10_05.xlsx&amp;sheet=U0&amp;row=3654&amp;col=6&amp;number=4&amp;sourceID=14","4")</f>
        <v>4</v>
      </c>
      <c r="G3654" s="4" t="str">
        <f>HYPERLINK("http://141.218.60.56/~jnz1568/getInfo.php?workbook=10_05.xlsx&amp;sheet=U0&amp;row=3654&amp;col=7&amp;number=2.3&amp;sourceID=14","2.3")</f>
        <v>2.3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HYPERLINK("http://141.218.60.56/~jnz1568/getInfo.php?workbook=10_05.xlsx&amp;sheet=U0&amp;row=3655&amp;col=6&amp;number=4.1&amp;sourceID=14","4.1")</f>
        <v>4.1</v>
      </c>
      <c r="G3655" s="4" t="str">
        <f>HYPERLINK("http://141.218.60.56/~jnz1568/getInfo.php?workbook=10_05.xlsx&amp;sheet=U0&amp;row=3655&amp;col=7&amp;number=2.36&amp;sourceID=14","2.36")</f>
        <v>2.36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HYPERLINK("http://141.218.60.56/~jnz1568/getInfo.php?workbook=10_05.xlsx&amp;sheet=U0&amp;row=3656&amp;col=6&amp;number=4.2&amp;sourceID=14","4.2")</f>
        <v>4.2</v>
      </c>
      <c r="G3656" s="4" t="str">
        <f>HYPERLINK("http://141.218.60.56/~jnz1568/getInfo.php?workbook=10_05.xlsx&amp;sheet=U0&amp;row=3656&amp;col=7&amp;number=2.4&amp;sourceID=14","2.4")</f>
        <v>2.4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HYPERLINK("http://141.218.60.56/~jnz1568/getInfo.php?workbook=10_05.xlsx&amp;sheet=U0&amp;row=3657&amp;col=6&amp;number=4.3&amp;sourceID=14","4.3")</f>
        <v>4.3</v>
      </c>
      <c r="G3657" s="4" t="str">
        <f>HYPERLINK("http://141.218.60.56/~jnz1568/getInfo.php?workbook=10_05.xlsx&amp;sheet=U0&amp;row=3657&amp;col=7&amp;number=2.43&amp;sourceID=14","2.43")</f>
        <v>2.43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HYPERLINK("http://141.218.60.56/~jnz1568/getInfo.php?workbook=10_05.xlsx&amp;sheet=U0&amp;row=3658&amp;col=6&amp;number=4.4&amp;sourceID=14","4.4")</f>
        <v>4.4</v>
      </c>
      <c r="G3658" s="4" t="str">
        <f>HYPERLINK("http://141.218.60.56/~jnz1568/getInfo.php?workbook=10_05.xlsx&amp;sheet=U0&amp;row=3658&amp;col=7&amp;number=2.43&amp;sourceID=14","2.43")</f>
        <v>2.43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HYPERLINK("http://141.218.60.56/~jnz1568/getInfo.php?workbook=10_05.xlsx&amp;sheet=U0&amp;row=3659&amp;col=6&amp;number=4.5&amp;sourceID=14","4.5")</f>
        <v>4.5</v>
      </c>
      <c r="G3659" s="4" t="str">
        <f>HYPERLINK("http://141.218.60.56/~jnz1568/getInfo.php?workbook=10_05.xlsx&amp;sheet=U0&amp;row=3659&amp;col=7&amp;number=2.42&amp;sourceID=14","2.42")</f>
        <v>2.42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HYPERLINK("http://141.218.60.56/~jnz1568/getInfo.php?workbook=10_05.xlsx&amp;sheet=U0&amp;row=3660&amp;col=6&amp;number=4.6&amp;sourceID=14","4.6")</f>
        <v>4.6</v>
      </c>
      <c r="G3660" s="4" t="str">
        <f>HYPERLINK("http://141.218.60.56/~jnz1568/getInfo.php?workbook=10_05.xlsx&amp;sheet=U0&amp;row=3660&amp;col=7&amp;number=2.42&amp;sourceID=14","2.42")</f>
        <v>2.42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HYPERLINK("http://141.218.60.56/~jnz1568/getInfo.php?workbook=10_05.xlsx&amp;sheet=U0&amp;row=3661&amp;col=6&amp;number=4.7&amp;sourceID=14","4.7")</f>
        <v>4.7</v>
      </c>
      <c r="G3661" s="4" t="str">
        <f>HYPERLINK("http://141.218.60.56/~jnz1568/getInfo.php?workbook=10_05.xlsx&amp;sheet=U0&amp;row=3661&amp;col=7&amp;number=2.42&amp;sourceID=14","2.42")</f>
        <v>2.42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HYPERLINK("http://141.218.60.56/~jnz1568/getInfo.php?workbook=10_05.xlsx&amp;sheet=U0&amp;row=3662&amp;col=6&amp;number=4.8&amp;sourceID=14","4.8")</f>
        <v>4.8</v>
      </c>
      <c r="G3662" s="4" t="str">
        <f>HYPERLINK("http://141.218.60.56/~jnz1568/getInfo.php?workbook=10_05.xlsx&amp;sheet=U0&amp;row=3662&amp;col=7&amp;number=2.41&amp;sourceID=14","2.41")</f>
        <v>2.41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HYPERLINK("http://141.218.60.56/~jnz1568/getInfo.php?workbook=10_05.xlsx&amp;sheet=U0&amp;row=3663&amp;col=6&amp;number=4.9&amp;sourceID=14","4.9")</f>
        <v>4.9</v>
      </c>
      <c r="G3663" s="4" t="str">
        <f>HYPERLINK("http://141.218.60.56/~jnz1568/getInfo.php?workbook=10_05.xlsx&amp;sheet=U0&amp;row=3663&amp;col=7&amp;number=2.39&amp;sourceID=14","2.39")</f>
        <v>2.39</v>
      </c>
    </row>
    <row r="3664" spans="1:7">
      <c r="A3664" s="3">
        <v>10</v>
      </c>
      <c r="B3664" s="3">
        <v>5</v>
      </c>
      <c r="C3664" s="3">
        <v>2</v>
      </c>
      <c r="D3664" s="3">
        <v>7</v>
      </c>
      <c r="E3664" s="3">
        <v>1</v>
      </c>
      <c r="F3664" s="4" t="str">
        <f>HYPERLINK("http://141.218.60.56/~jnz1568/getInfo.php?workbook=10_05.xlsx&amp;sheet=U0&amp;row=3664&amp;col=6&amp;number=3&amp;sourceID=14","3")</f>
        <v>3</v>
      </c>
      <c r="G3664" s="4" t="str">
        <f>HYPERLINK("http://141.218.60.56/~jnz1568/getInfo.php?workbook=10_05.xlsx&amp;sheet=U0&amp;row=3664&amp;col=7&amp;number=0.281&amp;sourceID=14","0.281")</f>
        <v>0.281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HYPERLINK("http://141.218.60.56/~jnz1568/getInfo.php?workbook=10_05.xlsx&amp;sheet=U0&amp;row=3665&amp;col=6&amp;number=3.1&amp;sourceID=14","3.1")</f>
        <v>3.1</v>
      </c>
      <c r="G3665" s="4" t="str">
        <f>HYPERLINK("http://141.218.60.56/~jnz1568/getInfo.php?workbook=10_05.xlsx&amp;sheet=U0&amp;row=3665&amp;col=7&amp;number=0.288&amp;sourceID=14","0.288")</f>
        <v>0.288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HYPERLINK("http://141.218.60.56/~jnz1568/getInfo.php?workbook=10_05.xlsx&amp;sheet=U0&amp;row=3666&amp;col=6&amp;number=3.2&amp;sourceID=14","3.2")</f>
        <v>3.2</v>
      </c>
      <c r="G3666" s="4" t="str">
        <f>HYPERLINK("http://141.218.60.56/~jnz1568/getInfo.php?workbook=10_05.xlsx&amp;sheet=U0&amp;row=3666&amp;col=7&amp;number=0.297&amp;sourceID=14","0.297")</f>
        <v>0.297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HYPERLINK("http://141.218.60.56/~jnz1568/getInfo.php?workbook=10_05.xlsx&amp;sheet=U0&amp;row=3667&amp;col=6&amp;number=3.3&amp;sourceID=14","3.3")</f>
        <v>3.3</v>
      </c>
      <c r="G3667" s="4" t="str">
        <f>HYPERLINK("http://141.218.60.56/~jnz1568/getInfo.php?workbook=10_05.xlsx&amp;sheet=U0&amp;row=3667&amp;col=7&amp;number=0.308&amp;sourceID=14","0.308")</f>
        <v>0.308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HYPERLINK("http://141.218.60.56/~jnz1568/getInfo.php?workbook=10_05.xlsx&amp;sheet=U0&amp;row=3668&amp;col=6&amp;number=3.4&amp;sourceID=14","3.4")</f>
        <v>3.4</v>
      </c>
      <c r="G3668" s="4" t="str">
        <f>HYPERLINK("http://141.218.60.56/~jnz1568/getInfo.php?workbook=10_05.xlsx&amp;sheet=U0&amp;row=3668&amp;col=7&amp;number=0.322&amp;sourceID=14","0.322")</f>
        <v>0.322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HYPERLINK("http://141.218.60.56/~jnz1568/getInfo.php?workbook=10_05.xlsx&amp;sheet=U0&amp;row=3669&amp;col=6&amp;number=3.5&amp;sourceID=14","3.5")</f>
        <v>3.5</v>
      </c>
      <c r="G3669" s="4" t="str">
        <f>HYPERLINK("http://141.218.60.56/~jnz1568/getInfo.php?workbook=10_05.xlsx&amp;sheet=U0&amp;row=3669&amp;col=7&amp;number=0.34&amp;sourceID=14","0.34")</f>
        <v>0.34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HYPERLINK("http://141.218.60.56/~jnz1568/getInfo.php?workbook=10_05.xlsx&amp;sheet=U0&amp;row=3670&amp;col=6&amp;number=3.6&amp;sourceID=14","3.6")</f>
        <v>3.6</v>
      </c>
      <c r="G3670" s="4" t="str">
        <f>HYPERLINK("http://141.218.60.56/~jnz1568/getInfo.php?workbook=10_05.xlsx&amp;sheet=U0&amp;row=3670&amp;col=7&amp;number=0.361&amp;sourceID=14","0.361")</f>
        <v>0.361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HYPERLINK("http://141.218.60.56/~jnz1568/getInfo.php?workbook=10_05.xlsx&amp;sheet=U0&amp;row=3671&amp;col=6&amp;number=3.7&amp;sourceID=14","3.7")</f>
        <v>3.7</v>
      </c>
      <c r="G3671" s="4" t="str">
        <f>HYPERLINK("http://141.218.60.56/~jnz1568/getInfo.php?workbook=10_05.xlsx&amp;sheet=U0&amp;row=3671&amp;col=7&amp;number=0.387&amp;sourceID=14","0.387")</f>
        <v>0.387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HYPERLINK("http://141.218.60.56/~jnz1568/getInfo.php?workbook=10_05.xlsx&amp;sheet=U0&amp;row=3672&amp;col=6&amp;number=3.8&amp;sourceID=14","3.8")</f>
        <v>3.8</v>
      </c>
      <c r="G3672" s="4" t="str">
        <f>HYPERLINK("http://141.218.60.56/~jnz1568/getInfo.php?workbook=10_05.xlsx&amp;sheet=U0&amp;row=3672&amp;col=7&amp;number=0.417&amp;sourceID=14","0.417")</f>
        <v>0.417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HYPERLINK("http://141.218.60.56/~jnz1568/getInfo.php?workbook=10_05.xlsx&amp;sheet=U0&amp;row=3673&amp;col=6&amp;number=3.9&amp;sourceID=14","3.9")</f>
        <v>3.9</v>
      </c>
      <c r="G3673" s="4" t="str">
        <f>HYPERLINK("http://141.218.60.56/~jnz1568/getInfo.php?workbook=10_05.xlsx&amp;sheet=U0&amp;row=3673&amp;col=7&amp;number=0.452&amp;sourceID=14","0.452")</f>
        <v>0.452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HYPERLINK("http://141.218.60.56/~jnz1568/getInfo.php?workbook=10_05.xlsx&amp;sheet=U0&amp;row=3674&amp;col=6&amp;number=4&amp;sourceID=14","4")</f>
        <v>4</v>
      </c>
      <c r="G3674" s="4" t="str">
        <f>HYPERLINK("http://141.218.60.56/~jnz1568/getInfo.php?workbook=10_05.xlsx&amp;sheet=U0&amp;row=3674&amp;col=7&amp;number=0.49&amp;sourceID=14","0.49")</f>
        <v>0.49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HYPERLINK("http://141.218.60.56/~jnz1568/getInfo.php?workbook=10_05.xlsx&amp;sheet=U0&amp;row=3675&amp;col=6&amp;number=4.1&amp;sourceID=14","4.1")</f>
        <v>4.1</v>
      </c>
      <c r="G3675" s="4" t="str">
        <f>HYPERLINK("http://141.218.60.56/~jnz1568/getInfo.php?workbook=10_05.xlsx&amp;sheet=U0&amp;row=3675&amp;col=7&amp;number=0.529&amp;sourceID=14","0.529")</f>
        <v>0.529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HYPERLINK("http://141.218.60.56/~jnz1568/getInfo.php?workbook=10_05.xlsx&amp;sheet=U0&amp;row=3676&amp;col=6&amp;number=4.2&amp;sourceID=14","4.2")</f>
        <v>4.2</v>
      </c>
      <c r="G3676" s="4" t="str">
        <f>HYPERLINK("http://141.218.60.56/~jnz1568/getInfo.php?workbook=10_05.xlsx&amp;sheet=U0&amp;row=3676&amp;col=7&amp;number=0.562&amp;sourceID=14","0.562")</f>
        <v>0.562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HYPERLINK("http://141.218.60.56/~jnz1568/getInfo.php?workbook=10_05.xlsx&amp;sheet=U0&amp;row=3677&amp;col=6&amp;number=4.3&amp;sourceID=14","4.3")</f>
        <v>4.3</v>
      </c>
      <c r="G3677" s="4" t="str">
        <f>HYPERLINK("http://141.218.60.56/~jnz1568/getInfo.php?workbook=10_05.xlsx&amp;sheet=U0&amp;row=3677&amp;col=7&amp;number=0.582&amp;sourceID=14","0.582")</f>
        <v>0.582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HYPERLINK("http://141.218.60.56/~jnz1568/getInfo.php?workbook=10_05.xlsx&amp;sheet=U0&amp;row=3678&amp;col=6&amp;number=4.4&amp;sourceID=14","4.4")</f>
        <v>4.4</v>
      </c>
      <c r="G3678" s="4" t="str">
        <f>HYPERLINK("http://141.218.60.56/~jnz1568/getInfo.php?workbook=10_05.xlsx&amp;sheet=U0&amp;row=3678&amp;col=7&amp;number=0.585&amp;sourceID=14","0.585")</f>
        <v>0.585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HYPERLINK("http://141.218.60.56/~jnz1568/getInfo.php?workbook=10_05.xlsx&amp;sheet=U0&amp;row=3679&amp;col=6&amp;number=4.5&amp;sourceID=14","4.5")</f>
        <v>4.5</v>
      </c>
      <c r="G3679" s="4" t="str">
        <f>HYPERLINK("http://141.218.60.56/~jnz1568/getInfo.php?workbook=10_05.xlsx&amp;sheet=U0&amp;row=3679&amp;col=7&amp;number=0.575&amp;sourceID=14","0.575")</f>
        <v>0.575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HYPERLINK("http://141.218.60.56/~jnz1568/getInfo.php?workbook=10_05.xlsx&amp;sheet=U0&amp;row=3680&amp;col=6&amp;number=4.6&amp;sourceID=14","4.6")</f>
        <v>4.6</v>
      </c>
      <c r="G3680" s="4" t="str">
        <f>HYPERLINK("http://141.218.60.56/~jnz1568/getInfo.php?workbook=10_05.xlsx&amp;sheet=U0&amp;row=3680&amp;col=7&amp;number=0.559&amp;sourceID=14","0.559")</f>
        <v>0.559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HYPERLINK("http://141.218.60.56/~jnz1568/getInfo.php?workbook=10_05.xlsx&amp;sheet=U0&amp;row=3681&amp;col=6&amp;number=4.7&amp;sourceID=14","4.7")</f>
        <v>4.7</v>
      </c>
      <c r="G3681" s="4" t="str">
        <f>HYPERLINK("http://141.218.60.56/~jnz1568/getInfo.php?workbook=10_05.xlsx&amp;sheet=U0&amp;row=3681&amp;col=7&amp;number=0.548&amp;sourceID=14","0.548")</f>
        <v>0.548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HYPERLINK("http://141.218.60.56/~jnz1568/getInfo.php?workbook=10_05.xlsx&amp;sheet=U0&amp;row=3682&amp;col=6&amp;number=4.8&amp;sourceID=14","4.8")</f>
        <v>4.8</v>
      </c>
      <c r="G3682" s="4" t="str">
        <f>HYPERLINK("http://141.218.60.56/~jnz1568/getInfo.php?workbook=10_05.xlsx&amp;sheet=U0&amp;row=3682&amp;col=7&amp;number=0.538&amp;sourceID=14","0.538")</f>
        <v>0.538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HYPERLINK("http://141.218.60.56/~jnz1568/getInfo.php?workbook=10_05.xlsx&amp;sheet=U0&amp;row=3683&amp;col=6&amp;number=4.9&amp;sourceID=14","4.9")</f>
        <v>4.9</v>
      </c>
      <c r="G3683" s="4" t="str">
        <f>HYPERLINK("http://141.218.60.56/~jnz1568/getInfo.php?workbook=10_05.xlsx&amp;sheet=U0&amp;row=3683&amp;col=7&amp;number=0.523&amp;sourceID=14","0.523")</f>
        <v>0.523</v>
      </c>
    </row>
    <row r="3684" spans="1:7">
      <c r="A3684" s="3">
        <v>10</v>
      </c>
      <c r="B3684" s="3">
        <v>5</v>
      </c>
      <c r="C3684" s="3">
        <v>2</v>
      </c>
      <c r="D3684" s="3">
        <v>8</v>
      </c>
      <c r="E3684" s="3">
        <v>1</v>
      </c>
      <c r="F3684" s="4" t="str">
        <f>HYPERLINK("http://141.218.60.56/~jnz1568/getInfo.php?workbook=10_05.xlsx&amp;sheet=U0&amp;row=3684&amp;col=6&amp;number=3&amp;sourceID=14","3")</f>
        <v>3</v>
      </c>
      <c r="G3684" s="4" t="str">
        <f>HYPERLINK("http://141.218.60.56/~jnz1568/getInfo.php?workbook=10_05.xlsx&amp;sheet=U0&amp;row=3684&amp;col=7&amp;number=1.04&amp;sourceID=14","1.04")</f>
        <v>1.04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HYPERLINK("http://141.218.60.56/~jnz1568/getInfo.php?workbook=10_05.xlsx&amp;sheet=U0&amp;row=3685&amp;col=6&amp;number=3.1&amp;sourceID=14","3.1")</f>
        <v>3.1</v>
      </c>
      <c r="G3685" s="4" t="str">
        <f>HYPERLINK("http://141.218.60.56/~jnz1568/getInfo.php?workbook=10_05.xlsx&amp;sheet=U0&amp;row=3685&amp;col=7&amp;number=1.04&amp;sourceID=14","1.04")</f>
        <v>1.04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HYPERLINK("http://141.218.60.56/~jnz1568/getInfo.php?workbook=10_05.xlsx&amp;sheet=U0&amp;row=3686&amp;col=6&amp;number=3.2&amp;sourceID=14","3.2")</f>
        <v>3.2</v>
      </c>
      <c r="G3686" s="4" t="str">
        <f>HYPERLINK("http://141.218.60.56/~jnz1568/getInfo.php?workbook=10_05.xlsx&amp;sheet=U0&amp;row=3686&amp;col=7&amp;number=1.03&amp;sourceID=14","1.03")</f>
        <v>1.03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HYPERLINK("http://141.218.60.56/~jnz1568/getInfo.php?workbook=10_05.xlsx&amp;sheet=U0&amp;row=3687&amp;col=6&amp;number=3.3&amp;sourceID=14","3.3")</f>
        <v>3.3</v>
      </c>
      <c r="G3687" s="4" t="str">
        <f>HYPERLINK("http://141.218.60.56/~jnz1568/getInfo.php?workbook=10_05.xlsx&amp;sheet=U0&amp;row=3687&amp;col=7&amp;number=1.03&amp;sourceID=14","1.03")</f>
        <v>1.03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HYPERLINK("http://141.218.60.56/~jnz1568/getInfo.php?workbook=10_05.xlsx&amp;sheet=U0&amp;row=3688&amp;col=6&amp;number=3.4&amp;sourceID=14","3.4")</f>
        <v>3.4</v>
      </c>
      <c r="G3688" s="4" t="str">
        <f>HYPERLINK("http://141.218.60.56/~jnz1568/getInfo.php?workbook=10_05.xlsx&amp;sheet=U0&amp;row=3688&amp;col=7&amp;number=1.02&amp;sourceID=14","1.02")</f>
        <v>1.02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HYPERLINK("http://141.218.60.56/~jnz1568/getInfo.php?workbook=10_05.xlsx&amp;sheet=U0&amp;row=3689&amp;col=6&amp;number=3.5&amp;sourceID=14","3.5")</f>
        <v>3.5</v>
      </c>
      <c r="G3689" s="4" t="str">
        <f>HYPERLINK("http://141.218.60.56/~jnz1568/getInfo.php?workbook=10_05.xlsx&amp;sheet=U0&amp;row=3689&amp;col=7&amp;number=1.01&amp;sourceID=14","1.01")</f>
        <v>1.01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HYPERLINK("http://141.218.60.56/~jnz1568/getInfo.php?workbook=10_05.xlsx&amp;sheet=U0&amp;row=3690&amp;col=6&amp;number=3.6&amp;sourceID=14","3.6")</f>
        <v>3.6</v>
      </c>
      <c r="G3690" s="4" t="str">
        <f>HYPERLINK("http://141.218.60.56/~jnz1568/getInfo.php?workbook=10_05.xlsx&amp;sheet=U0&amp;row=3690&amp;col=7&amp;number=1&amp;sourceID=14","1")</f>
        <v>1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HYPERLINK("http://141.218.60.56/~jnz1568/getInfo.php?workbook=10_05.xlsx&amp;sheet=U0&amp;row=3691&amp;col=6&amp;number=3.7&amp;sourceID=14","3.7")</f>
        <v>3.7</v>
      </c>
      <c r="G3691" s="4" t="str">
        <f>HYPERLINK("http://141.218.60.56/~jnz1568/getInfo.php?workbook=10_05.xlsx&amp;sheet=U0&amp;row=3691&amp;col=7&amp;number=0.99&amp;sourceID=14","0.99")</f>
        <v>0.99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HYPERLINK("http://141.218.60.56/~jnz1568/getInfo.php?workbook=10_05.xlsx&amp;sheet=U0&amp;row=3692&amp;col=6&amp;number=3.8&amp;sourceID=14","3.8")</f>
        <v>3.8</v>
      </c>
      <c r="G3692" s="4" t="str">
        <f>HYPERLINK("http://141.218.60.56/~jnz1568/getInfo.php?workbook=10_05.xlsx&amp;sheet=U0&amp;row=3692&amp;col=7&amp;number=0.976&amp;sourceID=14","0.976")</f>
        <v>0.976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HYPERLINK("http://141.218.60.56/~jnz1568/getInfo.php?workbook=10_05.xlsx&amp;sheet=U0&amp;row=3693&amp;col=6&amp;number=3.9&amp;sourceID=14","3.9")</f>
        <v>3.9</v>
      </c>
      <c r="G3693" s="4" t="str">
        <f>HYPERLINK("http://141.218.60.56/~jnz1568/getInfo.php?workbook=10_05.xlsx&amp;sheet=U0&amp;row=3693&amp;col=7&amp;number=0.959&amp;sourceID=14","0.959")</f>
        <v>0.959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HYPERLINK("http://141.218.60.56/~jnz1568/getInfo.php?workbook=10_05.xlsx&amp;sheet=U0&amp;row=3694&amp;col=6&amp;number=4&amp;sourceID=14","4")</f>
        <v>4</v>
      </c>
      <c r="G3694" s="4" t="str">
        <f>HYPERLINK("http://141.218.60.56/~jnz1568/getInfo.php?workbook=10_05.xlsx&amp;sheet=U0&amp;row=3694&amp;col=7&amp;number=0.94&amp;sourceID=14","0.94")</f>
        <v>0.94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HYPERLINK("http://141.218.60.56/~jnz1568/getInfo.php?workbook=10_05.xlsx&amp;sheet=U0&amp;row=3695&amp;col=6&amp;number=4.1&amp;sourceID=14","4.1")</f>
        <v>4.1</v>
      </c>
      <c r="G3695" s="4" t="str">
        <f>HYPERLINK("http://141.218.60.56/~jnz1568/getInfo.php?workbook=10_05.xlsx&amp;sheet=U0&amp;row=3695&amp;col=7&amp;number=0.918&amp;sourceID=14","0.918")</f>
        <v>0.918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HYPERLINK("http://141.218.60.56/~jnz1568/getInfo.php?workbook=10_05.xlsx&amp;sheet=U0&amp;row=3696&amp;col=6&amp;number=4.2&amp;sourceID=14","4.2")</f>
        <v>4.2</v>
      </c>
      <c r="G3696" s="4" t="str">
        <f>HYPERLINK("http://141.218.60.56/~jnz1568/getInfo.php?workbook=10_05.xlsx&amp;sheet=U0&amp;row=3696&amp;col=7&amp;number=0.896&amp;sourceID=14","0.896")</f>
        <v>0.896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HYPERLINK("http://141.218.60.56/~jnz1568/getInfo.php?workbook=10_05.xlsx&amp;sheet=U0&amp;row=3697&amp;col=6&amp;number=4.3&amp;sourceID=14","4.3")</f>
        <v>4.3</v>
      </c>
      <c r="G3697" s="4" t="str">
        <f>HYPERLINK("http://141.218.60.56/~jnz1568/getInfo.php?workbook=10_05.xlsx&amp;sheet=U0&amp;row=3697&amp;col=7&amp;number=0.873&amp;sourceID=14","0.873")</f>
        <v>0.873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HYPERLINK("http://141.218.60.56/~jnz1568/getInfo.php?workbook=10_05.xlsx&amp;sheet=U0&amp;row=3698&amp;col=6&amp;number=4.4&amp;sourceID=14","4.4")</f>
        <v>4.4</v>
      </c>
      <c r="G3698" s="4" t="str">
        <f>HYPERLINK("http://141.218.60.56/~jnz1568/getInfo.php?workbook=10_05.xlsx&amp;sheet=U0&amp;row=3698&amp;col=7&amp;number=0.85&amp;sourceID=14","0.85")</f>
        <v>0.85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HYPERLINK("http://141.218.60.56/~jnz1568/getInfo.php?workbook=10_05.xlsx&amp;sheet=U0&amp;row=3699&amp;col=6&amp;number=4.5&amp;sourceID=14","4.5")</f>
        <v>4.5</v>
      </c>
      <c r="G3699" s="4" t="str">
        <f>HYPERLINK("http://141.218.60.56/~jnz1568/getInfo.php?workbook=10_05.xlsx&amp;sheet=U0&amp;row=3699&amp;col=7&amp;number=0.831&amp;sourceID=14","0.831")</f>
        <v>0.831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HYPERLINK("http://141.218.60.56/~jnz1568/getInfo.php?workbook=10_05.xlsx&amp;sheet=U0&amp;row=3700&amp;col=6&amp;number=4.6&amp;sourceID=14","4.6")</f>
        <v>4.6</v>
      </c>
      <c r="G3700" s="4" t="str">
        <f>HYPERLINK("http://141.218.60.56/~jnz1568/getInfo.php?workbook=10_05.xlsx&amp;sheet=U0&amp;row=3700&amp;col=7&amp;number=0.814&amp;sourceID=14","0.814")</f>
        <v>0.814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HYPERLINK("http://141.218.60.56/~jnz1568/getInfo.php?workbook=10_05.xlsx&amp;sheet=U0&amp;row=3701&amp;col=6&amp;number=4.7&amp;sourceID=14","4.7")</f>
        <v>4.7</v>
      </c>
      <c r="G3701" s="4" t="str">
        <f>HYPERLINK("http://141.218.60.56/~jnz1568/getInfo.php?workbook=10_05.xlsx&amp;sheet=U0&amp;row=3701&amp;col=7&amp;number=0.801&amp;sourceID=14","0.801")</f>
        <v>0.801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HYPERLINK("http://141.218.60.56/~jnz1568/getInfo.php?workbook=10_05.xlsx&amp;sheet=U0&amp;row=3702&amp;col=6&amp;number=4.8&amp;sourceID=14","4.8")</f>
        <v>4.8</v>
      </c>
      <c r="G3702" s="4" t="str">
        <f>HYPERLINK("http://141.218.60.56/~jnz1568/getInfo.php?workbook=10_05.xlsx&amp;sheet=U0&amp;row=3702&amp;col=7&amp;number=0.791&amp;sourceID=14","0.791")</f>
        <v>0.791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HYPERLINK("http://141.218.60.56/~jnz1568/getInfo.php?workbook=10_05.xlsx&amp;sheet=U0&amp;row=3703&amp;col=6&amp;number=4.9&amp;sourceID=14","4.9")</f>
        <v>4.9</v>
      </c>
      <c r="G3703" s="4" t="str">
        <f>HYPERLINK("http://141.218.60.56/~jnz1568/getInfo.php?workbook=10_05.xlsx&amp;sheet=U0&amp;row=3703&amp;col=7&amp;number=0.783&amp;sourceID=14","0.783")</f>
        <v>0.783</v>
      </c>
    </row>
    <row r="3704" spans="1:7">
      <c r="A3704" s="3">
        <v>10</v>
      </c>
      <c r="B3704" s="3">
        <v>5</v>
      </c>
      <c r="C3704" s="3">
        <v>2</v>
      </c>
      <c r="D3704" s="3">
        <v>9</v>
      </c>
      <c r="E3704" s="3">
        <v>1</v>
      </c>
      <c r="F3704" s="4" t="str">
        <f>HYPERLINK("http://141.218.60.56/~jnz1568/getInfo.php?workbook=10_05.xlsx&amp;sheet=U0&amp;row=3704&amp;col=6&amp;number=3&amp;sourceID=14","3")</f>
        <v>3</v>
      </c>
      <c r="G3704" s="4" t="str">
        <f>HYPERLINK("http://141.218.60.56/~jnz1568/getInfo.php?workbook=10_05.xlsx&amp;sheet=U0&amp;row=3704&amp;col=7&amp;number=0.648&amp;sourceID=14","0.648")</f>
        <v>0.648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HYPERLINK("http://141.218.60.56/~jnz1568/getInfo.php?workbook=10_05.xlsx&amp;sheet=U0&amp;row=3705&amp;col=6&amp;number=3.1&amp;sourceID=14","3.1")</f>
        <v>3.1</v>
      </c>
      <c r="G3705" s="4" t="str">
        <f>HYPERLINK("http://141.218.60.56/~jnz1568/getInfo.php?workbook=10_05.xlsx&amp;sheet=U0&amp;row=3705&amp;col=7&amp;number=0.648&amp;sourceID=14","0.648")</f>
        <v>0.648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HYPERLINK("http://141.218.60.56/~jnz1568/getInfo.php?workbook=10_05.xlsx&amp;sheet=U0&amp;row=3706&amp;col=6&amp;number=3.2&amp;sourceID=14","3.2")</f>
        <v>3.2</v>
      </c>
      <c r="G3706" s="4" t="str">
        <f>HYPERLINK("http://141.218.60.56/~jnz1568/getInfo.php?workbook=10_05.xlsx&amp;sheet=U0&amp;row=3706&amp;col=7&amp;number=0.648&amp;sourceID=14","0.648")</f>
        <v>0.648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HYPERLINK("http://141.218.60.56/~jnz1568/getInfo.php?workbook=10_05.xlsx&amp;sheet=U0&amp;row=3707&amp;col=6&amp;number=3.3&amp;sourceID=14","3.3")</f>
        <v>3.3</v>
      </c>
      <c r="G3707" s="4" t="str">
        <f>HYPERLINK("http://141.218.60.56/~jnz1568/getInfo.php?workbook=10_05.xlsx&amp;sheet=U0&amp;row=3707&amp;col=7&amp;number=0.648&amp;sourceID=14","0.648")</f>
        <v>0.648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HYPERLINK("http://141.218.60.56/~jnz1568/getInfo.php?workbook=10_05.xlsx&amp;sheet=U0&amp;row=3708&amp;col=6&amp;number=3.4&amp;sourceID=14","3.4")</f>
        <v>3.4</v>
      </c>
      <c r="G3708" s="4" t="str">
        <f>HYPERLINK("http://141.218.60.56/~jnz1568/getInfo.php?workbook=10_05.xlsx&amp;sheet=U0&amp;row=3708&amp;col=7&amp;number=0.648&amp;sourceID=14","0.648")</f>
        <v>0.648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HYPERLINK("http://141.218.60.56/~jnz1568/getInfo.php?workbook=10_05.xlsx&amp;sheet=U0&amp;row=3709&amp;col=6&amp;number=3.5&amp;sourceID=14","3.5")</f>
        <v>3.5</v>
      </c>
      <c r="G3709" s="4" t="str">
        <f>HYPERLINK("http://141.218.60.56/~jnz1568/getInfo.php?workbook=10_05.xlsx&amp;sheet=U0&amp;row=3709&amp;col=7&amp;number=0.648&amp;sourceID=14","0.648")</f>
        <v>0.648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HYPERLINK("http://141.218.60.56/~jnz1568/getInfo.php?workbook=10_05.xlsx&amp;sheet=U0&amp;row=3710&amp;col=6&amp;number=3.6&amp;sourceID=14","3.6")</f>
        <v>3.6</v>
      </c>
      <c r="G3710" s="4" t="str">
        <f>HYPERLINK("http://141.218.60.56/~jnz1568/getInfo.php?workbook=10_05.xlsx&amp;sheet=U0&amp;row=3710&amp;col=7&amp;number=0.648&amp;sourceID=14","0.648")</f>
        <v>0.648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HYPERLINK("http://141.218.60.56/~jnz1568/getInfo.php?workbook=10_05.xlsx&amp;sheet=U0&amp;row=3711&amp;col=6&amp;number=3.7&amp;sourceID=14","3.7")</f>
        <v>3.7</v>
      </c>
      <c r="G3711" s="4" t="str">
        <f>HYPERLINK("http://141.218.60.56/~jnz1568/getInfo.php?workbook=10_05.xlsx&amp;sheet=U0&amp;row=3711&amp;col=7&amp;number=0.648&amp;sourceID=14","0.648")</f>
        <v>0.648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HYPERLINK("http://141.218.60.56/~jnz1568/getInfo.php?workbook=10_05.xlsx&amp;sheet=U0&amp;row=3712&amp;col=6&amp;number=3.8&amp;sourceID=14","3.8")</f>
        <v>3.8</v>
      </c>
      <c r="G3712" s="4" t="str">
        <f>HYPERLINK("http://141.218.60.56/~jnz1568/getInfo.php?workbook=10_05.xlsx&amp;sheet=U0&amp;row=3712&amp;col=7&amp;number=0.648&amp;sourceID=14","0.648")</f>
        <v>0.648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HYPERLINK("http://141.218.60.56/~jnz1568/getInfo.php?workbook=10_05.xlsx&amp;sheet=U0&amp;row=3713&amp;col=6&amp;number=3.9&amp;sourceID=14","3.9")</f>
        <v>3.9</v>
      </c>
      <c r="G3713" s="4" t="str">
        <f>HYPERLINK("http://141.218.60.56/~jnz1568/getInfo.php?workbook=10_05.xlsx&amp;sheet=U0&amp;row=3713&amp;col=7&amp;number=0.649&amp;sourceID=14","0.649")</f>
        <v>0.649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HYPERLINK("http://141.218.60.56/~jnz1568/getInfo.php?workbook=10_05.xlsx&amp;sheet=U0&amp;row=3714&amp;col=6&amp;number=4&amp;sourceID=14","4")</f>
        <v>4</v>
      </c>
      <c r="G3714" s="4" t="str">
        <f>HYPERLINK("http://141.218.60.56/~jnz1568/getInfo.php?workbook=10_05.xlsx&amp;sheet=U0&amp;row=3714&amp;col=7&amp;number=0.65&amp;sourceID=14","0.65")</f>
        <v>0.65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HYPERLINK("http://141.218.60.56/~jnz1568/getInfo.php?workbook=10_05.xlsx&amp;sheet=U0&amp;row=3715&amp;col=6&amp;number=4.1&amp;sourceID=14","4.1")</f>
        <v>4.1</v>
      </c>
      <c r="G3715" s="4" t="str">
        <f>HYPERLINK("http://141.218.60.56/~jnz1568/getInfo.php?workbook=10_05.xlsx&amp;sheet=U0&amp;row=3715&amp;col=7&amp;number=0.653&amp;sourceID=14","0.653")</f>
        <v>0.653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HYPERLINK("http://141.218.60.56/~jnz1568/getInfo.php?workbook=10_05.xlsx&amp;sheet=U0&amp;row=3716&amp;col=6&amp;number=4.2&amp;sourceID=14","4.2")</f>
        <v>4.2</v>
      </c>
      <c r="G3716" s="4" t="str">
        <f>HYPERLINK("http://141.218.60.56/~jnz1568/getInfo.php?workbook=10_05.xlsx&amp;sheet=U0&amp;row=3716&amp;col=7&amp;number=0.658&amp;sourceID=14","0.658")</f>
        <v>0.658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HYPERLINK("http://141.218.60.56/~jnz1568/getInfo.php?workbook=10_05.xlsx&amp;sheet=U0&amp;row=3717&amp;col=6&amp;number=4.3&amp;sourceID=14","4.3")</f>
        <v>4.3</v>
      </c>
      <c r="G3717" s="4" t="str">
        <f>HYPERLINK("http://141.218.60.56/~jnz1568/getInfo.php?workbook=10_05.xlsx&amp;sheet=U0&amp;row=3717&amp;col=7&amp;number=0.664&amp;sourceID=14","0.664")</f>
        <v>0.664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HYPERLINK("http://141.218.60.56/~jnz1568/getInfo.php?workbook=10_05.xlsx&amp;sheet=U0&amp;row=3718&amp;col=6&amp;number=4.4&amp;sourceID=14","4.4")</f>
        <v>4.4</v>
      </c>
      <c r="G3718" s="4" t="str">
        <f>HYPERLINK("http://141.218.60.56/~jnz1568/getInfo.php?workbook=10_05.xlsx&amp;sheet=U0&amp;row=3718&amp;col=7&amp;number=0.671&amp;sourceID=14","0.671")</f>
        <v>0.671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HYPERLINK("http://141.218.60.56/~jnz1568/getInfo.php?workbook=10_05.xlsx&amp;sheet=U0&amp;row=3719&amp;col=6&amp;number=4.5&amp;sourceID=14","4.5")</f>
        <v>4.5</v>
      </c>
      <c r="G3719" s="4" t="str">
        <f>HYPERLINK("http://141.218.60.56/~jnz1568/getInfo.php?workbook=10_05.xlsx&amp;sheet=U0&amp;row=3719&amp;col=7&amp;number=0.677&amp;sourceID=14","0.677")</f>
        <v>0.677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HYPERLINK("http://141.218.60.56/~jnz1568/getInfo.php?workbook=10_05.xlsx&amp;sheet=U0&amp;row=3720&amp;col=6&amp;number=4.6&amp;sourceID=14","4.6")</f>
        <v>4.6</v>
      </c>
      <c r="G3720" s="4" t="str">
        <f>HYPERLINK("http://141.218.60.56/~jnz1568/getInfo.php?workbook=10_05.xlsx&amp;sheet=U0&amp;row=3720&amp;col=7&amp;number=0.681&amp;sourceID=14","0.681")</f>
        <v>0.681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HYPERLINK("http://141.218.60.56/~jnz1568/getInfo.php?workbook=10_05.xlsx&amp;sheet=U0&amp;row=3721&amp;col=6&amp;number=4.7&amp;sourceID=14","4.7")</f>
        <v>4.7</v>
      </c>
      <c r="G3721" s="4" t="str">
        <f>HYPERLINK("http://141.218.60.56/~jnz1568/getInfo.php?workbook=10_05.xlsx&amp;sheet=U0&amp;row=3721&amp;col=7&amp;number=0.685&amp;sourceID=14","0.685")</f>
        <v>0.685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HYPERLINK("http://141.218.60.56/~jnz1568/getInfo.php?workbook=10_05.xlsx&amp;sheet=U0&amp;row=3722&amp;col=6&amp;number=4.8&amp;sourceID=14","4.8")</f>
        <v>4.8</v>
      </c>
      <c r="G3722" s="4" t="str">
        <f>HYPERLINK("http://141.218.60.56/~jnz1568/getInfo.php?workbook=10_05.xlsx&amp;sheet=U0&amp;row=3722&amp;col=7&amp;number=0.691&amp;sourceID=14","0.691")</f>
        <v>0.691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HYPERLINK("http://141.218.60.56/~jnz1568/getInfo.php?workbook=10_05.xlsx&amp;sheet=U0&amp;row=3723&amp;col=6&amp;number=4.9&amp;sourceID=14","4.9")</f>
        <v>4.9</v>
      </c>
      <c r="G3723" s="4" t="str">
        <f>HYPERLINK("http://141.218.60.56/~jnz1568/getInfo.php?workbook=10_05.xlsx&amp;sheet=U0&amp;row=3723&amp;col=7&amp;number=0.698&amp;sourceID=14","0.698")</f>
        <v>0.698</v>
      </c>
    </row>
    <row r="3724" spans="1:7">
      <c r="A3724" s="3">
        <v>10</v>
      </c>
      <c r="B3724" s="3">
        <v>5</v>
      </c>
      <c r="C3724" s="3">
        <v>2</v>
      </c>
      <c r="D3724" s="3">
        <v>10</v>
      </c>
      <c r="E3724" s="3">
        <v>1</v>
      </c>
      <c r="F3724" s="4" t="str">
        <f>HYPERLINK("http://141.218.60.56/~jnz1568/getInfo.php?workbook=10_05.xlsx&amp;sheet=U0&amp;row=3724&amp;col=6&amp;number=3&amp;sourceID=14","3")</f>
        <v>3</v>
      </c>
      <c r="G3724" s="4" t="str">
        <f>HYPERLINK("http://141.218.60.56/~jnz1568/getInfo.php?workbook=10_05.xlsx&amp;sheet=U0&amp;row=3724&amp;col=7&amp;number=2.47&amp;sourceID=14","2.47")</f>
        <v>2.47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HYPERLINK("http://141.218.60.56/~jnz1568/getInfo.php?workbook=10_05.xlsx&amp;sheet=U0&amp;row=3725&amp;col=6&amp;number=3.1&amp;sourceID=14","3.1")</f>
        <v>3.1</v>
      </c>
      <c r="G3725" s="4" t="str">
        <f>HYPERLINK("http://141.218.60.56/~jnz1568/getInfo.php?workbook=10_05.xlsx&amp;sheet=U0&amp;row=3725&amp;col=7&amp;number=2.48&amp;sourceID=14","2.48")</f>
        <v>2.48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HYPERLINK("http://141.218.60.56/~jnz1568/getInfo.php?workbook=10_05.xlsx&amp;sheet=U0&amp;row=3726&amp;col=6&amp;number=3.2&amp;sourceID=14","3.2")</f>
        <v>3.2</v>
      </c>
      <c r="G3726" s="4" t="str">
        <f>HYPERLINK("http://141.218.60.56/~jnz1568/getInfo.php?workbook=10_05.xlsx&amp;sheet=U0&amp;row=3726&amp;col=7&amp;number=2.5&amp;sourceID=14","2.5")</f>
        <v>2.5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HYPERLINK("http://141.218.60.56/~jnz1568/getInfo.php?workbook=10_05.xlsx&amp;sheet=U0&amp;row=3727&amp;col=6&amp;number=3.3&amp;sourceID=14","3.3")</f>
        <v>3.3</v>
      </c>
      <c r="G3727" s="4" t="str">
        <f>HYPERLINK("http://141.218.60.56/~jnz1568/getInfo.php?workbook=10_05.xlsx&amp;sheet=U0&amp;row=3727&amp;col=7&amp;number=2.51&amp;sourceID=14","2.51")</f>
        <v>2.51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HYPERLINK("http://141.218.60.56/~jnz1568/getInfo.php?workbook=10_05.xlsx&amp;sheet=U0&amp;row=3728&amp;col=6&amp;number=3.4&amp;sourceID=14","3.4")</f>
        <v>3.4</v>
      </c>
      <c r="G3728" s="4" t="str">
        <f>HYPERLINK("http://141.218.60.56/~jnz1568/getInfo.php?workbook=10_05.xlsx&amp;sheet=U0&amp;row=3728&amp;col=7&amp;number=2.53&amp;sourceID=14","2.53")</f>
        <v>2.53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HYPERLINK("http://141.218.60.56/~jnz1568/getInfo.php?workbook=10_05.xlsx&amp;sheet=U0&amp;row=3729&amp;col=6&amp;number=3.5&amp;sourceID=14","3.5")</f>
        <v>3.5</v>
      </c>
      <c r="G3729" s="4" t="str">
        <f>HYPERLINK("http://141.218.60.56/~jnz1568/getInfo.php?workbook=10_05.xlsx&amp;sheet=U0&amp;row=3729&amp;col=7&amp;number=2.56&amp;sourceID=14","2.56")</f>
        <v>2.56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HYPERLINK("http://141.218.60.56/~jnz1568/getInfo.php?workbook=10_05.xlsx&amp;sheet=U0&amp;row=3730&amp;col=6&amp;number=3.6&amp;sourceID=14","3.6")</f>
        <v>3.6</v>
      </c>
      <c r="G3730" s="4" t="str">
        <f>HYPERLINK("http://141.218.60.56/~jnz1568/getInfo.php?workbook=10_05.xlsx&amp;sheet=U0&amp;row=3730&amp;col=7&amp;number=2.59&amp;sourceID=14","2.59")</f>
        <v>2.59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HYPERLINK("http://141.218.60.56/~jnz1568/getInfo.php?workbook=10_05.xlsx&amp;sheet=U0&amp;row=3731&amp;col=6&amp;number=3.7&amp;sourceID=14","3.7")</f>
        <v>3.7</v>
      </c>
      <c r="G3731" s="4" t="str">
        <f>HYPERLINK("http://141.218.60.56/~jnz1568/getInfo.php?workbook=10_05.xlsx&amp;sheet=U0&amp;row=3731&amp;col=7&amp;number=2.62&amp;sourceID=14","2.62")</f>
        <v>2.62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HYPERLINK("http://141.218.60.56/~jnz1568/getInfo.php?workbook=10_05.xlsx&amp;sheet=U0&amp;row=3732&amp;col=6&amp;number=3.8&amp;sourceID=14","3.8")</f>
        <v>3.8</v>
      </c>
      <c r="G3732" s="4" t="str">
        <f>HYPERLINK("http://141.218.60.56/~jnz1568/getInfo.php?workbook=10_05.xlsx&amp;sheet=U0&amp;row=3732&amp;col=7&amp;number=2.67&amp;sourceID=14","2.67")</f>
        <v>2.67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HYPERLINK("http://141.218.60.56/~jnz1568/getInfo.php?workbook=10_05.xlsx&amp;sheet=U0&amp;row=3733&amp;col=6&amp;number=3.9&amp;sourceID=14","3.9")</f>
        <v>3.9</v>
      </c>
      <c r="G3733" s="4" t="str">
        <f>HYPERLINK("http://141.218.60.56/~jnz1568/getInfo.php?workbook=10_05.xlsx&amp;sheet=U0&amp;row=3733&amp;col=7&amp;number=2.71&amp;sourceID=14","2.71")</f>
        <v>2.71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HYPERLINK("http://141.218.60.56/~jnz1568/getInfo.php?workbook=10_05.xlsx&amp;sheet=U0&amp;row=3734&amp;col=6&amp;number=4&amp;sourceID=14","4")</f>
        <v>4</v>
      </c>
      <c r="G3734" s="4" t="str">
        <f>HYPERLINK("http://141.218.60.56/~jnz1568/getInfo.php?workbook=10_05.xlsx&amp;sheet=U0&amp;row=3734&amp;col=7&amp;number=2.76&amp;sourceID=14","2.76")</f>
        <v>2.76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HYPERLINK("http://141.218.60.56/~jnz1568/getInfo.php?workbook=10_05.xlsx&amp;sheet=U0&amp;row=3735&amp;col=6&amp;number=4.1&amp;sourceID=14","4.1")</f>
        <v>4.1</v>
      </c>
      <c r="G3735" s="4" t="str">
        <f>HYPERLINK("http://141.218.60.56/~jnz1568/getInfo.php?workbook=10_05.xlsx&amp;sheet=U0&amp;row=3735&amp;col=7&amp;number=2.81&amp;sourceID=14","2.81")</f>
        <v>2.81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HYPERLINK("http://141.218.60.56/~jnz1568/getInfo.php?workbook=10_05.xlsx&amp;sheet=U0&amp;row=3736&amp;col=6&amp;number=4.2&amp;sourceID=14","4.2")</f>
        <v>4.2</v>
      </c>
      <c r="G3736" s="4" t="str">
        <f>HYPERLINK("http://141.218.60.56/~jnz1568/getInfo.php?workbook=10_05.xlsx&amp;sheet=U0&amp;row=3736&amp;col=7&amp;number=2.84&amp;sourceID=14","2.84")</f>
        <v>2.84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HYPERLINK("http://141.218.60.56/~jnz1568/getInfo.php?workbook=10_05.xlsx&amp;sheet=U0&amp;row=3737&amp;col=6&amp;number=4.3&amp;sourceID=14","4.3")</f>
        <v>4.3</v>
      </c>
      <c r="G3737" s="4" t="str">
        <f>HYPERLINK("http://141.218.60.56/~jnz1568/getInfo.php?workbook=10_05.xlsx&amp;sheet=U0&amp;row=3737&amp;col=7&amp;number=2.87&amp;sourceID=14","2.87")</f>
        <v>2.87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HYPERLINK("http://141.218.60.56/~jnz1568/getInfo.php?workbook=10_05.xlsx&amp;sheet=U0&amp;row=3738&amp;col=6&amp;number=4.4&amp;sourceID=14","4.4")</f>
        <v>4.4</v>
      </c>
      <c r="G3738" s="4" t="str">
        <f>HYPERLINK("http://141.218.60.56/~jnz1568/getInfo.php?workbook=10_05.xlsx&amp;sheet=U0&amp;row=3738&amp;col=7&amp;number=2.88&amp;sourceID=14","2.88")</f>
        <v>2.88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HYPERLINK("http://141.218.60.56/~jnz1568/getInfo.php?workbook=10_05.xlsx&amp;sheet=U0&amp;row=3739&amp;col=6&amp;number=4.5&amp;sourceID=14","4.5")</f>
        <v>4.5</v>
      </c>
      <c r="G3739" s="4" t="str">
        <f>HYPERLINK("http://141.218.60.56/~jnz1568/getInfo.php?workbook=10_05.xlsx&amp;sheet=U0&amp;row=3739&amp;col=7&amp;number=2.91&amp;sourceID=14","2.91")</f>
        <v>2.91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HYPERLINK("http://141.218.60.56/~jnz1568/getInfo.php?workbook=10_05.xlsx&amp;sheet=U0&amp;row=3740&amp;col=6&amp;number=4.6&amp;sourceID=14","4.6")</f>
        <v>4.6</v>
      </c>
      <c r="G3740" s="4" t="str">
        <f>HYPERLINK("http://141.218.60.56/~jnz1568/getInfo.php?workbook=10_05.xlsx&amp;sheet=U0&amp;row=3740&amp;col=7&amp;number=2.94&amp;sourceID=14","2.94")</f>
        <v>2.94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HYPERLINK("http://141.218.60.56/~jnz1568/getInfo.php?workbook=10_05.xlsx&amp;sheet=U0&amp;row=3741&amp;col=6&amp;number=4.7&amp;sourceID=14","4.7")</f>
        <v>4.7</v>
      </c>
      <c r="G3741" s="4" t="str">
        <f>HYPERLINK("http://141.218.60.56/~jnz1568/getInfo.php?workbook=10_05.xlsx&amp;sheet=U0&amp;row=3741&amp;col=7&amp;number=2.98&amp;sourceID=14","2.98")</f>
        <v>2.98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HYPERLINK("http://141.218.60.56/~jnz1568/getInfo.php?workbook=10_05.xlsx&amp;sheet=U0&amp;row=3742&amp;col=6&amp;number=4.8&amp;sourceID=14","4.8")</f>
        <v>4.8</v>
      </c>
      <c r="G3742" s="4" t="str">
        <f>HYPERLINK("http://141.218.60.56/~jnz1568/getInfo.php?workbook=10_05.xlsx&amp;sheet=U0&amp;row=3742&amp;col=7&amp;number=3&amp;sourceID=14","3")</f>
        <v>3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HYPERLINK("http://141.218.60.56/~jnz1568/getInfo.php?workbook=10_05.xlsx&amp;sheet=U0&amp;row=3743&amp;col=6&amp;number=4.9&amp;sourceID=14","4.9")</f>
        <v>4.9</v>
      </c>
      <c r="G3743" s="4" t="str">
        <f>HYPERLINK("http://141.218.60.56/~jnz1568/getInfo.php?workbook=10_05.xlsx&amp;sheet=U0&amp;row=3743&amp;col=7&amp;number=3.02&amp;sourceID=14","3.02")</f>
        <v>3.02</v>
      </c>
    </row>
    <row r="3744" spans="1:7">
      <c r="A3744" s="3">
        <v>10</v>
      </c>
      <c r="B3744" s="3">
        <v>5</v>
      </c>
      <c r="C3744" s="3">
        <v>2</v>
      </c>
      <c r="D3744" s="3">
        <v>11</v>
      </c>
      <c r="E3744" s="3">
        <v>1</v>
      </c>
      <c r="F3744" s="4" t="str">
        <f>HYPERLINK("http://141.218.60.56/~jnz1568/getInfo.php?workbook=10_05.xlsx&amp;sheet=U0&amp;row=3744&amp;col=6&amp;number=3&amp;sourceID=14","3")</f>
        <v>3</v>
      </c>
      <c r="G3744" s="4" t="str">
        <f>HYPERLINK("http://141.218.60.56/~jnz1568/getInfo.php?workbook=10_05.xlsx&amp;sheet=U0&amp;row=3744&amp;col=7&amp;number=0.00659&amp;sourceID=14","0.00659")</f>
        <v>0.00659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HYPERLINK("http://141.218.60.56/~jnz1568/getInfo.php?workbook=10_05.xlsx&amp;sheet=U0&amp;row=3745&amp;col=6&amp;number=3.1&amp;sourceID=14","3.1")</f>
        <v>3.1</v>
      </c>
      <c r="G3745" s="4" t="str">
        <f>HYPERLINK("http://141.218.60.56/~jnz1568/getInfo.php?workbook=10_05.xlsx&amp;sheet=U0&amp;row=3745&amp;col=7&amp;number=0.00661&amp;sourceID=14","0.00661")</f>
        <v>0.00661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HYPERLINK("http://141.218.60.56/~jnz1568/getInfo.php?workbook=10_05.xlsx&amp;sheet=U0&amp;row=3746&amp;col=6&amp;number=3.2&amp;sourceID=14","3.2")</f>
        <v>3.2</v>
      </c>
      <c r="G3746" s="4" t="str">
        <f>HYPERLINK("http://141.218.60.56/~jnz1568/getInfo.php?workbook=10_05.xlsx&amp;sheet=U0&amp;row=3746&amp;col=7&amp;number=0.00662&amp;sourceID=14","0.00662")</f>
        <v>0.00662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HYPERLINK("http://141.218.60.56/~jnz1568/getInfo.php?workbook=10_05.xlsx&amp;sheet=U0&amp;row=3747&amp;col=6&amp;number=3.3&amp;sourceID=14","3.3")</f>
        <v>3.3</v>
      </c>
      <c r="G3747" s="4" t="str">
        <f>HYPERLINK("http://141.218.60.56/~jnz1568/getInfo.php?workbook=10_05.xlsx&amp;sheet=U0&amp;row=3747&amp;col=7&amp;number=0.00664&amp;sourceID=14","0.00664")</f>
        <v>0.00664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HYPERLINK("http://141.218.60.56/~jnz1568/getInfo.php?workbook=10_05.xlsx&amp;sheet=U0&amp;row=3748&amp;col=6&amp;number=3.4&amp;sourceID=14","3.4")</f>
        <v>3.4</v>
      </c>
      <c r="G3748" s="4" t="str">
        <f>HYPERLINK("http://141.218.60.56/~jnz1568/getInfo.php?workbook=10_05.xlsx&amp;sheet=U0&amp;row=3748&amp;col=7&amp;number=0.00667&amp;sourceID=14","0.00667")</f>
        <v>0.00667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HYPERLINK("http://141.218.60.56/~jnz1568/getInfo.php?workbook=10_05.xlsx&amp;sheet=U0&amp;row=3749&amp;col=6&amp;number=3.5&amp;sourceID=14","3.5")</f>
        <v>3.5</v>
      </c>
      <c r="G3749" s="4" t="str">
        <f>HYPERLINK("http://141.218.60.56/~jnz1568/getInfo.php?workbook=10_05.xlsx&amp;sheet=U0&amp;row=3749&amp;col=7&amp;number=0.0067&amp;sourceID=14","0.0067")</f>
        <v>0.0067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HYPERLINK("http://141.218.60.56/~jnz1568/getInfo.php?workbook=10_05.xlsx&amp;sheet=U0&amp;row=3750&amp;col=6&amp;number=3.6&amp;sourceID=14","3.6")</f>
        <v>3.6</v>
      </c>
      <c r="G3750" s="4" t="str">
        <f>HYPERLINK("http://141.218.60.56/~jnz1568/getInfo.php?workbook=10_05.xlsx&amp;sheet=U0&amp;row=3750&amp;col=7&amp;number=0.00674&amp;sourceID=14","0.00674")</f>
        <v>0.00674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HYPERLINK("http://141.218.60.56/~jnz1568/getInfo.php?workbook=10_05.xlsx&amp;sheet=U0&amp;row=3751&amp;col=6&amp;number=3.7&amp;sourceID=14","3.7")</f>
        <v>3.7</v>
      </c>
      <c r="G3751" s="4" t="str">
        <f>HYPERLINK("http://141.218.60.56/~jnz1568/getInfo.php?workbook=10_05.xlsx&amp;sheet=U0&amp;row=3751&amp;col=7&amp;number=0.00678&amp;sourceID=14","0.00678")</f>
        <v>0.00678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HYPERLINK("http://141.218.60.56/~jnz1568/getInfo.php?workbook=10_05.xlsx&amp;sheet=U0&amp;row=3752&amp;col=6&amp;number=3.8&amp;sourceID=14","3.8")</f>
        <v>3.8</v>
      </c>
      <c r="G3752" s="4" t="str">
        <f>HYPERLINK("http://141.218.60.56/~jnz1568/getInfo.php?workbook=10_05.xlsx&amp;sheet=U0&amp;row=3752&amp;col=7&amp;number=0.00684&amp;sourceID=14","0.00684")</f>
        <v>0.00684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HYPERLINK("http://141.218.60.56/~jnz1568/getInfo.php?workbook=10_05.xlsx&amp;sheet=U0&amp;row=3753&amp;col=6&amp;number=3.9&amp;sourceID=14","3.9")</f>
        <v>3.9</v>
      </c>
      <c r="G3753" s="4" t="str">
        <f>HYPERLINK("http://141.218.60.56/~jnz1568/getInfo.php?workbook=10_05.xlsx&amp;sheet=U0&amp;row=3753&amp;col=7&amp;number=0.0069&amp;sourceID=14","0.0069")</f>
        <v>0.0069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HYPERLINK("http://141.218.60.56/~jnz1568/getInfo.php?workbook=10_05.xlsx&amp;sheet=U0&amp;row=3754&amp;col=6&amp;number=4&amp;sourceID=14","4")</f>
        <v>4</v>
      </c>
      <c r="G3754" s="4" t="str">
        <f>HYPERLINK("http://141.218.60.56/~jnz1568/getInfo.php?workbook=10_05.xlsx&amp;sheet=U0&amp;row=3754&amp;col=7&amp;number=0.00697&amp;sourceID=14","0.00697")</f>
        <v>0.00697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HYPERLINK("http://141.218.60.56/~jnz1568/getInfo.php?workbook=10_05.xlsx&amp;sheet=U0&amp;row=3755&amp;col=6&amp;number=4.1&amp;sourceID=14","4.1")</f>
        <v>4.1</v>
      </c>
      <c r="G3755" s="4" t="str">
        <f>HYPERLINK("http://141.218.60.56/~jnz1568/getInfo.php?workbook=10_05.xlsx&amp;sheet=U0&amp;row=3755&amp;col=7&amp;number=0.00705&amp;sourceID=14","0.00705")</f>
        <v>0.00705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HYPERLINK("http://141.218.60.56/~jnz1568/getInfo.php?workbook=10_05.xlsx&amp;sheet=U0&amp;row=3756&amp;col=6&amp;number=4.2&amp;sourceID=14","4.2")</f>
        <v>4.2</v>
      </c>
      <c r="G3756" s="4" t="str">
        <f>HYPERLINK("http://141.218.60.56/~jnz1568/getInfo.php?workbook=10_05.xlsx&amp;sheet=U0&amp;row=3756&amp;col=7&amp;number=0.00711&amp;sourceID=14","0.00711")</f>
        <v>0.00711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HYPERLINK("http://141.218.60.56/~jnz1568/getInfo.php?workbook=10_05.xlsx&amp;sheet=U0&amp;row=3757&amp;col=6&amp;number=4.3&amp;sourceID=14","4.3")</f>
        <v>4.3</v>
      </c>
      <c r="G3757" s="4" t="str">
        <f>HYPERLINK("http://141.218.60.56/~jnz1568/getInfo.php?workbook=10_05.xlsx&amp;sheet=U0&amp;row=3757&amp;col=7&amp;number=0.00713&amp;sourceID=14","0.00713")</f>
        <v>0.00713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HYPERLINK("http://141.218.60.56/~jnz1568/getInfo.php?workbook=10_05.xlsx&amp;sheet=U0&amp;row=3758&amp;col=6&amp;number=4.4&amp;sourceID=14","4.4")</f>
        <v>4.4</v>
      </c>
      <c r="G3758" s="4" t="str">
        <f>HYPERLINK("http://141.218.60.56/~jnz1568/getInfo.php?workbook=10_05.xlsx&amp;sheet=U0&amp;row=3758&amp;col=7&amp;number=0.00709&amp;sourceID=14","0.00709")</f>
        <v>0.00709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HYPERLINK("http://141.218.60.56/~jnz1568/getInfo.php?workbook=10_05.xlsx&amp;sheet=U0&amp;row=3759&amp;col=6&amp;number=4.5&amp;sourceID=14","4.5")</f>
        <v>4.5</v>
      </c>
      <c r="G3759" s="4" t="str">
        <f>HYPERLINK("http://141.218.60.56/~jnz1568/getInfo.php?workbook=10_05.xlsx&amp;sheet=U0&amp;row=3759&amp;col=7&amp;number=0.00696&amp;sourceID=14","0.00696")</f>
        <v>0.00696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HYPERLINK("http://141.218.60.56/~jnz1568/getInfo.php?workbook=10_05.xlsx&amp;sheet=U0&amp;row=3760&amp;col=6&amp;number=4.6&amp;sourceID=14","4.6")</f>
        <v>4.6</v>
      </c>
      <c r="G3760" s="4" t="str">
        <f>HYPERLINK("http://141.218.60.56/~jnz1568/getInfo.php?workbook=10_05.xlsx&amp;sheet=U0&amp;row=3760&amp;col=7&amp;number=0.00674&amp;sourceID=14","0.00674")</f>
        <v>0.00674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HYPERLINK("http://141.218.60.56/~jnz1568/getInfo.php?workbook=10_05.xlsx&amp;sheet=U0&amp;row=3761&amp;col=6&amp;number=4.7&amp;sourceID=14","4.7")</f>
        <v>4.7</v>
      </c>
      <c r="G3761" s="4" t="str">
        <f>HYPERLINK("http://141.218.60.56/~jnz1568/getInfo.php?workbook=10_05.xlsx&amp;sheet=U0&amp;row=3761&amp;col=7&amp;number=0.00647&amp;sourceID=14","0.00647")</f>
        <v>0.00647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HYPERLINK("http://141.218.60.56/~jnz1568/getInfo.php?workbook=10_05.xlsx&amp;sheet=U0&amp;row=3762&amp;col=6&amp;number=4.8&amp;sourceID=14","4.8")</f>
        <v>4.8</v>
      </c>
      <c r="G3762" s="4" t="str">
        <f>HYPERLINK("http://141.218.60.56/~jnz1568/getInfo.php?workbook=10_05.xlsx&amp;sheet=U0&amp;row=3762&amp;col=7&amp;number=0.00621&amp;sourceID=14","0.00621")</f>
        <v>0.00621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HYPERLINK("http://141.218.60.56/~jnz1568/getInfo.php?workbook=10_05.xlsx&amp;sheet=U0&amp;row=3763&amp;col=6&amp;number=4.9&amp;sourceID=14","4.9")</f>
        <v>4.9</v>
      </c>
      <c r="G3763" s="4" t="str">
        <f>HYPERLINK("http://141.218.60.56/~jnz1568/getInfo.php?workbook=10_05.xlsx&amp;sheet=U0&amp;row=3763&amp;col=7&amp;number=0.00601&amp;sourceID=14","0.00601")</f>
        <v>0.00601</v>
      </c>
    </row>
    <row r="3764" spans="1:7">
      <c r="A3764" s="3">
        <v>10</v>
      </c>
      <c r="B3764" s="3">
        <v>5</v>
      </c>
      <c r="C3764" s="3">
        <v>2</v>
      </c>
      <c r="D3764" s="3">
        <v>12</v>
      </c>
      <c r="E3764" s="3">
        <v>1</v>
      </c>
      <c r="F3764" s="4" t="str">
        <f>HYPERLINK("http://141.218.60.56/~jnz1568/getInfo.php?workbook=10_05.xlsx&amp;sheet=U0&amp;row=3764&amp;col=6&amp;number=3&amp;sourceID=14","3")</f>
        <v>3</v>
      </c>
      <c r="G3764" s="4" t="str">
        <f>HYPERLINK("http://141.218.60.56/~jnz1568/getInfo.php?workbook=10_05.xlsx&amp;sheet=U0&amp;row=3764&amp;col=7&amp;number=0.0337&amp;sourceID=14","0.0337")</f>
        <v>0.0337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HYPERLINK("http://141.218.60.56/~jnz1568/getInfo.php?workbook=10_05.xlsx&amp;sheet=U0&amp;row=3765&amp;col=6&amp;number=3.1&amp;sourceID=14","3.1")</f>
        <v>3.1</v>
      </c>
      <c r="G3765" s="4" t="str">
        <f>HYPERLINK("http://141.218.60.56/~jnz1568/getInfo.php?workbook=10_05.xlsx&amp;sheet=U0&amp;row=3765&amp;col=7&amp;number=0.0337&amp;sourceID=14","0.0337")</f>
        <v>0.0337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HYPERLINK("http://141.218.60.56/~jnz1568/getInfo.php?workbook=10_05.xlsx&amp;sheet=U0&amp;row=3766&amp;col=6&amp;number=3.2&amp;sourceID=14","3.2")</f>
        <v>3.2</v>
      </c>
      <c r="G3766" s="4" t="str">
        <f>HYPERLINK("http://141.218.60.56/~jnz1568/getInfo.php?workbook=10_05.xlsx&amp;sheet=U0&amp;row=3766&amp;col=7&amp;number=0.0337&amp;sourceID=14","0.0337")</f>
        <v>0.0337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HYPERLINK("http://141.218.60.56/~jnz1568/getInfo.php?workbook=10_05.xlsx&amp;sheet=U0&amp;row=3767&amp;col=6&amp;number=3.3&amp;sourceID=14","3.3")</f>
        <v>3.3</v>
      </c>
      <c r="G3767" s="4" t="str">
        <f>HYPERLINK("http://141.218.60.56/~jnz1568/getInfo.php?workbook=10_05.xlsx&amp;sheet=U0&amp;row=3767&amp;col=7&amp;number=0.0336&amp;sourceID=14","0.0336")</f>
        <v>0.0336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HYPERLINK("http://141.218.60.56/~jnz1568/getInfo.php?workbook=10_05.xlsx&amp;sheet=U0&amp;row=3768&amp;col=6&amp;number=3.4&amp;sourceID=14","3.4")</f>
        <v>3.4</v>
      </c>
      <c r="G3768" s="4" t="str">
        <f>HYPERLINK("http://141.218.60.56/~jnz1568/getInfo.php?workbook=10_05.xlsx&amp;sheet=U0&amp;row=3768&amp;col=7&amp;number=0.0336&amp;sourceID=14","0.0336")</f>
        <v>0.0336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HYPERLINK("http://141.218.60.56/~jnz1568/getInfo.php?workbook=10_05.xlsx&amp;sheet=U0&amp;row=3769&amp;col=6&amp;number=3.5&amp;sourceID=14","3.5")</f>
        <v>3.5</v>
      </c>
      <c r="G3769" s="4" t="str">
        <f>HYPERLINK("http://141.218.60.56/~jnz1568/getInfo.php?workbook=10_05.xlsx&amp;sheet=U0&amp;row=3769&amp;col=7&amp;number=0.0335&amp;sourceID=14","0.0335")</f>
        <v>0.0335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HYPERLINK("http://141.218.60.56/~jnz1568/getInfo.php?workbook=10_05.xlsx&amp;sheet=U0&amp;row=3770&amp;col=6&amp;number=3.6&amp;sourceID=14","3.6")</f>
        <v>3.6</v>
      </c>
      <c r="G3770" s="4" t="str">
        <f>HYPERLINK("http://141.218.60.56/~jnz1568/getInfo.php?workbook=10_05.xlsx&amp;sheet=U0&amp;row=3770&amp;col=7&amp;number=0.0335&amp;sourceID=14","0.0335")</f>
        <v>0.0335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HYPERLINK("http://141.218.60.56/~jnz1568/getInfo.php?workbook=10_05.xlsx&amp;sheet=U0&amp;row=3771&amp;col=6&amp;number=3.7&amp;sourceID=14","3.7")</f>
        <v>3.7</v>
      </c>
      <c r="G3771" s="4" t="str">
        <f>HYPERLINK("http://141.218.60.56/~jnz1568/getInfo.php?workbook=10_05.xlsx&amp;sheet=U0&amp;row=3771&amp;col=7&amp;number=0.0334&amp;sourceID=14","0.0334")</f>
        <v>0.0334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HYPERLINK("http://141.218.60.56/~jnz1568/getInfo.php?workbook=10_05.xlsx&amp;sheet=U0&amp;row=3772&amp;col=6&amp;number=3.8&amp;sourceID=14","3.8")</f>
        <v>3.8</v>
      </c>
      <c r="G3772" s="4" t="str">
        <f>HYPERLINK("http://141.218.60.56/~jnz1568/getInfo.php?workbook=10_05.xlsx&amp;sheet=U0&amp;row=3772&amp;col=7&amp;number=0.0333&amp;sourceID=14","0.0333")</f>
        <v>0.0333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HYPERLINK("http://141.218.60.56/~jnz1568/getInfo.php?workbook=10_05.xlsx&amp;sheet=U0&amp;row=3773&amp;col=6&amp;number=3.9&amp;sourceID=14","3.9")</f>
        <v>3.9</v>
      </c>
      <c r="G3773" s="4" t="str">
        <f>HYPERLINK("http://141.218.60.56/~jnz1568/getInfo.php?workbook=10_05.xlsx&amp;sheet=U0&amp;row=3773&amp;col=7&amp;number=0.0332&amp;sourceID=14","0.0332")</f>
        <v>0.0332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HYPERLINK("http://141.218.60.56/~jnz1568/getInfo.php?workbook=10_05.xlsx&amp;sheet=U0&amp;row=3774&amp;col=6&amp;number=4&amp;sourceID=14","4")</f>
        <v>4</v>
      </c>
      <c r="G3774" s="4" t="str">
        <f>HYPERLINK("http://141.218.60.56/~jnz1568/getInfo.php?workbook=10_05.xlsx&amp;sheet=U0&amp;row=3774&amp;col=7&amp;number=0.0331&amp;sourceID=14","0.0331")</f>
        <v>0.0331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HYPERLINK("http://141.218.60.56/~jnz1568/getInfo.php?workbook=10_05.xlsx&amp;sheet=U0&amp;row=3775&amp;col=6&amp;number=4.1&amp;sourceID=14","4.1")</f>
        <v>4.1</v>
      </c>
      <c r="G3775" s="4" t="str">
        <f>HYPERLINK("http://141.218.60.56/~jnz1568/getInfo.php?workbook=10_05.xlsx&amp;sheet=U0&amp;row=3775&amp;col=7&amp;number=0.0329&amp;sourceID=14","0.0329")</f>
        <v>0.0329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HYPERLINK("http://141.218.60.56/~jnz1568/getInfo.php?workbook=10_05.xlsx&amp;sheet=U0&amp;row=3776&amp;col=6&amp;number=4.2&amp;sourceID=14","4.2")</f>
        <v>4.2</v>
      </c>
      <c r="G3776" s="4" t="str">
        <f>HYPERLINK("http://141.218.60.56/~jnz1568/getInfo.php?workbook=10_05.xlsx&amp;sheet=U0&amp;row=3776&amp;col=7&amp;number=0.0327&amp;sourceID=14","0.0327")</f>
        <v>0.0327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HYPERLINK("http://141.218.60.56/~jnz1568/getInfo.php?workbook=10_05.xlsx&amp;sheet=U0&amp;row=3777&amp;col=6&amp;number=4.3&amp;sourceID=14","4.3")</f>
        <v>4.3</v>
      </c>
      <c r="G3777" s="4" t="str">
        <f>HYPERLINK("http://141.218.60.56/~jnz1568/getInfo.php?workbook=10_05.xlsx&amp;sheet=U0&amp;row=3777&amp;col=7&amp;number=0.0325&amp;sourceID=14","0.0325")</f>
        <v>0.0325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HYPERLINK("http://141.218.60.56/~jnz1568/getInfo.php?workbook=10_05.xlsx&amp;sheet=U0&amp;row=3778&amp;col=6&amp;number=4.4&amp;sourceID=14","4.4")</f>
        <v>4.4</v>
      </c>
      <c r="G3778" s="4" t="str">
        <f>HYPERLINK("http://141.218.60.56/~jnz1568/getInfo.php?workbook=10_05.xlsx&amp;sheet=U0&amp;row=3778&amp;col=7&amp;number=0.0322&amp;sourceID=14","0.0322")</f>
        <v>0.0322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HYPERLINK("http://141.218.60.56/~jnz1568/getInfo.php?workbook=10_05.xlsx&amp;sheet=U0&amp;row=3779&amp;col=6&amp;number=4.5&amp;sourceID=14","4.5")</f>
        <v>4.5</v>
      </c>
      <c r="G3779" s="4" t="str">
        <f>HYPERLINK("http://141.218.60.56/~jnz1568/getInfo.php?workbook=10_05.xlsx&amp;sheet=U0&amp;row=3779&amp;col=7&amp;number=0.0319&amp;sourceID=14","0.0319")</f>
        <v>0.0319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HYPERLINK("http://141.218.60.56/~jnz1568/getInfo.php?workbook=10_05.xlsx&amp;sheet=U0&amp;row=3780&amp;col=6&amp;number=4.6&amp;sourceID=14","4.6")</f>
        <v>4.6</v>
      </c>
      <c r="G3780" s="4" t="str">
        <f>HYPERLINK("http://141.218.60.56/~jnz1568/getInfo.php?workbook=10_05.xlsx&amp;sheet=U0&amp;row=3780&amp;col=7&amp;number=0.0317&amp;sourceID=14","0.0317")</f>
        <v>0.0317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HYPERLINK("http://141.218.60.56/~jnz1568/getInfo.php?workbook=10_05.xlsx&amp;sheet=U0&amp;row=3781&amp;col=6&amp;number=4.7&amp;sourceID=14","4.7")</f>
        <v>4.7</v>
      </c>
      <c r="G3781" s="4" t="str">
        <f>HYPERLINK("http://141.218.60.56/~jnz1568/getInfo.php?workbook=10_05.xlsx&amp;sheet=U0&amp;row=3781&amp;col=7&amp;number=0.0314&amp;sourceID=14","0.0314")</f>
        <v>0.0314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HYPERLINK("http://141.218.60.56/~jnz1568/getInfo.php?workbook=10_05.xlsx&amp;sheet=U0&amp;row=3782&amp;col=6&amp;number=4.8&amp;sourceID=14","4.8")</f>
        <v>4.8</v>
      </c>
      <c r="G3782" s="4" t="str">
        <f>HYPERLINK("http://141.218.60.56/~jnz1568/getInfo.php?workbook=10_05.xlsx&amp;sheet=U0&amp;row=3782&amp;col=7&amp;number=0.0312&amp;sourceID=14","0.0312")</f>
        <v>0.0312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HYPERLINK("http://141.218.60.56/~jnz1568/getInfo.php?workbook=10_05.xlsx&amp;sheet=U0&amp;row=3783&amp;col=6&amp;number=4.9&amp;sourceID=14","4.9")</f>
        <v>4.9</v>
      </c>
      <c r="G3783" s="4" t="str">
        <f>HYPERLINK("http://141.218.60.56/~jnz1568/getInfo.php?workbook=10_05.xlsx&amp;sheet=U0&amp;row=3783&amp;col=7&amp;number=0.0311&amp;sourceID=14","0.0311")</f>
        <v>0.0311</v>
      </c>
    </row>
    <row r="3784" spans="1:7">
      <c r="A3784" s="3">
        <v>10</v>
      </c>
      <c r="B3784" s="3">
        <v>5</v>
      </c>
      <c r="C3784" s="3">
        <v>2</v>
      </c>
      <c r="D3784" s="3">
        <v>13</v>
      </c>
      <c r="E3784" s="3">
        <v>1</v>
      </c>
      <c r="F3784" s="4" t="str">
        <f>HYPERLINK("http://141.218.60.56/~jnz1568/getInfo.php?workbook=10_05.xlsx&amp;sheet=U0&amp;row=3784&amp;col=6&amp;number=3&amp;sourceID=14","3")</f>
        <v>3</v>
      </c>
      <c r="G3784" s="4" t="str">
        <f>HYPERLINK("http://141.218.60.56/~jnz1568/getInfo.php?workbook=10_05.xlsx&amp;sheet=U0&amp;row=3784&amp;col=7&amp;number=0.074&amp;sourceID=14","0.074")</f>
        <v>0.074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HYPERLINK("http://141.218.60.56/~jnz1568/getInfo.php?workbook=10_05.xlsx&amp;sheet=U0&amp;row=3785&amp;col=6&amp;number=3.1&amp;sourceID=14","3.1")</f>
        <v>3.1</v>
      </c>
      <c r="G3785" s="4" t="str">
        <f>HYPERLINK("http://141.218.60.56/~jnz1568/getInfo.php?workbook=10_05.xlsx&amp;sheet=U0&amp;row=3785&amp;col=7&amp;number=0.074&amp;sourceID=14","0.074")</f>
        <v>0.074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HYPERLINK("http://141.218.60.56/~jnz1568/getInfo.php?workbook=10_05.xlsx&amp;sheet=U0&amp;row=3786&amp;col=6&amp;number=3.2&amp;sourceID=14","3.2")</f>
        <v>3.2</v>
      </c>
      <c r="G3786" s="4" t="str">
        <f>HYPERLINK("http://141.218.60.56/~jnz1568/getInfo.php?workbook=10_05.xlsx&amp;sheet=U0&amp;row=3786&amp;col=7&amp;number=0.074&amp;sourceID=14","0.074")</f>
        <v>0.074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HYPERLINK("http://141.218.60.56/~jnz1568/getInfo.php?workbook=10_05.xlsx&amp;sheet=U0&amp;row=3787&amp;col=6&amp;number=3.3&amp;sourceID=14","3.3")</f>
        <v>3.3</v>
      </c>
      <c r="G3787" s="4" t="str">
        <f>HYPERLINK("http://141.218.60.56/~jnz1568/getInfo.php?workbook=10_05.xlsx&amp;sheet=U0&amp;row=3787&amp;col=7&amp;number=0.0739&amp;sourceID=14","0.0739")</f>
        <v>0.0739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HYPERLINK("http://141.218.60.56/~jnz1568/getInfo.php?workbook=10_05.xlsx&amp;sheet=U0&amp;row=3788&amp;col=6&amp;number=3.4&amp;sourceID=14","3.4")</f>
        <v>3.4</v>
      </c>
      <c r="G3788" s="4" t="str">
        <f>HYPERLINK("http://141.218.60.56/~jnz1568/getInfo.php?workbook=10_05.xlsx&amp;sheet=U0&amp;row=3788&amp;col=7&amp;number=0.0739&amp;sourceID=14","0.0739")</f>
        <v>0.0739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HYPERLINK("http://141.218.60.56/~jnz1568/getInfo.php?workbook=10_05.xlsx&amp;sheet=U0&amp;row=3789&amp;col=6&amp;number=3.5&amp;sourceID=14","3.5")</f>
        <v>3.5</v>
      </c>
      <c r="G3789" s="4" t="str">
        <f>HYPERLINK("http://141.218.60.56/~jnz1568/getInfo.php?workbook=10_05.xlsx&amp;sheet=U0&amp;row=3789&amp;col=7&amp;number=0.0738&amp;sourceID=14","0.0738")</f>
        <v>0.0738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HYPERLINK("http://141.218.60.56/~jnz1568/getInfo.php?workbook=10_05.xlsx&amp;sheet=U0&amp;row=3790&amp;col=6&amp;number=3.6&amp;sourceID=14","3.6")</f>
        <v>3.6</v>
      </c>
      <c r="G3790" s="4" t="str">
        <f>HYPERLINK("http://141.218.60.56/~jnz1568/getInfo.php?workbook=10_05.xlsx&amp;sheet=U0&amp;row=3790&amp;col=7&amp;number=0.0737&amp;sourceID=14","0.0737")</f>
        <v>0.0737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HYPERLINK("http://141.218.60.56/~jnz1568/getInfo.php?workbook=10_05.xlsx&amp;sheet=U0&amp;row=3791&amp;col=6&amp;number=3.7&amp;sourceID=14","3.7")</f>
        <v>3.7</v>
      </c>
      <c r="G3791" s="4" t="str">
        <f>HYPERLINK("http://141.218.60.56/~jnz1568/getInfo.php?workbook=10_05.xlsx&amp;sheet=U0&amp;row=3791&amp;col=7&amp;number=0.0736&amp;sourceID=14","0.0736")</f>
        <v>0.0736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HYPERLINK("http://141.218.60.56/~jnz1568/getInfo.php?workbook=10_05.xlsx&amp;sheet=U0&amp;row=3792&amp;col=6&amp;number=3.8&amp;sourceID=14","3.8")</f>
        <v>3.8</v>
      </c>
      <c r="G3792" s="4" t="str">
        <f>HYPERLINK("http://141.218.60.56/~jnz1568/getInfo.php?workbook=10_05.xlsx&amp;sheet=U0&amp;row=3792&amp;col=7&amp;number=0.0735&amp;sourceID=14","0.0735")</f>
        <v>0.0735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HYPERLINK("http://141.218.60.56/~jnz1568/getInfo.php?workbook=10_05.xlsx&amp;sheet=U0&amp;row=3793&amp;col=6&amp;number=3.9&amp;sourceID=14","3.9")</f>
        <v>3.9</v>
      </c>
      <c r="G3793" s="4" t="str">
        <f>HYPERLINK("http://141.218.60.56/~jnz1568/getInfo.php?workbook=10_05.xlsx&amp;sheet=U0&amp;row=3793&amp;col=7&amp;number=0.0733&amp;sourceID=14","0.0733")</f>
        <v>0.0733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HYPERLINK("http://141.218.60.56/~jnz1568/getInfo.php?workbook=10_05.xlsx&amp;sheet=U0&amp;row=3794&amp;col=6&amp;number=4&amp;sourceID=14","4")</f>
        <v>4</v>
      </c>
      <c r="G3794" s="4" t="str">
        <f>HYPERLINK("http://141.218.60.56/~jnz1568/getInfo.php?workbook=10_05.xlsx&amp;sheet=U0&amp;row=3794&amp;col=7&amp;number=0.0732&amp;sourceID=14","0.0732")</f>
        <v>0.0732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HYPERLINK("http://141.218.60.56/~jnz1568/getInfo.php?workbook=10_05.xlsx&amp;sheet=U0&amp;row=3795&amp;col=6&amp;number=4.1&amp;sourceID=14","4.1")</f>
        <v>4.1</v>
      </c>
      <c r="G3795" s="4" t="str">
        <f>HYPERLINK("http://141.218.60.56/~jnz1568/getInfo.php?workbook=10_05.xlsx&amp;sheet=U0&amp;row=3795&amp;col=7&amp;number=0.0729&amp;sourceID=14","0.0729")</f>
        <v>0.0729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HYPERLINK("http://141.218.60.56/~jnz1568/getInfo.php?workbook=10_05.xlsx&amp;sheet=U0&amp;row=3796&amp;col=6&amp;number=4.2&amp;sourceID=14","4.2")</f>
        <v>4.2</v>
      </c>
      <c r="G3796" s="4" t="str">
        <f>HYPERLINK("http://141.218.60.56/~jnz1568/getInfo.php?workbook=10_05.xlsx&amp;sheet=U0&amp;row=3796&amp;col=7&amp;number=0.0727&amp;sourceID=14","0.0727")</f>
        <v>0.0727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HYPERLINK("http://141.218.60.56/~jnz1568/getInfo.php?workbook=10_05.xlsx&amp;sheet=U0&amp;row=3797&amp;col=6&amp;number=4.3&amp;sourceID=14","4.3")</f>
        <v>4.3</v>
      </c>
      <c r="G3797" s="4" t="str">
        <f>HYPERLINK("http://141.218.60.56/~jnz1568/getInfo.php?workbook=10_05.xlsx&amp;sheet=U0&amp;row=3797&amp;col=7&amp;number=0.0724&amp;sourceID=14","0.0724")</f>
        <v>0.0724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HYPERLINK("http://141.218.60.56/~jnz1568/getInfo.php?workbook=10_05.xlsx&amp;sheet=U0&amp;row=3798&amp;col=6&amp;number=4.4&amp;sourceID=14","4.4")</f>
        <v>4.4</v>
      </c>
      <c r="G3798" s="4" t="str">
        <f>HYPERLINK("http://141.218.60.56/~jnz1568/getInfo.php?workbook=10_05.xlsx&amp;sheet=U0&amp;row=3798&amp;col=7&amp;number=0.072&amp;sourceID=14","0.072")</f>
        <v>0.072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HYPERLINK("http://141.218.60.56/~jnz1568/getInfo.php?workbook=10_05.xlsx&amp;sheet=U0&amp;row=3799&amp;col=6&amp;number=4.5&amp;sourceID=14","4.5")</f>
        <v>4.5</v>
      </c>
      <c r="G3799" s="4" t="str">
        <f>HYPERLINK("http://141.218.60.56/~jnz1568/getInfo.php?workbook=10_05.xlsx&amp;sheet=U0&amp;row=3799&amp;col=7&amp;number=0.0716&amp;sourceID=14","0.0716")</f>
        <v>0.0716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HYPERLINK("http://141.218.60.56/~jnz1568/getInfo.php?workbook=10_05.xlsx&amp;sheet=U0&amp;row=3800&amp;col=6&amp;number=4.6&amp;sourceID=14","4.6")</f>
        <v>4.6</v>
      </c>
      <c r="G3800" s="4" t="str">
        <f>HYPERLINK("http://141.218.60.56/~jnz1568/getInfo.php?workbook=10_05.xlsx&amp;sheet=U0&amp;row=3800&amp;col=7&amp;number=0.0711&amp;sourceID=14","0.0711")</f>
        <v>0.0711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HYPERLINK("http://141.218.60.56/~jnz1568/getInfo.php?workbook=10_05.xlsx&amp;sheet=U0&amp;row=3801&amp;col=6&amp;number=4.7&amp;sourceID=14","4.7")</f>
        <v>4.7</v>
      </c>
      <c r="G3801" s="4" t="str">
        <f>HYPERLINK("http://141.218.60.56/~jnz1568/getInfo.php?workbook=10_05.xlsx&amp;sheet=U0&amp;row=3801&amp;col=7&amp;number=0.0707&amp;sourceID=14","0.0707")</f>
        <v>0.0707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HYPERLINK("http://141.218.60.56/~jnz1568/getInfo.php?workbook=10_05.xlsx&amp;sheet=U0&amp;row=3802&amp;col=6&amp;number=4.8&amp;sourceID=14","4.8")</f>
        <v>4.8</v>
      </c>
      <c r="G3802" s="4" t="str">
        <f>HYPERLINK("http://141.218.60.56/~jnz1568/getInfo.php?workbook=10_05.xlsx&amp;sheet=U0&amp;row=3802&amp;col=7&amp;number=0.0703&amp;sourceID=14","0.0703")</f>
        <v>0.0703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HYPERLINK("http://141.218.60.56/~jnz1568/getInfo.php?workbook=10_05.xlsx&amp;sheet=U0&amp;row=3803&amp;col=6&amp;number=4.9&amp;sourceID=14","4.9")</f>
        <v>4.9</v>
      </c>
      <c r="G3803" s="4" t="str">
        <f>HYPERLINK("http://141.218.60.56/~jnz1568/getInfo.php?workbook=10_05.xlsx&amp;sheet=U0&amp;row=3803&amp;col=7&amp;number=0.0701&amp;sourceID=14","0.0701")</f>
        <v>0.0701</v>
      </c>
    </row>
    <row r="3804" spans="1:7">
      <c r="A3804" s="3">
        <v>10</v>
      </c>
      <c r="B3804" s="3">
        <v>5</v>
      </c>
      <c r="C3804" s="3">
        <v>2</v>
      </c>
      <c r="D3804" s="3">
        <v>14</v>
      </c>
      <c r="E3804" s="3">
        <v>1</v>
      </c>
      <c r="F3804" s="4" t="str">
        <f>HYPERLINK("http://141.218.60.56/~jnz1568/getInfo.php?workbook=10_05.xlsx&amp;sheet=U0&amp;row=3804&amp;col=6&amp;number=3&amp;sourceID=14","3")</f>
        <v>3</v>
      </c>
      <c r="G3804" s="4" t="str">
        <f>HYPERLINK("http://141.218.60.56/~jnz1568/getInfo.php?workbook=10_05.xlsx&amp;sheet=U0&amp;row=3804&amp;col=7&amp;number=0.0195&amp;sourceID=14","0.0195")</f>
        <v>0.0195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HYPERLINK("http://141.218.60.56/~jnz1568/getInfo.php?workbook=10_05.xlsx&amp;sheet=U0&amp;row=3805&amp;col=6&amp;number=3.1&amp;sourceID=14","3.1")</f>
        <v>3.1</v>
      </c>
      <c r="G3805" s="4" t="str">
        <f>HYPERLINK("http://141.218.60.56/~jnz1568/getInfo.php?workbook=10_05.xlsx&amp;sheet=U0&amp;row=3805&amp;col=7&amp;number=0.0195&amp;sourceID=14","0.0195")</f>
        <v>0.0195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HYPERLINK("http://141.218.60.56/~jnz1568/getInfo.php?workbook=10_05.xlsx&amp;sheet=U0&amp;row=3806&amp;col=6&amp;number=3.2&amp;sourceID=14","3.2")</f>
        <v>3.2</v>
      </c>
      <c r="G3806" s="4" t="str">
        <f>HYPERLINK("http://141.218.60.56/~jnz1568/getInfo.php?workbook=10_05.xlsx&amp;sheet=U0&amp;row=3806&amp;col=7&amp;number=0.0195&amp;sourceID=14","0.0195")</f>
        <v>0.0195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HYPERLINK("http://141.218.60.56/~jnz1568/getInfo.php?workbook=10_05.xlsx&amp;sheet=U0&amp;row=3807&amp;col=6&amp;number=3.3&amp;sourceID=14","3.3")</f>
        <v>3.3</v>
      </c>
      <c r="G3807" s="4" t="str">
        <f>HYPERLINK("http://141.218.60.56/~jnz1568/getInfo.php?workbook=10_05.xlsx&amp;sheet=U0&amp;row=3807&amp;col=7&amp;number=0.0196&amp;sourceID=14","0.0196")</f>
        <v>0.0196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HYPERLINK("http://141.218.60.56/~jnz1568/getInfo.php?workbook=10_05.xlsx&amp;sheet=U0&amp;row=3808&amp;col=6&amp;number=3.4&amp;sourceID=14","3.4")</f>
        <v>3.4</v>
      </c>
      <c r="G3808" s="4" t="str">
        <f>HYPERLINK("http://141.218.60.56/~jnz1568/getInfo.php?workbook=10_05.xlsx&amp;sheet=U0&amp;row=3808&amp;col=7&amp;number=0.0196&amp;sourceID=14","0.0196")</f>
        <v>0.0196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HYPERLINK("http://141.218.60.56/~jnz1568/getInfo.php?workbook=10_05.xlsx&amp;sheet=U0&amp;row=3809&amp;col=6&amp;number=3.5&amp;sourceID=14","3.5")</f>
        <v>3.5</v>
      </c>
      <c r="G3809" s="4" t="str">
        <f>HYPERLINK("http://141.218.60.56/~jnz1568/getInfo.php?workbook=10_05.xlsx&amp;sheet=U0&amp;row=3809&amp;col=7&amp;number=0.0197&amp;sourceID=14","0.0197")</f>
        <v>0.0197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HYPERLINK("http://141.218.60.56/~jnz1568/getInfo.php?workbook=10_05.xlsx&amp;sheet=U0&amp;row=3810&amp;col=6&amp;number=3.6&amp;sourceID=14","3.6")</f>
        <v>3.6</v>
      </c>
      <c r="G3810" s="4" t="str">
        <f>HYPERLINK("http://141.218.60.56/~jnz1568/getInfo.php?workbook=10_05.xlsx&amp;sheet=U0&amp;row=3810&amp;col=7&amp;number=0.0198&amp;sourceID=14","0.0198")</f>
        <v>0.0198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HYPERLINK("http://141.218.60.56/~jnz1568/getInfo.php?workbook=10_05.xlsx&amp;sheet=U0&amp;row=3811&amp;col=6&amp;number=3.7&amp;sourceID=14","3.7")</f>
        <v>3.7</v>
      </c>
      <c r="G3811" s="4" t="str">
        <f>HYPERLINK("http://141.218.60.56/~jnz1568/getInfo.php?workbook=10_05.xlsx&amp;sheet=U0&amp;row=3811&amp;col=7&amp;number=0.0199&amp;sourceID=14","0.0199")</f>
        <v>0.0199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HYPERLINK("http://141.218.60.56/~jnz1568/getInfo.php?workbook=10_05.xlsx&amp;sheet=U0&amp;row=3812&amp;col=6&amp;number=3.8&amp;sourceID=14","3.8")</f>
        <v>3.8</v>
      </c>
      <c r="G3812" s="4" t="str">
        <f>HYPERLINK("http://141.218.60.56/~jnz1568/getInfo.php?workbook=10_05.xlsx&amp;sheet=U0&amp;row=3812&amp;col=7&amp;number=0.0201&amp;sourceID=14","0.0201")</f>
        <v>0.0201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HYPERLINK("http://141.218.60.56/~jnz1568/getInfo.php?workbook=10_05.xlsx&amp;sheet=U0&amp;row=3813&amp;col=6&amp;number=3.9&amp;sourceID=14","3.9")</f>
        <v>3.9</v>
      </c>
      <c r="G3813" s="4" t="str">
        <f>HYPERLINK("http://141.218.60.56/~jnz1568/getInfo.php?workbook=10_05.xlsx&amp;sheet=U0&amp;row=3813&amp;col=7&amp;number=0.0202&amp;sourceID=14","0.0202")</f>
        <v>0.0202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HYPERLINK("http://141.218.60.56/~jnz1568/getInfo.php?workbook=10_05.xlsx&amp;sheet=U0&amp;row=3814&amp;col=6&amp;number=4&amp;sourceID=14","4")</f>
        <v>4</v>
      </c>
      <c r="G3814" s="4" t="str">
        <f>HYPERLINK("http://141.218.60.56/~jnz1568/getInfo.php?workbook=10_05.xlsx&amp;sheet=U0&amp;row=3814&amp;col=7&amp;number=0.0204&amp;sourceID=14","0.0204")</f>
        <v>0.0204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HYPERLINK("http://141.218.60.56/~jnz1568/getInfo.php?workbook=10_05.xlsx&amp;sheet=U0&amp;row=3815&amp;col=6&amp;number=4.1&amp;sourceID=14","4.1")</f>
        <v>4.1</v>
      </c>
      <c r="G3815" s="4" t="str">
        <f>HYPERLINK("http://141.218.60.56/~jnz1568/getInfo.php?workbook=10_05.xlsx&amp;sheet=U0&amp;row=3815&amp;col=7&amp;number=0.0207&amp;sourceID=14","0.0207")</f>
        <v>0.0207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HYPERLINK("http://141.218.60.56/~jnz1568/getInfo.php?workbook=10_05.xlsx&amp;sheet=U0&amp;row=3816&amp;col=6&amp;number=4.2&amp;sourceID=14","4.2")</f>
        <v>4.2</v>
      </c>
      <c r="G3816" s="4" t="str">
        <f>HYPERLINK("http://141.218.60.56/~jnz1568/getInfo.php?workbook=10_05.xlsx&amp;sheet=U0&amp;row=3816&amp;col=7&amp;number=0.0209&amp;sourceID=14","0.0209")</f>
        <v>0.0209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HYPERLINK("http://141.218.60.56/~jnz1568/getInfo.php?workbook=10_05.xlsx&amp;sheet=U0&amp;row=3817&amp;col=6&amp;number=4.3&amp;sourceID=14","4.3")</f>
        <v>4.3</v>
      </c>
      <c r="G3817" s="4" t="str">
        <f>HYPERLINK("http://141.218.60.56/~jnz1568/getInfo.php?workbook=10_05.xlsx&amp;sheet=U0&amp;row=3817&amp;col=7&amp;number=0.0212&amp;sourceID=14","0.0212")</f>
        <v>0.0212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HYPERLINK("http://141.218.60.56/~jnz1568/getInfo.php?workbook=10_05.xlsx&amp;sheet=U0&amp;row=3818&amp;col=6&amp;number=4.4&amp;sourceID=14","4.4")</f>
        <v>4.4</v>
      </c>
      <c r="G3818" s="4" t="str">
        <f>HYPERLINK("http://141.218.60.56/~jnz1568/getInfo.php?workbook=10_05.xlsx&amp;sheet=U0&amp;row=3818&amp;col=7&amp;number=0.0215&amp;sourceID=14","0.0215")</f>
        <v>0.0215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HYPERLINK("http://141.218.60.56/~jnz1568/getInfo.php?workbook=10_05.xlsx&amp;sheet=U0&amp;row=3819&amp;col=6&amp;number=4.5&amp;sourceID=14","4.5")</f>
        <v>4.5</v>
      </c>
      <c r="G3819" s="4" t="str">
        <f>HYPERLINK("http://141.218.60.56/~jnz1568/getInfo.php?workbook=10_05.xlsx&amp;sheet=U0&amp;row=3819&amp;col=7&amp;number=0.0217&amp;sourceID=14","0.0217")</f>
        <v>0.0217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HYPERLINK("http://141.218.60.56/~jnz1568/getInfo.php?workbook=10_05.xlsx&amp;sheet=U0&amp;row=3820&amp;col=6&amp;number=4.6&amp;sourceID=14","4.6")</f>
        <v>4.6</v>
      </c>
      <c r="G3820" s="4" t="str">
        <f>HYPERLINK("http://141.218.60.56/~jnz1568/getInfo.php?workbook=10_05.xlsx&amp;sheet=U0&amp;row=3820&amp;col=7&amp;number=0.022&amp;sourceID=14","0.022")</f>
        <v>0.022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HYPERLINK("http://141.218.60.56/~jnz1568/getInfo.php?workbook=10_05.xlsx&amp;sheet=U0&amp;row=3821&amp;col=6&amp;number=4.7&amp;sourceID=14","4.7")</f>
        <v>4.7</v>
      </c>
      <c r="G3821" s="4" t="str">
        <f>HYPERLINK("http://141.218.60.56/~jnz1568/getInfo.php?workbook=10_05.xlsx&amp;sheet=U0&amp;row=3821&amp;col=7&amp;number=0.0221&amp;sourceID=14","0.0221")</f>
        <v>0.0221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HYPERLINK("http://141.218.60.56/~jnz1568/getInfo.php?workbook=10_05.xlsx&amp;sheet=U0&amp;row=3822&amp;col=6&amp;number=4.8&amp;sourceID=14","4.8")</f>
        <v>4.8</v>
      </c>
      <c r="G3822" s="4" t="str">
        <f>HYPERLINK("http://141.218.60.56/~jnz1568/getInfo.php?workbook=10_05.xlsx&amp;sheet=U0&amp;row=3822&amp;col=7&amp;number=0.0223&amp;sourceID=14","0.0223")</f>
        <v>0.0223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HYPERLINK("http://141.218.60.56/~jnz1568/getInfo.php?workbook=10_05.xlsx&amp;sheet=U0&amp;row=3823&amp;col=6&amp;number=4.9&amp;sourceID=14","4.9")</f>
        <v>4.9</v>
      </c>
      <c r="G3823" s="4" t="str">
        <f>HYPERLINK("http://141.218.60.56/~jnz1568/getInfo.php?workbook=10_05.xlsx&amp;sheet=U0&amp;row=3823&amp;col=7&amp;number=0.0226&amp;sourceID=14","0.0226")</f>
        <v>0.0226</v>
      </c>
    </row>
    <row r="3824" spans="1:7">
      <c r="A3824" s="3">
        <v>10</v>
      </c>
      <c r="B3824" s="3">
        <v>5</v>
      </c>
      <c r="C3824" s="3">
        <v>2</v>
      </c>
      <c r="D3824" s="3">
        <v>15</v>
      </c>
      <c r="E3824" s="3">
        <v>1</v>
      </c>
      <c r="F3824" s="4" t="str">
        <f>HYPERLINK("http://141.218.60.56/~jnz1568/getInfo.php?workbook=10_05.xlsx&amp;sheet=U0&amp;row=3824&amp;col=6&amp;number=3&amp;sourceID=14","3")</f>
        <v>3</v>
      </c>
      <c r="G3824" s="4" t="str">
        <f>HYPERLINK("http://141.218.60.56/~jnz1568/getInfo.php?workbook=10_05.xlsx&amp;sheet=U0&amp;row=3824&amp;col=7&amp;number=0.0434&amp;sourceID=14","0.0434")</f>
        <v>0.0434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HYPERLINK("http://141.218.60.56/~jnz1568/getInfo.php?workbook=10_05.xlsx&amp;sheet=U0&amp;row=3825&amp;col=6&amp;number=3.1&amp;sourceID=14","3.1")</f>
        <v>3.1</v>
      </c>
      <c r="G3825" s="4" t="str">
        <f>HYPERLINK("http://141.218.60.56/~jnz1568/getInfo.php?workbook=10_05.xlsx&amp;sheet=U0&amp;row=3825&amp;col=7&amp;number=0.0435&amp;sourceID=14","0.0435")</f>
        <v>0.0435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HYPERLINK("http://141.218.60.56/~jnz1568/getInfo.php?workbook=10_05.xlsx&amp;sheet=U0&amp;row=3826&amp;col=6&amp;number=3.2&amp;sourceID=14","3.2")</f>
        <v>3.2</v>
      </c>
      <c r="G3826" s="4" t="str">
        <f>HYPERLINK("http://141.218.60.56/~jnz1568/getInfo.php?workbook=10_05.xlsx&amp;sheet=U0&amp;row=3826&amp;col=7&amp;number=0.0437&amp;sourceID=14","0.0437")</f>
        <v>0.0437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HYPERLINK("http://141.218.60.56/~jnz1568/getInfo.php?workbook=10_05.xlsx&amp;sheet=U0&amp;row=3827&amp;col=6&amp;number=3.3&amp;sourceID=14","3.3")</f>
        <v>3.3</v>
      </c>
      <c r="G3827" s="4" t="str">
        <f>HYPERLINK("http://141.218.60.56/~jnz1568/getInfo.php?workbook=10_05.xlsx&amp;sheet=U0&amp;row=3827&amp;col=7&amp;number=0.0439&amp;sourceID=14","0.0439")</f>
        <v>0.0439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HYPERLINK("http://141.218.60.56/~jnz1568/getInfo.php?workbook=10_05.xlsx&amp;sheet=U0&amp;row=3828&amp;col=6&amp;number=3.4&amp;sourceID=14","3.4")</f>
        <v>3.4</v>
      </c>
      <c r="G3828" s="4" t="str">
        <f>HYPERLINK("http://141.218.60.56/~jnz1568/getInfo.php?workbook=10_05.xlsx&amp;sheet=U0&amp;row=3828&amp;col=7&amp;number=0.0441&amp;sourceID=14","0.0441")</f>
        <v>0.0441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HYPERLINK("http://141.218.60.56/~jnz1568/getInfo.php?workbook=10_05.xlsx&amp;sheet=U0&amp;row=3829&amp;col=6&amp;number=3.5&amp;sourceID=14","3.5")</f>
        <v>3.5</v>
      </c>
      <c r="G3829" s="4" t="str">
        <f>HYPERLINK("http://141.218.60.56/~jnz1568/getInfo.php?workbook=10_05.xlsx&amp;sheet=U0&amp;row=3829&amp;col=7&amp;number=0.0444&amp;sourceID=14","0.0444")</f>
        <v>0.0444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HYPERLINK("http://141.218.60.56/~jnz1568/getInfo.php?workbook=10_05.xlsx&amp;sheet=U0&amp;row=3830&amp;col=6&amp;number=3.6&amp;sourceID=14","3.6")</f>
        <v>3.6</v>
      </c>
      <c r="G3830" s="4" t="str">
        <f>HYPERLINK("http://141.218.60.56/~jnz1568/getInfo.php?workbook=10_05.xlsx&amp;sheet=U0&amp;row=3830&amp;col=7&amp;number=0.0448&amp;sourceID=14","0.0448")</f>
        <v>0.0448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HYPERLINK("http://141.218.60.56/~jnz1568/getInfo.php?workbook=10_05.xlsx&amp;sheet=U0&amp;row=3831&amp;col=6&amp;number=3.7&amp;sourceID=14","3.7")</f>
        <v>3.7</v>
      </c>
      <c r="G3831" s="4" t="str">
        <f>HYPERLINK("http://141.218.60.56/~jnz1568/getInfo.php?workbook=10_05.xlsx&amp;sheet=U0&amp;row=3831&amp;col=7&amp;number=0.0453&amp;sourceID=14","0.0453")</f>
        <v>0.0453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HYPERLINK("http://141.218.60.56/~jnz1568/getInfo.php?workbook=10_05.xlsx&amp;sheet=U0&amp;row=3832&amp;col=6&amp;number=3.8&amp;sourceID=14","3.8")</f>
        <v>3.8</v>
      </c>
      <c r="G3832" s="4" t="str">
        <f>HYPERLINK("http://141.218.60.56/~jnz1568/getInfo.php?workbook=10_05.xlsx&amp;sheet=U0&amp;row=3832&amp;col=7&amp;number=0.0458&amp;sourceID=14","0.0458")</f>
        <v>0.0458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HYPERLINK("http://141.218.60.56/~jnz1568/getInfo.php?workbook=10_05.xlsx&amp;sheet=U0&amp;row=3833&amp;col=6&amp;number=3.9&amp;sourceID=14","3.9")</f>
        <v>3.9</v>
      </c>
      <c r="G3833" s="4" t="str">
        <f>HYPERLINK("http://141.218.60.56/~jnz1568/getInfo.php?workbook=10_05.xlsx&amp;sheet=U0&amp;row=3833&amp;col=7&amp;number=0.0465&amp;sourceID=14","0.0465")</f>
        <v>0.0465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HYPERLINK("http://141.218.60.56/~jnz1568/getInfo.php?workbook=10_05.xlsx&amp;sheet=U0&amp;row=3834&amp;col=6&amp;number=4&amp;sourceID=14","4")</f>
        <v>4</v>
      </c>
      <c r="G3834" s="4" t="str">
        <f>HYPERLINK("http://141.218.60.56/~jnz1568/getInfo.php?workbook=10_05.xlsx&amp;sheet=U0&amp;row=3834&amp;col=7&amp;number=0.0473&amp;sourceID=14","0.0473")</f>
        <v>0.0473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HYPERLINK("http://141.218.60.56/~jnz1568/getInfo.php?workbook=10_05.xlsx&amp;sheet=U0&amp;row=3835&amp;col=6&amp;number=4.1&amp;sourceID=14","4.1")</f>
        <v>4.1</v>
      </c>
      <c r="G3835" s="4" t="str">
        <f>HYPERLINK("http://141.218.60.56/~jnz1568/getInfo.php?workbook=10_05.xlsx&amp;sheet=U0&amp;row=3835&amp;col=7&amp;number=0.0482&amp;sourceID=14","0.0482")</f>
        <v>0.0482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HYPERLINK("http://141.218.60.56/~jnz1568/getInfo.php?workbook=10_05.xlsx&amp;sheet=U0&amp;row=3836&amp;col=6&amp;number=4.2&amp;sourceID=14","4.2")</f>
        <v>4.2</v>
      </c>
      <c r="G3836" s="4" t="str">
        <f>HYPERLINK("http://141.218.60.56/~jnz1568/getInfo.php?workbook=10_05.xlsx&amp;sheet=U0&amp;row=3836&amp;col=7&amp;number=0.0493&amp;sourceID=14","0.0493")</f>
        <v>0.0493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HYPERLINK("http://141.218.60.56/~jnz1568/getInfo.php?workbook=10_05.xlsx&amp;sheet=U0&amp;row=3837&amp;col=6&amp;number=4.3&amp;sourceID=14","4.3")</f>
        <v>4.3</v>
      </c>
      <c r="G3837" s="4" t="str">
        <f>HYPERLINK("http://141.218.60.56/~jnz1568/getInfo.php?workbook=10_05.xlsx&amp;sheet=U0&amp;row=3837&amp;col=7&amp;number=0.0504&amp;sourceID=14","0.0504")</f>
        <v>0.0504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HYPERLINK("http://141.218.60.56/~jnz1568/getInfo.php?workbook=10_05.xlsx&amp;sheet=U0&amp;row=3838&amp;col=6&amp;number=4.4&amp;sourceID=14","4.4")</f>
        <v>4.4</v>
      </c>
      <c r="G3838" s="4" t="str">
        <f>HYPERLINK("http://141.218.60.56/~jnz1568/getInfo.php?workbook=10_05.xlsx&amp;sheet=U0&amp;row=3838&amp;col=7&amp;number=0.0514&amp;sourceID=14","0.0514")</f>
        <v>0.0514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HYPERLINK("http://141.218.60.56/~jnz1568/getInfo.php?workbook=10_05.xlsx&amp;sheet=U0&amp;row=3839&amp;col=6&amp;number=4.5&amp;sourceID=14","4.5")</f>
        <v>4.5</v>
      </c>
      <c r="G3839" s="4" t="str">
        <f>HYPERLINK("http://141.218.60.56/~jnz1568/getInfo.php?workbook=10_05.xlsx&amp;sheet=U0&amp;row=3839&amp;col=7&amp;number=0.0524&amp;sourceID=14","0.0524")</f>
        <v>0.0524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HYPERLINK("http://141.218.60.56/~jnz1568/getInfo.php?workbook=10_05.xlsx&amp;sheet=U0&amp;row=3840&amp;col=6&amp;number=4.6&amp;sourceID=14","4.6")</f>
        <v>4.6</v>
      </c>
      <c r="G3840" s="4" t="str">
        <f>HYPERLINK("http://141.218.60.56/~jnz1568/getInfo.php?workbook=10_05.xlsx&amp;sheet=U0&amp;row=3840&amp;col=7&amp;number=0.0533&amp;sourceID=14","0.0533")</f>
        <v>0.0533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HYPERLINK("http://141.218.60.56/~jnz1568/getInfo.php?workbook=10_05.xlsx&amp;sheet=U0&amp;row=3841&amp;col=6&amp;number=4.7&amp;sourceID=14","4.7")</f>
        <v>4.7</v>
      </c>
      <c r="G3841" s="4" t="str">
        <f>HYPERLINK("http://141.218.60.56/~jnz1568/getInfo.php?workbook=10_05.xlsx&amp;sheet=U0&amp;row=3841&amp;col=7&amp;number=0.0538&amp;sourceID=14","0.0538")</f>
        <v>0.0538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HYPERLINK("http://141.218.60.56/~jnz1568/getInfo.php?workbook=10_05.xlsx&amp;sheet=U0&amp;row=3842&amp;col=6&amp;number=4.8&amp;sourceID=14","4.8")</f>
        <v>4.8</v>
      </c>
      <c r="G3842" s="4" t="str">
        <f>HYPERLINK("http://141.218.60.56/~jnz1568/getInfo.php?workbook=10_05.xlsx&amp;sheet=U0&amp;row=3842&amp;col=7&amp;number=0.0543&amp;sourceID=14","0.0543")</f>
        <v>0.0543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HYPERLINK("http://141.218.60.56/~jnz1568/getInfo.php?workbook=10_05.xlsx&amp;sheet=U0&amp;row=3843&amp;col=6&amp;number=4.9&amp;sourceID=14","4.9")</f>
        <v>4.9</v>
      </c>
      <c r="G3843" s="4" t="str">
        <f>HYPERLINK("http://141.218.60.56/~jnz1568/getInfo.php?workbook=10_05.xlsx&amp;sheet=U0&amp;row=3843&amp;col=7&amp;number=0.0549&amp;sourceID=14","0.0549")</f>
        <v>0.0549</v>
      </c>
    </row>
    <row r="3844" spans="1:7">
      <c r="A3844" s="3">
        <v>10</v>
      </c>
      <c r="B3844" s="3">
        <v>5</v>
      </c>
      <c r="C3844" s="3">
        <v>2</v>
      </c>
      <c r="D3844" s="3">
        <v>16</v>
      </c>
      <c r="E3844" s="3">
        <v>1</v>
      </c>
      <c r="F3844" s="4" t="str">
        <f>HYPERLINK("http://141.218.60.56/~jnz1568/getInfo.php?workbook=10_05.xlsx&amp;sheet=U0&amp;row=3844&amp;col=6&amp;number=3&amp;sourceID=14","3")</f>
        <v>3</v>
      </c>
      <c r="G3844" s="4" t="str">
        <f>HYPERLINK("http://141.218.60.56/~jnz1568/getInfo.php?workbook=10_05.xlsx&amp;sheet=U0&amp;row=3844&amp;col=7&amp;number=0.426&amp;sourceID=14","0.426")</f>
        <v>0.426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HYPERLINK("http://141.218.60.56/~jnz1568/getInfo.php?workbook=10_05.xlsx&amp;sheet=U0&amp;row=3845&amp;col=6&amp;number=3.1&amp;sourceID=14","3.1")</f>
        <v>3.1</v>
      </c>
      <c r="G3845" s="4" t="str">
        <f>HYPERLINK("http://141.218.60.56/~jnz1568/getInfo.php?workbook=10_05.xlsx&amp;sheet=U0&amp;row=3845&amp;col=7&amp;number=0.427&amp;sourceID=14","0.427")</f>
        <v>0.427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HYPERLINK("http://141.218.60.56/~jnz1568/getInfo.php?workbook=10_05.xlsx&amp;sheet=U0&amp;row=3846&amp;col=6&amp;number=3.2&amp;sourceID=14","3.2")</f>
        <v>3.2</v>
      </c>
      <c r="G3846" s="4" t="str">
        <f>HYPERLINK("http://141.218.60.56/~jnz1568/getInfo.php?workbook=10_05.xlsx&amp;sheet=U0&amp;row=3846&amp;col=7&amp;number=0.429&amp;sourceID=14","0.429")</f>
        <v>0.429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HYPERLINK("http://141.218.60.56/~jnz1568/getInfo.php?workbook=10_05.xlsx&amp;sheet=U0&amp;row=3847&amp;col=6&amp;number=3.3&amp;sourceID=14","3.3")</f>
        <v>3.3</v>
      </c>
      <c r="G3847" s="4" t="str">
        <f>HYPERLINK("http://141.218.60.56/~jnz1568/getInfo.php?workbook=10_05.xlsx&amp;sheet=U0&amp;row=3847&amp;col=7&amp;number=0.431&amp;sourceID=14","0.431")</f>
        <v>0.431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HYPERLINK("http://141.218.60.56/~jnz1568/getInfo.php?workbook=10_05.xlsx&amp;sheet=U0&amp;row=3848&amp;col=6&amp;number=3.4&amp;sourceID=14","3.4")</f>
        <v>3.4</v>
      </c>
      <c r="G3848" s="4" t="str">
        <f>HYPERLINK("http://141.218.60.56/~jnz1568/getInfo.php?workbook=10_05.xlsx&amp;sheet=U0&amp;row=3848&amp;col=7&amp;number=0.434&amp;sourceID=14","0.434")</f>
        <v>0.434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HYPERLINK("http://141.218.60.56/~jnz1568/getInfo.php?workbook=10_05.xlsx&amp;sheet=U0&amp;row=3849&amp;col=6&amp;number=3.5&amp;sourceID=14","3.5")</f>
        <v>3.5</v>
      </c>
      <c r="G3849" s="4" t="str">
        <f>HYPERLINK("http://141.218.60.56/~jnz1568/getInfo.php?workbook=10_05.xlsx&amp;sheet=U0&amp;row=3849&amp;col=7&amp;number=0.438&amp;sourceID=14","0.438")</f>
        <v>0.438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HYPERLINK("http://141.218.60.56/~jnz1568/getInfo.php?workbook=10_05.xlsx&amp;sheet=U0&amp;row=3850&amp;col=6&amp;number=3.6&amp;sourceID=14","3.6")</f>
        <v>3.6</v>
      </c>
      <c r="G3850" s="4" t="str">
        <f>HYPERLINK("http://141.218.60.56/~jnz1568/getInfo.php?workbook=10_05.xlsx&amp;sheet=U0&amp;row=3850&amp;col=7&amp;number=0.442&amp;sourceID=14","0.442")</f>
        <v>0.442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HYPERLINK("http://141.218.60.56/~jnz1568/getInfo.php?workbook=10_05.xlsx&amp;sheet=U0&amp;row=3851&amp;col=6&amp;number=3.7&amp;sourceID=14","3.7")</f>
        <v>3.7</v>
      </c>
      <c r="G3851" s="4" t="str">
        <f>HYPERLINK("http://141.218.60.56/~jnz1568/getInfo.php?workbook=10_05.xlsx&amp;sheet=U0&amp;row=3851&amp;col=7&amp;number=0.447&amp;sourceID=14","0.447")</f>
        <v>0.447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HYPERLINK("http://141.218.60.56/~jnz1568/getInfo.php?workbook=10_05.xlsx&amp;sheet=U0&amp;row=3852&amp;col=6&amp;number=3.8&amp;sourceID=14","3.8")</f>
        <v>3.8</v>
      </c>
      <c r="G3852" s="4" t="str">
        <f>HYPERLINK("http://141.218.60.56/~jnz1568/getInfo.php?workbook=10_05.xlsx&amp;sheet=U0&amp;row=3852&amp;col=7&amp;number=0.454&amp;sourceID=14","0.454")</f>
        <v>0.454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HYPERLINK("http://141.218.60.56/~jnz1568/getInfo.php?workbook=10_05.xlsx&amp;sheet=U0&amp;row=3853&amp;col=6&amp;number=3.9&amp;sourceID=14","3.9")</f>
        <v>3.9</v>
      </c>
      <c r="G3853" s="4" t="str">
        <f>HYPERLINK("http://141.218.60.56/~jnz1568/getInfo.php?workbook=10_05.xlsx&amp;sheet=U0&amp;row=3853&amp;col=7&amp;number=0.462&amp;sourceID=14","0.462")</f>
        <v>0.462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HYPERLINK("http://141.218.60.56/~jnz1568/getInfo.php?workbook=10_05.xlsx&amp;sheet=U0&amp;row=3854&amp;col=6&amp;number=4&amp;sourceID=14","4")</f>
        <v>4</v>
      </c>
      <c r="G3854" s="4" t="str">
        <f>HYPERLINK("http://141.218.60.56/~jnz1568/getInfo.php?workbook=10_05.xlsx&amp;sheet=U0&amp;row=3854&amp;col=7&amp;number=0.472&amp;sourceID=14","0.472")</f>
        <v>0.472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HYPERLINK("http://141.218.60.56/~jnz1568/getInfo.php?workbook=10_05.xlsx&amp;sheet=U0&amp;row=3855&amp;col=6&amp;number=4.1&amp;sourceID=14","4.1")</f>
        <v>4.1</v>
      </c>
      <c r="G3855" s="4" t="str">
        <f>HYPERLINK("http://141.218.60.56/~jnz1568/getInfo.php?workbook=10_05.xlsx&amp;sheet=U0&amp;row=3855&amp;col=7&amp;number=0.483&amp;sourceID=14","0.483")</f>
        <v>0.483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HYPERLINK("http://141.218.60.56/~jnz1568/getInfo.php?workbook=10_05.xlsx&amp;sheet=U0&amp;row=3856&amp;col=6&amp;number=4.2&amp;sourceID=14","4.2")</f>
        <v>4.2</v>
      </c>
      <c r="G3856" s="4" t="str">
        <f>HYPERLINK("http://141.218.60.56/~jnz1568/getInfo.php?workbook=10_05.xlsx&amp;sheet=U0&amp;row=3856&amp;col=7&amp;number=0.495&amp;sourceID=14","0.495")</f>
        <v>0.495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HYPERLINK("http://141.218.60.56/~jnz1568/getInfo.php?workbook=10_05.xlsx&amp;sheet=U0&amp;row=3857&amp;col=6&amp;number=4.3&amp;sourceID=14","4.3")</f>
        <v>4.3</v>
      </c>
      <c r="G3857" s="4" t="str">
        <f>HYPERLINK("http://141.218.60.56/~jnz1568/getInfo.php?workbook=10_05.xlsx&amp;sheet=U0&amp;row=3857&amp;col=7&amp;number=0.508&amp;sourceID=14","0.508")</f>
        <v>0.508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HYPERLINK("http://141.218.60.56/~jnz1568/getInfo.php?workbook=10_05.xlsx&amp;sheet=U0&amp;row=3858&amp;col=6&amp;number=4.4&amp;sourceID=14","4.4")</f>
        <v>4.4</v>
      </c>
      <c r="G3858" s="4" t="str">
        <f>HYPERLINK("http://141.218.60.56/~jnz1568/getInfo.php?workbook=10_05.xlsx&amp;sheet=U0&amp;row=3858&amp;col=7&amp;number=0.518&amp;sourceID=14","0.518")</f>
        <v>0.518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HYPERLINK("http://141.218.60.56/~jnz1568/getInfo.php?workbook=10_05.xlsx&amp;sheet=U0&amp;row=3859&amp;col=6&amp;number=4.5&amp;sourceID=14","4.5")</f>
        <v>4.5</v>
      </c>
      <c r="G3859" s="4" t="str">
        <f>HYPERLINK("http://141.218.60.56/~jnz1568/getInfo.php?workbook=10_05.xlsx&amp;sheet=U0&amp;row=3859&amp;col=7&amp;number=0.524&amp;sourceID=14","0.524")</f>
        <v>0.524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HYPERLINK("http://141.218.60.56/~jnz1568/getInfo.php?workbook=10_05.xlsx&amp;sheet=U0&amp;row=3860&amp;col=6&amp;number=4.6&amp;sourceID=14","4.6")</f>
        <v>4.6</v>
      </c>
      <c r="G3860" s="4" t="str">
        <f>HYPERLINK("http://141.218.60.56/~jnz1568/getInfo.php?workbook=10_05.xlsx&amp;sheet=U0&amp;row=3860&amp;col=7&amp;number=0.517&amp;sourceID=14","0.517")</f>
        <v>0.517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HYPERLINK("http://141.218.60.56/~jnz1568/getInfo.php?workbook=10_05.xlsx&amp;sheet=U0&amp;row=3861&amp;col=6&amp;number=4.7&amp;sourceID=14","4.7")</f>
        <v>4.7</v>
      </c>
      <c r="G3861" s="4" t="str">
        <f>HYPERLINK("http://141.218.60.56/~jnz1568/getInfo.php?workbook=10_05.xlsx&amp;sheet=U0&amp;row=3861&amp;col=7&amp;number=0.495&amp;sourceID=14","0.495")</f>
        <v>0.495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HYPERLINK("http://141.218.60.56/~jnz1568/getInfo.php?workbook=10_05.xlsx&amp;sheet=U0&amp;row=3862&amp;col=6&amp;number=4.8&amp;sourceID=14","4.8")</f>
        <v>4.8</v>
      </c>
      <c r="G3862" s="4" t="str">
        <f>HYPERLINK("http://141.218.60.56/~jnz1568/getInfo.php?workbook=10_05.xlsx&amp;sheet=U0&amp;row=3862&amp;col=7&amp;number=0.458&amp;sourceID=14","0.458")</f>
        <v>0.458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HYPERLINK("http://141.218.60.56/~jnz1568/getInfo.php?workbook=10_05.xlsx&amp;sheet=U0&amp;row=3863&amp;col=6&amp;number=4.9&amp;sourceID=14","4.9")</f>
        <v>4.9</v>
      </c>
      <c r="G3863" s="4" t="str">
        <f>HYPERLINK("http://141.218.60.56/~jnz1568/getInfo.php?workbook=10_05.xlsx&amp;sheet=U0&amp;row=3863&amp;col=7&amp;number=0.413&amp;sourceID=14","0.413")</f>
        <v>0.413</v>
      </c>
    </row>
    <row r="3864" spans="1:7">
      <c r="A3864" s="3">
        <v>10</v>
      </c>
      <c r="B3864" s="3">
        <v>5</v>
      </c>
      <c r="C3864" s="3">
        <v>2</v>
      </c>
      <c r="D3864" s="3">
        <v>17</v>
      </c>
      <c r="E3864" s="3">
        <v>1</v>
      </c>
      <c r="F3864" s="4" t="str">
        <f>HYPERLINK("http://141.218.60.56/~jnz1568/getInfo.php?workbook=10_05.xlsx&amp;sheet=U0&amp;row=3864&amp;col=6&amp;number=3&amp;sourceID=14","3")</f>
        <v>3</v>
      </c>
      <c r="G3864" s="4" t="str">
        <f>HYPERLINK("http://141.218.60.56/~jnz1568/getInfo.php?workbook=10_05.xlsx&amp;sheet=U0&amp;row=3864&amp;col=7&amp;number=0.278&amp;sourceID=14","0.278")</f>
        <v>0.278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HYPERLINK("http://141.218.60.56/~jnz1568/getInfo.php?workbook=10_05.xlsx&amp;sheet=U0&amp;row=3865&amp;col=6&amp;number=3.1&amp;sourceID=14","3.1")</f>
        <v>3.1</v>
      </c>
      <c r="G3865" s="4" t="str">
        <f>HYPERLINK("http://141.218.60.56/~jnz1568/getInfo.php?workbook=10_05.xlsx&amp;sheet=U0&amp;row=3865&amp;col=7&amp;number=0.277&amp;sourceID=14","0.277")</f>
        <v>0.277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HYPERLINK("http://141.218.60.56/~jnz1568/getInfo.php?workbook=10_05.xlsx&amp;sheet=U0&amp;row=3866&amp;col=6&amp;number=3.2&amp;sourceID=14","3.2")</f>
        <v>3.2</v>
      </c>
      <c r="G3866" s="4" t="str">
        <f>HYPERLINK("http://141.218.60.56/~jnz1568/getInfo.php?workbook=10_05.xlsx&amp;sheet=U0&amp;row=3866&amp;col=7&amp;number=0.275&amp;sourceID=14","0.275")</f>
        <v>0.275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HYPERLINK("http://141.218.60.56/~jnz1568/getInfo.php?workbook=10_05.xlsx&amp;sheet=U0&amp;row=3867&amp;col=6&amp;number=3.3&amp;sourceID=14","3.3")</f>
        <v>3.3</v>
      </c>
      <c r="G3867" s="4" t="str">
        <f>HYPERLINK("http://141.218.60.56/~jnz1568/getInfo.php?workbook=10_05.xlsx&amp;sheet=U0&amp;row=3867&amp;col=7&amp;number=0.273&amp;sourceID=14","0.273")</f>
        <v>0.273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HYPERLINK("http://141.218.60.56/~jnz1568/getInfo.php?workbook=10_05.xlsx&amp;sheet=U0&amp;row=3868&amp;col=6&amp;number=3.4&amp;sourceID=14","3.4")</f>
        <v>3.4</v>
      </c>
      <c r="G3868" s="4" t="str">
        <f>HYPERLINK("http://141.218.60.56/~jnz1568/getInfo.php?workbook=10_05.xlsx&amp;sheet=U0&amp;row=3868&amp;col=7&amp;number=0.27&amp;sourceID=14","0.27")</f>
        <v>0.27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HYPERLINK("http://141.218.60.56/~jnz1568/getInfo.php?workbook=10_05.xlsx&amp;sheet=U0&amp;row=3869&amp;col=6&amp;number=3.5&amp;sourceID=14","3.5")</f>
        <v>3.5</v>
      </c>
      <c r="G3869" s="4" t="str">
        <f>HYPERLINK("http://141.218.60.56/~jnz1568/getInfo.php?workbook=10_05.xlsx&amp;sheet=U0&amp;row=3869&amp;col=7&amp;number=0.267&amp;sourceID=14","0.267")</f>
        <v>0.267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HYPERLINK("http://141.218.60.56/~jnz1568/getInfo.php?workbook=10_05.xlsx&amp;sheet=U0&amp;row=3870&amp;col=6&amp;number=3.6&amp;sourceID=14","3.6")</f>
        <v>3.6</v>
      </c>
      <c r="G3870" s="4" t="str">
        <f>HYPERLINK("http://141.218.60.56/~jnz1568/getInfo.php?workbook=10_05.xlsx&amp;sheet=U0&amp;row=3870&amp;col=7&amp;number=0.263&amp;sourceID=14","0.263")</f>
        <v>0.263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HYPERLINK("http://141.218.60.56/~jnz1568/getInfo.php?workbook=10_05.xlsx&amp;sheet=U0&amp;row=3871&amp;col=6&amp;number=3.7&amp;sourceID=14","3.7")</f>
        <v>3.7</v>
      </c>
      <c r="G3871" s="4" t="str">
        <f>HYPERLINK("http://141.218.60.56/~jnz1568/getInfo.php?workbook=10_05.xlsx&amp;sheet=U0&amp;row=3871&amp;col=7&amp;number=0.258&amp;sourceID=14","0.258")</f>
        <v>0.258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HYPERLINK("http://141.218.60.56/~jnz1568/getInfo.php?workbook=10_05.xlsx&amp;sheet=U0&amp;row=3872&amp;col=6&amp;number=3.8&amp;sourceID=14","3.8")</f>
        <v>3.8</v>
      </c>
      <c r="G3872" s="4" t="str">
        <f>HYPERLINK("http://141.218.60.56/~jnz1568/getInfo.php?workbook=10_05.xlsx&amp;sheet=U0&amp;row=3872&amp;col=7&amp;number=0.252&amp;sourceID=14","0.252")</f>
        <v>0.252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HYPERLINK("http://141.218.60.56/~jnz1568/getInfo.php?workbook=10_05.xlsx&amp;sheet=U0&amp;row=3873&amp;col=6&amp;number=3.9&amp;sourceID=14","3.9")</f>
        <v>3.9</v>
      </c>
      <c r="G3873" s="4" t="str">
        <f>HYPERLINK("http://141.218.60.56/~jnz1568/getInfo.php?workbook=10_05.xlsx&amp;sheet=U0&amp;row=3873&amp;col=7&amp;number=0.245&amp;sourceID=14","0.245")</f>
        <v>0.245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HYPERLINK("http://141.218.60.56/~jnz1568/getInfo.php?workbook=10_05.xlsx&amp;sheet=U0&amp;row=3874&amp;col=6&amp;number=4&amp;sourceID=14","4")</f>
        <v>4</v>
      </c>
      <c r="G3874" s="4" t="str">
        <f>HYPERLINK("http://141.218.60.56/~jnz1568/getInfo.php?workbook=10_05.xlsx&amp;sheet=U0&amp;row=3874&amp;col=7&amp;number=0.237&amp;sourceID=14","0.237")</f>
        <v>0.237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HYPERLINK("http://141.218.60.56/~jnz1568/getInfo.php?workbook=10_05.xlsx&amp;sheet=U0&amp;row=3875&amp;col=6&amp;number=4.1&amp;sourceID=14","4.1")</f>
        <v>4.1</v>
      </c>
      <c r="G3875" s="4" t="str">
        <f>HYPERLINK("http://141.218.60.56/~jnz1568/getInfo.php?workbook=10_05.xlsx&amp;sheet=U0&amp;row=3875&amp;col=7&amp;number=0.229&amp;sourceID=14","0.229")</f>
        <v>0.229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HYPERLINK("http://141.218.60.56/~jnz1568/getInfo.php?workbook=10_05.xlsx&amp;sheet=U0&amp;row=3876&amp;col=6&amp;number=4.2&amp;sourceID=14","4.2")</f>
        <v>4.2</v>
      </c>
      <c r="G3876" s="4" t="str">
        <f>HYPERLINK("http://141.218.60.56/~jnz1568/getInfo.php?workbook=10_05.xlsx&amp;sheet=U0&amp;row=3876&amp;col=7&amp;number=0.222&amp;sourceID=14","0.222")</f>
        <v>0.222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HYPERLINK("http://141.218.60.56/~jnz1568/getInfo.php?workbook=10_05.xlsx&amp;sheet=U0&amp;row=3877&amp;col=6&amp;number=4.3&amp;sourceID=14","4.3")</f>
        <v>4.3</v>
      </c>
      <c r="G3877" s="4" t="str">
        <f>HYPERLINK("http://141.218.60.56/~jnz1568/getInfo.php?workbook=10_05.xlsx&amp;sheet=U0&amp;row=3877&amp;col=7&amp;number=0.216&amp;sourceID=14","0.216")</f>
        <v>0.216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HYPERLINK("http://141.218.60.56/~jnz1568/getInfo.php?workbook=10_05.xlsx&amp;sheet=U0&amp;row=3878&amp;col=6&amp;number=4.4&amp;sourceID=14","4.4")</f>
        <v>4.4</v>
      </c>
      <c r="G3878" s="4" t="str">
        <f>HYPERLINK("http://141.218.60.56/~jnz1568/getInfo.php?workbook=10_05.xlsx&amp;sheet=U0&amp;row=3878&amp;col=7&amp;number=0.213&amp;sourceID=14","0.213")</f>
        <v>0.213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HYPERLINK("http://141.218.60.56/~jnz1568/getInfo.php?workbook=10_05.xlsx&amp;sheet=U0&amp;row=3879&amp;col=6&amp;number=4.5&amp;sourceID=14","4.5")</f>
        <v>4.5</v>
      </c>
      <c r="G3879" s="4" t="str">
        <f>HYPERLINK("http://141.218.60.56/~jnz1568/getInfo.php?workbook=10_05.xlsx&amp;sheet=U0&amp;row=3879&amp;col=7&amp;number=0.21&amp;sourceID=14","0.21")</f>
        <v>0.21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HYPERLINK("http://141.218.60.56/~jnz1568/getInfo.php?workbook=10_05.xlsx&amp;sheet=U0&amp;row=3880&amp;col=6&amp;number=4.6&amp;sourceID=14","4.6")</f>
        <v>4.6</v>
      </c>
      <c r="G3880" s="4" t="str">
        <f>HYPERLINK("http://141.218.60.56/~jnz1568/getInfo.php?workbook=10_05.xlsx&amp;sheet=U0&amp;row=3880&amp;col=7&amp;number=0.206&amp;sourceID=14","0.206")</f>
        <v>0.206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HYPERLINK("http://141.218.60.56/~jnz1568/getInfo.php?workbook=10_05.xlsx&amp;sheet=U0&amp;row=3881&amp;col=6&amp;number=4.7&amp;sourceID=14","4.7")</f>
        <v>4.7</v>
      </c>
      <c r="G3881" s="4" t="str">
        <f>HYPERLINK("http://141.218.60.56/~jnz1568/getInfo.php?workbook=10_05.xlsx&amp;sheet=U0&amp;row=3881&amp;col=7&amp;number=0.197&amp;sourceID=14","0.197")</f>
        <v>0.197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HYPERLINK("http://141.218.60.56/~jnz1568/getInfo.php?workbook=10_05.xlsx&amp;sheet=U0&amp;row=3882&amp;col=6&amp;number=4.8&amp;sourceID=14","4.8")</f>
        <v>4.8</v>
      </c>
      <c r="G3882" s="4" t="str">
        <f>HYPERLINK("http://141.218.60.56/~jnz1568/getInfo.php?workbook=10_05.xlsx&amp;sheet=U0&amp;row=3882&amp;col=7&amp;number=0.184&amp;sourceID=14","0.184")</f>
        <v>0.184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HYPERLINK("http://141.218.60.56/~jnz1568/getInfo.php?workbook=10_05.xlsx&amp;sheet=U0&amp;row=3883&amp;col=6&amp;number=4.9&amp;sourceID=14","4.9")</f>
        <v>4.9</v>
      </c>
      <c r="G3883" s="4" t="str">
        <f>HYPERLINK("http://141.218.60.56/~jnz1568/getInfo.php?workbook=10_05.xlsx&amp;sheet=U0&amp;row=3883&amp;col=7&amp;number=0.171&amp;sourceID=14","0.171")</f>
        <v>0.171</v>
      </c>
    </row>
    <row r="3884" spans="1:7">
      <c r="A3884" s="3">
        <v>10</v>
      </c>
      <c r="B3884" s="3">
        <v>5</v>
      </c>
      <c r="C3884" s="3">
        <v>2</v>
      </c>
      <c r="D3884" s="3">
        <v>18</v>
      </c>
      <c r="E3884" s="3">
        <v>1</v>
      </c>
      <c r="F3884" s="4" t="str">
        <f>HYPERLINK("http://141.218.60.56/~jnz1568/getInfo.php?workbook=10_05.xlsx&amp;sheet=U0&amp;row=3884&amp;col=6&amp;number=3&amp;sourceID=14","3")</f>
        <v>3</v>
      </c>
      <c r="G3884" s="4" t="str">
        <f>HYPERLINK("http://141.218.60.56/~jnz1568/getInfo.php?workbook=10_05.xlsx&amp;sheet=U0&amp;row=3884&amp;col=7&amp;number=1.08&amp;sourceID=14","1.08")</f>
        <v>1.08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HYPERLINK("http://141.218.60.56/~jnz1568/getInfo.php?workbook=10_05.xlsx&amp;sheet=U0&amp;row=3885&amp;col=6&amp;number=3.1&amp;sourceID=14","3.1")</f>
        <v>3.1</v>
      </c>
      <c r="G3885" s="4" t="str">
        <f>HYPERLINK("http://141.218.60.56/~jnz1568/getInfo.php?workbook=10_05.xlsx&amp;sheet=U0&amp;row=3885&amp;col=7&amp;number=1.07&amp;sourceID=14","1.07")</f>
        <v>1.07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HYPERLINK("http://141.218.60.56/~jnz1568/getInfo.php?workbook=10_05.xlsx&amp;sheet=U0&amp;row=3886&amp;col=6&amp;number=3.2&amp;sourceID=14","3.2")</f>
        <v>3.2</v>
      </c>
      <c r="G3886" s="4" t="str">
        <f>HYPERLINK("http://141.218.60.56/~jnz1568/getInfo.php?workbook=10_05.xlsx&amp;sheet=U0&amp;row=3886&amp;col=7&amp;number=1.04&amp;sourceID=14","1.04")</f>
        <v>1.04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HYPERLINK("http://141.218.60.56/~jnz1568/getInfo.php?workbook=10_05.xlsx&amp;sheet=U0&amp;row=3887&amp;col=6&amp;number=3.3&amp;sourceID=14","3.3")</f>
        <v>3.3</v>
      </c>
      <c r="G3887" s="4" t="str">
        <f>HYPERLINK("http://141.218.60.56/~jnz1568/getInfo.php?workbook=10_05.xlsx&amp;sheet=U0&amp;row=3887&amp;col=7&amp;number=1.02&amp;sourceID=14","1.02")</f>
        <v>1.02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HYPERLINK("http://141.218.60.56/~jnz1568/getInfo.php?workbook=10_05.xlsx&amp;sheet=U0&amp;row=3888&amp;col=6&amp;number=3.4&amp;sourceID=14","3.4")</f>
        <v>3.4</v>
      </c>
      <c r="G3888" s="4" t="str">
        <f>HYPERLINK("http://141.218.60.56/~jnz1568/getInfo.php?workbook=10_05.xlsx&amp;sheet=U0&amp;row=3888&amp;col=7&amp;number=0.988&amp;sourceID=14","0.988")</f>
        <v>0.988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HYPERLINK("http://141.218.60.56/~jnz1568/getInfo.php?workbook=10_05.xlsx&amp;sheet=U0&amp;row=3889&amp;col=6&amp;number=3.5&amp;sourceID=14","3.5")</f>
        <v>3.5</v>
      </c>
      <c r="G3889" s="4" t="str">
        <f>HYPERLINK("http://141.218.60.56/~jnz1568/getInfo.php?workbook=10_05.xlsx&amp;sheet=U0&amp;row=3889&amp;col=7&amp;number=0.95&amp;sourceID=14","0.95")</f>
        <v>0.95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HYPERLINK("http://141.218.60.56/~jnz1568/getInfo.php?workbook=10_05.xlsx&amp;sheet=U0&amp;row=3890&amp;col=6&amp;number=3.6&amp;sourceID=14","3.6")</f>
        <v>3.6</v>
      </c>
      <c r="G3890" s="4" t="str">
        <f>HYPERLINK("http://141.218.60.56/~jnz1568/getInfo.php?workbook=10_05.xlsx&amp;sheet=U0&amp;row=3890&amp;col=7&amp;number=0.907&amp;sourceID=14","0.907")</f>
        <v>0.907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HYPERLINK("http://141.218.60.56/~jnz1568/getInfo.php?workbook=10_05.xlsx&amp;sheet=U0&amp;row=3891&amp;col=6&amp;number=3.7&amp;sourceID=14","3.7")</f>
        <v>3.7</v>
      </c>
      <c r="G3891" s="4" t="str">
        <f>HYPERLINK("http://141.218.60.56/~jnz1568/getInfo.php?workbook=10_05.xlsx&amp;sheet=U0&amp;row=3891&amp;col=7&amp;number=0.858&amp;sourceID=14","0.858")</f>
        <v>0.858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HYPERLINK("http://141.218.60.56/~jnz1568/getInfo.php?workbook=10_05.xlsx&amp;sheet=U0&amp;row=3892&amp;col=6&amp;number=3.8&amp;sourceID=14","3.8")</f>
        <v>3.8</v>
      </c>
      <c r="G3892" s="4" t="str">
        <f>HYPERLINK("http://141.218.60.56/~jnz1568/getInfo.php?workbook=10_05.xlsx&amp;sheet=U0&amp;row=3892&amp;col=7&amp;number=0.806&amp;sourceID=14","0.806")</f>
        <v>0.806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HYPERLINK("http://141.218.60.56/~jnz1568/getInfo.php?workbook=10_05.xlsx&amp;sheet=U0&amp;row=3893&amp;col=6&amp;number=3.9&amp;sourceID=14","3.9")</f>
        <v>3.9</v>
      </c>
      <c r="G3893" s="4" t="str">
        <f>HYPERLINK("http://141.218.60.56/~jnz1568/getInfo.php?workbook=10_05.xlsx&amp;sheet=U0&amp;row=3893&amp;col=7&amp;number=0.758&amp;sourceID=14","0.758")</f>
        <v>0.758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HYPERLINK("http://141.218.60.56/~jnz1568/getInfo.php?workbook=10_05.xlsx&amp;sheet=U0&amp;row=3894&amp;col=6&amp;number=4&amp;sourceID=14","4")</f>
        <v>4</v>
      </c>
      <c r="G3894" s="4" t="str">
        <f>HYPERLINK("http://141.218.60.56/~jnz1568/getInfo.php?workbook=10_05.xlsx&amp;sheet=U0&amp;row=3894&amp;col=7&amp;number=0.722&amp;sourceID=14","0.722")</f>
        <v>0.722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HYPERLINK("http://141.218.60.56/~jnz1568/getInfo.php?workbook=10_05.xlsx&amp;sheet=U0&amp;row=3895&amp;col=6&amp;number=4.1&amp;sourceID=14","4.1")</f>
        <v>4.1</v>
      </c>
      <c r="G3895" s="4" t="str">
        <f>HYPERLINK("http://141.218.60.56/~jnz1568/getInfo.php?workbook=10_05.xlsx&amp;sheet=U0&amp;row=3895&amp;col=7&amp;number=0.704&amp;sourceID=14","0.704")</f>
        <v>0.704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HYPERLINK("http://141.218.60.56/~jnz1568/getInfo.php?workbook=10_05.xlsx&amp;sheet=U0&amp;row=3896&amp;col=6&amp;number=4.2&amp;sourceID=14","4.2")</f>
        <v>4.2</v>
      </c>
      <c r="G3896" s="4" t="str">
        <f>HYPERLINK("http://141.218.60.56/~jnz1568/getInfo.php?workbook=10_05.xlsx&amp;sheet=U0&amp;row=3896&amp;col=7&amp;number=0.7&amp;sourceID=14","0.7")</f>
        <v>0.7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HYPERLINK("http://141.218.60.56/~jnz1568/getInfo.php?workbook=10_05.xlsx&amp;sheet=U0&amp;row=3897&amp;col=6&amp;number=4.3&amp;sourceID=14","4.3")</f>
        <v>4.3</v>
      </c>
      <c r="G3897" s="4" t="str">
        <f>HYPERLINK("http://141.218.60.56/~jnz1568/getInfo.php?workbook=10_05.xlsx&amp;sheet=U0&amp;row=3897&amp;col=7&amp;number=0.698&amp;sourceID=14","0.698")</f>
        <v>0.698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HYPERLINK("http://141.218.60.56/~jnz1568/getInfo.php?workbook=10_05.xlsx&amp;sheet=U0&amp;row=3898&amp;col=6&amp;number=4.4&amp;sourceID=14","4.4")</f>
        <v>4.4</v>
      </c>
      <c r="G3898" s="4" t="str">
        <f>HYPERLINK("http://141.218.60.56/~jnz1568/getInfo.php?workbook=10_05.xlsx&amp;sheet=U0&amp;row=3898&amp;col=7&amp;number=0.682&amp;sourceID=14","0.682")</f>
        <v>0.682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HYPERLINK("http://141.218.60.56/~jnz1568/getInfo.php?workbook=10_05.xlsx&amp;sheet=U0&amp;row=3899&amp;col=6&amp;number=4.5&amp;sourceID=14","4.5")</f>
        <v>4.5</v>
      </c>
      <c r="G3899" s="4" t="str">
        <f>HYPERLINK("http://141.218.60.56/~jnz1568/getInfo.php?workbook=10_05.xlsx&amp;sheet=U0&amp;row=3899&amp;col=7&amp;number=0.658&amp;sourceID=14","0.658")</f>
        <v>0.658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HYPERLINK("http://141.218.60.56/~jnz1568/getInfo.php?workbook=10_05.xlsx&amp;sheet=U0&amp;row=3900&amp;col=6&amp;number=4.6&amp;sourceID=14","4.6")</f>
        <v>4.6</v>
      </c>
      <c r="G3900" s="4" t="str">
        <f>HYPERLINK("http://141.218.60.56/~jnz1568/getInfo.php?workbook=10_05.xlsx&amp;sheet=U0&amp;row=3900&amp;col=7&amp;number=0.633&amp;sourceID=14","0.633")</f>
        <v>0.633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HYPERLINK("http://141.218.60.56/~jnz1568/getInfo.php?workbook=10_05.xlsx&amp;sheet=U0&amp;row=3901&amp;col=6&amp;number=4.7&amp;sourceID=14","4.7")</f>
        <v>4.7</v>
      </c>
      <c r="G3901" s="4" t="str">
        <f>HYPERLINK("http://141.218.60.56/~jnz1568/getInfo.php?workbook=10_05.xlsx&amp;sheet=U0&amp;row=3901&amp;col=7&amp;number=0.609&amp;sourceID=14","0.609")</f>
        <v>0.609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HYPERLINK("http://141.218.60.56/~jnz1568/getInfo.php?workbook=10_05.xlsx&amp;sheet=U0&amp;row=3902&amp;col=6&amp;number=4.8&amp;sourceID=14","4.8")</f>
        <v>4.8</v>
      </c>
      <c r="G3902" s="4" t="str">
        <f>HYPERLINK("http://141.218.60.56/~jnz1568/getInfo.php?workbook=10_05.xlsx&amp;sheet=U0&amp;row=3902&amp;col=7&amp;number=0.578&amp;sourceID=14","0.578")</f>
        <v>0.578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HYPERLINK("http://141.218.60.56/~jnz1568/getInfo.php?workbook=10_05.xlsx&amp;sheet=U0&amp;row=3903&amp;col=6&amp;number=4.9&amp;sourceID=14","4.9")</f>
        <v>4.9</v>
      </c>
      <c r="G3903" s="4" t="str">
        <f>HYPERLINK("http://141.218.60.56/~jnz1568/getInfo.php?workbook=10_05.xlsx&amp;sheet=U0&amp;row=3903&amp;col=7&amp;number=0.542&amp;sourceID=14","0.542")</f>
        <v>0.542</v>
      </c>
    </row>
    <row r="3904" spans="1:7">
      <c r="A3904" s="3">
        <v>10</v>
      </c>
      <c r="B3904" s="3">
        <v>5</v>
      </c>
      <c r="C3904" s="3">
        <v>2</v>
      </c>
      <c r="D3904" s="3">
        <v>19</v>
      </c>
      <c r="E3904" s="3">
        <v>1</v>
      </c>
      <c r="F3904" s="4" t="str">
        <f>HYPERLINK("http://141.218.60.56/~jnz1568/getInfo.php?workbook=10_05.xlsx&amp;sheet=U0&amp;row=3904&amp;col=6&amp;number=3&amp;sourceID=14","3")</f>
        <v>3</v>
      </c>
      <c r="G3904" s="4" t="str">
        <f>HYPERLINK("http://141.218.60.56/~jnz1568/getInfo.php?workbook=10_05.xlsx&amp;sheet=U0&amp;row=3904&amp;col=7&amp;number=0.322&amp;sourceID=14","0.322")</f>
        <v>0.322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HYPERLINK("http://141.218.60.56/~jnz1568/getInfo.php?workbook=10_05.xlsx&amp;sheet=U0&amp;row=3905&amp;col=6&amp;number=3.1&amp;sourceID=14","3.1")</f>
        <v>3.1</v>
      </c>
      <c r="G3905" s="4" t="str">
        <f>HYPERLINK("http://141.218.60.56/~jnz1568/getInfo.php?workbook=10_05.xlsx&amp;sheet=U0&amp;row=3905&amp;col=7&amp;number=0.322&amp;sourceID=14","0.322")</f>
        <v>0.322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HYPERLINK("http://141.218.60.56/~jnz1568/getInfo.php?workbook=10_05.xlsx&amp;sheet=U0&amp;row=3906&amp;col=6&amp;number=3.2&amp;sourceID=14","3.2")</f>
        <v>3.2</v>
      </c>
      <c r="G3906" s="4" t="str">
        <f>HYPERLINK("http://141.218.60.56/~jnz1568/getInfo.php?workbook=10_05.xlsx&amp;sheet=U0&amp;row=3906&amp;col=7&amp;number=0.321&amp;sourceID=14","0.321")</f>
        <v>0.321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HYPERLINK("http://141.218.60.56/~jnz1568/getInfo.php?workbook=10_05.xlsx&amp;sheet=U0&amp;row=3907&amp;col=6&amp;number=3.3&amp;sourceID=14","3.3")</f>
        <v>3.3</v>
      </c>
      <c r="G3907" s="4" t="str">
        <f>HYPERLINK("http://141.218.60.56/~jnz1568/getInfo.php?workbook=10_05.xlsx&amp;sheet=U0&amp;row=3907&amp;col=7&amp;number=0.321&amp;sourceID=14","0.321")</f>
        <v>0.321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HYPERLINK("http://141.218.60.56/~jnz1568/getInfo.php?workbook=10_05.xlsx&amp;sheet=U0&amp;row=3908&amp;col=6&amp;number=3.4&amp;sourceID=14","3.4")</f>
        <v>3.4</v>
      </c>
      <c r="G3908" s="4" t="str">
        <f>HYPERLINK("http://141.218.60.56/~jnz1568/getInfo.php?workbook=10_05.xlsx&amp;sheet=U0&amp;row=3908&amp;col=7&amp;number=0.32&amp;sourceID=14","0.32")</f>
        <v>0.32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HYPERLINK("http://141.218.60.56/~jnz1568/getInfo.php?workbook=10_05.xlsx&amp;sheet=U0&amp;row=3909&amp;col=6&amp;number=3.5&amp;sourceID=14","3.5")</f>
        <v>3.5</v>
      </c>
      <c r="G3909" s="4" t="str">
        <f>HYPERLINK("http://141.218.60.56/~jnz1568/getInfo.php?workbook=10_05.xlsx&amp;sheet=U0&amp;row=3909&amp;col=7&amp;number=0.319&amp;sourceID=14","0.319")</f>
        <v>0.319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HYPERLINK("http://141.218.60.56/~jnz1568/getInfo.php?workbook=10_05.xlsx&amp;sheet=U0&amp;row=3910&amp;col=6&amp;number=3.6&amp;sourceID=14","3.6")</f>
        <v>3.6</v>
      </c>
      <c r="G3910" s="4" t="str">
        <f>HYPERLINK("http://141.218.60.56/~jnz1568/getInfo.php?workbook=10_05.xlsx&amp;sheet=U0&amp;row=3910&amp;col=7&amp;number=0.318&amp;sourceID=14","0.318")</f>
        <v>0.318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HYPERLINK("http://141.218.60.56/~jnz1568/getInfo.php?workbook=10_05.xlsx&amp;sheet=U0&amp;row=3911&amp;col=6&amp;number=3.7&amp;sourceID=14","3.7")</f>
        <v>3.7</v>
      </c>
      <c r="G3911" s="4" t="str">
        <f>HYPERLINK("http://141.218.60.56/~jnz1568/getInfo.php?workbook=10_05.xlsx&amp;sheet=U0&amp;row=3911&amp;col=7&amp;number=0.316&amp;sourceID=14","0.316")</f>
        <v>0.316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HYPERLINK("http://141.218.60.56/~jnz1568/getInfo.php?workbook=10_05.xlsx&amp;sheet=U0&amp;row=3912&amp;col=6&amp;number=3.8&amp;sourceID=14","3.8")</f>
        <v>3.8</v>
      </c>
      <c r="G3912" s="4" t="str">
        <f>HYPERLINK("http://141.218.60.56/~jnz1568/getInfo.php?workbook=10_05.xlsx&amp;sheet=U0&amp;row=3912&amp;col=7&amp;number=0.314&amp;sourceID=14","0.314")</f>
        <v>0.314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HYPERLINK("http://141.218.60.56/~jnz1568/getInfo.php?workbook=10_05.xlsx&amp;sheet=U0&amp;row=3913&amp;col=6&amp;number=3.9&amp;sourceID=14","3.9")</f>
        <v>3.9</v>
      </c>
      <c r="G3913" s="4" t="str">
        <f>HYPERLINK("http://141.218.60.56/~jnz1568/getInfo.php?workbook=10_05.xlsx&amp;sheet=U0&amp;row=3913&amp;col=7&amp;number=0.312&amp;sourceID=14","0.312")</f>
        <v>0.312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HYPERLINK("http://141.218.60.56/~jnz1568/getInfo.php?workbook=10_05.xlsx&amp;sheet=U0&amp;row=3914&amp;col=6&amp;number=4&amp;sourceID=14","4")</f>
        <v>4</v>
      </c>
      <c r="G3914" s="4" t="str">
        <f>HYPERLINK("http://141.218.60.56/~jnz1568/getInfo.php?workbook=10_05.xlsx&amp;sheet=U0&amp;row=3914&amp;col=7&amp;number=0.309&amp;sourceID=14","0.309")</f>
        <v>0.309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HYPERLINK("http://141.218.60.56/~jnz1568/getInfo.php?workbook=10_05.xlsx&amp;sheet=U0&amp;row=3915&amp;col=6&amp;number=4.1&amp;sourceID=14","4.1")</f>
        <v>4.1</v>
      </c>
      <c r="G3915" s="4" t="str">
        <f>HYPERLINK("http://141.218.60.56/~jnz1568/getInfo.php?workbook=10_05.xlsx&amp;sheet=U0&amp;row=3915&amp;col=7&amp;number=0.306&amp;sourceID=14","0.306")</f>
        <v>0.306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HYPERLINK("http://141.218.60.56/~jnz1568/getInfo.php?workbook=10_05.xlsx&amp;sheet=U0&amp;row=3916&amp;col=6&amp;number=4.2&amp;sourceID=14","4.2")</f>
        <v>4.2</v>
      </c>
      <c r="G3916" s="4" t="str">
        <f>HYPERLINK("http://141.218.60.56/~jnz1568/getInfo.php?workbook=10_05.xlsx&amp;sheet=U0&amp;row=3916&amp;col=7&amp;number=0.301&amp;sourceID=14","0.301")</f>
        <v>0.301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HYPERLINK("http://141.218.60.56/~jnz1568/getInfo.php?workbook=10_05.xlsx&amp;sheet=U0&amp;row=3917&amp;col=6&amp;number=4.3&amp;sourceID=14","4.3")</f>
        <v>4.3</v>
      </c>
      <c r="G3917" s="4" t="str">
        <f>HYPERLINK("http://141.218.60.56/~jnz1568/getInfo.php?workbook=10_05.xlsx&amp;sheet=U0&amp;row=3917&amp;col=7&amp;number=0.296&amp;sourceID=14","0.296")</f>
        <v>0.296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HYPERLINK("http://141.218.60.56/~jnz1568/getInfo.php?workbook=10_05.xlsx&amp;sheet=U0&amp;row=3918&amp;col=6&amp;number=4.4&amp;sourceID=14","4.4")</f>
        <v>4.4</v>
      </c>
      <c r="G3918" s="4" t="str">
        <f>HYPERLINK("http://141.218.60.56/~jnz1568/getInfo.php?workbook=10_05.xlsx&amp;sheet=U0&amp;row=3918&amp;col=7&amp;number=0.29&amp;sourceID=14","0.29")</f>
        <v>0.29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HYPERLINK("http://141.218.60.56/~jnz1568/getInfo.php?workbook=10_05.xlsx&amp;sheet=U0&amp;row=3919&amp;col=6&amp;number=4.5&amp;sourceID=14","4.5")</f>
        <v>4.5</v>
      </c>
      <c r="G3919" s="4" t="str">
        <f>HYPERLINK("http://141.218.60.56/~jnz1568/getInfo.php?workbook=10_05.xlsx&amp;sheet=U0&amp;row=3919&amp;col=7&amp;number=0.284&amp;sourceID=14","0.284")</f>
        <v>0.284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HYPERLINK("http://141.218.60.56/~jnz1568/getInfo.php?workbook=10_05.xlsx&amp;sheet=U0&amp;row=3920&amp;col=6&amp;number=4.6&amp;sourceID=14","4.6")</f>
        <v>4.6</v>
      </c>
      <c r="G3920" s="4" t="str">
        <f>HYPERLINK("http://141.218.60.56/~jnz1568/getInfo.php?workbook=10_05.xlsx&amp;sheet=U0&amp;row=3920&amp;col=7&amp;number=0.276&amp;sourceID=14","0.276")</f>
        <v>0.276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HYPERLINK("http://141.218.60.56/~jnz1568/getInfo.php?workbook=10_05.xlsx&amp;sheet=U0&amp;row=3921&amp;col=6&amp;number=4.7&amp;sourceID=14","4.7")</f>
        <v>4.7</v>
      </c>
      <c r="G3921" s="4" t="str">
        <f>HYPERLINK("http://141.218.60.56/~jnz1568/getInfo.php?workbook=10_05.xlsx&amp;sheet=U0&amp;row=3921&amp;col=7&amp;number=0.268&amp;sourceID=14","0.268")</f>
        <v>0.268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HYPERLINK("http://141.218.60.56/~jnz1568/getInfo.php?workbook=10_05.xlsx&amp;sheet=U0&amp;row=3922&amp;col=6&amp;number=4.8&amp;sourceID=14","4.8")</f>
        <v>4.8</v>
      </c>
      <c r="G3922" s="4" t="str">
        <f>HYPERLINK("http://141.218.60.56/~jnz1568/getInfo.php?workbook=10_05.xlsx&amp;sheet=U0&amp;row=3922&amp;col=7&amp;number=0.26&amp;sourceID=14","0.26")</f>
        <v>0.26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HYPERLINK("http://141.218.60.56/~jnz1568/getInfo.php?workbook=10_05.xlsx&amp;sheet=U0&amp;row=3923&amp;col=6&amp;number=4.9&amp;sourceID=14","4.9")</f>
        <v>4.9</v>
      </c>
      <c r="G3923" s="4" t="str">
        <f>HYPERLINK("http://141.218.60.56/~jnz1568/getInfo.php?workbook=10_05.xlsx&amp;sheet=U0&amp;row=3923&amp;col=7&amp;number=0.252&amp;sourceID=14","0.252")</f>
        <v>0.252</v>
      </c>
    </row>
    <row r="3924" spans="1:7">
      <c r="A3924" s="3">
        <v>10</v>
      </c>
      <c r="B3924" s="3">
        <v>5</v>
      </c>
      <c r="C3924" s="3">
        <v>2</v>
      </c>
      <c r="D3924" s="3">
        <v>20</v>
      </c>
      <c r="E3924" s="3">
        <v>1</v>
      </c>
      <c r="F3924" s="4" t="str">
        <f>HYPERLINK("http://141.218.60.56/~jnz1568/getInfo.php?workbook=10_05.xlsx&amp;sheet=U0&amp;row=3924&amp;col=6&amp;number=3&amp;sourceID=14","3")</f>
        <v>3</v>
      </c>
      <c r="G3924" s="4" t="str">
        <f>HYPERLINK("http://141.218.60.56/~jnz1568/getInfo.php?workbook=10_05.xlsx&amp;sheet=U0&amp;row=3924&amp;col=7&amp;number=0.911&amp;sourceID=14","0.911")</f>
        <v>0.911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HYPERLINK("http://141.218.60.56/~jnz1568/getInfo.php?workbook=10_05.xlsx&amp;sheet=U0&amp;row=3925&amp;col=6&amp;number=3.1&amp;sourceID=14","3.1")</f>
        <v>3.1</v>
      </c>
      <c r="G3925" s="4" t="str">
        <f>HYPERLINK("http://141.218.60.56/~jnz1568/getInfo.php?workbook=10_05.xlsx&amp;sheet=U0&amp;row=3925&amp;col=7&amp;number=0.91&amp;sourceID=14","0.91")</f>
        <v>0.91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HYPERLINK("http://141.218.60.56/~jnz1568/getInfo.php?workbook=10_05.xlsx&amp;sheet=U0&amp;row=3926&amp;col=6&amp;number=3.2&amp;sourceID=14","3.2")</f>
        <v>3.2</v>
      </c>
      <c r="G3926" s="4" t="str">
        <f>HYPERLINK("http://141.218.60.56/~jnz1568/getInfo.php?workbook=10_05.xlsx&amp;sheet=U0&amp;row=3926&amp;col=7&amp;number=0.909&amp;sourceID=14","0.909")</f>
        <v>0.909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HYPERLINK("http://141.218.60.56/~jnz1568/getInfo.php?workbook=10_05.xlsx&amp;sheet=U0&amp;row=3927&amp;col=6&amp;number=3.3&amp;sourceID=14","3.3")</f>
        <v>3.3</v>
      </c>
      <c r="G3927" s="4" t="str">
        <f>HYPERLINK("http://141.218.60.56/~jnz1568/getInfo.php?workbook=10_05.xlsx&amp;sheet=U0&amp;row=3927&amp;col=7&amp;number=0.908&amp;sourceID=14","0.908")</f>
        <v>0.908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HYPERLINK("http://141.218.60.56/~jnz1568/getInfo.php?workbook=10_05.xlsx&amp;sheet=U0&amp;row=3928&amp;col=6&amp;number=3.4&amp;sourceID=14","3.4")</f>
        <v>3.4</v>
      </c>
      <c r="G3928" s="4" t="str">
        <f>HYPERLINK("http://141.218.60.56/~jnz1568/getInfo.php?workbook=10_05.xlsx&amp;sheet=U0&amp;row=3928&amp;col=7&amp;number=0.906&amp;sourceID=14","0.906")</f>
        <v>0.906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HYPERLINK("http://141.218.60.56/~jnz1568/getInfo.php?workbook=10_05.xlsx&amp;sheet=U0&amp;row=3929&amp;col=6&amp;number=3.5&amp;sourceID=14","3.5")</f>
        <v>3.5</v>
      </c>
      <c r="G3929" s="4" t="str">
        <f>HYPERLINK("http://141.218.60.56/~jnz1568/getInfo.php?workbook=10_05.xlsx&amp;sheet=U0&amp;row=3929&amp;col=7&amp;number=0.904&amp;sourceID=14","0.904")</f>
        <v>0.904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HYPERLINK("http://141.218.60.56/~jnz1568/getInfo.php?workbook=10_05.xlsx&amp;sheet=U0&amp;row=3930&amp;col=6&amp;number=3.6&amp;sourceID=14","3.6")</f>
        <v>3.6</v>
      </c>
      <c r="G3930" s="4" t="str">
        <f>HYPERLINK("http://141.218.60.56/~jnz1568/getInfo.php?workbook=10_05.xlsx&amp;sheet=U0&amp;row=3930&amp;col=7&amp;number=0.902&amp;sourceID=14","0.902")</f>
        <v>0.902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HYPERLINK("http://141.218.60.56/~jnz1568/getInfo.php?workbook=10_05.xlsx&amp;sheet=U0&amp;row=3931&amp;col=6&amp;number=3.7&amp;sourceID=14","3.7")</f>
        <v>3.7</v>
      </c>
      <c r="G3931" s="4" t="str">
        <f>HYPERLINK("http://141.218.60.56/~jnz1568/getInfo.php?workbook=10_05.xlsx&amp;sheet=U0&amp;row=3931&amp;col=7&amp;number=0.899&amp;sourceID=14","0.899")</f>
        <v>0.899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HYPERLINK("http://141.218.60.56/~jnz1568/getInfo.php?workbook=10_05.xlsx&amp;sheet=U0&amp;row=3932&amp;col=6&amp;number=3.8&amp;sourceID=14","3.8")</f>
        <v>3.8</v>
      </c>
      <c r="G3932" s="4" t="str">
        <f>HYPERLINK("http://141.218.60.56/~jnz1568/getInfo.php?workbook=10_05.xlsx&amp;sheet=U0&amp;row=3932&amp;col=7&amp;number=0.895&amp;sourceID=14","0.895")</f>
        <v>0.895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HYPERLINK("http://141.218.60.56/~jnz1568/getInfo.php?workbook=10_05.xlsx&amp;sheet=U0&amp;row=3933&amp;col=6&amp;number=3.9&amp;sourceID=14","3.9")</f>
        <v>3.9</v>
      </c>
      <c r="G3933" s="4" t="str">
        <f>HYPERLINK("http://141.218.60.56/~jnz1568/getInfo.php?workbook=10_05.xlsx&amp;sheet=U0&amp;row=3933&amp;col=7&amp;number=0.89&amp;sourceID=14","0.89")</f>
        <v>0.89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HYPERLINK("http://141.218.60.56/~jnz1568/getInfo.php?workbook=10_05.xlsx&amp;sheet=U0&amp;row=3934&amp;col=6&amp;number=4&amp;sourceID=14","4")</f>
        <v>4</v>
      </c>
      <c r="G3934" s="4" t="str">
        <f>HYPERLINK("http://141.218.60.56/~jnz1568/getInfo.php?workbook=10_05.xlsx&amp;sheet=U0&amp;row=3934&amp;col=7&amp;number=0.884&amp;sourceID=14","0.884")</f>
        <v>0.884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HYPERLINK("http://141.218.60.56/~jnz1568/getInfo.php?workbook=10_05.xlsx&amp;sheet=U0&amp;row=3935&amp;col=6&amp;number=4.1&amp;sourceID=14","4.1")</f>
        <v>4.1</v>
      </c>
      <c r="G3935" s="4" t="str">
        <f>HYPERLINK("http://141.218.60.56/~jnz1568/getInfo.php?workbook=10_05.xlsx&amp;sheet=U0&amp;row=3935&amp;col=7&amp;number=0.877&amp;sourceID=14","0.877")</f>
        <v>0.877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HYPERLINK("http://141.218.60.56/~jnz1568/getInfo.php?workbook=10_05.xlsx&amp;sheet=U0&amp;row=3936&amp;col=6&amp;number=4.2&amp;sourceID=14","4.2")</f>
        <v>4.2</v>
      </c>
      <c r="G3936" s="4" t="str">
        <f>HYPERLINK("http://141.218.60.56/~jnz1568/getInfo.php?workbook=10_05.xlsx&amp;sheet=U0&amp;row=3936&amp;col=7&amp;number=0.869&amp;sourceID=14","0.869")</f>
        <v>0.869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HYPERLINK("http://141.218.60.56/~jnz1568/getInfo.php?workbook=10_05.xlsx&amp;sheet=U0&amp;row=3937&amp;col=6&amp;number=4.3&amp;sourceID=14","4.3")</f>
        <v>4.3</v>
      </c>
      <c r="G3937" s="4" t="str">
        <f>HYPERLINK("http://141.218.60.56/~jnz1568/getInfo.php?workbook=10_05.xlsx&amp;sheet=U0&amp;row=3937&amp;col=7&amp;number=0.859&amp;sourceID=14","0.859")</f>
        <v>0.859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HYPERLINK("http://141.218.60.56/~jnz1568/getInfo.php?workbook=10_05.xlsx&amp;sheet=U0&amp;row=3938&amp;col=6&amp;number=4.4&amp;sourceID=14","4.4")</f>
        <v>4.4</v>
      </c>
      <c r="G3938" s="4" t="str">
        <f>HYPERLINK("http://141.218.60.56/~jnz1568/getInfo.php?workbook=10_05.xlsx&amp;sheet=U0&amp;row=3938&amp;col=7&amp;number=0.847&amp;sourceID=14","0.847")</f>
        <v>0.847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HYPERLINK("http://141.218.60.56/~jnz1568/getInfo.php?workbook=10_05.xlsx&amp;sheet=U0&amp;row=3939&amp;col=6&amp;number=4.5&amp;sourceID=14","4.5")</f>
        <v>4.5</v>
      </c>
      <c r="G3939" s="4" t="str">
        <f>HYPERLINK("http://141.218.60.56/~jnz1568/getInfo.php?workbook=10_05.xlsx&amp;sheet=U0&amp;row=3939&amp;col=7&amp;number=0.834&amp;sourceID=14","0.834")</f>
        <v>0.834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HYPERLINK("http://141.218.60.56/~jnz1568/getInfo.php?workbook=10_05.xlsx&amp;sheet=U0&amp;row=3940&amp;col=6&amp;number=4.6&amp;sourceID=14","4.6")</f>
        <v>4.6</v>
      </c>
      <c r="G3940" s="4" t="str">
        <f>HYPERLINK("http://141.218.60.56/~jnz1568/getInfo.php?workbook=10_05.xlsx&amp;sheet=U0&amp;row=3940&amp;col=7&amp;number=0.819&amp;sourceID=14","0.819")</f>
        <v>0.819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HYPERLINK("http://141.218.60.56/~jnz1568/getInfo.php?workbook=10_05.xlsx&amp;sheet=U0&amp;row=3941&amp;col=6&amp;number=4.7&amp;sourceID=14","4.7")</f>
        <v>4.7</v>
      </c>
      <c r="G3941" s="4" t="str">
        <f>HYPERLINK("http://141.218.60.56/~jnz1568/getInfo.php?workbook=10_05.xlsx&amp;sheet=U0&amp;row=3941&amp;col=7&amp;number=0.805&amp;sourceID=14","0.805")</f>
        <v>0.805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HYPERLINK("http://141.218.60.56/~jnz1568/getInfo.php?workbook=10_05.xlsx&amp;sheet=U0&amp;row=3942&amp;col=6&amp;number=4.8&amp;sourceID=14","4.8")</f>
        <v>4.8</v>
      </c>
      <c r="G3942" s="4" t="str">
        <f>HYPERLINK("http://141.218.60.56/~jnz1568/getInfo.php?workbook=10_05.xlsx&amp;sheet=U0&amp;row=3942&amp;col=7&amp;number=0.791&amp;sourceID=14","0.791")</f>
        <v>0.791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HYPERLINK("http://141.218.60.56/~jnz1568/getInfo.php?workbook=10_05.xlsx&amp;sheet=U0&amp;row=3943&amp;col=6&amp;number=4.9&amp;sourceID=14","4.9")</f>
        <v>4.9</v>
      </c>
      <c r="G3943" s="4" t="str">
        <f>HYPERLINK("http://141.218.60.56/~jnz1568/getInfo.php?workbook=10_05.xlsx&amp;sheet=U0&amp;row=3943&amp;col=7&amp;number=0.778&amp;sourceID=14","0.778")</f>
        <v>0.778</v>
      </c>
    </row>
    <row r="3944" spans="1:7">
      <c r="A3944" s="3">
        <v>10</v>
      </c>
      <c r="B3944" s="3">
        <v>5</v>
      </c>
      <c r="C3944" s="3">
        <v>2</v>
      </c>
      <c r="D3944" s="3">
        <v>21</v>
      </c>
      <c r="E3944" s="3">
        <v>1</v>
      </c>
      <c r="F3944" s="4" t="str">
        <f>HYPERLINK("http://141.218.60.56/~jnz1568/getInfo.php?workbook=10_05.xlsx&amp;sheet=U0&amp;row=3944&amp;col=6&amp;number=3&amp;sourceID=14","3")</f>
        <v>3</v>
      </c>
      <c r="G3944" s="4" t="str">
        <f>HYPERLINK("http://141.218.60.56/~jnz1568/getInfo.php?workbook=10_05.xlsx&amp;sheet=U0&amp;row=3944&amp;col=7&amp;number=0.0606&amp;sourceID=14","0.0606")</f>
        <v>0.0606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HYPERLINK("http://141.218.60.56/~jnz1568/getInfo.php?workbook=10_05.xlsx&amp;sheet=U0&amp;row=3945&amp;col=6&amp;number=3.1&amp;sourceID=14","3.1")</f>
        <v>3.1</v>
      </c>
      <c r="G3945" s="4" t="str">
        <f>HYPERLINK("http://141.218.60.56/~jnz1568/getInfo.php?workbook=10_05.xlsx&amp;sheet=U0&amp;row=3945&amp;col=7&amp;number=0.0605&amp;sourceID=14","0.0605")</f>
        <v>0.0605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HYPERLINK("http://141.218.60.56/~jnz1568/getInfo.php?workbook=10_05.xlsx&amp;sheet=U0&amp;row=3946&amp;col=6&amp;number=3.2&amp;sourceID=14","3.2")</f>
        <v>3.2</v>
      </c>
      <c r="G3946" s="4" t="str">
        <f>HYPERLINK("http://141.218.60.56/~jnz1568/getInfo.php?workbook=10_05.xlsx&amp;sheet=U0&amp;row=3946&amp;col=7&amp;number=0.0602&amp;sourceID=14","0.0602")</f>
        <v>0.0602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HYPERLINK("http://141.218.60.56/~jnz1568/getInfo.php?workbook=10_05.xlsx&amp;sheet=U0&amp;row=3947&amp;col=6&amp;number=3.3&amp;sourceID=14","3.3")</f>
        <v>3.3</v>
      </c>
      <c r="G3947" s="4" t="str">
        <f>HYPERLINK("http://141.218.60.56/~jnz1568/getInfo.php?workbook=10_05.xlsx&amp;sheet=U0&amp;row=3947&amp;col=7&amp;number=0.0599&amp;sourceID=14","0.0599")</f>
        <v>0.0599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HYPERLINK("http://141.218.60.56/~jnz1568/getInfo.php?workbook=10_05.xlsx&amp;sheet=U0&amp;row=3948&amp;col=6&amp;number=3.4&amp;sourceID=14","3.4")</f>
        <v>3.4</v>
      </c>
      <c r="G3948" s="4" t="str">
        <f>HYPERLINK("http://141.218.60.56/~jnz1568/getInfo.php?workbook=10_05.xlsx&amp;sheet=U0&amp;row=3948&amp;col=7&amp;number=0.0596&amp;sourceID=14","0.0596")</f>
        <v>0.0596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HYPERLINK("http://141.218.60.56/~jnz1568/getInfo.php?workbook=10_05.xlsx&amp;sheet=U0&amp;row=3949&amp;col=6&amp;number=3.5&amp;sourceID=14","3.5")</f>
        <v>3.5</v>
      </c>
      <c r="G3949" s="4" t="str">
        <f>HYPERLINK("http://141.218.60.56/~jnz1568/getInfo.php?workbook=10_05.xlsx&amp;sheet=U0&amp;row=3949&amp;col=7&amp;number=0.0591&amp;sourceID=14","0.0591")</f>
        <v>0.0591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HYPERLINK("http://141.218.60.56/~jnz1568/getInfo.php?workbook=10_05.xlsx&amp;sheet=U0&amp;row=3950&amp;col=6&amp;number=3.6&amp;sourceID=14","3.6")</f>
        <v>3.6</v>
      </c>
      <c r="G3950" s="4" t="str">
        <f>HYPERLINK("http://141.218.60.56/~jnz1568/getInfo.php?workbook=10_05.xlsx&amp;sheet=U0&amp;row=3950&amp;col=7&amp;number=0.0586&amp;sourceID=14","0.0586")</f>
        <v>0.0586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HYPERLINK("http://141.218.60.56/~jnz1568/getInfo.php?workbook=10_05.xlsx&amp;sheet=U0&amp;row=3951&amp;col=6&amp;number=3.7&amp;sourceID=14","3.7")</f>
        <v>3.7</v>
      </c>
      <c r="G3951" s="4" t="str">
        <f>HYPERLINK("http://141.218.60.56/~jnz1568/getInfo.php?workbook=10_05.xlsx&amp;sheet=U0&amp;row=3951&amp;col=7&amp;number=0.0579&amp;sourceID=14","0.0579")</f>
        <v>0.0579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HYPERLINK("http://141.218.60.56/~jnz1568/getInfo.php?workbook=10_05.xlsx&amp;sheet=U0&amp;row=3952&amp;col=6&amp;number=3.8&amp;sourceID=14","3.8")</f>
        <v>3.8</v>
      </c>
      <c r="G3952" s="4" t="str">
        <f>HYPERLINK("http://141.218.60.56/~jnz1568/getInfo.php?workbook=10_05.xlsx&amp;sheet=U0&amp;row=3952&amp;col=7&amp;number=0.0571&amp;sourceID=14","0.0571")</f>
        <v>0.0571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HYPERLINK("http://141.218.60.56/~jnz1568/getInfo.php?workbook=10_05.xlsx&amp;sheet=U0&amp;row=3953&amp;col=6&amp;number=3.9&amp;sourceID=14","3.9")</f>
        <v>3.9</v>
      </c>
      <c r="G3953" s="4" t="str">
        <f>HYPERLINK("http://141.218.60.56/~jnz1568/getInfo.php?workbook=10_05.xlsx&amp;sheet=U0&amp;row=3953&amp;col=7&amp;number=0.056&amp;sourceID=14","0.056")</f>
        <v>0.056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HYPERLINK("http://141.218.60.56/~jnz1568/getInfo.php?workbook=10_05.xlsx&amp;sheet=U0&amp;row=3954&amp;col=6&amp;number=4&amp;sourceID=14","4")</f>
        <v>4</v>
      </c>
      <c r="G3954" s="4" t="str">
        <f>HYPERLINK("http://141.218.60.56/~jnz1568/getInfo.php?workbook=10_05.xlsx&amp;sheet=U0&amp;row=3954&amp;col=7&amp;number=0.0547&amp;sourceID=14","0.0547")</f>
        <v>0.0547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HYPERLINK("http://141.218.60.56/~jnz1568/getInfo.php?workbook=10_05.xlsx&amp;sheet=U0&amp;row=3955&amp;col=6&amp;number=4.1&amp;sourceID=14","4.1")</f>
        <v>4.1</v>
      </c>
      <c r="G3955" s="4" t="str">
        <f>HYPERLINK("http://141.218.60.56/~jnz1568/getInfo.php?workbook=10_05.xlsx&amp;sheet=U0&amp;row=3955&amp;col=7&amp;number=0.0532&amp;sourceID=14","0.0532")</f>
        <v>0.0532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HYPERLINK("http://141.218.60.56/~jnz1568/getInfo.php?workbook=10_05.xlsx&amp;sheet=U0&amp;row=3956&amp;col=6&amp;number=4.2&amp;sourceID=14","4.2")</f>
        <v>4.2</v>
      </c>
      <c r="G3956" s="4" t="str">
        <f>HYPERLINK("http://141.218.60.56/~jnz1568/getInfo.php?workbook=10_05.xlsx&amp;sheet=U0&amp;row=3956&amp;col=7&amp;number=0.0513&amp;sourceID=14","0.0513")</f>
        <v>0.0513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HYPERLINK("http://141.218.60.56/~jnz1568/getInfo.php?workbook=10_05.xlsx&amp;sheet=U0&amp;row=3957&amp;col=6&amp;number=4.3&amp;sourceID=14","4.3")</f>
        <v>4.3</v>
      </c>
      <c r="G3957" s="4" t="str">
        <f>HYPERLINK("http://141.218.60.56/~jnz1568/getInfo.php?workbook=10_05.xlsx&amp;sheet=U0&amp;row=3957&amp;col=7&amp;number=0.0491&amp;sourceID=14","0.0491")</f>
        <v>0.0491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HYPERLINK("http://141.218.60.56/~jnz1568/getInfo.php?workbook=10_05.xlsx&amp;sheet=U0&amp;row=3958&amp;col=6&amp;number=4.4&amp;sourceID=14","4.4")</f>
        <v>4.4</v>
      </c>
      <c r="G3958" s="4" t="str">
        <f>HYPERLINK("http://141.218.60.56/~jnz1568/getInfo.php?workbook=10_05.xlsx&amp;sheet=U0&amp;row=3958&amp;col=7&amp;number=0.0465&amp;sourceID=14","0.0465")</f>
        <v>0.0465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HYPERLINK("http://141.218.60.56/~jnz1568/getInfo.php?workbook=10_05.xlsx&amp;sheet=U0&amp;row=3959&amp;col=6&amp;number=4.5&amp;sourceID=14","4.5")</f>
        <v>4.5</v>
      </c>
      <c r="G3959" s="4" t="str">
        <f>HYPERLINK("http://141.218.60.56/~jnz1568/getInfo.php?workbook=10_05.xlsx&amp;sheet=U0&amp;row=3959&amp;col=7&amp;number=0.0435&amp;sourceID=14","0.0435")</f>
        <v>0.0435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HYPERLINK("http://141.218.60.56/~jnz1568/getInfo.php?workbook=10_05.xlsx&amp;sheet=U0&amp;row=3960&amp;col=6&amp;number=4.6&amp;sourceID=14","4.6")</f>
        <v>4.6</v>
      </c>
      <c r="G3960" s="4" t="str">
        <f>HYPERLINK("http://141.218.60.56/~jnz1568/getInfo.php?workbook=10_05.xlsx&amp;sheet=U0&amp;row=3960&amp;col=7&amp;number=0.0401&amp;sourceID=14","0.0401")</f>
        <v>0.0401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HYPERLINK("http://141.218.60.56/~jnz1568/getInfo.php?workbook=10_05.xlsx&amp;sheet=U0&amp;row=3961&amp;col=6&amp;number=4.7&amp;sourceID=14","4.7")</f>
        <v>4.7</v>
      </c>
      <c r="G3961" s="4" t="str">
        <f>HYPERLINK("http://141.218.60.56/~jnz1568/getInfo.php?workbook=10_05.xlsx&amp;sheet=U0&amp;row=3961&amp;col=7&amp;number=0.0365&amp;sourceID=14","0.0365")</f>
        <v>0.0365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HYPERLINK("http://141.218.60.56/~jnz1568/getInfo.php?workbook=10_05.xlsx&amp;sheet=U0&amp;row=3962&amp;col=6&amp;number=4.8&amp;sourceID=14","4.8")</f>
        <v>4.8</v>
      </c>
      <c r="G3962" s="4" t="str">
        <f>HYPERLINK("http://141.218.60.56/~jnz1568/getInfo.php?workbook=10_05.xlsx&amp;sheet=U0&amp;row=3962&amp;col=7&amp;number=0.0327&amp;sourceID=14","0.0327")</f>
        <v>0.0327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HYPERLINK("http://141.218.60.56/~jnz1568/getInfo.php?workbook=10_05.xlsx&amp;sheet=U0&amp;row=3963&amp;col=6&amp;number=4.9&amp;sourceID=14","4.9")</f>
        <v>4.9</v>
      </c>
      <c r="G3963" s="4" t="str">
        <f>HYPERLINK("http://141.218.60.56/~jnz1568/getInfo.php?workbook=10_05.xlsx&amp;sheet=U0&amp;row=3963&amp;col=7&amp;number=0.0289&amp;sourceID=14","0.0289")</f>
        <v>0.0289</v>
      </c>
    </row>
    <row r="3964" spans="1:7">
      <c r="A3964" s="3">
        <v>10</v>
      </c>
      <c r="B3964" s="3">
        <v>5</v>
      </c>
      <c r="C3964" s="3">
        <v>2</v>
      </c>
      <c r="D3964" s="3">
        <v>22</v>
      </c>
      <c r="E3964" s="3">
        <v>1</v>
      </c>
      <c r="F3964" s="4" t="str">
        <f>HYPERLINK("http://141.218.60.56/~jnz1568/getInfo.php?workbook=10_05.xlsx&amp;sheet=U0&amp;row=3964&amp;col=6&amp;number=3&amp;sourceID=14","3")</f>
        <v>3</v>
      </c>
      <c r="G3964" s="4" t="str">
        <f>HYPERLINK("http://141.218.60.56/~jnz1568/getInfo.php?workbook=10_05.xlsx&amp;sheet=U0&amp;row=3964&amp;col=7&amp;number=0.139&amp;sourceID=14","0.139")</f>
        <v>0.139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HYPERLINK("http://141.218.60.56/~jnz1568/getInfo.php?workbook=10_05.xlsx&amp;sheet=U0&amp;row=3965&amp;col=6&amp;number=3.1&amp;sourceID=14","3.1")</f>
        <v>3.1</v>
      </c>
      <c r="G3965" s="4" t="str">
        <f>HYPERLINK("http://141.218.60.56/~jnz1568/getInfo.php?workbook=10_05.xlsx&amp;sheet=U0&amp;row=3965&amp;col=7&amp;number=0.138&amp;sourceID=14","0.138")</f>
        <v>0.138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HYPERLINK("http://141.218.60.56/~jnz1568/getInfo.php?workbook=10_05.xlsx&amp;sheet=U0&amp;row=3966&amp;col=6&amp;number=3.2&amp;sourceID=14","3.2")</f>
        <v>3.2</v>
      </c>
      <c r="G3966" s="4" t="str">
        <f>HYPERLINK("http://141.218.60.56/~jnz1568/getInfo.php?workbook=10_05.xlsx&amp;sheet=U0&amp;row=3966&amp;col=7&amp;number=0.138&amp;sourceID=14","0.138")</f>
        <v>0.138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HYPERLINK("http://141.218.60.56/~jnz1568/getInfo.php?workbook=10_05.xlsx&amp;sheet=U0&amp;row=3967&amp;col=6&amp;number=3.3&amp;sourceID=14","3.3")</f>
        <v>3.3</v>
      </c>
      <c r="G3967" s="4" t="str">
        <f>HYPERLINK("http://141.218.60.56/~jnz1568/getInfo.php?workbook=10_05.xlsx&amp;sheet=U0&amp;row=3967&amp;col=7&amp;number=0.138&amp;sourceID=14","0.138")</f>
        <v>0.138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HYPERLINK("http://141.218.60.56/~jnz1568/getInfo.php?workbook=10_05.xlsx&amp;sheet=U0&amp;row=3968&amp;col=6&amp;number=3.4&amp;sourceID=14","3.4")</f>
        <v>3.4</v>
      </c>
      <c r="G3968" s="4" t="str">
        <f>HYPERLINK("http://141.218.60.56/~jnz1568/getInfo.php?workbook=10_05.xlsx&amp;sheet=U0&amp;row=3968&amp;col=7&amp;number=0.137&amp;sourceID=14","0.137")</f>
        <v>0.137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HYPERLINK("http://141.218.60.56/~jnz1568/getInfo.php?workbook=10_05.xlsx&amp;sheet=U0&amp;row=3969&amp;col=6&amp;number=3.5&amp;sourceID=14","3.5")</f>
        <v>3.5</v>
      </c>
      <c r="G3969" s="4" t="str">
        <f>HYPERLINK("http://141.218.60.56/~jnz1568/getInfo.php?workbook=10_05.xlsx&amp;sheet=U0&amp;row=3969&amp;col=7&amp;number=0.137&amp;sourceID=14","0.137")</f>
        <v>0.137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HYPERLINK("http://141.218.60.56/~jnz1568/getInfo.php?workbook=10_05.xlsx&amp;sheet=U0&amp;row=3970&amp;col=6&amp;number=3.6&amp;sourceID=14","3.6")</f>
        <v>3.6</v>
      </c>
      <c r="G3970" s="4" t="str">
        <f>HYPERLINK("http://141.218.60.56/~jnz1568/getInfo.php?workbook=10_05.xlsx&amp;sheet=U0&amp;row=3970&amp;col=7&amp;number=0.136&amp;sourceID=14","0.136")</f>
        <v>0.136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HYPERLINK("http://141.218.60.56/~jnz1568/getInfo.php?workbook=10_05.xlsx&amp;sheet=U0&amp;row=3971&amp;col=6&amp;number=3.7&amp;sourceID=14","3.7")</f>
        <v>3.7</v>
      </c>
      <c r="G3971" s="4" t="str">
        <f>HYPERLINK("http://141.218.60.56/~jnz1568/getInfo.php?workbook=10_05.xlsx&amp;sheet=U0&amp;row=3971&amp;col=7&amp;number=0.135&amp;sourceID=14","0.135")</f>
        <v>0.135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HYPERLINK("http://141.218.60.56/~jnz1568/getInfo.php?workbook=10_05.xlsx&amp;sheet=U0&amp;row=3972&amp;col=6&amp;number=3.8&amp;sourceID=14","3.8")</f>
        <v>3.8</v>
      </c>
      <c r="G3972" s="4" t="str">
        <f>HYPERLINK("http://141.218.60.56/~jnz1568/getInfo.php?workbook=10_05.xlsx&amp;sheet=U0&amp;row=3972&amp;col=7&amp;number=0.134&amp;sourceID=14","0.134")</f>
        <v>0.134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HYPERLINK("http://141.218.60.56/~jnz1568/getInfo.php?workbook=10_05.xlsx&amp;sheet=U0&amp;row=3973&amp;col=6&amp;number=3.9&amp;sourceID=14","3.9")</f>
        <v>3.9</v>
      </c>
      <c r="G3973" s="4" t="str">
        <f>HYPERLINK("http://141.218.60.56/~jnz1568/getInfo.php?workbook=10_05.xlsx&amp;sheet=U0&amp;row=3973&amp;col=7&amp;number=0.132&amp;sourceID=14","0.132")</f>
        <v>0.132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HYPERLINK("http://141.218.60.56/~jnz1568/getInfo.php?workbook=10_05.xlsx&amp;sheet=U0&amp;row=3974&amp;col=6&amp;number=4&amp;sourceID=14","4")</f>
        <v>4</v>
      </c>
      <c r="G3974" s="4" t="str">
        <f>HYPERLINK("http://141.218.60.56/~jnz1568/getInfo.php?workbook=10_05.xlsx&amp;sheet=U0&amp;row=3974&amp;col=7&amp;number=0.131&amp;sourceID=14","0.131")</f>
        <v>0.131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HYPERLINK("http://141.218.60.56/~jnz1568/getInfo.php?workbook=10_05.xlsx&amp;sheet=U0&amp;row=3975&amp;col=6&amp;number=4.1&amp;sourceID=14","4.1")</f>
        <v>4.1</v>
      </c>
      <c r="G3975" s="4" t="str">
        <f>HYPERLINK("http://141.218.60.56/~jnz1568/getInfo.php?workbook=10_05.xlsx&amp;sheet=U0&amp;row=3975&amp;col=7&amp;number=0.128&amp;sourceID=14","0.128")</f>
        <v>0.128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HYPERLINK("http://141.218.60.56/~jnz1568/getInfo.php?workbook=10_05.xlsx&amp;sheet=U0&amp;row=3976&amp;col=6&amp;number=4.2&amp;sourceID=14","4.2")</f>
        <v>4.2</v>
      </c>
      <c r="G3976" s="4" t="str">
        <f>HYPERLINK("http://141.218.60.56/~jnz1568/getInfo.php?workbook=10_05.xlsx&amp;sheet=U0&amp;row=3976&amp;col=7&amp;number=0.125&amp;sourceID=14","0.125")</f>
        <v>0.125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HYPERLINK("http://141.218.60.56/~jnz1568/getInfo.php?workbook=10_05.xlsx&amp;sheet=U0&amp;row=3977&amp;col=6&amp;number=4.3&amp;sourceID=14","4.3")</f>
        <v>4.3</v>
      </c>
      <c r="G3977" s="4" t="str">
        <f>HYPERLINK("http://141.218.60.56/~jnz1568/getInfo.php?workbook=10_05.xlsx&amp;sheet=U0&amp;row=3977&amp;col=7&amp;number=0.12&amp;sourceID=14","0.12")</f>
        <v>0.12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HYPERLINK("http://141.218.60.56/~jnz1568/getInfo.php?workbook=10_05.xlsx&amp;sheet=U0&amp;row=3978&amp;col=6&amp;number=4.4&amp;sourceID=14","4.4")</f>
        <v>4.4</v>
      </c>
      <c r="G3978" s="4" t="str">
        <f>HYPERLINK("http://141.218.60.56/~jnz1568/getInfo.php?workbook=10_05.xlsx&amp;sheet=U0&amp;row=3978&amp;col=7&amp;number=0.114&amp;sourceID=14","0.114")</f>
        <v>0.114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HYPERLINK("http://141.218.60.56/~jnz1568/getInfo.php?workbook=10_05.xlsx&amp;sheet=U0&amp;row=3979&amp;col=6&amp;number=4.5&amp;sourceID=14","4.5")</f>
        <v>4.5</v>
      </c>
      <c r="G3979" s="4" t="str">
        <f>HYPERLINK("http://141.218.60.56/~jnz1568/getInfo.php?workbook=10_05.xlsx&amp;sheet=U0&amp;row=3979&amp;col=7&amp;number=0.107&amp;sourceID=14","0.107")</f>
        <v>0.107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HYPERLINK("http://141.218.60.56/~jnz1568/getInfo.php?workbook=10_05.xlsx&amp;sheet=U0&amp;row=3980&amp;col=6&amp;number=4.6&amp;sourceID=14","4.6")</f>
        <v>4.6</v>
      </c>
      <c r="G3980" s="4" t="str">
        <f>HYPERLINK("http://141.218.60.56/~jnz1568/getInfo.php?workbook=10_05.xlsx&amp;sheet=U0&amp;row=3980&amp;col=7&amp;number=0.0982&amp;sourceID=14","0.0982")</f>
        <v>0.0982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HYPERLINK("http://141.218.60.56/~jnz1568/getInfo.php?workbook=10_05.xlsx&amp;sheet=U0&amp;row=3981&amp;col=6&amp;number=4.7&amp;sourceID=14","4.7")</f>
        <v>4.7</v>
      </c>
      <c r="G3981" s="4" t="str">
        <f>HYPERLINK("http://141.218.60.56/~jnz1568/getInfo.php?workbook=10_05.xlsx&amp;sheet=U0&amp;row=3981&amp;col=7&amp;number=0.0894&amp;sourceID=14","0.0894")</f>
        <v>0.0894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HYPERLINK("http://141.218.60.56/~jnz1568/getInfo.php?workbook=10_05.xlsx&amp;sheet=U0&amp;row=3982&amp;col=6&amp;number=4.8&amp;sourceID=14","4.8")</f>
        <v>4.8</v>
      </c>
      <c r="G3982" s="4" t="str">
        <f>HYPERLINK("http://141.218.60.56/~jnz1568/getInfo.php?workbook=10_05.xlsx&amp;sheet=U0&amp;row=3982&amp;col=7&amp;number=0.0806&amp;sourceID=14","0.0806")</f>
        <v>0.0806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HYPERLINK("http://141.218.60.56/~jnz1568/getInfo.php?workbook=10_05.xlsx&amp;sheet=U0&amp;row=3983&amp;col=6&amp;number=4.9&amp;sourceID=14","4.9")</f>
        <v>4.9</v>
      </c>
      <c r="G3983" s="4" t="str">
        <f>HYPERLINK("http://141.218.60.56/~jnz1568/getInfo.php?workbook=10_05.xlsx&amp;sheet=U0&amp;row=3983&amp;col=7&amp;number=0.0718&amp;sourceID=14","0.0718")</f>
        <v>0.0718</v>
      </c>
    </row>
    <row r="3984" spans="1:7">
      <c r="A3984" s="3">
        <v>10</v>
      </c>
      <c r="B3984" s="3">
        <v>5</v>
      </c>
      <c r="C3984" s="3">
        <v>2</v>
      </c>
      <c r="D3984" s="3">
        <v>23</v>
      </c>
      <c r="E3984" s="3">
        <v>1</v>
      </c>
      <c r="F3984" s="4" t="str">
        <f>HYPERLINK("http://141.218.60.56/~jnz1568/getInfo.php?workbook=10_05.xlsx&amp;sheet=U0&amp;row=3984&amp;col=6&amp;number=3&amp;sourceID=14","3")</f>
        <v>3</v>
      </c>
      <c r="G3984" s="4" t="str">
        <f>HYPERLINK("http://141.218.60.56/~jnz1568/getInfo.php?workbook=10_05.xlsx&amp;sheet=U0&amp;row=3984&amp;col=7&amp;number=0.265&amp;sourceID=14","0.265")</f>
        <v>0.265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HYPERLINK("http://141.218.60.56/~jnz1568/getInfo.php?workbook=10_05.xlsx&amp;sheet=U0&amp;row=3985&amp;col=6&amp;number=3.1&amp;sourceID=14","3.1")</f>
        <v>3.1</v>
      </c>
      <c r="G3985" s="4" t="str">
        <f>HYPERLINK("http://141.218.60.56/~jnz1568/getInfo.php?workbook=10_05.xlsx&amp;sheet=U0&amp;row=3985&amp;col=7&amp;number=0.264&amp;sourceID=14","0.264")</f>
        <v>0.264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HYPERLINK("http://141.218.60.56/~jnz1568/getInfo.php?workbook=10_05.xlsx&amp;sheet=U0&amp;row=3986&amp;col=6&amp;number=3.2&amp;sourceID=14","3.2")</f>
        <v>3.2</v>
      </c>
      <c r="G3986" s="4" t="str">
        <f>HYPERLINK("http://141.218.60.56/~jnz1568/getInfo.php?workbook=10_05.xlsx&amp;sheet=U0&amp;row=3986&amp;col=7&amp;number=0.263&amp;sourceID=14","0.263")</f>
        <v>0.263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HYPERLINK("http://141.218.60.56/~jnz1568/getInfo.php?workbook=10_05.xlsx&amp;sheet=U0&amp;row=3987&amp;col=6&amp;number=3.3&amp;sourceID=14","3.3")</f>
        <v>3.3</v>
      </c>
      <c r="G3987" s="4" t="str">
        <f>HYPERLINK("http://141.218.60.56/~jnz1568/getInfo.php?workbook=10_05.xlsx&amp;sheet=U0&amp;row=3987&amp;col=7&amp;number=0.262&amp;sourceID=14","0.262")</f>
        <v>0.262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HYPERLINK("http://141.218.60.56/~jnz1568/getInfo.php?workbook=10_05.xlsx&amp;sheet=U0&amp;row=3988&amp;col=6&amp;number=3.4&amp;sourceID=14","3.4")</f>
        <v>3.4</v>
      </c>
      <c r="G3988" s="4" t="str">
        <f>HYPERLINK("http://141.218.60.56/~jnz1568/getInfo.php?workbook=10_05.xlsx&amp;sheet=U0&amp;row=3988&amp;col=7&amp;number=0.261&amp;sourceID=14","0.261")</f>
        <v>0.261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HYPERLINK("http://141.218.60.56/~jnz1568/getInfo.php?workbook=10_05.xlsx&amp;sheet=U0&amp;row=3989&amp;col=6&amp;number=3.5&amp;sourceID=14","3.5")</f>
        <v>3.5</v>
      </c>
      <c r="G3989" s="4" t="str">
        <f>HYPERLINK("http://141.218.60.56/~jnz1568/getInfo.php?workbook=10_05.xlsx&amp;sheet=U0&amp;row=3989&amp;col=7&amp;number=0.259&amp;sourceID=14","0.259")</f>
        <v>0.259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HYPERLINK("http://141.218.60.56/~jnz1568/getInfo.php?workbook=10_05.xlsx&amp;sheet=U0&amp;row=3990&amp;col=6&amp;number=3.6&amp;sourceID=14","3.6")</f>
        <v>3.6</v>
      </c>
      <c r="G3990" s="4" t="str">
        <f>HYPERLINK("http://141.218.60.56/~jnz1568/getInfo.php?workbook=10_05.xlsx&amp;sheet=U0&amp;row=3990&amp;col=7&amp;number=0.257&amp;sourceID=14","0.257")</f>
        <v>0.257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HYPERLINK("http://141.218.60.56/~jnz1568/getInfo.php?workbook=10_05.xlsx&amp;sheet=U0&amp;row=3991&amp;col=6&amp;number=3.7&amp;sourceID=14","3.7")</f>
        <v>3.7</v>
      </c>
      <c r="G3991" s="4" t="str">
        <f>HYPERLINK("http://141.218.60.56/~jnz1568/getInfo.php?workbook=10_05.xlsx&amp;sheet=U0&amp;row=3991&amp;col=7&amp;number=0.254&amp;sourceID=14","0.254")</f>
        <v>0.254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HYPERLINK("http://141.218.60.56/~jnz1568/getInfo.php?workbook=10_05.xlsx&amp;sheet=U0&amp;row=3992&amp;col=6&amp;number=3.8&amp;sourceID=14","3.8")</f>
        <v>3.8</v>
      </c>
      <c r="G3992" s="4" t="str">
        <f>HYPERLINK("http://141.218.60.56/~jnz1568/getInfo.php?workbook=10_05.xlsx&amp;sheet=U0&amp;row=3992&amp;col=7&amp;number=0.251&amp;sourceID=14","0.251")</f>
        <v>0.251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HYPERLINK("http://141.218.60.56/~jnz1568/getInfo.php?workbook=10_05.xlsx&amp;sheet=U0&amp;row=3993&amp;col=6&amp;number=3.9&amp;sourceID=14","3.9")</f>
        <v>3.9</v>
      </c>
      <c r="G3993" s="4" t="str">
        <f>HYPERLINK("http://141.218.60.56/~jnz1568/getInfo.php?workbook=10_05.xlsx&amp;sheet=U0&amp;row=3993&amp;col=7&amp;number=0.247&amp;sourceID=14","0.247")</f>
        <v>0.247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HYPERLINK("http://141.218.60.56/~jnz1568/getInfo.php?workbook=10_05.xlsx&amp;sheet=U0&amp;row=3994&amp;col=6&amp;number=4&amp;sourceID=14","4")</f>
        <v>4</v>
      </c>
      <c r="G3994" s="4" t="str">
        <f>HYPERLINK("http://141.218.60.56/~jnz1568/getInfo.php?workbook=10_05.xlsx&amp;sheet=U0&amp;row=3994&amp;col=7&amp;number=0.242&amp;sourceID=14","0.242")</f>
        <v>0.242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HYPERLINK("http://141.218.60.56/~jnz1568/getInfo.php?workbook=10_05.xlsx&amp;sheet=U0&amp;row=3995&amp;col=6&amp;number=4.1&amp;sourceID=14","4.1")</f>
        <v>4.1</v>
      </c>
      <c r="G3995" s="4" t="str">
        <f>HYPERLINK("http://141.218.60.56/~jnz1568/getInfo.php?workbook=10_05.xlsx&amp;sheet=U0&amp;row=3995&amp;col=7&amp;number=0.236&amp;sourceID=14","0.236")</f>
        <v>0.236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HYPERLINK("http://141.218.60.56/~jnz1568/getInfo.php?workbook=10_05.xlsx&amp;sheet=U0&amp;row=3996&amp;col=6&amp;number=4.2&amp;sourceID=14","4.2")</f>
        <v>4.2</v>
      </c>
      <c r="G3996" s="4" t="str">
        <f>HYPERLINK("http://141.218.60.56/~jnz1568/getInfo.php?workbook=10_05.xlsx&amp;sheet=U0&amp;row=3996&amp;col=7&amp;number=0.228&amp;sourceID=14","0.228")</f>
        <v>0.228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HYPERLINK("http://141.218.60.56/~jnz1568/getInfo.php?workbook=10_05.xlsx&amp;sheet=U0&amp;row=3997&amp;col=6&amp;number=4.3&amp;sourceID=14","4.3")</f>
        <v>4.3</v>
      </c>
      <c r="G3997" s="4" t="str">
        <f>HYPERLINK("http://141.218.60.56/~jnz1568/getInfo.php?workbook=10_05.xlsx&amp;sheet=U0&amp;row=3997&amp;col=7&amp;number=0.219&amp;sourceID=14","0.219")</f>
        <v>0.219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HYPERLINK("http://141.218.60.56/~jnz1568/getInfo.php?workbook=10_05.xlsx&amp;sheet=U0&amp;row=3998&amp;col=6&amp;number=4.4&amp;sourceID=14","4.4")</f>
        <v>4.4</v>
      </c>
      <c r="G3998" s="4" t="str">
        <f>HYPERLINK("http://141.218.60.56/~jnz1568/getInfo.php?workbook=10_05.xlsx&amp;sheet=U0&amp;row=3998&amp;col=7&amp;number=0.208&amp;sourceID=14","0.208")</f>
        <v>0.208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HYPERLINK("http://141.218.60.56/~jnz1568/getInfo.php?workbook=10_05.xlsx&amp;sheet=U0&amp;row=3999&amp;col=6&amp;number=4.5&amp;sourceID=14","4.5")</f>
        <v>4.5</v>
      </c>
      <c r="G3999" s="4" t="str">
        <f>HYPERLINK("http://141.218.60.56/~jnz1568/getInfo.php?workbook=10_05.xlsx&amp;sheet=U0&amp;row=3999&amp;col=7&amp;number=0.195&amp;sourceID=14","0.195")</f>
        <v>0.195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HYPERLINK("http://141.218.60.56/~jnz1568/getInfo.php?workbook=10_05.xlsx&amp;sheet=U0&amp;row=4000&amp;col=6&amp;number=4.6&amp;sourceID=14","4.6")</f>
        <v>4.6</v>
      </c>
      <c r="G4000" s="4" t="str">
        <f>HYPERLINK("http://141.218.60.56/~jnz1568/getInfo.php?workbook=10_05.xlsx&amp;sheet=U0&amp;row=4000&amp;col=7&amp;number=0.18&amp;sourceID=14","0.18")</f>
        <v>0.18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HYPERLINK("http://141.218.60.56/~jnz1568/getInfo.php?workbook=10_05.xlsx&amp;sheet=U0&amp;row=4001&amp;col=6&amp;number=4.7&amp;sourceID=14","4.7")</f>
        <v>4.7</v>
      </c>
      <c r="G4001" s="4" t="str">
        <f>HYPERLINK("http://141.218.60.56/~jnz1568/getInfo.php?workbook=10_05.xlsx&amp;sheet=U0&amp;row=4001&amp;col=7&amp;number=0.164&amp;sourceID=14","0.164")</f>
        <v>0.164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HYPERLINK("http://141.218.60.56/~jnz1568/getInfo.php?workbook=10_05.xlsx&amp;sheet=U0&amp;row=4002&amp;col=6&amp;number=4.8&amp;sourceID=14","4.8")</f>
        <v>4.8</v>
      </c>
      <c r="G4002" s="4" t="str">
        <f>HYPERLINK("http://141.218.60.56/~jnz1568/getInfo.php?workbook=10_05.xlsx&amp;sheet=U0&amp;row=4002&amp;col=7&amp;number=0.148&amp;sourceID=14","0.148")</f>
        <v>0.148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HYPERLINK("http://141.218.60.56/~jnz1568/getInfo.php?workbook=10_05.xlsx&amp;sheet=U0&amp;row=4003&amp;col=6&amp;number=4.9&amp;sourceID=14","4.9")</f>
        <v>4.9</v>
      </c>
      <c r="G4003" s="4" t="str">
        <f>HYPERLINK("http://141.218.60.56/~jnz1568/getInfo.php?workbook=10_05.xlsx&amp;sheet=U0&amp;row=4003&amp;col=7&amp;number=0.133&amp;sourceID=14","0.133")</f>
        <v>0.133</v>
      </c>
    </row>
    <row r="4004" spans="1:7">
      <c r="A4004" s="3">
        <v>10</v>
      </c>
      <c r="B4004" s="3">
        <v>5</v>
      </c>
      <c r="C4004" s="3">
        <v>2</v>
      </c>
      <c r="D4004" s="3">
        <v>24</v>
      </c>
      <c r="E4004" s="3">
        <v>1</v>
      </c>
      <c r="F4004" s="4" t="str">
        <f>HYPERLINK("http://141.218.60.56/~jnz1568/getInfo.php?workbook=10_05.xlsx&amp;sheet=U0&amp;row=4004&amp;col=6&amp;number=3&amp;sourceID=14","3")</f>
        <v>3</v>
      </c>
      <c r="G4004" s="4" t="str">
        <f>HYPERLINK("http://141.218.60.56/~jnz1568/getInfo.php?workbook=10_05.xlsx&amp;sheet=U0&amp;row=4004&amp;col=7&amp;number=0.105&amp;sourceID=14","0.105")</f>
        <v>0.105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HYPERLINK("http://141.218.60.56/~jnz1568/getInfo.php?workbook=10_05.xlsx&amp;sheet=U0&amp;row=4005&amp;col=6&amp;number=3.1&amp;sourceID=14","3.1")</f>
        <v>3.1</v>
      </c>
      <c r="G4005" s="4" t="str">
        <f>HYPERLINK("http://141.218.60.56/~jnz1568/getInfo.php?workbook=10_05.xlsx&amp;sheet=U0&amp;row=4005&amp;col=7&amp;number=0.104&amp;sourceID=14","0.104")</f>
        <v>0.104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HYPERLINK("http://141.218.60.56/~jnz1568/getInfo.php?workbook=10_05.xlsx&amp;sheet=U0&amp;row=4006&amp;col=6&amp;number=3.2&amp;sourceID=14","3.2")</f>
        <v>3.2</v>
      </c>
      <c r="G4006" s="4" t="str">
        <f>HYPERLINK("http://141.218.60.56/~jnz1568/getInfo.php?workbook=10_05.xlsx&amp;sheet=U0&amp;row=4006&amp;col=7&amp;number=0.103&amp;sourceID=14","0.103")</f>
        <v>0.103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HYPERLINK("http://141.218.60.56/~jnz1568/getInfo.php?workbook=10_05.xlsx&amp;sheet=U0&amp;row=4007&amp;col=6&amp;number=3.3&amp;sourceID=14","3.3")</f>
        <v>3.3</v>
      </c>
      <c r="G4007" s="4" t="str">
        <f>HYPERLINK("http://141.218.60.56/~jnz1568/getInfo.php?workbook=10_05.xlsx&amp;sheet=U0&amp;row=4007&amp;col=7&amp;number=0.102&amp;sourceID=14","0.102")</f>
        <v>0.102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HYPERLINK("http://141.218.60.56/~jnz1568/getInfo.php?workbook=10_05.xlsx&amp;sheet=U0&amp;row=4008&amp;col=6&amp;number=3.4&amp;sourceID=14","3.4")</f>
        <v>3.4</v>
      </c>
      <c r="G4008" s="4" t="str">
        <f>HYPERLINK("http://141.218.60.56/~jnz1568/getInfo.php?workbook=10_05.xlsx&amp;sheet=U0&amp;row=4008&amp;col=7&amp;number=0.101&amp;sourceID=14","0.101")</f>
        <v>0.101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HYPERLINK("http://141.218.60.56/~jnz1568/getInfo.php?workbook=10_05.xlsx&amp;sheet=U0&amp;row=4009&amp;col=6&amp;number=3.5&amp;sourceID=14","3.5")</f>
        <v>3.5</v>
      </c>
      <c r="G4009" s="4" t="str">
        <f>HYPERLINK("http://141.218.60.56/~jnz1568/getInfo.php?workbook=10_05.xlsx&amp;sheet=U0&amp;row=4009&amp;col=7&amp;number=0.0988&amp;sourceID=14","0.0988")</f>
        <v>0.0988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HYPERLINK("http://141.218.60.56/~jnz1568/getInfo.php?workbook=10_05.xlsx&amp;sheet=U0&amp;row=4010&amp;col=6&amp;number=3.6&amp;sourceID=14","3.6")</f>
        <v>3.6</v>
      </c>
      <c r="G4010" s="4" t="str">
        <f>HYPERLINK("http://141.218.60.56/~jnz1568/getInfo.php?workbook=10_05.xlsx&amp;sheet=U0&amp;row=4010&amp;col=7&amp;number=0.0967&amp;sourceID=14","0.0967")</f>
        <v>0.0967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HYPERLINK("http://141.218.60.56/~jnz1568/getInfo.php?workbook=10_05.xlsx&amp;sheet=U0&amp;row=4011&amp;col=6&amp;number=3.7&amp;sourceID=14","3.7")</f>
        <v>3.7</v>
      </c>
      <c r="G4011" s="4" t="str">
        <f>HYPERLINK("http://141.218.60.56/~jnz1568/getInfo.php?workbook=10_05.xlsx&amp;sheet=U0&amp;row=4011&amp;col=7&amp;number=0.0941&amp;sourceID=14","0.0941")</f>
        <v>0.0941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HYPERLINK("http://141.218.60.56/~jnz1568/getInfo.php?workbook=10_05.xlsx&amp;sheet=U0&amp;row=4012&amp;col=6&amp;number=3.8&amp;sourceID=14","3.8")</f>
        <v>3.8</v>
      </c>
      <c r="G4012" s="4" t="str">
        <f>HYPERLINK("http://141.218.60.56/~jnz1568/getInfo.php?workbook=10_05.xlsx&amp;sheet=U0&amp;row=4012&amp;col=7&amp;number=0.091&amp;sourceID=14","0.091")</f>
        <v>0.091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HYPERLINK("http://141.218.60.56/~jnz1568/getInfo.php?workbook=10_05.xlsx&amp;sheet=U0&amp;row=4013&amp;col=6&amp;number=3.9&amp;sourceID=14","3.9")</f>
        <v>3.9</v>
      </c>
      <c r="G4013" s="4" t="str">
        <f>HYPERLINK("http://141.218.60.56/~jnz1568/getInfo.php?workbook=10_05.xlsx&amp;sheet=U0&amp;row=4013&amp;col=7&amp;number=0.0874&amp;sourceID=14","0.0874")</f>
        <v>0.0874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HYPERLINK("http://141.218.60.56/~jnz1568/getInfo.php?workbook=10_05.xlsx&amp;sheet=U0&amp;row=4014&amp;col=6&amp;number=4&amp;sourceID=14","4")</f>
        <v>4</v>
      </c>
      <c r="G4014" s="4" t="str">
        <f>HYPERLINK("http://141.218.60.56/~jnz1568/getInfo.php?workbook=10_05.xlsx&amp;sheet=U0&amp;row=4014&amp;col=7&amp;number=0.0833&amp;sourceID=14","0.0833")</f>
        <v>0.0833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HYPERLINK("http://141.218.60.56/~jnz1568/getInfo.php?workbook=10_05.xlsx&amp;sheet=U0&amp;row=4015&amp;col=6&amp;number=4.1&amp;sourceID=14","4.1")</f>
        <v>4.1</v>
      </c>
      <c r="G4015" s="4" t="str">
        <f>HYPERLINK("http://141.218.60.56/~jnz1568/getInfo.php?workbook=10_05.xlsx&amp;sheet=U0&amp;row=4015&amp;col=7&amp;number=0.079&amp;sourceID=14","0.079")</f>
        <v>0.079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HYPERLINK("http://141.218.60.56/~jnz1568/getInfo.php?workbook=10_05.xlsx&amp;sheet=U0&amp;row=4016&amp;col=6&amp;number=4.2&amp;sourceID=14","4.2")</f>
        <v>4.2</v>
      </c>
      <c r="G4016" s="4" t="str">
        <f>HYPERLINK("http://141.218.60.56/~jnz1568/getInfo.php?workbook=10_05.xlsx&amp;sheet=U0&amp;row=4016&amp;col=7&amp;number=0.0746&amp;sourceID=14","0.0746")</f>
        <v>0.0746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HYPERLINK("http://141.218.60.56/~jnz1568/getInfo.php?workbook=10_05.xlsx&amp;sheet=U0&amp;row=4017&amp;col=6&amp;number=4.3&amp;sourceID=14","4.3")</f>
        <v>4.3</v>
      </c>
      <c r="G4017" s="4" t="str">
        <f>HYPERLINK("http://141.218.60.56/~jnz1568/getInfo.php?workbook=10_05.xlsx&amp;sheet=U0&amp;row=4017&amp;col=7&amp;number=0.0708&amp;sourceID=14","0.0708")</f>
        <v>0.0708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HYPERLINK("http://141.218.60.56/~jnz1568/getInfo.php?workbook=10_05.xlsx&amp;sheet=U0&amp;row=4018&amp;col=6&amp;number=4.4&amp;sourceID=14","4.4")</f>
        <v>4.4</v>
      </c>
      <c r="G4018" s="4" t="str">
        <f>HYPERLINK("http://141.218.60.56/~jnz1568/getInfo.php?workbook=10_05.xlsx&amp;sheet=U0&amp;row=4018&amp;col=7&amp;number=0.0674&amp;sourceID=14","0.0674")</f>
        <v>0.0674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HYPERLINK("http://141.218.60.56/~jnz1568/getInfo.php?workbook=10_05.xlsx&amp;sheet=U0&amp;row=4019&amp;col=6&amp;number=4.5&amp;sourceID=14","4.5")</f>
        <v>4.5</v>
      </c>
      <c r="G4019" s="4" t="str">
        <f>HYPERLINK("http://141.218.60.56/~jnz1568/getInfo.php?workbook=10_05.xlsx&amp;sheet=U0&amp;row=4019&amp;col=7&amp;number=0.064&amp;sourceID=14","0.064")</f>
        <v>0.064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HYPERLINK("http://141.218.60.56/~jnz1568/getInfo.php?workbook=10_05.xlsx&amp;sheet=U0&amp;row=4020&amp;col=6&amp;number=4.6&amp;sourceID=14","4.6")</f>
        <v>4.6</v>
      </c>
      <c r="G4020" s="4" t="str">
        <f>HYPERLINK("http://141.218.60.56/~jnz1568/getInfo.php?workbook=10_05.xlsx&amp;sheet=U0&amp;row=4020&amp;col=7&amp;number=0.0598&amp;sourceID=14","0.0598")</f>
        <v>0.0598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HYPERLINK("http://141.218.60.56/~jnz1568/getInfo.php?workbook=10_05.xlsx&amp;sheet=U0&amp;row=4021&amp;col=6&amp;number=4.7&amp;sourceID=14","4.7")</f>
        <v>4.7</v>
      </c>
      <c r="G4021" s="4" t="str">
        <f>HYPERLINK("http://141.218.60.56/~jnz1568/getInfo.php?workbook=10_05.xlsx&amp;sheet=U0&amp;row=4021&amp;col=7&amp;number=0.0548&amp;sourceID=14","0.0548")</f>
        <v>0.0548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HYPERLINK("http://141.218.60.56/~jnz1568/getInfo.php?workbook=10_05.xlsx&amp;sheet=U0&amp;row=4022&amp;col=6&amp;number=4.8&amp;sourceID=14","4.8")</f>
        <v>4.8</v>
      </c>
      <c r="G4022" s="4" t="str">
        <f>HYPERLINK("http://141.218.60.56/~jnz1568/getInfo.php?workbook=10_05.xlsx&amp;sheet=U0&amp;row=4022&amp;col=7&amp;number=0.0495&amp;sourceID=14","0.0495")</f>
        <v>0.0495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HYPERLINK("http://141.218.60.56/~jnz1568/getInfo.php?workbook=10_05.xlsx&amp;sheet=U0&amp;row=4023&amp;col=6&amp;number=4.9&amp;sourceID=14","4.9")</f>
        <v>4.9</v>
      </c>
      <c r="G4023" s="4" t="str">
        <f>HYPERLINK("http://141.218.60.56/~jnz1568/getInfo.php?workbook=10_05.xlsx&amp;sheet=U0&amp;row=4023&amp;col=7&amp;number=0.0446&amp;sourceID=14","0.0446")</f>
        <v>0.0446</v>
      </c>
    </row>
    <row r="4024" spans="1:7">
      <c r="A4024" s="3">
        <v>10</v>
      </c>
      <c r="B4024" s="3">
        <v>5</v>
      </c>
      <c r="C4024" s="3">
        <v>2</v>
      </c>
      <c r="D4024" s="3">
        <v>25</v>
      </c>
      <c r="E4024" s="3">
        <v>1</v>
      </c>
      <c r="F4024" s="4" t="str">
        <f>HYPERLINK("http://141.218.60.56/~jnz1568/getInfo.php?workbook=10_05.xlsx&amp;sheet=U0&amp;row=4024&amp;col=6&amp;number=3&amp;sourceID=14","3")</f>
        <v>3</v>
      </c>
      <c r="G4024" s="4" t="str">
        <f>HYPERLINK("http://141.218.60.56/~jnz1568/getInfo.php?workbook=10_05.xlsx&amp;sheet=U0&amp;row=4024&amp;col=7&amp;number=0.497&amp;sourceID=14","0.497")</f>
        <v>0.497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HYPERLINK("http://141.218.60.56/~jnz1568/getInfo.php?workbook=10_05.xlsx&amp;sheet=U0&amp;row=4025&amp;col=6&amp;number=3.1&amp;sourceID=14","3.1")</f>
        <v>3.1</v>
      </c>
      <c r="G4025" s="4" t="str">
        <f>HYPERLINK("http://141.218.60.56/~jnz1568/getInfo.php?workbook=10_05.xlsx&amp;sheet=U0&amp;row=4025&amp;col=7&amp;number=0.497&amp;sourceID=14","0.497")</f>
        <v>0.497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HYPERLINK("http://141.218.60.56/~jnz1568/getInfo.php?workbook=10_05.xlsx&amp;sheet=U0&amp;row=4026&amp;col=6&amp;number=3.2&amp;sourceID=14","3.2")</f>
        <v>3.2</v>
      </c>
      <c r="G4026" s="4" t="str">
        <f>HYPERLINK("http://141.218.60.56/~jnz1568/getInfo.php?workbook=10_05.xlsx&amp;sheet=U0&amp;row=4026&amp;col=7&amp;number=0.496&amp;sourceID=14","0.496")</f>
        <v>0.496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HYPERLINK("http://141.218.60.56/~jnz1568/getInfo.php?workbook=10_05.xlsx&amp;sheet=U0&amp;row=4027&amp;col=6&amp;number=3.3&amp;sourceID=14","3.3")</f>
        <v>3.3</v>
      </c>
      <c r="G4027" s="4" t="str">
        <f>HYPERLINK("http://141.218.60.56/~jnz1568/getInfo.php?workbook=10_05.xlsx&amp;sheet=U0&amp;row=4027&amp;col=7&amp;number=0.494&amp;sourceID=14","0.494")</f>
        <v>0.494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HYPERLINK("http://141.218.60.56/~jnz1568/getInfo.php?workbook=10_05.xlsx&amp;sheet=U0&amp;row=4028&amp;col=6&amp;number=3.4&amp;sourceID=14","3.4")</f>
        <v>3.4</v>
      </c>
      <c r="G4028" s="4" t="str">
        <f>HYPERLINK("http://141.218.60.56/~jnz1568/getInfo.php?workbook=10_05.xlsx&amp;sheet=U0&amp;row=4028&amp;col=7&amp;number=0.493&amp;sourceID=14","0.493")</f>
        <v>0.493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HYPERLINK("http://141.218.60.56/~jnz1568/getInfo.php?workbook=10_05.xlsx&amp;sheet=U0&amp;row=4029&amp;col=6&amp;number=3.5&amp;sourceID=14","3.5")</f>
        <v>3.5</v>
      </c>
      <c r="G4029" s="4" t="str">
        <f>HYPERLINK("http://141.218.60.56/~jnz1568/getInfo.php?workbook=10_05.xlsx&amp;sheet=U0&amp;row=4029&amp;col=7&amp;number=0.491&amp;sourceID=14","0.491")</f>
        <v>0.491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HYPERLINK("http://141.218.60.56/~jnz1568/getInfo.php?workbook=10_05.xlsx&amp;sheet=U0&amp;row=4030&amp;col=6&amp;number=3.6&amp;sourceID=14","3.6")</f>
        <v>3.6</v>
      </c>
      <c r="G4030" s="4" t="str">
        <f>HYPERLINK("http://141.218.60.56/~jnz1568/getInfo.php?workbook=10_05.xlsx&amp;sheet=U0&amp;row=4030&amp;col=7&amp;number=0.489&amp;sourceID=14","0.489")</f>
        <v>0.489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HYPERLINK("http://141.218.60.56/~jnz1568/getInfo.php?workbook=10_05.xlsx&amp;sheet=U0&amp;row=4031&amp;col=6&amp;number=3.7&amp;sourceID=14","3.7")</f>
        <v>3.7</v>
      </c>
      <c r="G4031" s="4" t="str">
        <f>HYPERLINK("http://141.218.60.56/~jnz1568/getInfo.php?workbook=10_05.xlsx&amp;sheet=U0&amp;row=4031&amp;col=7&amp;number=0.486&amp;sourceID=14","0.486")</f>
        <v>0.486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HYPERLINK("http://141.218.60.56/~jnz1568/getInfo.php?workbook=10_05.xlsx&amp;sheet=U0&amp;row=4032&amp;col=6&amp;number=3.8&amp;sourceID=14","3.8")</f>
        <v>3.8</v>
      </c>
      <c r="G4032" s="4" t="str">
        <f>HYPERLINK("http://141.218.60.56/~jnz1568/getInfo.php?workbook=10_05.xlsx&amp;sheet=U0&amp;row=4032&amp;col=7&amp;number=0.483&amp;sourceID=14","0.483")</f>
        <v>0.483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HYPERLINK("http://141.218.60.56/~jnz1568/getInfo.php?workbook=10_05.xlsx&amp;sheet=U0&amp;row=4033&amp;col=6&amp;number=3.9&amp;sourceID=14","3.9")</f>
        <v>3.9</v>
      </c>
      <c r="G4033" s="4" t="str">
        <f>HYPERLINK("http://141.218.60.56/~jnz1568/getInfo.php?workbook=10_05.xlsx&amp;sheet=U0&amp;row=4033&amp;col=7&amp;number=0.479&amp;sourceID=14","0.479")</f>
        <v>0.479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HYPERLINK("http://141.218.60.56/~jnz1568/getInfo.php?workbook=10_05.xlsx&amp;sheet=U0&amp;row=4034&amp;col=6&amp;number=4&amp;sourceID=14","4")</f>
        <v>4</v>
      </c>
      <c r="G4034" s="4" t="str">
        <f>HYPERLINK("http://141.218.60.56/~jnz1568/getInfo.php?workbook=10_05.xlsx&amp;sheet=U0&amp;row=4034&amp;col=7&amp;number=0.474&amp;sourceID=14","0.474")</f>
        <v>0.474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HYPERLINK("http://141.218.60.56/~jnz1568/getInfo.php?workbook=10_05.xlsx&amp;sheet=U0&amp;row=4035&amp;col=6&amp;number=4.1&amp;sourceID=14","4.1")</f>
        <v>4.1</v>
      </c>
      <c r="G4035" s="4" t="str">
        <f>HYPERLINK("http://141.218.60.56/~jnz1568/getInfo.php?workbook=10_05.xlsx&amp;sheet=U0&amp;row=4035&amp;col=7&amp;number=0.469&amp;sourceID=14","0.469")</f>
        <v>0.469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HYPERLINK("http://141.218.60.56/~jnz1568/getInfo.php?workbook=10_05.xlsx&amp;sheet=U0&amp;row=4036&amp;col=6&amp;number=4.2&amp;sourceID=14","4.2")</f>
        <v>4.2</v>
      </c>
      <c r="G4036" s="4" t="str">
        <f>HYPERLINK("http://141.218.60.56/~jnz1568/getInfo.php?workbook=10_05.xlsx&amp;sheet=U0&amp;row=4036&amp;col=7&amp;number=0.463&amp;sourceID=14","0.463")</f>
        <v>0.463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HYPERLINK("http://141.218.60.56/~jnz1568/getInfo.php?workbook=10_05.xlsx&amp;sheet=U0&amp;row=4037&amp;col=6&amp;number=4.3&amp;sourceID=14","4.3")</f>
        <v>4.3</v>
      </c>
      <c r="G4037" s="4" t="str">
        <f>HYPERLINK("http://141.218.60.56/~jnz1568/getInfo.php?workbook=10_05.xlsx&amp;sheet=U0&amp;row=4037&amp;col=7&amp;number=0.457&amp;sourceID=14","0.457")</f>
        <v>0.457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HYPERLINK("http://141.218.60.56/~jnz1568/getInfo.php?workbook=10_05.xlsx&amp;sheet=U0&amp;row=4038&amp;col=6&amp;number=4.4&amp;sourceID=14","4.4")</f>
        <v>4.4</v>
      </c>
      <c r="G4038" s="4" t="str">
        <f>HYPERLINK("http://141.218.60.56/~jnz1568/getInfo.php?workbook=10_05.xlsx&amp;sheet=U0&amp;row=4038&amp;col=7&amp;number=0.451&amp;sourceID=14","0.451")</f>
        <v>0.451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HYPERLINK("http://141.218.60.56/~jnz1568/getInfo.php?workbook=10_05.xlsx&amp;sheet=U0&amp;row=4039&amp;col=6&amp;number=4.5&amp;sourceID=14","4.5")</f>
        <v>4.5</v>
      </c>
      <c r="G4039" s="4" t="str">
        <f>HYPERLINK("http://141.218.60.56/~jnz1568/getInfo.php?workbook=10_05.xlsx&amp;sheet=U0&amp;row=4039&amp;col=7&amp;number=0.446&amp;sourceID=14","0.446")</f>
        <v>0.446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HYPERLINK("http://141.218.60.56/~jnz1568/getInfo.php?workbook=10_05.xlsx&amp;sheet=U0&amp;row=4040&amp;col=6&amp;number=4.6&amp;sourceID=14","4.6")</f>
        <v>4.6</v>
      </c>
      <c r="G4040" s="4" t="str">
        <f>HYPERLINK("http://141.218.60.56/~jnz1568/getInfo.php?workbook=10_05.xlsx&amp;sheet=U0&amp;row=4040&amp;col=7&amp;number=0.439&amp;sourceID=14","0.439")</f>
        <v>0.439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HYPERLINK("http://141.218.60.56/~jnz1568/getInfo.php?workbook=10_05.xlsx&amp;sheet=U0&amp;row=4041&amp;col=6&amp;number=4.7&amp;sourceID=14","4.7")</f>
        <v>4.7</v>
      </c>
      <c r="G4041" s="4" t="str">
        <f>HYPERLINK("http://141.218.60.56/~jnz1568/getInfo.php?workbook=10_05.xlsx&amp;sheet=U0&amp;row=4041&amp;col=7&amp;number=0.431&amp;sourceID=14","0.431")</f>
        <v>0.431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HYPERLINK("http://141.218.60.56/~jnz1568/getInfo.php?workbook=10_05.xlsx&amp;sheet=U0&amp;row=4042&amp;col=6&amp;number=4.8&amp;sourceID=14","4.8")</f>
        <v>4.8</v>
      </c>
      <c r="G4042" s="4" t="str">
        <f>HYPERLINK("http://141.218.60.56/~jnz1568/getInfo.php?workbook=10_05.xlsx&amp;sheet=U0&amp;row=4042&amp;col=7&amp;number=0.421&amp;sourceID=14","0.421")</f>
        <v>0.421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HYPERLINK("http://141.218.60.56/~jnz1568/getInfo.php?workbook=10_05.xlsx&amp;sheet=U0&amp;row=4043&amp;col=6&amp;number=4.9&amp;sourceID=14","4.9")</f>
        <v>4.9</v>
      </c>
      <c r="G4043" s="4" t="str">
        <f>HYPERLINK("http://141.218.60.56/~jnz1568/getInfo.php?workbook=10_05.xlsx&amp;sheet=U0&amp;row=4043&amp;col=7&amp;number=0.412&amp;sourceID=14","0.412")</f>
        <v>0.412</v>
      </c>
    </row>
    <row r="4044" spans="1:7">
      <c r="A4044" s="3">
        <v>10</v>
      </c>
      <c r="B4044" s="3">
        <v>5</v>
      </c>
      <c r="C4044" s="3">
        <v>2</v>
      </c>
      <c r="D4044" s="3">
        <v>26</v>
      </c>
      <c r="E4044" s="3">
        <v>1</v>
      </c>
      <c r="F4044" s="4" t="str">
        <f>HYPERLINK("http://141.218.60.56/~jnz1568/getInfo.php?workbook=10_05.xlsx&amp;sheet=U0&amp;row=4044&amp;col=6&amp;number=3&amp;sourceID=14","3")</f>
        <v>3</v>
      </c>
      <c r="G4044" s="4" t="str">
        <f>HYPERLINK("http://141.218.60.56/~jnz1568/getInfo.php?workbook=10_05.xlsx&amp;sheet=U0&amp;row=4044&amp;col=7&amp;number=0.035&amp;sourceID=14","0.035")</f>
        <v>0.035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HYPERLINK("http://141.218.60.56/~jnz1568/getInfo.php?workbook=10_05.xlsx&amp;sheet=U0&amp;row=4045&amp;col=6&amp;number=3.1&amp;sourceID=14","3.1")</f>
        <v>3.1</v>
      </c>
      <c r="G4045" s="4" t="str">
        <f>HYPERLINK("http://141.218.60.56/~jnz1568/getInfo.php?workbook=10_05.xlsx&amp;sheet=U0&amp;row=4045&amp;col=7&amp;number=0.035&amp;sourceID=14","0.035")</f>
        <v>0.035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HYPERLINK("http://141.218.60.56/~jnz1568/getInfo.php?workbook=10_05.xlsx&amp;sheet=U0&amp;row=4046&amp;col=6&amp;number=3.2&amp;sourceID=14","3.2")</f>
        <v>3.2</v>
      </c>
      <c r="G4046" s="4" t="str">
        <f>HYPERLINK("http://141.218.60.56/~jnz1568/getInfo.php?workbook=10_05.xlsx&amp;sheet=U0&amp;row=4046&amp;col=7&amp;number=0.035&amp;sourceID=14","0.035")</f>
        <v>0.035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HYPERLINK("http://141.218.60.56/~jnz1568/getInfo.php?workbook=10_05.xlsx&amp;sheet=U0&amp;row=4047&amp;col=6&amp;number=3.3&amp;sourceID=14","3.3")</f>
        <v>3.3</v>
      </c>
      <c r="G4047" s="4" t="str">
        <f>HYPERLINK("http://141.218.60.56/~jnz1568/getInfo.php?workbook=10_05.xlsx&amp;sheet=U0&amp;row=4047&amp;col=7&amp;number=0.0349&amp;sourceID=14","0.0349")</f>
        <v>0.0349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HYPERLINK("http://141.218.60.56/~jnz1568/getInfo.php?workbook=10_05.xlsx&amp;sheet=U0&amp;row=4048&amp;col=6&amp;number=3.4&amp;sourceID=14","3.4")</f>
        <v>3.4</v>
      </c>
      <c r="G4048" s="4" t="str">
        <f>HYPERLINK("http://141.218.60.56/~jnz1568/getInfo.php?workbook=10_05.xlsx&amp;sheet=U0&amp;row=4048&amp;col=7&amp;number=0.0349&amp;sourceID=14","0.0349")</f>
        <v>0.0349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HYPERLINK("http://141.218.60.56/~jnz1568/getInfo.php?workbook=10_05.xlsx&amp;sheet=U0&amp;row=4049&amp;col=6&amp;number=3.5&amp;sourceID=14","3.5")</f>
        <v>3.5</v>
      </c>
      <c r="G4049" s="4" t="str">
        <f>HYPERLINK("http://141.218.60.56/~jnz1568/getInfo.php?workbook=10_05.xlsx&amp;sheet=U0&amp;row=4049&amp;col=7&amp;number=0.0348&amp;sourceID=14","0.0348")</f>
        <v>0.0348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HYPERLINK("http://141.218.60.56/~jnz1568/getInfo.php?workbook=10_05.xlsx&amp;sheet=U0&amp;row=4050&amp;col=6&amp;number=3.6&amp;sourceID=14","3.6")</f>
        <v>3.6</v>
      </c>
      <c r="G4050" s="4" t="str">
        <f>HYPERLINK("http://141.218.60.56/~jnz1568/getInfo.php?workbook=10_05.xlsx&amp;sheet=U0&amp;row=4050&amp;col=7&amp;number=0.0347&amp;sourceID=14","0.0347")</f>
        <v>0.0347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HYPERLINK("http://141.218.60.56/~jnz1568/getInfo.php?workbook=10_05.xlsx&amp;sheet=U0&amp;row=4051&amp;col=6&amp;number=3.7&amp;sourceID=14","3.7")</f>
        <v>3.7</v>
      </c>
      <c r="G4051" s="4" t="str">
        <f>HYPERLINK("http://141.218.60.56/~jnz1568/getInfo.php?workbook=10_05.xlsx&amp;sheet=U0&amp;row=4051&amp;col=7&amp;number=0.0346&amp;sourceID=14","0.0346")</f>
        <v>0.0346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HYPERLINK("http://141.218.60.56/~jnz1568/getInfo.php?workbook=10_05.xlsx&amp;sheet=U0&amp;row=4052&amp;col=6&amp;number=3.8&amp;sourceID=14","3.8")</f>
        <v>3.8</v>
      </c>
      <c r="G4052" s="4" t="str">
        <f>HYPERLINK("http://141.218.60.56/~jnz1568/getInfo.php?workbook=10_05.xlsx&amp;sheet=U0&amp;row=4052&amp;col=7&amp;number=0.0345&amp;sourceID=14","0.0345")</f>
        <v>0.0345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HYPERLINK("http://141.218.60.56/~jnz1568/getInfo.php?workbook=10_05.xlsx&amp;sheet=U0&amp;row=4053&amp;col=6&amp;number=3.9&amp;sourceID=14","3.9")</f>
        <v>3.9</v>
      </c>
      <c r="G4053" s="4" t="str">
        <f>HYPERLINK("http://141.218.60.56/~jnz1568/getInfo.php?workbook=10_05.xlsx&amp;sheet=U0&amp;row=4053&amp;col=7&amp;number=0.0344&amp;sourceID=14","0.0344")</f>
        <v>0.0344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HYPERLINK("http://141.218.60.56/~jnz1568/getInfo.php?workbook=10_05.xlsx&amp;sheet=U0&amp;row=4054&amp;col=6&amp;number=4&amp;sourceID=14","4")</f>
        <v>4</v>
      </c>
      <c r="G4054" s="4" t="str">
        <f>HYPERLINK("http://141.218.60.56/~jnz1568/getInfo.php?workbook=10_05.xlsx&amp;sheet=U0&amp;row=4054&amp;col=7&amp;number=0.0342&amp;sourceID=14","0.0342")</f>
        <v>0.0342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HYPERLINK("http://141.218.60.56/~jnz1568/getInfo.php?workbook=10_05.xlsx&amp;sheet=U0&amp;row=4055&amp;col=6&amp;number=4.1&amp;sourceID=14","4.1")</f>
        <v>4.1</v>
      </c>
      <c r="G4055" s="4" t="str">
        <f>HYPERLINK("http://141.218.60.56/~jnz1568/getInfo.php?workbook=10_05.xlsx&amp;sheet=U0&amp;row=4055&amp;col=7&amp;number=0.0339&amp;sourceID=14","0.0339")</f>
        <v>0.0339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HYPERLINK("http://141.218.60.56/~jnz1568/getInfo.php?workbook=10_05.xlsx&amp;sheet=U0&amp;row=4056&amp;col=6&amp;number=4.2&amp;sourceID=14","4.2")</f>
        <v>4.2</v>
      </c>
      <c r="G4056" s="4" t="str">
        <f>HYPERLINK("http://141.218.60.56/~jnz1568/getInfo.php?workbook=10_05.xlsx&amp;sheet=U0&amp;row=4056&amp;col=7&amp;number=0.0336&amp;sourceID=14","0.0336")</f>
        <v>0.0336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HYPERLINK("http://141.218.60.56/~jnz1568/getInfo.php?workbook=10_05.xlsx&amp;sheet=U0&amp;row=4057&amp;col=6&amp;number=4.3&amp;sourceID=14","4.3")</f>
        <v>4.3</v>
      </c>
      <c r="G4057" s="4" t="str">
        <f>HYPERLINK("http://141.218.60.56/~jnz1568/getInfo.php?workbook=10_05.xlsx&amp;sheet=U0&amp;row=4057&amp;col=7&amp;number=0.0332&amp;sourceID=14","0.0332")</f>
        <v>0.0332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HYPERLINK("http://141.218.60.56/~jnz1568/getInfo.php?workbook=10_05.xlsx&amp;sheet=U0&amp;row=4058&amp;col=6&amp;number=4.4&amp;sourceID=14","4.4")</f>
        <v>4.4</v>
      </c>
      <c r="G4058" s="4" t="str">
        <f>HYPERLINK("http://141.218.60.56/~jnz1568/getInfo.php?workbook=10_05.xlsx&amp;sheet=U0&amp;row=4058&amp;col=7&amp;number=0.0326&amp;sourceID=14","0.0326")</f>
        <v>0.0326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HYPERLINK("http://141.218.60.56/~jnz1568/getInfo.php?workbook=10_05.xlsx&amp;sheet=U0&amp;row=4059&amp;col=6&amp;number=4.5&amp;sourceID=14","4.5")</f>
        <v>4.5</v>
      </c>
      <c r="G4059" s="4" t="str">
        <f>HYPERLINK("http://141.218.60.56/~jnz1568/getInfo.php?workbook=10_05.xlsx&amp;sheet=U0&amp;row=4059&amp;col=7&amp;number=0.0319&amp;sourceID=14","0.0319")</f>
        <v>0.0319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HYPERLINK("http://141.218.60.56/~jnz1568/getInfo.php?workbook=10_05.xlsx&amp;sheet=U0&amp;row=4060&amp;col=6&amp;number=4.6&amp;sourceID=14","4.6")</f>
        <v>4.6</v>
      </c>
      <c r="G4060" s="4" t="str">
        <f>HYPERLINK("http://141.218.60.56/~jnz1568/getInfo.php?workbook=10_05.xlsx&amp;sheet=U0&amp;row=4060&amp;col=7&amp;number=0.0308&amp;sourceID=14","0.0308")</f>
        <v>0.0308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HYPERLINK("http://141.218.60.56/~jnz1568/getInfo.php?workbook=10_05.xlsx&amp;sheet=U0&amp;row=4061&amp;col=6&amp;number=4.7&amp;sourceID=14","4.7")</f>
        <v>4.7</v>
      </c>
      <c r="G4061" s="4" t="str">
        <f>HYPERLINK("http://141.218.60.56/~jnz1568/getInfo.php?workbook=10_05.xlsx&amp;sheet=U0&amp;row=4061&amp;col=7&amp;number=0.0293&amp;sourceID=14","0.0293")</f>
        <v>0.0293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HYPERLINK("http://141.218.60.56/~jnz1568/getInfo.php?workbook=10_05.xlsx&amp;sheet=U0&amp;row=4062&amp;col=6&amp;number=4.8&amp;sourceID=14","4.8")</f>
        <v>4.8</v>
      </c>
      <c r="G4062" s="4" t="str">
        <f>HYPERLINK("http://141.218.60.56/~jnz1568/getInfo.php?workbook=10_05.xlsx&amp;sheet=U0&amp;row=4062&amp;col=7&amp;number=0.0273&amp;sourceID=14","0.0273")</f>
        <v>0.0273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HYPERLINK("http://141.218.60.56/~jnz1568/getInfo.php?workbook=10_05.xlsx&amp;sheet=U0&amp;row=4063&amp;col=6&amp;number=4.9&amp;sourceID=14","4.9")</f>
        <v>4.9</v>
      </c>
      <c r="G4063" s="4" t="str">
        <f>HYPERLINK("http://141.218.60.56/~jnz1568/getInfo.php?workbook=10_05.xlsx&amp;sheet=U0&amp;row=4063&amp;col=7&amp;number=0.025&amp;sourceID=14","0.025")</f>
        <v>0.025</v>
      </c>
    </row>
    <row r="4064" spans="1:7">
      <c r="A4064" s="3">
        <v>10</v>
      </c>
      <c r="B4064" s="3">
        <v>5</v>
      </c>
      <c r="C4064" s="3">
        <v>2</v>
      </c>
      <c r="D4064" s="3">
        <v>27</v>
      </c>
      <c r="E4064" s="3">
        <v>1</v>
      </c>
      <c r="F4064" s="4" t="str">
        <f>HYPERLINK("http://141.218.60.56/~jnz1568/getInfo.php?workbook=10_05.xlsx&amp;sheet=U0&amp;row=4064&amp;col=6&amp;number=3&amp;sourceID=14","3")</f>
        <v>3</v>
      </c>
      <c r="G4064" s="4" t="str">
        <f>HYPERLINK("http://141.218.60.56/~jnz1568/getInfo.php?workbook=10_05.xlsx&amp;sheet=U0&amp;row=4064&amp;col=7&amp;number=0.0941&amp;sourceID=14","0.0941")</f>
        <v>0.0941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HYPERLINK("http://141.218.60.56/~jnz1568/getInfo.php?workbook=10_05.xlsx&amp;sheet=U0&amp;row=4065&amp;col=6&amp;number=3.1&amp;sourceID=14","3.1")</f>
        <v>3.1</v>
      </c>
      <c r="G4065" s="4" t="str">
        <f>HYPERLINK("http://141.218.60.56/~jnz1568/getInfo.php?workbook=10_05.xlsx&amp;sheet=U0&amp;row=4065&amp;col=7&amp;number=0.094&amp;sourceID=14","0.094")</f>
        <v>0.094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HYPERLINK("http://141.218.60.56/~jnz1568/getInfo.php?workbook=10_05.xlsx&amp;sheet=U0&amp;row=4066&amp;col=6&amp;number=3.2&amp;sourceID=14","3.2")</f>
        <v>3.2</v>
      </c>
      <c r="G4066" s="4" t="str">
        <f>HYPERLINK("http://141.218.60.56/~jnz1568/getInfo.php?workbook=10_05.xlsx&amp;sheet=U0&amp;row=4066&amp;col=7&amp;number=0.0939&amp;sourceID=14","0.0939")</f>
        <v>0.0939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HYPERLINK("http://141.218.60.56/~jnz1568/getInfo.php?workbook=10_05.xlsx&amp;sheet=U0&amp;row=4067&amp;col=6&amp;number=3.3&amp;sourceID=14","3.3")</f>
        <v>3.3</v>
      </c>
      <c r="G4067" s="4" t="str">
        <f>HYPERLINK("http://141.218.60.56/~jnz1568/getInfo.php?workbook=10_05.xlsx&amp;sheet=U0&amp;row=4067&amp;col=7&amp;number=0.0939&amp;sourceID=14","0.0939")</f>
        <v>0.0939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HYPERLINK("http://141.218.60.56/~jnz1568/getInfo.php?workbook=10_05.xlsx&amp;sheet=U0&amp;row=4068&amp;col=6&amp;number=3.4&amp;sourceID=14","3.4")</f>
        <v>3.4</v>
      </c>
      <c r="G4068" s="4" t="str">
        <f>HYPERLINK("http://141.218.60.56/~jnz1568/getInfo.php?workbook=10_05.xlsx&amp;sheet=U0&amp;row=4068&amp;col=7&amp;number=0.0938&amp;sourceID=14","0.0938")</f>
        <v>0.0938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HYPERLINK("http://141.218.60.56/~jnz1568/getInfo.php?workbook=10_05.xlsx&amp;sheet=U0&amp;row=4069&amp;col=6&amp;number=3.5&amp;sourceID=14","3.5")</f>
        <v>3.5</v>
      </c>
      <c r="G4069" s="4" t="str">
        <f>HYPERLINK("http://141.218.60.56/~jnz1568/getInfo.php?workbook=10_05.xlsx&amp;sheet=U0&amp;row=4069&amp;col=7&amp;number=0.0936&amp;sourceID=14","0.0936")</f>
        <v>0.0936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HYPERLINK("http://141.218.60.56/~jnz1568/getInfo.php?workbook=10_05.xlsx&amp;sheet=U0&amp;row=4070&amp;col=6&amp;number=3.6&amp;sourceID=14","3.6")</f>
        <v>3.6</v>
      </c>
      <c r="G4070" s="4" t="str">
        <f>HYPERLINK("http://141.218.60.56/~jnz1568/getInfo.php?workbook=10_05.xlsx&amp;sheet=U0&amp;row=4070&amp;col=7&amp;number=0.0935&amp;sourceID=14","0.0935")</f>
        <v>0.0935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HYPERLINK("http://141.218.60.56/~jnz1568/getInfo.php?workbook=10_05.xlsx&amp;sheet=U0&amp;row=4071&amp;col=6&amp;number=3.7&amp;sourceID=14","3.7")</f>
        <v>3.7</v>
      </c>
      <c r="G4071" s="4" t="str">
        <f>HYPERLINK("http://141.218.60.56/~jnz1568/getInfo.php?workbook=10_05.xlsx&amp;sheet=U0&amp;row=4071&amp;col=7&amp;number=0.0932&amp;sourceID=14","0.0932")</f>
        <v>0.0932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HYPERLINK("http://141.218.60.56/~jnz1568/getInfo.php?workbook=10_05.xlsx&amp;sheet=U0&amp;row=4072&amp;col=6&amp;number=3.8&amp;sourceID=14","3.8")</f>
        <v>3.8</v>
      </c>
      <c r="G4072" s="4" t="str">
        <f>HYPERLINK("http://141.218.60.56/~jnz1568/getInfo.php?workbook=10_05.xlsx&amp;sheet=U0&amp;row=4072&amp;col=7&amp;number=0.093&amp;sourceID=14","0.093")</f>
        <v>0.093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HYPERLINK("http://141.218.60.56/~jnz1568/getInfo.php?workbook=10_05.xlsx&amp;sheet=U0&amp;row=4073&amp;col=6&amp;number=3.9&amp;sourceID=14","3.9")</f>
        <v>3.9</v>
      </c>
      <c r="G4073" s="4" t="str">
        <f>HYPERLINK("http://141.218.60.56/~jnz1568/getInfo.php?workbook=10_05.xlsx&amp;sheet=U0&amp;row=4073&amp;col=7&amp;number=0.0927&amp;sourceID=14","0.0927")</f>
        <v>0.0927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HYPERLINK("http://141.218.60.56/~jnz1568/getInfo.php?workbook=10_05.xlsx&amp;sheet=U0&amp;row=4074&amp;col=6&amp;number=4&amp;sourceID=14","4")</f>
        <v>4</v>
      </c>
      <c r="G4074" s="4" t="str">
        <f>HYPERLINK("http://141.218.60.56/~jnz1568/getInfo.php?workbook=10_05.xlsx&amp;sheet=U0&amp;row=4074&amp;col=7&amp;number=0.0922&amp;sourceID=14","0.0922")</f>
        <v>0.0922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HYPERLINK("http://141.218.60.56/~jnz1568/getInfo.php?workbook=10_05.xlsx&amp;sheet=U0&amp;row=4075&amp;col=6&amp;number=4.1&amp;sourceID=14","4.1")</f>
        <v>4.1</v>
      </c>
      <c r="G4075" s="4" t="str">
        <f>HYPERLINK("http://141.218.60.56/~jnz1568/getInfo.php?workbook=10_05.xlsx&amp;sheet=U0&amp;row=4075&amp;col=7&amp;number=0.0917&amp;sourceID=14","0.0917")</f>
        <v>0.0917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HYPERLINK("http://141.218.60.56/~jnz1568/getInfo.php?workbook=10_05.xlsx&amp;sheet=U0&amp;row=4076&amp;col=6&amp;number=4.2&amp;sourceID=14","4.2")</f>
        <v>4.2</v>
      </c>
      <c r="G4076" s="4" t="str">
        <f>HYPERLINK("http://141.218.60.56/~jnz1568/getInfo.php?workbook=10_05.xlsx&amp;sheet=U0&amp;row=4076&amp;col=7&amp;number=0.091&amp;sourceID=14","0.091")</f>
        <v>0.091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HYPERLINK("http://141.218.60.56/~jnz1568/getInfo.php?workbook=10_05.xlsx&amp;sheet=U0&amp;row=4077&amp;col=6&amp;number=4.3&amp;sourceID=14","4.3")</f>
        <v>4.3</v>
      </c>
      <c r="G4077" s="4" t="str">
        <f>HYPERLINK("http://141.218.60.56/~jnz1568/getInfo.php?workbook=10_05.xlsx&amp;sheet=U0&amp;row=4077&amp;col=7&amp;number=0.0901&amp;sourceID=14","0.0901")</f>
        <v>0.0901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HYPERLINK("http://141.218.60.56/~jnz1568/getInfo.php?workbook=10_05.xlsx&amp;sheet=U0&amp;row=4078&amp;col=6&amp;number=4.4&amp;sourceID=14","4.4")</f>
        <v>4.4</v>
      </c>
      <c r="G4078" s="4" t="str">
        <f>HYPERLINK("http://141.218.60.56/~jnz1568/getInfo.php?workbook=10_05.xlsx&amp;sheet=U0&amp;row=4078&amp;col=7&amp;number=0.0888&amp;sourceID=14","0.0888")</f>
        <v>0.0888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HYPERLINK("http://141.218.60.56/~jnz1568/getInfo.php?workbook=10_05.xlsx&amp;sheet=U0&amp;row=4079&amp;col=6&amp;number=4.5&amp;sourceID=14","4.5")</f>
        <v>4.5</v>
      </c>
      <c r="G4079" s="4" t="str">
        <f>HYPERLINK("http://141.218.60.56/~jnz1568/getInfo.php?workbook=10_05.xlsx&amp;sheet=U0&amp;row=4079&amp;col=7&amp;number=0.0871&amp;sourceID=14","0.0871")</f>
        <v>0.0871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HYPERLINK("http://141.218.60.56/~jnz1568/getInfo.php?workbook=10_05.xlsx&amp;sheet=U0&amp;row=4080&amp;col=6&amp;number=4.6&amp;sourceID=14","4.6")</f>
        <v>4.6</v>
      </c>
      <c r="G4080" s="4" t="str">
        <f>HYPERLINK("http://141.218.60.56/~jnz1568/getInfo.php?workbook=10_05.xlsx&amp;sheet=U0&amp;row=4080&amp;col=7&amp;number=0.0847&amp;sourceID=14","0.0847")</f>
        <v>0.0847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HYPERLINK("http://141.218.60.56/~jnz1568/getInfo.php?workbook=10_05.xlsx&amp;sheet=U0&amp;row=4081&amp;col=6&amp;number=4.7&amp;sourceID=14","4.7")</f>
        <v>4.7</v>
      </c>
      <c r="G4081" s="4" t="str">
        <f>HYPERLINK("http://141.218.60.56/~jnz1568/getInfo.php?workbook=10_05.xlsx&amp;sheet=U0&amp;row=4081&amp;col=7&amp;number=0.0813&amp;sourceID=14","0.0813")</f>
        <v>0.0813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HYPERLINK("http://141.218.60.56/~jnz1568/getInfo.php?workbook=10_05.xlsx&amp;sheet=U0&amp;row=4082&amp;col=6&amp;number=4.8&amp;sourceID=14","4.8")</f>
        <v>4.8</v>
      </c>
      <c r="G4082" s="4" t="str">
        <f>HYPERLINK("http://141.218.60.56/~jnz1568/getInfo.php?workbook=10_05.xlsx&amp;sheet=U0&amp;row=4082&amp;col=7&amp;number=0.0768&amp;sourceID=14","0.0768")</f>
        <v>0.0768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HYPERLINK("http://141.218.60.56/~jnz1568/getInfo.php?workbook=10_05.xlsx&amp;sheet=U0&amp;row=4083&amp;col=6&amp;number=4.9&amp;sourceID=14","4.9")</f>
        <v>4.9</v>
      </c>
      <c r="G4083" s="4" t="str">
        <f>HYPERLINK("http://141.218.60.56/~jnz1568/getInfo.php?workbook=10_05.xlsx&amp;sheet=U0&amp;row=4083&amp;col=7&amp;number=0.0716&amp;sourceID=14","0.0716")</f>
        <v>0.0716</v>
      </c>
    </row>
    <row r="4084" spans="1:7">
      <c r="A4084" s="3">
        <v>10</v>
      </c>
      <c r="B4084" s="3">
        <v>5</v>
      </c>
      <c r="C4084" s="3">
        <v>2</v>
      </c>
      <c r="D4084" s="3">
        <v>28</v>
      </c>
      <c r="E4084" s="3">
        <v>1</v>
      </c>
      <c r="F4084" s="4" t="str">
        <f>HYPERLINK("http://141.218.60.56/~jnz1568/getInfo.php?workbook=10_05.xlsx&amp;sheet=U0&amp;row=4084&amp;col=6&amp;number=3&amp;sourceID=14","3")</f>
        <v>3</v>
      </c>
      <c r="G4084" s="4" t="str">
        <f>HYPERLINK("http://141.218.60.56/~jnz1568/getInfo.php?workbook=10_05.xlsx&amp;sheet=U0&amp;row=4084&amp;col=7&amp;number=0.0154&amp;sourceID=14","0.0154")</f>
        <v>0.0154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HYPERLINK("http://141.218.60.56/~jnz1568/getInfo.php?workbook=10_05.xlsx&amp;sheet=U0&amp;row=4085&amp;col=6&amp;number=3.1&amp;sourceID=14","3.1")</f>
        <v>3.1</v>
      </c>
      <c r="G4085" s="4" t="str">
        <f>HYPERLINK("http://141.218.60.56/~jnz1568/getInfo.php?workbook=10_05.xlsx&amp;sheet=U0&amp;row=4085&amp;col=7&amp;number=0.0154&amp;sourceID=14","0.0154")</f>
        <v>0.0154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HYPERLINK("http://141.218.60.56/~jnz1568/getInfo.php?workbook=10_05.xlsx&amp;sheet=U0&amp;row=4086&amp;col=6&amp;number=3.2&amp;sourceID=14","3.2")</f>
        <v>3.2</v>
      </c>
      <c r="G4086" s="4" t="str">
        <f>HYPERLINK("http://141.218.60.56/~jnz1568/getInfo.php?workbook=10_05.xlsx&amp;sheet=U0&amp;row=4086&amp;col=7&amp;number=0.0155&amp;sourceID=14","0.0155")</f>
        <v>0.0155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HYPERLINK("http://141.218.60.56/~jnz1568/getInfo.php?workbook=10_05.xlsx&amp;sheet=U0&amp;row=4087&amp;col=6&amp;number=3.3&amp;sourceID=14","3.3")</f>
        <v>3.3</v>
      </c>
      <c r="G4087" s="4" t="str">
        <f>HYPERLINK("http://141.218.60.56/~jnz1568/getInfo.php?workbook=10_05.xlsx&amp;sheet=U0&amp;row=4087&amp;col=7&amp;number=0.0156&amp;sourceID=14","0.0156")</f>
        <v>0.0156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HYPERLINK("http://141.218.60.56/~jnz1568/getInfo.php?workbook=10_05.xlsx&amp;sheet=U0&amp;row=4088&amp;col=6&amp;number=3.4&amp;sourceID=14","3.4")</f>
        <v>3.4</v>
      </c>
      <c r="G4088" s="4" t="str">
        <f>HYPERLINK("http://141.218.60.56/~jnz1568/getInfo.php?workbook=10_05.xlsx&amp;sheet=U0&amp;row=4088&amp;col=7&amp;number=0.0157&amp;sourceID=14","0.0157")</f>
        <v>0.0157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HYPERLINK("http://141.218.60.56/~jnz1568/getInfo.php?workbook=10_05.xlsx&amp;sheet=U0&amp;row=4089&amp;col=6&amp;number=3.5&amp;sourceID=14","3.5")</f>
        <v>3.5</v>
      </c>
      <c r="G4089" s="4" t="str">
        <f>HYPERLINK("http://141.218.60.56/~jnz1568/getInfo.php?workbook=10_05.xlsx&amp;sheet=U0&amp;row=4089&amp;col=7&amp;number=0.0158&amp;sourceID=14","0.0158")</f>
        <v>0.0158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HYPERLINK("http://141.218.60.56/~jnz1568/getInfo.php?workbook=10_05.xlsx&amp;sheet=U0&amp;row=4090&amp;col=6&amp;number=3.6&amp;sourceID=14","3.6")</f>
        <v>3.6</v>
      </c>
      <c r="G4090" s="4" t="str">
        <f>HYPERLINK("http://141.218.60.56/~jnz1568/getInfo.php?workbook=10_05.xlsx&amp;sheet=U0&amp;row=4090&amp;col=7&amp;number=0.016&amp;sourceID=14","0.016")</f>
        <v>0.016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HYPERLINK("http://141.218.60.56/~jnz1568/getInfo.php?workbook=10_05.xlsx&amp;sheet=U0&amp;row=4091&amp;col=6&amp;number=3.7&amp;sourceID=14","3.7")</f>
        <v>3.7</v>
      </c>
      <c r="G4091" s="4" t="str">
        <f>HYPERLINK("http://141.218.60.56/~jnz1568/getInfo.php?workbook=10_05.xlsx&amp;sheet=U0&amp;row=4091&amp;col=7&amp;number=0.0162&amp;sourceID=14","0.0162")</f>
        <v>0.0162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HYPERLINK("http://141.218.60.56/~jnz1568/getInfo.php?workbook=10_05.xlsx&amp;sheet=U0&amp;row=4092&amp;col=6&amp;number=3.8&amp;sourceID=14","3.8")</f>
        <v>3.8</v>
      </c>
      <c r="G4092" s="4" t="str">
        <f>HYPERLINK("http://141.218.60.56/~jnz1568/getInfo.php?workbook=10_05.xlsx&amp;sheet=U0&amp;row=4092&amp;col=7&amp;number=0.0163&amp;sourceID=14","0.0163")</f>
        <v>0.0163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HYPERLINK("http://141.218.60.56/~jnz1568/getInfo.php?workbook=10_05.xlsx&amp;sheet=U0&amp;row=4093&amp;col=6&amp;number=3.9&amp;sourceID=14","3.9")</f>
        <v>3.9</v>
      </c>
      <c r="G4093" s="4" t="str">
        <f>HYPERLINK("http://141.218.60.56/~jnz1568/getInfo.php?workbook=10_05.xlsx&amp;sheet=U0&amp;row=4093&amp;col=7&amp;number=0.0164&amp;sourceID=14","0.0164")</f>
        <v>0.0164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HYPERLINK("http://141.218.60.56/~jnz1568/getInfo.php?workbook=10_05.xlsx&amp;sheet=U0&amp;row=4094&amp;col=6&amp;number=4&amp;sourceID=14","4")</f>
        <v>4</v>
      </c>
      <c r="G4094" s="4" t="str">
        <f>HYPERLINK("http://141.218.60.56/~jnz1568/getInfo.php?workbook=10_05.xlsx&amp;sheet=U0&amp;row=4094&amp;col=7&amp;number=0.0164&amp;sourceID=14","0.0164")</f>
        <v>0.0164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HYPERLINK("http://141.218.60.56/~jnz1568/getInfo.php?workbook=10_05.xlsx&amp;sheet=U0&amp;row=4095&amp;col=6&amp;number=4.1&amp;sourceID=14","4.1")</f>
        <v>4.1</v>
      </c>
      <c r="G4095" s="4" t="str">
        <f>HYPERLINK("http://141.218.60.56/~jnz1568/getInfo.php?workbook=10_05.xlsx&amp;sheet=U0&amp;row=4095&amp;col=7&amp;number=0.0162&amp;sourceID=14","0.0162")</f>
        <v>0.0162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HYPERLINK("http://141.218.60.56/~jnz1568/getInfo.php?workbook=10_05.xlsx&amp;sheet=U0&amp;row=4096&amp;col=6&amp;number=4.2&amp;sourceID=14","4.2")</f>
        <v>4.2</v>
      </c>
      <c r="G4096" s="4" t="str">
        <f>HYPERLINK("http://141.218.60.56/~jnz1568/getInfo.php?workbook=10_05.xlsx&amp;sheet=U0&amp;row=4096&amp;col=7&amp;number=0.0157&amp;sourceID=14","0.0157")</f>
        <v>0.0157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HYPERLINK("http://141.218.60.56/~jnz1568/getInfo.php?workbook=10_05.xlsx&amp;sheet=U0&amp;row=4097&amp;col=6&amp;number=4.3&amp;sourceID=14","4.3")</f>
        <v>4.3</v>
      </c>
      <c r="G4097" s="4" t="str">
        <f>HYPERLINK("http://141.218.60.56/~jnz1568/getInfo.php?workbook=10_05.xlsx&amp;sheet=U0&amp;row=4097&amp;col=7&amp;number=0.0151&amp;sourceID=14","0.0151")</f>
        <v>0.0151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HYPERLINK("http://141.218.60.56/~jnz1568/getInfo.php?workbook=10_05.xlsx&amp;sheet=U0&amp;row=4098&amp;col=6&amp;number=4.4&amp;sourceID=14","4.4")</f>
        <v>4.4</v>
      </c>
      <c r="G4098" s="4" t="str">
        <f>HYPERLINK("http://141.218.60.56/~jnz1568/getInfo.php?workbook=10_05.xlsx&amp;sheet=U0&amp;row=4098&amp;col=7&amp;number=0.0144&amp;sourceID=14","0.0144")</f>
        <v>0.0144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HYPERLINK("http://141.218.60.56/~jnz1568/getInfo.php?workbook=10_05.xlsx&amp;sheet=U0&amp;row=4099&amp;col=6&amp;number=4.5&amp;sourceID=14","4.5")</f>
        <v>4.5</v>
      </c>
      <c r="G4099" s="4" t="str">
        <f>HYPERLINK("http://141.218.60.56/~jnz1568/getInfo.php?workbook=10_05.xlsx&amp;sheet=U0&amp;row=4099&amp;col=7&amp;number=0.0136&amp;sourceID=14","0.0136")</f>
        <v>0.0136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HYPERLINK("http://141.218.60.56/~jnz1568/getInfo.php?workbook=10_05.xlsx&amp;sheet=U0&amp;row=4100&amp;col=6&amp;number=4.6&amp;sourceID=14","4.6")</f>
        <v>4.6</v>
      </c>
      <c r="G4100" s="4" t="str">
        <f>HYPERLINK("http://141.218.60.56/~jnz1568/getInfo.php?workbook=10_05.xlsx&amp;sheet=U0&amp;row=4100&amp;col=7&amp;number=0.0127&amp;sourceID=14","0.0127")</f>
        <v>0.0127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HYPERLINK("http://141.218.60.56/~jnz1568/getInfo.php?workbook=10_05.xlsx&amp;sheet=U0&amp;row=4101&amp;col=6&amp;number=4.7&amp;sourceID=14","4.7")</f>
        <v>4.7</v>
      </c>
      <c r="G4101" s="4" t="str">
        <f>HYPERLINK("http://141.218.60.56/~jnz1568/getInfo.php?workbook=10_05.xlsx&amp;sheet=U0&amp;row=4101&amp;col=7&amp;number=0.0117&amp;sourceID=14","0.0117")</f>
        <v>0.0117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HYPERLINK("http://141.218.60.56/~jnz1568/getInfo.php?workbook=10_05.xlsx&amp;sheet=U0&amp;row=4102&amp;col=6&amp;number=4.8&amp;sourceID=14","4.8")</f>
        <v>4.8</v>
      </c>
      <c r="G4102" s="4" t="str">
        <f>HYPERLINK("http://141.218.60.56/~jnz1568/getInfo.php?workbook=10_05.xlsx&amp;sheet=U0&amp;row=4102&amp;col=7&amp;number=0.0107&amp;sourceID=14","0.0107")</f>
        <v>0.0107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HYPERLINK("http://141.218.60.56/~jnz1568/getInfo.php?workbook=10_05.xlsx&amp;sheet=U0&amp;row=4103&amp;col=6&amp;number=4.9&amp;sourceID=14","4.9")</f>
        <v>4.9</v>
      </c>
      <c r="G4103" s="4" t="str">
        <f>HYPERLINK("http://141.218.60.56/~jnz1568/getInfo.php?workbook=10_05.xlsx&amp;sheet=U0&amp;row=4103&amp;col=7&amp;number=0.00963&amp;sourceID=14","0.00963")</f>
        <v>0.00963</v>
      </c>
    </row>
    <row r="4104" spans="1:7">
      <c r="A4104" s="3">
        <v>10</v>
      </c>
      <c r="B4104" s="3">
        <v>5</v>
      </c>
      <c r="C4104" s="3">
        <v>2</v>
      </c>
      <c r="D4104" s="3">
        <v>29</v>
      </c>
      <c r="E4104" s="3">
        <v>1</v>
      </c>
      <c r="F4104" s="4" t="str">
        <f>HYPERLINK("http://141.218.60.56/~jnz1568/getInfo.php?workbook=10_05.xlsx&amp;sheet=U0&amp;row=4104&amp;col=6&amp;number=3&amp;sourceID=14","3")</f>
        <v>3</v>
      </c>
      <c r="G4104" s="4" t="str">
        <f>HYPERLINK("http://141.218.60.56/~jnz1568/getInfo.php?workbook=10_05.xlsx&amp;sheet=U0&amp;row=4104&amp;col=7&amp;number=0.0373&amp;sourceID=14","0.0373")</f>
        <v>0.0373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HYPERLINK("http://141.218.60.56/~jnz1568/getInfo.php?workbook=10_05.xlsx&amp;sheet=U0&amp;row=4105&amp;col=6&amp;number=3.1&amp;sourceID=14","3.1")</f>
        <v>3.1</v>
      </c>
      <c r="G4105" s="4" t="str">
        <f>HYPERLINK("http://141.218.60.56/~jnz1568/getInfo.php?workbook=10_05.xlsx&amp;sheet=U0&amp;row=4105&amp;col=7&amp;number=0.0373&amp;sourceID=14","0.0373")</f>
        <v>0.0373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HYPERLINK("http://141.218.60.56/~jnz1568/getInfo.php?workbook=10_05.xlsx&amp;sheet=U0&amp;row=4106&amp;col=6&amp;number=3.2&amp;sourceID=14","3.2")</f>
        <v>3.2</v>
      </c>
      <c r="G4106" s="4" t="str">
        <f>HYPERLINK("http://141.218.60.56/~jnz1568/getInfo.php?workbook=10_05.xlsx&amp;sheet=U0&amp;row=4106&amp;col=7&amp;number=0.0374&amp;sourceID=14","0.0374")</f>
        <v>0.0374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HYPERLINK("http://141.218.60.56/~jnz1568/getInfo.php?workbook=10_05.xlsx&amp;sheet=U0&amp;row=4107&amp;col=6&amp;number=3.3&amp;sourceID=14","3.3")</f>
        <v>3.3</v>
      </c>
      <c r="G4107" s="4" t="str">
        <f>HYPERLINK("http://141.218.60.56/~jnz1568/getInfo.php?workbook=10_05.xlsx&amp;sheet=U0&amp;row=4107&amp;col=7&amp;number=0.0374&amp;sourceID=14","0.0374")</f>
        <v>0.0374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HYPERLINK("http://141.218.60.56/~jnz1568/getInfo.php?workbook=10_05.xlsx&amp;sheet=U0&amp;row=4108&amp;col=6&amp;number=3.4&amp;sourceID=14","3.4")</f>
        <v>3.4</v>
      </c>
      <c r="G4108" s="4" t="str">
        <f>HYPERLINK("http://141.218.60.56/~jnz1568/getInfo.php?workbook=10_05.xlsx&amp;sheet=U0&amp;row=4108&amp;col=7&amp;number=0.0374&amp;sourceID=14","0.0374")</f>
        <v>0.0374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HYPERLINK("http://141.218.60.56/~jnz1568/getInfo.php?workbook=10_05.xlsx&amp;sheet=U0&amp;row=4109&amp;col=6&amp;number=3.5&amp;sourceID=14","3.5")</f>
        <v>3.5</v>
      </c>
      <c r="G4109" s="4" t="str">
        <f>HYPERLINK("http://141.218.60.56/~jnz1568/getInfo.php?workbook=10_05.xlsx&amp;sheet=U0&amp;row=4109&amp;col=7&amp;number=0.0375&amp;sourceID=14","0.0375")</f>
        <v>0.0375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HYPERLINK("http://141.218.60.56/~jnz1568/getInfo.php?workbook=10_05.xlsx&amp;sheet=U0&amp;row=4110&amp;col=6&amp;number=3.6&amp;sourceID=14","3.6")</f>
        <v>3.6</v>
      </c>
      <c r="G4110" s="4" t="str">
        <f>HYPERLINK("http://141.218.60.56/~jnz1568/getInfo.php?workbook=10_05.xlsx&amp;sheet=U0&amp;row=4110&amp;col=7&amp;number=0.0375&amp;sourceID=14","0.0375")</f>
        <v>0.0375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HYPERLINK("http://141.218.60.56/~jnz1568/getInfo.php?workbook=10_05.xlsx&amp;sheet=U0&amp;row=4111&amp;col=6&amp;number=3.7&amp;sourceID=14","3.7")</f>
        <v>3.7</v>
      </c>
      <c r="G4111" s="4" t="str">
        <f>HYPERLINK("http://141.218.60.56/~jnz1568/getInfo.php?workbook=10_05.xlsx&amp;sheet=U0&amp;row=4111&amp;col=7&amp;number=0.0375&amp;sourceID=14","0.0375")</f>
        <v>0.0375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HYPERLINK("http://141.218.60.56/~jnz1568/getInfo.php?workbook=10_05.xlsx&amp;sheet=U0&amp;row=4112&amp;col=6&amp;number=3.8&amp;sourceID=14","3.8")</f>
        <v>3.8</v>
      </c>
      <c r="G4112" s="4" t="str">
        <f>HYPERLINK("http://141.218.60.56/~jnz1568/getInfo.php?workbook=10_05.xlsx&amp;sheet=U0&amp;row=4112&amp;col=7&amp;number=0.0375&amp;sourceID=14","0.0375")</f>
        <v>0.0375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HYPERLINK("http://141.218.60.56/~jnz1568/getInfo.php?workbook=10_05.xlsx&amp;sheet=U0&amp;row=4113&amp;col=6&amp;number=3.9&amp;sourceID=14","3.9")</f>
        <v>3.9</v>
      </c>
      <c r="G4113" s="4" t="str">
        <f>HYPERLINK("http://141.218.60.56/~jnz1568/getInfo.php?workbook=10_05.xlsx&amp;sheet=U0&amp;row=4113&amp;col=7&amp;number=0.0375&amp;sourceID=14","0.0375")</f>
        <v>0.0375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HYPERLINK("http://141.218.60.56/~jnz1568/getInfo.php?workbook=10_05.xlsx&amp;sheet=U0&amp;row=4114&amp;col=6&amp;number=4&amp;sourceID=14","4")</f>
        <v>4</v>
      </c>
      <c r="G4114" s="4" t="str">
        <f>HYPERLINK("http://141.218.60.56/~jnz1568/getInfo.php?workbook=10_05.xlsx&amp;sheet=U0&amp;row=4114&amp;col=7&amp;number=0.0373&amp;sourceID=14","0.0373")</f>
        <v>0.0373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HYPERLINK("http://141.218.60.56/~jnz1568/getInfo.php?workbook=10_05.xlsx&amp;sheet=U0&amp;row=4115&amp;col=6&amp;number=4.1&amp;sourceID=14","4.1")</f>
        <v>4.1</v>
      </c>
      <c r="G4115" s="4" t="str">
        <f>HYPERLINK("http://141.218.60.56/~jnz1568/getInfo.php?workbook=10_05.xlsx&amp;sheet=U0&amp;row=4115&amp;col=7&amp;number=0.0368&amp;sourceID=14","0.0368")</f>
        <v>0.0368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HYPERLINK("http://141.218.60.56/~jnz1568/getInfo.php?workbook=10_05.xlsx&amp;sheet=U0&amp;row=4116&amp;col=6&amp;number=4.2&amp;sourceID=14","4.2")</f>
        <v>4.2</v>
      </c>
      <c r="G4116" s="4" t="str">
        <f>HYPERLINK("http://141.218.60.56/~jnz1568/getInfo.php?workbook=10_05.xlsx&amp;sheet=U0&amp;row=4116&amp;col=7&amp;number=0.036&amp;sourceID=14","0.036")</f>
        <v>0.036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HYPERLINK("http://141.218.60.56/~jnz1568/getInfo.php?workbook=10_05.xlsx&amp;sheet=U0&amp;row=4117&amp;col=6&amp;number=4.3&amp;sourceID=14","4.3")</f>
        <v>4.3</v>
      </c>
      <c r="G4117" s="4" t="str">
        <f>HYPERLINK("http://141.218.60.56/~jnz1568/getInfo.php?workbook=10_05.xlsx&amp;sheet=U0&amp;row=4117&amp;col=7&amp;number=0.0348&amp;sourceID=14","0.0348")</f>
        <v>0.0348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HYPERLINK("http://141.218.60.56/~jnz1568/getInfo.php?workbook=10_05.xlsx&amp;sheet=U0&amp;row=4118&amp;col=6&amp;number=4.4&amp;sourceID=14","4.4")</f>
        <v>4.4</v>
      </c>
      <c r="G4118" s="4" t="str">
        <f>HYPERLINK("http://141.218.60.56/~jnz1568/getInfo.php?workbook=10_05.xlsx&amp;sheet=U0&amp;row=4118&amp;col=7&amp;number=0.0332&amp;sourceID=14","0.0332")</f>
        <v>0.0332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HYPERLINK("http://141.218.60.56/~jnz1568/getInfo.php?workbook=10_05.xlsx&amp;sheet=U0&amp;row=4119&amp;col=6&amp;number=4.5&amp;sourceID=14","4.5")</f>
        <v>4.5</v>
      </c>
      <c r="G4119" s="4" t="str">
        <f>HYPERLINK("http://141.218.60.56/~jnz1568/getInfo.php?workbook=10_05.xlsx&amp;sheet=U0&amp;row=4119&amp;col=7&amp;number=0.0314&amp;sourceID=14","0.0314")</f>
        <v>0.0314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HYPERLINK("http://141.218.60.56/~jnz1568/getInfo.php?workbook=10_05.xlsx&amp;sheet=U0&amp;row=4120&amp;col=6&amp;number=4.6&amp;sourceID=14","4.6")</f>
        <v>4.6</v>
      </c>
      <c r="G4120" s="4" t="str">
        <f>HYPERLINK("http://141.218.60.56/~jnz1568/getInfo.php?workbook=10_05.xlsx&amp;sheet=U0&amp;row=4120&amp;col=7&amp;number=0.0294&amp;sourceID=14","0.0294")</f>
        <v>0.0294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HYPERLINK("http://141.218.60.56/~jnz1568/getInfo.php?workbook=10_05.xlsx&amp;sheet=U0&amp;row=4121&amp;col=6&amp;number=4.7&amp;sourceID=14","4.7")</f>
        <v>4.7</v>
      </c>
      <c r="G4121" s="4" t="str">
        <f>HYPERLINK("http://141.218.60.56/~jnz1568/getInfo.php?workbook=10_05.xlsx&amp;sheet=U0&amp;row=4121&amp;col=7&amp;number=0.0272&amp;sourceID=14","0.0272")</f>
        <v>0.0272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HYPERLINK("http://141.218.60.56/~jnz1568/getInfo.php?workbook=10_05.xlsx&amp;sheet=U0&amp;row=4122&amp;col=6&amp;number=4.8&amp;sourceID=14","4.8")</f>
        <v>4.8</v>
      </c>
      <c r="G4122" s="4" t="str">
        <f>HYPERLINK("http://141.218.60.56/~jnz1568/getInfo.php?workbook=10_05.xlsx&amp;sheet=U0&amp;row=4122&amp;col=7&amp;number=0.0249&amp;sourceID=14","0.0249")</f>
        <v>0.0249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HYPERLINK("http://141.218.60.56/~jnz1568/getInfo.php?workbook=10_05.xlsx&amp;sheet=U0&amp;row=4123&amp;col=6&amp;number=4.9&amp;sourceID=14","4.9")</f>
        <v>4.9</v>
      </c>
      <c r="G4123" s="4" t="str">
        <f>HYPERLINK("http://141.218.60.56/~jnz1568/getInfo.php?workbook=10_05.xlsx&amp;sheet=U0&amp;row=4123&amp;col=7&amp;number=0.0227&amp;sourceID=14","0.0227")</f>
        <v>0.0227</v>
      </c>
    </row>
    <row r="4124" spans="1:7">
      <c r="A4124" s="3">
        <v>10</v>
      </c>
      <c r="B4124" s="3">
        <v>5</v>
      </c>
      <c r="C4124" s="3">
        <v>2</v>
      </c>
      <c r="D4124" s="3">
        <v>30</v>
      </c>
      <c r="E4124" s="3">
        <v>1</v>
      </c>
      <c r="F4124" s="4" t="str">
        <f>HYPERLINK("http://141.218.60.56/~jnz1568/getInfo.php?workbook=10_05.xlsx&amp;sheet=U0&amp;row=4124&amp;col=6&amp;number=3&amp;sourceID=14","3")</f>
        <v>3</v>
      </c>
      <c r="G4124" s="4" t="str">
        <f>HYPERLINK("http://141.218.60.56/~jnz1568/getInfo.php?workbook=10_05.xlsx&amp;sheet=U0&amp;row=4124&amp;col=7&amp;number=0.0761&amp;sourceID=14","0.0761")</f>
        <v>0.0761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HYPERLINK("http://141.218.60.56/~jnz1568/getInfo.php?workbook=10_05.xlsx&amp;sheet=U0&amp;row=4125&amp;col=6&amp;number=3.1&amp;sourceID=14","3.1")</f>
        <v>3.1</v>
      </c>
      <c r="G4125" s="4" t="str">
        <f>HYPERLINK("http://141.218.60.56/~jnz1568/getInfo.php?workbook=10_05.xlsx&amp;sheet=U0&amp;row=4125&amp;col=7&amp;number=0.0759&amp;sourceID=14","0.0759")</f>
        <v>0.0759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HYPERLINK("http://141.218.60.56/~jnz1568/getInfo.php?workbook=10_05.xlsx&amp;sheet=U0&amp;row=4126&amp;col=6&amp;number=3.2&amp;sourceID=14","3.2")</f>
        <v>3.2</v>
      </c>
      <c r="G4126" s="4" t="str">
        <f>HYPERLINK("http://141.218.60.56/~jnz1568/getInfo.php?workbook=10_05.xlsx&amp;sheet=U0&amp;row=4126&amp;col=7&amp;number=0.0757&amp;sourceID=14","0.0757")</f>
        <v>0.0757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HYPERLINK("http://141.218.60.56/~jnz1568/getInfo.php?workbook=10_05.xlsx&amp;sheet=U0&amp;row=4127&amp;col=6&amp;number=3.3&amp;sourceID=14","3.3")</f>
        <v>3.3</v>
      </c>
      <c r="G4127" s="4" t="str">
        <f>HYPERLINK("http://141.218.60.56/~jnz1568/getInfo.php?workbook=10_05.xlsx&amp;sheet=U0&amp;row=4127&amp;col=7&amp;number=0.0754&amp;sourceID=14","0.0754")</f>
        <v>0.0754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HYPERLINK("http://141.218.60.56/~jnz1568/getInfo.php?workbook=10_05.xlsx&amp;sheet=U0&amp;row=4128&amp;col=6&amp;number=3.4&amp;sourceID=14","3.4")</f>
        <v>3.4</v>
      </c>
      <c r="G4128" s="4" t="str">
        <f>HYPERLINK("http://141.218.60.56/~jnz1568/getInfo.php?workbook=10_05.xlsx&amp;sheet=U0&amp;row=4128&amp;col=7&amp;number=0.075&amp;sourceID=14","0.075")</f>
        <v>0.075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HYPERLINK("http://141.218.60.56/~jnz1568/getInfo.php?workbook=10_05.xlsx&amp;sheet=U0&amp;row=4129&amp;col=6&amp;number=3.5&amp;sourceID=14","3.5")</f>
        <v>3.5</v>
      </c>
      <c r="G4129" s="4" t="str">
        <f>HYPERLINK("http://141.218.60.56/~jnz1568/getInfo.php?workbook=10_05.xlsx&amp;sheet=U0&amp;row=4129&amp;col=7&amp;number=0.0746&amp;sourceID=14","0.0746")</f>
        <v>0.0746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HYPERLINK("http://141.218.60.56/~jnz1568/getInfo.php?workbook=10_05.xlsx&amp;sheet=U0&amp;row=4130&amp;col=6&amp;number=3.6&amp;sourceID=14","3.6")</f>
        <v>3.6</v>
      </c>
      <c r="G4130" s="4" t="str">
        <f>HYPERLINK("http://141.218.60.56/~jnz1568/getInfo.php?workbook=10_05.xlsx&amp;sheet=U0&amp;row=4130&amp;col=7&amp;number=0.074&amp;sourceID=14","0.074")</f>
        <v>0.074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HYPERLINK("http://141.218.60.56/~jnz1568/getInfo.php?workbook=10_05.xlsx&amp;sheet=U0&amp;row=4131&amp;col=6&amp;number=3.7&amp;sourceID=14","3.7")</f>
        <v>3.7</v>
      </c>
      <c r="G4131" s="4" t="str">
        <f>HYPERLINK("http://141.218.60.56/~jnz1568/getInfo.php?workbook=10_05.xlsx&amp;sheet=U0&amp;row=4131&amp;col=7&amp;number=0.0734&amp;sourceID=14","0.0734")</f>
        <v>0.0734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HYPERLINK("http://141.218.60.56/~jnz1568/getInfo.php?workbook=10_05.xlsx&amp;sheet=U0&amp;row=4132&amp;col=6&amp;number=3.8&amp;sourceID=14","3.8")</f>
        <v>3.8</v>
      </c>
      <c r="G4132" s="4" t="str">
        <f>HYPERLINK("http://141.218.60.56/~jnz1568/getInfo.php?workbook=10_05.xlsx&amp;sheet=U0&amp;row=4132&amp;col=7&amp;number=0.0725&amp;sourceID=14","0.0725")</f>
        <v>0.0725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HYPERLINK("http://141.218.60.56/~jnz1568/getInfo.php?workbook=10_05.xlsx&amp;sheet=U0&amp;row=4133&amp;col=6&amp;number=3.9&amp;sourceID=14","3.9")</f>
        <v>3.9</v>
      </c>
      <c r="G4133" s="4" t="str">
        <f>HYPERLINK("http://141.218.60.56/~jnz1568/getInfo.php?workbook=10_05.xlsx&amp;sheet=U0&amp;row=4133&amp;col=7&amp;number=0.0715&amp;sourceID=14","0.0715")</f>
        <v>0.0715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HYPERLINK("http://141.218.60.56/~jnz1568/getInfo.php?workbook=10_05.xlsx&amp;sheet=U0&amp;row=4134&amp;col=6&amp;number=4&amp;sourceID=14","4")</f>
        <v>4</v>
      </c>
      <c r="G4134" s="4" t="str">
        <f>HYPERLINK("http://141.218.60.56/~jnz1568/getInfo.php?workbook=10_05.xlsx&amp;sheet=U0&amp;row=4134&amp;col=7&amp;number=0.0702&amp;sourceID=14","0.0702")</f>
        <v>0.0702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HYPERLINK("http://141.218.60.56/~jnz1568/getInfo.php?workbook=10_05.xlsx&amp;sheet=U0&amp;row=4135&amp;col=6&amp;number=4.1&amp;sourceID=14","4.1")</f>
        <v>4.1</v>
      </c>
      <c r="G4135" s="4" t="str">
        <f>HYPERLINK("http://141.218.60.56/~jnz1568/getInfo.php?workbook=10_05.xlsx&amp;sheet=U0&amp;row=4135&amp;col=7&amp;number=0.0686&amp;sourceID=14","0.0686")</f>
        <v>0.0686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HYPERLINK("http://141.218.60.56/~jnz1568/getInfo.php?workbook=10_05.xlsx&amp;sheet=U0&amp;row=4136&amp;col=6&amp;number=4.2&amp;sourceID=14","4.2")</f>
        <v>4.2</v>
      </c>
      <c r="G4136" s="4" t="str">
        <f>HYPERLINK("http://141.218.60.56/~jnz1568/getInfo.php?workbook=10_05.xlsx&amp;sheet=U0&amp;row=4136&amp;col=7&amp;number=0.0667&amp;sourceID=14","0.0667")</f>
        <v>0.0667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HYPERLINK("http://141.218.60.56/~jnz1568/getInfo.php?workbook=10_05.xlsx&amp;sheet=U0&amp;row=4137&amp;col=6&amp;number=4.3&amp;sourceID=14","4.3")</f>
        <v>4.3</v>
      </c>
      <c r="G4137" s="4" t="str">
        <f>HYPERLINK("http://141.218.60.56/~jnz1568/getInfo.php?workbook=10_05.xlsx&amp;sheet=U0&amp;row=4137&amp;col=7&amp;number=0.0643&amp;sourceID=14","0.0643")</f>
        <v>0.0643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HYPERLINK("http://141.218.60.56/~jnz1568/getInfo.php?workbook=10_05.xlsx&amp;sheet=U0&amp;row=4138&amp;col=6&amp;number=4.4&amp;sourceID=14","4.4")</f>
        <v>4.4</v>
      </c>
      <c r="G4138" s="4" t="str">
        <f>HYPERLINK("http://141.218.60.56/~jnz1568/getInfo.php?workbook=10_05.xlsx&amp;sheet=U0&amp;row=4138&amp;col=7&amp;number=0.0614&amp;sourceID=14","0.0614")</f>
        <v>0.0614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HYPERLINK("http://141.218.60.56/~jnz1568/getInfo.php?workbook=10_05.xlsx&amp;sheet=U0&amp;row=4139&amp;col=6&amp;number=4.5&amp;sourceID=14","4.5")</f>
        <v>4.5</v>
      </c>
      <c r="G4139" s="4" t="str">
        <f>HYPERLINK("http://141.218.60.56/~jnz1568/getInfo.php?workbook=10_05.xlsx&amp;sheet=U0&amp;row=4139&amp;col=7&amp;number=0.058&amp;sourceID=14","0.058")</f>
        <v>0.058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HYPERLINK("http://141.218.60.56/~jnz1568/getInfo.php?workbook=10_05.xlsx&amp;sheet=U0&amp;row=4140&amp;col=6&amp;number=4.6&amp;sourceID=14","4.6")</f>
        <v>4.6</v>
      </c>
      <c r="G4140" s="4" t="str">
        <f>HYPERLINK("http://141.218.60.56/~jnz1568/getInfo.php?workbook=10_05.xlsx&amp;sheet=U0&amp;row=4140&amp;col=7&amp;number=0.0542&amp;sourceID=14","0.0542")</f>
        <v>0.0542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HYPERLINK("http://141.218.60.56/~jnz1568/getInfo.php?workbook=10_05.xlsx&amp;sheet=U0&amp;row=4141&amp;col=6&amp;number=4.7&amp;sourceID=14","4.7")</f>
        <v>4.7</v>
      </c>
      <c r="G4141" s="4" t="str">
        <f>HYPERLINK("http://141.218.60.56/~jnz1568/getInfo.php?workbook=10_05.xlsx&amp;sheet=U0&amp;row=4141&amp;col=7&amp;number=0.0502&amp;sourceID=14","0.0502")</f>
        <v>0.0502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HYPERLINK("http://141.218.60.56/~jnz1568/getInfo.php?workbook=10_05.xlsx&amp;sheet=U0&amp;row=4142&amp;col=6&amp;number=4.8&amp;sourceID=14","4.8")</f>
        <v>4.8</v>
      </c>
      <c r="G4142" s="4" t="str">
        <f>HYPERLINK("http://141.218.60.56/~jnz1568/getInfo.php?workbook=10_05.xlsx&amp;sheet=U0&amp;row=4142&amp;col=7&amp;number=0.0461&amp;sourceID=14","0.0461")</f>
        <v>0.0461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HYPERLINK("http://141.218.60.56/~jnz1568/getInfo.php?workbook=10_05.xlsx&amp;sheet=U0&amp;row=4143&amp;col=6&amp;number=4.9&amp;sourceID=14","4.9")</f>
        <v>4.9</v>
      </c>
      <c r="G4143" s="4" t="str">
        <f>HYPERLINK("http://141.218.60.56/~jnz1568/getInfo.php?workbook=10_05.xlsx&amp;sheet=U0&amp;row=4143&amp;col=7&amp;number=0.0421&amp;sourceID=14","0.0421")</f>
        <v>0.0421</v>
      </c>
    </row>
    <row r="4144" spans="1:7">
      <c r="A4144" s="3">
        <v>10</v>
      </c>
      <c r="B4144" s="3">
        <v>5</v>
      </c>
      <c r="C4144" s="3">
        <v>2</v>
      </c>
      <c r="D4144" s="3">
        <v>31</v>
      </c>
      <c r="E4144" s="3">
        <v>1</v>
      </c>
      <c r="F4144" s="4" t="str">
        <f>HYPERLINK("http://141.218.60.56/~jnz1568/getInfo.php?workbook=10_05.xlsx&amp;sheet=U0&amp;row=4144&amp;col=6&amp;number=3&amp;sourceID=14","3")</f>
        <v>3</v>
      </c>
      <c r="G4144" s="4" t="str">
        <f>HYPERLINK("http://141.218.60.56/~jnz1568/getInfo.php?workbook=10_05.xlsx&amp;sheet=U0&amp;row=4144&amp;col=7&amp;number=0.0896&amp;sourceID=14","0.0896")</f>
        <v>0.0896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HYPERLINK("http://141.218.60.56/~jnz1568/getInfo.php?workbook=10_05.xlsx&amp;sheet=U0&amp;row=4145&amp;col=6&amp;number=3.1&amp;sourceID=14","3.1")</f>
        <v>3.1</v>
      </c>
      <c r="G4145" s="4" t="str">
        <f>HYPERLINK("http://141.218.60.56/~jnz1568/getInfo.php?workbook=10_05.xlsx&amp;sheet=U0&amp;row=4145&amp;col=7&amp;number=0.0901&amp;sourceID=14","0.0901")</f>
        <v>0.0901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HYPERLINK("http://141.218.60.56/~jnz1568/getInfo.php?workbook=10_05.xlsx&amp;sheet=U0&amp;row=4146&amp;col=6&amp;number=3.2&amp;sourceID=14","3.2")</f>
        <v>3.2</v>
      </c>
      <c r="G4146" s="4" t="str">
        <f>HYPERLINK("http://141.218.60.56/~jnz1568/getInfo.php?workbook=10_05.xlsx&amp;sheet=U0&amp;row=4146&amp;col=7&amp;number=0.0908&amp;sourceID=14","0.0908")</f>
        <v>0.0908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HYPERLINK("http://141.218.60.56/~jnz1568/getInfo.php?workbook=10_05.xlsx&amp;sheet=U0&amp;row=4147&amp;col=6&amp;number=3.3&amp;sourceID=14","3.3")</f>
        <v>3.3</v>
      </c>
      <c r="G4147" s="4" t="str">
        <f>HYPERLINK("http://141.218.60.56/~jnz1568/getInfo.php?workbook=10_05.xlsx&amp;sheet=U0&amp;row=4147&amp;col=7&amp;number=0.0917&amp;sourceID=14","0.0917")</f>
        <v>0.0917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HYPERLINK("http://141.218.60.56/~jnz1568/getInfo.php?workbook=10_05.xlsx&amp;sheet=U0&amp;row=4148&amp;col=6&amp;number=3.4&amp;sourceID=14","3.4")</f>
        <v>3.4</v>
      </c>
      <c r="G4148" s="4" t="str">
        <f>HYPERLINK("http://141.218.60.56/~jnz1568/getInfo.php?workbook=10_05.xlsx&amp;sheet=U0&amp;row=4148&amp;col=7&amp;number=0.0928&amp;sourceID=14","0.0928")</f>
        <v>0.0928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HYPERLINK("http://141.218.60.56/~jnz1568/getInfo.php?workbook=10_05.xlsx&amp;sheet=U0&amp;row=4149&amp;col=6&amp;number=3.5&amp;sourceID=14","3.5")</f>
        <v>3.5</v>
      </c>
      <c r="G4149" s="4" t="str">
        <f>HYPERLINK("http://141.218.60.56/~jnz1568/getInfo.php?workbook=10_05.xlsx&amp;sheet=U0&amp;row=4149&amp;col=7&amp;number=0.0941&amp;sourceID=14","0.0941")</f>
        <v>0.0941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HYPERLINK("http://141.218.60.56/~jnz1568/getInfo.php?workbook=10_05.xlsx&amp;sheet=U0&amp;row=4150&amp;col=6&amp;number=3.6&amp;sourceID=14","3.6")</f>
        <v>3.6</v>
      </c>
      <c r="G4150" s="4" t="str">
        <f>HYPERLINK("http://141.218.60.56/~jnz1568/getInfo.php?workbook=10_05.xlsx&amp;sheet=U0&amp;row=4150&amp;col=7&amp;number=0.0956&amp;sourceID=14","0.0956")</f>
        <v>0.0956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HYPERLINK("http://141.218.60.56/~jnz1568/getInfo.php?workbook=10_05.xlsx&amp;sheet=U0&amp;row=4151&amp;col=6&amp;number=3.7&amp;sourceID=14","3.7")</f>
        <v>3.7</v>
      </c>
      <c r="G4151" s="4" t="str">
        <f>HYPERLINK("http://141.218.60.56/~jnz1568/getInfo.php?workbook=10_05.xlsx&amp;sheet=U0&amp;row=4151&amp;col=7&amp;number=0.0975&amp;sourceID=14","0.0975")</f>
        <v>0.0975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HYPERLINK("http://141.218.60.56/~jnz1568/getInfo.php?workbook=10_05.xlsx&amp;sheet=U0&amp;row=4152&amp;col=6&amp;number=3.8&amp;sourceID=14","3.8")</f>
        <v>3.8</v>
      </c>
      <c r="G4152" s="4" t="str">
        <f>HYPERLINK("http://141.218.60.56/~jnz1568/getInfo.php?workbook=10_05.xlsx&amp;sheet=U0&amp;row=4152&amp;col=7&amp;number=0.0995&amp;sourceID=14","0.0995")</f>
        <v>0.0995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HYPERLINK("http://141.218.60.56/~jnz1568/getInfo.php?workbook=10_05.xlsx&amp;sheet=U0&amp;row=4153&amp;col=6&amp;number=3.9&amp;sourceID=14","3.9")</f>
        <v>3.9</v>
      </c>
      <c r="G4153" s="4" t="str">
        <f>HYPERLINK("http://141.218.60.56/~jnz1568/getInfo.php?workbook=10_05.xlsx&amp;sheet=U0&amp;row=4153&amp;col=7&amp;number=0.102&amp;sourceID=14","0.102")</f>
        <v>0.102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HYPERLINK("http://141.218.60.56/~jnz1568/getInfo.php?workbook=10_05.xlsx&amp;sheet=U0&amp;row=4154&amp;col=6&amp;number=4&amp;sourceID=14","4")</f>
        <v>4</v>
      </c>
      <c r="G4154" s="4" t="str">
        <f>HYPERLINK("http://141.218.60.56/~jnz1568/getInfo.php?workbook=10_05.xlsx&amp;sheet=U0&amp;row=4154&amp;col=7&amp;number=0.104&amp;sourceID=14","0.104")</f>
        <v>0.104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HYPERLINK("http://141.218.60.56/~jnz1568/getInfo.php?workbook=10_05.xlsx&amp;sheet=U0&amp;row=4155&amp;col=6&amp;number=4.1&amp;sourceID=14","4.1")</f>
        <v>4.1</v>
      </c>
      <c r="G4155" s="4" t="str">
        <f>HYPERLINK("http://141.218.60.56/~jnz1568/getInfo.php?workbook=10_05.xlsx&amp;sheet=U0&amp;row=4155&amp;col=7&amp;number=0.105&amp;sourceID=14","0.105")</f>
        <v>0.105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HYPERLINK("http://141.218.60.56/~jnz1568/getInfo.php?workbook=10_05.xlsx&amp;sheet=U0&amp;row=4156&amp;col=6&amp;number=4.2&amp;sourceID=14","4.2")</f>
        <v>4.2</v>
      </c>
      <c r="G4156" s="4" t="str">
        <f>HYPERLINK("http://141.218.60.56/~jnz1568/getInfo.php?workbook=10_05.xlsx&amp;sheet=U0&amp;row=4156&amp;col=7&amp;number=0.104&amp;sourceID=14","0.104")</f>
        <v>0.104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HYPERLINK("http://141.218.60.56/~jnz1568/getInfo.php?workbook=10_05.xlsx&amp;sheet=U0&amp;row=4157&amp;col=6&amp;number=4.3&amp;sourceID=14","4.3")</f>
        <v>4.3</v>
      </c>
      <c r="G4157" s="4" t="str">
        <f>HYPERLINK("http://141.218.60.56/~jnz1568/getInfo.php?workbook=10_05.xlsx&amp;sheet=U0&amp;row=4157&amp;col=7&amp;number=0.101&amp;sourceID=14","0.101")</f>
        <v>0.101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HYPERLINK("http://141.218.60.56/~jnz1568/getInfo.php?workbook=10_05.xlsx&amp;sheet=U0&amp;row=4158&amp;col=6&amp;number=4.4&amp;sourceID=14","4.4")</f>
        <v>4.4</v>
      </c>
      <c r="G4158" s="4" t="str">
        <f>HYPERLINK("http://141.218.60.56/~jnz1568/getInfo.php?workbook=10_05.xlsx&amp;sheet=U0&amp;row=4158&amp;col=7&amp;number=0.0967&amp;sourceID=14","0.0967")</f>
        <v>0.0967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HYPERLINK("http://141.218.60.56/~jnz1568/getInfo.php?workbook=10_05.xlsx&amp;sheet=U0&amp;row=4159&amp;col=6&amp;number=4.5&amp;sourceID=14","4.5")</f>
        <v>4.5</v>
      </c>
      <c r="G4159" s="4" t="str">
        <f>HYPERLINK("http://141.218.60.56/~jnz1568/getInfo.php?workbook=10_05.xlsx&amp;sheet=U0&amp;row=4159&amp;col=7&amp;number=0.0915&amp;sourceID=14","0.0915")</f>
        <v>0.0915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HYPERLINK("http://141.218.60.56/~jnz1568/getInfo.php?workbook=10_05.xlsx&amp;sheet=U0&amp;row=4160&amp;col=6&amp;number=4.6&amp;sourceID=14","4.6")</f>
        <v>4.6</v>
      </c>
      <c r="G4160" s="4" t="str">
        <f>HYPERLINK("http://141.218.60.56/~jnz1568/getInfo.php?workbook=10_05.xlsx&amp;sheet=U0&amp;row=4160&amp;col=7&amp;number=0.0869&amp;sourceID=14","0.0869")</f>
        <v>0.0869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HYPERLINK("http://141.218.60.56/~jnz1568/getInfo.php?workbook=10_05.xlsx&amp;sheet=U0&amp;row=4161&amp;col=6&amp;number=4.7&amp;sourceID=14","4.7")</f>
        <v>4.7</v>
      </c>
      <c r="G4161" s="4" t="str">
        <f>HYPERLINK("http://141.218.60.56/~jnz1568/getInfo.php?workbook=10_05.xlsx&amp;sheet=U0&amp;row=4161&amp;col=7&amp;number=0.0824&amp;sourceID=14","0.0824")</f>
        <v>0.0824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HYPERLINK("http://141.218.60.56/~jnz1568/getInfo.php?workbook=10_05.xlsx&amp;sheet=U0&amp;row=4162&amp;col=6&amp;number=4.8&amp;sourceID=14","4.8")</f>
        <v>4.8</v>
      </c>
      <c r="G4162" s="4" t="str">
        <f>HYPERLINK("http://141.218.60.56/~jnz1568/getInfo.php?workbook=10_05.xlsx&amp;sheet=U0&amp;row=4162&amp;col=7&amp;number=0.0768&amp;sourceID=14","0.0768")</f>
        <v>0.0768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HYPERLINK("http://141.218.60.56/~jnz1568/getInfo.php?workbook=10_05.xlsx&amp;sheet=U0&amp;row=4163&amp;col=6&amp;number=4.9&amp;sourceID=14","4.9")</f>
        <v>4.9</v>
      </c>
      <c r="G4163" s="4" t="str">
        <f>HYPERLINK("http://141.218.60.56/~jnz1568/getInfo.php?workbook=10_05.xlsx&amp;sheet=U0&amp;row=4163&amp;col=7&amp;number=0.0705&amp;sourceID=14","0.0705")</f>
        <v>0.0705</v>
      </c>
    </row>
    <row r="4164" spans="1:7">
      <c r="A4164" s="3">
        <v>10</v>
      </c>
      <c r="B4164" s="3">
        <v>5</v>
      </c>
      <c r="C4164" s="3">
        <v>2</v>
      </c>
      <c r="D4164" s="3">
        <v>32</v>
      </c>
      <c r="E4164" s="3">
        <v>1</v>
      </c>
      <c r="F4164" s="4" t="str">
        <f>HYPERLINK("http://141.218.60.56/~jnz1568/getInfo.php?workbook=10_05.xlsx&amp;sheet=U0&amp;row=4164&amp;col=6&amp;number=3&amp;sourceID=14","3")</f>
        <v>3</v>
      </c>
      <c r="G4164" s="4" t="str">
        <f>HYPERLINK("http://141.218.60.56/~jnz1568/getInfo.php?workbook=10_05.xlsx&amp;sheet=U0&amp;row=4164&amp;col=7&amp;number=0.0741&amp;sourceID=14","0.0741")</f>
        <v>0.0741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HYPERLINK("http://141.218.60.56/~jnz1568/getInfo.php?workbook=10_05.xlsx&amp;sheet=U0&amp;row=4165&amp;col=6&amp;number=3.1&amp;sourceID=14","3.1")</f>
        <v>3.1</v>
      </c>
      <c r="G4165" s="4" t="str">
        <f>HYPERLINK("http://141.218.60.56/~jnz1568/getInfo.php?workbook=10_05.xlsx&amp;sheet=U0&amp;row=4165&amp;col=7&amp;number=0.0732&amp;sourceID=14","0.0732")</f>
        <v>0.0732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HYPERLINK("http://141.218.60.56/~jnz1568/getInfo.php?workbook=10_05.xlsx&amp;sheet=U0&amp;row=4166&amp;col=6&amp;number=3.2&amp;sourceID=14","3.2")</f>
        <v>3.2</v>
      </c>
      <c r="G4166" s="4" t="str">
        <f>HYPERLINK("http://141.218.60.56/~jnz1568/getInfo.php?workbook=10_05.xlsx&amp;sheet=U0&amp;row=4166&amp;col=7&amp;number=0.072&amp;sourceID=14","0.072")</f>
        <v>0.072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HYPERLINK("http://141.218.60.56/~jnz1568/getInfo.php?workbook=10_05.xlsx&amp;sheet=U0&amp;row=4167&amp;col=6&amp;number=3.3&amp;sourceID=14","3.3")</f>
        <v>3.3</v>
      </c>
      <c r="G4167" s="4" t="str">
        <f>HYPERLINK("http://141.218.60.56/~jnz1568/getInfo.php?workbook=10_05.xlsx&amp;sheet=U0&amp;row=4167&amp;col=7&amp;number=0.0706&amp;sourceID=14","0.0706")</f>
        <v>0.0706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HYPERLINK("http://141.218.60.56/~jnz1568/getInfo.php?workbook=10_05.xlsx&amp;sheet=U0&amp;row=4168&amp;col=6&amp;number=3.4&amp;sourceID=14","3.4")</f>
        <v>3.4</v>
      </c>
      <c r="G4168" s="4" t="str">
        <f>HYPERLINK("http://141.218.60.56/~jnz1568/getInfo.php?workbook=10_05.xlsx&amp;sheet=U0&amp;row=4168&amp;col=7&amp;number=0.0688&amp;sourceID=14","0.0688")</f>
        <v>0.0688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HYPERLINK("http://141.218.60.56/~jnz1568/getInfo.php?workbook=10_05.xlsx&amp;sheet=U0&amp;row=4169&amp;col=6&amp;number=3.5&amp;sourceID=14","3.5")</f>
        <v>3.5</v>
      </c>
      <c r="G4169" s="4" t="str">
        <f>HYPERLINK("http://141.218.60.56/~jnz1568/getInfo.php?workbook=10_05.xlsx&amp;sheet=U0&amp;row=4169&amp;col=7&amp;number=0.0666&amp;sourceID=14","0.0666")</f>
        <v>0.0666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HYPERLINK("http://141.218.60.56/~jnz1568/getInfo.php?workbook=10_05.xlsx&amp;sheet=U0&amp;row=4170&amp;col=6&amp;number=3.6&amp;sourceID=14","3.6")</f>
        <v>3.6</v>
      </c>
      <c r="G4170" s="4" t="str">
        <f>HYPERLINK("http://141.218.60.56/~jnz1568/getInfo.php?workbook=10_05.xlsx&amp;sheet=U0&amp;row=4170&amp;col=7&amp;number=0.064&amp;sourceID=14","0.064")</f>
        <v>0.064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HYPERLINK("http://141.218.60.56/~jnz1568/getInfo.php?workbook=10_05.xlsx&amp;sheet=U0&amp;row=4171&amp;col=6&amp;number=3.7&amp;sourceID=14","3.7")</f>
        <v>3.7</v>
      </c>
      <c r="G4171" s="4" t="str">
        <f>HYPERLINK("http://141.218.60.56/~jnz1568/getInfo.php?workbook=10_05.xlsx&amp;sheet=U0&amp;row=4171&amp;col=7&amp;number=0.061&amp;sourceID=14","0.061")</f>
        <v>0.061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HYPERLINK("http://141.218.60.56/~jnz1568/getInfo.php?workbook=10_05.xlsx&amp;sheet=U0&amp;row=4172&amp;col=6&amp;number=3.8&amp;sourceID=14","3.8")</f>
        <v>3.8</v>
      </c>
      <c r="G4172" s="4" t="str">
        <f>HYPERLINK("http://141.218.60.56/~jnz1568/getInfo.php?workbook=10_05.xlsx&amp;sheet=U0&amp;row=4172&amp;col=7&amp;number=0.0575&amp;sourceID=14","0.0575")</f>
        <v>0.0575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HYPERLINK("http://141.218.60.56/~jnz1568/getInfo.php?workbook=10_05.xlsx&amp;sheet=U0&amp;row=4173&amp;col=6&amp;number=3.9&amp;sourceID=14","3.9")</f>
        <v>3.9</v>
      </c>
      <c r="G4173" s="4" t="str">
        <f>HYPERLINK("http://141.218.60.56/~jnz1568/getInfo.php?workbook=10_05.xlsx&amp;sheet=U0&amp;row=4173&amp;col=7&amp;number=0.0539&amp;sourceID=14","0.0539")</f>
        <v>0.0539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HYPERLINK("http://141.218.60.56/~jnz1568/getInfo.php?workbook=10_05.xlsx&amp;sheet=U0&amp;row=4174&amp;col=6&amp;number=4&amp;sourceID=14","4")</f>
        <v>4</v>
      </c>
      <c r="G4174" s="4" t="str">
        <f>HYPERLINK("http://141.218.60.56/~jnz1568/getInfo.php?workbook=10_05.xlsx&amp;sheet=U0&amp;row=4174&amp;col=7&amp;number=0.0503&amp;sourceID=14","0.0503")</f>
        <v>0.0503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HYPERLINK("http://141.218.60.56/~jnz1568/getInfo.php?workbook=10_05.xlsx&amp;sheet=U0&amp;row=4175&amp;col=6&amp;number=4.1&amp;sourceID=14","4.1")</f>
        <v>4.1</v>
      </c>
      <c r="G4175" s="4" t="str">
        <f>HYPERLINK("http://141.218.60.56/~jnz1568/getInfo.php?workbook=10_05.xlsx&amp;sheet=U0&amp;row=4175&amp;col=7&amp;number=0.0472&amp;sourceID=14","0.0472")</f>
        <v>0.0472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HYPERLINK("http://141.218.60.56/~jnz1568/getInfo.php?workbook=10_05.xlsx&amp;sheet=U0&amp;row=4176&amp;col=6&amp;number=4.2&amp;sourceID=14","4.2")</f>
        <v>4.2</v>
      </c>
      <c r="G4176" s="4" t="str">
        <f>HYPERLINK("http://141.218.60.56/~jnz1568/getInfo.php?workbook=10_05.xlsx&amp;sheet=U0&amp;row=4176&amp;col=7&amp;number=0.0447&amp;sourceID=14","0.0447")</f>
        <v>0.0447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HYPERLINK("http://141.218.60.56/~jnz1568/getInfo.php?workbook=10_05.xlsx&amp;sheet=U0&amp;row=4177&amp;col=6&amp;number=4.3&amp;sourceID=14","4.3")</f>
        <v>4.3</v>
      </c>
      <c r="G4177" s="4" t="str">
        <f>HYPERLINK("http://141.218.60.56/~jnz1568/getInfo.php?workbook=10_05.xlsx&amp;sheet=U0&amp;row=4177&amp;col=7&amp;number=0.0426&amp;sourceID=14","0.0426")</f>
        <v>0.0426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HYPERLINK("http://141.218.60.56/~jnz1568/getInfo.php?workbook=10_05.xlsx&amp;sheet=U0&amp;row=4178&amp;col=6&amp;number=4.4&amp;sourceID=14","4.4")</f>
        <v>4.4</v>
      </c>
      <c r="G4178" s="4" t="str">
        <f>HYPERLINK("http://141.218.60.56/~jnz1568/getInfo.php?workbook=10_05.xlsx&amp;sheet=U0&amp;row=4178&amp;col=7&amp;number=0.0402&amp;sourceID=14","0.0402")</f>
        <v>0.0402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HYPERLINK("http://141.218.60.56/~jnz1568/getInfo.php?workbook=10_05.xlsx&amp;sheet=U0&amp;row=4179&amp;col=6&amp;number=4.5&amp;sourceID=14","4.5")</f>
        <v>4.5</v>
      </c>
      <c r="G4179" s="4" t="str">
        <f>HYPERLINK("http://141.218.60.56/~jnz1568/getInfo.php?workbook=10_05.xlsx&amp;sheet=U0&amp;row=4179&amp;col=7&amp;number=0.0375&amp;sourceID=14","0.0375")</f>
        <v>0.0375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HYPERLINK("http://141.218.60.56/~jnz1568/getInfo.php?workbook=10_05.xlsx&amp;sheet=U0&amp;row=4180&amp;col=6&amp;number=4.6&amp;sourceID=14","4.6")</f>
        <v>4.6</v>
      </c>
      <c r="G4180" s="4" t="str">
        <f>HYPERLINK("http://141.218.60.56/~jnz1568/getInfo.php?workbook=10_05.xlsx&amp;sheet=U0&amp;row=4180&amp;col=7&amp;number=0.0348&amp;sourceID=14","0.0348")</f>
        <v>0.0348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HYPERLINK("http://141.218.60.56/~jnz1568/getInfo.php?workbook=10_05.xlsx&amp;sheet=U0&amp;row=4181&amp;col=6&amp;number=4.7&amp;sourceID=14","4.7")</f>
        <v>4.7</v>
      </c>
      <c r="G4181" s="4" t="str">
        <f>HYPERLINK("http://141.218.60.56/~jnz1568/getInfo.php?workbook=10_05.xlsx&amp;sheet=U0&amp;row=4181&amp;col=7&amp;number=0.0324&amp;sourceID=14","0.0324")</f>
        <v>0.0324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HYPERLINK("http://141.218.60.56/~jnz1568/getInfo.php?workbook=10_05.xlsx&amp;sheet=U0&amp;row=4182&amp;col=6&amp;number=4.8&amp;sourceID=14","4.8")</f>
        <v>4.8</v>
      </c>
      <c r="G4182" s="4" t="str">
        <f>HYPERLINK("http://141.218.60.56/~jnz1568/getInfo.php?workbook=10_05.xlsx&amp;sheet=U0&amp;row=4182&amp;col=7&amp;number=0.0301&amp;sourceID=14","0.0301")</f>
        <v>0.0301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HYPERLINK("http://141.218.60.56/~jnz1568/getInfo.php?workbook=10_05.xlsx&amp;sheet=U0&amp;row=4183&amp;col=6&amp;number=4.9&amp;sourceID=14","4.9")</f>
        <v>4.9</v>
      </c>
      <c r="G4183" s="4" t="str">
        <f>HYPERLINK("http://141.218.60.56/~jnz1568/getInfo.php?workbook=10_05.xlsx&amp;sheet=U0&amp;row=4183&amp;col=7&amp;number=0.0275&amp;sourceID=14","0.0275")</f>
        <v>0.0275</v>
      </c>
    </row>
    <row r="4184" spans="1:7">
      <c r="A4184" s="3">
        <v>10</v>
      </c>
      <c r="B4184" s="3">
        <v>5</v>
      </c>
      <c r="C4184" s="3">
        <v>2</v>
      </c>
      <c r="D4184" s="3">
        <v>33</v>
      </c>
      <c r="E4184" s="3">
        <v>1</v>
      </c>
      <c r="F4184" s="4" t="str">
        <f>HYPERLINK("http://141.218.60.56/~jnz1568/getInfo.php?workbook=10_05.xlsx&amp;sheet=U0&amp;row=4184&amp;col=6&amp;number=3&amp;sourceID=14","3")</f>
        <v>3</v>
      </c>
      <c r="G4184" s="4" t="str">
        <f>HYPERLINK("http://141.218.60.56/~jnz1568/getInfo.php?workbook=10_05.xlsx&amp;sheet=U0&amp;row=4184&amp;col=7&amp;number=0.0131&amp;sourceID=14","0.0131")</f>
        <v>0.0131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HYPERLINK("http://141.218.60.56/~jnz1568/getInfo.php?workbook=10_05.xlsx&amp;sheet=U0&amp;row=4185&amp;col=6&amp;number=3.1&amp;sourceID=14","3.1")</f>
        <v>3.1</v>
      </c>
      <c r="G4185" s="4" t="str">
        <f>HYPERLINK("http://141.218.60.56/~jnz1568/getInfo.php?workbook=10_05.xlsx&amp;sheet=U0&amp;row=4185&amp;col=7&amp;number=0.0131&amp;sourceID=14","0.0131")</f>
        <v>0.0131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HYPERLINK("http://141.218.60.56/~jnz1568/getInfo.php?workbook=10_05.xlsx&amp;sheet=U0&amp;row=4186&amp;col=6&amp;number=3.2&amp;sourceID=14","3.2")</f>
        <v>3.2</v>
      </c>
      <c r="G4186" s="4" t="str">
        <f>HYPERLINK("http://141.218.60.56/~jnz1568/getInfo.php?workbook=10_05.xlsx&amp;sheet=U0&amp;row=4186&amp;col=7&amp;number=0.0131&amp;sourceID=14","0.0131")</f>
        <v>0.0131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HYPERLINK("http://141.218.60.56/~jnz1568/getInfo.php?workbook=10_05.xlsx&amp;sheet=U0&amp;row=4187&amp;col=6&amp;number=3.3&amp;sourceID=14","3.3")</f>
        <v>3.3</v>
      </c>
      <c r="G4187" s="4" t="str">
        <f>HYPERLINK("http://141.218.60.56/~jnz1568/getInfo.php?workbook=10_05.xlsx&amp;sheet=U0&amp;row=4187&amp;col=7&amp;number=0.0131&amp;sourceID=14","0.0131")</f>
        <v>0.0131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HYPERLINK("http://141.218.60.56/~jnz1568/getInfo.php?workbook=10_05.xlsx&amp;sheet=U0&amp;row=4188&amp;col=6&amp;number=3.4&amp;sourceID=14","3.4")</f>
        <v>3.4</v>
      </c>
      <c r="G4188" s="4" t="str">
        <f>HYPERLINK("http://141.218.60.56/~jnz1568/getInfo.php?workbook=10_05.xlsx&amp;sheet=U0&amp;row=4188&amp;col=7&amp;number=0.0131&amp;sourceID=14","0.0131")</f>
        <v>0.0131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HYPERLINK("http://141.218.60.56/~jnz1568/getInfo.php?workbook=10_05.xlsx&amp;sheet=U0&amp;row=4189&amp;col=6&amp;number=3.5&amp;sourceID=14","3.5")</f>
        <v>3.5</v>
      </c>
      <c r="G4189" s="4" t="str">
        <f>HYPERLINK("http://141.218.60.56/~jnz1568/getInfo.php?workbook=10_05.xlsx&amp;sheet=U0&amp;row=4189&amp;col=7&amp;number=0.0131&amp;sourceID=14","0.0131")</f>
        <v>0.0131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HYPERLINK("http://141.218.60.56/~jnz1568/getInfo.php?workbook=10_05.xlsx&amp;sheet=U0&amp;row=4190&amp;col=6&amp;number=3.6&amp;sourceID=14","3.6")</f>
        <v>3.6</v>
      </c>
      <c r="G4190" s="4" t="str">
        <f>HYPERLINK("http://141.218.60.56/~jnz1568/getInfo.php?workbook=10_05.xlsx&amp;sheet=U0&amp;row=4190&amp;col=7&amp;number=0.0131&amp;sourceID=14","0.0131")</f>
        <v>0.0131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HYPERLINK("http://141.218.60.56/~jnz1568/getInfo.php?workbook=10_05.xlsx&amp;sheet=U0&amp;row=4191&amp;col=6&amp;number=3.7&amp;sourceID=14","3.7")</f>
        <v>3.7</v>
      </c>
      <c r="G4191" s="4" t="str">
        <f>HYPERLINK("http://141.218.60.56/~jnz1568/getInfo.php?workbook=10_05.xlsx&amp;sheet=U0&amp;row=4191&amp;col=7&amp;number=0.0131&amp;sourceID=14","0.0131")</f>
        <v>0.0131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HYPERLINK("http://141.218.60.56/~jnz1568/getInfo.php?workbook=10_05.xlsx&amp;sheet=U0&amp;row=4192&amp;col=6&amp;number=3.8&amp;sourceID=14","3.8")</f>
        <v>3.8</v>
      </c>
      <c r="G4192" s="4" t="str">
        <f>HYPERLINK("http://141.218.60.56/~jnz1568/getInfo.php?workbook=10_05.xlsx&amp;sheet=U0&amp;row=4192&amp;col=7&amp;number=0.013&amp;sourceID=14","0.013")</f>
        <v>0.013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HYPERLINK("http://141.218.60.56/~jnz1568/getInfo.php?workbook=10_05.xlsx&amp;sheet=U0&amp;row=4193&amp;col=6&amp;number=3.9&amp;sourceID=14","3.9")</f>
        <v>3.9</v>
      </c>
      <c r="G4193" s="4" t="str">
        <f>HYPERLINK("http://141.218.60.56/~jnz1568/getInfo.php?workbook=10_05.xlsx&amp;sheet=U0&amp;row=4193&amp;col=7&amp;number=0.013&amp;sourceID=14","0.013")</f>
        <v>0.013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HYPERLINK("http://141.218.60.56/~jnz1568/getInfo.php?workbook=10_05.xlsx&amp;sheet=U0&amp;row=4194&amp;col=6&amp;number=4&amp;sourceID=14","4")</f>
        <v>4</v>
      </c>
      <c r="G4194" s="4" t="str">
        <f>HYPERLINK("http://141.218.60.56/~jnz1568/getInfo.php?workbook=10_05.xlsx&amp;sheet=U0&amp;row=4194&amp;col=7&amp;number=0.0129&amp;sourceID=14","0.0129")</f>
        <v>0.0129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HYPERLINK("http://141.218.60.56/~jnz1568/getInfo.php?workbook=10_05.xlsx&amp;sheet=U0&amp;row=4195&amp;col=6&amp;number=4.1&amp;sourceID=14","4.1")</f>
        <v>4.1</v>
      </c>
      <c r="G4195" s="4" t="str">
        <f>HYPERLINK("http://141.218.60.56/~jnz1568/getInfo.php?workbook=10_05.xlsx&amp;sheet=U0&amp;row=4195&amp;col=7&amp;number=0.0128&amp;sourceID=14","0.0128")</f>
        <v>0.0128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HYPERLINK("http://141.218.60.56/~jnz1568/getInfo.php?workbook=10_05.xlsx&amp;sheet=U0&amp;row=4196&amp;col=6&amp;number=4.2&amp;sourceID=14","4.2")</f>
        <v>4.2</v>
      </c>
      <c r="G4196" s="4" t="str">
        <f>HYPERLINK("http://141.218.60.56/~jnz1568/getInfo.php?workbook=10_05.xlsx&amp;sheet=U0&amp;row=4196&amp;col=7&amp;number=0.0127&amp;sourceID=14","0.0127")</f>
        <v>0.0127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HYPERLINK("http://141.218.60.56/~jnz1568/getInfo.php?workbook=10_05.xlsx&amp;sheet=U0&amp;row=4197&amp;col=6&amp;number=4.3&amp;sourceID=14","4.3")</f>
        <v>4.3</v>
      </c>
      <c r="G4197" s="4" t="str">
        <f>HYPERLINK("http://141.218.60.56/~jnz1568/getInfo.php?workbook=10_05.xlsx&amp;sheet=U0&amp;row=4197&amp;col=7&amp;number=0.0124&amp;sourceID=14","0.0124")</f>
        <v>0.0124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HYPERLINK("http://141.218.60.56/~jnz1568/getInfo.php?workbook=10_05.xlsx&amp;sheet=U0&amp;row=4198&amp;col=6&amp;number=4.4&amp;sourceID=14","4.4")</f>
        <v>4.4</v>
      </c>
      <c r="G4198" s="4" t="str">
        <f>HYPERLINK("http://141.218.60.56/~jnz1568/getInfo.php?workbook=10_05.xlsx&amp;sheet=U0&amp;row=4198&amp;col=7&amp;number=0.012&amp;sourceID=14","0.012")</f>
        <v>0.012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HYPERLINK("http://141.218.60.56/~jnz1568/getInfo.php?workbook=10_05.xlsx&amp;sheet=U0&amp;row=4199&amp;col=6&amp;number=4.5&amp;sourceID=14","4.5")</f>
        <v>4.5</v>
      </c>
      <c r="G4199" s="4" t="str">
        <f>HYPERLINK("http://141.218.60.56/~jnz1568/getInfo.php?workbook=10_05.xlsx&amp;sheet=U0&amp;row=4199&amp;col=7&amp;number=0.0114&amp;sourceID=14","0.0114")</f>
        <v>0.0114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HYPERLINK("http://141.218.60.56/~jnz1568/getInfo.php?workbook=10_05.xlsx&amp;sheet=U0&amp;row=4200&amp;col=6&amp;number=4.6&amp;sourceID=14","4.6")</f>
        <v>4.6</v>
      </c>
      <c r="G4200" s="4" t="str">
        <f>HYPERLINK("http://141.218.60.56/~jnz1568/getInfo.php?workbook=10_05.xlsx&amp;sheet=U0&amp;row=4200&amp;col=7&amp;number=0.0107&amp;sourceID=14","0.0107")</f>
        <v>0.0107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HYPERLINK("http://141.218.60.56/~jnz1568/getInfo.php?workbook=10_05.xlsx&amp;sheet=U0&amp;row=4201&amp;col=6&amp;number=4.7&amp;sourceID=14","4.7")</f>
        <v>4.7</v>
      </c>
      <c r="G4201" s="4" t="str">
        <f>HYPERLINK("http://141.218.60.56/~jnz1568/getInfo.php?workbook=10_05.xlsx&amp;sheet=U0&amp;row=4201&amp;col=7&amp;number=0.00995&amp;sourceID=14","0.00995")</f>
        <v>0.00995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HYPERLINK("http://141.218.60.56/~jnz1568/getInfo.php?workbook=10_05.xlsx&amp;sheet=U0&amp;row=4202&amp;col=6&amp;number=4.8&amp;sourceID=14","4.8")</f>
        <v>4.8</v>
      </c>
      <c r="G4202" s="4" t="str">
        <f>HYPERLINK("http://141.218.60.56/~jnz1568/getInfo.php?workbook=10_05.xlsx&amp;sheet=U0&amp;row=4202&amp;col=7&amp;number=0.00925&amp;sourceID=14","0.00925")</f>
        <v>0.00925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HYPERLINK("http://141.218.60.56/~jnz1568/getInfo.php?workbook=10_05.xlsx&amp;sheet=U0&amp;row=4203&amp;col=6&amp;number=4.9&amp;sourceID=14","4.9")</f>
        <v>4.9</v>
      </c>
      <c r="G4203" s="4" t="str">
        <f>HYPERLINK("http://141.218.60.56/~jnz1568/getInfo.php?workbook=10_05.xlsx&amp;sheet=U0&amp;row=4203&amp;col=7&amp;number=0.00856&amp;sourceID=14","0.00856")</f>
        <v>0.00856</v>
      </c>
    </row>
    <row r="4204" spans="1:7">
      <c r="A4204" s="3">
        <v>10</v>
      </c>
      <c r="B4204" s="3">
        <v>5</v>
      </c>
      <c r="C4204" s="3">
        <v>2</v>
      </c>
      <c r="D4204" s="3">
        <v>34</v>
      </c>
      <c r="E4204" s="3">
        <v>1</v>
      </c>
      <c r="F4204" s="4" t="str">
        <f>HYPERLINK("http://141.218.60.56/~jnz1568/getInfo.php?workbook=10_05.xlsx&amp;sheet=U0&amp;row=4204&amp;col=6&amp;number=3&amp;sourceID=14","3")</f>
        <v>3</v>
      </c>
      <c r="G4204" s="4" t="str">
        <f>HYPERLINK("http://141.218.60.56/~jnz1568/getInfo.php?workbook=10_05.xlsx&amp;sheet=U0&amp;row=4204&amp;col=7&amp;number=0.0308&amp;sourceID=14","0.0308")</f>
        <v>0.0308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HYPERLINK("http://141.218.60.56/~jnz1568/getInfo.php?workbook=10_05.xlsx&amp;sheet=U0&amp;row=4205&amp;col=6&amp;number=3.1&amp;sourceID=14","3.1")</f>
        <v>3.1</v>
      </c>
      <c r="G4205" s="4" t="str">
        <f>HYPERLINK("http://141.218.60.56/~jnz1568/getInfo.php?workbook=10_05.xlsx&amp;sheet=U0&amp;row=4205&amp;col=7&amp;number=0.0308&amp;sourceID=14","0.0308")</f>
        <v>0.0308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HYPERLINK("http://141.218.60.56/~jnz1568/getInfo.php?workbook=10_05.xlsx&amp;sheet=U0&amp;row=4206&amp;col=6&amp;number=3.2&amp;sourceID=14","3.2")</f>
        <v>3.2</v>
      </c>
      <c r="G4206" s="4" t="str">
        <f>HYPERLINK("http://141.218.60.56/~jnz1568/getInfo.php?workbook=10_05.xlsx&amp;sheet=U0&amp;row=4206&amp;col=7&amp;number=0.0308&amp;sourceID=14","0.0308")</f>
        <v>0.0308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HYPERLINK("http://141.218.60.56/~jnz1568/getInfo.php?workbook=10_05.xlsx&amp;sheet=U0&amp;row=4207&amp;col=6&amp;number=3.3&amp;sourceID=14","3.3")</f>
        <v>3.3</v>
      </c>
      <c r="G4207" s="4" t="str">
        <f>HYPERLINK("http://141.218.60.56/~jnz1568/getInfo.php?workbook=10_05.xlsx&amp;sheet=U0&amp;row=4207&amp;col=7&amp;number=0.0308&amp;sourceID=14","0.0308")</f>
        <v>0.0308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HYPERLINK("http://141.218.60.56/~jnz1568/getInfo.php?workbook=10_05.xlsx&amp;sheet=U0&amp;row=4208&amp;col=6&amp;number=3.4&amp;sourceID=14","3.4")</f>
        <v>3.4</v>
      </c>
      <c r="G4208" s="4" t="str">
        <f>HYPERLINK("http://141.218.60.56/~jnz1568/getInfo.php?workbook=10_05.xlsx&amp;sheet=U0&amp;row=4208&amp;col=7&amp;number=0.0309&amp;sourceID=14","0.0309")</f>
        <v>0.0309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HYPERLINK("http://141.218.60.56/~jnz1568/getInfo.php?workbook=10_05.xlsx&amp;sheet=U0&amp;row=4209&amp;col=6&amp;number=3.5&amp;sourceID=14","3.5")</f>
        <v>3.5</v>
      </c>
      <c r="G4209" s="4" t="str">
        <f>HYPERLINK("http://141.218.60.56/~jnz1568/getInfo.php?workbook=10_05.xlsx&amp;sheet=U0&amp;row=4209&amp;col=7&amp;number=0.0309&amp;sourceID=14","0.0309")</f>
        <v>0.0309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HYPERLINK("http://141.218.60.56/~jnz1568/getInfo.php?workbook=10_05.xlsx&amp;sheet=U0&amp;row=4210&amp;col=6&amp;number=3.6&amp;sourceID=14","3.6")</f>
        <v>3.6</v>
      </c>
      <c r="G4210" s="4" t="str">
        <f>HYPERLINK("http://141.218.60.56/~jnz1568/getInfo.php?workbook=10_05.xlsx&amp;sheet=U0&amp;row=4210&amp;col=7&amp;number=0.031&amp;sourceID=14","0.031")</f>
        <v>0.031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HYPERLINK("http://141.218.60.56/~jnz1568/getInfo.php?workbook=10_05.xlsx&amp;sheet=U0&amp;row=4211&amp;col=6&amp;number=3.7&amp;sourceID=14","3.7")</f>
        <v>3.7</v>
      </c>
      <c r="G4211" s="4" t="str">
        <f>HYPERLINK("http://141.218.60.56/~jnz1568/getInfo.php?workbook=10_05.xlsx&amp;sheet=U0&amp;row=4211&amp;col=7&amp;number=0.031&amp;sourceID=14","0.031")</f>
        <v>0.031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HYPERLINK("http://141.218.60.56/~jnz1568/getInfo.php?workbook=10_05.xlsx&amp;sheet=U0&amp;row=4212&amp;col=6&amp;number=3.8&amp;sourceID=14","3.8")</f>
        <v>3.8</v>
      </c>
      <c r="G4212" s="4" t="str">
        <f>HYPERLINK("http://141.218.60.56/~jnz1568/getInfo.php?workbook=10_05.xlsx&amp;sheet=U0&amp;row=4212&amp;col=7&amp;number=0.0311&amp;sourceID=14","0.0311")</f>
        <v>0.0311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HYPERLINK("http://141.218.60.56/~jnz1568/getInfo.php?workbook=10_05.xlsx&amp;sheet=U0&amp;row=4213&amp;col=6&amp;number=3.9&amp;sourceID=14","3.9")</f>
        <v>3.9</v>
      </c>
      <c r="G4213" s="4" t="str">
        <f>HYPERLINK("http://141.218.60.56/~jnz1568/getInfo.php?workbook=10_05.xlsx&amp;sheet=U0&amp;row=4213&amp;col=7&amp;number=0.0312&amp;sourceID=14","0.0312")</f>
        <v>0.0312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HYPERLINK("http://141.218.60.56/~jnz1568/getInfo.php?workbook=10_05.xlsx&amp;sheet=U0&amp;row=4214&amp;col=6&amp;number=4&amp;sourceID=14","4")</f>
        <v>4</v>
      </c>
      <c r="G4214" s="4" t="str">
        <f>HYPERLINK("http://141.218.60.56/~jnz1568/getInfo.php?workbook=10_05.xlsx&amp;sheet=U0&amp;row=4214&amp;col=7&amp;number=0.0312&amp;sourceID=14","0.0312")</f>
        <v>0.0312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HYPERLINK("http://141.218.60.56/~jnz1568/getInfo.php?workbook=10_05.xlsx&amp;sheet=U0&amp;row=4215&amp;col=6&amp;number=4.1&amp;sourceID=14","4.1")</f>
        <v>4.1</v>
      </c>
      <c r="G4215" s="4" t="str">
        <f>HYPERLINK("http://141.218.60.56/~jnz1568/getInfo.php?workbook=10_05.xlsx&amp;sheet=U0&amp;row=4215&amp;col=7&amp;number=0.0311&amp;sourceID=14","0.0311")</f>
        <v>0.0311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HYPERLINK("http://141.218.60.56/~jnz1568/getInfo.php?workbook=10_05.xlsx&amp;sheet=U0&amp;row=4216&amp;col=6&amp;number=4.2&amp;sourceID=14","4.2")</f>
        <v>4.2</v>
      </c>
      <c r="G4216" s="4" t="str">
        <f>HYPERLINK("http://141.218.60.56/~jnz1568/getInfo.php?workbook=10_05.xlsx&amp;sheet=U0&amp;row=4216&amp;col=7&amp;number=0.0309&amp;sourceID=14","0.0309")</f>
        <v>0.0309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HYPERLINK("http://141.218.60.56/~jnz1568/getInfo.php?workbook=10_05.xlsx&amp;sheet=U0&amp;row=4217&amp;col=6&amp;number=4.3&amp;sourceID=14","4.3")</f>
        <v>4.3</v>
      </c>
      <c r="G4217" s="4" t="str">
        <f>HYPERLINK("http://141.218.60.56/~jnz1568/getInfo.php?workbook=10_05.xlsx&amp;sheet=U0&amp;row=4217&amp;col=7&amp;number=0.0304&amp;sourceID=14","0.0304")</f>
        <v>0.0304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HYPERLINK("http://141.218.60.56/~jnz1568/getInfo.php?workbook=10_05.xlsx&amp;sheet=U0&amp;row=4218&amp;col=6&amp;number=4.4&amp;sourceID=14","4.4")</f>
        <v>4.4</v>
      </c>
      <c r="G4218" s="4" t="str">
        <f>HYPERLINK("http://141.218.60.56/~jnz1568/getInfo.php?workbook=10_05.xlsx&amp;sheet=U0&amp;row=4218&amp;col=7&amp;number=0.0295&amp;sourceID=14","0.0295")</f>
        <v>0.0295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HYPERLINK("http://141.218.60.56/~jnz1568/getInfo.php?workbook=10_05.xlsx&amp;sheet=U0&amp;row=4219&amp;col=6&amp;number=4.5&amp;sourceID=14","4.5")</f>
        <v>4.5</v>
      </c>
      <c r="G4219" s="4" t="str">
        <f>HYPERLINK("http://141.218.60.56/~jnz1568/getInfo.php?workbook=10_05.xlsx&amp;sheet=U0&amp;row=4219&amp;col=7&amp;number=0.0281&amp;sourceID=14","0.0281")</f>
        <v>0.0281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HYPERLINK("http://141.218.60.56/~jnz1568/getInfo.php?workbook=10_05.xlsx&amp;sheet=U0&amp;row=4220&amp;col=6&amp;number=4.6&amp;sourceID=14","4.6")</f>
        <v>4.6</v>
      </c>
      <c r="G4220" s="4" t="str">
        <f>HYPERLINK("http://141.218.60.56/~jnz1568/getInfo.php?workbook=10_05.xlsx&amp;sheet=U0&amp;row=4220&amp;col=7&amp;number=0.0263&amp;sourceID=14","0.0263")</f>
        <v>0.0263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HYPERLINK("http://141.218.60.56/~jnz1568/getInfo.php?workbook=10_05.xlsx&amp;sheet=U0&amp;row=4221&amp;col=6&amp;number=4.7&amp;sourceID=14","4.7")</f>
        <v>4.7</v>
      </c>
      <c r="G4221" s="4" t="str">
        <f>HYPERLINK("http://141.218.60.56/~jnz1568/getInfo.php?workbook=10_05.xlsx&amp;sheet=U0&amp;row=4221&amp;col=7&amp;number=0.0246&amp;sourceID=14","0.0246")</f>
        <v>0.0246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HYPERLINK("http://141.218.60.56/~jnz1568/getInfo.php?workbook=10_05.xlsx&amp;sheet=U0&amp;row=4222&amp;col=6&amp;number=4.8&amp;sourceID=14","4.8")</f>
        <v>4.8</v>
      </c>
      <c r="G4222" s="4" t="str">
        <f>HYPERLINK("http://141.218.60.56/~jnz1568/getInfo.php?workbook=10_05.xlsx&amp;sheet=U0&amp;row=4222&amp;col=7&amp;number=0.0229&amp;sourceID=14","0.0229")</f>
        <v>0.0229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HYPERLINK("http://141.218.60.56/~jnz1568/getInfo.php?workbook=10_05.xlsx&amp;sheet=U0&amp;row=4223&amp;col=6&amp;number=4.9&amp;sourceID=14","4.9")</f>
        <v>4.9</v>
      </c>
      <c r="G4223" s="4" t="str">
        <f>HYPERLINK("http://141.218.60.56/~jnz1568/getInfo.php?workbook=10_05.xlsx&amp;sheet=U0&amp;row=4223&amp;col=7&amp;number=0.0214&amp;sourceID=14","0.0214")</f>
        <v>0.0214</v>
      </c>
    </row>
    <row r="4224" spans="1:7">
      <c r="A4224" s="3">
        <v>10</v>
      </c>
      <c r="B4224" s="3">
        <v>5</v>
      </c>
      <c r="C4224" s="3">
        <v>2</v>
      </c>
      <c r="D4224" s="3">
        <v>35</v>
      </c>
      <c r="E4224" s="3">
        <v>1</v>
      </c>
      <c r="F4224" s="4" t="str">
        <f>HYPERLINK("http://141.218.60.56/~jnz1568/getInfo.php?workbook=10_05.xlsx&amp;sheet=U0&amp;row=4224&amp;col=6&amp;number=3&amp;sourceID=14","3")</f>
        <v>3</v>
      </c>
      <c r="G4224" s="4" t="str">
        <f>HYPERLINK("http://141.218.60.56/~jnz1568/getInfo.php?workbook=10_05.xlsx&amp;sheet=U0&amp;row=4224&amp;col=7&amp;number=0.0488&amp;sourceID=14","0.0488")</f>
        <v>0.0488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HYPERLINK("http://141.218.60.56/~jnz1568/getInfo.php?workbook=10_05.xlsx&amp;sheet=U0&amp;row=4225&amp;col=6&amp;number=3.1&amp;sourceID=14","3.1")</f>
        <v>3.1</v>
      </c>
      <c r="G4225" s="4" t="str">
        <f>HYPERLINK("http://141.218.60.56/~jnz1568/getInfo.php?workbook=10_05.xlsx&amp;sheet=U0&amp;row=4225&amp;col=7&amp;number=0.0491&amp;sourceID=14","0.0491")</f>
        <v>0.0491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HYPERLINK("http://141.218.60.56/~jnz1568/getInfo.php?workbook=10_05.xlsx&amp;sheet=U0&amp;row=4226&amp;col=6&amp;number=3.2&amp;sourceID=14","3.2")</f>
        <v>3.2</v>
      </c>
      <c r="G4226" s="4" t="str">
        <f>HYPERLINK("http://141.218.60.56/~jnz1568/getInfo.php?workbook=10_05.xlsx&amp;sheet=U0&amp;row=4226&amp;col=7&amp;number=0.0493&amp;sourceID=14","0.0493")</f>
        <v>0.0493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HYPERLINK("http://141.218.60.56/~jnz1568/getInfo.php?workbook=10_05.xlsx&amp;sheet=U0&amp;row=4227&amp;col=6&amp;number=3.3&amp;sourceID=14","3.3")</f>
        <v>3.3</v>
      </c>
      <c r="G4227" s="4" t="str">
        <f>HYPERLINK("http://141.218.60.56/~jnz1568/getInfo.php?workbook=10_05.xlsx&amp;sheet=U0&amp;row=4227&amp;col=7&amp;number=0.0497&amp;sourceID=14","0.0497")</f>
        <v>0.0497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HYPERLINK("http://141.218.60.56/~jnz1568/getInfo.php?workbook=10_05.xlsx&amp;sheet=U0&amp;row=4228&amp;col=6&amp;number=3.4&amp;sourceID=14","3.4")</f>
        <v>3.4</v>
      </c>
      <c r="G4228" s="4" t="str">
        <f>HYPERLINK("http://141.218.60.56/~jnz1568/getInfo.php?workbook=10_05.xlsx&amp;sheet=U0&amp;row=4228&amp;col=7&amp;number=0.0501&amp;sourceID=14","0.0501")</f>
        <v>0.0501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HYPERLINK("http://141.218.60.56/~jnz1568/getInfo.php?workbook=10_05.xlsx&amp;sheet=U0&amp;row=4229&amp;col=6&amp;number=3.5&amp;sourceID=14","3.5")</f>
        <v>3.5</v>
      </c>
      <c r="G4229" s="4" t="str">
        <f>HYPERLINK("http://141.218.60.56/~jnz1568/getInfo.php?workbook=10_05.xlsx&amp;sheet=U0&amp;row=4229&amp;col=7&amp;number=0.0507&amp;sourceID=14","0.0507")</f>
        <v>0.0507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HYPERLINK("http://141.218.60.56/~jnz1568/getInfo.php?workbook=10_05.xlsx&amp;sheet=U0&amp;row=4230&amp;col=6&amp;number=3.6&amp;sourceID=14","3.6")</f>
        <v>3.6</v>
      </c>
      <c r="G4230" s="4" t="str">
        <f>HYPERLINK("http://141.218.60.56/~jnz1568/getInfo.php?workbook=10_05.xlsx&amp;sheet=U0&amp;row=4230&amp;col=7&amp;number=0.0513&amp;sourceID=14","0.0513")</f>
        <v>0.0513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HYPERLINK("http://141.218.60.56/~jnz1568/getInfo.php?workbook=10_05.xlsx&amp;sheet=U0&amp;row=4231&amp;col=6&amp;number=3.7&amp;sourceID=14","3.7")</f>
        <v>3.7</v>
      </c>
      <c r="G4231" s="4" t="str">
        <f>HYPERLINK("http://141.218.60.56/~jnz1568/getInfo.php?workbook=10_05.xlsx&amp;sheet=U0&amp;row=4231&amp;col=7&amp;number=0.0521&amp;sourceID=14","0.0521")</f>
        <v>0.0521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HYPERLINK("http://141.218.60.56/~jnz1568/getInfo.php?workbook=10_05.xlsx&amp;sheet=U0&amp;row=4232&amp;col=6&amp;number=3.8&amp;sourceID=14","3.8")</f>
        <v>3.8</v>
      </c>
      <c r="G4232" s="4" t="str">
        <f>HYPERLINK("http://141.218.60.56/~jnz1568/getInfo.php?workbook=10_05.xlsx&amp;sheet=U0&amp;row=4232&amp;col=7&amp;number=0.053&amp;sourceID=14","0.053")</f>
        <v>0.053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HYPERLINK("http://141.218.60.56/~jnz1568/getInfo.php?workbook=10_05.xlsx&amp;sheet=U0&amp;row=4233&amp;col=6&amp;number=3.9&amp;sourceID=14","3.9")</f>
        <v>3.9</v>
      </c>
      <c r="G4233" s="4" t="str">
        <f>HYPERLINK("http://141.218.60.56/~jnz1568/getInfo.php?workbook=10_05.xlsx&amp;sheet=U0&amp;row=4233&amp;col=7&amp;number=0.054&amp;sourceID=14","0.054")</f>
        <v>0.054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HYPERLINK("http://141.218.60.56/~jnz1568/getInfo.php?workbook=10_05.xlsx&amp;sheet=U0&amp;row=4234&amp;col=6&amp;number=4&amp;sourceID=14","4")</f>
        <v>4</v>
      </c>
      <c r="G4234" s="4" t="str">
        <f>HYPERLINK("http://141.218.60.56/~jnz1568/getInfo.php?workbook=10_05.xlsx&amp;sheet=U0&amp;row=4234&amp;col=7&amp;number=0.0549&amp;sourceID=14","0.0549")</f>
        <v>0.0549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HYPERLINK("http://141.218.60.56/~jnz1568/getInfo.php?workbook=10_05.xlsx&amp;sheet=U0&amp;row=4235&amp;col=6&amp;number=4.1&amp;sourceID=14","4.1")</f>
        <v>4.1</v>
      </c>
      <c r="G4235" s="4" t="str">
        <f>HYPERLINK("http://141.218.60.56/~jnz1568/getInfo.php?workbook=10_05.xlsx&amp;sheet=U0&amp;row=4235&amp;col=7&amp;number=0.0557&amp;sourceID=14","0.0557")</f>
        <v>0.0557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HYPERLINK("http://141.218.60.56/~jnz1568/getInfo.php?workbook=10_05.xlsx&amp;sheet=U0&amp;row=4236&amp;col=6&amp;number=4.2&amp;sourceID=14","4.2")</f>
        <v>4.2</v>
      </c>
      <c r="G4236" s="4" t="str">
        <f>HYPERLINK("http://141.218.60.56/~jnz1568/getInfo.php?workbook=10_05.xlsx&amp;sheet=U0&amp;row=4236&amp;col=7&amp;number=0.0558&amp;sourceID=14","0.0558")</f>
        <v>0.0558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HYPERLINK("http://141.218.60.56/~jnz1568/getInfo.php?workbook=10_05.xlsx&amp;sheet=U0&amp;row=4237&amp;col=6&amp;number=4.3&amp;sourceID=14","4.3")</f>
        <v>4.3</v>
      </c>
      <c r="G4237" s="4" t="str">
        <f>HYPERLINK("http://141.218.60.56/~jnz1568/getInfo.php?workbook=10_05.xlsx&amp;sheet=U0&amp;row=4237&amp;col=7&amp;number=0.055&amp;sourceID=14","0.055")</f>
        <v>0.055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HYPERLINK("http://141.218.60.56/~jnz1568/getInfo.php?workbook=10_05.xlsx&amp;sheet=U0&amp;row=4238&amp;col=6&amp;number=4.4&amp;sourceID=14","4.4")</f>
        <v>4.4</v>
      </c>
      <c r="G4238" s="4" t="str">
        <f>HYPERLINK("http://141.218.60.56/~jnz1568/getInfo.php?workbook=10_05.xlsx&amp;sheet=U0&amp;row=4238&amp;col=7&amp;number=0.0531&amp;sourceID=14","0.0531")</f>
        <v>0.0531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HYPERLINK("http://141.218.60.56/~jnz1568/getInfo.php?workbook=10_05.xlsx&amp;sheet=U0&amp;row=4239&amp;col=6&amp;number=4.5&amp;sourceID=14","4.5")</f>
        <v>4.5</v>
      </c>
      <c r="G4239" s="4" t="str">
        <f>HYPERLINK("http://141.218.60.56/~jnz1568/getInfo.php?workbook=10_05.xlsx&amp;sheet=U0&amp;row=4239&amp;col=7&amp;number=0.0504&amp;sourceID=14","0.0504")</f>
        <v>0.0504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HYPERLINK("http://141.218.60.56/~jnz1568/getInfo.php?workbook=10_05.xlsx&amp;sheet=U0&amp;row=4240&amp;col=6&amp;number=4.6&amp;sourceID=14","4.6")</f>
        <v>4.6</v>
      </c>
      <c r="G4240" s="4" t="str">
        <f>HYPERLINK("http://141.218.60.56/~jnz1568/getInfo.php?workbook=10_05.xlsx&amp;sheet=U0&amp;row=4240&amp;col=7&amp;number=0.0476&amp;sourceID=14","0.0476")</f>
        <v>0.0476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HYPERLINK("http://141.218.60.56/~jnz1568/getInfo.php?workbook=10_05.xlsx&amp;sheet=U0&amp;row=4241&amp;col=6&amp;number=4.7&amp;sourceID=14","4.7")</f>
        <v>4.7</v>
      </c>
      <c r="G4241" s="4" t="str">
        <f>HYPERLINK("http://141.218.60.56/~jnz1568/getInfo.php?workbook=10_05.xlsx&amp;sheet=U0&amp;row=4241&amp;col=7&amp;number=0.0451&amp;sourceID=14","0.0451")</f>
        <v>0.0451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HYPERLINK("http://141.218.60.56/~jnz1568/getInfo.php?workbook=10_05.xlsx&amp;sheet=U0&amp;row=4242&amp;col=6&amp;number=4.8&amp;sourceID=14","4.8")</f>
        <v>4.8</v>
      </c>
      <c r="G4242" s="4" t="str">
        <f>HYPERLINK("http://141.218.60.56/~jnz1568/getInfo.php?workbook=10_05.xlsx&amp;sheet=U0&amp;row=4242&amp;col=7&amp;number=0.0426&amp;sourceID=14","0.0426")</f>
        <v>0.0426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HYPERLINK("http://141.218.60.56/~jnz1568/getInfo.php?workbook=10_05.xlsx&amp;sheet=U0&amp;row=4243&amp;col=6&amp;number=4.9&amp;sourceID=14","4.9")</f>
        <v>4.9</v>
      </c>
      <c r="G4243" s="4" t="str">
        <f>HYPERLINK("http://141.218.60.56/~jnz1568/getInfo.php?workbook=10_05.xlsx&amp;sheet=U0&amp;row=4243&amp;col=7&amp;number=0.0396&amp;sourceID=14","0.0396")</f>
        <v>0.0396</v>
      </c>
    </row>
    <row r="4244" spans="1:7">
      <c r="A4244" s="3">
        <v>10</v>
      </c>
      <c r="B4244" s="3">
        <v>5</v>
      </c>
      <c r="C4244" s="3">
        <v>2</v>
      </c>
      <c r="D4244" s="3">
        <v>36</v>
      </c>
      <c r="E4244" s="3">
        <v>1</v>
      </c>
      <c r="F4244" s="4" t="str">
        <f>HYPERLINK("http://141.218.60.56/~jnz1568/getInfo.php?workbook=10_05.xlsx&amp;sheet=U0&amp;row=4244&amp;col=6&amp;number=3&amp;sourceID=14","3")</f>
        <v>3</v>
      </c>
      <c r="G4244" s="4" t="str">
        <f>HYPERLINK("http://141.218.60.56/~jnz1568/getInfo.php?workbook=10_05.xlsx&amp;sheet=U0&amp;row=4244&amp;col=7&amp;number=0.0614&amp;sourceID=14","0.0614")</f>
        <v>0.0614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HYPERLINK("http://141.218.60.56/~jnz1568/getInfo.php?workbook=10_05.xlsx&amp;sheet=U0&amp;row=4245&amp;col=6&amp;number=3.1&amp;sourceID=14","3.1")</f>
        <v>3.1</v>
      </c>
      <c r="G4245" s="4" t="str">
        <f>HYPERLINK("http://141.218.60.56/~jnz1568/getInfo.php?workbook=10_05.xlsx&amp;sheet=U0&amp;row=4245&amp;col=7&amp;number=0.0613&amp;sourceID=14","0.0613")</f>
        <v>0.0613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HYPERLINK("http://141.218.60.56/~jnz1568/getInfo.php?workbook=10_05.xlsx&amp;sheet=U0&amp;row=4246&amp;col=6&amp;number=3.2&amp;sourceID=14","3.2")</f>
        <v>3.2</v>
      </c>
      <c r="G4246" s="4" t="str">
        <f>HYPERLINK("http://141.218.60.56/~jnz1568/getInfo.php?workbook=10_05.xlsx&amp;sheet=U0&amp;row=4246&amp;col=7&amp;number=0.0611&amp;sourceID=14","0.0611")</f>
        <v>0.0611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HYPERLINK("http://141.218.60.56/~jnz1568/getInfo.php?workbook=10_05.xlsx&amp;sheet=U0&amp;row=4247&amp;col=6&amp;number=3.3&amp;sourceID=14","3.3")</f>
        <v>3.3</v>
      </c>
      <c r="G4247" s="4" t="str">
        <f>HYPERLINK("http://141.218.60.56/~jnz1568/getInfo.php?workbook=10_05.xlsx&amp;sheet=U0&amp;row=4247&amp;col=7&amp;number=0.0609&amp;sourceID=14","0.0609")</f>
        <v>0.0609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HYPERLINK("http://141.218.60.56/~jnz1568/getInfo.php?workbook=10_05.xlsx&amp;sheet=U0&amp;row=4248&amp;col=6&amp;number=3.4&amp;sourceID=14","3.4")</f>
        <v>3.4</v>
      </c>
      <c r="G4248" s="4" t="str">
        <f>HYPERLINK("http://141.218.60.56/~jnz1568/getInfo.php?workbook=10_05.xlsx&amp;sheet=U0&amp;row=4248&amp;col=7&amp;number=0.0606&amp;sourceID=14","0.0606")</f>
        <v>0.0606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HYPERLINK("http://141.218.60.56/~jnz1568/getInfo.php?workbook=10_05.xlsx&amp;sheet=U0&amp;row=4249&amp;col=6&amp;number=3.5&amp;sourceID=14","3.5")</f>
        <v>3.5</v>
      </c>
      <c r="G4249" s="4" t="str">
        <f>HYPERLINK("http://141.218.60.56/~jnz1568/getInfo.php?workbook=10_05.xlsx&amp;sheet=U0&amp;row=4249&amp;col=7&amp;number=0.0603&amp;sourceID=14","0.0603")</f>
        <v>0.0603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HYPERLINK("http://141.218.60.56/~jnz1568/getInfo.php?workbook=10_05.xlsx&amp;sheet=U0&amp;row=4250&amp;col=6&amp;number=3.6&amp;sourceID=14","3.6")</f>
        <v>3.6</v>
      </c>
      <c r="G4250" s="4" t="str">
        <f>HYPERLINK("http://141.218.60.56/~jnz1568/getInfo.php?workbook=10_05.xlsx&amp;sheet=U0&amp;row=4250&amp;col=7&amp;number=0.0599&amp;sourceID=14","0.0599")</f>
        <v>0.0599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HYPERLINK("http://141.218.60.56/~jnz1568/getInfo.php?workbook=10_05.xlsx&amp;sheet=U0&amp;row=4251&amp;col=6&amp;number=3.7&amp;sourceID=14","3.7")</f>
        <v>3.7</v>
      </c>
      <c r="G4251" s="4" t="str">
        <f>HYPERLINK("http://141.218.60.56/~jnz1568/getInfo.php?workbook=10_05.xlsx&amp;sheet=U0&amp;row=4251&amp;col=7&amp;number=0.0594&amp;sourceID=14","0.0594")</f>
        <v>0.0594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HYPERLINK("http://141.218.60.56/~jnz1568/getInfo.php?workbook=10_05.xlsx&amp;sheet=U0&amp;row=4252&amp;col=6&amp;number=3.8&amp;sourceID=14","3.8")</f>
        <v>3.8</v>
      </c>
      <c r="G4252" s="4" t="str">
        <f>HYPERLINK("http://141.218.60.56/~jnz1568/getInfo.php?workbook=10_05.xlsx&amp;sheet=U0&amp;row=4252&amp;col=7&amp;number=0.0587&amp;sourceID=14","0.0587")</f>
        <v>0.0587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HYPERLINK("http://141.218.60.56/~jnz1568/getInfo.php?workbook=10_05.xlsx&amp;sheet=U0&amp;row=4253&amp;col=6&amp;number=3.9&amp;sourceID=14","3.9")</f>
        <v>3.9</v>
      </c>
      <c r="G4253" s="4" t="str">
        <f>HYPERLINK("http://141.218.60.56/~jnz1568/getInfo.php?workbook=10_05.xlsx&amp;sheet=U0&amp;row=4253&amp;col=7&amp;number=0.0579&amp;sourceID=14","0.0579")</f>
        <v>0.0579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HYPERLINK("http://141.218.60.56/~jnz1568/getInfo.php?workbook=10_05.xlsx&amp;sheet=U0&amp;row=4254&amp;col=6&amp;number=4&amp;sourceID=14","4")</f>
        <v>4</v>
      </c>
      <c r="G4254" s="4" t="str">
        <f>HYPERLINK("http://141.218.60.56/~jnz1568/getInfo.php?workbook=10_05.xlsx&amp;sheet=U0&amp;row=4254&amp;col=7&amp;number=0.0569&amp;sourceID=14","0.0569")</f>
        <v>0.0569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HYPERLINK("http://141.218.60.56/~jnz1568/getInfo.php?workbook=10_05.xlsx&amp;sheet=U0&amp;row=4255&amp;col=6&amp;number=4.1&amp;sourceID=14","4.1")</f>
        <v>4.1</v>
      </c>
      <c r="G4255" s="4" t="str">
        <f>HYPERLINK("http://141.218.60.56/~jnz1568/getInfo.php?workbook=10_05.xlsx&amp;sheet=U0&amp;row=4255&amp;col=7&amp;number=0.0557&amp;sourceID=14","0.0557")</f>
        <v>0.0557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HYPERLINK("http://141.218.60.56/~jnz1568/getInfo.php?workbook=10_05.xlsx&amp;sheet=U0&amp;row=4256&amp;col=6&amp;number=4.2&amp;sourceID=14","4.2")</f>
        <v>4.2</v>
      </c>
      <c r="G4256" s="4" t="str">
        <f>HYPERLINK("http://141.218.60.56/~jnz1568/getInfo.php?workbook=10_05.xlsx&amp;sheet=U0&amp;row=4256&amp;col=7&amp;number=0.0541&amp;sourceID=14","0.0541")</f>
        <v>0.0541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HYPERLINK("http://141.218.60.56/~jnz1568/getInfo.php?workbook=10_05.xlsx&amp;sheet=U0&amp;row=4257&amp;col=6&amp;number=4.3&amp;sourceID=14","4.3")</f>
        <v>4.3</v>
      </c>
      <c r="G4257" s="4" t="str">
        <f>HYPERLINK("http://141.218.60.56/~jnz1568/getInfo.php?workbook=10_05.xlsx&amp;sheet=U0&amp;row=4257&amp;col=7&amp;number=0.0523&amp;sourceID=14","0.0523")</f>
        <v>0.0523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HYPERLINK("http://141.218.60.56/~jnz1568/getInfo.php?workbook=10_05.xlsx&amp;sheet=U0&amp;row=4258&amp;col=6&amp;number=4.4&amp;sourceID=14","4.4")</f>
        <v>4.4</v>
      </c>
      <c r="G4258" s="4" t="str">
        <f>HYPERLINK("http://141.218.60.56/~jnz1568/getInfo.php?workbook=10_05.xlsx&amp;sheet=U0&amp;row=4258&amp;col=7&amp;number=0.0501&amp;sourceID=14","0.0501")</f>
        <v>0.0501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HYPERLINK("http://141.218.60.56/~jnz1568/getInfo.php?workbook=10_05.xlsx&amp;sheet=U0&amp;row=4259&amp;col=6&amp;number=4.5&amp;sourceID=14","4.5")</f>
        <v>4.5</v>
      </c>
      <c r="G4259" s="4" t="str">
        <f>HYPERLINK("http://141.218.60.56/~jnz1568/getInfo.php?workbook=10_05.xlsx&amp;sheet=U0&amp;row=4259&amp;col=7&amp;number=0.0476&amp;sourceID=14","0.0476")</f>
        <v>0.0476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HYPERLINK("http://141.218.60.56/~jnz1568/getInfo.php?workbook=10_05.xlsx&amp;sheet=U0&amp;row=4260&amp;col=6&amp;number=4.6&amp;sourceID=14","4.6")</f>
        <v>4.6</v>
      </c>
      <c r="G4260" s="4" t="str">
        <f>HYPERLINK("http://141.218.60.56/~jnz1568/getInfo.php?workbook=10_05.xlsx&amp;sheet=U0&amp;row=4260&amp;col=7&amp;number=0.0447&amp;sourceID=14","0.0447")</f>
        <v>0.0447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HYPERLINK("http://141.218.60.56/~jnz1568/getInfo.php?workbook=10_05.xlsx&amp;sheet=U0&amp;row=4261&amp;col=6&amp;number=4.7&amp;sourceID=14","4.7")</f>
        <v>4.7</v>
      </c>
      <c r="G4261" s="4" t="str">
        <f>HYPERLINK("http://141.218.60.56/~jnz1568/getInfo.php?workbook=10_05.xlsx&amp;sheet=U0&amp;row=4261&amp;col=7&amp;number=0.0416&amp;sourceID=14","0.0416")</f>
        <v>0.0416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HYPERLINK("http://141.218.60.56/~jnz1568/getInfo.php?workbook=10_05.xlsx&amp;sheet=U0&amp;row=4262&amp;col=6&amp;number=4.8&amp;sourceID=14","4.8")</f>
        <v>4.8</v>
      </c>
      <c r="G4262" s="4" t="str">
        <f>HYPERLINK("http://141.218.60.56/~jnz1568/getInfo.php?workbook=10_05.xlsx&amp;sheet=U0&amp;row=4262&amp;col=7&amp;number=0.0382&amp;sourceID=14","0.0382")</f>
        <v>0.0382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HYPERLINK("http://141.218.60.56/~jnz1568/getInfo.php?workbook=10_05.xlsx&amp;sheet=U0&amp;row=4263&amp;col=6&amp;number=4.9&amp;sourceID=14","4.9")</f>
        <v>4.9</v>
      </c>
      <c r="G4263" s="4" t="str">
        <f>HYPERLINK("http://141.218.60.56/~jnz1568/getInfo.php?workbook=10_05.xlsx&amp;sheet=U0&amp;row=4263&amp;col=7&amp;number=0.0349&amp;sourceID=14","0.0349")</f>
        <v>0.0349</v>
      </c>
    </row>
    <row r="4264" spans="1:7">
      <c r="A4264" s="3">
        <v>10</v>
      </c>
      <c r="B4264" s="3">
        <v>5</v>
      </c>
      <c r="C4264" s="3">
        <v>2</v>
      </c>
      <c r="D4264" s="3">
        <v>37</v>
      </c>
      <c r="E4264" s="3">
        <v>1</v>
      </c>
      <c r="F4264" s="4" t="str">
        <f>HYPERLINK("http://141.218.60.56/~jnz1568/getInfo.php?workbook=10_05.xlsx&amp;sheet=U0&amp;row=4264&amp;col=6&amp;number=3&amp;sourceID=14","3")</f>
        <v>3</v>
      </c>
      <c r="G4264" s="4" t="str">
        <f>HYPERLINK("http://141.218.60.56/~jnz1568/getInfo.php?workbook=10_05.xlsx&amp;sheet=U0&amp;row=4264&amp;col=7&amp;number=0.164&amp;sourceID=14","0.164")</f>
        <v>0.164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HYPERLINK("http://141.218.60.56/~jnz1568/getInfo.php?workbook=10_05.xlsx&amp;sheet=U0&amp;row=4265&amp;col=6&amp;number=3.1&amp;sourceID=14","3.1")</f>
        <v>3.1</v>
      </c>
      <c r="G4265" s="4" t="str">
        <f>HYPERLINK("http://141.218.60.56/~jnz1568/getInfo.php?workbook=10_05.xlsx&amp;sheet=U0&amp;row=4265&amp;col=7&amp;number=0.164&amp;sourceID=14","0.164")</f>
        <v>0.164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HYPERLINK("http://141.218.60.56/~jnz1568/getInfo.php?workbook=10_05.xlsx&amp;sheet=U0&amp;row=4266&amp;col=6&amp;number=3.2&amp;sourceID=14","3.2")</f>
        <v>3.2</v>
      </c>
      <c r="G4266" s="4" t="str">
        <f>HYPERLINK("http://141.218.60.56/~jnz1568/getInfo.php?workbook=10_05.xlsx&amp;sheet=U0&amp;row=4266&amp;col=7&amp;number=0.163&amp;sourceID=14","0.163")</f>
        <v>0.163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HYPERLINK("http://141.218.60.56/~jnz1568/getInfo.php?workbook=10_05.xlsx&amp;sheet=U0&amp;row=4267&amp;col=6&amp;number=3.3&amp;sourceID=14","3.3")</f>
        <v>3.3</v>
      </c>
      <c r="G4267" s="4" t="str">
        <f>HYPERLINK("http://141.218.60.56/~jnz1568/getInfo.php?workbook=10_05.xlsx&amp;sheet=U0&amp;row=4267&amp;col=7&amp;number=0.163&amp;sourceID=14","0.163")</f>
        <v>0.163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HYPERLINK("http://141.218.60.56/~jnz1568/getInfo.php?workbook=10_05.xlsx&amp;sheet=U0&amp;row=4268&amp;col=6&amp;number=3.4&amp;sourceID=14","3.4")</f>
        <v>3.4</v>
      </c>
      <c r="G4268" s="4" t="str">
        <f>HYPERLINK("http://141.218.60.56/~jnz1568/getInfo.php?workbook=10_05.xlsx&amp;sheet=U0&amp;row=4268&amp;col=7&amp;number=0.162&amp;sourceID=14","0.162")</f>
        <v>0.162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HYPERLINK("http://141.218.60.56/~jnz1568/getInfo.php?workbook=10_05.xlsx&amp;sheet=U0&amp;row=4269&amp;col=6&amp;number=3.5&amp;sourceID=14","3.5")</f>
        <v>3.5</v>
      </c>
      <c r="G4269" s="4" t="str">
        <f>HYPERLINK("http://141.218.60.56/~jnz1568/getInfo.php?workbook=10_05.xlsx&amp;sheet=U0&amp;row=4269&amp;col=7&amp;number=0.162&amp;sourceID=14","0.162")</f>
        <v>0.162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HYPERLINK("http://141.218.60.56/~jnz1568/getInfo.php?workbook=10_05.xlsx&amp;sheet=U0&amp;row=4270&amp;col=6&amp;number=3.6&amp;sourceID=14","3.6")</f>
        <v>3.6</v>
      </c>
      <c r="G4270" s="4" t="str">
        <f>HYPERLINK("http://141.218.60.56/~jnz1568/getInfo.php?workbook=10_05.xlsx&amp;sheet=U0&amp;row=4270&amp;col=7&amp;number=0.161&amp;sourceID=14","0.161")</f>
        <v>0.161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HYPERLINK("http://141.218.60.56/~jnz1568/getInfo.php?workbook=10_05.xlsx&amp;sheet=U0&amp;row=4271&amp;col=6&amp;number=3.7&amp;sourceID=14","3.7")</f>
        <v>3.7</v>
      </c>
      <c r="G4271" s="4" t="str">
        <f>HYPERLINK("http://141.218.60.56/~jnz1568/getInfo.php?workbook=10_05.xlsx&amp;sheet=U0&amp;row=4271&amp;col=7&amp;number=0.16&amp;sourceID=14","0.16")</f>
        <v>0.16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HYPERLINK("http://141.218.60.56/~jnz1568/getInfo.php?workbook=10_05.xlsx&amp;sheet=U0&amp;row=4272&amp;col=6&amp;number=3.8&amp;sourceID=14","3.8")</f>
        <v>3.8</v>
      </c>
      <c r="G4272" s="4" t="str">
        <f>HYPERLINK("http://141.218.60.56/~jnz1568/getInfo.php?workbook=10_05.xlsx&amp;sheet=U0&amp;row=4272&amp;col=7&amp;number=0.158&amp;sourceID=14","0.158")</f>
        <v>0.158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HYPERLINK("http://141.218.60.56/~jnz1568/getInfo.php?workbook=10_05.xlsx&amp;sheet=U0&amp;row=4273&amp;col=6&amp;number=3.9&amp;sourceID=14","3.9")</f>
        <v>3.9</v>
      </c>
      <c r="G4273" s="4" t="str">
        <f>HYPERLINK("http://141.218.60.56/~jnz1568/getInfo.php?workbook=10_05.xlsx&amp;sheet=U0&amp;row=4273&amp;col=7&amp;number=0.156&amp;sourceID=14","0.156")</f>
        <v>0.156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HYPERLINK("http://141.218.60.56/~jnz1568/getInfo.php?workbook=10_05.xlsx&amp;sheet=U0&amp;row=4274&amp;col=6&amp;number=4&amp;sourceID=14","4")</f>
        <v>4</v>
      </c>
      <c r="G4274" s="4" t="str">
        <f>HYPERLINK("http://141.218.60.56/~jnz1568/getInfo.php?workbook=10_05.xlsx&amp;sheet=U0&amp;row=4274&amp;col=7&amp;number=0.154&amp;sourceID=14","0.154")</f>
        <v>0.154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HYPERLINK("http://141.218.60.56/~jnz1568/getInfo.php?workbook=10_05.xlsx&amp;sheet=U0&amp;row=4275&amp;col=6&amp;number=4.1&amp;sourceID=14","4.1")</f>
        <v>4.1</v>
      </c>
      <c r="G4275" s="4" t="str">
        <f>HYPERLINK("http://141.218.60.56/~jnz1568/getInfo.php?workbook=10_05.xlsx&amp;sheet=U0&amp;row=4275&amp;col=7&amp;number=0.152&amp;sourceID=14","0.152")</f>
        <v>0.152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HYPERLINK("http://141.218.60.56/~jnz1568/getInfo.php?workbook=10_05.xlsx&amp;sheet=U0&amp;row=4276&amp;col=6&amp;number=4.2&amp;sourceID=14","4.2")</f>
        <v>4.2</v>
      </c>
      <c r="G4276" s="4" t="str">
        <f>HYPERLINK("http://141.218.60.56/~jnz1568/getInfo.php?workbook=10_05.xlsx&amp;sheet=U0&amp;row=4276&amp;col=7&amp;number=0.149&amp;sourceID=14","0.149")</f>
        <v>0.149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HYPERLINK("http://141.218.60.56/~jnz1568/getInfo.php?workbook=10_05.xlsx&amp;sheet=U0&amp;row=4277&amp;col=6&amp;number=4.3&amp;sourceID=14","4.3")</f>
        <v>4.3</v>
      </c>
      <c r="G4277" s="4" t="str">
        <f>HYPERLINK("http://141.218.60.56/~jnz1568/getInfo.php?workbook=10_05.xlsx&amp;sheet=U0&amp;row=4277&amp;col=7&amp;number=0.145&amp;sourceID=14","0.145")</f>
        <v>0.145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HYPERLINK("http://141.218.60.56/~jnz1568/getInfo.php?workbook=10_05.xlsx&amp;sheet=U0&amp;row=4278&amp;col=6&amp;number=4.4&amp;sourceID=14","4.4")</f>
        <v>4.4</v>
      </c>
      <c r="G4278" s="4" t="str">
        <f>HYPERLINK("http://141.218.60.56/~jnz1568/getInfo.php?workbook=10_05.xlsx&amp;sheet=U0&amp;row=4278&amp;col=7&amp;number=0.14&amp;sourceID=14","0.14")</f>
        <v>0.14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HYPERLINK("http://141.218.60.56/~jnz1568/getInfo.php?workbook=10_05.xlsx&amp;sheet=U0&amp;row=4279&amp;col=6&amp;number=4.5&amp;sourceID=14","4.5")</f>
        <v>4.5</v>
      </c>
      <c r="G4279" s="4" t="str">
        <f>HYPERLINK("http://141.218.60.56/~jnz1568/getInfo.php?workbook=10_05.xlsx&amp;sheet=U0&amp;row=4279&amp;col=7&amp;number=0.135&amp;sourceID=14","0.135")</f>
        <v>0.135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HYPERLINK("http://141.218.60.56/~jnz1568/getInfo.php?workbook=10_05.xlsx&amp;sheet=U0&amp;row=4280&amp;col=6&amp;number=4.6&amp;sourceID=14","4.6")</f>
        <v>4.6</v>
      </c>
      <c r="G4280" s="4" t="str">
        <f>HYPERLINK("http://141.218.60.56/~jnz1568/getInfo.php?workbook=10_05.xlsx&amp;sheet=U0&amp;row=4280&amp;col=7&amp;number=0.129&amp;sourceID=14","0.129")</f>
        <v>0.129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HYPERLINK("http://141.218.60.56/~jnz1568/getInfo.php?workbook=10_05.xlsx&amp;sheet=U0&amp;row=4281&amp;col=6&amp;number=4.7&amp;sourceID=14","4.7")</f>
        <v>4.7</v>
      </c>
      <c r="G4281" s="4" t="str">
        <f>HYPERLINK("http://141.218.60.56/~jnz1568/getInfo.php?workbook=10_05.xlsx&amp;sheet=U0&amp;row=4281&amp;col=7&amp;number=0.122&amp;sourceID=14","0.122")</f>
        <v>0.122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HYPERLINK("http://141.218.60.56/~jnz1568/getInfo.php?workbook=10_05.xlsx&amp;sheet=U0&amp;row=4282&amp;col=6&amp;number=4.8&amp;sourceID=14","4.8")</f>
        <v>4.8</v>
      </c>
      <c r="G4282" s="4" t="str">
        <f>HYPERLINK("http://141.218.60.56/~jnz1568/getInfo.php?workbook=10_05.xlsx&amp;sheet=U0&amp;row=4282&amp;col=7&amp;number=0.114&amp;sourceID=14","0.114")</f>
        <v>0.114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HYPERLINK("http://141.218.60.56/~jnz1568/getInfo.php?workbook=10_05.xlsx&amp;sheet=U0&amp;row=4283&amp;col=6&amp;number=4.9&amp;sourceID=14","4.9")</f>
        <v>4.9</v>
      </c>
      <c r="G4283" s="4" t="str">
        <f>HYPERLINK("http://141.218.60.56/~jnz1568/getInfo.php?workbook=10_05.xlsx&amp;sheet=U0&amp;row=4283&amp;col=7&amp;number=0.107&amp;sourceID=14","0.107")</f>
        <v>0.107</v>
      </c>
    </row>
    <row r="4284" spans="1:7">
      <c r="A4284" s="3">
        <v>10</v>
      </c>
      <c r="B4284" s="3">
        <v>5</v>
      </c>
      <c r="C4284" s="3">
        <v>2</v>
      </c>
      <c r="D4284" s="3">
        <v>38</v>
      </c>
      <c r="E4284" s="3">
        <v>1</v>
      </c>
      <c r="F4284" s="4" t="str">
        <f>HYPERLINK("http://141.218.60.56/~jnz1568/getInfo.php?workbook=10_05.xlsx&amp;sheet=U0&amp;row=4284&amp;col=6&amp;number=3&amp;sourceID=14","3")</f>
        <v>3</v>
      </c>
      <c r="G4284" s="4" t="str">
        <f>HYPERLINK("http://141.218.60.56/~jnz1568/getInfo.php?workbook=10_05.xlsx&amp;sheet=U0&amp;row=4284&amp;col=7&amp;number=0.0218&amp;sourceID=14","0.0218")</f>
        <v>0.0218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HYPERLINK("http://141.218.60.56/~jnz1568/getInfo.php?workbook=10_05.xlsx&amp;sheet=U0&amp;row=4285&amp;col=6&amp;number=3.1&amp;sourceID=14","3.1")</f>
        <v>3.1</v>
      </c>
      <c r="G4285" s="4" t="str">
        <f>HYPERLINK("http://141.218.60.56/~jnz1568/getInfo.php?workbook=10_05.xlsx&amp;sheet=U0&amp;row=4285&amp;col=7&amp;number=0.0217&amp;sourceID=14","0.0217")</f>
        <v>0.0217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HYPERLINK("http://141.218.60.56/~jnz1568/getInfo.php?workbook=10_05.xlsx&amp;sheet=U0&amp;row=4286&amp;col=6&amp;number=3.2&amp;sourceID=14","3.2")</f>
        <v>3.2</v>
      </c>
      <c r="G4286" s="4" t="str">
        <f>HYPERLINK("http://141.218.60.56/~jnz1568/getInfo.php?workbook=10_05.xlsx&amp;sheet=U0&amp;row=4286&amp;col=7&amp;number=0.0217&amp;sourceID=14","0.0217")</f>
        <v>0.0217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HYPERLINK("http://141.218.60.56/~jnz1568/getInfo.php?workbook=10_05.xlsx&amp;sheet=U0&amp;row=4287&amp;col=6&amp;number=3.3&amp;sourceID=14","3.3")</f>
        <v>3.3</v>
      </c>
      <c r="G4287" s="4" t="str">
        <f>HYPERLINK("http://141.218.60.56/~jnz1568/getInfo.php?workbook=10_05.xlsx&amp;sheet=U0&amp;row=4287&amp;col=7&amp;number=0.0216&amp;sourceID=14","0.0216")</f>
        <v>0.0216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HYPERLINK("http://141.218.60.56/~jnz1568/getInfo.php?workbook=10_05.xlsx&amp;sheet=U0&amp;row=4288&amp;col=6&amp;number=3.4&amp;sourceID=14","3.4")</f>
        <v>3.4</v>
      </c>
      <c r="G4288" s="4" t="str">
        <f>HYPERLINK("http://141.218.60.56/~jnz1568/getInfo.php?workbook=10_05.xlsx&amp;sheet=U0&amp;row=4288&amp;col=7&amp;number=0.0215&amp;sourceID=14","0.0215")</f>
        <v>0.0215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HYPERLINK("http://141.218.60.56/~jnz1568/getInfo.php?workbook=10_05.xlsx&amp;sheet=U0&amp;row=4289&amp;col=6&amp;number=3.5&amp;sourceID=14","3.5")</f>
        <v>3.5</v>
      </c>
      <c r="G4289" s="4" t="str">
        <f>HYPERLINK("http://141.218.60.56/~jnz1568/getInfo.php?workbook=10_05.xlsx&amp;sheet=U0&amp;row=4289&amp;col=7&amp;number=0.0214&amp;sourceID=14","0.0214")</f>
        <v>0.0214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HYPERLINK("http://141.218.60.56/~jnz1568/getInfo.php?workbook=10_05.xlsx&amp;sheet=U0&amp;row=4290&amp;col=6&amp;number=3.6&amp;sourceID=14","3.6")</f>
        <v>3.6</v>
      </c>
      <c r="G4290" s="4" t="str">
        <f>HYPERLINK("http://141.218.60.56/~jnz1568/getInfo.php?workbook=10_05.xlsx&amp;sheet=U0&amp;row=4290&amp;col=7&amp;number=0.0212&amp;sourceID=14","0.0212")</f>
        <v>0.0212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HYPERLINK("http://141.218.60.56/~jnz1568/getInfo.php?workbook=10_05.xlsx&amp;sheet=U0&amp;row=4291&amp;col=6&amp;number=3.7&amp;sourceID=14","3.7")</f>
        <v>3.7</v>
      </c>
      <c r="G4291" s="4" t="str">
        <f>HYPERLINK("http://141.218.60.56/~jnz1568/getInfo.php?workbook=10_05.xlsx&amp;sheet=U0&amp;row=4291&amp;col=7&amp;number=0.0211&amp;sourceID=14","0.0211")</f>
        <v>0.0211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HYPERLINK("http://141.218.60.56/~jnz1568/getInfo.php?workbook=10_05.xlsx&amp;sheet=U0&amp;row=4292&amp;col=6&amp;number=3.8&amp;sourceID=14","3.8")</f>
        <v>3.8</v>
      </c>
      <c r="G4292" s="4" t="str">
        <f>HYPERLINK("http://141.218.60.56/~jnz1568/getInfo.php?workbook=10_05.xlsx&amp;sheet=U0&amp;row=4292&amp;col=7&amp;number=0.0209&amp;sourceID=14","0.0209")</f>
        <v>0.0209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HYPERLINK("http://141.218.60.56/~jnz1568/getInfo.php?workbook=10_05.xlsx&amp;sheet=U0&amp;row=4293&amp;col=6&amp;number=3.9&amp;sourceID=14","3.9")</f>
        <v>3.9</v>
      </c>
      <c r="G4293" s="4" t="str">
        <f>HYPERLINK("http://141.218.60.56/~jnz1568/getInfo.php?workbook=10_05.xlsx&amp;sheet=U0&amp;row=4293&amp;col=7&amp;number=0.0206&amp;sourceID=14","0.0206")</f>
        <v>0.0206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HYPERLINK("http://141.218.60.56/~jnz1568/getInfo.php?workbook=10_05.xlsx&amp;sheet=U0&amp;row=4294&amp;col=6&amp;number=4&amp;sourceID=14","4")</f>
        <v>4</v>
      </c>
      <c r="G4294" s="4" t="str">
        <f>HYPERLINK("http://141.218.60.56/~jnz1568/getInfo.php?workbook=10_05.xlsx&amp;sheet=U0&amp;row=4294&amp;col=7&amp;number=0.0202&amp;sourceID=14","0.0202")</f>
        <v>0.0202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HYPERLINK("http://141.218.60.56/~jnz1568/getInfo.php?workbook=10_05.xlsx&amp;sheet=U0&amp;row=4295&amp;col=6&amp;number=4.1&amp;sourceID=14","4.1")</f>
        <v>4.1</v>
      </c>
      <c r="G4295" s="4" t="str">
        <f>HYPERLINK("http://141.218.60.56/~jnz1568/getInfo.php?workbook=10_05.xlsx&amp;sheet=U0&amp;row=4295&amp;col=7&amp;number=0.0198&amp;sourceID=14","0.0198")</f>
        <v>0.0198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HYPERLINK("http://141.218.60.56/~jnz1568/getInfo.php?workbook=10_05.xlsx&amp;sheet=U0&amp;row=4296&amp;col=6&amp;number=4.2&amp;sourceID=14","4.2")</f>
        <v>4.2</v>
      </c>
      <c r="G4296" s="4" t="str">
        <f>HYPERLINK("http://141.218.60.56/~jnz1568/getInfo.php?workbook=10_05.xlsx&amp;sheet=U0&amp;row=4296&amp;col=7&amp;number=0.0192&amp;sourceID=14","0.0192")</f>
        <v>0.0192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HYPERLINK("http://141.218.60.56/~jnz1568/getInfo.php?workbook=10_05.xlsx&amp;sheet=U0&amp;row=4297&amp;col=6&amp;number=4.3&amp;sourceID=14","4.3")</f>
        <v>4.3</v>
      </c>
      <c r="G4297" s="4" t="str">
        <f>HYPERLINK("http://141.218.60.56/~jnz1568/getInfo.php?workbook=10_05.xlsx&amp;sheet=U0&amp;row=4297&amp;col=7&amp;number=0.0185&amp;sourceID=14","0.0185")</f>
        <v>0.0185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HYPERLINK("http://141.218.60.56/~jnz1568/getInfo.php?workbook=10_05.xlsx&amp;sheet=U0&amp;row=4298&amp;col=6&amp;number=4.4&amp;sourceID=14","4.4")</f>
        <v>4.4</v>
      </c>
      <c r="G4298" s="4" t="str">
        <f>HYPERLINK("http://141.218.60.56/~jnz1568/getInfo.php?workbook=10_05.xlsx&amp;sheet=U0&amp;row=4298&amp;col=7&amp;number=0.0175&amp;sourceID=14","0.0175")</f>
        <v>0.0175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HYPERLINK("http://141.218.60.56/~jnz1568/getInfo.php?workbook=10_05.xlsx&amp;sheet=U0&amp;row=4299&amp;col=6&amp;number=4.5&amp;sourceID=14","4.5")</f>
        <v>4.5</v>
      </c>
      <c r="G4299" s="4" t="str">
        <f>HYPERLINK("http://141.218.60.56/~jnz1568/getInfo.php?workbook=10_05.xlsx&amp;sheet=U0&amp;row=4299&amp;col=7&amp;number=0.0164&amp;sourceID=14","0.0164")</f>
        <v>0.0164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HYPERLINK("http://141.218.60.56/~jnz1568/getInfo.php?workbook=10_05.xlsx&amp;sheet=U0&amp;row=4300&amp;col=6&amp;number=4.6&amp;sourceID=14","4.6")</f>
        <v>4.6</v>
      </c>
      <c r="G4300" s="4" t="str">
        <f>HYPERLINK("http://141.218.60.56/~jnz1568/getInfo.php?workbook=10_05.xlsx&amp;sheet=U0&amp;row=4300&amp;col=7&amp;number=0.0151&amp;sourceID=14","0.0151")</f>
        <v>0.0151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HYPERLINK("http://141.218.60.56/~jnz1568/getInfo.php?workbook=10_05.xlsx&amp;sheet=U0&amp;row=4301&amp;col=6&amp;number=4.7&amp;sourceID=14","4.7")</f>
        <v>4.7</v>
      </c>
      <c r="G4301" s="4" t="str">
        <f>HYPERLINK("http://141.218.60.56/~jnz1568/getInfo.php?workbook=10_05.xlsx&amp;sheet=U0&amp;row=4301&amp;col=7&amp;number=0.0138&amp;sourceID=14","0.0138")</f>
        <v>0.0138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HYPERLINK("http://141.218.60.56/~jnz1568/getInfo.php?workbook=10_05.xlsx&amp;sheet=U0&amp;row=4302&amp;col=6&amp;number=4.8&amp;sourceID=14","4.8")</f>
        <v>4.8</v>
      </c>
      <c r="G4302" s="4" t="str">
        <f>HYPERLINK("http://141.218.60.56/~jnz1568/getInfo.php?workbook=10_05.xlsx&amp;sheet=U0&amp;row=4302&amp;col=7&amp;number=0.0128&amp;sourceID=14","0.0128")</f>
        <v>0.0128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HYPERLINK("http://141.218.60.56/~jnz1568/getInfo.php?workbook=10_05.xlsx&amp;sheet=U0&amp;row=4303&amp;col=6&amp;number=4.9&amp;sourceID=14","4.9")</f>
        <v>4.9</v>
      </c>
      <c r="G4303" s="4" t="str">
        <f>HYPERLINK("http://141.218.60.56/~jnz1568/getInfo.php?workbook=10_05.xlsx&amp;sheet=U0&amp;row=4303&amp;col=7&amp;number=0.0118&amp;sourceID=14","0.0118")</f>
        <v>0.0118</v>
      </c>
    </row>
    <row r="4304" spans="1:7">
      <c r="A4304" s="3">
        <v>10</v>
      </c>
      <c r="B4304" s="3">
        <v>5</v>
      </c>
      <c r="C4304" s="3">
        <v>2</v>
      </c>
      <c r="D4304" s="3">
        <v>39</v>
      </c>
      <c r="E4304" s="3">
        <v>1</v>
      </c>
      <c r="F4304" s="4" t="str">
        <f>HYPERLINK("http://141.218.60.56/~jnz1568/getInfo.php?workbook=10_05.xlsx&amp;sheet=U0&amp;row=4304&amp;col=6&amp;number=3&amp;sourceID=14","3")</f>
        <v>3</v>
      </c>
      <c r="G4304" s="4" t="str">
        <f>HYPERLINK("http://141.218.60.56/~jnz1568/getInfo.php?workbook=10_05.xlsx&amp;sheet=U0&amp;row=4304&amp;col=7&amp;number=0.0414&amp;sourceID=14","0.0414")</f>
        <v>0.0414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HYPERLINK("http://141.218.60.56/~jnz1568/getInfo.php?workbook=10_05.xlsx&amp;sheet=U0&amp;row=4305&amp;col=6&amp;number=3.1&amp;sourceID=14","3.1")</f>
        <v>3.1</v>
      </c>
      <c r="G4305" s="4" t="str">
        <f>HYPERLINK("http://141.218.60.56/~jnz1568/getInfo.php?workbook=10_05.xlsx&amp;sheet=U0&amp;row=4305&amp;col=7&amp;number=0.0413&amp;sourceID=14","0.0413")</f>
        <v>0.0413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HYPERLINK("http://141.218.60.56/~jnz1568/getInfo.php?workbook=10_05.xlsx&amp;sheet=U0&amp;row=4306&amp;col=6&amp;number=3.2&amp;sourceID=14","3.2")</f>
        <v>3.2</v>
      </c>
      <c r="G4306" s="4" t="str">
        <f>HYPERLINK("http://141.218.60.56/~jnz1568/getInfo.php?workbook=10_05.xlsx&amp;sheet=U0&amp;row=4306&amp;col=7&amp;number=0.0412&amp;sourceID=14","0.0412")</f>
        <v>0.0412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HYPERLINK("http://141.218.60.56/~jnz1568/getInfo.php?workbook=10_05.xlsx&amp;sheet=U0&amp;row=4307&amp;col=6&amp;number=3.3&amp;sourceID=14","3.3")</f>
        <v>3.3</v>
      </c>
      <c r="G4307" s="4" t="str">
        <f>HYPERLINK("http://141.218.60.56/~jnz1568/getInfo.php?workbook=10_05.xlsx&amp;sheet=U0&amp;row=4307&amp;col=7&amp;number=0.0411&amp;sourceID=14","0.0411")</f>
        <v>0.0411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HYPERLINK("http://141.218.60.56/~jnz1568/getInfo.php?workbook=10_05.xlsx&amp;sheet=U0&amp;row=4308&amp;col=6&amp;number=3.4&amp;sourceID=14","3.4")</f>
        <v>3.4</v>
      </c>
      <c r="G4308" s="4" t="str">
        <f>HYPERLINK("http://141.218.60.56/~jnz1568/getInfo.php?workbook=10_05.xlsx&amp;sheet=U0&amp;row=4308&amp;col=7&amp;number=0.0409&amp;sourceID=14","0.0409")</f>
        <v>0.0409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HYPERLINK("http://141.218.60.56/~jnz1568/getInfo.php?workbook=10_05.xlsx&amp;sheet=U0&amp;row=4309&amp;col=6&amp;number=3.5&amp;sourceID=14","3.5")</f>
        <v>3.5</v>
      </c>
      <c r="G4309" s="4" t="str">
        <f>HYPERLINK("http://141.218.60.56/~jnz1568/getInfo.php?workbook=10_05.xlsx&amp;sheet=U0&amp;row=4309&amp;col=7&amp;number=0.0407&amp;sourceID=14","0.0407")</f>
        <v>0.0407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HYPERLINK("http://141.218.60.56/~jnz1568/getInfo.php?workbook=10_05.xlsx&amp;sheet=U0&amp;row=4310&amp;col=6&amp;number=3.6&amp;sourceID=14","3.6")</f>
        <v>3.6</v>
      </c>
      <c r="G4310" s="4" t="str">
        <f>HYPERLINK("http://141.218.60.56/~jnz1568/getInfo.php?workbook=10_05.xlsx&amp;sheet=U0&amp;row=4310&amp;col=7&amp;number=0.0405&amp;sourceID=14","0.0405")</f>
        <v>0.0405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HYPERLINK("http://141.218.60.56/~jnz1568/getInfo.php?workbook=10_05.xlsx&amp;sheet=U0&amp;row=4311&amp;col=6&amp;number=3.7&amp;sourceID=14","3.7")</f>
        <v>3.7</v>
      </c>
      <c r="G4311" s="4" t="str">
        <f>HYPERLINK("http://141.218.60.56/~jnz1568/getInfo.php?workbook=10_05.xlsx&amp;sheet=U0&amp;row=4311&amp;col=7&amp;number=0.0401&amp;sourceID=14","0.0401")</f>
        <v>0.0401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HYPERLINK("http://141.218.60.56/~jnz1568/getInfo.php?workbook=10_05.xlsx&amp;sheet=U0&amp;row=4312&amp;col=6&amp;number=3.8&amp;sourceID=14","3.8")</f>
        <v>3.8</v>
      </c>
      <c r="G4312" s="4" t="str">
        <f>HYPERLINK("http://141.218.60.56/~jnz1568/getInfo.php?workbook=10_05.xlsx&amp;sheet=U0&amp;row=4312&amp;col=7&amp;number=0.0397&amp;sourceID=14","0.0397")</f>
        <v>0.0397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HYPERLINK("http://141.218.60.56/~jnz1568/getInfo.php?workbook=10_05.xlsx&amp;sheet=U0&amp;row=4313&amp;col=6&amp;number=3.9&amp;sourceID=14","3.9")</f>
        <v>3.9</v>
      </c>
      <c r="G4313" s="4" t="str">
        <f>HYPERLINK("http://141.218.60.56/~jnz1568/getInfo.php?workbook=10_05.xlsx&amp;sheet=U0&amp;row=4313&amp;col=7&amp;number=0.0392&amp;sourceID=14","0.0392")</f>
        <v>0.0392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HYPERLINK("http://141.218.60.56/~jnz1568/getInfo.php?workbook=10_05.xlsx&amp;sheet=U0&amp;row=4314&amp;col=6&amp;number=4&amp;sourceID=14","4")</f>
        <v>4</v>
      </c>
      <c r="G4314" s="4" t="str">
        <f>HYPERLINK("http://141.218.60.56/~jnz1568/getInfo.php?workbook=10_05.xlsx&amp;sheet=U0&amp;row=4314&amp;col=7&amp;number=0.0386&amp;sourceID=14","0.0386")</f>
        <v>0.0386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HYPERLINK("http://141.218.60.56/~jnz1568/getInfo.php?workbook=10_05.xlsx&amp;sheet=U0&amp;row=4315&amp;col=6&amp;number=4.1&amp;sourceID=14","4.1")</f>
        <v>4.1</v>
      </c>
      <c r="G4315" s="4" t="str">
        <f>HYPERLINK("http://141.218.60.56/~jnz1568/getInfo.php?workbook=10_05.xlsx&amp;sheet=U0&amp;row=4315&amp;col=7&amp;number=0.0378&amp;sourceID=14","0.0378")</f>
        <v>0.0378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HYPERLINK("http://141.218.60.56/~jnz1568/getInfo.php?workbook=10_05.xlsx&amp;sheet=U0&amp;row=4316&amp;col=6&amp;number=4.2&amp;sourceID=14","4.2")</f>
        <v>4.2</v>
      </c>
      <c r="G4316" s="4" t="str">
        <f>HYPERLINK("http://141.218.60.56/~jnz1568/getInfo.php?workbook=10_05.xlsx&amp;sheet=U0&amp;row=4316&amp;col=7&amp;number=0.0368&amp;sourceID=14","0.0368")</f>
        <v>0.0368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HYPERLINK("http://141.218.60.56/~jnz1568/getInfo.php?workbook=10_05.xlsx&amp;sheet=U0&amp;row=4317&amp;col=6&amp;number=4.3&amp;sourceID=14","4.3")</f>
        <v>4.3</v>
      </c>
      <c r="G4317" s="4" t="str">
        <f>HYPERLINK("http://141.218.60.56/~jnz1568/getInfo.php?workbook=10_05.xlsx&amp;sheet=U0&amp;row=4317&amp;col=7&amp;number=0.0355&amp;sourceID=14","0.0355")</f>
        <v>0.0355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HYPERLINK("http://141.218.60.56/~jnz1568/getInfo.php?workbook=10_05.xlsx&amp;sheet=U0&amp;row=4318&amp;col=6&amp;number=4.4&amp;sourceID=14","4.4")</f>
        <v>4.4</v>
      </c>
      <c r="G4318" s="4" t="str">
        <f>HYPERLINK("http://141.218.60.56/~jnz1568/getInfo.php?workbook=10_05.xlsx&amp;sheet=U0&amp;row=4318&amp;col=7&amp;number=0.0338&amp;sourceID=14","0.0338")</f>
        <v>0.0338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HYPERLINK("http://141.218.60.56/~jnz1568/getInfo.php?workbook=10_05.xlsx&amp;sheet=U0&amp;row=4319&amp;col=6&amp;number=4.5&amp;sourceID=14","4.5")</f>
        <v>4.5</v>
      </c>
      <c r="G4319" s="4" t="str">
        <f>HYPERLINK("http://141.218.60.56/~jnz1568/getInfo.php?workbook=10_05.xlsx&amp;sheet=U0&amp;row=4319&amp;col=7&amp;number=0.0319&amp;sourceID=14","0.0319")</f>
        <v>0.0319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HYPERLINK("http://141.218.60.56/~jnz1568/getInfo.php?workbook=10_05.xlsx&amp;sheet=U0&amp;row=4320&amp;col=6&amp;number=4.6&amp;sourceID=14","4.6")</f>
        <v>4.6</v>
      </c>
      <c r="G4320" s="4" t="str">
        <f>HYPERLINK("http://141.218.60.56/~jnz1568/getInfo.php?workbook=10_05.xlsx&amp;sheet=U0&amp;row=4320&amp;col=7&amp;number=0.0298&amp;sourceID=14","0.0298")</f>
        <v>0.0298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HYPERLINK("http://141.218.60.56/~jnz1568/getInfo.php?workbook=10_05.xlsx&amp;sheet=U0&amp;row=4321&amp;col=6&amp;number=4.7&amp;sourceID=14","4.7")</f>
        <v>4.7</v>
      </c>
      <c r="G4321" s="4" t="str">
        <f>HYPERLINK("http://141.218.60.56/~jnz1568/getInfo.php?workbook=10_05.xlsx&amp;sheet=U0&amp;row=4321&amp;col=7&amp;number=0.0277&amp;sourceID=14","0.0277")</f>
        <v>0.0277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HYPERLINK("http://141.218.60.56/~jnz1568/getInfo.php?workbook=10_05.xlsx&amp;sheet=U0&amp;row=4322&amp;col=6&amp;number=4.8&amp;sourceID=14","4.8")</f>
        <v>4.8</v>
      </c>
      <c r="G4322" s="4" t="str">
        <f>HYPERLINK("http://141.218.60.56/~jnz1568/getInfo.php?workbook=10_05.xlsx&amp;sheet=U0&amp;row=4322&amp;col=7&amp;number=0.0259&amp;sourceID=14","0.0259")</f>
        <v>0.0259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HYPERLINK("http://141.218.60.56/~jnz1568/getInfo.php?workbook=10_05.xlsx&amp;sheet=U0&amp;row=4323&amp;col=6&amp;number=4.9&amp;sourceID=14","4.9")</f>
        <v>4.9</v>
      </c>
      <c r="G4323" s="4" t="str">
        <f>HYPERLINK("http://141.218.60.56/~jnz1568/getInfo.php?workbook=10_05.xlsx&amp;sheet=U0&amp;row=4323&amp;col=7&amp;number=0.0243&amp;sourceID=14","0.0243")</f>
        <v>0.0243</v>
      </c>
    </row>
    <row r="4324" spans="1:7">
      <c r="A4324" s="3">
        <v>10</v>
      </c>
      <c r="B4324" s="3">
        <v>5</v>
      </c>
      <c r="C4324" s="3">
        <v>2</v>
      </c>
      <c r="D4324" s="3">
        <v>40</v>
      </c>
      <c r="E4324" s="3">
        <v>1</v>
      </c>
      <c r="F4324" s="4" t="str">
        <f>HYPERLINK("http://141.218.60.56/~jnz1568/getInfo.php?workbook=10_05.xlsx&amp;sheet=U0&amp;row=4324&amp;col=6&amp;number=3&amp;sourceID=14","3")</f>
        <v>3</v>
      </c>
      <c r="G4324" s="4" t="str">
        <f>HYPERLINK("http://141.218.60.56/~jnz1568/getInfo.php?workbook=10_05.xlsx&amp;sheet=U0&amp;row=4324&amp;col=7&amp;number=0.0445&amp;sourceID=14","0.0445")</f>
        <v>0.0445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HYPERLINK("http://141.218.60.56/~jnz1568/getInfo.php?workbook=10_05.xlsx&amp;sheet=U0&amp;row=4325&amp;col=6&amp;number=3.1&amp;sourceID=14","3.1")</f>
        <v>3.1</v>
      </c>
      <c r="G4325" s="4" t="str">
        <f>HYPERLINK("http://141.218.60.56/~jnz1568/getInfo.php?workbook=10_05.xlsx&amp;sheet=U0&amp;row=4325&amp;col=7&amp;number=0.0444&amp;sourceID=14","0.0444")</f>
        <v>0.0444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HYPERLINK("http://141.218.60.56/~jnz1568/getInfo.php?workbook=10_05.xlsx&amp;sheet=U0&amp;row=4326&amp;col=6&amp;number=3.2&amp;sourceID=14","3.2")</f>
        <v>3.2</v>
      </c>
      <c r="G4326" s="4" t="str">
        <f>HYPERLINK("http://141.218.60.56/~jnz1568/getInfo.php?workbook=10_05.xlsx&amp;sheet=U0&amp;row=4326&amp;col=7&amp;number=0.0443&amp;sourceID=14","0.0443")</f>
        <v>0.0443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HYPERLINK("http://141.218.60.56/~jnz1568/getInfo.php?workbook=10_05.xlsx&amp;sheet=U0&amp;row=4327&amp;col=6&amp;number=3.3&amp;sourceID=14","3.3")</f>
        <v>3.3</v>
      </c>
      <c r="G4327" s="4" t="str">
        <f>HYPERLINK("http://141.218.60.56/~jnz1568/getInfo.php?workbook=10_05.xlsx&amp;sheet=U0&amp;row=4327&amp;col=7&amp;number=0.0442&amp;sourceID=14","0.0442")</f>
        <v>0.0442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HYPERLINK("http://141.218.60.56/~jnz1568/getInfo.php?workbook=10_05.xlsx&amp;sheet=U0&amp;row=4328&amp;col=6&amp;number=3.4&amp;sourceID=14","3.4")</f>
        <v>3.4</v>
      </c>
      <c r="G4328" s="4" t="str">
        <f>HYPERLINK("http://141.218.60.56/~jnz1568/getInfo.php?workbook=10_05.xlsx&amp;sheet=U0&amp;row=4328&amp;col=7&amp;number=0.044&amp;sourceID=14","0.044")</f>
        <v>0.044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HYPERLINK("http://141.218.60.56/~jnz1568/getInfo.php?workbook=10_05.xlsx&amp;sheet=U0&amp;row=4329&amp;col=6&amp;number=3.5&amp;sourceID=14","3.5")</f>
        <v>3.5</v>
      </c>
      <c r="G4329" s="4" t="str">
        <f>HYPERLINK("http://141.218.60.56/~jnz1568/getInfo.php?workbook=10_05.xlsx&amp;sheet=U0&amp;row=4329&amp;col=7&amp;number=0.0438&amp;sourceID=14","0.0438")</f>
        <v>0.0438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HYPERLINK("http://141.218.60.56/~jnz1568/getInfo.php?workbook=10_05.xlsx&amp;sheet=U0&amp;row=4330&amp;col=6&amp;number=3.6&amp;sourceID=14","3.6")</f>
        <v>3.6</v>
      </c>
      <c r="G4330" s="4" t="str">
        <f>HYPERLINK("http://141.218.60.56/~jnz1568/getInfo.php?workbook=10_05.xlsx&amp;sheet=U0&amp;row=4330&amp;col=7&amp;number=0.0435&amp;sourceID=14","0.0435")</f>
        <v>0.0435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HYPERLINK("http://141.218.60.56/~jnz1568/getInfo.php?workbook=10_05.xlsx&amp;sheet=U0&amp;row=4331&amp;col=6&amp;number=3.7&amp;sourceID=14","3.7")</f>
        <v>3.7</v>
      </c>
      <c r="G4331" s="4" t="str">
        <f>HYPERLINK("http://141.218.60.56/~jnz1568/getInfo.php?workbook=10_05.xlsx&amp;sheet=U0&amp;row=4331&amp;col=7&amp;number=0.0431&amp;sourceID=14","0.0431")</f>
        <v>0.0431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HYPERLINK("http://141.218.60.56/~jnz1568/getInfo.php?workbook=10_05.xlsx&amp;sheet=U0&amp;row=4332&amp;col=6&amp;number=3.8&amp;sourceID=14","3.8")</f>
        <v>3.8</v>
      </c>
      <c r="G4332" s="4" t="str">
        <f>HYPERLINK("http://141.218.60.56/~jnz1568/getInfo.php?workbook=10_05.xlsx&amp;sheet=U0&amp;row=4332&amp;col=7&amp;number=0.0427&amp;sourceID=14","0.0427")</f>
        <v>0.0427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HYPERLINK("http://141.218.60.56/~jnz1568/getInfo.php?workbook=10_05.xlsx&amp;sheet=U0&amp;row=4333&amp;col=6&amp;number=3.9&amp;sourceID=14","3.9")</f>
        <v>3.9</v>
      </c>
      <c r="G4333" s="4" t="str">
        <f>HYPERLINK("http://141.218.60.56/~jnz1568/getInfo.php?workbook=10_05.xlsx&amp;sheet=U0&amp;row=4333&amp;col=7&amp;number=0.0421&amp;sourceID=14","0.0421")</f>
        <v>0.0421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HYPERLINK("http://141.218.60.56/~jnz1568/getInfo.php?workbook=10_05.xlsx&amp;sheet=U0&amp;row=4334&amp;col=6&amp;number=4&amp;sourceID=14","4")</f>
        <v>4</v>
      </c>
      <c r="G4334" s="4" t="str">
        <f>HYPERLINK("http://141.218.60.56/~jnz1568/getInfo.php?workbook=10_05.xlsx&amp;sheet=U0&amp;row=4334&amp;col=7&amp;number=0.0415&amp;sourceID=14","0.0415")</f>
        <v>0.0415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HYPERLINK("http://141.218.60.56/~jnz1568/getInfo.php?workbook=10_05.xlsx&amp;sheet=U0&amp;row=4335&amp;col=6&amp;number=4.1&amp;sourceID=14","4.1")</f>
        <v>4.1</v>
      </c>
      <c r="G4335" s="4" t="str">
        <f>HYPERLINK("http://141.218.60.56/~jnz1568/getInfo.php?workbook=10_05.xlsx&amp;sheet=U0&amp;row=4335&amp;col=7&amp;number=0.0406&amp;sourceID=14","0.0406")</f>
        <v>0.0406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HYPERLINK("http://141.218.60.56/~jnz1568/getInfo.php?workbook=10_05.xlsx&amp;sheet=U0&amp;row=4336&amp;col=6&amp;number=4.2&amp;sourceID=14","4.2")</f>
        <v>4.2</v>
      </c>
      <c r="G4336" s="4" t="str">
        <f>HYPERLINK("http://141.218.60.56/~jnz1568/getInfo.php?workbook=10_05.xlsx&amp;sheet=U0&amp;row=4336&amp;col=7&amp;number=0.0396&amp;sourceID=14","0.0396")</f>
        <v>0.0396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HYPERLINK("http://141.218.60.56/~jnz1568/getInfo.php?workbook=10_05.xlsx&amp;sheet=U0&amp;row=4337&amp;col=6&amp;number=4.3&amp;sourceID=14","4.3")</f>
        <v>4.3</v>
      </c>
      <c r="G4337" s="4" t="str">
        <f>HYPERLINK("http://141.218.60.56/~jnz1568/getInfo.php?workbook=10_05.xlsx&amp;sheet=U0&amp;row=4337&amp;col=7&amp;number=0.0384&amp;sourceID=14","0.0384")</f>
        <v>0.0384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HYPERLINK("http://141.218.60.56/~jnz1568/getInfo.php?workbook=10_05.xlsx&amp;sheet=U0&amp;row=4338&amp;col=6&amp;number=4.4&amp;sourceID=14","4.4")</f>
        <v>4.4</v>
      </c>
      <c r="G4338" s="4" t="str">
        <f>HYPERLINK("http://141.218.60.56/~jnz1568/getInfo.php?workbook=10_05.xlsx&amp;sheet=U0&amp;row=4338&amp;col=7&amp;number=0.0369&amp;sourceID=14","0.0369")</f>
        <v>0.0369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HYPERLINK("http://141.218.60.56/~jnz1568/getInfo.php?workbook=10_05.xlsx&amp;sheet=U0&amp;row=4339&amp;col=6&amp;number=4.5&amp;sourceID=14","4.5")</f>
        <v>4.5</v>
      </c>
      <c r="G4339" s="4" t="str">
        <f>HYPERLINK("http://141.218.60.56/~jnz1568/getInfo.php?workbook=10_05.xlsx&amp;sheet=U0&amp;row=4339&amp;col=7&amp;number=0.0352&amp;sourceID=14","0.0352")</f>
        <v>0.0352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HYPERLINK("http://141.218.60.56/~jnz1568/getInfo.php?workbook=10_05.xlsx&amp;sheet=U0&amp;row=4340&amp;col=6&amp;number=4.6&amp;sourceID=14","4.6")</f>
        <v>4.6</v>
      </c>
      <c r="G4340" s="4" t="str">
        <f>HYPERLINK("http://141.218.60.56/~jnz1568/getInfo.php?workbook=10_05.xlsx&amp;sheet=U0&amp;row=4340&amp;col=7&amp;number=0.0333&amp;sourceID=14","0.0333")</f>
        <v>0.0333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HYPERLINK("http://141.218.60.56/~jnz1568/getInfo.php?workbook=10_05.xlsx&amp;sheet=U0&amp;row=4341&amp;col=6&amp;number=4.7&amp;sourceID=14","4.7")</f>
        <v>4.7</v>
      </c>
      <c r="G4341" s="4" t="str">
        <f>HYPERLINK("http://141.218.60.56/~jnz1568/getInfo.php?workbook=10_05.xlsx&amp;sheet=U0&amp;row=4341&amp;col=7&amp;number=0.0312&amp;sourceID=14","0.0312")</f>
        <v>0.0312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HYPERLINK("http://141.218.60.56/~jnz1568/getInfo.php?workbook=10_05.xlsx&amp;sheet=U0&amp;row=4342&amp;col=6&amp;number=4.8&amp;sourceID=14","4.8")</f>
        <v>4.8</v>
      </c>
      <c r="G4342" s="4" t="str">
        <f>HYPERLINK("http://141.218.60.56/~jnz1568/getInfo.php?workbook=10_05.xlsx&amp;sheet=U0&amp;row=4342&amp;col=7&amp;number=0.0291&amp;sourceID=14","0.0291")</f>
        <v>0.0291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HYPERLINK("http://141.218.60.56/~jnz1568/getInfo.php?workbook=10_05.xlsx&amp;sheet=U0&amp;row=4343&amp;col=6&amp;number=4.9&amp;sourceID=14","4.9")</f>
        <v>4.9</v>
      </c>
      <c r="G4343" s="4" t="str">
        <f>HYPERLINK("http://141.218.60.56/~jnz1568/getInfo.php?workbook=10_05.xlsx&amp;sheet=U0&amp;row=4343&amp;col=7&amp;number=0.027&amp;sourceID=14","0.027")</f>
        <v>0.027</v>
      </c>
    </row>
    <row r="4344" spans="1:7">
      <c r="A4344" s="3">
        <v>10</v>
      </c>
      <c r="B4344" s="3">
        <v>5</v>
      </c>
      <c r="C4344" s="3">
        <v>2</v>
      </c>
      <c r="D4344" s="3">
        <v>41</v>
      </c>
      <c r="E4344" s="3">
        <v>1</v>
      </c>
      <c r="F4344" s="4" t="str">
        <f>HYPERLINK("http://141.218.60.56/~jnz1568/getInfo.php?workbook=10_05.xlsx&amp;sheet=U0&amp;row=4344&amp;col=6&amp;number=3&amp;sourceID=14","3")</f>
        <v>3</v>
      </c>
      <c r="G4344" s="4" t="str">
        <f>HYPERLINK("http://141.218.60.56/~jnz1568/getInfo.php?workbook=10_05.xlsx&amp;sheet=U0&amp;row=4344&amp;col=7&amp;number=0.0749&amp;sourceID=14","0.0749")</f>
        <v>0.0749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HYPERLINK("http://141.218.60.56/~jnz1568/getInfo.php?workbook=10_05.xlsx&amp;sheet=U0&amp;row=4345&amp;col=6&amp;number=3.1&amp;sourceID=14","3.1")</f>
        <v>3.1</v>
      </c>
      <c r="G4345" s="4" t="str">
        <f>HYPERLINK("http://141.218.60.56/~jnz1568/getInfo.php?workbook=10_05.xlsx&amp;sheet=U0&amp;row=4345&amp;col=7&amp;number=0.0747&amp;sourceID=14","0.0747")</f>
        <v>0.0747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HYPERLINK("http://141.218.60.56/~jnz1568/getInfo.php?workbook=10_05.xlsx&amp;sheet=U0&amp;row=4346&amp;col=6&amp;number=3.2&amp;sourceID=14","3.2")</f>
        <v>3.2</v>
      </c>
      <c r="G4346" s="4" t="str">
        <f>HYPERLINK("http://141.218.60.56/~jnz1568/getInfo.php?workbook=10_05.xlsx&amp;sheet=U0&amp;row=4346&amp;col=7&amp;number=0.0745&amp;sourceID=14","0.0745")</f>
        <v>0.0745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HYPERLINK("http://141.218.60.56/~jnz1568/getInfo.php?workbook=10_05.xlsx&amp;sheet=U0&amp;row=4347&amp;col=6&amp;number=3.3&amp;sourceID=14","3.3")</f>
        <v>3.3</v>
      </c>
      <c r="G4347" s="4" t="str">
        <f>HYPERLINK("http://141.218.60.56/~jnz1568/getInfo.php?workbook=10_05.xlsx&amp;sheet=U0&amp;row=4347&amp;col=7&amp;number=0.0742&amp;sourceID=14","0.0742")</f>
        <v>0.0742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HYPERLINK("http://141.218.60.56/~jnz1568/getInfo.php?workbook=10_05.xlsx&amp;sheet=U0&amp;row=4348&amp;col=6&amp;number=3.4&amp;sourceID=14","3.4")</f>
        <v>3.4</v>
      </c>
      <c r="G4348" s="4" t="str">
        <f>HYPERLINK("http://141.218.60.56/~jnz1568/getInfo.php?workbook=10_05.xlsx&amp;sheet=U0&amp;row=4348&amp;col=7&amp;number=0.0738&amp;sourceID=14","0.0738")</f>
        <v>0.0738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HYPERLINK("http://141.218.60.56/~jnz1568/getInfo.php?workbook=10_05.xlsx&amp;sheet=U0&amp;row=4349&amp;col=6&amp;number=3.5&amp;sourceID=14","3.5")</f>
        <v>3.5</v>
      </c>
      <c r="G4349" s="4" t="str">
        <f>HYPERLINK("http://141.218.60.56/~jnz1568/getInfo.php?workbook=10_05.xlsx&amp;sheet=U0&amp;row=4349&amp;col=7&amp;number=0.0733&amp;sourceID=14","0.0733")</f>
        <v>0.0733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HYPERLINK("http://141.218.60.56/~jnz1568/getInfo.php?workbook=10_05.xlsx&amp;sheet=U0&amp;row=4350&amp;col=6&amp;number=3.6&amp;sourceID=14","3.6")</f>
        <v>3.6</v>
      </c>
      <c r="G4350" s="4" t="str">
        <f>HYPERLINK("http://141.218.60.56/~jnz1568/getInfo.php?workbook=10_05.xlsx&amp;sheet=U0&amp;row=4350&amp;col=7&amp;number=0.0727&amp;sourceID=14","0.0727")</f>
        <v>0.0727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HYPERLINK("http://141.218.60.56/~jnz1568/getInfo.php?workbook=10_05.xlsx&amp;sheet=U0&amp;row=4351&amp;col=6&amp;number=3.7&amp;sourceID=14","3.7")</f>
        <v>3.7</v>
      </c>
      <c r="G4351" s="4" t="str">
        <f>HYPERLINK("http://141.218.60.56/~jnz1568/getInfo.php?workbook=10_05.xlsx&amp;sheet=U0&amp;row=4351&amp;col=7&amp;number=0.072&amp;sourceID=14","0.072")</f>
        <v>0.072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HYPERLINK("http://141.218.60.56/~jnz1568/getInfo.php?workbook=10_05.xlsx&amp;sheet=U0&amp;row=4352&amp;col=6&amp;number=3.8&amp;sourceID=14","3.8")</f>
        <v>3.8</v>
      </c>
      <c r="G4352" s="4" t="str">
        <f>HYPERLINK("http://141.218.60.56/~jnz1568/getInfo.php?workbook=10_05.xlsx&amp;sheet=U0&amp;row=4352&amp;col=7&amp;number=0.0711&amp;sourceID=14","0.0711")</f>
        <v>0.0711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HYPERLINK("http://141.218.60.56/~jnz1568/getInfo.php?workbook=10_05.xlsx&amp;sheet=U0&amp;row=4353&amp;col=6&amp;number=3.9&amp;sourceID=14","3.9")</f>
        <v>3.9</v>
      </c>
      <c r="G4353" s="4" t="str">
        <f>HYPERLINK("http://141.218.60.56/~jnz1568/getInfo.php?workbook=10_05.xlsx&amp;sheet=U0&amp;row=4353&amp;col=7&amp;number=0.07&amp;sourceID=14","0.07")</f>
        <v>0.07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HYPERLINK("http://141.218.60.56/~jnz1568/getInfo.php?workbook=10_05.xlsx&amp;sheet=U0&amp;row=4354&amp;col=6&amp;number=4&amp;sourceID=14","4")</f>
        <v>4</v>
      </c>
      <c r="G4354" s="4" t="str">
        <f>HYPERLINK("http://141.218.60.56/~jnz1568/getInfo.php?workbook=10_05.xlsx&amp;sheet=U0&amp;row=4354&amp;col=7&amp;number=0.0686&amp;sourceID=14","0.0686")</f>
        <v>0.0686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HYPERLINK("http://141.218.60.56/~jnz1568/getInfo.php?workbook=10_05.xlsx&amp;sheet=U0&amp;row=4355&amp;col=6&amp;number=4.1&amp;sourceID=14","4.1")</f>
        <v>4.1</v>
      </c>
      <c r="G4355" s="4" t="str">
        <f>HYPERLINK("http://141.218.60.56/~jnz1568/getInfo.php?workbook=10_05.xlsx&amp;sheet=U0&amp;row=4355&amp;col=7&amp;number=0.067&amp;sourceID=14","0.067")</f>
        <v>0.067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HYPERLINK("http://141.218.60.56/~jnz1568/getInfo.php?workbook=10_05.xlsx&amp;sheet=U0&amp;row=4356&amp;col=6&amp;number=4.2&amp;sourceID=14","4.2")</f>
        <v>4.2</v>
      </c>
      <c r="G4356" s="4" t="str">
        <f>HYPERLINK("http://141.218.60.56/~jnz1568/getInfo.php?workbook=10_05.xlsx&amp;sheet=U0&amp;row=4356&amp;col=7&amp;number=0.065&amp;sourceID=14","0.065")</f>
        <v>0.065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HYPERLINK("http://141.218.60.56/~jnz1568/getInfo.php?workbook=10_05.xlsx&amp;sheet=U0&amp;row=4357&amp;col=6&amp;number=4.3&amp;sourceID=14","4.3")</f>
        <v>4.3</v>
      </c>
      <c r="G4357" s="4" t="str">
        <f>HYPERLINK("http://141.218.60.56/~jnz1568/getInfo.php?workbook=10_05.xlsx&amp;sheet=U0&amp;row=4357&amp;col=7&amp;number=0.0626&amp;sourceID=14","0.0626")</f>
        <v>0.0626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HYPERLINK("http://141.218.60.56/~jnz1568/getInfo.php?workbook=10_05.xlsx&amp;sheet=U0&amp;row=4358&amp;col=6&amp;number=4.4&amp;sourceID=14","4.4")</f>
        <v>4.4</v>
      </c>
      <c r="G4358" s="4" t="str">
        <f>HYPERLINK("http://141.218.60.56/~jnz1568/getInfo.php?workbook=10_05.xlsx&amp;sheet=U0&amp;row=4358&amp;col=7&amp;number=0.0599&amp;sourceID=14","0.0599")</f>
        <v>0.0599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HYPERLINK("http://141.218.60.56/~jnz1568/getInfo.php?workbook=10_05.xlsx&amp;sheet=U0&amp;row=4359&amp;col=6&amp;number=4.5&amp;sourceID=14","4.5")</f>
        <v>4.5</v>
      </c>
      <c r="G4359" s="4" t="str">
        <f>HYPERLINK("http://141.218.60.56/~jnz1568/getInfo.php?workbook=10_05.xlsx&amp;sheet=U0&amp;row=4359&amp;col=7&amp;number=0.057&amp;sourceID=14","0.057")</f>
        <v>0.057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HYPERLINK("http://141.218.60.56/~jnz1568/getInfo.php?workbook=10_05.xlsx&amp;sheet=U0&amp;row=4360&amp;col=6&amp;number=4.6&amp;sourceID=14","4.6")</f>
        <v>4.6</v>
      </c>
      <c r="G4360" s="4" t="str">
        <f>HYPERLINK("http://141.218.60.56/~jnz1568/getInfo.php?workbook=10_05.xlsx&amp;sheet=U0&amp;row=4360&amp;col=7&amp;number=0.0539&amp;sourceID=14","0.0539")</f>
        <v>0.0539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HYPERLINK("http://141.218.60.56/~jnz1568/getInfo.php?workbook=10_05.xlsx&amp;sheet=U0&amp;row=4361&amp;col=6&amp;number=4.7&amp;sourceID=14","4.7")</f>
        <v>4.7</v>
      </c>
      <c r="G4361" s="4" t="str">
        <f>HYPERLINK("http://141.218.60.56/~jnz1568/getInfo.php?workbook=10_05.xlsx&amp;sheet=U0&amp;row=4361&amp;col=7&amp;number=0.0507&amp;sourceID=14","0.0507")</f>
        <v>0.0507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HYPERLINK("http://141.218.60.56/~jnz1568/getInfo.php?workbook=10_05.xlsx&amp;sheet=U0&amp;row=4362&amp;col=6&amp;number=4.8&amp;sourceID=14","4.8")</f>
        <v>4.8</v>
      </c>
      <c r="G4362" s="4" t="str">
        <f>HYPERLINK("http://141.218.60.56/~jnz1568/getInfo.php?workbook=10_05.xlsx&amp;sheet=U0&amp;row=4362&amp;col=7&amp;number=0.0476&amp;sourceID=14","0.0476")</f>
        <v>0.0476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HYPERLINK("http://141.218.60.56/~jnz1568/getInfo.php?workbook=10_05.xlsx&amp;sheet=U0&amp;row=4363&amp;col=6&amp;number=4.9&amp;sourceID=14","4.9")</f>
        <v>4.9</v>
      </c>
      <c r="G4363" s="4" t="str">
        <f>HYPERLINK("http://141.218.60.56/~jnz1568/getInfo.php?workbook=10_05.xlsx&amp;sheet=U0&amp;row=4363&amp;col=7&amp;number=0.0448&amp;sourceID=14","0.0448")</f>
        <v>0.0448</v>
      </c>
    </row>
    <row r="4364" spans="1:7">
      <c r="A4364" s="3">
        <v>10</v>
      </c>
      <c r="B4364" s="3">
        <v>5</v>
      </c>
      <c r="C4364" s="3">
        <v>2</v>
      </c>
      <c r="D4364" s="3">
        <v>42</v>
      </c>
      <c r="E4364" s="3">
        <v>1</v>
      </c>
      <c r="F4364" s="4" t="str">
        <f>HYPERLINK("http://141.218.60.56/~jnz1568/getInfo.php?workbook=10_05.xlsx&amp;sheet=U0&amp;row=4364&amp;col=6&amp;number=3&amp;sourceID=14","3")</f>
        <v>3</v>
      </c>
      <c r="G4364" s="4" t="str">
        <f>HYPERLINK("http://141.218.60.56/~jnz1568/getInfo.php?workbook=10_05.xlsx&amp;sheet=U0&amp;row=4364&amp;col=7&amp;number=0.114&amp;sourceID=14","0.114")</f>
        <v>0.114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HYPERLINK("http://141.218.60.56/~jnz1568/getInfo.php?workbook=10_05.xlsx&amp;sheet=U0&amp;row=4365&amp;col=6&amp;number=3.1&amp;sourceID=14","3.1")</f>
        <v>3.1</v>
      </c>
      <c r="G4365" s="4" t="str">
        <f>HYPERLINK("http://141.218.60.56/~jnz1568/getInfo.php?workbook=10_05.xlsx&amp;sheet=U0&amp;row=4365&amp;col=7&amp;number=0.114&amp;sourceID=14","0.114")</f>
        <v>0.114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HYPERLINK("http://141.218.60.56/~jnz1568/getInfo.php?workbook=10_05.xlsx&amp;sheet=U0&amp;row=4366&amp;col=6&amp;number=3.2&amp;sourceID=14","3.2")</f>
        <v>3.2</v>
      </c>
      <c r="G4366" s="4" t="str">
        <f>HYPERLINK("http://141.218.60.56/~jnz1568/getInfo.php?workbook=10_05.xlsx&amp;sheet=U0&amp;row=4366&amp;col=7&amp;number=0.114&amp;sourceID=14","0.114")</f>
        <v>0.114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HYPERLINK("http://141.218.60.56/~jnz1568/getInfo.php?workbook=10_05.xlsx&amp;sheet=U0&amp;row=4367&amp;col=6&amp;number=3.3&amp;sourceID=14","3.3")</f>
        <v>3.3</v>
      </c>
      <c r="G4367" s="4" t="str">
        <f>HYPERLINK("http://141.218.60.56/~jnz1568/getInfo.php?workbook=10_05.xlsx&amp;sheet=U0&amp;row=4367&amp;col=7&amp;number=0.114&amp;sourceID=14","0.114")</f>
        <v>0.114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HYPERLINK("http://141.218.60.56/~jnz1568/getInfo.php?workbook=10_05.xlsx&amp;sheet=U0&amp;row=4368&amp;col=6&amp;number=3.4&amp;sourceID=14","3.4")</f>
        <v>3.4</v>
      </c>
      <c r="G4368" s="4" t="str">
        <f>HYPERLINK("http://141.218.60.56/~jnz1568/getInfo.php?workbook=10_05.xlsx&amp;sheet=U0&amp;row=4368&amp;col=7&amp;number=0.113&amp;sourceID=14","0.113")</f>
        <v>0.113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HYPERLINK("http://141.218.60.56/~jnz1568/getInfo.php?workbook=10_05.xlsx&amp;sheet=U0&amp;row=4369&amp;col=6&amp;number=3.5&amp;sourceID=14","3.5")</f>
        <v>3.5</v>
      </c>
      <c r="G4369" s="4" t="str">
        <f>HYPERLINK("http://141.218.60.56/~jnz1568/getInfo.php?workbook=10_05.xlsx&amp;sheet=U0&amp;row=4369&amp;col=7&amp;number=0.113&amp;sourceID=14","0.113")</f>
        <v>0.113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HYPERLINK("http://141.218.60.56/~jnz1568/getInfo.php?workbook=10_05.xlsx&amp;sheet=U0&amp;row=4370&amp;col=6&amp;number=3.6&amp;sourceID=14","3.6")</f>
        <v>3.6</v>
      </c>
      <c r="G4370" s="4" t="str">
        <f>HYPERLINK("http://141.218.60.56/~jnz1568/getInfo.php?workbook=10_05.xlsx&amp;sheet=U0&amp;row=4370&amp;col=7&amp;number=0.112&amp;sourceID=14","0.112")</f>
        <v>0.112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HYPERLINK("http://141.218.60.56/~jnz1568/getInfo.php?workbook=10_05.xlsx&amp;sheet=U0&amp;row=4371&amp;col=6&amp;number=3.7&amp;sourceID=14","3.7")</f>
        <v>3.7</v>
      </c>
      <c r="G4371" s="4" t="str">
        <f>HYPERLINK("http://141.218.60.56/~jnz1568/getInfo.php?workbook=10_05.xlsx&amp;sheet=U0&amp;row=4371&amp;col=7&amp;number=0.111&amp;sourceID=14","0.111")</f>
        <v>0.111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HYPERLINK("http://141.218.60.56/~jnz1568/getInfo.php?workbook=10_05.xlsx&amp;sheet=U0&amp;row=4372&amp;col=6&amp;number=3.8&amp;sourceID=14","3.8")</f>
        <v>3.8</v>
      </c>
      <c r="G4372" s="4" t="str">
        <f>HYPERLINK("http://141.218.60.56/~jnz1568/getInfo.php?workbook=10_05.xlsx&amp;sheet=U0&amp;row=4372&amp;col=7&amp;number=0.11&amp;sourceID=14","0.11")</f>
        <v>0.11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HYPERLINK("http://141.218.60.56/~jnz1568/getInfo.php?workbook=10_05.xlsx&amp;sheet=U0&amp;row=4373&amp;col=6&amp;number=3.9&amp;sourceID=14","3.9")</f>
        <v>3.9</v>
      </c>
      <c r="G4373" s="4" t="str">
        <f>HYPERLINK("http://141.218.60.56/~jnz1568/getInfo.php?workbook=10_05.xlsx&amp;sheet=U0&amp;row=4373&amp;col=7&amp;number=0.109&amp;sourceID=14","0.109")</f>
        <v>0.109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HYPERLINK("http://141.218.60.56/~jnz1568/getInfo.php?workbook=10_05.xlsx&amp;sheet=U0&amp;row=4374&amp;col=6&amp;number=4&amp;sourceID=14","4")</f>
        <v>4</v>
      </c>
      <c r="G4374" s="4" t="str">
        <f>HYPERLINK("http://141.218.60.56/~jnz1568/getInfo.php?workbook=10_05.xlsx&amp;sheet=U0&amp;row=4374&amp;col=7&amp;number=0.107&amp;sourceID=14","0.107")</f>
        <v>0.107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HYPERLINK("http://141.218.60.56/~jnz1568/getInfo.php?workbook=10_05.xlsx&amp;sheet=U0&amp;row=4375&amp;col=6&amp;number=4.1&amp;sourceID=14","4.1")</f>
        <v>4.1</v>
      </c>
      <c r="G4375" s="4" t="str">
        <f>HYPERLINK("http://141.218.60.56/~jnz1568/getInfo.php?workbook=10_05.xlsx&amp;sheet=U0&amp;row=4375&amp;col=7&amp;number=0.105&amp;sourceID=14","0.105")</f>
        <v>0.105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HYPERLINK("http://141.218.60.56/~jnz1568/getInfo.php?workbook=10_05.xlsx&amp;sheet=U0&amp;row=4376&amp;col=6&amp;number=4.2&amp;sourceID=14","4.2")</f>
        <v>4.2</v>
      </c>
      <c r="G4376" s="4" t="str">
        <f>HYPERLINK("http://141.218.60.56/~jnz1568/getInfo.php?workbook=10_05.xlsx&amp;sheet=U0&amp;row=4376&amp;col=7&amp;number=0.102&amp;sourceID=14","0.102")</f>
        <v>0.102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HYPERLINK("http://141.218.60.56/~jnz1568/getInfo.php?workbook=10_05.xlsx&amp;sheet=U0&amp;row=4377&amp;col=6&amp;number=4.3&amp;sourceID=14","4.3")</f>
        <v>4.3</v>
      </c>
      <c r="G4377" s="4" t="str">
        <f>HYPERLINK("http://141.218.60.56/~jnz1568/getInfo.php?workbook=10_05.xlsx&amp;sheet=U0&amp;row=4377&amp;col=7&amp;number=0.0994&amp;sourceID=14","0.0994")</f>
        <v>0.0994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HYPERLINK("http://141.218.60.56/~jnz1568/getInfo.php?workbook=10_05.xlsx&amp;sheet=U0&amp;row=4378&amp;col=6&amp;number=4.4&amp;sourceID=14","4.4")</f>
        <v>4.4</v>
      </c>
      <c r="G4378" s="4" t="str">
        <f>HYPERLINK("http://141.218.60.56/~jnz1568/getInfo.php?workbook=10_05.xlsx&amp;sheet=U0&amp;row=4378&amp;col=7&amp;number=0.096&amp;sourceID=14","0.096")</f>
        <v>0.096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HYPERLINK("http://141.218.60.56/~jnz1568/getInfo.php?workbook=10_05.xlsx&amp;sheet=U0&amp;row=4379&amp;col=6&amp;number=4.5&amp;sourceID=14","4.5")</f>
        <v>4.5</v>
      </c>
      <c r="G4379" s="4" t="str">
        <f>HYPERLINK("http://141.218.60.56/~jnz1568/getInfo.php?workbook=10_05.xlsx&amp;sheet=U0&amp;row=4379&amp;col=7&amp;number=0.0921&amp;sourceID=14","0.0921")</f>
        <v>0.0921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HYPERLINK("http://141.218.60.56/~jnz1568/getInfo.php?workbook=10_05.xlsx&amp;sheet=U0&amp;row=4380&amp;col=6&amp;number=4.6&amp;sourceID=14","4.6")</f>
        <v>4.6</v>
      </c>
      <c r="G4380" s="4" t="str">
        <f>HYPERLINK("http://141.218.60.56/~jnz1568/getInfo.php?workbook=10_05.xlsx&amp;sheet=U0&amp;row=4380&amp;col=7&amp;number=0.0879&amp;sourceID=14","0.0879")</f>
        <v>0.0879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HYPERLINK("http://141.218.60.56/~jnz1568/getInfo.php?workbook=10_05.xlsx&amp;sheet=U0&amp;row=4381&amp;col=6&amp;number=4.7&amp;sourceID=14","4.7")</f>
        <v>4.7</v>
      </c>
      <c r="G4381" s="4" t="str">
        <f>HYPERLINK("http://141.218.60.56/~jnz1568/getInfo.php?workbook=10_05.xlsx&amp;sheet=U0&amp;row=4381&amp;col=7&amp;number=0.0836&amp;sourceID=14","0.0836")</f>
        <v>0.0836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HYPERLINK("http://141.218.60.56/~jnz1568/getInfo.php?workbook=10_05.xlsx&amp;sheet=U0&amp;row=4382&amp;col=6&amp;number=4.8&amp;sourceID=14","4.8")</f>
        <v>4.8</v>
      </c>
      <c r="G4382" s="4" t="str">
        <f>HYPERLINK("http://141.218.60.56/~jnz1568/getInfo.php?workbook=10_05.xlsx&amp;sheet=U0&amp;row=4382&amp;col=7&amp;number=0.0794&amp;sourceID=14","0.0794")</f>
        <v>0.0794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HYPERLINK("http://141.218.60.56/~jnz1568/getInfo.php?workbook=10_05.xlsx&amp;sheet=U0&amp;row=4383&amp;col=6&amp;number=4.9&amp;sourceID=14","4.9")</f>
        <v>4.9</v>
      </c>
      <c r="G4383" s="4" t="str">
        <f>HYPERLINK("http://141.218.60.56/~jnz1568/getInfo.php?workbook=10_05.xlsx&amp;sheet=U0&amp;row=4383&amp;col=7&amp;number=0.0754&amp;sourceID=14","0.0754")</f>
        <v>0.0754</v>
      </c>
    </row>
    <row r="4384" spans="1:7">
      <c r="A4384" s="3">
        <v>10</v>
      </c>
      <c r="B4384" s="3">
        <v>5</v>
      </c>
      <c r="C4384" s="3">
        <v>2</v>
      </c>
      <c r="D4384" s="3">
        <v>43</v>
      </c>
      <c r="E4384" s="3">
        <v>1</v>
      </c>
      <c r="F4384" s="4" t="str">
        <f>HYPERLINK("http://141.218.60.56/~jnz1568/getInfo.php?workbook=10_05.xlsx&amp;sheet=U0&amp;row=4384&amp;col=6&amp;number=3&amp;sourceID=14","3")</f>
        <v>3</v>
      </c>
      <c r="G4384" s="4" t="str">
        <f>HYPERLINK("http://141.218.60.56/~jnz1568/getInfo.php?workbook=10_05.xlsx&amp;sheet=U0&amp;row=4384&amp;col=7&amp;number=0.0105&amp;sourceID=14","0.0105")</f>
        <v>0.0105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HYPERLINK("http://141.218.60.56/~jnz1568/getInfo.php?workbook=10_05.xlsx&amp;sheet=U0&amp;row=4385&amp;col=6&amp;number=3.1&amp;sourceID=14","3.1")</f>
        <v>3.1</v>
      </c>
      <c r="G4385" s="4" t="str">
        <f>HYPERLINK("http://141.218.60.56/~jnz1568/getInfo.php?workbook=10_05.xlsx&amp;sheet=U0&amp;row=4385&amp;col=7&amp;number=0.0105&amp;sourceID=14","0.0105")</f>
        <v>0.0105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HYPERLINK("http://141.218.60.56/~jnz1568/getInfo.php?workbook=10_05.xlsx&amp;sheet=U0&amp;row=4386&amp;col=6&amp;number=3.2&amp;sourceID=14","3.2")</f>
        <v>3.2</v>
      </c>
      <c r="G4386" s="4" t="str">
        <f>HYPERLINK("http://141.218.60.56/~jnz1568/getInfo.php?workbook=10_05.xlsx&amp;sheet=U0&amp;row=4386&amp;col=7&amp;number=0.0105&amp;sourceID=14","0.0105")</f>
        <v>0.0105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HYPERLINK("http://141.218.60.56/~jnz1568/getInfo.php?workbook=10_05.xlsx&amp;sheet=U0&amp;row=4387&amp;col=6&amp;number=3.3&amp;sourceID=14","3.3")</f>
        <v>3.3</v>
      </c>
      <c r="G4387" s="4" t="str">
        <f>HYPERLINK("http://141.218.60.56/~jnz1568/getInfo.php?workbook=10_05.xlsx&amp;sheet=U0&amp;row=4387&amp;col=7&amp;number=0.0104&amp;sourceID=14","0.0104")</f>
        <v>0.0104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HYPERLINK("http://141.218.60.56/~jnz1568/getInfo.php?workbook=10_05.xlsx&amp;sheet=U0&amp;row=4388&amp;col=6&amp;number=3.4&amp;sourceID=14","3.4")</f>
        <v>3.4</v>
      </c>
      <c r="G4388" s="4" t="str">
        <f>HYPERLINK("http://141.218.60.56/~jnz1568/getInfo.php?workbook=10_05.xlsx&amp;sheet=U0&amp;row=4388&amp;col=7&amp;number=0.0103&amp;sourceID=14","0.0103")</f>
        <v>0.0103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HYPERLINK("http://141.218.60.56/~jnz1568/getInfo.php?workbook=10_05.xlsx&amp;sheet=U0&amp;row=4389&amp;col=6&amp;number=3.5&amp;sourceID=14","3.5")</f>
        <v>3.5</v>
      </c>
      <c r="G4389" s="4" t="str">
        <f>HYPERLINK("http://141.218.60.56/~jnz1568/getInfo.php?workbook=10_05.xlsx&amp;sheet=U0&amp;row=4389&amp;col=7&amp;number=0.0103&amp;sourceID=14","0.0103")</f>
        <v>0.0103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HYPERLINK("http://141.218.60.56/~jnz1568/getInfo.php?workbook=10_05.xlsx&amp;sheet=U0&amp;row=4390&amp;col=6&amp;number=3.6&amp;sourceID=14","3.6")</f>
        <v>3.6</v>
      </c>
      <c r="G4390" s="4" t="str">
        <f>HYPERLINK("http://141.218.60.56/~jnz1568/getInfo.php?workbook=10_05.xlsx&amp;sheet=U0&amp;row=4390&amp;col=7&amp;number=0.0102&amp;sourceID=14","0.0102")</f>
        <v>0.0102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HYPERLINK("http://141.218.60.56/~jnz1568/getInfo.php?workbook=10_05.xlsx&amp;sheet=U0&amp;row=4391&amp;col=6&amp;number=3.7&amp;sourceID=14","3.7")</f>
        <v>3.7</v>
      </c>
      <c r="G4391" s="4" t="str">
        <f>HYPERLINK("http://141.218.60.56/~jnz1568/getInfo.php?workbook=10_05.xlsx&amp;sheet=U0&amp;row=4391&amp;col=7&amp;number=0.01&amp;sourceID=14","0.01")</f>
        <v>0.01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HYPERLINK("http://141.218.60.56/~jnz1568/getInfo.php?workbook=10_05.xlsx&amp;sheet=U0&amp;row=4392&amp;col=6&amp;number=3.8&amp;sourceID=14","3.8")</f>
        <v>3.8</v>
      </c>
      <c r="G4392" s="4" t="str">
        <f>HYPERLINK("http://141.218.60.56/~jnz1568/getInfo.php?workbook=10_05.xlsx&amp;sheet=U0&amp;row=4392&amp;col=7&amp;number=0.00989&amp;sourceID=14","0.00989")</f>
        <v>0.00989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HYPERLINK("http://141.218.60.56/~jnz1568/getInfo.php?workbook=10_05.xlsx&amp;sheet=U0&amp;row=4393&amp;col=6&amp;number=3.9&amp;sourceID=14","3.9")</f>
        <v>3.9</v>
      </c>
      <c r="G4393" s="4" t="str">
        <f>HYPERLINK("http://141.218.60.56/~jnz1568/getInfo.php?workbook=10_05.xlsx&amp;sheet=U0&amp;row=4393&amp;col=7&amp;number=0.00971&amp;sourceID=14","0.00971")</f>
        <v>0.00971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HYPERLINK("http://141.218.60.56/~jnz1568/getInfo.php?workbook=10_05.xlsx&amp;sheet=U0&amp;row=4394&amp;col=6&amp;number=4&amp;sourceID=14","4")</f>
        <v>4</v>
      </c>
      <c r="G4394" s="4" t="str">
        <f>HYPERLINK("http://141.218.60.56/~jnz1568/getInfo.php?workbook=10_05.xlsx&amp;sheet=U0&amp;row=4394&amp;col=7&amp;number=0.0095&amp;sourceID=14","0.0095")</f>
        <v>0.0095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HYPERLINK("http://141.218.60.56/~jnz1568/getInfo.php?workbook=10_05.xlsx&amp;sheet=U0&amp;row=4395&amp;col=6&amp;number=4.1&amp;sourceID=14","4.1")</f>
        <v>4.1</v>
      </c>
      <c r="G4395" s="4" t="str">
        <f>HYPERLINK("http://141.218.60.56/~jnz1568/getInfo.php?workbook=10_05.xlsx&amp;sheet=U0&amp;row=4395&amp;col=7&amp;number=0.00925&amp;sourceID=14","0.00925")</f>
        <v>0.00925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HYPERLINK("http://141.218.60.56/~jnz1568/getInfo.php?workbook=10_05.xlsx&amp;sheet=U0&amp;row=4396&amp;col=6&amp;number=4.2&amp;sourceID=14","4.2")</f>
        <v>4.2</v>
      </c>
      <c r="G4396" s="4" t="str">
        <f>HYPERLINK("http://141.218.60.56/~jnz1568/getInfo.php?workbook=10_05.xlsx&amp;sheet=U0&amp;row=4396&amp;col=7&amp;number=0.00896&amp;sourceID=14","0.00896")</f>
        <v>0.00896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HYPERLINK("http://141.218.60.56/~jnz1568/getInfo.php?workbook=10_05.xlsx&amp;sheet=U0&amp;row=4397&amp;col=6&amp;number=4.3&amp;sourceID=14","4.3")</f>
        <v>4.3</v>
      </c>
      <c r="G4397" s="4" t="str">
        <f>HYPERLINK("http://141.218.60.56/~jnz1568/getInfo.php?workbook=10_05.xlsx&amp;sheet=U0&amp;row=4397&amp;col=7&amp;number=0.00865&amp;sourceID=14","0.00865")</f>
        <v>0.00865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HYPERLINK("http://141.218.60.56/~jnz1568/getInfo.php?workbook=10_05.xlsx&amp;sheet=U0&amp;row=4398&amp;col=6&amp;number=4.4&amp;sourceID=14","4.4")</f>
        <v>4.4</v>
      </c>
      <c r="G4398" s="4" t="str">
        <f>HYPERLINK("http://141.218.60.56/~jnz1568/getInfo.php?workbook=10_05.xlsx&amp;sheet=U0&amp;row=4398&amp;col=7&amp;number=0.00834&amp;sourceID=14","0.00834")</f>
        <v>0.00834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HYPERLINK("http://141.218.60.56/~jnz1568/getInfo.php?workbook=10_05.xlsx&amp;sheet=U0&amp;row=4399&amp;col=6&amp;number=4.5&amp;sourceID=14","4.5")</f>
        <v>4.5</v>
      </c>
      <c r="G4399" s="4" t="str">
        <f>HYPERLINK("http://141.218.60.56/~jnz1568/getInfo.php?workbook=10_05.xlsx&amp;sheet=U0&amp;row=4399&amp;col=7&amp;number=0.00803&amp;sourceID=14","0.00803")</f>
        <v>0.00803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HYPERLINK("http://141.218.60.56/~jnz1568/getInfo.php?workbook=10_05.xlsx&amp;sheet=U0&amp;row=4400&amp;col=6&amp;number=4.6&amp;sourceID=14","4.6")</f>
        <v>4.6</v>
      </c>
      <c r="G4400" s="4" t="str">
        <f>HYPERLINK("http://141.218.60.56/~jnz1568/getInfo.php?workbook=10_05.xlsx&amp;sheet=U0&amp;row=4400&amp;col=7&amp;number=0.00773&amp;sourceID=14","0.00773")</f>
        <v>0.00773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HYPERLINK("http://141.218.60.56/~jnz1568/getInfo.php?workbook=10_05.xlsx&amp;sheet=U0&amp;row=4401&amp;col=6&amp;number=4.7&amp;sourceID=14","4.7")</f>
        <v>4.7</v>
      </c>
      <c r="G4401" s="4" t="str">
        <f>HYPERLINK("http://141.218.60.56/~jnz1568/getInfo.php?workbook=10_05.xlsx&amp;sheet=U0&amp;row=4401&amp;col=7&amp;number=0.00745&amp;sourceID=14","0.00745")</f>
        <v>0.00745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HYPERLINK("http://141.218.60.56/~jnz1568/getInfo.php?workbook=10_05.xlsx&amp;sheet=U0&amp;row=4402&amp;col=6&amp;number=4.8&amp;sourceID=14","4.8")</f>
        <v>4.8</v>
      </c>
      <c r="G4402" s="4" t="str">
        <f>HYPERLINK("http://141.218.60.56/~jnz1568/getInfo.php?workbook=10_05.xlsx&amp;sheet=U0&amp;row=4402&amp;col=7&amp;number=0.00718&amp;sourceID=14","0.00718")</f>
        <v>0.00718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HYPERLINK("http://141.218.60.56/~jnz1568/getInfo.php?workbook=10_05.xlsx&amp;sheet=U0&amp;row=4403&amp;col=6&amp;number=4.9&amp;sourceID=14","4.9")</f>
        <v>4.9</v>
      </c>
      <c r="G4403" s="4" t="str">
        <f>HYPERLINK("http://141.218.60.56/~jnz1568/getInfo.php?workbook=10_05.xlsx&amp;sheet=U0&amp;row=4403&amp;col=7&amp;number=0.00691&amp;sourceID=14","0.00691")</f>
        <v>0.00691</v>
      </c>
    </row>
    <row r="4404" spans="1:7">
      <c r="A4404" s="3">
        <v>10</v>
      </c>
      <c r="B4404" s="3">
        <v>5</v>
      </c>
      <c r="C4404" s="3">
        <v>2</v>
      </c>
      <c r="D4404" s="3">
        <v>44</v>
      </c>
      <c r="E4404" s="3">
        <v>1</v>
      </c>
      <c r="F4404" s="4" t="str">
        <f>HYPERLINK("http://141.218.60.56/~jnz1568/getInfo.php?workbook=10_05.xlsx&amp;sheet=U0&amp;row=4404&amp;col=6&amp;number=3&amp;sourceID=14","3")</f>
        <v>3</v>
      </c>
      <c r="G4404" s="4" t="str">
        <f>HYPERLINK("http://141.218.60.56/~jnz1568/getInfo.php?workbook=10_05.xlsx&amp;sheet=U0&amp;row=4404&amp;col=7&amp;number=0.0223&amp;sourceID=14","0.0223")</f>
        <v>0.0223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HYPERLINK("http://141.218.60.56/~jnz1568/getInfo.php?workbook=10_05.xlsx&amp;sheet=U0&amp;row=4405&amp;col=6&amp;number=3.1&amp;sourceID=14","3.1")</f>
        <v>3.1</v>
      </c>
      <c r="G4405" s="4" t="str">
        <f>HYPERLINK("http://141.218.60.56/~jnz1568/getInfo.php?workbook=10_05.xlsx&amp;sheet=U0&amp;row=4405&amp;col=7&amp;number=0.0222&amp;sourceID=14","0.0222")</f>
        <v>0.0222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HYPERLINK("http://141.218.60.56/~jnz1568/getInfo.php?workbook=10_05.xlsx&amp;sheet=U0&amp;row=4406&amp;col=6&amp;number=3.2&amp;sourceID=14","3.2")</f>
        <v>3.2</v>
      </c>
      <c r="G4406" s="4" t="str">
        <f>HYPERLINK("http://141.218.60.56/~jnz1568/getInfo.php?workbook=10_05.xlsx&amp;sheet=U0&amp;row=4406&amp;col=7&amp;number=0.0221&amp;sourceID=14","0.0221")</f>
        <v>0.0221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HYPERLINK("http://141.218.60.56/~jnz1568/getInfo.php?workbook=10_05.xlsx&amp;sheet=U0&amp;row=4407&amp;col=6&amp;number=3.3&amp;sourceID=14","3.3")</f>
        <v>3.3</v>
      </c>
      <c r="G4407" s="4" t="str">
        <f>HYPERLINK("http://141.218.60.56/~jnz1568/getInfo.php?workbook=10_05.xlsx&amp;sheet=U0&amp;row=4407&amp;col=7&amp;number=0.022&amp;sourceID=14","0.022")</f>
        <v>0.022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HYPERLINK("http://141.218.60.56/~jnz1568/getInfo.php?workbook=10_05.xlsx&amp;sheet=U0&amp;row=4408&amp;col=6&amp;number=3.4&amp;sourceID=14","3.4")</f>
        <v>3.4</v>
      </c>
      <c r="G4408" s="4" t="str">
        <f>HYPERLINK("http://141.218.60.56/~jnz1568/getInfo.php?workbook=10_05.xlsx&amp;sheet=U0&amp;row=4408&amp;col=7&amp;number=0.0219&amp;sourceID=14","0.0219")</f>
        <v>0.0219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HYPERLINK("http://141.218.60.56/~jnz1568/getInfo.php?workbook=10_05.xlsx&amp;sheet=U0&amp;row=4409&amp;col=6&amp;number=3.5&amp;sourceID=14","3.5")</f>
        <v>3.5</v>
      </c>
      <c r="G4409" s="4" t="str">
        <f>HYPERLINK("http://141.218.60.56/~jnz1568/getInfo.php?workbook=10_05.xlsx&amp;sheet=U0&amp;row=4409&amp;col=7&amp;number=0.0217&amp;sourceID=14","0.0217")</f>
        <v>0.0217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HYPERLINK("http://141.218.60.56/~jnz1568/getInfo.php?workbook=10_05.xlsx&amp;sheet=U0&amp;row=4410&amp;col=6&amp;number=3.6&amp;sourceID=14","3.6")</f>
        <v>3.6</v>
      </c>
      <c r="G4410" s="4" t="str">
        <f>HYPERLINK("http://141.218.60.56/~jnz1568/getInfo.php?workbook=10_05.xlsx&amp;sheet=U0&amp;row=4410&amp;col=7&amp;number=0.0215&amp;sourceID=14","0.0215")</f>
        <v>0.0215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HYPERLINK("http://141.218.60.56/~jnz1568/getInfo.php?workbook=10_05.xlsx&amp;sheet=U0&amp;row=4411&amp;col=6&amp;number=3.7&amp;sourceID=14","3.7")</f>
        <v>3.7</v>
      </c>
      <c r="G4411" s="4" t="str">
        <f>HYPERLINK("http://141.218.60.56/~jnz1568/getInfo.php?workbook=10_05.xlsx&amp;sheet=U0&amp;row=4411&amp;col=7&amp;number=0.0213&amp;sourceID=14","0.0213")</f>
        <v>0.0213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HYPERLINK("http://141.218.60.56/~jnz1568/getInfo.php?workbook=10_05.xlsx&amp;sheet=U0&amp;row=4412&amp;col=6&amp;number=3.8&amp;sourceID=14","3.8")</f>
        <v>3.8</v>
      </c>
      <c r="G4412" s="4" t="str">
        <f>HYPERLINK("http://141.218.60.56/~jnz1568/getInfo.php?workbook=10_05.xlsx&amp;sheet=U0&amp;row=4412&amp;col=7&amp;number=0.0209&amp;sourceID=14","0.0209")</f>
        <v>0.0209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HYPERLINK("http://141.218.60.56/~jnz1568/getInfo.php?workbook=10_05.xlsx&amp;sheet=U0&amp;row=4413&amp;col=6&amp;number=3.9&amp;sourceID=14","3.9")</f>
        <v>3.9</v>
      </c>
      <c r="G4413" s="4" t="str">
        <f>HYPERLINK("http://141.218.60.56/~jnz1568/getInfo.php?workbook=10_05.xlsx&amp;sheet=U0&amp;row=4413&amp;col=7&amp;number=0.0206&amp;sourceID=14","0.0206")</f>
        <v>0.0206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HYPERLINK("http://141.218.60.56/~jnz1568/getInfo.php?workbook=10_05.xlsx&amp;sheet=U0&amp;row=4414&amp;col=6&amp;number=4&amp;sourceID=14","4")</f>
        <v>4</v>
      </c>
      <c r="G4414" s="4" t="str">
        <f>HYPERLINK("http://141.218.60.56/~jnz1568/getInfo.php?workbook=10_05.xlsx&amp;sheet=U0&amp;row=4414&amp;col=7&amp;number=0.0201&amp;sourceID=14","0.0201")</f>
        <v>0.0201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HYPERLINK("http://141.218.60.56/~jnz1568/getInfo.php?workbook=10_05.xlsx&amp;sheet=U0&amp;row=4415&amp;col=6&amp;number=4.1&amp;sourceID=14","4.1")</f>
        <v>4.1</v>
      </c>
      <c r="G4415" s="4" t="str">
        <f>HYPERLINK("http://141.218.60.56/~jnz1568/getInfo.php?workbook=10_05.xlsx&amp;sheet=U0&amp;row=4415&amp;col=7&amp;number=0.0196&amp;sourceID=14","0.0196")</f>
        <v>0.0196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HYPERLINK("http://141.218.60.56/~jnz1568/getInfo.php?workbook=10_05.xlsx&amp;sheet=U0&amp;row=4416&amp;col=6&amp;number=4.2&amp;sourceID=14","4.2")</f>
        <v>4.2</v>
      </c>
      <c r="G4416" s="4" t="str">
        <f>HYPERLINK("http://141.218.60.56/~jnz1568/getInfo.php?workbook=10_05.xlsx&amp;sheet=U0&amp;row=4416&amp;col=7&amp;number=0.019&amp;sourceID=14","0.019")</f>
        <v>0.019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HYPERLINK("http://141.218.60.56/~jnz1568/getInfo.php?workbook=10_05.xlsx&amp;sheet=U0&amp;row=4417&amp;col=6&amp;number=4.3&amp;sourceID=14","4.3")</f>
        <v>4.3</v>
      </c>
      <c r="G4417" s="4" t="str">
        <f>HYPERLINK("http://141.218.60.56/~jnz1568/getInfo.php?workbook=10_05.xlsx&amp;sheet=U0&amp;row=4417&amp;col=7&amp;number=0.0183&amp;sourceID=14","0.0183")</f>
        <v>0.0183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HYPERLINK("http://141.218.60.56/~jnz1568/getInfo.php?workbook=10_05.xlsx&amp;sheet=U0&amp;row=4418&amp;col=6&amp;number=4.4&amp;sourceID=14","4.4")</f>
        <v>4.4</v>
      </c>
      <c r="G4418" s="4" t="str">
        <f>HYPERLINK("http://141.218.60.56/~jnz1568/getInfo.php?workbook=10_05.xlsx&amp;sheet=U0&amp;row=4418&amp;col=7&amp;number=0.0176&amp;sourceID=14","0.0176")</f>
        <v>0.0176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HYPERLINK("http://141.218.60.56/~jnz1568/getInfo.php?workbook=10_05.xlsx&amp;sheet=U0&amp;row=4419&amp;col=6&amp;number=4.5&amp;sourceID=14","4.5")</f>
        <v>4.5</v>
      </c>
      <c r="G4419" s="4" t="str">
        <f>HYPERLINK("http://141.218.60.56/~jnz1568/getInfo.php?workbook=10_05.xlsx&amp;sheet=U0&amp;row=4419&amp;col=7&amp;number=0.017&amp;sourceID=14","0.017")</f>
        <v>0.017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HYPERLINK("http://141.218.60.56/~jnz1568/getInfo.php?workbook=10_05.xlsx&amp;sheet=U0&amp;row=4420&amp;col=6&amp;number=4.6&amp;sourceID=14","4.6")</f>
        <v>4.6</v>
      </c>
      <c r="G4420" s="4" t="str">
        <f>HYPERLINK("http://141.218.60.56/~jnz1568/getInfo.php?workbook=10_05.xlsx&amp;sheet=U0&amp;row=4420&amp;col=7&amp;number=0.0163&amp;sourceID=14","0.0163")</f>
        <v>0.0163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HYPERLINK("http://141.218.60.56/~jnz1568/getInfo.php?workbook=10_05.xlsx&amp;sheet=U0&amp;row=4421&amp;col=6&amp;number=4.7&amp;sourceID=14","4.7")</f>
        <v>4.7</v>
      </c>
      <c r="G4421" s="4" t="str">
        <f>HYPERLINK("http://141.218.60.56/~jnz1568/getInfo.php?workbook=10_05.xlsx&amp;sheet=U0&amp;row=4421&amp;col=7&amp;number=0.0157&amp;sourceID=14","0.0157")</f>
        <v>0.0157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HYPERLINK("http://141.218.60.56/~jnz1568/getInfo.php?workbook=10_05.xlsx&amp;sheet=U0&amp;row=4422&amp;col=6&amp;number=4.8&amp;sourceID=14","4.8")</f>
        <v>4.8</v>
      </c>
      <c r="G4422" s="4" t="str">
        <f>HYPERLINK("http://141.218.60.56/~jnz1568/getInfo.php?workbook=10_05.xlsx&amp;sheet=U0&amp;row=4422&amp;col=7&amp;number=0.0151&amp;sourceID=14","0.0151")</f>
        <v>0.0151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HYPERLINK("http://141.218.60.56/~jnz1568/getInfo.php?workbook=10_05.xlsx&amp;sheet=U0&amp;row=4423&amp;col=6&amp;number=4.9&amp;sourceID=14","4.9")</f>
        <v>4.9</v>
      </c>
      <c r="G4423" s="4" t="str">
        <f>HYPERLINK("http://141.218.60.56/~jnz1568/getInfo.php?workbook=10_05.xlsx&amp;sheet=U0&amp;row=4423&amp;col=7&amp;number=0.0146&amp;sourceID=14","0.0146")</f>
        <v>0.0146</v>
      </c>
    </row>
    <row r="4424" spans="1:7">
      <c r="A4424" s="3">
        <v>10</v>
      </c>
      <c r="B4424" s="3">
        <v>5</v>
      </c>
      <c r="C4424" s="3">
        <v>2</v>
      </c>
      <c r="D4424" s="3">
        <v>45</v>
      </c>
      <c r="E4424" s="3">
        <v>1</v>
      </c>
      <c r="F4424" s="4" t="str">
        <f>HYPERLINK("http://141.218.60.56/~jnz1568/getInfo.php?workbook=10_05.xlsx&amp;sheet=U0&amp;row=4424&amp;col=6&amp;number=3&amp;sourceID=14","3")</f>
        <v>3</v>
      </c>
      <c r="G4424" s="4" t="str">
        <f>HYPERLINK("http://141.218.60.56/~jnz1568/getInfo.php?workbook=10_05.xlsx&amp;sheet=U0&amp;row=4424&amp;col=7&amp;number=0.0372&amp;sourceID=14","0.0372")</f>
        <v>0.0372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HYPERLINK("http://141.218.60.56/~jnz1568/getInfo.php?workbook=10_05.xlsx&amp;sheet=U0&amp;row=4425&amp;col=6&amp;number=3.1&amp;sourceID=14","3.1")</f>
        <v>3.1</v>
      </c>
      <c r="G4425" s="4" t="str">
        <f>HYPERLINK("http://141.218.60.56/~jnz1568/getInfo.php?workbook=10_05.xlsx&amp;sheet=U0&amp;row=4425&amp;col=7&amp;number=0.0371&amp;sourceID=14","0.0371")</f>
        <v>0.0371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HYPERLINK("http://141.218.60.56/~jnz1568/getInfo.php?workbook=10_05.xlsx&amp;sheet=U0&amp;row=4426&amp;col=6&amp;number=3.2&amp;sourceID=14","3.2")</f>
        <v>3.2</v>
      </c>
      <c r="G4426" s="4" t="str">
        <f>HYPERLINK("http://141.218.60.56/~jnz1568/getInfo.php?workbook=10_05.xlsx&amp;sheet=U0&amp;row=4426&amp;col=7&amp;number=0.0369&amp;sourceID=14","0.0369")</f>
        <v>0.0369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HYPERLINK("http://141.218.60.56/~jnz1568/getInfo.php?workbook=10_05.xlsx&amp;sheet=U0&amp;row=4427&amp;col=6&amp;number=3.3&amp;sourceID=14","3.3")</f>
        <v>3.3</v>
      </c>
      <c r="G4427" s="4" t="str">
        <f>HYPERLINK("http://141.218.60.56/~jnz1568/getInfo.php?workbook=10_05.xlsx&amp;sheet=U0&amp;row=4427&amp;col=7&amp;number=0.0367&amp;sourceID=14","0.0367")</f>
        <v>0.0367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HYPERLINK("http://141.218.60.56/~jnz1568/getInfo.php?workbook=10_05.xlsx&amp;sheet=U0&amp;row=4428&amp;col=6&amp;number=3.4&amp;sourceID=14","3.4")</f>
        <v>3.4</v>
      </c>
      <c r="G4428" s="4" t="str">
        <f>HYPERLINK("http://141.218.60.56/~jnz1568/getInfo.php?workbook=10_05.xlsx&amp;sheet=U0&amp;row=4428&amp;col=7&amp;number=0.0365&amp;sourceID=14","0.0365")</f>
        <v>0.0365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HYPERLINK("http://141.218.60.56/~jnz1568/getInfo.php?workbook=10_05.xlsx&amp;sheet=U0&amp;row=4429&amp;col=6&amp;number=3.5&amp;sourceID=14","3.5")</f>
        <v>3.5</v>
      </c>
      <c r="G4429" s="4" t="str">
        <f>HYPERLINK("http://141.218.60.56/~jnz1568/getInfo.php?workbook=10_05.xlsx&amp;sheet=U0&amp;row=4429&amp;col=7&amp;number=0.0362&amp;sourceID=14","0.0362")</f>
        <v>0.0362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HYPERLINK("http://141.218.60.56/~jnz1568/getInfo.php?workbook=10_05.xlsx&amp;sheet=U0&amp;row=4430&amp;col=6&amp;number=3.6&amp;sourceID=14","3.6")</f>
        <v>3.6</v>
      </c>
      <c r="G4430" s="4" t="str">
        <f>HYPERLINK("http://141.218.60.56/~jnz1568/getInfo.php?workbook=10_05.xlsx&amp;sheet=U0&amp;row=4430&amp;col=7&amp;number=0.0358&amp;sourceID=14","0.0358")</f>
        <v>0.0358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HYPERLINK("http://141.218.60.56/~jnz1568/getInfo.php?workbook=10_05.xlsx&amp;sheet=U0&amp;row=4431&amp;col=6&amp;number=3.7&amp;sourceID=14","3.7")</f>
        <v>3.7</v>
      </c>
      <c r="G4431" s="4" t="str">
        <f>HYPERLINK("http://141.218.60.56/~jnz1568/getInfo.php?workbook=10_05.xlsx&amp;sheet=U0&amp;row=4431&amp;col=7&amp;number=0.0354&amp;sourceID=14","0.0354")</f>
        <v>0.0354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HYPERLINK("http://141.218.60.56/~jnz1568/getInfo.php?workbook=10_05.xlsx&amp;sheet=U0&amp;row=4432&amp;col=6&amp;number=3.8&amp;sourceID=14","3.8")</f>
        <v>3.8</v>
      </c>
      <c r="G4432" s="4" t="str">
        <f>HYPERLINK("http://141.218.60.56/~jnz1568/getInfo.php?workbook=10_05.xlsx&amp;sheet=U0&amp;row=4432&amp;col=7&amp;number=0.0348&amp;sourceID=14","0.0348")</f>
        <v>0.0348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HYPERLINK("http://141.218.60.56/~jnz1568/getInfo.php?workbook=10_05.xlsx&amp;sheet=U0&amp;row=4433&amp;col=6&amp;number=3.9&amp;sourceID=14","3.9")</f>
        <v>3.9</v>
      </c>
      <c r="G4433" s="4" t="str">
        <f>HYPERLINK("http://141.218.60.56/~jnz1568/getInfo.php?workbook=10_05.xlsx&amp;sheet=U0&amp;row=4433&amp;col=7&amp;number=0.0341&amp;sourceID=14","0.0341")</f>
        <v>0.0341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HYPERLINK("http://141.218.60.56/~jnz1568/getInfo.php?workbook=10_05.xlsx&amp;sheet=U0&amp;row=4434&amp;col=6&amp;number=4&amp;sourceID=14","4")</f>
        <v>4</v>
      </c>
      <c r="G4434" s="4" t="str">
        <f>HYPERLINK("http://141.218.60.56/~jnz1568/getInfo.php?workbook=10_05.xlsx&amp;sheet=U0&amp;row=4434&amp;col=7&amp;number=0.0333&amp;sourceID=14","0.0333")</f>
        <v>0.0333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HYPERLINK("http://141.218.60.56/~jnz1568/getInfo.php?workbook=10_05.xlsx&amp;sheet=U0&amp;row=4435&amp;col=6&amp;number=4.1&amp;sourceID=14","4.1")</f>
        <v>4.1</v>
      </c>
      <c r="G4435" s="4" t="str">
        <f>HYPERLINK("http://141.218.60.56/~jnz1568/getInfo.php?workbook=10_05.xlsx&amp;sheet=U0&amp;row=4435&amp;col=7&amp;number=0.0324&amp;sourceID=14","0.0324")</f>
        <v>0.0324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HYPERLINK("http://141.218.60.56/~jnz1568/getInfo.php?workbook=10_05.xlsx&amp;sheet=U0&amp;row=4436&amp;col=6&amp;number=4.2&amp;sourceID=14","4.2")</f>
        <v>4.2</v>
      </c>
      <c r="G4436" s="4" t="str">
        <f>HYPERLINK("http://141.218.60.56/~jnz1568/getInfo.php?workbook=10_05.xlsx&amp;sheet=U0&amp;row=4436&amp;col=7&amp;number=0.0313&amp;sourceID=14","0.0313")</f>
        <v>0.0313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HYPERLINK("http://141.218.60.56/~jnz1568/getInfo.php?workbook=10_05.xlsx&amp;sheet=U0&amp;row=4437&amp;col=6&amp;number=4.3&amp;sourceID=14","4.3")</f>
        <v>4.3</v>
      </c>
      <c r="G4437" s="4" t="str">
        <f>HYPERLINK("http://141.218.60.56/~jnz1568/getInfo.php?workbook=10_05.xlsx&amp;sheet=U0&amp;row=4437&amp;col=7&amp;number=0.0302&amp;sourceID=14","0.0302")</f>
        <v>0.0302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HYPERLINK("http://141.218.60.56/~jnz1568/getInfo.php?workbook=10_05.xlsx&amp;sheet=U0&amp;row=4438&amp;col=6&amp;number=4.4&amp;sourceID=14","4.4")</f>
        <v>4.4</v>
      </c>
      <c r="G4438" s="4" t="str">
        <f>HYPERLINK("http://141.218.60.56/~jnz1568/getInfo.php?workbook=10_05.xlsx&amp;sheet=U0&amp;row=4438&amp;col=7&amp;number=0.0291&amp;sourceID=14","0.0291")</f>
        <v>0.0291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HYPERLINK("http://141.218.60.56/~jnz1568/getInfo.php?workbook=10_05.xlsx&amp;sheet=U0&amp;row=4439&amp;col=6&amp;number=4.5&amp;sourceID=14","4.5")</f>
        <v>4.5</v>
      </c>
      <c r="G4439" s="4" t="str">
        <f>HYPERLINK("http://141.218.60.56/~jnz1568/getInfo.php?workbook=10_05.xlsx&amp;sheet=U0&amp;row=4439&amp;col=7&amp;number=0.0281&amp;sourceID=14","0.0281")</f>
        <v>0.0281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HYPERLINK("http://141.218.60.56/~jnz1568/getInfo.php?workbook=10_05.xlsx&amp;sheet=U0&amp;row=4440&amp;col=6&amp;number=4.6&amp;sourceID=14","4.6")</f>
        <v>4.6</v>
      </c>
      <c r="G4440" s="4" t="str">
        <f>HYPERLINK("http://141.218.60.56/~jnz1568/getInfo.php?workbook=10_05.xlsx&amp;sheet=U0&amp;row=4440&amp;col=7&amp;number=0.0271&amp;sourceID=14","0.0271")</f>
        <v>0.0271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HYPERLINK("http://141.218.60.56/~jnz1568/getInfo.php?workbook=10_05.xlsx&amp;sheet=U0&amp;row=4441&amp;col=6&amp;number=4.7&amp;sourceID=14","4.7")</f>
        <v>4.7</v>
      </c>
      <c r="G4441" s="4" t="str">
        <f>HYPERLINK("http://141.218.60.56/~jnz1568/getInfo.php?workbook=10_05.xlsx&amp;sheet=U0&amp;row=4441&amp;col=7&amp;number=0.0262&amp;sourceID=14","0.0262")</f>
        <v>0.0262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HYPERLINK("http://141.218.60.56/~jnz1568/getInfo.php?workbook=10_05.xlsx&amp;sheet=U0&amp;row=4442&amp;col=6&amp;number=4.8&amp;sourceID=14","4.8")</f>
        <v>4.8</v>
      </c>
      <c r="G4442" s="4" t="str">
        <f>HYPERLINK("http://141.218.60.56/~jnz1568/getInfo.php?workbook=10_05.xlsx&amp;sheet=U0&amp;row=4442&amp;col=7&amp;number=0.0253&amp;sourceID=14","0.0253")</f>
        <v>0.0253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HYPERLINK("http://141.218.60.56/~jnz1568/getInfo.php?workbook=10_05.xlsx&amp;sheet=U0&amp;row=4443&amp;col=6&amp;number=4.9&amp;sourceID=14","4.9")</f>
        <v>4.9</v>
      </c>
      <c r="G4443" s="4" t="str">
        <f>HYPERLINK("http://141.218.60.56/~jnz1568/getInfo.php?workbook=10_05.xlsx&amp;sheet=U0&amp;row=4443&amp;col=7&amp;number=0.0244&amp;sourceID=14","0.0244")</f>
        <v>0.0244</v>
      </c>
    </row>
    <row r="4444" spans="1:7">
      <c r="A4444" s="3">
        <v>10</v>
      </c>
      <c r="B4444" s="3">
        <v>5</v>
      </c>
      <c r="C4444" s="3">
        <v>2</v>
      </c>
      <c r="D4444" s="3">
        <v>46</v>
      </c>
      <c r="E4444" s="3">
        <v>1</v>
      </c>
      <c r="F4444" s="4" t="str">
        <f>HYPERLINK("http://141.218.60.56/~jnz1568/getInfo.php?workbook=10_05.xlsx&amp;sheet=U0&amp;row=4444&amp;col=6&amp;number=3&amp;sourceID=14","3")</f>
        <v>3</v>
      </c>
      <c r="G4444" s="4" t="str">
        <f>HYPERLINK("http://141.218.60.56/~jnz1568/getInfo.php?workbook=10_05.xlsx&amp;sheet=U0&amp;row=4444&amp;col=7&amp;number=0.056&amp;sourceID=14","0.056")</f>
        <v>0.056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HYPERLINK("http://141.218.60.56/~jnz1568/getInfo.php?workbook=10_05.xlsx&amp;sheet=U0&amp;row=4445&amp;col=6&amp;number=3.1&amp;sourceID=14","3.1")</f>
        <v>3.1</v>
      </c>
      <c r="G4445" s="4" t="str">
        <f>HYPERLINK("http://141.218.60.56/~jnz1568/getInfo.php?workbook=10_05.xlsx&amp;sheet=U0&amp;row=4445&amp;col=7&amp;number=0.0559&amp;sourceID=14","0.0559")</f>
        <v>0.0559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HYPERLINK("http://141.218.60.56/~jnz1568/getInfo.php?workbook=10_05.xlsx&amp;sheet=U0&amp;row=4446&amp;col=6&amp;number=3.2&amp;sourceID=14","3.2")</f>
        <v>3.2</v>
      </c>
      <c r="G4446" s="4" t="str">
        <f>HYPERLINK("http://141.218.60.56/~jnz1568/getInfo.php?workbook=10_05.xlsx&amp;sheet=U0&amp;row=4446&amp;col=7&amp;number=0.0558&amp;sourceID=14","0.0558")</f>
        <v>0.0558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HYPERLINK("http://141.218.60.56/~jnz1568/getInfo.php?workbook=10_05.xlsx&amp;sheet=U0&amp;row=4447&amp;col=6&amp;number=3.3&amp;sourceID=14","3.3")</f>
        <v>3.3</v>
      </c>
      <c r="G4447" s="4" t="str">
        <f>HYPERLINK("http://141.218.60.56/~jnz1568/getInfo.php?workbook=10_05.xlsx&amp;sheet=U0&amp;row=4447&amp;col=7&amp;number=0.0556&amp;sourceID=14","0.0556")</f>
        <v>0.0556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HYPERLINK("http://141.218.60.56/~jnz1568/getInfo.php?workbook=10_05.xlsx&amp;sheet=U0&amp;row=4448&amp;col=6&amp;number=3.4&amp;sourceID=14","3.4")</f>
        <v>3.4</v>
      </c>
      <c r="G4448" s="4" t="str">
        <f>HYPERLINK("http://141.218.60.56/~jnz1568/getInfo.php?workbook=10_05.xlsx&amp;sheet=U0&amp;row=4448&amp;col=7&amp;number=0.0554&amp;sourceID=14","0.0554")</f>
        <v>0.0554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HYPERLINK("http://141.218.60.56/~jnz1568/getInfo.php?workbook=10_05.xlsx&amp;sheet=U0&amp;row=4449&amp;col=6&amp;number=3.5&amp;sourceID=14","3.5")</f>
        <v>3.5</v>
      </c>
      <c r="G4449" s="4" t="str">
        <f>HYPERLINK("http://141.218.60.56/~jnz1568/getInfo.php?workbook=10_05.xlsx&amp;sheet=U0&amp;row=4449&amp;col=7&amp;number=0.0551&amp;sourceID=14","0.0551")</f>
        <v>0.0551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HYPERLINK("http://141.218.60.56/~jnz1568/getInfo.php?workbook=10_05.xlsx&amp;sheet=U0&amp;row=4450&amp;col=6&amp;number=3.6&amp;sourceID=14","3.6")</f>
        <v>3.6</v>
      </c>
      <c r="G4450" s="4" t="str">
        <f>HYPERLINK("http://141.218.60.56/~jnz1568/getInfo.php?workbook=10_05.xlsx&amp;sheet=U0&amp;row=4450&amp;col=7&amp;number=0.0547&amp;sourceID=14","0.0547")</f>
        <v>0.0547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HYPERLINK("http://141.218.60.56/~jnz1568/getInfo.php?workbook=10_05.xlsx&amp;sheet=U0&amp;row=4451&amp;col=6&amp;number=3.7&amp;sourceID=14","3.7")</f>
        <v>3.7</v>
      </c>
      <c r="G4451" s="4" t="str">
        <f>HYPERLINK("http://141.218.60.56/~jnz1568/getInfo.php?workbook=10_05.xlsx&amp;sheet=U0&amp;row=4451&amp;col=7&amp;number=0.0543&amp;sourceID=14","0.0543")</f>
        <v>0.0543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HYPERLINK("http://141.218.60.56/~jnz1568/getInfo.php?workbook=10_05.xlsx&amp;sheet=U0&amp;row=4452&amp;col=6&amp;number=3.8&amp;sourceID=14","3.8")</f>
        <v>3.8</v>
      </c>
      <c r="G4452" s="4" t="str">
        <f>HYPERLINK("http://141.218.60.56/~jnz1568/getInfo.php?workbook=10_05.xlsx&amp;sheet=U0&amp;row=4452&amp;col=7&amp;number=0.0538&amp;sourceID=14","0.0538")</f>
        <v>0.0538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HYPERLINK("http://141.218.60.56/~jnz1568/getInfo.php?workbook=10_05.xlsx&amp;sheet=U0&amp;row=4453&amp;col=6&amp;number=3.9&amp;sourceID=14","3.9")</f>
        <v>3.9</v>
      </c>
      <c r="G4453" s="4" t="str">
        <f>HYPERLINK("http://141.218.60.56/~jnz1568/getInfo.php?workbook=10_05.xlsx&amp;sheet=U0&amp;row=4453&amp;col=7&amp;number=0.0531&amp;sourceID=14","0.0531")</f>
        <v>0.0531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HYPERLINK("http://141.218.60.56/~jnz1568/getInfo.php?workbook=10_05.xlsx&amp;sheet=U0&amp;row=4454&amp;col=6&amp;number=4&amp;sourceID=14","4")</f>
        <v>4</v>
      </c>
      <c r="G4454" s="4" t="str">
        <f>HYPERLINK("http://141.218.60.56/~jnz1568/getInfo.php?workbook=10_05.xlsx&amp;sheet=U0&amp;row=4454&amp;col=7&amp;number=0.0523&amp;sourceID=14","0.0523")</f>
        <v>0.0523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HYPERLINK("http://141.218.60.56/~jnz1568/getInfo.php?workbook=10_05.xlsx&amp;sheet=U0&amp;row=4455&amp;col=6&amp;number=4.1&amp;sourceID=14","4.1")</f>
        <v>4.1</v>
      </c>
      <c r="G4455" s="4" t="str">
        <f>HYPERLINK("http://141.218.60.56/~jnz1568/getInfo.php?workbook=10_05.xlsx&amp;sheet=U0&amp;row=4455&amp;col=7&amp;number=0.0513&amp;sourceID=14","0.0513")</f>
        <v>0.0513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HYPERLINK("http://141.218.60.56/~jnz1568/getInfo.php?workbook=10_05.xlsx&amp;sheet=U0&amp;row=4456&amp;col=6&amp;number=4.2&amp;sourceID=14","4.2")</f>
        <v>4.2</v>
      </c>
      <c r="G4456" s="4" t="str">
        <f>HYPERLINK("http://141.218.60.56/~jnz1568/getInfo.php?workbook=10_05.xlsx&amp;sheet=U0&amp;row=4456&amp;col=7&amp;number=0.0502&amp;sourceID=14","0.0502")</f>
        <v>0.0502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HYPERLINK("http://141.218.60.56/~jnz1568/getInfo.php?workbook=10_05.xlsx&amp;sheet=U0&amp;row=4457&amp;col=6&amp;number=4.3&amp;sourceID=14","4.3")</f>
        <v>4.3</v>
      </c>
      <c r="G4457" s="4" t="str">
        <f>HYPERLINK("http://141.218.60.56/~jnz1568/getInfo.php?workbook=10_05.xlsx&amp;sheet=U0&amp;row=4457&amp;col=7&amp;number=0.0489&amp;sourceID=14","0.0489")</f>
        <v>0.0489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HYPERLINK("http://141.218.60.56/~jnz1568/getInfo.php?workbook=10_05.xlsx&amp;sheet=U0&amp;row=4458&amp;col=6&amp;number=4.4&amp;sourceID=14","4.4")</f>
        <v>4.4</v>
      </c>
      <c r="G4458" s="4" t="str">
        <f>HYPERLINK("http://141.218.60.56/~jnz1568/getInfo.php?workbook=10_05.xlsx&amp;sheet=U0&amp;row=4458&amp;col=7&amp;number=0.0474&amp;sourceID=14","0.0474")</f>
        <v>0.0474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HYPERLINK("http://141.218.60.56/~jnz1568/getInfo.php?workbook=10_05.xlsx&amp;sheet=U0&amp;row=4459&amp;col=6&amp;number=4.5&amp;sourceID=14","4.5")</f>
        <v>4.5</v>
      </c>
      <c r="G4459" s="4" t="str">
        <f>HYPERLINK("http://141.218.60.56/~jnz1568/getInfo.php?workbook=10_05.xlsx&amp;sheet=U0&amp;row=4459&amp;col=7&amp;number=0.0458&amp;sourceID=14","0.0458")</f>
        <v>0.0458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HYPERLINK("http://141.218.60.56/~jnz1568/getInfo.php?workbook=10_05.xlsx&amp;sheet=U0&amp;row=4460&amp;col=6&amp;number=4.6&amp;sourceID=14","4.6")</f>
        <v>4.6</v>
      </c>
      <c r="G4460" s="4" t="str">
        <f>HYPERLINK("http://141.218.60.56/~jnz1568/getInfo.php?workbook=10_05.xlsx&amp;sheet=U0&amp;row=4460&amp;col=7&amp;number=0.0442&amp;sourceID=14","0.0442")</f>
        <v>0.0442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HYPERLINK("http://141.218.60.56/~jnz1568/getInfo.php?workbook=10_05.xlsx&amp;sheet=U0&amp;row=4461&amp;col=6&amp;number=4.7&amp;sourceID=14","4.7")</f>
        <v>4.7</v>
      </c>
      <c r="G4461" s="4" t="str">
        <f>HYPERLINK("http://141.218.60.56/~jnz1568/getInfo.php?workbook=10_05.xlsx&amp;sheet=U0&amp;row=4461&amp;col=7&amp;number=0.0428&amp;sourceID=14","0.0428")</f>
        <v>0.0428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HYPERLINK("http://141.218.60.56/~jnz1568/getInfo.php?workbook=10_05.xlsx&amp;sheet=U0&amp;row=4462&amp;col=6&amp;number=4.8&amp;sourceID=14","4.8")</f>
        <v>4.8</v>
      </c>
      <c r="G4462" s="4" t="str">
        <f>HYPERLINK("http://141.218.60.56/~jnz1568/getInfo.php?workbook=10_05.xlsx&amp;sheet=U0&amp;row=4462&amp;col=7&amp;number=0.0416&amp;sourceID=14","0.0416")</f>
        <v>0.0416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HYPERLINK("http://141.218.60.56/~jnz1568/getInfo.php?workbook=10_05.xlsx&amp;sheet=U0&amp;row=4463&amp;col=6&amp;number=4.9&amp;sourceID=14","4.9")</f>
        <v>4.9</v>
      </c>
      <c r="G4463" s="4" t="str">
        <f>HYPERLINK("http://141.218.60.56/~jnz1568/getInfo.php?workbook=10_05.xlsx&amp;sheet=U0&amp;row=4463&amp;col=7&amp;number=0.0405&amp;sourceID=14","0.0405")</f>
        <v>0.0405</v>
      </c>
    </row>
    <row r="4464" spans="1:7">
      <c r="A4464" s="3">
        <v>10</v>
      </c>
      <c r="B4464" s="3">
        <v>5</v>
      </c>
      <c r="C4464" s="3">
        <v>2</v>
      </c>
      <c r="D4464" s="3">
        <v>47</v>
      </c>
      <c r="E4464" s="3">
        <v>1</v>
      </c>
      <c r="F4464" s="4" t="str">
        <f>HYPERLINK("http://141.218.60.56/~jnz1568/getInfo.php?workbook=10_05.xlsx&amp;sheet=U0&amp;row=4464&amp;col=6&amp;number=3&amp;sourceID=14","3")</f>
        <v>3</v>
      </c>
      <c r="G4464" s="4" t="str">
        <f>HYPERLINK("http://141.218.60.56/~jnz1568/getInfo.php?workbook=10_05.xlsx&amp;sheet=U0&amp;row=4464&amp;col=7&amp;number=0.0581&amp;sourceID=14","0.0581")</f>
        <v>0.0581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HYPERLINK("http://141.218.60.56/~jnz1568/getInfo.php?workbook=10_05.xlsx&amp;sheet=U0&amp;row=4465&amp;col=6&amp;number=3.1&amp;sourceID=14","3.1")</f>
        <v>3.1</v>
      </c>
      <c r="G4465" s="4" t="str">
        <f>HYPERLINK("http://141.218.60.56/~jnz1568/getInfo.php?workbook=10_05.xlsx&amp;sheet=U0&amp;row=4465&amp;col=7&amp;number=0.0579&amp;sourceID=14","0.0579")</f>
        <v>0.0579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HYPERLINK("http://141.218.60.56/~jnz1568/getInfo.php?workbook=10_05.xlsx&amp;sheet=U0&amp;row=4466&amp;col=6&amp;number=3.2&amp;sourceID=14","3.2")</f>
        <v>3.2</v>
      </c>
      <c r="G4466" s="4" t="str">
        <f>HYPERLINK("http://141.218.60.56/~jnz1568/getInfo.php?workbook=10_05.xlsx&amp;sheet=U0&amp;row=4466&amp;col=7&amp;number=0.0577&amp;sourceID=14","0.0577")</f>
        <v>0.0577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HYPERLINK("http://141.218.60.56/~jnz1568/getInfo.php?workbook=10_05.xlsx&amp;sheet=U0&amp;row=4467&amp;col=6&amp;number=3.3&amp;sourceID=14","3.3")</f>
        <v>3.3</v>
      </c>
      <c r="G4467" s="4" t="str">
        <f>HYPERLINK("http://141.218.60.56/~jnz1568/getInfo.php?workbook=10_05.xlsx&amp;sheet=U0&amp;row=4467&amp;col=7&amp;number=0.0574&amp;sourceID=14","0.0574")</f>
        <v>0.0574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HYPERLINK("http://141.218.60.56/~jnz1568/getInfo.php?workbook=10_05.xlsx&amp;sheet=U0&amp;row=4468&amp;col=6&amp;number=3.4&amp;sourceID=14","3.4")</f>
        <v>3.4</v>
      </c>
      <c r="G4468" s="4" t="str">
        <f>HYPERLINK("http://141.218.60.56/~jnz1568/getInfo.php?workbook=10_05.xlsx&amp;sheet=U0&amp;row=4468&amp;col=7&amp;number=0.057&amp;sourceID=14","0.057")</f>
        <v>0.057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HYPERLINK("http://141.218.60.56/~jnz1568/getInfo.php?workbook=10_05.xlsx&amp;sheet=U0&amp;row=4469&amp;col=6&amp;number=3.5&amp;sourceID=14","3.5")</f>
        <v>3.5</v>
      </c>
      <c r="G4469" s="4" t="str">
        <f>HYPERLINK("http://141.218.60.56/~jnz1568/getInfo.php?workbook=10_05.xlsx&amp;sheet=U0&amp;row=4469&amp;col=7&amp;number=0.0566&amp;sourceID=14","0.0566")</f>
        <v>0.0566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HYPERLINK("http://141.218.60.56/~jnz1568/getInfo.php?workbook=10_05.xlsx&amp;sheet=U0&amp;row=4470&amp;col=6&amp;number=3.6&amp;sourceID=14","3.6")</f>
        <v>3.6</v>
      </c>
      <c r="G4470" s="4" t="str">
        <f>HYPERLINK("http://141.218.60.56/~jnz1568/getInfo.php?workbook=10_05.xlsx&amp;sheet=U0&amp;row=4470&amp;col=7&amp;number=0.0561&amp;sourceID=14","0.0561")</f>
        <v>0.0561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HYPERLINK("http://141.218.60.56/~jnz1568/getInfo.php?workbook=10_05.xlsx&amp;sheet=U0&amp;row=4471&amp;col=6&amp;number=3.7&amp;sourceID=14","3.7")</f>
        <v>3.7</v>
      </c>
      <c r="G4471" s="4" t="str">
        <f>HYPERLINK("http://141.218.60.56/~jnz1568/getInfo.php?workbook=10_05.xlsx&amp;sheet=U0&amp;row=4471&amp;col=7&amp;number=0.0554&amp;sourceID=14","0.0554")</f>
        <v>0.0554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HYPERLINK("http://141.218.60.56/~jnz1568/getInfo.php?workbook=10_05.xlsx&amp;sheet=U0&amp;row=4472&amp;col=6&amp;number=3.8&amp;sourceID=14","3.8")</f>
        <v>3.8</v>
      </c>
      <c r="G4472" s="4" t="str">
        <f>HYPERLINK("http://141.218.60.56/~jnz1568/getInfo.php?workbook=10_05.xlsx&amp;sheet=U0&amp;row=4472&amp;col=7&amp;number=0.0546&amp;sourceID=14","0.0546")</f>
        <v>0.0546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HYPERLINK("http://141.218.60.56/~jnz1568/getInfo.php?workbook=10_05.xlsx&amp;sheet=U0&amp;row=4473&amp;col=6&amp;number=3.9&amp;sourceID=14","3.9")</f>
        <v>3.9</v>
      </c>
      <c r="G4473" s="4" t="str">
        <f>HYPERLINK("http://141.218.60.56/~jnz1568/getInfo.php?workbook=10_05.xlsx&amp;sheet=U0&amp;row=4473&amp;col=7&amp;number=0.0536&amp;sourceID=14","0.0536")</f>
        <v>0.0536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HYPERLINK("http://141.218.60.56/~jnz1568/getInfo.php?workbook=10_05.xlsx&amp;sheet=U0&amp;row=4474&amp;col=6&amp;number=4&amp;sourceID=14","4")</f>
        <v>4</v>
      </c>
      <c r="G4474" s="4" t="str">
        <f>HYPERLINK("http://141.218.60.56/~jnz1568/getInfo.php?workbook=10_05.xlsx&amp;sheet=U0&amp;row=4474&amp;col=7&amp;number=0.0524&amp;sourceID=14","0.0524")</f>
        <v>0.0524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HYPERLINK("http://141.218.60.56/~jnz1568/getInfo.php?workbook=10_05.xlsx&amp;sheet=U0&amp;row=4475&amp;col=6&amp;number=4.1&amp;sourceID=14","4.1")</f>
        <v>4.1</v>
      </c>
      <c r="G4475" s="4" t="str">
        <f>HYPERLINK("http://141.218.60.56/~jnz1568/getInfo.php?workbook=10_05.xlsx&amp;sheet=U0&amp;row=4475&amp;col=7&amp;number=0.051&amp;sourceID=14","0.051")</f>
        <v>0.051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HYPERLINK("http://141.218.60.56/~jnz1568/getInfo.php?workbook=10_05.xlsx&amp;sheet=U0&amp;row=4476&amp;col=6&amp;number=4.2&amp;sourceID=14","4.2")</f>
        <v>4.2</v>
      </c>
      <c r="G4476" s="4" t="str">
        <f>HYPERLINK("http://141.218.60.56/~jnz1568/getInfo.php?workbook=10_05.xlsx&amp;sheet=U0&amp;row=4476&amp;col=7&amp;number=0.0494&amp;sourceID=14","0.0494")</f>
        <v>0.0494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HYPERLINK("http://141.218.60.56/~jnz1568/getInfo.php?workbook=10_05.xlsx&amp;sheet=U0&amp;row=4477&amp;col=6&amp;number=4.3&amp;sourceID=14","4.3")</f>
        <v>4.3</v>
      </c>
      <c r="G4477" s="4" t="str">
        <f>HYPERLINK("http://141.218.60.56/~jnz1568/getInfo.php?workbook=10_05.xlsx&amp;sheet=U0&amp;row=4477&amp;col=7&amp;number=0.0476&amp;sourceID=14","0.0476")</f>
        <v>0.0476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HYPERLINK("http://141.218.60.56/~jnz1568/getInfo.php?workbook=10_05.xlsx&amp;sheet=U0&amp;row=4478&amp;col=6&amp;number=4.4&amp;sourceID=14","4.4")</f>
        <v>4.4</v>
      </c>
      <c r="G4478" s="4" t="str">
        <f>HYPERLINK("http://141.218.60.56/~jnz1568/getInfo.php?workbook=10_05.xlsx&amp;sheet=U0&amp;row=4478&amp;col=7&amp;number=0.0456&amp;sourceID=14","0.0456")</f>
        <v>0.0456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HYPERLINK("http://141.218.60.56/~jnz1568/getInfo.php?workbook=10_05.xlsx&amp;sheet=U0&amp;row=4479&amp;col=6&amp;number=4.5&amp;sourceID=14","4.5")</f>
        <v>4.5</v>
      </c>
      <c r="G4479" s="4" t="str">
        <f>HYPERLINK("http://141.218.60.56/~jnz1568/getInfo.php?workbook=10_05.xlsx&amp;sheet=U0&amp;row=4479&amp;col=7&amp;number=0.0437&amp;sourceID=14","0.0437")</f>
        <v>0.0437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HYPERLINK("http://141.218.60.56/~jnz1568/getInfo.php?workbook=10_05.xlsx&amp;sheet=U0&amp;row=4480&amp;col=6&amp;number=4.6&amp;sourceID=14","4.6")</f>
        <v>4.6</v>
      </c>
      <c r="G4480" s="4" t="str">
        <f>HYPERLINK("http://141.218.60.56/~jnz1568/getInfo.php?workbook=10_05.xlsx&amp;sheet=U0&amp;row=4480&amp;col=7&amp;number=0.0418&amp;sourceID=14","0.0418")</f>
        <v>0.0418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HYPERLINK("http://141.218.60.56/~jnz1568/getInfo.php?workbook=10_05.xlsx&amp;sheet=U0&amp;row=4481&amp;col=6&amp;number=4.7&amp;sourceID=14","4.7")</f>
        <v>4.7</v>
      </c>
      <c r="G4481" s="4" t="str">
        <f>HYPERLINK("http://141.218.60.56/~jnz1568/getInfo.php?workbook=10_05.xlsx&amp;sheet=U0&amp;row=4481&amp;col=7&amp;number=0.0402&amp;sourceID=14","0.0402")</f>
        <v>0.0402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HYPERLINK("http://141.218.60.56/~jnz1568/getInfo.php?workbook=10_05.xlsx&amp;sheet=U0&amp;row=4482&amp;col=6&amp;number=4.8&amp;sourceID=14","4.8")</f>
        <v>4.8</v>
      </c>
      <c r="G4482" s="4" t="str">
        <f>HYPERLINK("http://141.218.60.56/~jnz1568/getInfo.php?workbook=10_05.xlsx&amp;sheet=U0&amp;row=4482&amp;col=7&amp;number=0.0388&amp;sourceID=14","0.0388")</f>
        <v>0.0388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HYPERLINK("http://141.218.60.56/~jnz1568/getInfo.php?workbook=10_05.xlsx&amp;sheet=U0&amp;row=4483&amp;col=6&amp;number=4.9&amp;sourceID=14","4.9")</f>
        <v>4.9</v>
      </c>
      <c r="G4483" s="4" t="str">
        <f>HYPERLINK("http://141.218.60.56/~jnz1568/getInfo.php?workbook=10_05.xlsx&amp;sheet=U0&amp;row=4483&amp;col=7&amp;number=0.0377&amp;sourceID=14","0.0377")</f>
        <v>0.0377</v>
      </c>
    </row>
    <row r="4484" spans="1:7">
      <c r="A4484" s="3">
        <v>10</v>
      </c>
      <c r="B4484" s="3">
        <v>5</v>
      </c>
      <c r="C4484" s="3">
        <v>2</v>
      </c>
      <c r="D4484" s="3">
        <v>48</v>
      </c>
      <c r="E4484" s="3">
        <v>1</v>
      </c>
      <c r="F4484" s="4" t="str">
        <f>HYPERLINK("http://141.218.60.56/~jnz1568/getInfo.php?workbook=10_05.xlsx&amp;sheet=U0&amp;row=4484&amp;col=6&amp;number=3&amp;sourceID=14","3")</f>
        <v>3</v>
      </c>
      <c r="G4484" s="4" t="str">
        <f>HYPERLINK("http://141.218.60.56/~jnz1568/getInfo.php?workbook=10_05.xlsx&amp;sheet=U0&amp;row=4484&amp;col=7&amp;number=0.106&amp;sourceID=14","0.106")</f>
        <v>0.106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HYPERLINK("http://141.218.60.56/~jnz1568/getInfo.php?workbook=10_05.xlsx&amp;sheet=U0&amp;row=4485&amp;col=6&amp;number=3.1&amp;sourceID=14","3.1")</f>
        <v>3.1</v>
      </c>
      <c r="G4485" s="4" t="str">
        <f>HYPERLINK("http://141.218.60.56/~jnz1568/getInfo.php?workbook=10_05.xlsx&amp;sheet=U0&amp;row=4485&amp;col=7&amp;number=0.105&amp;sourceID=14","0.105")</f>
        <v>0.105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HYPERLINK("http://141.218.60.56/~jnz1568/getInfo.php?workbook=10_05.xlsx&amp;sheet=U0&amp;row=4486&amp;col=6&amp;number=3.2&amp;sourceID=14","3.2")</f>
        <v>3.2</v>
      </c>
      <c r="G4486" s="4" t="str">
        <f>HYPERLINK("http://141.218.60.56/~jnz1568/getInfo.php?workbook=10_05.xlsx&amp;sheet=U0&amp;row=4486&amp;col=7&amp;number=0.105&amp;sourceID=14","0.105")</f>
        <v>0.105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HYPERLINK("http://141.218.60.56/~jnz1568/getInfo.php?workbook=10_05.xlsx&amp;sheet=U0&amp;row=4487&amp;col=6&amp;number=3.3&amp;sourceID=14","3.3")</f>
        <v>3.3</v>
      </c>
      <c r="G4487" s="4" t="str">
        <f>HYPERLINK("http://141.218.60.56/~jnz1568/getInfo.php?workbook=10_05.xlsx&amp;sheet=U0&amp;row=4487&amp;col=7&amp;number=0.104&amp;sourceID=14","0.104")</f>
        <v>0.104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HYPERLINK("http://141.218.60.56/~jnz1568/getInfo.php?workbook=10_05.xlsx&amp;sheet=U0&amp;row=4488&amp;col=6&amp;number=3.4&amp;sourceID=14","3.4")</f>
        <v>3.4</v>
      </c>
      <c r="G4488" s="4" t="str">
        <f>HYPERLINK("http://141.218.60.56/~jnz1568/getInfo.php?workbook=10_05.xlsx&amp;sheet=U0&amp;row=4488&amp;col=7&amp;number=0.104&amp;sourceID=14","0.104")</f>
        <v>0.104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HYPERLINK("http://141.218.60.56/~jnz1568/getInfo.php?workbook=10_05.xlsx&amp;sheet=U0&amp;row=4489&amp;col=6&amp;number=3.5&amp;sourceID=14","3.5")</f>
        <v>3.5</v>
      </c>
      <c r="G4489" s="4" t="str">
        <f>HYPERLINK("http://141.218.60.56/~jnz1568/getInfo.php?workbook=10_05.xlsx&amp;sheet=U0&amp;row=4489&amp;col=7&amp;number=0.103&amp;sourceID=14","0.103")</f>
        <v>0.103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HYPERLINK("http://141.218.60.56/~jnz1568/getInfo.php?workbook=10_05.xlsx&amp;sheet=U0&amp;row=4490&amp;col=6&amp;number=3.6&amp;sourceID=14","3.6")</f>
        <v>3.6</v>
      </c>
      <c r="G4490" s="4" t="str">
        <f>HYPERLINK("http://141.218.60.56/~jnz1568/getInfo.php?workbook=10_05.xlsx&amp;sheet=U0&amp;row=4490&amp;col=7&amp;number=0.102&amp;sourceID=14","0.102")</f>
        <v>0.102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HYPERLINK("http://141.218.60.56/~jnz1568/getInfo.php?workbook=10_05.xlsx&amp;sheet=U0&amp;row=4491&amp;col=6&amp;number=3.7&amp;sourceID=14","3.7")</f>
        <v>3.7</v>
      </c>
      <c r="G4491" s="4" t="str">
        <f>HYPERLINK("http://141.218.60.56/~jnz1568/getInfo.php?workbook=10_05.xlsx&amp;sheet=U0&amp;row=4491&amp;col=7&amp;number=0.101&amp;sourceID=14","0.101")</f>
        <v>0.101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HYPERLINK("http://141.218.60.56/~jnz1568/getInfo.php?workbook=10_05.xlsx&amp;sheet=U0&amp;row=4492&amp;col=6&amp;number=3.8&amp;sourceID=14","3.8")</f>
        <v>3.8</v>
      </c>
      <c r="G4492" s="4" t="str">
        <f>HYPERLINK("http://141.218.60.56/~jnz1568/getInfo.php?workbook=10_05.xlsx&amp;sheet=U0&amp;row=4492&amp;col=7&amp;number=0.099&amp;sourceID=14","0.099")</f>
        <v>0.099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HYPERLINK("http://141.218.60.56/~jnz1568/getInfo.php?workbook=10_05.xlsx&amp;sheet=U0&amp;row=4493&amp;col=6&amp;number=3.9&amp;sourceID=14","3.9")</f>
        <v>3.9</v>
      </c>
      <c r="G4493" s="4" t="str">
        <f>HYPERLINK("http://141.218.60.56/~jnz1568/getInfo.php?workbook=10_05.xlsx&amp;sheet=U0&amp;row=4493&amp;col=7&amp;number=0.0971&amp;sourceID=14","0.0971")</f>
        <v>0.0971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HYPERLINK("http://141.218.60.56/~jnz1568/getInfo.php?workbook=10_05.xlsx&amp;sheet=U0&amp;row=4494&amp;col=6&amp;number=4&amp;sourceID=14","4")</f>
        <v>4</v>
      </c>
      <c r="G4494" s="4" t="str">
        <f>HYPERLINK("http://141.218.60.56/~jnz1568/getInfo.php?workbook=10_05.xlsx&amp;sheet=U0&amp;row=4494&amp;col=7&amp;number=0.0949&amp;sourceID=14","0.0949")</f>
        <v>0.0949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HYPERLINK("http://141.218.60.56/~jnz1568/getInfo.php?workbook=10_05.xlsx&amp;sheet=U0&amp;row=4495&amp;col=6&amp;number=4.1&amp;sourceID=14","4.1")</f>
        <v>4.1</v>
      </c>
      <c r="G4495" s="4" t="str">
        <f>HYPERLINK("http://141.218.60.56/~jnz1568/getInfo.php?workbook=10_05.xlsx&amp;sheet=U0&amp;row=4495&amp;col=7&amp;number=0.0923&amp;sourceID=14","0.0923")</f>
        <v>0.0923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HYPERLINK("http://141.218.60.56/~jnz1568/getInfo.php?workbook=10_05.xlsx&amp;sheet=U0&amp;row=4496&amp;col=6&amp;number=4.2&amp;sourceID=14","4.2")</f>
        <v>4.2</v>
      </c>
      <c r="G4496" s="4" t="str">
        <f>HYPERLINK("http://141.218.60.56/~jnz1568/getInfo.php?workbook=10_05.xlsx&amp;sheet=U0&amp;row=4496&amp;col=7&amp;number=0.0893&amp;sourceID=14","0.0893")</f>
        <v>0.0893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HYPERLINK("http://141.218.60.56/~jnz1568/getInfo.php?workbook=10_05.xlsx&amp;sheet=U0&amp;row=4497&amp;col=6&amp;number=4.3&amp;sourceID=14","4.3")</f>
        <v>4.3</v>
      </c>
      <c r="G4497" s="4" t="str">
        <f>HYPERLINK("http://141.218.60.56/~jnz1568/getInfo.php?workbook=10_05.xlsx&amp;sheet=U0&amp;row=4497&amp;col=7&amp;number=0.086&amp;sourceID=14","0.086")</f>
        <v>0.086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HYPERLINK("http://141.218.60.56/~jnz1568/getInfo.php?workbook=10_05.xlsx&amp;sheet=U0&amp;row=4498&amp;col=6&amp;number=4.4&amp;sourceID=14","4.4")</f>
        <v>4.4</v>
      </c>
      <c r="G4498" s="4" t="str">
        <f>HYPERLINK("http://141.218.60.56/~jnz1568/getInfo.php?workbook=10_05.xlsx&amp;sheet=U0&amp;row=4498&amp;col=7&amp;number=0.0827&amp;sourceID=14","0.0827")</f>
        <v>0.0827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HYPERLINK("http://141.218.60.56/~jnz1568/getInfo.php?workbook=10_05.xlsx&amp;sheet=U0&amp;row=4499&amp;col=6&amp;number=4.5&amp;sourceID=14","4.5")</f>
        <v>4.5</v>
      </c>
      <c r="G4499" s="4" t="str">
        <f>HYPERLINK("http://141.218.60.56/~jnz1568/getInfo.php?workbook=10_05.xlsx&amp;sheet=U0&amp;row=4499&amp;col=7&amp;number=0.0795&amp;sourceID=14","0.0795")</f>
        <v>0.0795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HYPERLINK("http://141.218.60.56/~jnz1568/getInfo.php?workbook=10_05.xlsx&amp;sheet=U0&amp;row=4500&amp;col=6&amp;number=4.6&amp;sourceID=14","4.6")</f>
        <v>4.6</v>
      </c>
      <c r="G4500" s="4" t="str">
        <f>HYPERLINK("http://141.218.60.56/~jnz1568/getInfo.php?workbook=10_05.xlsx&amp;sheet=U0&amp;row=4500&amp;col=7&amp;number=0.0766&amp;sourceID=14","0.0766")</f>
        <v>0.0766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HYPERLINK("http://141.218.60.56/~jnz1568/getInfo.php?workbook=10_05.xlsx&amp;sheet=U0&amp;row=4501&amp;col=6&amp;number=4.7&amp;sourceID=14","4.7")</f>
        <v>4.7</v>
      </c>
      <c r="G4501" s="4" t="str">
        <f>HYPERLINK("http://141.218.60.56/~jnz1568/getInfo.php?workbook=10_05.xlsx&amp;sheet=U0&amp;row=4501&amp;col=7&amp;number=0.0741&amp;sourceID=14","0.0741")</f>
        <v>0.0741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HYPERLINK("http://141.218.60.56/~jnz1568/getInfo.php?workbook=10_05.xlsx&amp;sheet=U0&amp;row=4502&amp;col=6&amp;number=4.8&amp;sourceID=14","4.8")</f>
        <v>4.8</v>
      </c>
      <c r="G4502" s="4" t="str">
        <f>HYPERLINK("http://141.218.60.56/~jnz1568/getInfo.php?workbook=10_05.xlsx&amp;sheet=U0&amp;row=4502&amp;col=7&amp;number=0.0721&amp;sourceID=14","0.0721")</f>
        <v>0.0721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HYPERLINK("http://141.218.60.56/~jnz1568/getInfo.php?workbook=10_05.xlsx&amp;sheet=U0&amp;row=4503&amp;col=6&amp;number=4.9&amp;sourceID=14","4.9")</f>
        <v>4.9</v>
      </c>
      <c r="G4503" s="4" t="str">
        <f>HYPERLINK("http://141.218.60.56/~jnz1568/getInfo.php?workbook=10_05.xlsx&amp;sheet=U0&amp;row=4503&amp;col=7&amp;number=0.0706&amp;sourceID=14","0.0706")</f>
        <v>0.0706</v>
      </c>
    </row>
    <row r="4504" spans="1:7">
      <c r="A4504" s="3">
        <v>10</v>
      </c>
      <c r="B4504" s="3">
        <v>5</v>
      </c>
      <c r="C4504" s="3">
        <v>2</v>
      </c>
      <c r="D4504" s="3">
        <v>49</v>
      </c>
      <c r="E4504" s="3">
        <v>1</v>
      </c>
      <c r="F4504" s="4" t="str">
        <f>HYPERLINK("http://141.218.60.56/~jnz1568/getInfo.php?workbook=10_05.xlsx&amp;sheet=U0&amp;row=4504&amp;col=6&amp;number=3&amp;sourceID=14","3")</f>
        <v>3</v>
      </c>
      <c r="G4504" s="4" t="str">
        <f>HYPERLINK("http://141.218.60.56/~jnz1568/getInfo.php?workbook=10_05.xlsx&amp;sheet=U0&amp;row=4504&amp;col=7&amp;number=0.0414&amp;sourceID=14","0.0414")</f>
        <v>0.0414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HYPERLINK("http://141.218.60.56/~jnz1568/getInfo.php?workbook=10_05.xlsx&amp;sheet=U0&amp;row=4505&amp;col=6&amp;number=3.1&amp;sourceID=14","3.1")</f>
        <v>3.1</v>
      </c>
      <c r="G4505" s="4" t="str">
        <f>HYPERLINK("http://141.218.60.56/~jnz1568/getInfo.php?workbook=10_05.xlsx&amp;sheet=U0&amp;row=4505&amp;col=7&amp;number=0.0413&amp;sourceID=14","0.0413")</f>
        <v>0.0413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HYPERLINK("http://141.218.60.56/~jnz1568/getInfo.php?workbook=10_05.xlsx&amp;sheet=U0&amp;row=4506&amp;col=6&amp;number=3.2&amp;sourceID=14","3.2")</f>
        <v>3.2</v>
      </c>
      <c r="G4506" s="4" t="str">
        <f>HYPERLINK("http://141.218.60.56/~jnz1568/getInfo.php?workbook=10_05.xlsx&amp;sheet=U0&amp;row=4506&amp;col=7&amp;number=0.0411&amp;sourceID=14","0.0411")</f>
        <v>0.0411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HYPERLINK("http://141.218.60.56/~jnz1568/getInfo.php?workbook=10_05.xlsx&amp;sheet=U0&amp;row=4507&amp;col=6&amp;number=3.3&amp;sourceID=14","3.3")</f>
        <v>3.3</v>
      </c>
      <c r="G4507" s="4" t="str">
        <f>HYPERLINK("http://141.218.60.56/~jnz1568/getInfo.php?workbook=10_05.xlsx&amp;sheet=U0&amp;row=4507&amp;col=7&amp;number=0.0409&amp;sourceID=14","0.0409")</f>
        <v>0.0409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HYPERLINK("http://141.218.60.56/~jnz1568/getInfo.php?workbook=10_05.xlsx&amp;sheet=U0&amp;row=4508&amp;col=6&amp;number=3.4&amp;sourceID=14","3.4")</f>
        <v>3.4</v>
      </c>
      <c r="G4508" s="4" t="str">
        <f>HYPERLINK("http://141.218.60.56/~jnz1568/getInfo.php?workbook=10_05.xlsx&amp;sheet=U0&amp;row=4508&amp;col=7&amp;number=0.0406&amp;sourceID=14","0.0406")</f>
        <v>0.0406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HYPERLINK("http://141.218.60.56/~jnz1568/getInfo.php?workbook=10_05.xlsx&amp;sheet=U0&amp;row=4509&amp;col=6&amp;number=3.5&amp;sourceID=14","3.5")</f>
        <v>3.5</v>
      </c>
      <c r="G4509" s="4" t="str">
        <f>HYPERLINK("http://141.218.60.56/~jnz1568/getInfo.php?workbook=10_05.xlsx&amp;sheet=U0&amp;row=4509&amp;col=7&amp;number=0.0402&amp;sourceID=14","0.0402")</f>
        <v>0.0402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HYPERLINK("http://141.218.60.56/~jnz1568/getInfo.php?workbook=10_05.xlsx&amp;sheet=U0&amp;row=4510&amp;col=6&amp;number=3.6&amp;sourceID=14","3.6")</f>
        <v>3.6</v>
      </c>
      <c r="G4510" s="4" t="str">
        <f>HYPERLINK("http://141.218.60.56/~jnz1568/getInfo.php?workbook=10_05.xlsx&amp;sheet=U0&amp;row=4510&amp;col=7&amp;number=0.0398&amp;sourceID=14","0.0398")</f>
        <v>0.0398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HYPERLINK("http://141.218.60.56/~jnz1568/getInfo.php?workbook=10_05.xlsx&amp;sheet=U0&amp;row=4511&amp;col=6&amp;number=3.7&amp;sourceID=14","3.7")</f>
        <v>3.7</v>
      </c>
      <c r="G4511" s="4" t="str">
        <f>HYPERLINK("http://141.218.60.56/~jnz1568/getInfo.php?workbook=10_05.xlsx&amp;sheet=U0&amp;row=4511&amp;col=7&amp;number=0.0392&amp;sourceID=14","0.0392")</f>
        <v>0.0392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HYPERLINK("http://141.218.60.56/~jnz1568/getInfo.php?workbook=10_05.xlsx&amp;sheet=U0&amp;row=4512&amp;col=6&amp;number=3.8&amp;sourceID=14","3.8")</f>
        <v>3.8</v>
      </c>
      <c r="G4512" s="4" t="str">
        <f>HYPERLINK("http://141.218.60.56/~jnz1568/getInfo.php?workbook=10_05.xlsx&amp;sheet=U0&amp;row=4512&amp;col=7&amp;number=0.0385&amp;sourceID=14","0.0385")</f>
        <v>0.0385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HYPERLINK("http://141.218.60.56/~jnz1568/getInfo.php?workbook=10_05.xlsx&amp;sheet=U0&amp;row=4513&amp;col=6&amp;number=3.9&amp;sourceID=14","3.9")</f>
        <v>3.9</v>
      </c>
      <c r="G4513" s="4" t="str">
        <f>HYPERLINK("http://141.218.60.56/~jnz1568/getInfo.php?workbook=10_05.xlsx&amp;sheet=U0&amp;row=4513&amp;col=7&amp;number=0.0377&amp;sourceID=14","0.0377")</f>
        <v>0.0377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HYPERLINK("http://141.218.60.56/~jnz1568/getInfo.php?workbook=10_05.xlsx&amp;sheet=U0&amp;row=4514&amp;col=6&amp;number=4&amp;sourceID=14","4")</f>
        <v>4</v>
      </c>
      <c r="G4514" s="4" t="str">
        <f>HYPERLINK("http://141.218.60.56/~jnz1568/getInfo.php?workbook=10_05.xlsx&amp;sheet=U0&amp;row=4514&amp;col=7&amp;number=0.0368&amp;sourceID=14","0.0368")</f>
        <v>0.0368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HYPERLINK("http://141.218.60.56/~jnz1568/getInfo.php?workbook=10_05.xlsx&amp;sheet=U0&amp;row=4515&amp;col=6&amp;number=4.1&amp;sourceID=14","4.1")</f>
        <v>4.1</v>
      </c>
      <c r="G4515" s="4" t="str">
        <f>HYPERLINK("http://141.218.60.56/~jnz1568/getInfo.php?workbook=10_05.xlsx&amp;sheet=U0&amp;row=4515&amp;col=7&amp;number=0.0356&amp;sourceID=14","0.0356")</f>
        <v>0.0356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HYPERLINK("http://141.218.60.56/~jnz1568/getInfo.php?workbook=10_05.xlsx&amp;sheet=U0&amp;row=4516&amp;col=6&amp;number=4.2&amp;sourceID=14","4.2")</f>
        <v>4.2</v>
      </c>
      <c r="G4516" s="4" t="str">
        <f>HYPERLINK("http://141.218.60.56/~jnz1568/getInfo.php?workbook=10_05.xlsx&amp;sheet=U0&amp;row=4516&amp;col=7&amp;number=0.0344&amp;sourceID=14","0.0344")</f>
        <v>0.0344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HYPERLINK("http://141.218.60.56/~jnz1568/getInfo.php?workbook=10_05.xlsx&amp;sheet=U0&amp;row=4517&amp;col=6&amp;number=4.3&amp;sourceID=14","4.3")</f>
        <v>4.3</v>
      </c>
      <c r="G4517" s="4" t="str">
        <f>HYPERLINK("http://141.218.60.56/~jnz1568/getInfo.php?workbook=10_05.xlsx&amp;sheet=U0&amp;row=4517&amp;col=7&amp;number=0.0332&amp;sourceID=14","0.0332")</f>
        <v>0.0332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HYPERLINK("http://141.218.60.56/~jnz1568/getInfo.php?workbook=10_05.xlsx&amp;sheet=U0&amp;row=4518&amp;col=6&amp;number=4.4&amp;sourceID=14","4.4")</f>
        <v>4.4</v>
      </c>
      <c r="G4518" s="4" t="str">
        <f>HYPERLINK("http://141.218.60.56/~jnz1568/getInfo.php?workbook=10_05.xlsx&amp;sheet=U0&amp;row=4518&amp;col=7&amp;number=0.032&amp;sourceID=14","0.032")</f>
        <v>0.032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HYPERLINK("http://141.218.60.56/~jnz1568/getInfo.php?workbook=10_05.xlsx&amp;sheet=U0&amp;row=4519&amp;col=6&amp;number=4.5&amp;sourceID=14","4.5")</f>
        <v>4.5</v>
      </c>
      <c r="G4519" s="4" t="str">
        <f>HYPERLINK("http://141.218.60.56/~jnz1568/getInfo.php?workbook=10_05.xlsx&amp;sheet=U0&amp;row=4519&amp;col=7&amp;number=0.031&amp;sourceID=14","0.031")</f>
        <v>0.031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HYPERLINK("http://141.218.60.56/~jnz1568/getInfo.php?workbook=10_05.xlsx&amp;sheet=U0&amp;row=4520&amp;col=6&amp;number=4.6&amp;sourceID=14","4.6")</f>
        <v>4.6</v>
      </c>
      <c r="G4520" s="4" t="str">
        <f>HYPERLINK("http://141.218.60.56/~jnz1568/getInfo.php?workbook=10_05.xlsx&amp;sheet=U0&amp;row=4520&amp;col=7&amp;number=0.0302&amp;sourceID=14","0.0302")</f>
        <v>0.0302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HYPERLINK("http://141.218.60.56/~jnz1568/getInfo.php?workbook=10_05.xlsx&amp;sheet=U0&amp;row=4521&amp;col=6&amp;number=4.7&amp;sourceID=14","4.7")</f>
        <v>4.7</v>
      </c>
      <c r="G4521" s="4" t="str">
        <f>HYPERLINK("http://141.218.60.56/~jnz1568/getInfo.php?workbook=10_05.xlsx&amp;sheet=U0&amp;row=4521&amp;col=7&amp;number=0.0294&amp;sourceID=14","0.0294")</f>
        <v>0.0294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HYPERLINK("http://141.218.60.56/~jnz1568/getInfo.php?workbook=10_05.xlsx&amp;sheet=U0&amp;row=4522&amp;col=6&amp;number=4.8&amp;sourceID=14","4.8")</f>
        <v>4.8</v>
      </c>
      <c r="G4522" s="4" t="str">
        <f>HYPERLINK("http://141.218.60.56/~jnz1568/getInfo.php?workbook=10_05.xlsx&amp;sheet=U0&amp;row=4522&amp;col=7&amp;number=0.0286&amp;sourceID=14","0.0286")</f>
        <v>0.0286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HYPERLINK("http://141.218.60.56/~jnz1568/getInfo.php?workbook=10_05.xlsx&amp;sheet=U0&amp;row=4523&amp;col=6&amp;number=4.9&amp;sourceID=14","4.9")</f>
        <v>4.9</v>
      </c>
      <c r="G4523" s="4" t="str">
        <f>HYPERLINK("http://141.218.60.56/~jnz1568/getInfo.php?workbook=10_05.xlsx&amp;sheet=U0&amp;row=4523&amp;col=7&amp;number=0.0278&amp;sourceID=14","0.0278")</f>
        <v>0.0278</v>
      </c>
    </row>
    <row r="4524" spans="1:7">
      <c r="A4524" s="3">
        <v>10</v>
      </c>
      <c r="B4524" s="3">
        <v>5</v>
      </c>
      <c r="C4524" s="3">
        <v>2</v>
      </c>
      <c r="D4524" s="3">
        <v>50</v>
      </c>
      <c r="E4524" s="3">
        <v>1</v>
      </c>
      <c r="F4524" s="4" t="str">
        <f>HYPERLINK("http://141.218.60.56/~jnz1568/getInfo.php?workbook=10_05.xlsx&amp;sheet=U0&amp;row=4524&amp;col=6&amp;number=3&amp;sourceID=14","3")</f>
        <v>3</v>
      </c>
      <c r="G4524" s="4" t="str">
        <f>HYPERLINK("http://141.218.60.56/~jnz1568/getInfo.php?workbook=10_05.xlsx&amp;sheet=U0&amp;row=4524&amp;col=7&amp;number=0.0289&amp;sourceID=14","0.0289")</f>
        <v>0.0289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HYPERLINK("http://141.218.60.56/~jnz1568/getInfo.php?workbook=10_05.xlsx&amp;sheet=U0&amp;row=4525&amp;col=6&amp;number=3.1&amp;sourceID=14","3.1")</f>
        <v>3.1</v>
      </c>
      <c r="G4525" s="4" t="str">
        <f>HYPERLINK("http://141.218.60.56/~jnz1568/getInfo.php?workbook=10_05.xlsx&amp;sheet=U0&amp;row=4525&amp;col=7&amp;number=0.0288&amp;sourceID=14","0.0288")</f>
        <v>0.0288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HYPERLINK("http://141.218.60.56/~jnz1568/getInfo.php?workbook=10_05.xlsx&amp;sheet=U0&amp;row=4526&amp;col=6&amp;number=3.2&amp;sourceID=14","3.2")</f>
        <v>3.2</v>
      </c>
      <c r="G4526" s="4" t="str">
        <f>HYPERLINK("http://141.218.60.56/~jnz1568/getInfo.php?workbook=10_05.xlsx&amp;sheet=U0&amp;row=4526&amp;col=7&amp;number=0.0287&amp;sourceID=14","0.0287")</f>
        <v>0.0287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HYPERLINK("http://141.218.60.56/~jnz1568/getInfo.php?workbook=10_05.xlsx&amp;sheet=U0&amp;row=4527&amp;col=6&amp;number=3.3&amp;sourceID=14","3.3")</f>
        <v>3.3</v>
      </c>
      <c r="G4527" s="4" t="str">
        <f>HYPERLINK("http://141.218.60.56/~jnz1568/getInfo.php?workbook=10_05.xlsx&amp;sheet=U0&amp;row=4527&amp;col=7&amp;number=0.0286&amp;sourceID=14","0.0286")</f>
        <v>0.0286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HYPERLINK("http://141.218.60.56/~jnz1568/getInfo.php?workbook=10_05.xlsx&amp;sheet=U0&amp;row=4528&amp;col=6&amp;number=3.4&amp;sourceID=14","3.4")</f>
        <v>3.4</v>
      </c>
      <c r="G4528" s="4" t="str">
        <f>HYPERLINK("http://141.218.60.56/~jnz1568/getInfo.php?workbook=10_05.xlsx&amp;sheet=U0&amp;row=4528&amp;col=7&amp;number=0.0284&amp;sourceID=14","0.0284")</f>
        <v>0.0284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HYPERLINK("http://141.218.60.56/~jnz1568/getInfo.php?workbook=10_05.xlsx&amp;sheet=U0&amp;row=4529&amp;col=6&amp;number=3.5&amp;sourceID=14","3.5")</f>
        <v>3.5</v>
      </c>
      <c r="G4529" s="4" t="str">
        <f>HYPERLINK("http://141.218.60.56/~jnz1568/getInfo.php?workbook=10_05.xlsx&amp;sheet=U0&amp;row=4529&amp;col=7&amp;number=0.0282&amp;sourceID=14","0.0282")</f>
        <v>0.0282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HYPERLINK("http://141.218.60.56/~jnz1568/getInfo.php?workbook=10_05.xlsx&amp;sheet=U0&amp;row=4530&amp;col=6&amp;number=3.6&amp;sourceID=14","3.6")</f>
        <v>3.6</v>
      </c>
      <c r="G4530" s="4" t="str">
        <f>HYPERLINK("http://141.218.60.56/~jnz1568/getInfo.php?workbook=10_05.xlsx&amp;sheet=U0&amp;row=4530&amp;col=7&amp;number=0.028&amp;sourceID=14","0.028")</f>
        <v>0.028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HYPERLINK("http://141.218.60.56/~jnz1568/getInfo.php?workbook=10_05.xlsx&amp;sheet=U0&amp;row=4531&amp;col=6&amp;number=3.7&amp;sourceID=14","3.7")</f>
        <v>3.7</v>
      </c>
      <c r="G4531" s="4" t="str">
        <f>HYPERLINK("http://141.218.60.56/~jnz1568/getInfo.php?workbook=10_05.xlsx&amp;sheet=U0&amp;row=4531&amp;col=7&amp;number=0.0277&amp;sourceID=14","0.0277")</f>
        <v>0.0277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HYPERLINK("http://141.218.60.56/~jnz1568/getInfo.php?workbook=10_05.xlsx&amp;sheet=U0&amp;row=4532&amp;col=6&amp;number=3.8&amp;sourceID=14","3.8")</f>
        <v>3.8</v>
      </c>
      <c r="G4532" s="4" t="str">
        <f>HYPERLINK("http://141.218.60.56/~jnz1568/getInfo.php?workbook=10_05.xlsx&amp;sheet=U0&amp;row=4532&amp;col=7&amp;number=0.0273&amp;sourceID=14","0.0273")</f>
        <v>0.0273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HYPERLINK("http://141.218.60.56/~jnz1568/getInfo.php?workbook=10_05.xlsx&amp;sheet=U0&amp;row=4533&amp;col=6&amp;number=3.9&amp;sourceID=14","3.9")</f>
        <v>3.9</v>
      </c>
      <c r="G4533" s="4" t="str">
        <f>HYPERLINK("http://141.218.60.56/~jnz1568/getInfo.php?workbook=10_05.xlsx&amp;sheet=U0&amp;row=4533&amp;col=7&amp;number=0.0269&amp;sourceID=14","0.0269")</f>
        <v>0.0269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HYPERLINK("http://141.218.60.56/~jnz1568/getInfo.php?workbook=10_05.xlsx&amp;sheet=U0&amp;row=4534&amp;col=6&amp;number=4&amp;sourceID=14","4")</f>
        <v>4</v>
      </c>
      <c r="G4534" s="4" t="str">
        <f>HYPERLINK("http://141.218.60.56/~jnz1568/getInfo.php?workbook=10_05.xlsx&amp;sheet=U0&amp;row=4534&amp;col=7&amp;number=0.0263&amp;sourceID=14","0.0263")</f>
        <v>0.0263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HYPERLINK("http://141.218.60.56/~jnz1568/getInfo.php?workbook=10_05.xlsx&amp;sheet=U0&amp;row=4535&amp;col=6&amp;number=4.1&amp;sourceID=14","4.1")</f>
        <v>4.1</v>
      </c>
      <c r="G4535" s="4" t="str">
        <f>HYPERLINK("http://141.218.60.56/~jnz1568/getInfo.php?workbook=10_05.xlsx&amp;sheet=U0&amp;row=4535&amp;col=7&amp;number=0.0257&amp;sourceID=14","0.0257")</f>
        <v>0.0257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HYPERLINK("http://141.218.60.56/~jnz1568/getInfo.php?workbook=10_05.xlsx&amp;sheet=U0&amp;row=4536&amp;col=6&amp;number=4.2&amp;sourceID=14","4.2")</f>
        <v>4.2</v>
      </c>
      <c r="G4536" s="4" t="str">
        <f>HYPERLINK("http://141.218.60.56/~jnz1568/getInfo.php?workbook=10_05.xlsx&amp;sheet=U0&amp;row=4536&amp;col=7&amp;number=0.025&amp;sourceID=14","0.025")</f>
        <v>0.025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HYPERLINK("http://141.218.60.56/~jnz1568/getInfo.php?workbook=10_05.xlsx&amp;sheet=U0&amp;row=4537&amp;col=6&amp;number=4.3&amp;sourceID=14","4.3")</f>
        <v>4.3</v>
      </c>
      <c r="G4537" s="4" t="str">
        <f>HYPERLINK("http://141.218.60.56/~jnz1568/getInfo.php?workbook=10_05.xlsx&amp;sheet=U0&amp;row=4537&amp;col=7&amp;number=0.0242&amp;sourceID=14","0.0242")</f>
        <v>0.0242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HYPERLINK("http://141.218.60.56/~jnz1568/getInfo.php?workbook=10_05.xlsx&amp;sheet=U0&amp;row=4538&amp;col=6&amp;number=4.4&amp;sourceID=14","4.4")</f>
        <v>4.4</v>
      </c>
      <c r="G4538" s="4" t="str">
        <f>HYPERLINK("http://141.218.60.56/~jnz1568/getInfo.php?workbook=10_05.xlsx&amp;sheet=U0&amp;row=4538&amp;col=7&amp;number=0.0234&amp;sourceID=14","0.0234")</f>
        <v>0.0234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HYPERLINK("http://141.218.60.56/~jnz1568/getInfo.php?workbook=10_05.xlsx&amp;sheet=U0&amp;row=4539&amp;col=6&amp;number=4.5&amp;sourceID=14","4.5")</f>
        <v>4.5</v>
      </c>
      <c r="G4539" s="4" t="str">
        <f>HYPERLINK("http://141.218.60.56/~jnz1568/getInfo.php?workbook=10_05.xlsx&amp;sheet=U0&amp;row=4539&amp;col=7&amp;number=0.0227&amp;sourceID=14","0.0227")</f>
        <v>0.0227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HYPERLINK("http://141.218.60.56/~jnz1568/getInfo.php?workbook=10_05.xlsx&amp;sheet=U0&amp;row=4540&amp;col=6&amp;number=4.6&amp;sourceID=14","4.6")</f>
        <v>4.6</v>
      </c>
      <c r="G4540" s="4" t="str">
        <f>HYPERLINK("http://141.218.60.56/~jnz1568/getInfo.php?workbook=10_05.xlsx&amp;sheet=U0&amp;row=4540&amp;col=7&amp;number=0.022&amp;sourceID=14","0.022")</f>
        <v>0.022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HYPERLINK("http://141.218.60.56/~jnz1568/getInfo.php?workbook=10_05.xlsx&amp;sheet=U0&amp;row=4541&amp;col=6&amp;number=4.7&amp;sourceID=14","4.7")</f>
        <v>4.7</v>
      </c>
      <c r="G4541" s="4" t="str">
        <f>HYPERLINK("http://141.218.60.56/~jnz1568/getInfo.php?workbook=10_05.xlsx&amp;sheet=U0&amp;row=4541&amp;col=7&amp;number=0.0214&amp;sourceID=14","0.0214")</f>
        <v>0.0214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HYPERLINK("http://141.218.60.56/~jnz1568/getInfo.php?workbook=10_05.xlsx&amp;sheet=U0&amp;row=4542&amp;col=6&amp;number=4.8&amp;sourceID=14","4.8")</f>
        <v>4.8</v>
      </c>
      <c r="G4542" s="4" t="str">
        <f>HYPERLINK("http://141.218.60.56/~jnz1568/getInfo.php?workbook=10_05.xlsx&amp;sheet=U0&amp;row=4542&amp;col=7&amp;number=0.0208&amp;sourceID=14","0.0208")</f>
        <v>0.0208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HYPERLINK("http://141.218.60.56/~jnz1568/getInfo.php?workbook=10_05.xlsx&amp;sheet=U0&amp;row=4543&amp;col=6&amp;number=4.9&amp;sourceID=14","4.9")</f>
        <v>4.9</v>
      </c>
      <c r="G4543" s="4" t="str">
        <f>HYPERLINK("http://141.218.60.56/~jnz1568/getInfo.php?workbook=10_05.xlsx&amp;sheet=U0&amp;row=4543&amp;col=7&amp;number=0.0202&amp;sourceID=14","0.0202")</f>
        <v>0.0202</v>
      </c>
    </row>
    <row r="4544" spans="1:7">
      <c r="A4544" s="3">
        <v>10</v>
      </c>
      <c r="B4544" s="3">
        <v>5</v>
      </c>
      <c r="C4544" s="3">
        <v>2</v>
      </c>
      <c r="D4544" s="3">
        <v>51</v>
      </c>
      <c r="E4544" s="3">
        <v>1</v>
      </c>
      <c r="F4544" s="4" t="str">
        <f>HYPERLINK("http://141.218.60.56/~jnz1568/getInfo.php?workbook=10_05.xlsx&amp;sheet=U0&amp;row=4544&amp;col=6&amp;number=3&amp;sourceID=14","3")</f>
        <v>3</v>
      </c>
      <c r="G4544" s="4" t="str">
        <f>HYPERLINK("http://141.218.60.56/~jnz1568/getInfo.php?workbook=10_05.xlsx&amp;sheet=U0&amp;row=4544&amp;col=7&amp;number=0.0156&amp;sourceID=14","0.0156")</f>
        <v>0.0156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HYPERLINK("http://141.218.60.56/~jnz1568/getInfo.php?workbook=10_05.xlsx&amp;sheet=U0&amp;row=4545&amp;col=6&amp;number=3.1&amp;sourceID=14","3.1")</f>
        <v>3.1</v>
      </c>
      <c r="G4545" s="4" t="str">
        <f>HYPERLINK("http://141.218.60.56/~jnz1568/getInfo.php?workbook=10_05.xlsx&amp;sheet=U0&amp;row=4545&amp;col=7&amp;number=0.0156&amp;sourceID=14","0.0156")</f>
        <v>0.0156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HYPERLINK("http://141.218.60.56/~jnz1568/getInfo.php?workbook=10_05.xlsx&amp;sheet=U0&amp;row=4546&amp;col=6&amp;number=3.2&amp;sourceID=14","3.2")</f>
        <v>3.2</v>
      </c>
      <c r="G4546" s="4" t="str">
        <f>HYPERLINK("http://141.218.60.56/~jnz1568/getInfo.php?workbook=10_05.xlsx&amp;sheet=U0&amp;row=4546&amp;col=7&amp;number=0.0155&amp;sourceID=14","0.0155")</f>
        <v>0.0155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HYPERLINK("http://141.218.60.56/~jnz1568/getInfo.php?workbook=10_05.xlsx&amp;sheet=U0&amp;row=4547&amp;col=6&amp;number=3.3&amp;sourceID=14","3.3")</f>
        <v>3.3</v>
      </c>
      <c r="G4547" s="4" t="str">
        <f>HYPERLINK("http://141.218.60.56/~jnz1568/getInfo.php?workbook=10_05.xlsx&amp;sheet=U0&amp;row=4547&amp;col=7&amp;number=0.0154&amp;sourceID=14","0.0154")</f>
        <v>0.0154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HYPERLINK("http://141.218.60.56/~jnz1568/getInfo.php?workbook=10_05.xlsx&amp;sheet=U0&amp;row=4548&amp;col=6&amp;number=3.4&amp;sourceID=14","3.4")</f>
        <v>3.4</v>
      </c>
      <c r="G4548" s="4" t="str">
        <f>HYPERLINK("http://141.218.60.56/~jnz1568/getInfo.php?workbook=10_05.xlsx&amp;sheet=U0&amp;row=4548&amp;col=7&amp;number=0.0153&amp;sourceID=14","0.0153")</f>
        <v>0.0153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HYPERLINK("http://141.218.60.56/~jnz1568/getInfo.php?workbook=10_05.xlsx&amp;sheet=U0&amp;row=4549&amp;col=6&amp;number=3.5&amp;sourceID=14","3.5")</f>
        <v>3.5</v>
      </c>
      <c r="G4549" s="4" t="str">
        <f>HYPERLINK("http://141.218.60.56/~jnz1568/getInfo.php?workbook=10_05.xlsx&amp;sheet=U0&amp;row=4549&amp;col=7&amp;number=0.0152&amp;sourceID=14","0.0152")</f>
        <v>0.0152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HYPERLINK("http://141.218.60.56/~jnz1568/getInfo.php?workbook=10_05.xlsx&amp;sheet=U0&amp;row=4550&amp;col=6&amp;number=3.6&amp;sourceID=14","3.6")</f>
        <v>3.6</v>
      </c>
      <c r="G4550" s="4" t="str">
        <f>HYPERLINK("http://141.218.60.56/~jnz1568/getInfo.php?workbook=10_05.xlsx&amp;sheet=U0&amp;row=4550&amp;col=7&amp;number=0.0151&amp;sourceID=14","0.0151")</f>
        <v>0.0151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HYPERLINK("http://141.218.60.56/~jnz1568/getInfo.php?workbook=10_05.xlsx&amp;sheet=U0&amp;row=4551&amp;col=6&amp;number=3.7&amp;sourceID=14","3.7")</f>
        <v>3.7</v>
      </c>
      <c r="G4551" s="4" t="str">
        <f>HYPERLINK("http://141.218.60.56/~jnz1568/getInfo.php?workbook=10_05.xlsx&amp;sheet=U0&amp;row=4551&amp;col=7&amp;number=0.0149&amp;sourceID=14","0.0149")</f>
        <v>0.0149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HYPERLINK("http://141.218.60.56/~jnz1568/getInfo.php?workbook=10_05.xlsx&amp;sheet=U0&amp;row=4552&amp;col=6&amp;number=3.8&amp;sourceID=14","3.8")</f>
        <v>3.8</v>
      </c>
      <c r="G4552" s="4" t="str">
        <f>HYPERLINK("http://141.218.60.56/~jnz1568/getInfo.php?workbook=10_05.xlsx&amp;sheet=U0&amp;row=4552&amp;col=7&amp;number=0.0147&amp;sourceID=14","0.0147")</f>
        <v>0.0147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HYPERLINK("http://141.218.60.56/~jnz1568/getInfo.php?workbook=10_05.xlsx&amp;sheet=U0&amp;row=4553&amp;col=6&amp;number=3.9&amp;sourceID=14","3.9")</f>
        <v>3.9</v>
      </c>
      <c r="G4553" s="4" t="str">
        <f>HYPERLINK("http://141.218.60.56/~jnz1568/getInfo.php?workbook=10_05.xlsx&amp;sheet=U0&amp;row=4553&amp;col=7&amp;number=0.0144&amp;sourceID=14","0.0144")</f>
        <v>0.0144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HYPERLINK("http://141.218.60.56/~jnz1568/getInfo.php?workbook=10_05.xlsx&amp;sheet=U0&amp;row=4554&amp;col=6&amp;number=4&amp;sourceID=14","4")</f>
        <v>4</v>
      </c>
      <c r="G4554" s="4" t="str">
        <f>HYPERLINK("http://141.218.60.56/~jnz1568/getInfo.php?workbook=10_05.xlsx&amp;sheet=U0&amp;row=4554&amp;col=7&amp;number=0.0141&amp;sourceID=14","0.0141")</f>
        <v>0.0141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HYPERLINK("http://141.218.60.56/~jnz1568/getInfo.php?workbook=10_05.xlsx&amp;sheet=U0&amp;row=4555&amp;col=6&amp;number=4.1&amp;sourceID=14","4.1")</f>
        <v>4.1</v>
      </c>
      <c r="G4555" s="4" t="str">
        <f>HYPERLINK("http://141.218.60.56/~jnz1568/getInfo.php?workbook=10_05.xlsx&amp;sheet=U0&amp;row=4555&amp;col=7&amp;number=0.0138&amp;sourceID=14","0.0138")</f>
        <v>0.0138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HYPERLINK("http://141.218.60.56/~jnz1568/getInfo.php?workbook=10_05.xlsx&amp;sheet=U0&amp;row=4556&amp;col=6&amp;number=4.2&amp;sourceID=14","4.2")</f>
        <v>4.2</v>
      </c>
      <c r="G4556" s="4" t="str">
        <f>HYPERLINK("http://141.218.60.56/~jnz1568/getInfo.php?workbook=10_05.xlsx&amp;sheet=U0&amp;row=4556&amp;col=7&amp;number=0.0134&amp;sourceID=14","0.0134")</f>
        <v>0.0134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HYPERLINK("http://141.218.60.56/~jnz1568/getInfo.php?workbook=10_05.xlsx&amp;sheet=U0&amp;row=4557&amp;col=6&amp;number=4.3&amp;sourceID=14","4.3")</f>
        <v>4.3</v>
      </c>
      <c r="G4557" s="4" t="str">
        <f>HYPERLINK("http://141.218.60.56/~jnz1568/getInfo.php?workbook=10_05.xlsx&amp;sheet=U0&amp;row=4557&amp;col=7&amp;number=0.013&amp;sourceID=14","0.013")</f>
        <v>0.013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HYPERLINK("http://141.218.60.56/~jnz1568/getInfo.php?workbook=10_05.xlsx&amp;sheet=U0&amp;row=4558&amp;col=6&amp;number=4.4&amp;sourceID=14","4.4")</f>
        <v>4.4</v>
      </c>
      <c r="G4558" s="4" t="str">
        <f>HYPERLINK("http://141.218.60.56/~jnz1568/getInfo.php?workbook=10_05.xlsx&amp;sheet=U0&amp;row=4558&amp;col=7&amp;number=0.0126&amp;sourceID=14","0.0126")</f>
        <v>0.0126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HYPERLINK("http://141.218.60.56/~jnz1568/getInfo.php?workbook=10_05.xlsx&amp;sheet=U0&amp;row=4559&amp;col=6&amp;number=4.5&amp;sourceID=14","4.5")</f>
        <v>4.5</v>
      </c>
      <c r="G4559" s="4" t="str">
        <f>HYPERLINK("http://141.218.60.56/~jnz1568/getInfo.php?workbook=10_05.xlsx&amp;sheet=U0&amp;row=4559&amp;col=7&amp;number=0.0122&amp;sourceID=14","0.0122")</f>
        <v>0.0122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HYPERLINK("http://141.218.60.56/~jnz1568/getInfo.php?workbook=10_05.xlsx&amp;sheet=U0&amp;row=4560&amp;col=6&amp;number=4.6&amp;sourceID=14","4.6")</f>
        <v>4.6</v>
      </c>
      <c r="G4560" s="4" t="str">
        <f>HYPERLINK("http://141.218.60.56/~jnz1568/getInfo.php?workbook=10_05.xlsx&amp;sheet=U0&amp;row=4560&amp;col=7&amp;number=0.0119&amp;sourceID=14","0.0119")</f>
        <v>0.0119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HYPERLINK("http://141.218.60.56/~jnz1568/getInfo.php?workbook=10_05.xlsx&amp;sheet=U0&amp;row=4561&amp;col=6&amp;number=4.7&amp;sourceID=14","4.7")</f>
        <v>4.7</v>
      </c>
      <c r="G4561" s="4" t="str">
        <f>HYPERLINK("http://141.218.60.56/~jnz1568/getInfo.php?workbook=10_05.xlsx&amp;sheet=U0&amp;row=4561&amp;col=7&amp;number=0.0116&amp;sourceID=14","0.0116")</f>
        <v>0.0116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HYPERLINK("http://141.218.60.56/~jnz1568/getInfo.php?workbook=10_05.xlsx&amp;sheet=U0&amp;row=4562&amp;col=6&amp;number=4.8&amp;sourceID=14","4.8")</f>
        <v>4.8</v>
      </c>
      <c r="G4562" s="4" t="str">
        <f>HYPERLINK("http://141.218.60.56/~jnz1568/getInfo.php?workbook=10_05.xlsx&amp;sheet=U0&amp;row=4562&amp;col=7&amp;number=0.0113&amp;sourceID=14","0.0113")</f>
        <v>0.0113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HYPERLINK("http://141.218.60.56/~jnz1568/getInfo.php?workbook=10_05.xlsx&amp;sheet=U0&amp;row=4563&amp;col=6&amp;number=4.9&amp;sourceID=14","4.9")</f>
        <v>4.9</v>
      </c>
      <c r="G4563" s="4" t="str">
        <f>HYPERLINK("http://141.218.60.56/~jnz1568/getInfo.php?workbook=10_05.xlsx&amp;sheet=U0&amp;row=4563&amp;col=7&amp;number=0.0109&amp;sourceID=14","0.0109")</f>
        <v>0.0109</v>
      </c>
    </row>
    <row r="4564" spans="1:7">
      <c r="A4564" s="3">
        <v>10</v>
      </c>
      <c r="B4564" s="3">
        <v>5</v>
      </c>
      <c r="C4564" s="3">
        <v>2</v>
      </c>
      <c r="D4564" s="3">
        <v>52</v>
      </c>
      <c r="E4564" s="3">
        <v>1</v>
      </c>
      <c r="F4564" s="4" t="str">
        <f>HYPERLINK("http://141.218.60.56/~jnz1568/getInfo.php?workbook=10_05.xlsx&amp;sheet=U0&amp;row=4564&amp;col=6&amp;number=3&amp;sourceID=14","3")</f>
        <v>3</v>
      </c>
      <c r="G4564" s="4" t="str">
        <f>HYPERLINK("http://141.218.60.56/~jnz1568/getInfo.php?workbook=10_05.xlsx&amp;sheet=U0&amp;row=4564&amp;col=7&amp;number=0.166&amp;sourceID=14","0.166")</f>
        <v>0.166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HYPERLINK("http://141.218.60.56/~jnz1568/getInfo.php?workbook=10_05.xlsx&amp;sheet=U0&amp;row=4565&amp;col=6&amp;number=3.1&amp;sourceID=14","3.1")</f>
        <v>3.1</v>
      </c>
      <c r="G4565" s="4" t="str">
        <f>HYPERLINK("http://141.218.60.56/~jnz1568/getInfo.php?workbook=10_05.xlsx&amp;sheet=U0&amp;row=4565&amp;col=7&amp;number=0.165&amp;sourceID=14","0.165")</f>
        <v>0.165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HYPERLINK("http://141.218.60.56/~jnz1568/getInfo.php?workbook=10_05.xlsx&amp;sheet=U0&amp;row=4566&amp;col=6&amp;number=3.2&amp;sourceID=14","3.2")</f>
        <v>3.2</v>
      </c>
      <c r="G4566" s="4" t="str">
        <f>HYPERLINK("http://141.218.60.56/~jnz1568/getInfo.php?workbook=10_05.xlsx&amp;sheet=U0&amp;row=4566&amp;col=7&amp;number=0.165&amp;sourceID=14","0.165")</f>
        <v>0.165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HYPERLINK("http://141.218.60.56/~jnz1568/getInfo.php?workbook=10_05.xlsx&amp;sheet=U0&amp;row=4567&amp;col=6&amp;number=3.3&amp;sourceID=14","3.3")</f>
        <v>3.3</v>
      </c>
      <c r="G4567" s="4" t="str">
        <f>HYPERLINK("http://141.218.60.56/~jnz1568/getInfo.php?workbook=10_05.xlsx&amp;sheet=U0&amp;row=4567&amp;col=7&amp;number=0.164&amp;sourceID=14","0.164")</f>
        <v>0.164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HYPERLINK("http://141.218.60.56/~jnz1568/getInfo.php?workbook=10_05.xlsx&amp;sheet=U0&amp;row=4568&amp;col=6&amp;number=3.4&amp;sourceID=14","3.4")</f>
        <v>3.4</v>
      </c>
      <c r="G4568" s="4" t="str">
        <f>HYPERLINK("http://141.218.60.56/~jnz1568/getInfo.php?workbook=10_05.xlsx&amp;sheet=U0&amp;row=4568&amp;col=7&amp;number=0.164&amp;sourceID=14","0.164")</f>
        <v>0.164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HYPERLINK("http://141.218.60.56/~jnz1568/getInfo.php?workbook=10_05.xlsx&amp;sheet=U0&amp;row=4569&amp;col=6&amp;number=3.5&amp;sourceID=14","3.5")</f>
        <v>3.5</v>
      </c>
      <c r="G4569" s="4" t="str">
        <f>HYPERLINK("http://141.218.60.56/~jnz1568/getInfo.php?workbook=10_05.xlsx&amp;sheet=U0&amp;row=4569&amp;col=7&amp;number=0.163&amp;sourceID=14","0.163")</f>
        <v>0.163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HYPERLINK("http://141.218.60.56/~jnz1568/getInfo.php?workbook=10_05.xlsx&amp;sheet=U0&amp;row=4570&amp;col=6&amp;number=3.6&amp;sourceID=14","3.6")</f>
        <v>3.6</v>
      </c>
      <c r="G4570" s="4" t="str">
        <f>HYPERLINK("http://141.218.60.56/~jnz1568/getInfo.php?workbook=10_05.xlsx&amp;sheet=U0&amp;row=4570&amp;col=7&amp;number=0.162&amp;sourceID=14","0.162")</f>
        <v>0.162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HYPERLINK("http://141.218.60.56/~jnz1568/getInfo.php?workbook=10_05.xlsx&amp;sheet=U0&amp;row=4571&amp;col=6&amp;number=3.7&amp;sourceID=14","3.7")</f>
        <v>3.7</v>
      </c>
      <c r="G4571" s="4" t="str">
        <f>HYPERLINK("http://141.218.60.56/~jnz1568/getInfo.php?workbook=10_05.xlsx&amp;sheet=U0&amp;row=4571&amp;col=7&amp;number=0.16&amp;sourceID=14","0.16")</f>
        <v>0.16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HYPERLINK("http://141.218.60.56/~jnz1568/getInfo.php?workbook=10_05.xlsx&amp;sheet=U0&amp;row=4572&amp;col=6&amp;number=3.8&amp;sourceID=14","3.8")</f>
        <v>3.8</v>
      </c>
      <c r="G4572" s="4" t="str">
        <f>HYPERLINK("http://141.218.60.56/~jnz1568/getInfo.php?workbook=10_05.xlsx&amp;sheet=U0&amp;row=4572&amp;col=7&amp;number=0.159&amp;sourceID=14","0.159")</f>
        <v>0.159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HYPERLINK("http://141.218.60.56/~jnz1568/getInfo.php?workbook=10_05.xlsx&amp;sheet=U0&amp;row=4573&amp;col=6&amp;number=3.9&amp;sourceID=14","3.9")</f>
        <v>3.9</v>
      </c>
      <c r="G4573" s="4" t="str">
        <f>HYPERLINK("http://141.218.60.56/~jnz1568/getInfo.php?workbook=10_05.xlsx&amp;sheet=U0&amp;row=4573&amp;col=7&amp;number=0.157&amp;sourceID=14","0.157")</f>
        <v>0.157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HYPERLINK("http://141.218.60.56/~jnz1568/getInfo.php?workbook=10_05.xlsx&amp;sheet=U0&amp;row=4574&amp;col=6&amp;number=4&amp;sourceID=14","4")</f>
        <v>4</v>
      </c>
      <c r="G4574" s="4" t="str">
        <f>HYPERLINK("http://141.218.60.56/~jnz1568/getInfo.php?workbook=10_05.xlsx&amp;sheet=U0&amp;row=4574&amp;col=7&amp;number=0.155&amp;sourceID=14","0.155")</f>
        <v>0.155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HYPERLINK("http://141.218.60.56/~jnz1568/getInfo.php?workbook=10_05.xlsx&amp;sheet=U0&amp;row=4575&amp;col=6&amp;number=4.1&amp;sourceID=14","4.1")</f>
        <v>4.1</v>
      </c>
      <c r="G4575" s="4" t="str">
        <f>HYPERLINK("http://141.218.60.56/~jnz1568/getInfo.php?workbook=10_05.xlsx&amp;sheet=U0&amp;row=4575&amp;col=7&amp;number=0.152&amp;sourceID=14","0.152")</f>
        <v>0.152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HYPERLINK("http://141.218.60.56/~jnz1568/getInfo.php?workbook=10_05.xlsx&amp;sheet=U0&amp;row=4576&amp;col=6&amp;number=4.2&amp;sourceID=14","4.2")</f>
        <v>4.2</v>
      </c>
      <c r="G4576" s="4" t="str">
        <f>HYPERLINK("http://141.218.60.56/~jnz1568/getInfo.php?workbook=10_05.xlsx&amp;sheet=U0&amp;row=4576&amp;col=7&amp;number=0.149&amp;sourceID=14","0.149")</f>
        <v>0.149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HYPERLINK("http://141.218.60.56/~jnz1568/getInfo.php?workbook=10_05.xlsx&amp;sheet=U0&amp;row=4577&amp;col=6&amp;number=4.3&amp;sourceID=14","4.3")</f>
        <v>4.3</v>
      </c>
      <c r="G4577" s="4" t="str">
        <f>HYPERLINK("http://141.218.60.56/~jnz1568/getInfo.php?workbook=10_05.xlsx&amp;sheet=U0&amp;row=4577&amp;col=7&amp;number=0.146&amp;sourceID=14","0.146")</f>
        <v>0.146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HYPERLINK("http://141.218.60.56/~jnz1568/getInfo.php?workbook=10_05.xlsx&amp;sheet=U0&amp;row=4578&amp;col=6&amp;number=4.4&amp;sourceID=14","4.4")</f>
        <v>4.4</v>
      </c>
      <c r="G4578" s="4" t="str">
        <f>HYPERLINK("http://141.218.60.56/~jnz1568/getInfo.php?workbook=10_05.xlsx&amp;sheet=U0&amp;row=4578&amp;col=7&amp;number=0.142&amp;sourceID=14","0.142")</f>
        <v>0.142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HYPERLINK("http://141.218.60.56/~jnz1568/getInfo.php?workbook=10_05.xlsx&amp;sheet=U0&amp;row=4579&amp;col=6&amp;number=4.5&amp;sourceID=14","4.5")</f>
        <v>4.5</v>
      </c>
      <c r="G4579" s="4" t="str">
        <f>HYPERLINK("http://141.218.60.56/~jnz1568/getInfo.php?workbook=10_05.xlsx&amp;sheet=U0&amp;row=4579&amp;col=7&amp;number=0.139&amp;sourceID=14","0.139")</f>
        <v>0.139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HYPERLINK("http://141.218.60.56/~jnz1568/getInfo.php?workbook=10_05.xlsx&amp;sheet=U0&amp;row=4580&amp;col=6&amp;number=4.6&amp;sourceID=14","4.6")</f>
        <v>4.6</v>
      </c>
      <c r="G4580" s="4" t="str">
        <f>HYPERLINK("http://141.218.60.56/~jnz1568/getInfo.php?workbook=10_05.xlsx&amp;sheet=U0&amp;row=4580&amp;col=7&amp;number=0.136&amp;sourceID=14","0.136")</f>
        <v>0.136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HYPERLINK("http://141.218.60.56/~jnz1568/getInfo.php?workbook=10_05.xlsx&amp;sheet=U0&amp;row=4581&amp;col=6&amp;number=4.7&amp;sourceID=14","4.7")</f>
        <v>4.7</v>
      </c>
      <c r="G4581" s="4" t="str">
        <f>HYPERLINK("http://141.218.60.56/~jnz1568/getInfo.php?workbook=10_05.xlsx&amp;sheet=U0&amp;row=4581&amp;col=7&amp;number=0.132&amp;sourceID=14","0.132")</f>
        <v>0.132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HYPERLINK("http://141.218.60.56/~jnz1568/getInfo.php?workbook=10_05.xlsx&amp;sheet=U0&amp;row=4582&amp;col=6&amp;number=4.8&amp;sourceID=14","4.8")</f>
        <v>4.8</v>
      </c>
      <c r="G4582" s="4" t="str">
        <f>HYPERLINK("http://141.218.60.56/~jnz1568/getInfo.php?workbook=10_05.xlsx&amp;sheet=U0&amp;row=4582&amp;col=7&amp;number=0.128&amp;sourceID=14","0.128")</f>
        <v>0.128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HYPERLINK("http://141.218.60.56/~jnz1568/getInfo.php?workbook=10_05.xlsx&amp;sheet=U0&amp;row=4583&amp;col=6&amp;number=4.9&amp;sourceID=14","4.9")</f>
        <v>4.9</v>
      </c>
      <c r="G4583" s="4" t="str">
        <f>HYPERLINK("http://141.218.60.56/~jnz1568/getInfo.php?workbook=10_05.xlsx&amp;sheet=U0&amp;row=4583&amp;col=7&amp;number=0.124&amp;sourceID=14","0.124")</f>
        <v>0.124</v>
      </c>
    </row>
    <row r="4584" spans="1:7">
      <c r="A4584" s="3">
        <v>10</v>
      </c>
      <c r="B4584" s="3">
        <v>5</v>
      </c>
      <c r="C4584" s="3">
        <v>2</v>
      </c>
      <c r="D4584" s="3">
        <v>53</v>
      </c>
      <c r="E4584" s="3">
        <v>1</v>
      </c>
      <c r="F4584" s="4" t="str">
        <f>HYPERLINK("http://141.218.60.56/~jnz1568/getInfo.php?workbook=10_05.xlsx&amp;sheet=U0&amp;row=4584&amp;col=6&amp;number=3&amp;sourceID=14","3")</f>
        <v>3</v>
      </c>
      <c r="G4584" s="4" t="str">
        <f>HYPERLINK("http://141.218.60.56/~jnz1568/getInfo.php?workbook=10_05.xlsx&amp;sheet=U0&amp;row=4584&amp;col=7&amp;number=0.0467&amp;sourceID=14","0.0467")</f>
        <v>0.0467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HYPERLINK("http://141.218.60.56/~jnz1568/getInfo.php?workbook=10_05.xlsx&amp;sheet=U0&amp;row=4585&amp;col=6&amp;number=3.1&amp;sourceID=14","3.1")</f>
        <v>3.1</v>
      </c>
      <c r="G4585" s="4" t="str">
        <f>HYPERLINK("http://141.218.60.56/~jnz1568/getInfo.php?workbook=10_05.xlsx&amp;sheet=U0&amp;row=4585&amp;col=7&amp;number=0.0465&amp;sourceID=14","0.0465")</f>
        <v>0.0465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HYPERLINK("http://141.218.60.56/~jnz1568/getInfo.php?workbook=10_05.xlsx&amp;sheet=U0&amp;row=4586&amp;col=6&amp;number=3.2&amp;sourceID=14","3.2")</f>
        <v>3.2</v>
      </c>
      <c r="G4586" s="4" t="str">
        <f>HYPERLINK("http://141.218.60.56/~jnz1568/getInfo.php?workbook=10_05.xlsx&amp;sheet=U0&amp;row=4586&amp;col=7&amp;number=0.0464&amp;sourceID=14","0.0464")</f>
        <v>0.0464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HYPERLINK("http://141.218.60.56/~jnz1568/getInfo.php?workbook=10_05.xlsx&amp;sheet=U0&amp;row=4587&amp;col=6&amp;number=3.3&amp;sourceID=14","3.3")</f>
        <v>3.3</v>
      </c>
      <c r="G4587" s="4" t="str">
        <f>HYPERLINK("http://141.218.60.56/~jnz1568/getInfo.php?workbook=10_05.xlsx&amp;sheet=U0&amp;row=4587&amp;col=7&amp;number=0.0462&amp;sourceID=14","0.0462")</f>
        <v>0.0462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HYPERLINK("http://141.218.60.56/~jnz1568/getInfo.php?workbook=10_05.xlsx&amp;sheet=U0&amp;row=4588&amp;col=6&amp;number=3.4&amp;sourceID=14","3.4")</f>
        <v>3.4</v>
      </c>
      <c r="G4588" s="4" t="str">
        <f>HYPERLINK("http://141.218.60.56/~jnz1568/getInfo.php?workbook=10_05.xlsx&amp;sheet=U0&amp;row=4588&amp;col=7&amp;number=0.046&amp;sourceID=14","0.046")</f>
        <v>0.046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HYPERLINK("http://141.218.60.56/~jnz1568/getInfo.php?workbook=10_05.xlsx&amp;sheet=U0&amp;row=4589&amp;col=6&amp;number=3.5&amp;sourceID=14","3.5")</f>
        <v>3.5</v>
      </c>
      <c r="G4589" s="4" t="str">
        <f>HYPERLINK("http://141.218.60.56/~jnz1568/getInfo.php?workbook=10_05.xlsx&amp;sheet=U0&amp;row=4589&amp;col=7&amp;number=0.0457&amp;sourceID=14","0.0457")</f>
        <v>0.0457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HYPERLINK("http://141.218.60.56/~jnz1568/getInfo.php?workbook=10_05.xlsx&amp;sheet=U0&amp;row=4590&amp;col=6&amp;number=3.6&amp;sourceID=14","3.6")</f>
        <v>3.6</v>
      </c>
      <c r="G4590" s="4" t="str">
        <f>HYPERLINK("http://141.218.60.56/~jnz1568/getInfo.php?workbook=10_05.xlsx&amp;sheet=U0&amp;row=4590&amp;col=7&amp;number=0.0454&amp;sourceID=14","0.0454")</f>
        <v>0.0454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HYPERLINK("http://141.218.60.56/~jnz1568/getInfo.php?workbook=10_05.xlsx&amp;sheet=U0&amp;row=4591&amp;col=6&amp;number=3.7&amp;sourceID=14","3.7")</f>
        <v>3.7</v>
      </c>
      <c r="G4591" s="4" t="str">
        <f>HYPERLINK("http://141.218.60.56/~jnz1568/getInfo.php?workbook=10_05.xlsx&amp;sheet=U0&amp;row=4591&amp;col=7&amp;number=0.0449&amp;sourceID=14","0.0449")</f>
        <v>0.0449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HYPERLINK("http://141.218.60.56/~jnz1568/getInfo.php?workbook=10_05.xlsx&amp;sheet=U0&amp;row=4592&amp;col=6&amp;number=3.8&amp;sourceID=14","3.8")</f>
        <v>3.8</v>
      </c>
      <c r="G4592" s="4" t="str">
        <f>HYPERLINK("http://141.218.60.56/~jnz1568/getInfo.php?workbook=10_05.xlsx&amp;sheet=U0&amp;row=4592&amp;col=7&amp;number=0.0444&amp;sourceID=14","0.0444")</f>
        <v>0.0444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HYPERLINK("http://141.218.60.56/~jnz1568/getInfo.php?workbook=10_05.xlsx&amp;sheet=U0&amp;row=4593&amp;col=6&amp;number=3.9&amp;sourceID=14","3.9")</f>
        <v>3.9</v>
      </c>
      <c r="G4593" s="4" t="str">
        <f>HYPERLINK("http://141.218.60.56/~jnz1568/getInfo.php?workbook=10_05.xlsx&amp;sheet=U0&amp;row=4593&amp;col=7&amp;number=0.0438&amp;sourceID=14","0.0438")</f>
        <v>0.0438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HYPERLINK("http://141.218.60.56/~jnz1568/getInfo.php?workbook=10_05.xlsx&amp;sheet=U0&amp;row=4594&amp;col=6&amp;number=4&amp;sourceID=14","4")</f>
        <v>4</v>
      </c>
      <c r="G4594" s="4" t="str">
        <f>HYPERLINK("http://141.218.60.56/~jnz1568/getInfo.php?workbook=10_05.xlsx&amp;sheet=U0&amp;row=4594&amp;col=7&amp;number=0.043&amp;sourceID=14","0.043")</f>
        <v>0.043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HYPERLINK("http://141.218.60.56/~jnz1568/getInfo.php?workbook=10_05.xlsx&amp;sheet=U0&amp;row=4595&amp;col=6&amp;number=4.1&amp;sourceID=14","4.1")</f>
        <v>4.1</v>
      </c>
      <c r="G4595" s="4" t="str">
        <f>HYPERLINK("http://141.218.60.56/~jnz1568/getInfo.php?workbook=10_05.xlsx&amp;sheet=U0&amp;row=4595&amp;col=7&amp;number=0.042&amp;sourceID=14","0.042")</f>
        <v>0.042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HYPERLINK("http://141.218.60.56/~jnz1568/getInfo.php?workbook=10_05.xlsx&amp;sheet=U0&amp;row=4596&amp;col=6&amp;number=4.2&amp;sourceID=14","4.2")</f>
        <v>4.2</v>
      </c>
      <c r="G4596" s="4" t="str">
        <f>HYPERLINK("http://141.218.60.56/~jnz1568/getInfo.php?workbook=10_05.xlsx&amp;sheet=U0&amp;row=4596&amp;col=7&amp;number=0.0409&amp;sourceID=14","0.0409")</f>
        <v>0.0409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HYPERLINK("http://141.218.60.56/~jnz1568/getInfo.php?workbook=10_05.xlsx&amp;sheet=U0&amp;row=4597&amp;col=6&amp;number=4.3&amp;sourceID=14","4.3")</f>
        <v>4.3</v>
      </c>
      <c r="G4597" s="4" t="str">
        <f>HYPERLINK("http://141.218.60.56/~jnz1568/getInfo.php?workbook=10_05.xlsx&amp;sheet=U0&amp;row=4597&amp;col=7&amp;number=0.0396&amp;sourceID=14","0.0396")</f>
        <v>0.0396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HYPERLINK("http://141.218.60.56/~jnz1568/getInfo.php?workbook=10_05.xlsx&amp;sheet=U0&amp;row=4598&amp;col=6&amp;number=4.4&amp;sourceID=14","4.4")</f>
        <v>4.4</v>
      </c>
      <c r="G4598" s="4" t="str">
        <f>HYPERLINK("http://141.218.60.56/~jnz1568/getInfo.php?workbook=10_05.xlsx&amp;sheet=U0&amp;row=4598&amp;col=7&amp;number=0.0382&amp;sourceID=14","0.0382")</f>
        <v>0.0382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HYPERLINK("http://141.218.60.56/~jnz1568/getInfo.php?workbook=10_05.xlsx&amp;sheet=U0&amp;row=4599&amp;col=6&amp;number=4.5&amp;sourceID=14","4.5")</f>
        <v>4.5</v>
      </c>
      <c r="G4599" s="4" t="str">
        <f>HYPERLINK("http://141.218.60.56/~jnz1568/getInfo.php?workbook=10_05.xlsx&amp;sheet=U0&amp;row=4599&amp;col=7&amp;number=0.0366&amp;sourceID=14","0.0366")</f>
        <v>0.0366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HYPERLINK("http://141.218.60.56/~jnz1568/getInfo.php?workbook=10_05.xlsx&amp;sheet=U0&amp;row=4600&amp;col=6&amp;number=4.6&amp;sourceID=14","4.6")</f>
        <v>4.6</v>
      </c>
      <c r="G4600" s="4" t="str">
        <f>HYPERLINK("http://141.218.60.56/~jnz1568/getInfo.php?workbook=10_05.xlsx&amp;sheet=U0&amp;row=4600&amp;col=7&amp;number=0.0348&amp;sourceID=14","0.0348")</f>
        <v>0.0348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HYPERLINK("http://141.218.60.56/~jnz1568/getInfo.php?workbook=10_05.xlsx&amp;sheet=U0&amp;row=4601&amp;col=6&amp;number=4.7&amp;sourceID=14","4.7")</f>
        <v>4.7</v>
      </c>
      <c r="G4601" s="4" t="str">
        <f>HYPERLINK("http://141.218.60.56/~jnz1568/getInfo.php?workbook=10_05.xlsx&amp;sheet=U0&amp;row=4601&amp;col=7&amp;number=0.0328&amp;sourceID=14","0.0328")</f>
        <v>0.0328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HYPERLINK("http://141.218.60.56/~jnz1568/getInfo.php?workbook=10_05.xlsx&amp;sheet=U0&amp;row=4602&amp;col=6&amp;number=4.8&amp;sourceID=14","4.8")</f>
        <v>4.8</v>
      </c>
      <c r="G4602" s="4" t="str">
        <f>HYPERLINK("http://141.218.60.56/~jnz1568/getInfo.php?workbook=10_05.xlsx&amp;sheet=U0&amp;row=4602&amp;col=7&amp;number=0.0306&amp;sourceID=14","0.0306")</f>
        <v>0.0306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HYPERLINK("http://141.218.60.56/~jnz1568/getInfo.php?workbook=10_05.xlsx&amp;sheet=U0&amp;row=4603&amp;col=6&amp;number=4.9&amp;sourceID=14","4.9")</f>
        <v>4.9</v>
      </c>
      <c r="G4603" s="4" t="str">
        <f>HYPERLINK("http://141.218.60.56/~jnz1568/getInfo.php?workbook=10_05.xlsx&amp;sheet=U0&amp;row=4603&amp;col=7&amp;number=0.0283&amp;sourceID=14","0.0283")</f>
        <v>0.0283</v>
      </c>
    </row>
    <row r="4604" spans="1:7">
      <c r="A4604" s="3">
        <v>10</v>
      </c>
      <c r="B4604" s="3">
        <v>5</v>
      </c>
      <c r="C4604" s="3">
        <v>2</v>
      </c>
      <c r="D4604" s="3">
        <v>54</v>
      </c>
      <c r="E4604" s="3">
        <v>1</v>
      </c>
      <c r="F4604" s="4" t="str">
        <f>HYPERLINK("http://141.218.60.56/~jnz1568/getInfo.php?workbook=10_05.xlsx&amp;sheet=U0&amp;row=4604&amp;col=6&amp;number=3&amp;sourceID=14","3")</f>
        <v>3</v>
      </c>
      <c r="G4604" s="4" t="str">
        <f>HYPERLINK("http://141.218.60.56/~jnz1568/getInfo.php?workbook=10_05.xlsx&amp;sheet=U0&amp;row=4604&amp;col=7&amp;number=0.0367&amp;sourceID=14","0.0367")</f>
        <v>0.0367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HYPERLINK("http://141.218.60.56/~jnz1568/getInfo.php?workbook=10_05.xlsx&amp;sheet=U0&amp;row=4605&amp;col=6&amp;number=3.1&amp;sourceID=14","3.1")</f>
        <v>3.1</v>
      </c>
      <c r="G4605" s="4" t="str">
        <f>HYPERLINK("http://141.218.60.56/~jnz1568/getInfo.php?workbook=10_05.xlsx&amp;sheet=U0&amp;row=4605&amp;col=7&amp;number=0.0368&amp;sourceID=14","0.0368")</f>
        <v>0.0368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HYPERLINK("http://141.218.60.56/~jnz1568/getInfo.php?workbook=10_05.xlsx&amp;sheet=U0&amp;row=4606&amp;col=6&amp;number=3.2&amp;sourceID=14","3.2")</f>
        <v>3.2</v>
      </c>
      <c r="G4606" s="4" t="str">
        <f>HYPERLINK("http://141.218.60.56/~jnz1568/getInfo.php?workbook=10_05.xlsx&amp;sheet=U0&amp;row=4606&amp;col=7&amp;number=0.0368&amp;sourceID=14","0.0368")</f>
        <v>0.0368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HYPERLINK("http://141.218.60.56/~jnz1568/getInfo.php?workbook=10_05.xlsx&amp;sheet=U0&amp;row=4607&amp;col=6&amp;number=3.3&amp;sourceID=14","3.3")</f>
        <v>3.3</v>
      </c>
      <c r="G4607" s="4" t="str">
        <f>HYPERLINK("http://141.218.60.56/~jnz1568/getInfo.php?workbook=10_05.xlsx&amp;sheet=U0&amp;row=4607&amp;col=7&amp;number=0.0368&amp;sourceID=14","0.0368")</f>
        <v>0.0368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HYPERLINK("http://141.218.60.56/~jnz1568/getInfo.php?workbook=10_05.xlsx&amp;sheet=U0&amp;row=4608&amp;col=6&amp;number=3.4&amp;sourceID=14","3.4")</f>
        <v>3.4</v>
      </c>
      <c r="G4608" s="4" t="str">
        <f>HYPERLINK("http://141.218.60.56/~jnz1568/getInfo.php?workbook=10_05.xlsx&amp;sheet=U0&amp;row=4608&amp;col=7&amp;number=0.0368&amp;sourceID=14","0.0368")</f>
        <v>0.0368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HYPERLINK("http://141.218.60.56/~jnz1568/getInfo.php?workbook=10_05.xlsx&amp;sheet=U0&amp;row=4609&amp;col=6&amp;number=3.5&amp;sourceID=14","3.5")</f>
        <v>3.5</v>
      </c>
      <c r="G4609" s="4" t="str">
        <f>HYPERLINK("http://141.218.60.56/~jnz1568/getInfo.php?workbook=10_05.xlsx&amp;sheet=U0&amp;row=4609&amp;col=7&amp;number=0.0368&amp;sourceID=14","0.0368")</f>
        <v>0.0368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HYPERLINK("http://141.218.60.56/~jnz1568/getInfo.php?workbook=10_05.xlsx&amp;sheet=U0&amp;row=4610&amp;col=6&amp;number=3.6&amp;sourceID=14","3.6")</f>
        <v>3.6</v>
      </c>
      <c r="G4610" s="4" t="str">
        <f>HYPERLINK("http://141.218.60.56/~jnz1568/getInfo.php?workbook=10_05.xlsx&amp;sheet=U0&amp;row=4610&amp;col=7&amp;number=0.0369&amp;sourceID=14","0.0369")</f>
        <v>0.0369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HYPERLINK("http://141.218.60.56/~jnz1568/getInfo.php?workbook=10_05.xlsx&amp;sheet=U0&amp;row=4611&amp;col=6&amp;number=3.7&amp;sourceID=14","3.7")</f>
        <v>3.7</v>
      </c>
      <c r="G4611" s="4" t="str">
        <f>HYPERLINK("http://141.218.60.56/~jnz1568/getInfo.php?workbook=10_05.xlsx&amp;sheet=U0&amp;row=4611&amp;col=7&amp;number=0.0369&amp;sourceID=14","0.0369")</f>
        <v>0.0369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HYPERLINK("http://141.218.60.56/~jnz1568/getInfo.php?workbook=10_05.xlsx&amp;sheet=U0&amp;row=4612&amp;col=6&amp;number=3.8&amp;sourceID=14","3.8")</f>
        <v>3.8</v>
      </c>
      <c r="G4612" s="4" t="str">
        <f>HYPERLINK("http://141.218.60.56/~jnz1568/getInfo.php?workbook=10_05.xlsx&amp;sheet=U0&amp;row=4612&amp;col=7&amp;number=0.037&amp;sourceID=14","0.037")</f>
        <v>0.037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HYPERLINK("http://141.218.60.56/~jnz1568/getInfo.php?workbook=10_05.xlsx&amp;sheet=U0&amp;row=4613&amp;col=6&amp;number=3.9&amp;sourceID=14","3.9")</f>
        <v>3.9</v>
      </c>
      <c r="G4613" s="4" t="str">
        <f>HYPERLINK("http://141.218.60.56/~jnz1568/getInfo.php?workbook=10_05.xlsx&amp;sheet=U0&amp;row=4613&amp;col=7&amp;number=0.037&amp;sourceID=14","0.037")</f>
        <v>0.037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HYPERLINK("http://141.218.60.56/~jnz1568/getInfo.php?workbook=10_05.xlsx&amp;sheet=U0&amp;row=4614&amp;col=6&amp;number=4&amp;sourceID=14","4")</f>
        <v>4</v>
      </c>
      <c r="G4614" s="4" t="str">
        <f>HYPERLINK("http://141.218.60.56/~jnz1568/getInfo.php?workbook=10_05.xlsx&amp;sheet=U0&amp;row=4614&amp;col=7&amp;number=0.0371&amp;sourceID=14","0.0371")</f>
        <v>0.0371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HYPERLINK("http://141.218.60.56/~jnz1568/getInfo.php?workbook=10_05.xlsx&amp;sheet=U0&amp;row=4615&amp;col=6&amp;number=4.1&amp;sourceID=14","4.1")</f>
        <v>4.1</v>
      </c>
      <c r="G4615" s="4" t="str">
        <f>HYPERLINK("http://141.218.60.56/~jnz1568/getInfo.php?workbook=10_05.xlsx&amp;sheet=U0&amp;row=4615&amp;col=7&amp;number=0.0371&amp;sourceID=14","0.0371")</f>
        <v>0.0371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HYPERLINK("http://141.218.60.56/~jnz1568/getInfo.php?workbook=10_05.xlsx&amp;sheet=U0&amp;row=4616&amp;col=6&amp;number=4.2&amp;sourceID=14","4.2")</f>
        <v>4.2</v>
      </c>
      <c r="G4616" s="4" t="str">
        <f>HYPERLINK("http://141.218.60.56/~jnz1568/getInfo.php?workbook=10_05.xlsx&amp;sheet=U0&amp;row=4616&amp;col=7&amp;number=0.0371&amp;sourceID=14","0.0371")</f>
        <v>0.0371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HYPERLINK("http://141.218.60.56/~jnz1568/getInfo.php?workbook=10_05.xlsx&amp;sheet=U0&amp;row=4617&amp;col=6&amp;number=4.3&amp;sourceID=14","4.3")</f>
        <v>4.3</v>
      </c>
      <c r="G4617" s="4" t="str">
        <f>HYPERLINK("http://141.218.60.56/~jnz1568/getInfo.php?workbook=10_05.xlsx&amp;sheet=U0&amp;row=4617&amp;col=7&amp;number=0.037&amp;sourceID=14","0.037")</f>
        <v>0.037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HYPERLINK("http://141.218.60.56/~jnz1568/getInfo.php?workbook=10_05.xlsx&amp;sheet=U0&amp;row=4618&amp;col=6&amp;number=4.4&amp;sourceID=14","4.4")</f>
        <v>4.4</v>
      </c>
      <c r="G4618" s="4" t="str">
        <f>HYPERLINK("http://141.218.60.56/~jnz1568/getInfo.php?workbook=10_05.xlsx&amp;sheet=U0&amp;row=4618&amp;col=7&amp;number=0.0368&amp;sourceID=14","0.0368")</f>
        <v>0.0368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HYPERLINK("http://141.218.60.56/~jnz1568/getInfo.php?workbook=10_05.xlsx&amp;sheet=U0&amp;row=4619&amp;col=6&amp;number=4.5&amp;sourceID=14","4.5")</f>
        <v>4.5</v>
      </c>
      <c r="G4619" s="4" t="str">
        <f>HYPERLINK("http://141.218.60.56/~jnz1568/getInfo.php?workbook=10_05.xlsx&amp;sheet=U0&amp;row=4619&amp;col=7&amp;number=0.0365&amp;sourceID=14","0.0365")</f>
        <v>0.0365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HYPERLINK("http://141.218.60.56/~jnz1568/getInfo.php?workbook=10_05.xlsx&amp;sheet=U0&amp;row=4620&amp;col=6&amp;number=4.6&amp;sourceID=14","4.6")</f>
        <v>4.6</v>
      </c>
      <c r="G4620" s="4" t="str">
        <f>HYPERLINK("http://141.218.60.56/~jnz1568/getInfo.php?workbook=10_05.xlsx&amp;sheet=U0&amp;row=4620&amp;col=7&amp;number=0.036&amp;sourceID=14","0.036")</f>
        <v>0.036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HYPERLINK("http://141.218.60.56/~jnz1568/getInfo.php?workbook=10_05.xlsx&amp;sheet=U0&amp;row=4621&amp;col=6&amp;number=4.7&amp;sourceID=14","4.7")</f>
        <v>4.7</v>
      </c>
      <c r="G4621" s="4" t="str">
        <f>HYPERLINK("http://141.218.60.56/~jnz1568/getInfo.php?workbook=10_05.xlsx&amp;sheet=U0&amp;row=4621&amp;col=7&amp;number=0.0354&amp;sourceID=14","0.0354")</f>
        <v>0.0354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HYPERLINK("http://141.218.60.56/~jnz1568/getInfo.php?workbook=10_05.xlsx&amp;sheet=U0&amp;row=4622&amp;col=6&amp;number=4.8&amp;sourceID=14","4.8")</f>
        <v>4.8</v>
      </c>
      <c r="G4622" s="4" t="str">
        <f>HYPERLINK("http://141.218.60.56/~jnz1568/getInfo.php?workbook=10_05.xlsx&amp;sheet=U0&amp;row=4622&amp;col=7&amp;number=0.0346&amp;sourceID=14","0.0346")</f>
        <v>0.0346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HYPERLINK("http://141.218.60.56/~jnz1568/getInfo.php?workbook=10_05.xlsx&amp;sheet=U0&amp;row=4623&amp;col=6&amp;number=4.9&amp;sourceID=14","4.9")</f>
        <v>4.9</v>
      </c>
      <c r="G4623" s="4" t="str">
        <f>HYPERLINK("http://141.218.60.56/~jnz1568/getInfo.php?workbook=10_05.xlsx&amp;sheet=U0&amp;row=4623&amp;col=7&amp;number=0.0339&amp;sourceID=14","0.0339")</f>
        <v>0.0339</v>
      </c>
    </row>
    <row r="4624" spans="1:7">
      <c r="A4624" s="3">
        <v>10</v>
      </c>
      <c r="B4624" s="3">
        <v>5</v>
      </c>
      <c r="C4624" s="3">
        <v>2</v>
      </c>
      <c r="D4624" s="3">
        <v>55</v>
      </c>
      <c r="E4624" s="3">
        <v>1</v>
      </c>
      <c r="F4624" s="4" t="str">
        <f>HYPERLINK("http://141.218.60.56/~jnz1568/getInfo.php?workbook=10_05.xlsx&amp;sheet=U0&amp;row=4624&amp;col=6&amp;number=3&amp;sourceID=14","3")</f>
        <v>3</v>
      </c>
      <c r="G4624" s="4" t="str">
        <f>HYPERLINK("http://141.218.60.56/~jnz1568/getInfo.php?workbook=10_05.xlsx&amp;sheet=U0&amp;row=4624&amp;col=7&amp;number=0.0913&amp;sourceID=14","0.0913")</f>
        <v>0.0913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HYPERLINK("http://141.218.60.56/~jnz1568/getInfo.php?workbook=10_05.xlsx&amp;sheet=U0&amp;row=4625&amp;col=6&amp;number=3.1&amp;sourceID=14","3.1")</f>
        <v>3.1</v>
      </c>
      <c r="G4625" s="4" t="str">
        <f>HYPERLINK("http://141.218.60.56/~jnz1568/getInfo.php?workbook=10_05.xlsx&amp;sheet=U0&amp;row=4625&amp;col=7&amp;number=0.0915&amp;sourceID=14","0.0915")</f>
        <v>0.0915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HYPERLINK("http://141.218.60.56/~jnz1568/getInfo.php?workbook=10_05.xlsx&amp;sheet=U0&amp;row=4626&amp;col=6&amp;number=3.2&amp;sourceID=14","3.2")</f>
        <v>3.2</v>
      </c>
      <c r="G4626" s="4" t="str">
        <f>HYPERLINK("http://141.218.60.56/~jnz1568/getInfo.php?workbook=10_05.xlsx&amp;sheet=U0&amp;row=4626&amp;col=7&amp;number=0.0919&amp;sourceID=14","0.0919")</f>
        <v>0.0919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HYPERLINK("http://141.218.60.56/~jnz1568/getInfo.php?workbook=10_05.xlsx&amp;sheet=U0&amp;row=4627&amp;col=6&amp;number=3.3&amp;sourceID=14","3.3")</f>
        <v>3.3</v>
      </c>
      <c r="G4627" s="4" t="str">
        <f>HYPERLINK("http://141.218.60.56/~jnz1568/getInfo.php?workbook=10_05.xlsx&amp;sheet=U0&amp;row=4627&amp;col=7&amp;number=0.0923&amp;sourceID=14","0.0923")</f>
        <v>0.0923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HYPERLINK("http://141.218.60.56/~jnz1568/getInfo.php?workbook=10_05.xlsx&amp;sheet=U0&amp;row=4628&amp;col=6&amp;number=3.4&amp;sourceID=14","3.4")</f>
        <v>3.4</v>
      </c>
      <c r="G4628" s="4" t="str">
        <f>HYPERLINK("http://141.218.60.56/~jnz1568/getInfo.php?workbook=10_05.xlsx&amp;sheet=U0&amp;row=4628&amp;col=7&amp;number=0.0928&amp;sourceID=14","0.0928")</f>
        <v>0.0928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HYPERLINK("http://141.218.60.56/~jnz1568/getInfo.php?workbook=10_05.xlsx&amp;sheet=U0&amp;row=4629&amp;col=6&amp;number=3.5&amp;sourceID=14","3.5")</f>
        <v>3.5</v>
      </c>
      <c r="G4629" s="4" t="str">
        <f>HYPERLINK("http://141.218.60.56/~jnz1568/getInfo.php?workbook=10_05.xlsx&amp;sheet=U0&amp;row=4629&amp;col=7&amp;number=0.0934&amp;sourceID=14","0.0934")</f>
        <v>0.0934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HYPERLINK("http://141.218.60.56/~jnz1568/getInfo.php?workbook=10_05.xlsx&amp;sheet=U0&amp;row=4630&amp;col=6&amp;number=3.6&amp;sourceID=14","3.6")</f>
        <v>3.6</v>
      </c>
      <c r="G4630" s="4" t="str">
        <f>HYPERLINK("http://141.218.60.56/~jnz1568/getInfo.php?workbook=10_05.xlsx&amp;sheet=U0&amp;row=4630&amp;col=7&amp;number=0.0942&amp;sourceID=14","0.0942")</f>
        <v>0.0942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HYPERLINK("http://141.218.60.56/~jnz1568/getInfo.php?workbook=10_05.xlsx&amp;sheet=U0&amp;row=4631&amp;col=6&amp;number=3.7&amp;sourceID=14","3.7")</f>
        <v>3.7</v>
      </c>
      <c r="G4631" s="4" t="str">
        <f>HYPERLINK("http://141.218.60.56/~jnz1568/getInfo.php?workbook=10_05.xlsx&amp;sheet=U0&amp;row=4631&amp;col=7&amp;number=0.0951&amp;sourceID=14","0.0951")</f>
        <v>0.0951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HYPERLINK("http://141.218.60.56/~jnz1568/getInfo.php?workbook=10_05.xlsx&amp;sheet=U0&amp;row=4632&amp;col=6&amp;number=3.8&amp;sourceID=14","3.8")</f>
        <v>3.8</v>
      </c>
      <c r="G4632" s="4" t="str">
        <f>HYPERLINK("http://141.218.60.56/~jnz1568/getInfo.php?workbook=10_05.xlsx&amp;sheet=U0&amp;row=4632&amp;col=7&amp;number=0.0962&amp;sourceID=14","0.0962")</f>
        <v>0.0962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HYPERLINK("http://141.218.60.56/~jnz1568/getInfo.php?workbook=10_05.xlsx&amp;sheet=U0&amp;row=4633&amp;col=6&amp;number=3.9&amp;sourceID=14","3.9")</f>
        <v>3.9</v>
      </c>
      <c r="G4633" s="4" t="str">
        <f>HYPERLINK("http://141.218.60.56/~jnz1568/getInfo.php?workbook=10_05.xlsx&amp;sheet=U0&amp;row=4633&amp;col=7&amp;number=0.0976&amp;sourceID=14","0.0976")</f>
        <v>0.0976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HYPERLINK("http://141.218.60.56/~jnz1568/getInfo.php?workbook=10_05.xlsx&amp;sheet=U0&amp;row=4634&amp;col=6&amp;number=4&amp;sourceID=14","4")</f>
        <v>4</v>
      </c>
      <c r="G4634" s="4" t="str">
        <f>HYPERLINK("http://141.218.60.56/~jnz1568/getInfo.php?workbook=10_05.xlsx&amp;sheet=U0&amp;row=4634&amp;col=7&amp;number=0.0992&amp;sourceID=14","0.0992")</f>
        <v>0.0992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HYPERLINK("http://141.218.60.56/~jnz1568/getInfo.php?workbook=10_05.xlsx&amp;sheet=U0&amp;row=4635&amp;col=6&amp;number=4.1&amp;sourceID=14","4.1")</f>
        <v>4.1</v>
      </c>
      <c r="G4635" s="4" t="str">
        <f>HYPERLINK("http://141.218.60.56/~jnz1568/getInfo.php?workbook=10_05.xlsx&amp;sheet=U0&amp;row=4635&amp;col=7&amp;number=0.101&amp;sourceID=14","0.101")</f>
        <v>0.101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HYPERLINK("http://141.218.60.56/~jnz1568/getInfo.php?workbook=10_05.xlsx&amp;sheet=U0&amp;row=4636&amp;col=6&amp;number=4.2&amp;sourceID=14","4.2")</f>
        <v>4.2</v>
      </c>
      <c r="G4636" s="4" t="str">
        <f>HYPERLINK("http://141.218.60.56/~jnz1568/getInfo.php?workbook=10_05.xlsx&amp;sheet=U0&amp;row=4636&amp;col=7&amp;number=0.103&amp;sourceID=14","0.103")</f>
        <v>0.103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HYPERLINK("http://141.218.60.56/~jnz1568/getInfo.php?workbook=10_05.xlsx&amp;sheet=U0&amp;row=4637&amp;col=6&amp;number=4.3&amp;sourceID=14","4.3")</f>
        <v>4.3</v>
      </c>
      <c r="G4637" s="4" t="str">
        <f>HYPERLINK("http://141.218.60.56/~jnz1568/getInfo.php?workbook=10_05.xlsx&amp;sheet=U0&amp;row=4637&amp;col=7&amp;number=0.105&amp;sourceID=14","0.105")</f>
        <v>0.105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HYPERLINK("http://141.218.60.56/~jnz1568/getInfo.php?workbook=10_05.xlsx&amp;sheet=U0&amp;row=4638&amp;col=6&amp;number=4.4&amp;sourceID=14","4.4")</f>
        <v>4.4</v>
      </c>
      <c r="G4638" s="4" t="str">
        <f>HYPERLINK("http://141.218.60.56/~jnz1568/getInfo.php?workbook=10_05.xlsx&amp;sheet=U0&amp;row=4638&amp;col=7&amp;number=0.106&amp;sourceID=14","0.106")</f>
        <v>0.106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HYPERLINK("http://141.218.60.56/~jnz1568/getInfo.php?workbook=10_05.xlsx&amp;sheet=U0&amp;row=4639&amp;col=6&amp;number=4.5&amp;sourceID=14","4.5")</f>
        <v>4.5</v>
      </c>
      <c r="G4639" s="4" t="str">
        <f>HYPERLINK("http://141.218.60.56/~jnz1568/getInfo.php?workbook=10_05.xlsx&amp;sheet=U0&amp;row=4639&amp;col=7&amp;number=0.107&amp;sourceID=14","0.107")</f>
        <v>0.107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HYPERLINK("http://141.218.60.56/~jnz1568/getInfo.php?workbook=10_05.xlsx&amp;sheet=U0&amp;row=4640&amp;col=6&amp;number=4.6&amp;sourceID=14","4.6")</f>
        <v>4.6</v>
      </c>
      <c r="G4640" s="4" t="str">
        <f>HYPERLINK("http://141.218.60.56/~jnz1568/getInfo.php?workbook=10_05.xlsx&amp;sheet=U0&amp;row=4640&amp;col=7&amp;number=0.107&amp;sourceID=14","0.107")</f>
        <v>0.107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HYPERLINK("http://141.218.60.56/~jnz1568/getInfo.php?workbook=10_05.xlsx&amp;sheet=U0&amp;row=4641&amp;col=6&amp;number=4.7&amp;sourceID=14","4.7")</f>
        <v>4.7</v>
      </c>
      <c r="G4641" s="4" t="str">
        <f>HYPERLINK("http://141.218.60.56/~jnz1568/getInfo.php?workbook=10_05.xlsx&amp;sheet=U0&amp;row=4641&amp;col=7&amp;number=0.107&amp;sourceID=14","0.107")</f>
        <v>0.107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HYPERLINK("http://141.218.60.56/~jnz1568/getInfo.php?workbook=10_05.xlsx&amp;sheet=U0&amp;row=4642&amp;col=6&amp;number=4.8&amp;sourceID=14","4.8")</f>
        <v>4.8</v>
      </c>
      <c r="G4642" s="4" t="str">
        <f>HYPERLINK("http://141.218.60.56/~jnz1568/getInfo.php?workbook=10_05.xlsx&amp;sheet=U0&amp;row=4642&amp;col=7&amp;number=0.108&amp;sourceID=14","0.108")</f>
        <v>0.108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HYPERLINK("http://141.218.60.56/~jnz1568/getInfo.php?workbook=10_05.xlsx&amp;sheet=U0&amp;row=4643&amp;col=6&amp;number=4.9&amp;sourceID=14","4.9")</f>
        <v>4.9</v>
      </c>
      <c r="G4643" s="4" t="str">
        <f>HYPERLINK("http://141.218.60.56/~jnz1568/getInfo.php?workbook=10_05.xlsx&amp;sheet=U0&amp;row=4643&amp;col=7&amp;number=0.109&amp;sourceID=14","0.109")</f>
        <v>0.109</v>
      </c>
    </row>
    <row r="4644" spans="1:7">
      <c r="A4644" s="3">
        <v>10</v>
      </c>
      <c r="B4644" s="3">
        <v>5</v>
      </c>
      <c r="C4644" s="3">
        <v>2</v>
      </c>
      <c r="D4644" s="3">
        <v>56</v>
      </c>
      <c r="E4644" s="3">
        <v>1</v>
      </c>
      <c r="F4644" s="4" t="str">
        <f>HYPERLINK("http://141.218.60.56/~jnz1568/getInfo.php?workbook=10_05.xlsx&amp;sheet=U0&amp;row=4644&amp;col=6&amp;number=3&amp;sourceID=14","3")</f>
        <v>3</v>
      </c>
      <c r="G4644" s="4" t="str">
        <f>HYPERLINK("http://141.218.60.56/~jnz1568/getInfo.php?workbook=10_05.xlsx&amp;sheet=U0&amp;row=4644&amp;col=7&amp;number=0.0535&amp;sourceID=14","0.0535")</f>
        <v>0.0535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HYPERLINK("http://141.218.60.56/~jnz1568/getInfo.php?workbook=10_05.xlsx&amp;sheet=U0&amp;row=4645&amp;col=6&amp;number=3.1&amp;sourceID=14","3.1")</f>
        <v>3.1</v>
      </c>
      <c r="G4645" s="4" t="str">
        <f>HYPERLINK("http://141.218.60.56/~jnz1568/getInfo.php?workbook=10_05.xlsx&amp;sheet=U0&amp;row=4645&amp;col=7&amp;number=0.0534&amp;sourceID=14","0.0534")</f>
        <v>0.0534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HYPERLINK("http://141.218.60.56/~jnz1568/getInfo.php?workbook=10_05.xlsx&amp;sheet=U0&amp;row=4646&amp;col=6&amp;number=3.2&amp;sourceID=14","3.2")</f>
        <v>3.2</v>
      </c>
      <c r="G4646" s="4" t="str">
        <f>HYPERLINK("http://141.218.60.56/~jnz1568/getInfo.php?workbook=10_05.xlsx&amp;sheet=U0&amp;row=4646&amp;col=7&amp;number=0.0533&amp;sourceID=14","0.0533")</f>
        <v>0.0533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HYPERLINK("http://141.218.60.56/~jnz1568/getInfo.php?workbook=10_05.xlsx&amp;sheet=U0&amp;row=4647&amp;col=6&amp;number=3.3&amp;sourceID=14","3.3")</f>
        <v>3.3</v>
      </c>
      <c r="G4647" s="4" t="str">
        <f>HYPERLINK("http://141.218.60.56/~jnz1568/getInfo.php?workbook=10_05.xlsx&amp;sheet=U0&amp;row=4647&amp;col=7&amp;number=0.0532&amp;sourceID=14","0.0532")</f>
        <v>0.0532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HYPERLINK("http://141.218.60.56/~jnz1568/getInfo.php?workbook=10_05.xlsx&amp;sheet=U0&amp;row=4648&amp;col=6&amp;number=3.4&amp;sourceID=14","3.4")</f>
        <v>3.4</v>
      </c>
      <c r="G4648" s="4" t="str">
        <f>HYPERLINK("http://141.218.60.56/~jnz1568/getInfo.php?workbook=10_05.xlsx&amp;sheet=U0&amp;row=4648&amp;col=7&amp;number=0.0531&amp;sourceID=14","0.0531")</f>
        <v>0.0531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HYPERLINK("http://141.218.60.56/~jnz1568/getInfo.php?workbook=10_05.xlsx&amp;sheet=U0&amp;row=4649&amp;col=6&amp;number=3.5&amp;sourceID=14","3.5")</f>
        <v>3.5</v>
      </c>
      <c r="G4649" s="4" t="str">
        <f>HYPERLINK("http://141.218.60.56/~jnz1568/getInfo.php?workbook=10_05.xlsx&amp;sheet=U0&amp;row=4649&amp;col=7&amp;number=0.0529&amp;sourceID=14","0.0529")</f>
        <v>0.0529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HYPERLINK("http://141.218.60.56/~jnz1568/getInfo.php?workbook=10_05.xlsx&amp;sheet=U0&amp;row=4650&amp;col=6&amp;number=3.6&amp;sourceID=14","3.6")</f>
        <v>3.6</v>
      </c>
      <c r="G4650" s="4" t="str">
        <f>HYPERLINK("http://141.218.60.56/~jnz1568/getInfo.php?workbook=10_05.xlsx&amp;sheet=U0&amp;row=4650&amp;col=7&amp;number=0.0526&amp;sourceID=14","0.0526")</f>
        <v>0.0526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HYPERLINK("http://141.218.60.56/~jnz1568/getInfo.php?workbook=10_05.xlsx&amp;sheet=U0&amp;row=4651&amp;col=6&amp;number=3.7&amp;sourceID=14","3.7")</f>
        <v>3.7</v>
      </c>
      <c r="G4651" s="4" t="str">
        <f>HYPERLINK("http://141.218.60.56/~jnz1568/getInfo.php?workbook=10_05.xlsx&amp;sheet=U0&amp;row=4651&amp;col=7&amp;number=0.0524&amp;sourceID=14","0.0524")</f>
        <v>0.0524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HYPERLINK("http://141.218.60.56/~jnz1568/getInfo.php?workbook=10_05.xlsx&amp;sheet=U0&amp;row=4652&amp;col=6&amp;number=3.8&amp;sourceID=14","3.8")</f>
        <v>3.8</v>
      </c>
      <c r="G4652" s="4" t="str">
        <f>HYPERLINK("http://141.218.60.56/~jnz1568/getInfo.php?workbook=10_05.xlsx&amp;sheet=U0&amp;row=4652&amp;col=7&amp;number=0.052&amp;sourceID=14","0.052")</f>
        <v>0.052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HYPERLINK("http://141.218.60.56/~jnz1568/getInfo.php?workbook=10_05.xlsx&amp;sheet=U0&amp;row=4653&amp;col=6&amp;number=3.9&amp;sourceID=14","3.9")</f>
        <v>3.9</v>
      </c>
      <c r="G4653" s="4" t="str">
        <f>HYPERLINK("http://141.218.60.56/~jnz1568/getInfo.php?workbook=10_05.xlsx&amp;sheet=U0&amp;row=4653&amp;col=7&amp;number=0.0516&amp;sourceID=14","0.0516")</f>
        <v>0.0516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HYPERLINK("http://141.218.60.56/~jnz1568/getInfo.php?workbook=10_05.xlsx&amp;sheet=U0&amp;row=4654&amp;col=6&amp;number=4&amp;sourceID=14","4")</f>
        <v>4</v>
      </c>
      <c r="G4654" s="4" t="str">
        <f>HYPERLINK("http://141.218.60.56/~jnz1568/getInfo.php?workbook=10_05.xlsx&amp;sheet=U0&amp;row=4654&amp;col=7&amp;number=0.0511&amp;sourceID=14","0.0511")</f>
        <v>0.0511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HYPERLINK("http://141.218.60.56/~jnz1568/getInfo.php?workbook=10_05.xlsx&amp;sheet=U0&amp;row=4655&amp;col=6&amp;number=4.1&amp;sourceID=14","4.1")</f>
        <v>4.1</v>
      </c>
      <c r="G4655" s="4" t="str">
        <f>HYPERLINK("http://141.218.60.56/~jnz1568/getInfo.php?workbook=10_05.xlsx&amp;sheet=U0&amp;row=4655&amp;col=7&amp;number=0.0505&amp;sourceID=14","0.0505")</f>
        <v>0.0505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HYPERLINK("http://141.218.60.56/~jnz1568/getInfo.php?workbook=10_05.xlsx&amp;sheet=U0&amp;row=4656&amp;col=6&amp;number=4.2&amp;sourceID=14","4.2")</f>
        <v>4.2</v>
      </c>
      <c r="G4656" s="4" t="str">
        <f>HYPERLINK("http://141.218.60.56/~jnz1568/getInfo.php?workbook=10_05.xlsx&amp;sheet=U0&amp;row=4656&amp;col=7&amp;number=0.0498&amp;sourceID=14","0.0498")</f>
        <v>0.0498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HYPERLINK("http://141.218.60.56/~jnz1568/getInfo.php?workbook=10_05.xlsx&amp;sheet=U0&amp;row=4657&amp;col=6&amp;number=4.3&amp;sourceID=14","4.3")</f>
        <v>4.3</v>
      </c>
      <c r="G4657" s="4" t="str">
        <f>HYPERLINK("http://141.218.60.56/~jnz1568/getInfo.php?workbook=10_05.xlsx&amp;sheet=U0&amp;row=4657&amp;col=7&amp;number=0.0491&amp;sourceID=14","0.0491")</f>
        <v>0.0491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HYPERLINK("http://141.218.60.56/~jnz1568/getInfo.php?workbook=10_05.xlsx&amp;sheet=U0&amp;row=4658&amp;col=6&amp;number=4.4&amp;sourceID=14","4.4")</f>
        <v>4.4</v>
      </c>
      <c r="G4658" s="4" t="str">
        <f>HYPERLINK("http://141.218.60.56/~jnz1568/getInfo.php?workbook=10_05.xlsx&amp;sheet=U0&amp;row=4658&amp;col=7&amp;number=0.0485&amp;sourceID=14","0.0485")</f>
        <v>0.0485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HYPERLINK("http://141.218.60.56/~jnz1568/getInfo.php?workbook=10_05.xlsx&amp;sheet=U0&amp;row=4659&amp;col=6&amp;number=4.5&amp;sourceID=14","4.5")</f>
        <v>4.5</v>
      </c>
      <c r="G4659" s="4" t="str">
        <f>HYPERLINK("http://141.218.60.56/~jnz1568/getInfo.php?workbook=10_05.xlsx&amp;sheet=U0&amp;row=4659&amp;col=7&amp;number=0.0479&amp;sourceID=14","0.0479")</f>
        <v>0.0479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HYPERLINK("http://141.218.60.56/~jnz1568/getInfo.php?workbook=10_05.xlsx&amp;sheet=U0&amp;row=4660&amp;col=6&amp;number=4.6&amp;sourceID=14","4.6")</f>
        <v>4.6</v>
      </c>
      <c r="G4660" s="4" t="str">
        <f>HYPERLINK("http://141.218.60.56/~jnz1568/getInfo.php?workbook=10_05.xlsx&amp;sheet=U0&amp;row=4660&amp;col=7&amp;number=0.0473&amp;sourceID=14","0.0473")</f>
        <v>0.0473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HYPERLINK("http://141.218.60.56/~jnz1568/getInfo.php?workbook=10_05.xlsx&amp;sheet=U0&amp;row=4661&amp;col=6&amp;number=4.7&amp;sourceID=14","4.7")</f>
        <v>4.7</v>
      </c>
      <c r="G4661" s="4" t="str">
        <f>HYPERLINK("http://141.218.60.56/~jnz1568/getInfo.php?workbook=10_05.xlsx&amp;sheet=U0&amp;row=4661&amp;col=7&amp;number=0.0466&amp;sourceID=14","0.0466")</f>
        <v>0.0466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HYPERLINK("http://141.218.60.56/~jnz1568/getInfo.php?workbook=10_05.xlsx&amp;sheet=U0&amp;row=4662&amp;col=6&amp;number=4.8&amp;sourceID=14","4.8")</f>
        <v>4.8</v>
      </c>
      <c r="G4662" s="4" t="str">
        <f>HYPERLINK("http://141.218.60.56/~jnz1568/getInfo.php?workbook=10_05.xlsx&amp;sheet=U0&amp;row=4662&amp;col=7&amp;number=0.0457&amp;sourceID=14","0.0457")</f>
        <v>0.0457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HYPERLINK("http://141.218.60.56/~jnz1568/getInfo.php?workbook=10_05.xlsx&amp;sheet=U0&amp;row=4663&amp;col=6&amp;number=4.9&amp;sourceID=14","4.9")</f>
        <v>4.9</v>
      </c>
      <c r="G4663" s="4" t="str">
        <f>HYPERLINK("http://141.218.60.56/~jnz1568/getInfo.php?workbook=10_05.xlsx&amp;sheet=U0&amp;row=4663&amp;col=7&amp;number=0.0449&amp;sourceID=14","0.0449")</f>
        <v>0.0449</v>
      </c>
    </row>
    <row r="4664" spans="1:7">
      <c r="A4664" s="3">
        <v>10</v>
      </c>
      <c r="B4664" s="3">
        <v>5</v>
      </c>
      <c r="C4664" s="3">
        <v>2</v>
      </c>
      <c r="D4664" s="3">
        <v>57</v>
      </c>
      <c r="E4664" s="3">
        <v>1</v>
      </c>
      <c r="F4664" s="4" t="str">
        <f>HYPERLINK("http://141.218.60.56/~jnz1568/getInfo.php?workbook=10_05.xlsx&amp;sheet=U0&amp;row=4664&amp;col=6&amp;number=3&amp;sourceID=14","3")</f>
        <v>3</v>
      </c>
      <c r="G4664" s="4" t="str">
        <f>HYPERLINK("http://141.218.60.56/~jnz1568/getInfo.php?workbook=10_05.xlsx&amp;sheet=U0&amp;row=4664&amp;col=7&amp;number=0.0263&amp;sourceID=14","0.0263")</f>
        <v>0.0263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HYPERLINK("http://141.218.60.56/~jnz1568/getInfo.php?workbook=10_05.xlsx&amp;sheet=U0&amp;row=4665&amp;col=6&amp;number=3.1&amp;sourceID=14","3.1")</f>
        <v>3.1</v>
      </c>
      <c r="G4665" s="4" t="str">
        <f>HYPERLINK("http://141.218.60.56/~jnz1568/getInfo.php?workbook=10_05.xlsx&amp;sheet=U0&amp;row=4665&amp;col=7&amp;number=0.0263&amp;sourceID=14","0.0263")</f>
        <v>0.0263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HYPERLINK("http://141.218.60.56/~jnz1568/getInfo.php?workbook=10_05.xlsx&amp;sheet=U0&amp;row=4666&amp;col=6&amp;number=3.2&amp;sourceID=14","3.2")</f>
        <v>3.2</v>
      </c>
      <c r="G4666" s="4" t="str">
        <f>HYPERLINK("http://141.218.60.56/~jnz1568/getInfo.php?workbook=10_05.xlsx&amp;sheet=U0&amp;row=4666&amp;col=7&amp;number=0.0262&amp;sourceID=14","0.0262")</f>
        <v>0.0262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HYPERLINK("http://141.218.60.56/~jnz1568/getInfo.php?workbook=10_05.xlsx&amp;sheet=U0&amp;row=4667&amp;col=6&amp;number=3.3&amp;sourceID=14","3.3")</f>
        <v>3.3</v>
      </c>
      <c r="G4667" s="4" t="str">
        <f>HYPERLINK("http://141.218.60.56/~jnz1568/getInfo.php?workbook=10_05.xlsx&amp;sheet=U0&amp;row=4667&amp;col=7&amp;number=0.0262&amp;sourceID=14","0.0262")</f>
        <v>0.0262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HYPERLINK("http://141.218.60.56/~jnz1568/getInfo.php?workbook=10_05.xlsx&amp;sheet=U0&amp;row=4668&amp;col=6&amp;number=3.4&amp;sourceID=14","3.4")</f>
        <v>3.4</v>
      </c>
      <c r="G4668" s="4" t="str">
        <f>HYPERLINK("http://141.218.60.56/~jnz1568/getInfo.php?workbook=10_05.xlsx&amp;sheet=U0&amp;row=4668&amp;col=7&amp;number=0.0261&amp;sourceID=14","0.0261")</f>
        <v>0.0261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HYPERLINK("http://141.218.60.56/~jnz1568/getInfo.php?workbook=10_05.xlsx&amp;sheet=U0&amp;row=4669&amp;col=6&amp;number=3.5&amp;sourceID=14","3.5")</f>
        <v>3.5</v>
      </c>
      <c r="G4669" s="4" t="str">
        <f>HYPERLINK("http://141.218.60.56/~jnz1568/getInfo.php?workbook=10_05.xlsx&amp;sheet=U0&amp;row=4669&amp;col=7&amp;number=0.0261&amp;sourceID=14","0.0261")</f>
        <v>0.0261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HYPERLINK("http://141.218.60.56/~jnz1568/getInfo.php?workbook=10_05.xlsx&amp;sheet=U0&amp;row=4670&amp;col=6&amp;number=3.6&amp;sourceID=14","3.6")</f>
        <v>3.6</v>
      </c>
      <c r="G4670" s="4" t="str">
        <f>HYPERLINK("http://141.218.60.56/~jnz1568/getInfo.php?workbook=10_05.xlsx&amp;sheet=U0&amp;row=4670&amp;col=7&amp;number=0.026&amp;sourceID=14","0.026")</f>
        <v>0.026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HYPERLINK("http://141.218.60.56/~jnz1568/getInfo.php?workbook=10_05.xlsx&amp;sheet=U0&amp;row=4671&amp;col=6&amp;number=3.7&amp;sourceID=14","3.7")</f>
        <v>3.7</v>
      </c>
      <c r="G4671" s="4" t="str">
        <f>HYPERLINK("http://141.218.60.56/~jnz1568/getInfo.php?workbook=10_05.xlsx&amp;sheet=U0&amp;row=4671&amp;col=7&amp;number=0.0259&amp;sourceID=14","0.0259")</f>
        <v>0.0259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HYPERLINK("http://141.218.60.56/~jnz1568/getInfo.php?workbook=10_05.xlsx&amp;sheet=U0&amp;row=4672&amp;col=6&amp;number=3.8&amp;sourceID=14","3.8")</f>
        <v>3.8</v>
      </c>
      <c r="G4672" s="4" t="str">
        <f>HYPERLINK("http://141.218.60.56/~jnz1568/getInfo.php?workbook=10_05.xlsx&amp;sheet=U0&amp;row=4672&amp;col=7&amp;number=0.0258&amp;sourceID=14","0.0258")</f>
        <v>0.0258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HYPERLINK("http://141.218.60.56/~jnz1568/getInfo.php?workbook=10_05.xlsx&amp;sheet=U0&amp;row=4673&amp;col=6&amp;number=3.9&amp;sourceID=14","3.9")</f>
        <v>3.9</v>
      </c>
      <c r="G4673" s="4" t="str">
        <f>HYPERLINK("http://141.218.60.56/~jnz1568/getInfo.php?workbook=10_05.xlsx&amp;sheet=U0&amp;row=4673&amp;col=7&amp;number=0.0256&amp;sourceID=14","0.0256")</f>
        <v>0.0256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HYPERLINK("http://141.218.60.56/~jnz1568/getInfo.php?workbook=10_05.xlsx&amp;sheet=U0&amp;row=4674&amp;col=6&amp;number=4&amp;sourceID=14","4")</f>
        <v>4</v>
      </c>
      <c r="G4674" s="4" t="str">
        <f>HYPERLINK("http://141.218.60.56/~jnz1568/getInfo.php?workbook=10_05.xlsx&amp;sheet=U0&amp;row=4674&amp;col=7&amp;number=0.0254&amp;sourceID=14","0.0254")</f>
        <v>0.0254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HYPERLINK("http://141.218.60.56/~jnz1568/getInfo.php?workbook=10_05.xlsx&amp;sheet=U0&amp;row=4675&amp;col=6&amp;number=4.1&amp;sourceID=14","4.1")</f>
        <v>4.1</v>
      </c>
      <c r="G4675" s="4" t="str">
        <f>HYPERLINK("http://141.218.60.56/~jnz1568/getInfo.php?workbook=10_05.xlsx&amp;sheet=U0&amp;row=4675&amp;col=7&amp;number=0.0252&amp;sourceID=14","0.0252")</f>
        <v>0.0252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HYPERLINK("http://141.218.60.56/~jnz1568/getInfo.php?workbook=10_05.xlsx&amp;sheet=U0&amp;row=4676&amp;col=6&amp;number=4.2&amp;sourceID=14","4.2")</f>
        <v>4.2</v>
      </c>
      <c r="G4676" s="4" t="str">
        <f>HYPERLINK("http://141.218.60.56/~jnz1568/getInfo.php?workbook=10_05.xlsx&amp;sheet=U0&amp;row=4676&amp;col=7&amp;number=0.025&amp;sourceID=14","0.025")</f>
        <v>0.025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HYPERLINK("http://141.218.60.56/~jnz1568/getInfo.php?workbook=10_05.xlsx&amp;sheet=U0&amp;row=4677&amp;col=6&amp;number=4.3&amp;sourceID=14","4.3")</f>
        <v>4.3</v>
      </c>
      <c r="G4677" s="4" t="str">
        <f>HYPERLINK("http://141.218.60.56/~jnz1568/getInfo.php?workbook=10_05.xlsx&amp;sheet=U0&amp;row=4677&amp;col=7&amp;number=0.0247&amp;sourceID=14","0.0247")</f>
        <v>0.0247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HYPERLINK("http://141.218.60.56/~jnz1568/getInfo.php?workbook=10_05.xlsx&amp;sheet=U0&amp;row=4678&amp;col=6&amp;number=4.4&amp;sourceID=14","4.4")</f>
        <v>4.4</v>
      </c>
      <c r="G4678" s="4" t="str">
        <f>HYPERLINK("http://141.218.60.56/~jnz1568/getInfo.php?workbook=10_05.xlsx&amp;sheet=U0&amp;row=4678&amp;col=7&amp;number=0.0245&amp;sourceID=14","0.0245")</f>
        <v>0.0245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HYPERLINK("http://141.218.60.56/~jnz1568/getInfo.php?workbook=10_05.xlsx&amp;sheet=U0&amp;row=4679&amp;col=6&amp;number=4.5&amp;sourceID=14","4.5")</f>
        <v>4.5</v>
      </c>
      <c r="G4679" s="4" t="str">
        <f>HYPERLINK("http://141.218.60.56/~jnz1568/getInfo.php?workbook=10_05.xlsx&amp;sheet=U0&amp;row=4679&amp;col=7&amp;number=0.0243&amp;sourceID=14","0.0243")</f>
        <v>0.0243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HYPERLINK("http://141.218.60.56/~jnz1568/getInfo.php?workbook=10_05.xlsx&amp;sheet=U0&amp;row=4680&amp;col=6&amp;number=4.6&amp;sourceID=14","4.6")</f>
        <v>4.6</v>
      </c>
      <c r="G4680" s="4" t="str">
        <f>HYPERLINK("http://141.218.60.56/~jnz1568/getInfo.php?workbook=10_05.xlsx&amp;sheet=U0&amp;row=4680&amp;col=7&amp;number=0.0242&amp;sourceID=14","0.0242")</f>
        <v>0.0242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HYPERLINK("http://141.218.60.56/~jnz1568/getInfo.php?workbook=10_05.xlsx&amp;sheet=U0&amp;row=4681&amp;col=6&amp;number=4.7&amp;sourceID=14","4.7")</f>
        <v>4.7</v>
      </c>
      <c r="G4681" s="4" t="str">
        <f>HYPERLINK("http://141.218.60.56/~jnz1568/getInfo.php?workbook=10_05.xlsx&amp;sheet=U0&amp;row=4681&amp;col=7&amp;number=0.024&amp;sourceID=14","0.024")</f>
        <v>0.024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HYPERLINK("http://141.218.60.56/~jnz1568/getInfo.php?workbook=10_05.xlsx&amp;sheet=U0&amp;row=4682&amp;col=6&amp;number=4.8&amp;sourceID=14","4.8")</f>
        <v>4.8</v>
      </c>
      <c r="G4682" s="4" t="str">
        <f>HYPERLINK("http://141.218.60.56/~jnz1568/getInfo.php?workbook=10_05.xlsx&amp;sheet=U0&amp;row=4682&amp;col=7&amp;number=0.0237&amp;sourceID=14","0.0237")</f>
        <v>0.0237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HYPERLINK("http://141.218.60.56/~jnz1568/getInfo.php?workbook=10_05.xlsx&amp;sheet=U0&amp;row=4683&amp;col=6&amp;number=4.9&amp;sourceID=14","4.9")</f>
        <v>4.9</v>
      </c>
      <c r="G4683" s="4" t="str">
        <f>HYPERLINK("http://141.218.60.56/~jnz1568/getInfo.php?workbook=10_05.xlsx&amp;sheet=U0&amp;row=4683&amp;col=7&amp;number=0.0234&amp;sourceID=14","0.0234")</f>
        <v>0.0234</v>
      </c>
    </row>
    <row r="4684" spans="1:7">
      <c r="A4684" s="3">
        <v>10</v>
      </c>
      <c r="B4684" s="3">
        <v>5</v>
      </c>
      <c r="C4684" s="3">
        <v>2</v>
      </c>
      <c r="D4684" s="3">
        <v>58</v>
      </c>
      <c r="E4684" s="3">
        <v>1</v>
      </c>
      <c r="F4684" s="4" t="str">
        <f>HYPERLINK("http://141.218.60.56/~jnz1568/getInfo.php?workbook=10_05.xlsx&amp;sheet=U0&amp;row=4684&amp;col=6&amp;number=3&amp;sourceID=14","3")</f>
        <v>3</v>
      </c>
      <c r="G4684" s="4" t="str">
        <f>HYPERLINK("http://141.218.60.56/~jnz1568/getInfo.php?workbook=10_05.xlsx&amp;sheet=U0&amp;row=4684&amp;col=7&amp;number=0.137&amp;sourceID=14","0.137")</f>
        <v>0.137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HYPERLINK("http://141.218.60.56/~jnz1568/getInfo.php?workbook=10_05.xlsx&amp;sheet=U0&amp;row=4685&amp;col=6&amp;number=3.1&amp;sourceID=14","3.1")</f>
        <v>3.1</v>
      </c>
      <c r="G4685" s="4" t="str">
        <f>HYPERLINK("http://141.218.60.56/~jnz1568/getInfo.php?workbook=10_05.xlsx&amp;sheet=U0&amp;row=4685&amp;col=7&amp;number=0.136&amp;sourceID=14","0.136")</f>
        <v>0.136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HYPERLINK("http://141.218.60.56/~jnz1568/getInfo.php?workbook=10_05.xlsx&amp;sheet=U0&amp;row=4686&amp;col=6&amp;number=3.2&amp;sourceID=14","3.2")</f>
        <v>3.2</v>
      </c>
      <c r="G4686" s="4" t="str">
        <f>HYPERLINK("http://141.218.60.56/~jnz1568/getInfo.php?workbook=10_05.xlsx&amp;sheet=U0&amp;row=4686&amp;col=7&amp;number=0.136&amp;sourceID=14","0.136")</f>
        <v>0.136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HYPERLINK("http://141.218.60.56/~jnz1568/getInfo.php?workbook=10_05.xlsx&amp;sheet=U0&amp;row=4687&amp;col=6&amp;number=3.3&amp;sourceID=14","3.3")</f>
        <v>3.3</v>
      </c>
      <c r="G4687" s="4" t="str">
        <f>HYPERLINK("http://141.218.60.56/~jnz1568/getInfo.php?workbook=10_05.xlsx&amp;sheet=U0&amp;row=4687&amp;col=7&amp;number=0.135&amp;sourceID=14","0.135")</f>
        <v>0.135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HYPERLINK("http://141.218.60.56/~jnz1568/getInfo.php?workbook=10_05.xlsx&amp;sheet=U0&amp;row=4688&amp;col=6&amp;number=3.4&amp;sourceID=14","3.4")</f>
        <v>3.4</v>
      </c>
      <c r="G4688" s="4" t="str">
        <f>HYPERLINK("http://141.218.60.56/~jnz1568/getInfo.php?workbook=10_05.xlsx&amp;sheet=U0&amp;row=4688&amp;col=7&amp;number=0.134&amp;sourceID=14","0.134")</f>
        <v>0.134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HYPERLINK("http://141.218.60.56/~jnz1568/getInfo.php?workbook=10_05.xlsx&amp;sheet=U0&amp;row=4689&amp;col=6&amp;number=3.5&amp;sourceID=14","3.5")</f>
        <v>3.5</v>
      </c>
      <c r="G4689" s="4" t="str">
        <f>HYPERLINK("http://141.218.60.56/~jnz1568/getInfo.php?workbook=10_05.xlsx&amp;sheet=U0&amp;row=4689&amp;col=7&amp;number=0.133&amp;sourceID=14","0.133")</f>
        <v>0.133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HYPERLINK("http://141.218.60.56/~jnz1568/getInfo.php?workbook=10_05.xlsx&amp;sheet=U0&amp;row=4690&amp;col=6&amp;number=3.6&amp;sourceID=14","3.6")</f>
        <v>3.6</v>
      </c>
      <c r="G4690" s="4" t="str">
        <f>HYPERLINK("http://141.218.60.56/~jnz1568/getInfo.php?workbook=10_05.xlsx&amp;sheet=U0&amp;row=4690&amp;col=7&amp;number=0.131&amp;sourceID=14","0.131")</f>
        <v>0.131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HYPERLINK("http://141.218.60.56/~jnz1568/getInfo.php?workbook=10_05.xlsx&amp;sheet=U0&amp;row=4691&amp;col=6&amp;number=3.7&amp;sourceID=14","3.7")</f>
        <v>3.7</v>
      </c>
      <c r="G4691" s="4" t="str">
        <f>HYPERLINK("http://141.218.60.56/~jnz1568/getInfo.php?workbook=10_05.xlsx&amp;sheet=U0&amp;row=4691&amp;col=7&amp;number=0.129&amp;sourceID=14","0.129")</f>
        <v>0.129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HYPERLINK("http://141.218.60.56/~jnz1568/getInfo.php?workbook=10_05.xlsx&amp;sheet=U0&amp;row=4692&amp;col=6&amp;number=3.8&amp;sourceID=14","3.8")</f>
        <v>3.8</v>
      </c>
      <c r="G4692" s="4" t="str">
        <f>HYPERLINK("http://141.218.60.56/~jnz1568/getInfo.php?workbook=10_05.xlsx&amp;sheet=U0&amp;row=4692&amp;col=7&amp;number=0.127&amp;sourceID=14","0.127")</f>
        <v>0.127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HYPERLINK("http://141.218.60.56/~jnz1568/getInfo.php?workbook=10_05.xlsx&amp;sheet=U0&amp;row=4693&amp;col=6&amp;number=3.9&amp;sourceID=14","3.9")</f>
        <v>3.9</v>
      </c>
      <c r="G4693" s="4" t="str">
        <f>HYPERLINK("http://141.218.60.56/~jnz1568/getInfo.php?workbook=10_05.xlsx&amp;sheet=U0&amp;row=4693&amp;col=7&amp;number=0.124&amp;sourceID=14","0.124")</f>
        <v>0.124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HYPERLINK("http://141.218.60.56/~jnz1568/getInfo.php?workbook=10_05.xlsx&amp;sheet=U0&amp;row=4694&amp;col=6&amp;number=4&amp;sourceID=14","4")</f>
        <v>4</v>
      </c>
      <c r="G4694" s="4" t="str">
        <f>HYPERLINK("http://141.218.60.56/~jnz1568/getInfo.php?workbook=10_05.xlsx&amp;sheet=U0&amp;row=4694&amp;col=7&amp;number=0.121&amp;sourceID=14","0.121")</f>
        <v>0.121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HYPERLINK("http://141.218.60.56/~jnz1568/getInfo.php?workbook=10_05.xlsx&amp;sheet=U0&amp;row=4695&amp;col=6&amp;number=4.1&amp;sourceID=14","4.1")</f>
        <v>4.1</v>
      </c>
      <c r="G4695" s="4" t="str">
        <f>HYPERLINK("http://141.218.60.56/~jnz1568/getInfo.php?workbook=10_05.xlsx&amp;sheet=U0&amp;row=4695&amp;col=7&amp;number=0.116&amp;sourceID=14","0.116")</f>
        <v>0.116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HYPERLINK("http://141.218.60.56/~jnz1568/getInfo.php?workbook=10_05.xlsx&amp;sheet=U0&amp;row=4696&amp;col=6&amp;number=4.2&amp;sourceID=14","4.2")</f>
        <v>4.2</v>
      </c>
      <c r="G4696" s="4" t="str">
        <f>HYPERLINK("http://141.218.60.56/~jnz1568/getInfo.php?workbook=10_05.xlsx&amp;sheet=U0&amp;row=4696&amp;col=7&amp;number=0.111&amp;sourceID=14","0.111")</f>
        <v>0.111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HYPERLINK("http://141.218.60.56/~jnz1568/getInfo.php?workbook=10_05.xlsx&amp;sheet=U0&amp;row=4697&amp;col=6&amp;number=4.3&amp;sourceID=14","4.3")</f>
        <v>4.3</v>
      </c>
      <c r="G4697" s="4" t="str">
        <f>HYPERLINK("http://141.218.60.56/~jnz1568/getInfo.php?workbook=10_05.xlsx&amp;sheet=U0&amp;row=4697&amp;col=7&amp;number=0.105&amp;sourceID=14","0.105")</f>
        <v>0.105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HYPERLINK("http://141.218.60.56/~jnz1568/getInfo.php?workbook=10_05.xlsx&amp;sheet=U0&amp;row=4698&amp;col=6&amp;number=4.4&amp;sourceID=14","4.4")</f>
        <v>4.4</v>
      </c>
      <c r="G4698" s="4" t="str">
        <f>HYPERLINK("http://141.218.60.56/~jnz1568/getInfo.php?workbook=10_05.xlsx&amp;sheet=U0&amp;row=4698&amp;col=7&amp;number=0.0978&amp;sourceID=14","0.0978")</f>
        <v>0.0978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HYPERLINK("http://141.218.60.56/~jnz1568/getInfo.php?workbook=10_05.xlsx&amp;sheet=U0&amp;row=4699&amp;col=6&amp;number=4.5&amp;sourceID=14","4.5")</f>
        <v>4.5</v>
      </c>
      <c r="G4699" s="4" t="str">
        <f>HYPERLINK("http://141.218.60.56/~jnz1568/getInfo.php?workbook=10_05.xlsx&amp;sheet=U0&amp;row=4699&amp;col=7&amp;number=0.0896&amp;sourceID=14","0.0896")</f>
        <v>0.0896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HYPERLINK("http://141.218.60.56/~jnz1568/getInfo.php?workbook=10_05.xlsx&amp;sheet=U0&amp;row=4700&amp;col=6&amp;number=4.6&amp;sourceID=14","4.6")</f>
        <v>4.6</v>
      </c>
      <c r="G4700" s="4" t="str">
        <f>HYPERLINK("http://141.218.60.56/~jnz1568/getInfo.php?workbook=10_05.xlsx&amp;sheet=U0&amp;row=4700&amp;col=7&amp;number=0.0808&amp;sourceID=14","0.0808")</f>
        <v>0.0808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HYPERLINK("http://141.218.60.56/~jnz1568/getInfo.php?workbook=10_05.xlsx&amp;sheet=U0&amp;row=4701&amp;col=6&amp;number=4.7&amp;sourceID=14","4.7")</f>
        <v>4.7</v>
      </c>
      <c r="G4701" s="4" t="str">
        <f>HYPERLINK("http://141.218.60.56/~jnz1568/getInfo.php?workbook=10_05.xlsx&amp;sheet=U0&amp;row=4701&amp;col=7&amp;number=0.0721&amp;sourceID=14","0.0721")</f>
        <v>0.0721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HYPERLINK("http://141.218.60.56/~jnz1568/getInfo.php?workbook=10_05.xlsx&amp;sheet=U0&amp;row=4702&amp;col=6&amp;number=4.8&amp;sourceID=14","4.8")</f>
        <v>4.8</v>
      </c>
      <c r="G4702" s="4" t="str">
        <f>HYPERLINK("http://141.218.60.56/~jnz1568/getInfo.php?workbook=10_05.xlsx&amp;sheet=U0&amp;row=4702&amp;col=7&amp;number=0.0644&amp;sourceID=14","0.0644")</f>
        <v>0.0644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HYPERLINK("http://141.218.60.56/~jnz1568/getInfo.php?workbook=10_05.xlsx&amp;sheet=U0&amp;row=4703&amp;col=6&amp;number=4.9&amp;sourceID=14","4.9")</f>
        <v>4.9</v>
      </c>
      <c r="G4703" s="4" t="str">
        <f>HYPERLINK("http://141.218.60.56/~jnz1568/getInfo.php?workbook=10_05.xlsx&amp;sheet=U0&amp;row=4703&amp;col=7&amp;number=0.058&amp;sourceID=14","0.058")</f>
        <v>0.058</v>
      </c>
    </row>
    <row r="4704" spans="1:7">
      <c r="A4704" s="3">
        <v>10</v>
      </c>
      <c r="B4704" s="3">
        <v>5</v>
      </c>
      <c r="C4704" s="3">
        <v>2</v>
      </c>
      <c r="D4704" s="3">
        <v>59</v>
      </c>
      <c r="E4704" s="3">
        <v>1</v>
      </c>
      <c r="F4704" s="4" t="str">
        <f>HYPERLINK("http://141.218.60.56/~jnz1568/getInfo.php?workbook=10_05.xlsx&amp;sheet=U0&amp;row=4704&amp;col=6&amp;number=3&amp;sourceID=14","3")</f>
        <v>3</v>
      </c>
      <c r="G4704" s="4" t="str">
        <f>HYPERLINK("http://141.218.60.56/~jnz1568/getInfo.php?workbook=10_05.xlsx&amp;sheet=U0&amp;row=4704&amp;col=7&amp;number=0.0416&amp;sourceID=14","0.0416")</f>
        <v>0.0416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HYPERLINK("http://141.218.60.56/~jnz1568/getInfo.php?workbook=10_05.xlsx&amp;sheet=U0&amp;row=4705&amp;col=6&amp;number=3.1&amp;sourceID=14","3.1")</f>
        <v>3.1</v>
      </c>
      <c r="G4705" s="4" t="str">
        <f>HYPERLINK("http://141.218.60.56/~jnz1568/getInfo.php?workbook=10_05.xlsx&amp;sheet=U0&amp;row=4705&amp;col=7&amp;number=0.0415&amp;sourceID=14","0.0415")</f>
        <v>0.0415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HYPERLINK("http://141.218.60.56/~jnz1568/getInfo.php?workbook=10_05.xlsx&amp;sheet=U0&amp;row=4706&amp;col=6&amp;number=3.2&amp;sourceID=14","3.2")</f>
        <v>3.2</v>
      </c>
      <c r="G4706" s="4" t="str">
        <f>HYPERLINK("http://141.218.60.56/~jnz1568/getInfo.php?workbook=10_05.xlsx&amp;sheet=U0&amp;row=4706&amp;col=7&amp;number=0.0414&amp;sourceID=14","0.0414")</f>
        <v>0.0414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HYPERLINK("http://141.218.60.56/~jnz1568/getInfo.php?workbook=10_05.xlsx&amp;sheet=U0&amp;row=4707&amp;col=6&amp;number=3.3&amp;sourceID=14","3.3")</f>
        <v>3.3</v>
      </c>
      <c r="G4707" s="4" t="str">
        <f>HYPERLINK("http://141.218.60.56/~jnz1568/getInfo.php?workbook=10_05.xlsx&amp;sheet=U0&amp;row=4707&amp;col=7&amp;number=0.0413&amp;sourceID=14","0.0413")</f>
        <v>0.0413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HYPERLINK("http://141.218.60.56/~jnz1568/getInfo.php?workbook=10_05.xlsx&amp;sheet=U0&amp;row=4708&amp;col=6&amp;number=3.4&amp;sourceID=14","3.4")</f>
        <v>3.4</v>
      </c>
      <c r="G4708" s="4" t="str">
        <f>HYPERLINK("http://141.218.60.56/~jnz1568/getInfo.php?workbook=10_05.xlsx&amp;sheet=U0&amp;row=4708&amp;col=7&amp;number=0.0411&amp;sourceID=14","0.0411")</f>
        <v>0.0411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HYPERLINK("http://141.218.60.56/~jnz1568/getInfo.php?workbook=10_05.xlsx&amp;sheet=U0&amp;row=4709&amp;col=6&amp;number=3.5&amp;sourceID=14","3.5")</f>
        <v>3.5</v>
      </c>
      <c r="G4709" s="4" t="str">
        <f>HYPERLINK("http://141.218.60.56/~jnz1568/getInfo.php?workbook=10_05.xlsx&amp;sheet=U0&amp;row=4709&amp;col=7&amp;number=0.041&amp;sourceID=14","0.041")</f>
        <v>0.041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HYPERLINK("http://141.218.60.56/~jnz1568/getInfo.php?workbook=10_05.xlsx&amp;sheet=U0&amp;row=4710&amp;col=6&amp;number=3.6&amp;sourceID=14","3.6")</f>
        <v>3.6</v>
      </c>
      <c r="G4710" s="4" t="str">
        <f>HYPERLINK("http://141.218.60.56/~jnz1568/getInfo.php?workbook=10_05.xlsx&amp;sheet=U0&amp;row=4710&amp;col=7&amp;number=0.0407&amp;sourceID=14","0.0407")</f>
        <v>0.0407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HYPERLINK("http://141.218.60.56/~jnz1568/getInfo.php?workbook=10_05.xlsx&amp;sheet=U0&amp;row=4711&amp;col=6&amp;number=3.7&amp;sourceID=14","3.7")</f>
        <v>3.7</v>
      </c>
      <c r="G4711" s="4" t="str">
        <f>HYPERLINK("http://141.218.60.56/~jnz1568/getInfo.php?workbook=10_05.xlsx&amp;sheet=U0&amp;row=4711&amp;col=7&amp;number=0.0404&amp;sourceID=14","0.0404")</f>
        <v>0.0404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HYPERLINK("http://141.218.60.56/~jnz1568/getInfo.php?workbook=10_05.xlsx&amp;sheet=U0&amp;row=4712&amp;col=6&amp;number=3.8&amp;sourceID=14","3.8")</f>
        <v>3.8</v>
      </c>
      <c r="G4712" s="4" t="str">
        <f>HYPERLINK("http://141.218.60.56/~jnz1568/getInfo.php?workbook=10_05.xlsx&amp;sheet=U0&amp;row=4712&amp;col=7&amp;number=0.0401&amp;sourceID=14","0.0401")</f>
        <v>0.0401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HYPERLINK("http://141.218.60.56/~jnz1568/getInfo.php?workbook=10_05.xlsx&amp;sheet=U0&amp;row=4713&amp;col=6&amp;number=3.9&amp;sourceID=14","3.9")</f>
        <v>3.9</v>
      </c>
      <c r="G4713" s="4" t="str">
        <f>HYPERLINK("http://141.218.60.56/~jnz1568/getInfo.php?workbook=10_05.xlsx&amp;sheet=U0&amp;row=4713&amp;col=7&amp;number=0.0397&amp;sourceID=14","0.0397")</f>
        <v>0.0397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HYPERLINK("http://141.218.60.56/~jnz1568/getInfo.php?workbook=10_05.xlsx&amp;sheet=U0&amp;row=4714&amp;col=6&amp;number=4&amp;sourceID=14","4")</f>
        <v>4</v>
      </c>
      <c r="G4714" s="4" t="str">
        <f>HYPERLINK("http://141.218.60.56/~jnz1568/getInfo.php?workbook=10_05.xlsx&amp;sheet=U0&amp;row=4714&amp;col=7&amp;number=0.0391&amp;sourceID=14","0.0391")</f>
        <v>0.0391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HYPERLINK("http://141.218.60.56/~jnz1568/getInfo.php?workbook=10_05.xlsx&amp;sheet=U0&amp;row=4715&amp;col=6&amp;number=4.1&amp;sourceID=14","4.1")</f>
        <v>4.1</v>
      </c>
      <c r="G4715" s="4" t="str">
        <f>HYPERLINK("http://141.218.60.56/~jnz1568/getInfo.php?workbook=10_05.xlsx&amp;sheet=U0&amp;row=4715&amp;col=7&amp;number=0.0384&amp;sourceID=14","0.0384")</f>
        <v>0.0384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HYPERLINK("http://141.218.60.56/~jnz1568/getInfo.php?workbook=10_05.xlsx&amp;sheet=U0&amp;row=4716&amp;col=6&amp;number=4.2&amp;sourceID=14","4.2")</f>
        <v>4.2</v>
      </c>
      <c r="G4716" s="4" t="str">
        <f>HYPERLINK("http://141.218.60.56/~jnz1568/getInfo.php?workbook=10_05.xlsx&amp;sheet=U0&amp;row=4716&amp;col=7&amp;number=0.0376&amp;sourceID=14","0.0376")</f>
        <v>0.0376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HYPERLINK("http://141.218.60.56/~jnz1568/getInfo.php?workbook=10_05.xlsx&amp;sheet=U0&amp;row=4717&amp;col=6&amp;number=4.3&amp;sourceID=14","4.3")</f>
        <v>4.3</v>
      </c>
      <c r="G4717" s="4" t="str">
        <f>HYPERLINK("http://141.218.60.56/~jnz1568/getInfo.php?workbook=10_05.xlsx&amp;sheet=U0&amp;row=4717&amp;col=7&amp;number=0.0366&amp;sourceID=14","0.0366")</f>
        <v>0.0366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HYPERLINK("http://141.218.60.56/~jnz1568/getInfo.php?workbook=10_05.xlsx&amp;sheet=U0&amp;row=4718&amp;col=6&amp;number=4.4&amp;sourceID=14","4.4")</f>
        <v>4.4</v>
      </c>
      <c r="G4718" s="4" t="str">
        <f>HYPERLINK("http://141.218.60.56/~jnz1568/getInfo.php?workbook=10_05.xlsx&amp;sheet=U0&amp;row=4718&amp;col=7&amp;number=0.0354&amp;sourceID=14","0.0354")</f>
        <v>0.0354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HYPERLINK("http://141.218.60.56/~jnz1568/getInfo.php?workbook=10_05.xlsx&amp;sheet=U0&amp;row=4719&amp;col=6&amp;number=4.5&amp;sourceID=14","4.5")</f>
        <v>4.5</v>
      </c>
      <c r="G4719" s="4" t="str">
        <f>HYPERLINK("http://141.218.60.56/~jnz1568/getInfo.php?workbook=10_05.xlsx&amp;sheet=U0&amp;row=4719&amp;col=7&amp;number=0.0339&amp;sourceID=14","0.0339")</f>
        <v>0.0339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HYPERLINK("http://141.218.60.56/~jnz1568/getInfo.php?workbook=10_05.xlsx&amp;sheet=U0&amp;row=4720&amp;col=6&amp;number=4.6&amp;sourceID=14","4.6")</f>
        <v>4.6</v>
      </c>
      <c r="G4720" s="4" t="str">
        <f>HYPERLINK("http://141.218.60.56/~jnz1568/getInfo.php?workbook=10_05.xlsx&amp;sheet=U0&amp;row=4720&amp;col=7&amp;number=0.0322&amp;sourceID=14","0.0322")</f>
        <v>0.0322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HYPERLINK("http://141.218.60.56/~jnz1568/getInfo.php?workbook=10_05.xlsx&amp;sheet=U0&amp;row=4721&amp;col=6&amp;number=4.7&amp;sourceID=14","4.7")</f>
        <v>4.7</v>
      </c>
      <c r="G4721" s="4" t="str">
        <f>HYPERLINK("http://141.218.60.56/~jnz1568/getInfo.php?workbook=10_05.xlsx&amp;sheet=U0&amp;row=4721&amp;col=7&amp;number=0.0302&amp;sourceID=14","0.0302")</f>
        <v>0.0302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HYPERLINK("http://141.218.60.56/~jnz1568/getInfo.php?workbook=10_05.xlsx&amp;sheet=U0&amp;row=4722&amp;col=6&amp;number=4.8&amp;sourceID=14","4.8")</f>
        <v>4.8</v>
      </c>
      <c r="G4722" s="4" t="str">
        <f>HYPERLINK("http://141.218.60.56/~jnz1568/getInfo.php?workbook=10_05.xlsx&amp;sheet=U0&amp;row=4722&amp;col=7&amp;number=0.0281&amp;sourceID=14","0.0281")</f>
        <v>0.0281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HYPERLINK("http://141.218.60.56/~jnz1568/getInfo.php?workbook=10_05.xlsx&amp;sheet=U0&amp;row=4723&amp;col=6&amp;number=4.9&amp;sourceID=14","4.9")</f>
        <v>4.9</v>
      </c>
      <c r="G4723" s="4" t="str">
        <f>HYPERLINK("http://141.218.60.56/~jnz1568/getInfo.php?workbook=10_05.xlsx&amp;sheet=U0&amp;row=4723&amp;col=7&amp;number=0.0258&amp;sourceID=14","0.0258")</f>
        <v>0.0258</v>
      </c>
    </row>
    <row r="4724" spans="1:7">
      <c r="A4724" s="3">
        <v>10</v>
      </c>
      <c r="B4724" s="3">
        <v>5</v>
      </c>
      <c r="C4724" s="3">
        <v>2</v>
      </c>
      <c r="D4724" s="3">
        <v>60</v>
      </c>
      <c r="E4724" s="3">
        <v>1</v>
      </c>
      <c r="F4724" s="4" t="str">
        <f>HYPERLINK("http://141.218.60.56/~jnz1568/getInfo.php?workbook=10_05.xlsx&amp;sheet=U0&amp;row=4724&amp;col=6&amp;number=3&amp;sourceID=14","3")</f>
        <v>3</v>
      </c>
      <c r="G4724" s="4" t="str">
        <f>HYPERLINK("http://141.218.60.56/~jnz1568/getInfo.php?workbook=10_05.xlsx&amp;sheet=U0&amp;row=4724&amp;col=7&amp;number=0.0743&amp;sourceID=14","0.0743")</f>
        <v>0.0743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HYPERLINK("http://141.218.60.56/~jnz1568/getInfo.php?workbook=10_05.xlsx&amp;sheet=U0&amp;row=4725&amp;col=6&amp;number=3.1&amp;sourceID=14","3.1")</f>
        <v>3.1</v>
      </c>
      <c r="G4725" s="4" t="str">
        <f>HYPERLINK("http://141.218.60.56/~jnz1568/getInfo.php?workbook=10_05.xlsx&amp;sheet=U0&amp;row=4725&amp;col=7&amp;number=0.0742&amp;sourceID=14","0.0742")</f>
        <v>0.0742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HYPERLINK("http://141.218.60.56/~jnz1568/getInfo.php?workbook=10_05.xlsx&amp;sheet=U0&amp;row=4726&amp;col=6&amp;number=3.2&amp;sourceID=14","3.2")</f>
        <v>3.2</v>
      </c>
      <c r="G4726" s="4" t="str">
        <f>HYPERLINK("http://141.218.60.56/~jnz1568/getInfo.php?workbook=10_05.xlsx&amp;sheet=U0&amp;row=4726&amp;col=7&amp;number=0.074&amp;sourceID=14","0.074")</f>
        <v>0.074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HYPERLINK("http://141.218.60.56/~jnz1568/getInfo.php?workbook=10_05.xlsx&amp;sheet=U0&amp;row=4727&amp;col=6&amp;number=3.3&amp;sourceID=14","3.3")</f>
        <v>3.3</v>
      </c>
      <c r="G4727" s="4" t="str">
        <f>HYPERLINK("http://141.218.60.56/~jnz1568/getInfo.php?workbook=10_05.xlsx&amp;sheet=U0&amp;row=4727&amp;col=7&amp;number=0.0738&amp;sourceID=14","0.0738")</f>
        <v>0.0738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HYPERLINK("http://141.218.60.56/~jnz1568/getInfo.php?workbook=10_05.xlsx&amp;sheet=U0&amp;row=4728&amp;col=6&amp;number=3.4&amp;sourceID=14","3.4")</f>
        <v>3.4</v>
      </c>
      <c r="G4728" s="4" t="str">
        <f>HYPERLINK("http://141.218.60.56/~jnz1568/getInfo.php?workbook=10_05.xlsx&amp;sheet=U0&amp;row=4728&amp;col=7&amp;number=0.0735&amp;sourceID=14","0.0735")</f>
        <v>0.0735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HYPERLINK("http://141.218.60.56/~jnz1568/getInfo.php?workbook=10_05.xlsx&amp;sheet=U0&amp;row=4729&amp;col=6&amp;number=3.5&amp;sourceID=14","3.5")</f>
        <v>3.5</v>
      </c>
      <c r="G4729" s="4" t="str">
        <f>HYPERLINK("http://141.218.60.56/~jnz1568/getInfo.php?workbook=10_05.xlsx&amp;sheet=U0&amp;row=4729&amp;col=7&amp;number=0.0731&amp;sourceID=14","0.0731")</f>
        <v>0.0731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HYPERLINK("http://141.218.60.56/~jnz1568/getInfo.php?workbook=10_05.xlsx&amp;sheet=U0&amp;row=4730&amp;col=6&amp;number=3.6&amp;sourceID=14","3.6")</f>
        <v>3.6</v>
      </c>
      <c r="G4730" s="4" t="str">
        <f>HYPERLINK("http://141.218.60.56/~jnz1568/getInfo.php?workbook=10_05.xlsx&amp;sheet=U0&amp;row=4730&amp;col=7&amp;number=0.0727&amp;sourceID=14","0.0727")</f>
        <v>0.0727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HYPERLINK("http://141.218.60.56/~jnz1568/getInfo.php?workbook=10_05.xlsx&amp;sheet=U0&amp;row=4731&amp;col=6&amp;number=3.7&amp;sourceID=14","3.7")</f>
        <v>3.7</v>
      </c>
      <c r="G4731" s="4" t="str">
        <f>HYPERLINK("http://141.218.60.56/~jnz1568/getInfo.php?workbook=10_05.xlsx&amp;sheet=U0&amp;row=4731&amp;col=7&amp;number=0.0721&amp;sourceID=14","0.0721")</f>
        <v>0.0721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HYPERLINK("http://141.218.60.56/~jnz1568/getInfo.php?workbook=10_05.xlsx&amp;sheet=U0&amp;row=4732&amp;col=6&amp;number=3.8&amp;sourceID=14","3.8")</f>
        <v>3.8</v>
      </c>
      <c r="G4732" s="4" t="str">
        <f>HYPERLINK("http://141.218.60.56/~jnz1568/getInfo.php?workbook=10_05.xlsx&amp;sheet=U0&amp;row=4732&amp;col=7&amp;number=0.0714&amp;sourceID=14","0.0714")</f>
        <v>0.0714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HYPERLINK("http://141.218.60.56/~jnz1568/getInfo.php?workbook=10_05.xlsx&amp;sheet=U0&amp;row=4733&amp;col=6&amp;number=3.9&amp;sourceID=14","3.9")</f>
        <v>3.9</v>
      </c>
      <c r="G4733" s="4" t="str">
        <f>HYPERLINK("http://141.218.60.56/~jnz1568/getInfo.php?workbook=10_05.xlsx&amp;sheet=U0&amp;row=4733&amp;col=7&amp;number=0.0706&amp;sourceID=14","0.0706")</f>
        <v>0.0706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HYPERLINK("http://141.218.60.56/~jnz1568/getInfo.php?workbook=10_05.xlsx&amp;sheet=U0&amp;row=4734&amp;col=6&amp;number=4&amp;sourceID=14","4")</f>
        <v>4</v>
      </c>
      <c r="G4734" s="4" t="str">
        <f>HYPERLINK("http://141.218.60.56/~jnz1568/getInfo.php?workbook=10_05.xlsx&amp;sheet=U0&amp;row=4734&amp;col=7&amp;number=0.0695&amp;sourceID=14","0.0695")</f>
        <v>0.0695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HYPERLINK("http://141.218.60.56/~jnz1568/getInfo.php?workbook=10_05.xlsx&amp;sheet=U0&amp;row=4735&amp;col=6&amp;number=4.1&amp;sourceID=14","4.1")</f>
        <v>4.1</v>
      </c>
      <c r="G4735" s="4" t="str">
        <f>HYPERLINK("http://141.218.60.56/~jnz1568/getInfo.php?workbook=10_05.xlsx&amp;sheet=U0&amp;row=4735&amp;col=7&amp;number=0.0681&amp;sourceID=14","0.0681")</f>
        <v>0.0681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HYPERLINK("http://141.218.60.56/~jnz1568/getInfo.php?workbook=10_05.xlsx&amp;sheet=U0&amp;row=4736&amp;col=6&amp;number=4.2&amp;sourceID=14","4.2")</f>
        <v>4.2</v>
      </c>
      <c r="G4736" s="4" t="str">
        <f>HYPERLINK("http://141.218.60.56/~jnz1568/getInfo.php?workbook=10_05.xlsx&amp;sheet=U0&amp;row=4736&amp;col=7&amp;number=0.0665&amp;sourceID=14","0.0665")</f>
        <v>0.0665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HYPERLINK("http://141.218.60.56/~jnz1568/getInfo.php?workbook=10_05.xlsx&amp;sheet=U0&amp;row=4737&amp;col=6&amp;number=4.3&amp;sourceID=14","4.3")</f>
        <v>4.3</v>
      </c>
      <c r="G4737" s="4" t="str">
        <f>HYPERLINK("http://141.218.60.56/~jnz1568/getInfo.php?workbook=10_05.xlsx&amp;sheet=U0&amp;row=4737&amp;col=7&amp;number=0.0645&amp;sourceID=14","0.0645")</f>
        <v>0.0645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HYPERLINK("http://141.218.60.56/~jnz1568/getInfo.php?workbook=10_05.xlsx&amp;sheet=U0&amp;row=4738&amp;col=6&amp;number=4.4&amp;sourceID=14","4.4")</f>
        <v>4.4</v>
      </c>
      <c r="G4738" s="4" t="str">
        <f>HYPERLINK("http://141.218.60.56/~jnz1568/getInfo.php?workbook=10_05.xlsx&amp;sheet=U0&amp;row=4738&amp;col=7&amp;number=0.0622&amp;sourceID=14","0.0622")</f>
        <v>0.0622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HYPERLINK("http://141.218.60.56/~jnz1568/getInfo.php?workbook=10_05.xlsx&amp;sheet=U0&amp;row=4739&amp;col=6&amp;number=4.5&amp;sourceID=14","4.5")</f>
        <v>4.5</v>
      </c>
      <c r="G4739" s="4" t="str">
        <f>HYPERLINK("http://141.218.60.56/~jnz1568/getInfo.php?workbook=10_05.xlsx&amp;sheet=U0&amp;row=4739&amp;col=7&amp;number=0.0594&amp;sourceID=14","0.0594")</f>
        <v>0.0594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HYPERLINK("http://141.218.60.56/~jnz1568/getInfo.php?workbook=10_05.xlsx&amp;sheet=U0&amp;row=4740&amp;col=6&amp;number=4.6&amp;sourceID=14","4.6")</f>
        <v>4.6</v>
      </c>
      <c r="G4740" s="4" t="str">
        <f>HYPERLINK("http://141.218.60.56/~jnz1568/getInfo.php?workbook=10_05.xlsx&amp;sheet=U0&amp;row=4740&amp;col=7&amp;number=0.0563&amp;sourceID=14","0.0563")</f>
        <v>0.0563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HYPERLINK("http://141.218.60.56/~jnz1568/getInfo.php?workbook=10_05.xlsx&amp;sheet=U0&amp;row=4741&amp;col=6&amp;number=4.7&amp;sourceID=14","4.7")</f>
        <v>4.7</v>
      </c>
      <c r="G4741" s="4" t="str">
        <f>HYPERLINK("http://141.218.60.56/~jnz1568/getInfo.php?workbook=10_05.xlsx&amp;sheet=U0&amp;row=4741&amp;col=7&amp;number=0.0529&amp;sourceID=14","0.0529")</f>
        <v>0.0529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HYPERLINK("http://141.218.60.56/~jnz1568/getInfo.php?workbook=10_05.xlsx&amp;sheet=U0&amp;row=4742&amp;col=6&amp;number=4.8&amp;sourceID=14","4.8")</f>
        <v>4.8</v>
      </c>
      <c r="G4742" s="4" t="str">
        <f>HYPERLINK("http://141.218.60.56/~jnz1568/getInfo.php?workbook=10_05.xlsx&amp;sheet=U0&amp;row=4742&amp;col=7&amp;number=0.0493&amp;sourceID=14","0.0493")</f>
        <v>0.0493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HYPERLINK("http://141.218.60.56/~jnz1568/getInfo.php?workbook=10_05.xlsx&amp;sheet=U0&amp;row=4743&amp;col=6&amp;number=4.9&amp;sourceID=14","4.9")</f>
        <v>4.9</v>
      </c>
      <c r="G4743" s="4" t="str">
        <f>HYPERLINK("http://141.218.60.56/~jnz1568/getInfo.php?workbook=10_05.xlsx&amp;sheet=U0&amp;row=4743&amp;col=7&amp;number=0.0458&amp;sourceID=14","0.0458")</f>
        <v>0.0458</v>
      </c>
    </row>
    <row r="4744" spans="1:7">
      <c r="A4744" s="3">
        <v>10</v>
      </c>
      <c r="B4744" s="3">
        <v>5</v>
      </c>
      <c r="C4744" s="3">
        <v>2</v>
      </c>
      <c r="D4744" s="3">
        <v>61</v>
      </c>
      <c r="E4744" s="3">
        <v>1</v>
      </c>
      <c r="F4744" s="4" t="str">
        <f>HYPERLINK("http://141.218.60.56/~jnz1568/getInfo.php?workbook=10_05.xlsx&amp;sheet=U0&amp;row=4744&amp;col=6&amp;number=3&amp;sourceID=14","3")</f>
        <v>3</v>
      </c>
      <c r="G4744" s="4" t="str">
        <f>HYPERLINK("http://141.218.60.56/~jnz1568/getInfo.php?workbook=10_05.xlsx&amp;sheet=U0&amp;row=4744&amp;col=7&amp;number=0.0193&amp;sourceID=14","0.0193")</f>
        <v>0.0193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HYPERLINK("http://141.218.60.56/~jnz1568/getInfo.php?workbook=10_05.xlsx&amp;sheet=U0&amp;row=4745&amp;col=6&amp;number=3.1&amp;sourceID=14","3.1")</f>
        <v>3.1</v>
      </c>
      <c r="G4745" s="4" t="str">
        <f>HYPERLINK("http://141.218.60.56/~jnz1568/getInfo.php?workbook=10_05.xlsx&amp;sheet=U0&amp;row=4745&amp;col=7&amp;number=0.0193&amp;sourceID=14","0.0193")</f>
        <v>0.0193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HYPERLINK("http://141.218.60.56/~jnz1568/getInfo.php?workbook=10_05.xlsx&amp;sheet=U0&amp;row=4746&amp;col=6&amp;number=3.2&amp;sourceID=14","3.2")</f>
        <v>3.2</v>
      </c>
      <c r="G4746" s="4" t="str">
        <f>HYPERLINK("http://141.218.60.56/~jnz1568/getInfo.php?workbook=10_05.xlsx&amp;sheet=U0&amp;row=4746&amp;col=7&amp;number=0.0192&amp;sourceID=14","0.0192")</f>
        <v>0.0192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HYPERLINK("http://141.218.60.56/~jnz1568/getInfo.php?workbook=10_05.xlsx&amp;sheet=U0&amp;row=4747&amp;col=6&amp;number=3.3&amp;sourceID=14","3.3")</f>
        <v>3.3</v>
      </c>
      <c r="G4747" s="4" t="str">
        <f>HYPERLINK("http://141.218.60.56/~jnz1568/getInfo.php?workbook=10_05.xlsx&amp;sheet=U0&amp;row=4747&amp;col=7&amp;number=0.0192&amp;sourceID=14","0.0192")</f>
        <v>0.0192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HYPERLINK("http://141.218.60.56/~jnz1568/getInfo.php?workbook=10_05.xlsx&amp;sheet=U0&amp;row=4748&amp;col=6&amp;number=3.4&amp;sourceID=14","3.4")</f>
        <v>3.4</v>
      </c>
      <c r="G4748" s="4" t="str">
        <f>HYPERLINK("http://141.218.60.56/~jnz1568/getInfo.php?workbook=10_05.xlsx&amp;sheet=U0&amp;row=4748&amp;col=7&amp;number=0.0191&amp;sourceID=14","0.0191")</f>
        <v>0.0191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HYPERLINK("http://141.218.60.56/~jnz1568/getInfo.php?workbook=10_05.xlsx&amp;sheet=U0&amp;row=4749&amp;col=6&amp;number=3.5&amp;sourceID=14","3.5")</f>
        <v>3.5</v>
      </c>
      <c r="G4749" s="4" t="str">
        <f>HYPERLINK("http://141.218.60.56/~jnz1568/getInfo.php?workbook=10_05.xlsx&amp;sheet=U0&amp;row=4749&amp;col=7&amp;number=0.019&amp;sourceID=14","0.019")</f>
        <v>0.019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HYPERLINK("http://141.218.60.56/~jnz1568/getInfo.php?workbook=10_05.xlsx&amp;sheet=U0&amp;row=4750&amp;col=6&amp;number=3.6&amp;sourceID=14","3.6")</f>
        <v>3.6</v>
      </c>
      <c r="G4750" s="4" t="str">
        <f>HYPERLINK("http://141.218.60.56/~jnz1568/getInfo.php?workbook=10_05.xlsx&amp;sheet=U0&amp;row=4750&amp;col=7&amp;number=0.0189&amp;sourceID=14","0.0189")</f>
        <v>0.0189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HYPERLINK("http://141.218.60.56/~jnz1568/getInfo.php?workbook=10_05.xlsx&amp;sheet=U0&amp;row=4751&amp;col=6&amp;number=3.7&amp;sourceID=14","3.7")</f>
        <v>3.7</v>
      </c>
      <c r="G4751" s="4" t="str">
        <f>HYPERLINK("http://141.218.60.56/~jnz1568/getInfo.php?workbook=10_05.xlsx&amp;sheet=U0&amp;row=4751&amp;col=7&amp;number=0.0188&amp;sourceID=14","0.0188")</f>
        <v>0.0188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HYPERLINK("http://141.218.60.56/~jnz1568/getInfo.php?workbook=10_05.xlsx&amp;sheet=U0&amp;row=4752&amp;col=6&amp;number=3.8&amp;sourceID=14","3.8")</f>
        <v>3.8</v>
      </c>
      <c r="G4752" s="4" t="str">
        <f>HYPERLINK("http://141.218.60.56/~jnz1568/getInfo.php?workbook=10_05.xlsx&amp;sheet=U0&amp;row=4752&amp;col=7&amp;number=0.0186&amp;sourceID=14","0.0186")</f>
        <v>0.0186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HYPERLINK("http://141.218.60.56/~jnz1568/getInfo.php?workbook=10_05.xlsx&amp;sheet=U0&amp;row=4753&amp;col=6&amp;number=3.9&amp;sourceID=14","3.9")</f>
        <v>3.9</v>
      </c>
      <c r="G4753" s="4" t="str">
        <f>HYPERLINK("http://141.218.60.56/~jnz1568/getInfo.php?workbook=10_05.xlsx&amp;sheet=U0&amp;row=4753&amp;col=7&amp;number=0.0184&amp;sourceID=14","0.0184")</f>
        <v>0.0184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HYPERLINK("http://141.218.60.56/~jnz1568/getInfo.php?workbook=10_05.xlsx&amp;sheet=U0&amp;row=4754&amp;col=6&amp;number=4&amp;sourceID=14","4")</f>
        <v>4</v>
      </c>
      <c r="G4754" s="4" t="str">
        <f>HYPERLINK("http://141.218.60.56/~jnz1568/getInfo.php?workbook=10_05.xlsx&amp;sheet=U0&amp;row=4754&amp;col=7&amp;number=0.0182&amp;sourceID=14","0.0182")</f>
        <v>0.0182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HYPERLINK("http://141.218.60.56/~jnz1568/getInfo.php?workbook=10_05.xlsx&amp;sheet=U0&amp;row=4755&amp;col=6&amp;number=4.1&amp;sourceID=14","4.1")</f>
        <v>4.1</v>
      </c>
      <c r="G4755" s="4" t="str">
        <f>HYPERLINK("http://141.218.60.56/~jnz1568/getInfo.php?workbook=10_05.xlsx&amp;sheet=U0&amp;row=4755&amp;col=7&amp;number=0.0179&amp;sourceID=14","0.0179")</f>
        <v>0.0179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HYPERLINK("http://141.218.60.56/~jnz1568/getInfo.php?workbook=10_05.xlsx&amp;sheet=U0&amp;row=4756&amp;col=6&amp;number=4.2&amp;sourceID=14","4.2")</f>
        <v>4.2</v>
      </c>
      <c r="G4756" s="4" t="str">
        <f>HYPERLINK("http://141.218.60.56/~jnz1568/getInfo.php?workbook=10_05.xlsx&amp;sheet=U0&amp;row=4756&amp;col=7&amp;number=0.0175&amp;sourceID=14","0.0175")</f>
        <v>0.0175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HYPERLINK("http://141.218.60.56/~jnz1568/getInfo.php?workbook=10_05.xlsx&amp;sheet=U0&amp;row=4757&amp;col=6&amp;number=4.3&amp;sourceID=14","4.3")</f>
        <v>4.3</v>
      </c>
      <c r="G4757" s="4" t="str">
        <f>HYPERLINK("http://141.218.60.56/~jnz1568/getInfo.php?workbook=10_05.xlsx&amp;sheet=U0&amp;row=4757&amp;col=7&amp;number=0.017&amp;sourceID=14","0.017")</f>
        <v>0.017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HYPERLINK("http://141.218.60.56/~jnz1568/getInfo.php?workbook=10_05.xlsx&amp;sheet=U0&amp;row=4758&amp;col=6&amp;number=4.4&amp;sourceID=14","4.4")</f>
        <v>4.4</v>
      </c>
      <c r="G4758" s="4" t="str">
        <f>HYPERLINK("http://141.218.60.56/~jnz1568/getInfo.php?workbook=10_05.xlsx&amp;sheet=U0&amp;row=4758&amp;col=7&amp;number=0.0165&amp;sourceID=14","0.0165")</f>
        <v>0.0165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HYPERLINK("http://141.218.60.56/~jnz1568/getInfo.php?workbook=10_05.xlsx&amp;sheet=U0&amp;row=4759&amp;col=6&amp;number=4.5&amp;sourceID=14","4.5")</f>
        <v>4.5</v>
      </c>
      <c r="G4759" s="4" t="str">
        <f>HYPERLINK("http://141.218.60.56/~jnz1568/getInfo.php?workbook=10_05.xlsx&amp;sheet=U0&amp;row=4759&amp;col=7&amp;number=0.0158&amp;sourceID=14","0.0158")</f>
        <v>0.0158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HYPERLINK("http://141.218.60.56/~jnz1568/getInfo.php?workbook=10_05.xlsx&amp;sheet=U0&amp;row=4760&amp;col=6&amp;number=4.6&amp;sourceID=14","4.6")</f>
        <v>4.6</v>
      </c>
      <c r="G4760" s="4" t="str">
        <f>HYPERLINK("http://141.218.60.56/~jnz1568/getInfo.php?workbook=10_05.xlsx&amp;sheet=U0&amp;row=4760&amp;col=7&amp;number=0.0151&amp;sourceID=14","0.0151")</f>
        <v>0.0151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HYPERLINK("http://141.218.60.56/~jnz1568/getInfo.php?workbook=10_05.xlsx&amp;sheet=U0&amp;row=4761&amp;col=6&amp;number=4.7&amp;sourceID=14","4.7")</f>
        <v>4.7</v>
      </c>
      <c r="G4761" s="4" t="str">
        <f>HYPERLINK("http://141.218.60.56/~jnz1568/getInfo.php?workbook=10_05.xlsx&amp;sheet=U0&amp;row=4761&amp;col=7&amp;number=0.0142&amp;sourceID=14","0.0142")</f>
        <v>0.0142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HYPERLINK("http://141.218.60.56/~jnz1568/getInfo.php?workbook=10_05.xlsx&amp;sheet=U0&amp;row=4762&amp;col=6&amp;number=4.8&amp;sourceID=14","4.8")</f>
        <v>4.8</v>
      </c>
      <c r="G4762" s="4" t="str">
        <f>HYPERLINK("http://141.218.60.56/~jnz1568/getInfo.php?workbook=10_05.xlsx&amp;sheet=U0&amp;row=4762&amp;col=7&amp;number=0.0133&amp;sourceID=14","0.0133")</f>
        <v>0.0133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HYPERLINK("http://141.218.60.56/~jnz1568/getInfo.php?workbook=10_05.xlsx&amp;sheet=U0&amp;row=4763&amp;col=6&amp;number=4.9&amp;sourceID=14","4.9")</f>
        <v>4.9</v>
      </c>
      <c r="G4763" s="4" t="str">
        <f>HYPERLINK("http://141.218.60.56/~jnz1568/getInfo.php?workbook=10_05.xlsx&amp;sheet=U0&amp;row=4763&amp;col=7&amp;number=0.0124&amp;sourceID=14","0.0124")</f>
        <v>0.0124</v>
      </c>
    </row>
    <row r="4764" spans="1:7">
      <c r="A4764" s="3">
        <v>10</v>
      </c>
      <c r="B4764" s="3">
        <v>5</v>
      </c>
      <c r="C4764" s="3">
        <v>2</v>
      </c>
      <c r="D4764" s="3">
        <v>62</v>
      </c>
      <c r="E4764" s="3">
        <v>1</v>
      </c>
      <c r="F4764" s="4" t="str">
        <f>HYPERLINK("http://141.218.60.56/~jnz1568/getInfo.php?workbook=10_05.xlsx&amp;sheet=U0&amp;row=4764&amp;col=6&amp;number=3&amp;sourceID=14","3")</f>
        <v>3</v>
      </c>
      <c r="G4764" s="4" t="str">
        <f>HYPERLINK("http://141.218.60.56/~jnz1568/getInfo.php?workbook=10_05.xlsx&amp;sheet=U0&amp;row=4764&amp;col=7&amp;number=0.0425&amp;sourceID=14","0.0425")</f>
        <v>0.0425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HYPERLINK("http://141.218.60.56/~jnz1568/getInfo.php?workbook=10_05.xlsx&amp;sheet=U0&amp;row=4765&amp;col=6&amp;number=3.1&amp;sourceID=14","3.1")</f>
        <v>3.1</v>
      </c>
      <c r="G4765" s="4" t="str">
        <f>HYPERLINK("http://141.218.60.56/~jnz1568/getInfo.php?workbook=10_05.xlsx&amp;sheet=U0&amp;row=4765&amp;col=7&amp;number=0.0425&amp;sourceID=14","0.0425")</f>
        <v>0.0425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HYPERLINK("http://141.218.60.56/~jnz1568/getInfo.php?workbook=10_05.xlsx&amp;sheet=U0&amp;row=4766&amp;col=6&amp;number=3.2&amp;sourceID=14","3.2")</f>
        <v>3.2</v>
      </c>
      <c r="G4766" s="4" t="str">
        <f>HYPERLINK("http://141.218.60.56/~jnz1568/getInfo.php?workbook=10_05.xlsx&amp;sheet=U0&amp;row=4766&amp;col=7&amp;number=0.0424&amp;sourceID=14","0.0424")</f>
        <v>0.0424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HYPERLINK("http://141.218.60.56/~jnz1568/getInfo.php?workbook=10_05.xlsx&amp;sheet=U0&amp;row=4767&amp;col=6&amp;number=3.3&amp;sourceID=14","3.3")</f>
        <v>3.3</v>
      </c>
      <c r="G4767" s="4" t="str">
        <f>HYPERLINK("http://141.218.60.56/~jnz1568/getInfo.php?workbook=10_05.xlsx&amp;sheet=U0&amp;row=4767&amp;col=7&amp;number=0.0423&amp;sourceID=14","0.0423")</f>
        <v>0.0423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HYPERLINK("http://141.218.60.56/~jnz1568/getInfo.php?workbook=10_05.xlsx&amp;sheet=U0&amp;row=4768&amp;col=6&amp;number=3.4&amp;sourceID=14","3.4")</f>
        <v>3.4</v>
      </c>
      <c r="G4768" s="4" t="str">
        <f>HYPERLINK("http://141.218.60.56/~jnz1568/getInfo.php?workbook=10_05.xlsx&amp;sheet=U0&amp;row=4768&amp;col=7&amp;number=0.0422&amp;sourceID=14","0.0422")</f>
        <v>0.0422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HYPERLINK("http://141.218.60.56/~jnz1568/getInfo.php?workbook=10_05.xlsx&amp;sheet=U0&amp;row=4769&amp;col=6&amp;number=3.5&amp;sourceID=14","3.5")</f>
        <v>3.5</v>
      </c>
      <c r="G4769" s="4" t="str">
        <f>HYPERLINK("http://141.218.60.56/~jnz1568/getInfo.php?workbook=10_05.xlsx&amp;sheet=U0&amp;row=4769&amp;col=7&amp;number=0.0421&amp;sourceID=14","0.0421")</f>
        <v>0.0421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HYPERLINK("http://141.218.60.56/~jnz1568/getInfo.php?workbook=10_05.xlsx&amp;sheet=U0&amp;row=4770&amp;col=6&amp;number=3.6&amp;sourceID=14","3.6")</f>
        <v>3.6</v>
      </c>
      <c r="G4770" s="4" t="str">
        <f>HYPERLINK("http://141.218.60.56/~jnz1568/getInfo.php?workbook=10_05.xlsx&amp;sheet=U0&amp;row=4770&amp;col=7&amp;number=0.0419&amp;sourceID=14","0.0419")</f>
        <v>0.0419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HYPERLINK("http://141.218.60.56/~jnz1568/getInfo.php?workbook=10_05.xlsx&amp;sheet=U0&amp;row=4771&amp;col=6&amp;number=3.7&amp;sourceID=14","3.7")</f>
        <v>3.7</v>
      </c>
      <c r="G4771" s="4" t="str">
        <f>HYPERLINK("http://141.218.60.56/~jnz1568/getInfo.php?workbook=10_05.xlsx&amp;sheet=U0&amp;row=4771&amp;col=7&amp;number=0.0417&amp;sourceID=14","0.0417")</f>
        <v>0.0417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HYPERLINK("http://141.218.60.56/~jnz1568/getInfo.php?workbook=10_05.xlsx&amp;sheet=U0&amp;row=4772&amp;col=6&amp;number=3.8&amp;sourceID=14","3.8")</f>
        <v>3.8</v>
      </c>
      <c r="G4772" s="4" t="str">
        <f>HYPERLINK("http://141.218.60.56/~jnz1568/getInfo.php?workbook=10_05.xlsx&amp;sheet=U0&amp;row=4772&amp;col=7&amp;number=0.0414&amp;sourceID=14","0.0414")</f>
        <v>0.0414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HYPERLINK("http://141.218.60.56/~jnz1568/getInfo.php?workbook=10_05.xlsx&amp;sheet=U0&amp;row=4773&amp;col=6&amp;number=3.9&amp;sourceID=14","3.9")</f>
        <v>3.9</v>
      </c>
      <c r="G4773" s="4" t="str">
        <f>HYPERLINK("http://141.218.60.56/~jnz1568/getInfo.php?workbook=10_05.xlsx&amp;sheet=U0&amp;row=4773&amp;col=7&amp;number=0.0411&amp;sourceID=14","0.0411")</f>
        <v>0.0411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HYPERLINK("http://141.218.60.56/~jnz1568/getInfo.php?workbook=10_05.xlsx&amp;sheet=U0&amp;row=4774&amp;col=6&amp;number=4&amp;sourceID=14","4")</f>
        <v>4</v>
      </c>
      <c r="G4774" s="4" t="str">
        <f>HYPERLINK("http://141.218.60.56/~jnz1568/getInfo.php?workbook=10_05.xlsx&amp;sheet=U0&amp;row=4774&amp;col=7&amp;number=0.0407&amp;sourceID=14","0.0407")</f>
        <v>0.0407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HYPERLINK("http://141.218.60.56/~jnz1568/getInfo.php?workbook=10_05.xlsx&amp;sheet=U0&amp;row=4775&amp;col=6&amp;number=4.1&amp;sourceID=14","4.1")</f>
        <v>4.1</v>
      </c>
      <c r="G4775" s="4" t="str">
        <f>HYPERLINK("http://141.218.60.56/~jnz1568/getInfo.php?workbook=10_05.xlsx&amp;sheet=U0&amp;row=4775&amp;col=7&amp;number=0.0402&amp;sourceID=14","0.0402")</f>
        <v>0.0402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HYPERLINK("http://141.218.60.56/~jnz1568/getInfo.php?workbook=10_05.xlsx&amp;sheet=U0&amp;row=4776&amp;col=6&amp;number=4.2&amp;sourceID=14","4.2")</f>
        <v>4.2</v>
      </c>
      <c r="G4776" s="4" t="str">
        <f>HYPERLINK("http://141.218.60.56/~jnz1568/getInfo.php?workbook=10_05.xlsx&amp;sheet=U0&amp;row=4776&amp;col=7&amp;number=0.0396&amp;sourceID=14","0.0396")</f>
        <v>0.0396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HYPERLINK("http://141.218.60.56/~jnz1568/getInfo.php?workbook=10_05.xlsx&amp;sheet=U0&amp;row=4777&amp;col=6&amp;number=4.3&amp;sourceID=14","4.3")</f>
        <v>4.3</v>
      </c>
      <c r="G4777" s="4" t="str">
        <f>HYPERLINK("http://141.218.60.56/~jnz1568/getInfo.php?workbook=10_05.xlsx&amp;sheet=U0&amp;row=4777&amp;col=7&amp;number=0.0388&amp;sourceID=14","0.0388")</f>
        <v>0.0388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HYPERLINK("http://141.218.60.56/~jnz1568/getInfo.php?workbook=10_05.xlsx&amp;sheet=U0&amp;row=4778&amp;col=6&amp;number=4.4&amp;sourceID=14","4.4")</f>
        <v>4.4</v>
      </c>
      <c r="G4778" s="4" t="str">
        <f>HYPERLINK("http://141.218.60.56/~jnz1568/getInfo.php?workbook=10_05.xlsx&amp;sheet=U0&amp;row=4778&amp;col=7&amp;number=0.0378&amp;sourceID=14","0.0378")</f>
        <v>0.0378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HYPERLINK("http://141.218.60.56/~jnz1568/getInfo.php?workbook=10_05.xlsx&amp;sheet=U0&amp;row=4779&amp;col=6&amp;number=4.5&amp;sourceID=14","4.5")</f>
        <v>4.5</v>
      </c>
      <c r="G4779" s="4" t="str">
        <f>HYPERLINK("http://141.218.60.56/~jnz1568/getInfo.php?workbook=10_05.xlsx&amp;sheet=U0&amp;row=4779&amp;col=7&amp;number=0.0367&amp;sourceID=14","0.0367")</f>
        <v>0.0367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HYPERLINK("http://141.218.60.56/~jnz1568/getInfo.php?workbook=10_05.xlsx&amp;sheet=U0&amp;row=4780&amp;col=6&amp;number=4.6&amp;sourceID=14","4.6")</f>
        <v>4.6</v>
      </c>
      <c r="G4780" s="4" t="str">
        <f>HYPERLINK("http://141.218.60.56/~jnz1568/getInfo.php?workbook=10_05.xlsx&amp;sheet=U0&amp;row=4780&amp;col=7&amp;number=0.0353&amp;sourceID=14","0.0353")</f>
        <v>0.0353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HYPERLINK("http://141.218.60.56/~jnz1568/getInfo.php?workbook=10_05.xlsx&amp;sheet=U0&amp;row=4781&amp;col=6&amp;number=4.7&amp;sourceID=14","4.7")</f>
        <v>4.7</v>
      </c>
      <c r="G4781" s="4" t="str">
        <f>HYPERLINK("http://141.218.60.56/~jnz1568/getInfo.php?workbook=10_05.xlsx&amp;sheet=U0&amp;row=4781&amp;col=7&amp;number=0.0336&amp;sourceID=14","0.0336")</f>
        <v>0.0336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HYPERLINK("http://141.218.60.56/~jnz1568/getInfo.php?workbook=10_05.xlsx&amp;sheet=U0&amp;row=4782&amp;col=6&amp;number=4.8&amp;sourceID=14","4.8")</f>
        <v>4.8</v>
      </c>
      <c r="G4782" s="4" t="str">
        <f>HYPERLINK("http://141.218.60.56/~jnz1568/getInfo.php?workbook=10_05.xlsx&amp;sheet=U0&amp;row=4782&amp;col=7&amp;number=0.0316&amp;sourceID=14","0.0316")</f>
        <v>0.0316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HYPERLINK("http://141.218.60.56/~jnz1568/getInfo.php?workbook=10_05.xlsx&amp;sheet=U0&amp;row=4783&amp;col=6&amp;number=4.9&amp;sourceID=14","4.9")</f>
        <v>4.9</v>
      </c>
      <c r="G4783" s="4" t="str">
        <f>HYPERLINK("http://141.218.60.56/~jnz1568/getInfo.php?workbook=10_05.xlsx&amp;sheet=U0&amp;row=4783&amp;col=7&amp;number=0.0294&amp;sourceID=14","0.0294")</f>
        <v>0.0294</v>
      </c>
    </row>
    <row r="4784" spans="1:7">
      <c r="A4784" s="3">
        <v>10</v>
      </c>
      <c r="B4784" s="3">
        <v>5</v>
      </c>
      <c r="C4784" s="3">
        <v>2</v>
      </c>
      <c r="D4784" s="3">
        <v>63</v>
      </c>
      <c r="E4784" s="3">
        <v>1</v>
      </c>
      <c r="F4784" s="4" t="str">
        <f>HYPERLINK("http://141.218.60.56/~jnz1568/getInfo.php?workbook=10_05.xlsx&amp;sheet=U0&amp;row=4784&amp;col=6&amp;number=3&amp;sourceID=14","3")</f>
        <v>3</v>
      </c>
      <c r="G4784" s="4" t="str">
        <f>HYPERLINK("http://141.218.60.56/~jnz1568/getInfo.php?workbook=10_05.xlsx&amp;sheet=U0&amp;row=4784&amp;col=7&amp;number=0.0387&amp;sourceID=14","0.0387")</f>
        <v>0.0387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HYPERLINK("http://141.218.60.56/~jnz1568/getInfo.php?workbook=10_05.xlsx&amp;sheet=U0&amp;row=4785&amp;col=6&amp;number=3.1&amp;sourceID=14","3.1")</f>
        <v>3.1</v>
      </c>
      <c r="G4785" s="4" t="str">
        <f>HYPERLINK("http://141.218.60.56/~jnz1568/getInfo.php?workbook=10_05.xlsx&amp;sheet=U0&amp;row=4785&amp;col=7&amp;number=0.0386&amp;sourceID=14","0.0386")</f>
        <v>0.0386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HYPERLINK("http://141.218.60.56/~jnz1568/getInfo.php?workbook=10_05.xlsx&amp;sheet=U0&amp;row=4786&amp;col=6&amp;number=3.2&amp;sourceID=14","3.2")</f>
        <v>3.2</v>
      </c>
      <c r="G4786" s="4" t="str">
        <f>HYPERLINK("http://141.218.60.56/~jnz1568/getInfo.php?workbook=10_05.xlsx&amp;sheet=U0&amp;row=4786&amp;col=7&amp;number=0.0384&amp;sourceID=14","0.0384")</f>
        <v>0.0384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HYPERLINK("http://141.218.60.56/~jnz1568/getInfo.php?workbook=10_05.xlsx&amp;sheet=U0&amp;row=4787&amp;col=6&amp;number=3.3&amp;sourceID=14","3.3")</f>
        <v>3.3</v>
      </c>
      <c r="G4787" s="4" t="str">
        <f>HYPERLINK("http://141.218.60.56/~jnz1568/getInfo.php?workbook=10_05.xlsx&amp;sheet=U0&amp;row=4787&amp;col=7&amp;number=0.0382&amp;sourceID=14","0.0382")</f>
        <v>0.0382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HYPERLINK("http://141.218.60.56/~jnz1568/getInfo.php?workbook=10_05.xlsx&amp;sheet=U0&amp;row=4788&amp;col=6&amp;number=3.4&amp;sourceID=14","3.4")</f>
        <v>3.4</v>
      </c>
      <c r="G4788" s="4" t="str">
        <f>HYPERLINK("http://141.218.60.56/~jnz1568/getInfo.php?workbook=10_05.xlsx&amp;sheet=U0&amp;row=4788&amp;col=7&amp;number=0.038&amp;sourceID=14","0.038")</f>
        <v>0.038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HYPERLINK("http://141.218.60.56/~jnz1568/getInfo.php?workbook=10_05.xlsx&amp;sheet=U0&amp;row=4789&amp;col=6&amp;number=3.5&amp;sourceID=14","3.5")</f>
        <v>3.5</v>
      </c>
      <c r="G4789" s="4" t="str">
        <f>HYPERLINK("http://141.218.60.56/~jnz1568/getInfo.php?workbook=10_05.xlsx&amp;sheet=U0&amp;row=4789&amp;col=7&amp;number=0.0377&amp;sourceID=14","0.0377")</f>
        <v>0.0377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HYPERLINK("http://141.218.60.56/~jnz1568/getInfo.php?workbook=10_05.xlsx&amp;sheet=U0&amp;row=4790&amp;col=6&amp;number=3.6&amp;sourceID=14","3.6")</f>
        <v>3.6</v>
      </c>
      <c r="G4790" s="4" t="str">
        <f>HYPERLINK("http://141.218.60.56/~jnz1568/getInfo.php?workbook=10_05.xlsx&amp;sheet=U0&amp;row=4790&amp;col=7&amp;number=0.0374&amp;sourceID=14","0.0374")</f>
        <v>0.0374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HYPERLINK("http://141.218.60.56/~jnz1568/getInfo.php?workbook=10_05.xlsx&amp;sheet=U0&amp;row=4791&amp;col=6&amp;number=3.7&amp;sourceID=14","3.7")</f>
        <v>3.7</v>
      </c>
      <c r="G4791" s="4" t="str">
        <f>HYPERLINK("http://141.218.60.56/~jnz1568/getInfo.php?workbook=10_05.xlsx&amp;sheet=U0&amp;row=4791&amp;col=7&amp;number=0.037&amp;sourceID=14","0.037")</f>
        <v>0.037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HYPERLINK("http://141.218.60.56/~jnz1568/getInfo.php?workbook=10_05.xlsx&amp;sheet=U0&amp;row=4792&amp;col=6&amp;number=3.8&amp;sourceID=14","3.8")</f>
        <v>3.8</v>
      </c>
      <c r="G4792" s="4" t="str">
        <f>HYPERLINK("http://141.218.60.56/~jnz1568/getInfo.php?workbook=10_05.xlsx&amp;sheet=U0&amp;row=4792&amp;col=7&amp;number=0.0364&amp;sourceID=14","0.0364")</f>
        <v>0.0364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HYPERLINK("http://141.218.60.56/~jnz1568/getInfo.php?workbook=10_05.xlsx&amp;sheet=U0&amp;row=4793&amp;col=6&amp;number=3.9&amp;sourceID=14","3.9")</f>
        <v>3.9</v>
      </c>
      <c r="G4793" s="4" t="str">
        <f>HYPERLINK("http://141.218.60.56/~jnz1568/getInfo.php?workbook=10_05.xlsx&amp;sheet=U0&amp;row=4793&amp;col=7&amp;number=0.0357&amp;sourceID=14","0.0357")</f>
        <v>0.0357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HYPERLINK("http://141.218.60.56/~jnz1568/getInfo.php?workbook=10_05.xlsx&amp;sheet=U0&amp;row=4794&amp;col=6&amp;number=4&amp;sourceID=14","4")</f>
        <v>4</v>
      </c>
      <c r="G4794" s="4" t="str">
        <f>HYPERLINK("http://141.218.60.56/~jnz1568/getInfo.php?workbook=10_05.xlsx&amp;sheet=U0&amp;row=4794&amp;col=7&amp;number=0.0349&amp;sourceID=14","0.0349")</f>
        <v>0.0349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HYPERLINK("http://141.218.60.56/~jnz1568/getInfo.php?workbook=10_05.xlsx&amp;sheet=U0&amp;row=4795&amp;col=6&amp;number=4.1&amp;sourceID=14","4.1")</f>
        <v>4.1</v>
      </c>
      <c r="G4795" s="4" t="str">
        <f>HYPERLINK("http://141.218.60.56/~jnz1568/getInfo.php?workbook=10_05.xlsx&amp;sheet=U0&amp;row=4795&amp;col=7&amp;number=0.0339&amp;sourceID=14","0.0339")</f>
        <v>0.0339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HYPERLINK("http://141.218.60.56/~jnz1568/getInfo.php?workbook=10_05.xlsx&amp;sheet=U0&amp;row=4796&amp;col=6&amp;number=4.2&amp;sourceID=14","4.2")</f>
        <v>4.2</v>
      </c>
      <c r="G4796" s="4" t="str">
        <f>HYPERLINK("http://141.218.60.56/~jnz1568/getInfo.php?workbook=10_05.xlsx&amp;sheet=U0&amp;row=4796&amp;col=7&amp;number=0.0327&amp;sourceID=14","0.0327")</f>
        <v>0.0327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HYPERLINK("http://141.218.60.56/~jnz1568/getInfo.php?workbook=10_05.xlsx&amp;sheet=U0&amp;row=4797&amp;col=6&amp;number=4.3&amp;sourceID=14","4.3")</f>
        <v>4.3</v>
      </c>
      <c r="G4797" s="4" t="str">
        <f>HYPERLINK("http://141.218.60.56/~jnz1568/getInfo.php?workbook=10_05.xlsx&amp;sheet=U0&amp;row=4797&amp;col=7&amp;number=0.0313&amp;sourceID=14","0.0313")</f>
        <v>0.0313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HYPERLINK("http://141.218.60.56/~jnz1568/getInfo.php?workbook=10_05.xlsx&amp;sheet=U0&amp;row=4798&amp;col=6&amp;number=4.4&amp;sourceID=14","4.4")</f>
        <v>4.4</v>
      </c>
      <c r="G4798" s="4" t="str">
        <f>HYPERLINK("http://141.218.60.56/~jnz1568/getInfo.php?workbook=10_05.xlsx&amp;sheet=U0&amp;row=4798&amp;col=7&amp;number=0.0296&amp;sourceID=14","0.0296")</f>
        <v>0.0296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HYPERLINK("http://141.218.60.56/~jnz1568/getInfo.php?workbook=10_05.xlsx&amp;sheet=U0&amp;row=4799&amp;col=6&amp;number=4.5&amp;sourceID=14","4.5")</f>
        <v>4.5</v>
      </c>
      <c r="G4799" s="4" t="str">
        <f>HYPERLINK("http://141.218.60.56/~jnz1568/getInfo.php?workbook=10_05.xlsx&amp;sheet=U0&amp;row=4799&amp;col=7&amp;number=0.0277&amp;sourceID=14","0.0277")</f>
        <v>0.0277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HYPERLINK("http://141.218.60.56/~jnz1568/getInfo.php?workbook=10_05.xlsx&amp;sheet=U0&amp;row=4800&amp;col=6&amp;number=4.6&amp;sourceID=14","4.6")</f>
        <v>4.6</v>
      </c>
      <c r="G4800" s="4" t="str">
        <f>HYPERLINK("http://141.218.60.56/~jnz1568/getInfo.php?workbook=10_05.xlsx&amp;sheet=U0&amp;row=4800&amp;col=7&amp;number=0.0257&amp;sourceID=14","0.0257")</f>
        <v>0.0257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HYPERLINK("http://141.218.60.56/~jnz1568/getInfo.php?workbook=10_05.xlsx&amp;sheet=U0&amp;row=4801&amp;col=6&amp;number=4.7&amp;sourceID=14","4.7")</f>
        <v>4.7</v>
      </c>
      <c r="G4801" s="4" t="str">
        <f>HYPERLINK("http://141.218.60.56/~jnz1568/getInfo.php?workbook=10_05.xlsx&amp;sheet=U0&amp;row=4801&amp;col=7&amp;number=0.0237&amp;sourceID=14","0.0237")</f>
        <v>0.0237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HYPERLINK("http://141.218.60.56/~jnz1568/getInfo.php?workbook=10_05.xlsx&amp;sheet=U0&amp;row=4802&amp;col=6&amp;number=4.8&amp;sourceID=14","4.8")</f>
        <v>4.8</v>
      </c>
      <c r="G4802" s="4" t="str">
        <f>HYPERLINK("http://141.218.60.56/~jnz1568/getInfo.php?workbook=10_05.xlsx&amp;sheet=U0&amp;row=4802&amp;col=7&amp;number=0.0217&amp;sourceID=14","0.0217")</f>
        <v>0.0217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HYPERLINK("http://141.218.60.56/~jnz1568/getInfo.php?workbook=10_05.xlsx&amp;sheet=U0&amp;row=4803&amp;col=6&amp;number=4.9&amp;sourceID=14","4.9")</f>
        <v>4.9</v>
      </c>
      <c r="G4803" s="4" t="str">
        <f>HYPERLINK("http://141.218.60.56/~jnz1568/getInfo.php?workbook=10_05.xlsx&amp;sheet=U0&amp;row=4803&amp;col=7&amp;number=0.0197&amp;sourceID=14","0.0197")</f>
        <v>0.0197</v>
      </c>
    </row>
    <row r="4804" spans="1:7">
      <c r="A4804" s="3">
        <v>10</v>
      </c>
      <c r="B4804" s="3">
        <v>5</v>
      </c>
      <c r="C4804" s="3">
        <v>2</v>
      </c>
      <c r="D4804" s="3">
        <v>64</v>
      </c>
      <c r="E4804" s="3">
        <v>1</v>
      </c>
      <c r="F4804" s="4" t="str">
        <f>HYPERLINK("http://141.218.60.56/~jnz1568/getInfo.php?workbook=10_05.xlsx&amp;sheet=U0&amp;row=4804&amp;col=6&amp;number=3&amp;sourceID=14","3")</f>
        <v>3</v>
      </c>
      <c r="G4804" s="4" t="str">
        <f>HYPERLINK("http://141.218.60.56/~jnz1568/getInfo.php?workbook=10_05.xlsx&amp;sheet=U0&amp;row=4804&amp;col=7&amp;number=0.066&amp;sourceID=14","0.066")</f>
        <v>0.066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HYPERLINK("http://141.218.60.56/~jnz1568/getInfo.php?workbook=10_05.xlsx&amp;sheet=U0&amp;row=4805&amp;col=6&amp;number=3.1&amp;sourceID=14","3.1")</f>
        <v>3.1</v>
      </c>
      <c r="G4805" s="4" t="str">
        <f>HYPERLINK("http://141.218.60.56/~jnz1568/getInfo.php?workbook=10_05.xlsx&amp;sheet=U0&amp;row=4805&amp;col=7&amp;number=0.0657&amp;sourceID=14","0.0657")</f>
        <v>0.0657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HYPERLINK("http://141.218.60.56/~jnz1568/getInfo.php?workbook=10_05.xlsx&amp;sheet=U0&amp;row=4806&amp;col=6&amp;number=3.2&amp;sourceID=14","3.2")</f>
        <v>3.2</v>
      </c>
      <c r="G4806" s="4" t="str">
        <f>HYPERLINK("http://141.218.60.56/~jnz1568/getInfo.php?workbook=10_05.xlsx&amp;sheet=U0&amp;row=4806&amp;col=7&amp;number=0.0653&amp;sourceID=14","0.0653")</f>
        <v>0.0653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HYPERLINK("http://141.218.60.56/~jnz1568/getInfo.php?workbook=10_05.xlsx&amp;sheet=U0&amp;row=4807&amp;col=6&amp;number=3.3&amp;sourceID=14","3.3")</f>
        <v>3.3</v>
      </c>
      <c r="G4807" s="4" t="str">
        <f>HYPERLINK("http://141.218.60.56/~jnz1568/getInfo.php?workbook=10_05.xlsx&amp;sheet=U0&amp;row=4807&amp;col=7&amp;number=0.0649&amp;sourceID=14","0.0649")</f>
        <v>0.0649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HYPERLINK("http://141.218.60.56/~jnz1568/getInfo.php?workbook=10_05.xlsx&amp;sheet=U0&amp;row=4808&amp;col=6&amp;number=3.4&amp;sourceID=14","3.4")</f>
        <v>3.4</v>
      </c>
      <c r="G4808" s="4" t="str">
        <f>HYPERLINK("http://141.218.60.56/~jnz1568/getInfo.php?workbook=10_05.xlsx&amp;sheet=U0&amp;row=4808&amp;col=7&amp;number=0.0643&amp;sourceID=14","0.0643")</f>
        <v>0.0643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HYPERLINK("http://141.218.60.56/~jnz1568/getInfo.php?workbook=10_05.xlsx&amp;sheet=U0&amp;row=4809&amp;col=6&amp;number=3.5&amp;sourceID=14","3.5")</f>
        <v>3.5</v>
      </c>
      <c r="G4809" s="4" t="str">
        <f>HYPERLINK("http://141.218.60.56/~jnz1568/getInfo.php?workbook=10_05.xlsx&amp;sheet=U0&amp;row=4809&amp;col=7&amp;number=0.0636&amp;sourceID=14","0.0636")</f>
        <v>0.0636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HYPERLINK("http://141.218.60.56/~jnz1568/getInfo.php?workbook=10_05.xlsx&amp;sheet=U0&amp;row=4810&amp;col=6&amp;number=3.6&amp;sourceID=14","3.6")</f>
        <v>3.6</v>
      </c>
      <c r="G4810" s="4" t="str">
        <f>HYPERLINK("http://141.218.60.56/~jnz1568/getInfo.php?workbook=10_05.xlsx&amp;sheet=U0&amp;row=4810&amp;col=7&amp;number=0.0627&amp;sourceID=14","0.0627")</f>
        <v>0.0627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HYPERLINK("http://141.218.60.56/~jnz1568/getInfo.php?workbook=10_05.xlsx&amp;sheet=U0&amp;row=4811&amp;col=6&amp;number=3.7&amp;sourceID=14","3.7")</f>
        <v>3.7</v>
      </c>
      <c r="G4811" s="4" t="str">
        <f>HYPERLINK("http://141.218.60.56/~jnz1568/getInfo.php?workbook=10_05.xlsx&amp;sheet=U0&amp;row=4811&amp;col=7&amp;number=0.0616&amp;sourceID=14","0.0616")</f>
        <v>0.0616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HYPERLINK("http://141.218.60.56/~jnz1568/getInfo.php?workbook=10_05.xlsx&amp;sheet=U0&amp;row=4812&amp;col=6&amp;number=3.8&amp;sourceID=14","3.8")</f>
        <v>3.8</v>
      </c>
      <c r="G4812" s="4" t="str">
        <f>HYPERLINK("http://141.218.60.56/~jnz1568/getInfo.php?workbook=10_05.xlsx&amp;sheet=U0&amp;row=4812&amp;col=7&amp;number=0.0603&amp;sourceID=14","0.0603")</f>
        <v>0.0603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HYPERLINK("http://141.218.60.56/~jnz1568/getInfo.php?workbook=10_05.xlsx&amp;sheet=U0&amp;row=4813&amp;col=6&amp;number=3.9&amp;sourceID=14","3.9")</f>
        <v>3.9</v>
      </c>
      <c r="G4813" s="4" t="str">
        <f>HYPERLINK("http://141.218.60.56/~jnz1568/getInfo.php?workbook=10_05.xlsx&amp;sheet=U0&amp;row=4813&amp;col=7&amp;number=0.0586&amp;sourceID=14","0.0586")</f>
        <v>0.0586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HYPERLINK("http://141.218.60.56/~jnz1568/getInfo.php?workbook=10_05.xlsx&amp;sheet=U0&amp;row=4814&amp;col=6&amp;number=4&amp;sourceID=14","4")</f>
        <v>4</v>
      </c>
      <c r="G4814" s="4" t="str">
        <f>HYPERLINK("http://141.218.60.56/~jnz1568/getInfo.php?workbook=10_05.xlsx&amp;sheet=U0&amp;row=4814&amp;col=7&amp;number=0.0567&amp;sourceID=14","0.0567")</f>
        <v>0.0567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HYPERLINK("http://141.218.60.56/~jnz1568/getInfo.php?workbook=10_05.xlsx&amp;sheet=U0&amp;row=4815&amp;col=6&amp;number=4.1&amp;sourceID=14","4.1")</f>
        <v>4.1</v>
      </c>
      <c r="G4815" s="4" t="str">
        <f>HYPERLINK("http://141.218.60.56/~jnz1568/getInfo.php?workbook=10_05.xlsx&amp;sheet=U0&amp;row=4815&amp;col=7&amp;number=0.0544&amp;sourceID=14","0.0544")</f>
        <v>0.0544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HYPERLINK("http://141.218.60.56/~jnz1568/getInfo.php?workbook=10_05.xlsx&amp;sheet=U0&amp;row=4816&amp;col=6&amp;number=4.2&amp;sourceID=14","4.2")</f>
        <v>4.2</v>
      </c>
      <c r="G4816" s="4" t="str">
        <f>HYPERLINK("http://141.218.60.56/~jnz1568/getInfo.php?workbook=10_05.xlsx&amp;sheet=U0&amp;row=4816&amp;col=7&amp;number=0.0518&amp;sourceID=14","0.0518")</f>
        <v>0.0518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HYPERLINK("http://141.218.60.56/~jnz1568/getInfo.php?workbook=10_05.xlsx&amp;sheet=U0&amp;row=4817&amp;col=6&amp;number=4.3&amp;sourceID=14","4.3")</f>
        <v>4.3</v>
      </c>
      <c r="G4817" s="4" t="str">
        <f>HYPERLINK("http://141.218.60.56/~jnz1568/getInfo.php?workbook=10_05.xlsx&amp;sheet=U0&amp;row=4817&amp;col=7&amp;number=0.0489&amp;sourceID=14","0.0489")</f>
        <v>0.0489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HYPERLINK("http://141.218.60.56/~jnz1568/getInfo.php?workbook=10_05.xlsx&amp;sheet=U0&amp;row=4818&amp;col=6&amp;number=4.4&amp;sourceID=14","4.4")</f>
        <v>4.4</v>
      </c>
      <c r="G4818" s="4" t="str">
        <f>HYPERLINK("http://141.218.60.56/~jnz1568/getInfo.php?workbook=10_05.xlsx&amp;sheet=U0&amp;row=4818&amp;col=7&amp;number=0.046&amp;sourceID=14","0.046")</f>
        <v>0.046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HYPERLINK("http://141.218.60.56/~jnz1568/getInfo.php?workbook=10_05.xlsx&amp;sheet=U0&amp;row=4819&amp;col=6&amp;number=4.5&amp;sourceID=14","4.5")</f>
        <v>4.5</v>
      </c>
      <c r="G4819" s="4" t="str">
        <f>HYPERLINK("http://141.218.60.56/~jnz1568/getInfo.php?workbook=10_05.xlsx&amp;sheet=U0&amp;row=4819&amp;col=7&amp;number=0.0432&amp;sourceID=14","0.0432")</f>
        <v>0.0432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HYPERLINK("http://141.218.60.56/~jnz1568/getInfo.php?workbook=10_05.xlsx&amp;sheet=U0&amp;row=4820&amp;col=6&amp;number=4.6&amp;sourceID=14","4.6")</f>
        <v>4.6</v>
      </c>
      <c r="G4820" s="4" t="str">
        <f>HYPERLINK("http://141.218.60.56/~jnz1568/getInfo.php?workbook=10_05.xlsx&amp;sheet=U0&amp;row=4820&amp;col=7&amp;number=0.0406&amp;sourceID=14","0.0406")</f>
        <v>0.0406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HYPERLINK("http://141.218.60.56/~jnz1568/getInfo.php?workbook=10_05.xlsx&amp;sheet=U0&amp;row=4821&amp;col=6&amp;number=4.7&amp;sourceID=14","4.7")</f>
        <v>4.7</v>
      </c>
      <c r="G4821" s="4" t="str">
        <f>HYPERLINK("http://141.218.60.56/~jnz1568/getInfo.php?workbook=10_05.xlsx&amp;sheet=U0&amp;row=4821&amp;col=7&amp;number=0.0382&amp;sourceID=14","0.0382")</f>
        <v>0.0382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HYPERLINK("http://141.218.60.56/~jnz1568/getInfo.php?workbook=10_05.xlsx&amp;sheet=U0&amp;row=4822&amp;col=6&amp;number=4.8&amp;sourceID=14","4.8")</f>
        <v>4.8</v>
      </c>
      <c r="G4822" s="4" t="str">
        <f>HYPERLINK("http://141.218.60.56/~jnz1568/getInfo.php?workbook=10_05.xlsx&amp;sheet=U0&amp;row=4822&amp;col=7&amp;number=0.0359&amp;sourceID=14","0.0359")</f>
        <v>0.0359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HYPERLINK("http://141.218.60.56/~jnz1568/getInfo.php?workbook=10_05.xlsx&amp;sheet=U0&amp;row=4823&amp;col=6&amp;number=4.9&amp;sourceID=14","4.9")</f>
        <v>4.9</v>
      </c>
      <c r="G4823" s="4" t="str">
        <f>HYPERLINK("http://141.218.60.56/~jnz1568/getInfo.php?workbook=10_05.xlsx&amp;sheet=U0&amp;row=4823&amp;col=7&amp;number=0.0337&amp;sourceID=14","0.0337")</f>
        <v>0.0337</v>
      </c>
    </row>
    <row r="4824" spans="1:7">
      <c r="A4824" s="3">
        <v>10</v>
      </c>
      <c r="B4824" s="3">
        <v>5</v>
      </c>
      <c r="C4824" s="3">
        <v>2</v>
      </c>
      <c r="D4824" s="3">
        <v>65</v>
      </c>
      <c r="E4824" s="3">
        <v>1</v>
      </c>
      <c r="F4824" s="4" t="str">
        <f>HYPERLINK("http://141.218.60.56/~jnz1568/getInfo.php?workbook=10_05.xlsx&amp;sheet=U0&amp;row=4824&amp;col=6&amp;number=3&amp;sourceID=14","3")</f>
        <v>3</v>
      </c>
      <c r="G4824" s="4" t="str">
        <f>HYPERLINK("http://141.218.60.56/~jnz1568/getInfo.php?workbook=10_05.xlsx&amp;sheet=U0&amp;row=4824&amp;col=7&amp;number=0.184&amp;sourceID=14","0.184")</f>
        <v>0.184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HYPERLINK("http://141.218.60.56/~jnz1568/getInfo.php?workbook=10_05.xlsx&amp;sheet=U0&amp;row=4825&amp;col=6&amp;number=3.1&amp;sourceID=14","3.1")</f>
        <v>3.1</v>
      </c>
      <c r="G4825" s="4" t="str">
        <f>HYPERLINK("http://141.218.60.56/~jnz1568/getInfo.php?workbook=10_05.xlsx&amp;sheet=U0&amp;row=4825&amp;col=7&amp;number=0.183&amp;sourceID=14","0.183")</f>
        <v>0.183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HYPERLINK("http://141.218.60.56/~jnz1568/getInfo.php?workbook=10_05.xlsx&amp;sheet=U0&amp;row=4826&amp;col=6&amp;number=3.2&amp;sourceID=14","3.2")</f>
        <v>3.2</v>
      </c>
      <c r="G4826" s="4" t="str">
        <f>HYPERLINK("http://141.218.60.56/~jnz1568/getInfo.php?workbook=10_05.xlsx&amp;sheet=U0&amp;row=4826&amp;col=7&amp;number=0.182&amp;sourceID=14","0.182")</f>
        <v>0.182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HYPERLINK("http://141.218.60.56/~jnz1568/getInfo.php?workbook=10_05.xlsx&amp;sheet=U0&amp;row=4827&amp;col=6&amp;number=3.3&amp;sourceID=14","3.3")</f>
        <v>3.3</v>
      </c>
      <c r="G4827" s="4" t="str">
        <f>HYPERLINK("http://141.218.60.56/~jnz1568/getInfo.php?workbook=10_05.xlsx&amp;sheet=U0&amp;row=4827&amp;col=7&amp;number=0.181&amp;sourceID=14","0.181")</f>
        <v>0.181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HYPERLINK("http://141.218.60.56/~jnz1568/getInfo.php?workbook=10_05.xlsx&amp;sheet=U0&amp;row=4828&amp;col=6&amp;number=3.4&amp;sourceID=14","3.4")</f>
        <v>3.4</v>
      </c>
      <c r="G4828" s="4" t="str">
        <f>HYPERLINK("http://141.218.60.56/~jnz1568/getInfo.php?workbook=10_05.xlsx&amp;sheet=U0&amp;row=4828&amp;col=7&amp;number=0.18&amp;sourceID=14","0.18")</f>
        <v>0.18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HYPERLINK("http://141.218.60.56/~jnz1568/getInfo.php?workbook=10_05.xlsx&amp;sheet=U0&amp;row=4829&amp;col=6&amp;number=3.5&amp;sourceID=14","3.5")</f>
        <v>3.5</v>
      </c>
      <c r="G4829" s="4" t="str">
        <f>HYPERLINK("http://141.218.60.56/~jnz1568/getInfo.php?workbook=10_05.xlsx&amp;sheet=U0&amp;row=4829&amp;col=7&amp;number=0.179&amp;sourceID=14","0.179")</f>
        <v>0.179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HYPERLINK("http://141.218.60.56/~jnz1568/getInfo.php?workbook=10_05.xlsx&amp;sheet=U0&amp;row=4830&amp;col=6&amp;number=3.6&amp;sourceID=14","3.6")</f>
        <v>3.6</v>
      </c>
      <c r="G4830" s="4" t="str">
        <f>HYPERLINK("http://141.218.60.56/~jnz1568/getInfo.php?workbook=10_05.xlsx&amp;sheet=U0&amp;row=4830&amp;col=7&amp;number=0.177&amp;sourceID=14","0.177")</f>
        <v>0.177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HYPERLINK("http://141.218.60.56/~jnz1568/getInfo.php?workbook=10_05.xlsx&amp;sheet=U0&amp;row=4831&amp;col=6&amp;number=3.7&amp;sourceID=14","3.7")</f>
        <v>3.7</v>
      </c>
      <c r="G4831" s="4" t="str">
        <f>HYPERLINK("http://141.218.60.56/~jnz1568/getInfo.php?workbook=10_05.xlsx&amp;sheet=U0&amp;row=4831&amp;col=7&amp;number=0.175&amp;sourceID=14","0.175")</f>
        <v>0.175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HYPERLINK("http://141.218.60.56/~jnz1568/getInfo.php?workbook=10_05.xlsx&amp;sheet=U0&amp;row=4832&amp;col=6&amp;number=3.8&amp;sourceID=14","3.8")</f>
        <v>3.8</v>
      </c>
      <c r="G4832" s="4" t="str">
        <f>HYPERLINK("http://141.218.60.56/~jnz1568/getInfo.php?workbook=10_05.xlsx&amp;sheet=U0&amp;row=4832&amp;col=7&amp;number=0.172&amp;sourceID=14","0.172")</f>
        <v>0.172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HYPERLINK("http://141.218.60.56/~jnz1568/getInfo.php?workbook=10_05.xlsx&amp;sheet=U0&amp;row=4833&amp;col=6&amp;number=3.9&amp;sourceID=14","3.9")</f>
        <v>3.9</v>
      </c>
      <c r="G4833" s="4" t="str">
        <f>HYPERLINK("http://141.218.60.56/~jnz1568/getInfo.php?workbook=10_05.xlsx&amp;sheet=U0&amp;row=4833&amp;col=7&amp;number=0.169&amp;sourceID=14","0.169")</f>
        <v>0.169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HYPERLINK("http://141.218.60.56/~jnz1568/getInfo.php?workbook=10_05.xlsx&amp;sheet=U0&amp;row=4834&amp;col=6&amp;number=4&amp;sourceID=14","4")</f>
        <v>4</v>
      </c>
      <c r="G4834" s="4" t="str">
        <f>HYPERLINK("http://141.218.60.56/~jnz1568/getInfo.php?workbook=10_05.xlsx&amp;sheet=U0&amp;row=4834&amp;col=7&amp;number=0.165&amp;sourceID=14","0.165")</f>
        <v>0.165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HYPERLINK("http://141.218.60.56/~jnz1568/getInfo.php?workbook=10_05.xlsx&amp;sheet=U0&amp;row=4835&amp;col=6&amp;number=4.1&amp;sourceID=14","4.1")</f>
        <v>4.1</v>
      </c>
      <c r="G4835" s="4" t="str">
        <f>HYPERLINK("http://141.218.60.56/~jnz1568/getInfo.php?workbook=10_05.xlsx&amp;sheet=U0&amp;row=4835&amp;col=7&amp;number=0.16&amp;sourceID=14","0.16")</f>
        <v>0.16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HYPERLINK("http://141.218.60.56/~jnz1568/getInfo.php?workbook=10_05.xlsx&amp;sheet=U0&amp;row=4836&amp;col=6&amp;number=4.2&amp;sourceID=14","4.2")</f>
        <v>4.2</v>
      </c>
      <c r="G4836" s="4" t="str">
        <f>HYPERLINK("http://141.218.60.56/~jnz1568/getInfo.php?workbook=10_05.xlsx&amp;sheet=U0&amp;row=4836&amp;col=7&amp;number=0.154&amp;sourceID=14","0.154")</f>
        <v>0.154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HYPERLINK("http://141.218.60.56/~jnz1568/getInfo.php?workbook=10_05.xlsx&amp;sheet=U0&amp;row=4837&amp;col=6&amp;number=4.3&amp;sourceID=14","4.3")</f>
        <v>4.3</v>
      </c>
      <c r="G4837" s="4" t="str">
        <f>HYPERLINK("http://141.218.60.56/~jnz1568/getInfo.php?workbook=10_05.xlsx&amp;sheet=U0&amp;row=4837&amp;col=7&amp;number=0.148&amp;sourceID=14","0.148")</f>
        <v>0.148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HYPERLINK("http://141.218.60.56/~jnz1568/getInfo.php?workbook=10_05.xlsx&amp;sheet=U0&amp;row=4838&amp;col=6&amp;number=4.4&amp;sourceID=14","4.4")</f>
        <v>4.4</v>
      </c>
      <c r="G4838" s="4" t="str">
        <f>HYPERLINK("http://141.218.60.56/~jnz1568/getInfo.php?workbook=10_05.xlsx&amp;sheet=U0&amp;row=4838&amp;col=7&amp;number=0.142&amp;sourceID=14","0.142")</f>
        <v>0.142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HYPERLINK("http://141.218.60.56/~jnz1568/getInfo.php?workbook=10_05.xlsx&amp;sheet=U0&amp;row=4839&amp;col=6&amp;number=4.5&amp;sourceID=14","4.5")</f>
        <v>4.5</v>
      </c>
      <c r="G4839" s="4" t="str">
        <f>HYPERLINK("http://141.218.60.56/~jnz1568/getInfo.php?workbook=10_05.xlsx&amp;sheet=U0&amp;row=4839&amp;col=7&amp;number=0.136&amp;sourceID=14","0.136")</f>
        <v>0.136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HYPERLINK("http://141.218.60.56/~jnz1568/getInfo.php?workbook=10_05.xlsx&amp;sheet=U0&amp;row=4840&amp;col=6&amp;number=4.6&amp;sourceID=14","4.6")</f>
        <v>4.6</v>
      </c>
      <c r="G4840" s="4" t="str">
        <f>HYPERLINK("http://141.218.60.56/~jnz1568/getInfo.php?workbook=10_05.xlsx&amp;sheet=U0&amp;row=4840&amp;col=7&amp;number=0.13&amp;sourceID=14","0.13")</f>
        <v>0.13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HYPERLINK("http://141.218.60.56/~jnz1568/getInfo.php?workbook=10_05.xlsx&amp;sheet=U0&amp;row=4841&amp;col=6&amp;number=4.7&amp;sourceID=14","4.7")</f>
        <v>4.7</v>
      </c>
      <c r="G4841" s="4" t="str">
        <f>HYPERLINK("http://141.218.60.56/~jnz1568/getInfo.php?workbook=10_05.xlsx&amp;sheet=U0&amp;row=4841&amp;col=7&amp;number=0.124&amp;sourceID=14","0.124")</f>
        <v>0.124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HYPERLINK("http://141.218.60.56/~jnz1568/getInfo.php?workbook=10_05.xlsx&amp;sheet=U0&amp;row=4842&amp;col=6&amp;number=4.8&amp;sourceID=14","4.8")</f>
        <v>4.8</v>
      </c>
      <c r="G4842" s="4" t="str">
        <f>HYPERLINK("http://141.218.60.56/~jnz1568/getInfo.php?workbook=10_05.xlsx&amp;sheet=U0&amp;row=4842&amp;col=7&amp;number=0.119&amp;sourceID=14","0.119")</f>
        <v>0.119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HYPERLINK("http://141.218.60.56/~jnz1568/getInfo.php?workbook=10_05.xlsx&amp;sheet=U0&amp;row=4843&amp;col=6&amp;number=4.9&amp;sourceID=14","4.9")</f>
        <v>4.9</v>
      </c>
      <c r="G4843" s="4" t="str">
        <f>HYPERLINK("http://141.218.60.56/~jnz1568/getInfo.php?workbook=10_05.xlsx&amp;sheet=U0&amp;row=4843&amp;col=7&amp;number=0.114&amp;sourceID=14","0.114")</f>
        <v>0.114</v>
      </c>
    </row>
    <row r="4844" spans="1:7">
      <c r="A4844" s="3">
        <v>10</v>
      </c>
      <c r="B4844" s="3">
        <v>5</v>
      </c>
      <c r="C4844" s="3">
        <v>2</v>
      </c>
      <c r="D4844" s="3">
        <v>66</v>
      </c>
      <c r="E4844" s="3">
        <v>1</v>
      </c>
      <c r="F4844" s="4" t="str">
        <f>HYPERLINK("http://141.218.60.56/~jnz1568/getInfo.php?workbook=10_05.xlsx&amp;sheet=U0&amp;row=4844&amp;col=6&amp;number=3&amp;sourceID=14","3")</f>
        <v>3</v>
      </c>
      <c r="G4844" s="4" t="str">
        <f>HYPERLINK("http://141.218.60.56/~jnz1568/getInfo.php?workbook=10_05.xlsx&amp;sheet=U0&amp;row=4844&amp;col=7&amp;number=0.0782&amp;sourceID=14","0.0782")</f>
        <v>0.0782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HYPERLINK("http://141.218.60.56/~jnz1568/getInfo.php?workbook=10_05.xlsx&amp;sheet=U0&amp;row=4845&amp;col=6&amp;number=3.1&amp;sourceID=14","3.1")</f>
        <v>3.1</v>
      </c>
      <c r="G4845" s="4" t="str">
        <f>HYPERLINK("http://141.218.60.56/~jnz1568/getInfo.php?workbook=10_05.xlsx&amp;sheet=U0&amp;row=4845&amp;col=7&amp;number=0.0779&amp;sourceID=14","0.0779")</f>
        <v>0.0779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HYPERLINK("http://141.218.60.56/~jnz1568/getInfo.php?workbook=10_05.xlsx&amp;sheet=U0&amp;row=4846&amp;col=6&amp;number=3.2&amp;sourceID=14","3.2")</f>
        <v>3.2</v>
      </c>
      <c r="G4846" s="4" t="str">
        <f>HYPERLINK("http://141.218.60.56/~jnz1568/getInfo.php?workbook=10_05.xlsx&amp;sheet=U0&amp;row=4846&amp;col=7&amp;number=0.0775&amp;sourceID=14","0.0775")</f>
        <v>0.0775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HYPERLINK("http://141.218.60.56/~jnz1568/getInfo.php?workbook=10_05.xlsx&amp;sheet=U0&amp;row=4847&amp;col=6&amp;number=3.3&amp;sourceID=14","3.3")</f>
        <v>3.3</v>
      </c>
      <c r="G4847" s="4" t="str">
        <f>HYPERLINK("http://141.218.60.56/~jnz1568/getInfo.php?workbook=10_05.xlsx&amp;sheet=U0&amp;row=4847&amp;col=7&amp;number=0.0771&amp;sourceID=14","0.0771")</f>
        <v>0.0771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HYPERLINK("http://141.218.60.56/~jnz1568/getInfo.php?workbook=10_05.xlsx&amp;sheet=U0&amp;row=4848&amp;col=6&amp;number=3.4&amp;sourceID=14","3.4")</f>
        <v>3.4</v>
      </c>
      <c r="G4848" s="4" t="str">
        <f>HYPERLINK("http://141.218.60.56/~jnz1568/getInfo.php?workbook=10_05.xlsx&amp;sheet=U0&amp;row=4848&amp;col=7&amp;number=0.0765&amp;sourceID=14","0.0765")</f>
        <v>0.0765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HYPERLINK("http://141.218.60.56/~jnz1568/getInfo.php?workbook=10_05.xlsx&amp;sheet=U0&amp;row=4849&amp;col=6&amp;number=3.5&amp;sourceID=14","3.5")</f>
        <v>3.5</v>
      </c>
      <c r="G4849" s="4" t="str">
        <f>HYPERLINK("http://141.218.60.56/~jnz1568/getInfo.php?workbook=10_05.xlsx&amp;sheet=U0&amp;row=4849&amp;col=7&amp;number=0.0758&amp;sourceID=14","0.0758")</f>
        <v>0.0758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HYPERLINK("http://141.218.60.56/~jnz1568/getInfo.php?workbook=10_05.xlsx&amp;sheet=U0&amp;row=4850&amp;col=6&amp;number=3.6&amp;sourceID=14","3.6")</f>
        <v>3.6</v>
      </c>
      <c r="G4850" s="4" t="str">
        <f>HYPERLINK("http://141.218.60.56/~jnz1568/getInfo.php?workbook=10_05.xlsx&amp;sheet=U0&amp;row=4850&amp;col=7&amp;number=0.0749&amp;sourceID=14","0.0749")</f>
        <v>0.0749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HYPERLINK("http://141.218.60.56/~jnz1568/getInfo.php?workbook=10_05.xlsx&amp;sheet=U0&amp;row=4851&amp;col=6&amp;number=3.7&amp;sourceID=14","3.7")</f>
        <v>3.7</v>
      </c>
      <c r="G4851" s="4" t="str">
        <f>HYPERLINK("http://141.218.60.56/~jnz1568/getInfo.php?workbook=10_05.xlsx&amp;sheet=U0&amp;row=4851&amp;col=7&amp;number=0.0739&amp;sourceID=14","0.0739")</f>
        <v>0.0739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HYPERLINK("http://141.218.60.56/~jnz1568/getInfo.php?workbook=10_05.xlsx&amp;sheet=U0&amp;row=4852&amp;col=6&amp;number=3.8&amp;sourceID=14","3.8")</f>
        <v>3.8</v>
      </c>
      <c r="G4852" s="4" t="str">
        <f>HYPERLINK("http://141.218.60.56/~jnz1568/getInfo.php?workbook=10_05.xlsx&amp;sheet=U0&amp;row=4852&amp;col=7&amp;number=0.0727&amp;sourceID=14","0.0727")</f>
        <v>0.0727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HYPERLINK("http://141.218.60.56/~jnz1568/getInfo.php?workbook=10_05.xlsx&amp;sheet=U0&amp;row=4853&amp;col=6&amp;number=3.9&amp;sourceID=14","3.9")</f>
        <v>3.9</v>
      </c>
      <c r="G4853" s="4" t="str">
        <f>HYPERLINK("http://141.218.60.56/~jnz1568/getInfo.php?workbook=10_05.xlsx&amp;sheet=U0&amp;row=4853&amp;col=7&amp;number=0.0713&amp;sourceID=14","0.0713")</f>
        <v>0.0713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HYPERLINK("http://141.218.60.56/~jnz1568/getInfo.php?workbook=10_05.xlsx&amp;sheet=U0&amp;row=4854&amp;col=6&amp;number=4&amp;sourceID=14","4")</f>
        <v>4</v>
      </c>
      <c r="G4854" s="4" t="str">
        <f>HYPERLINK("http://141.218.60.56/~jnz1568/getInfo.php?workbook=10_05.xlsx&amp;sheet=U0&amp;row=4854&amp;col=7&amp;number=0.0698&amp;sourceID=14","0.0698")</f>
        <v>0.0698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HYPERLINK("http://141.218.60.56/~jnz1568/getInfo.php?workbook=10_05.xlsx&amp;sheet=U0&amp;row=4855&amp;col=6&amp;number=4.1&amp;sourceID=14","4.1")</f>
        <v>4.1</v>
      </c>
      <c r="G4855" s="4" t="str">
        <f>HYPERLINK("http://141.218.60.56/~jnz1568/getInfo.php?workbook=10_05.xlsx&amp;sheet=U0&amp;row=4855&amp;col=7&amp;number=0.0683&amp;sourceID=14","0.0683")</f>
        <v>0.0683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HYPERLINK("http://141.218.60.56/~jnz1568/getInfo.php?workbook=10_05.xlsx&amp;sheet=U0&amp;row=4856&amp;col=6&amp;number=4.2&amp;sourceID=14","4.2")</f>
        <v>4.2</v>
      </c>
      <c r="G4856" s="4" t="str">
        <f>HYPERLINK("http://141.218.60.56/~jnz1568/getInfo.php?workbook=10_05.xlsx&amp;sheet=U0&amp;row=4856&amp;col=7&amp;number=0.0671&amp;sourceID=14","0.0671")</f>
        <v>0.0671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HYPERLINK("http://141.218.60.56/~jnz1568/getInfo.php?workbook=10_05.xlsx&amp;sheet=U0&amp;row=4857&amp;col=6&amp;number=4.3&amp;sourceID=14","4.3")</f>
        <v>4.3</v>
      </c>
      <c r="G4857" s="4" t="str">
        <f>HYPERLINK("http://141.218.60.56/~jnz1568/getInfo.php?workbook=10_05.xlsx&amp;sheet=U0&amp;row=4857&amp;col=7&amp;number=0.0663&amp;sourceID=14","0.0663")</f>
        <v>0.0663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HYPERLINK("http://141.218.60.56/~jnz1568/getInfo.php?workbook=10_05.xlsx&amp;sheet=U0&amp;row=4858&amp;col=6&amp;number=4.4&amp;sourceID=14","4.4")</f>
        <v>4.4</v>
      </c>
      <c r="G4858" s="4" t="str">
        <f>HYPERLINK("http://141.218.60.56/~jnz1568/getInfo.php?workbook=10_05.xlsx&amp;sheet=U0&amp;row=4858&amp;col=7&amp;number=0.0658&amp;sourceID=14","0.0658")</f>
        <v>0.0658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HYPERLINK("http://141.218.60.56/~jnz1568/getInfo.php?workbook=10_05.xlsx&amp;sheet=U0&amp;row=4859&amp;col=6&amp;number=4.5&amp;sourceID=14","4.5")</f>
        <v>4.5</v>
      </c>
      <c r="G4859" s="4" t="str">
        <f>HYPERLINK("http://141.218.60.56/~jnz1568/getInfo.php?workbook=10_05.xlsx&amp;sheet=U0&amp;row=4859&amp;col=7&amp;number=0.0653&amp;sourceID=14","0.0653")</f>
        <v>0.0653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HYPERLINK("http://141.218.60.56/~jnz1568/getInfo.php?workbook=10_05.xlsx&amp;sheet=U0&amp;row=4860&amp;col=6&amp;number=4.6&amp;sourceID=14","4.6")</f>
        <v>4.6</v>
      </c>
      <c r="G4860" s="4" t="str">
        <f>HYPERLINK("http://141.218.60.56/~jnz1568/getInfo.php?workbook=10_05.xlsx&amp;sheet=U0&amp;row=4860&amp;col=7&amp;number=0.0645&amp;sourceID=14","0.0645")</f>
        <v>0.0645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HYPERLINK("http://141.218.60.56/~jnz1568/getInfo.php?workbook=10_05.xlsx&amp;sheet=U0&amp;row=4861&amp;col=6&amp;number=4.7&amp;sourceID=14","4.7")</f>
        <v>4.7</v>
      </c>
      <c r="G4861" s="4" t="str">
        <f>HYPERLINK("http://141.218.60.56/~jnz1568/getInfo.php?workbook=10_05.xlsx&amp;sheet=U0&amp;row=4861&amp;col=7&amp;number=0.0634&amp;sourceID=14","0.0634")</f>
        <v>0.0634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HYPERLINK("http://141.218.60.56/~jnz1568/getInfo.php?workbook=10_05.xlsx&amp;sheet=U0&amp;row=4862&amp;col=6&amp;number=4.8&amp;sourceID=14","4.8")</f>
        <v>4.8</v>
      </c>
      <c r="G4862" s="4" t="str">
        <f>HYPERLINK("http://141.218.60.56/~jnz1568/getInfo.php?workbook=10_05.xlsx&amp;sheet=U0&amp;row=4862&amp;col=7&amp;number=0.0624&amp;sourceID=14","0.0624")</f>
        <v>0.0624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HYPERLINK("http://141.218.60.56/~jnz1568/getInfo.php?workbook=10_05.xlsx&amp;sheet=U0&amp;row=4863&amp;col=6&amp;number=4.9&amp;sourceID=14","4.9")</f>
        <v>4.9</v>
      </c>
      <c r="G4863" s="4" t="str">
        <f>HYPERLINK("http://141.218.60.56/~jnz1568/getInfo.php?workbook=10_05.xlsx&amp;sheet=U0&amp;row=4863&amp;col=7&amp;number=0.0615&amp;sourceID=14","0.0615")</f>
        <v>0.0615</v>
      </c>
    </row>
    <row r="4864" spans="1:7">
      <c r="A4864" s="3">
        <v>10</v>
      </c>
      <c r="B4864" s="3">
        <v>5</v>
      </c>
      <c r="C4864" s="3">
        <v>2</v>
      </c>
      <c r="D4864" s="3">
        <v>67</v>
      </c>
      <c r="E4864" s="3">
        <v>1</v>
      </c>
      <c r="F4864" s="4" t="str">
        <f>HYPERLINK("http://141.218.60.56/~jnz1568/getInfo.php?workbook=10_05.xlsx&amp;sheet=U0&amp;row=4864&amp;col=6&amp;number=3&amp;sourceID=14","3")</f>
        <v>3</v>
      </c>
      <c r="G4864" s="4" t="str">
        <f>HYPERLINK("http://141.218.60.56/~jnz1568/getInfo.php?workbook=10_05.xlsx&amp;sheet=U0&amp;row=4864&amp;col=7&amp;number=0.212&amp;sourceID=14","0.212")</f>
        <v>0.212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HYPERLINK("http://141.218.60.56/~jnz1568/getInfo.php?workbook=10_05.xlsx&amp;sheet=U0&amp;row=4865&amp;col=6&amp;number=3.1&amp;sourceID=14","3.1")</f>
        <v>3.1</v>
      </c>
      <c r="G4865" s="4" t="str">
        <f>HYPERLINK("http://141.218.60.56/~jnz1568/getInfo.php?workbook=10_05.xlsx&amp;sheet=U0&amp;row=4865&amp;col=7&amp;number=0.212&amp;sourceID=14","0.212")</f>
        <v>0.212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HYPERLINK("http://141.218.60.56/~jnz1568/getInfo.php?workbook=10_05.xlsx&amp;sheet=U0&amp;row=4866&amp;col=6&amp;number=3.2&amp;sourceID=14","3.2")</f>
        <v>3.2</v>
      </c>
      <c r="G4866" s="4" t="str">
        <f>HYPERLINK("http://141.218.60.56/~jnz1568/getInfo.php?workbook=10_05.xlsx&amp;sheet=U0&amp;row=4866&amp;col=7&amp;number=0.211&amp;sourceID=14","0.211")</f>
        <v>0.211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HYPERLINK("http://141.218.60.56/~jnz1568/getInfo.php?workbook=10_05.xlsx&amp;sheet=U0&amp;row=4867&amp;col=6&amp;number=3.3&amp;sourceID=14","3.3")</f>
        <v>3.3</v>
      </c>
      <c r="G4867" s="4" t="str">
        <f>HYPERLINK("http://141.218.60.56/~jnz1568/getInfo.php?workbook=10_05.xlsx&amp;sheet=U0&amp;row=4867&amp;col=7&amp;number=0.211&amp;sourceID=14","0.211")</f>
        <v>0.211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HYPERLINK("http://141.218.60.56/~jnz1568/getInfo.php?workbook=10_05.xlsx&amp;sheet=U0&amp;row=4868&amp;col=6&amp;number=3.4&amp;sourceID=14","3.4")</f>
        <v>3.4</v>
      </c>
      <c r="G4868" s="4" t="str">
        <f>HYPERLINK("http://141.218.60.56/~jnz1568/getInfo.php?workbook=10_05.xlsx&amp;sheet=U0&amp;row=4868&amp;col=7&amp;number=0.21&amp;sourceID=14","0.21")</f>
        <v>0.21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HYPERLINK("http://141.218.60.56/~jnz1568/getInfo.php?workbook=10_05.xlsx&amp;sheet=U0&amp;row=4869&amp;col=6&amp;number=3.5&amp;sourceID=14","3.5")</f>
        <v>3.5</v>
      </c>
      <c r="G4869" s="4" t="str">
        <f>HYPERLINK("http://141.218.60.56/~jnz1568/getInfo.php?workbook=10_05.xlsx&amp;sheet=U0&amp;row=4869&amp;col=7&amp;number=0.21&amp;sourceID=14","0.21")</f>
        <v>0.21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HYPERLINK("http://141.218.60.56/~jnz1568/getInfo.php?workbook=10_05.xlsx&amp;sheet=U0&amp;row=4870&amp;col=6&amp;number=3.6&amp;sourceID=14","3.6")</f>
        <v>3.6</v>
      </c>
      <c r="G4870" s="4" t="str">
        <f>HYPERLINK("http://141.218.60.56/~jnz1568/getInfo.php?workbook=10_05.xlsx&amp;sheet=U0&amp;row=4870&amp;col=7&amp;number=0.209&amp;sourceID=14","0.209")</f>
        <v>0.209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HYPERLINK("http://141.218.60.56/~jnz1568/getInfo.php?workbook=10_05.xlsx&amp;sheet=U0&amp;row=4871&amp;col=6&amp;number=3.7&amp;sourceID=14","3.7")</f>
        <v>3.7</v>
      </c>
      <c r="G4871" s="4" t="str">
        <f>HYPERLINK("http://141.218.60.56/~jnz1568/getInfo.php?workbook=10_05.xlsx&amp;sheet=U0&amp;row=4871&amp;col=7&amp;number=0.207&amp;sourceID=14","0.207")</f>
        <v>0.207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HYPERLINK("http://141.218.60.56/~jnz1568/getInfo.php?workbook=10_05.xlsx&amp;sheet=U0&amp;row=4872&amp;col=6&amp;number=3.8&amp;sourceID=14","3.8")</f>
        <v>3.8</v>
      </c>
      <c r="G4872" s="4" t="str">
        <f>HYPERLINK("http://141.218.60.56/~jnz1568/getInfo.php?workbook=10_05.xlsx&amp;sheet=U0&amp;row=4872&amp;col=7&amp;number=0.206&amp;sourceID=14","0.206")</f>
        <v>0.206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HYPERLINK("http://141.218.60.56/~jnz1568/getInfo.php?workbook=10_05.xlsx&amp;sheet=U0&amp;row=4873&amp;col=6&amp;number=3.9&amp;sourceID=14","3.9")</f>
        <v>3.9</v>
      </c>
      <c r="G4873" s="4" t="str">
        <f>HYPERLINK("http://141.218.60.56/~jnz1568/getInfo.php?workbook=10_05.xlsx&amp;sheet=U0&amp;row=4873&amp;col=7&amp;number=0.204&amp;sourceID=14","0.204")</f>
        <v>0.204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HYPERLINK("http://141.218.60.56/~jnz1568/getInfo.php?workbook=10_05.xlsx&amp;sheet=U0&amp;row=4874&amp;col=6&amp;number=4&amp;sourceID=14","4")</f>
        <v>4</v>
      </c>
      <c r="G4874" s="4" t="str">
        <f>HYPERLINK("http://141.218.60.56/~jnz1568/getInfo.php?workbook=10_05.xlsx&amp;sheet=U0&amp;row=4874&amp;col=7&amp;number=0.202&amp;sourceID=14","0.202")</f>
        <v>0.202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HYPERLINK("http://141.218.60.56/~jnz1568/getInfo.php?workbook=10_05.xlsx&amp;sheet=U0&amp;row=4875&amp;col=6&amp;number=4.1&amp;sourceID=14","4.1")</f>
        <v>4.1</v>
      </c>
      <c r="G4875" s="4" t="str">
        <f>HYPERLINK("http://141.218.60.56/~jnz1568/getInfo.php?workbook=10_05.xlsx&amp;sheet=U0&amp;row=4875&amp;col=7&amp;number=0.2&amp;sourceID=14","0.2")</f>
        <v>0.2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HYPERLINK("http://141.218.60.56/~jnz1568/getInfo.php?workbook=10_05.xlsx&amp;sheet=U0&amp;row=4876&amp;col=6&amp;number=4.2&amp;sourceID=14","4.2")</f>
        <v>4.2</v>
      </c>
      <c r="G4876" s="4" t="str">
        <f>HYPERLINK("http://141.218.60.56/~jnz1568/getInfo.php?workbook=10_05.xlsx&amp;sheet=U0&amp;row=4876&amp;col=7&amp;number=0.197&amp;sourceID=14","0.197")</f>
        <v>0.197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HYPERLINK("http://141.218.60.56/~jnz1568/getInfo.php?workbook=10_05.xlsx&amp;sheet=U0&amp;row=4877&amp;col=6&amp;number=4.3&amp;sourceID=14","4.3")</f>
        <v>4.3</v>
      </c>
      <c r="G4877" s="4" t="str">
        <f>HYPERLINK("http://141.218.60.56/~jnz1568/getInfo.php?workbook=10_05.xlsx&amp;sheet=U0&amp;row=4877&amp;col=7&amp;number=0.195&amp;sourceID=14","0.195")</f>
        <v>0.195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HYPERLINK("http://141.218.60.56/~jnz1568/getInfo.php?workbook=10_05.xlsx&amp;sheet=U0&amp;row=4878&amp;col=6&amp;number=4.4&amp;sourceID=14","4.4")</f>
        <v>4.4</v>
      </c>
      <c r="G4878" s="4" t="str">
        <f>HYPERLINK("http://141.218.60.56/~jnz1568/getInfo.php?workbook=10_05.xlsx&amp;sheet=U0&amp;row=4878&amp;col=7&amp;number=0.193&amp;sourceID=14","0.193")</f>
        <v>0.193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HYPERLINK("http://141.218.60.56/~jnz1568/getInfo.php?workbook=10_05.xlsx&amp;sheet=U0&amp;row=4879&amp;col=6&amp;number=4.5&amp;sourceID=14","4.5")</f>
        <v>4.5</v>
      </c>
      <c r="G4879" s="4" t="str">
        <f>HYPERLINK("http://141.218.60.56/~jnz1568/getInfo.php?workbook=10_05.xlsx&amp;sheet=U0&amp;row=4879&amp;col=7&amp;number=0.192&amp;sourceID=14","0.192")</f>
        <v>0.192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HYPERLINK("http://141.218.60.56/~jnz1568/getInfo.php?workbook=10_05.xlsx&amp;sheet=U0&amp;row=4880&amp;col=6&amp;number=4.6&amp;sourceID=14","4.6")</f>
        <v>4.6</v>
      </c>
      <c r="G4880" s="4" t="str">
        <f>HYPERLINK("http://141.218.60.56/~jnz1568/getInfo.php?workbook=10_05.xlsx&amp;sheet=U0&amp;row=4880&amp;col=7&amp;number=0.192&amp;sourceID=14","0.192")</f>
        <v>0.192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HYPERLINK("http://141.218.60.56/~jnz1568/getInfo.php?workbook=10_05.xlsx&amp;sheet=U0&amp;row=4881&amp;col=6&amp;number=4.7&amp;sourceID=14","4.7")</f>
        <v>4.7</v>
      </c>
      <c r="G4881" s="4" t="str">
        <f>HYPERLINK("http://141.218.60.56/~jnz1568/getInfo.php?workbook=10_05.xlsx&amp;sheet=U0&amp;row=4881&amp;col=7&amp;number=0.193&amp;sourceID=14","0.193")</f>
        <v>0.193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HYPERLINK("http://141.218.60.56/~jnz1568/getInfo.php?workbook=10_05.xlsx&amp;sheet=U0&amp;row=4882&amp;col=6&amp;number=4.8&amp;sourceID=14","4.8")</f>
        <v>4.8</v>
      </c>
      <c r="G4882" s="4" t="str">
        <f>HYPERLINK("http://141.218.60.56/~jnz1568/getInfo.php?workbook=10_05.xlsx&amp;sheet=U0&amp;row=4882&amp;col=7&amp;number=0.192&amp;sourceID=14","0.192")</f>
        <v>0.192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HYPERLINK("http://141.218.60.56/~jnz1568/getInfo.php?workbook=10_05.xlsx&amp;sheet=U0&amp;row=4883&amp;col=6&amp;number=4.9&amp;sourceID=14","4.9")</f>
        <v>4.9</v>
      </c>
      <c r="G4883" s="4" t="str">
        <f>HYPERLINK("http://141.218.60.56/~jnz1568/getInfo.php?workbook=10_05.xlsx&amp;sheet=U0&amp;row=4883&amp;col=7&amp;number=0.192&amp;sourceID=14","0.192")</f>
        <v>0.192</v>
      </c>
    </row>
    <row r="4884" spans="1:7">
      <c r="A4884" s="3">
        <v>10</v>
      </c>
      <c r="B4884" s="3">
        <v>5</v>
      </c>
      <c r="C4884" s="3">
        <v>2</v>
      </c>
      <c r="D4884" s="3">
        <v>68</v>
      </c>
      <c r="E4884" s="3">
        <v>1</v>
      </c>
      <c r="F4884" s="4" t="str">
        <f>HYPERLINK("http://141.218.60.56/~jnz1568/getInfo.php?workbook=10_05.xlsx&amp;sheet=U0&amp;row=4884&amp;col=6&amp;number=3&amp;sourceID=14","3")</f>
        <v>3</v>
      </c>
      <c r="G4884" s="4" t="str">
        <f>HYPERLINK("http://141.218.60.56/~jnz1568/getInfo.php?workbook=10_05.xlsx&amp;sheet=U0&amp;row=4884&amp;col=7&amp;number=0.0306&amp;sourceID=14","0.0306")</f>
        <v>0.0306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HYPERLINK("http://141.218.60.56/~jnz1568/getInfo.php?workbook=10_05.xlsx&amp;sheet=U0&amp;row=4885&amp;col=6&amp;number=3.1&amp;sourceID=14","3.1")</f>
        <v>3.1</v>
      </c>
      <c r="G4885" s="4" t="str">
        <f>HYPERLINK("http://141.218.60.56/~jnz1568/getInfo.php?workbook=10_05.xlsx&amp;sheet=U0&amp;row=4885&amp;col=7&amp;number=0.0308&amp;sourceID=14","0.0308")</f>
        <v>0.0308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HYPERLINK("http://141.218.60.56/~jnz1568/getInfo.php?workbook=10_05.xlsx&amp;sheet=U0&amp;row=4886&amp;col=6&amp;number=3.2&amp;sourceID=14","3.2")</f>
        <v>3.2</v>
      </c>
      <c r="G4886" s="4" t="str">
        <f>HYPERLINK("http://141.218.60.56/~jnz1568/getInfo.php?workbook=10_05.xlsx&amp;sheet=U0&amp;row=4886&amp;col=7&amp;number=0.0311&amp;sourceID=14","0.0311")</f>
        <v>0.0311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HYPERLINK("http://141.218.60.56/~jnz1568/getInfo.php?workbook=10_05.xlsx&amp;sheet=U0&amp;row=4887&amp;col=6&amp;number=3.3&amp;sourceID=14","3.3")</f>
        <v>3.3</v>
      </c>
      <c r="G4887" s="4" t="str">
        <f>HYPERLINK("http://141.218.60.56/~jnz1568/getInfo.php?workbook=10_05.xlsx&amp;sheet=U0&amp;row=4887&amp;col=7&amp;number=0.0314&amp;sourceID=14","0.0314")</f>
        <v>0.0314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HYPERLINK("http://141.218.60.56/~jnz1568/getInfo.php?workbook=10_05.xlsx&amp;sheet=U0&amp;row=4888&amp;col=6&amp;number=3.4&amp;sourceID=14","3.4")</f>
        <v>3.4</v>
      </c>
      <c r="G4888" s="4" t="str">
        <f>HYPERLINK("http://141.218.60.56/~jnz1568/getInfo.php?workbook=10_05.xlsx&amp;sheet=U0&amp;row=4888&amp;col=7&amp;number=0.0317&amp;sourceID=14","0.0317")</f>
        <v>0.0317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HYPERLINK("http://141.218.60.56/~jnz1568/getInfo.php?workbook=10_05.xlsx&amp;sheet=U0&amp;row=4889&amp;col=6&amp;number=3.5&amp;sourceID=14","3.5")</f>
        <v>3.5</v>
      </c>
      <c r="G4889" s="4" t="str">
        <f>HYPERLINK("http://141.218.60.56/~jnz1568/getInfo.php?workbook=10_05.xlsx&amp;sheet=U0&amp;row=4889&amp;col=7&amp;number=0.0322&amp;sourceID=14","0.0322")</f>
        <v>0.0322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HYPERLINK("http://141.218.60.56/~jnz1568/getInfo.php?workbook=10_05.xlsx&amp;sheet=U0&amp;row=4890&amp;col=6&amp;number=3.6&amp;sourceID=14","3.6")</f>
        <v>3.6</v>
      </c>
      <c r="G4890" s="4" t="str">
        <f>HYPERLINK("http://141.218.60.56/~jnz1568/getInfo.php?workbook=10_05.xlsx&amp;sheet=U0&amp;row=4890&amp;col=7&amp;number=0.0327&amp;sourceID=14","0.0327")</f>
        <v>0.0327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HYPERLINK("http://141.218.60.56/~jnz1568/getInfo.php?workbook=10_05.xlsx&amp;sheet=U0&amp;row=4891&amp;col=6&amp;number=3.7&amp;sourceID=14","3.7")</f>
        <v>3.7</v>
      </c>
      <c r="G4891" s="4" t="str">
        <f>HYPERLINK("http://141.218.60.56/~jnz1568/getInfo.php?workbook=10_05.xlsx&amp;sheet=U0&amp;row=4891&amp;col=7&amp;number=0.0334&amp;sourceID=14","0.0334")</f>
        <v>0.0334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HYPERLINK("http://141.218.60.56/~jnz1568/getInfo.php?workbook=10_05.xlsx&amp;sheet=U0&amp;row=4892&amp;col=6&amp;number=3.8&amp;sourceID=14","3.8")</f>
        <v>3.8</v>
      </c>
      <c r="G4892" s="4" t="str">
        <f>HYPERLINK("http://141.218.60.56/~jnz1568/getInfo.php?workbook=10_05.xlsx&amp;sheet=U0&amp;row=4892&amp;col=7&amp;number=0.0341&amp;sourceID=14","0.0341")</f>
        <v>0.0341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HYPERLINK("http://141.218.60.56/~jnz1568/getInfo.php?workbook=10_05.xlsx&amp;sheet=U0&amp;row=4893&amp;col=6&amp;number=3.9&amp;sourceID=14","3.9")</f>
        <v>3.9</v>
      </c>
      <c r="G4893" s="4" t="str">
        <f>HYPERLINK("http://141.218.60.56/~jnz1568/getInfo.php?workbook=10_05.xlsx&amp;sheet=U0&amp;row=4893&amp;col=7&amp;number=0.0349&amp;sourceID=14","0.0349")</f>
        <v>0.0349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HYPERLINK("http://141.218.60.56/~jnz1568/getInfo.php?workbook=10_05.xlsx&amp;sheet=U0&amp;row=4894&amp;col=6&amp;number=4&amp;sourceID=14","4")</f>
        <v>4</v>
      </c>
      <c r="G4894" s="4" t="str">
        <f>HYPERLINK("http://141.218.60.56/~jnz1568/getInfo.php?workbook=10_05.xlsx&amp;sheet=U0&amp;row=4894&amp;col=7&amp;number=0.0358&amp;sourceID=14","0.0358")</f>
        <v>0.0358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HYPERLINK("http://141.218.60.56/~jnz1568/getInfo.php?workbook=10_05.xlsx&amp;sheet=U0&amp;row=4895&amp;col=6&amp;number=4.1&amp;sourceID=14","4.1")</f>
        <v>4.1</v>
      </c>
      <c r="G4895" s="4" t="str">
        <f>HYPERLINK("http://141.218.60.56/~jnz1568/getInfo.php?workbook=10_05.xlsx&amp;sheet=U0&amp;row=4895&amp;col=7&amp;number=0.0365&amp;sourceID=14","0.0365")</f>
        <v>0.0365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HYPERLINK("http://141.218.60.56/~jnz1568/getInfo.php?workbook=10_05.xlsx&amp;sheet=U0&amp;row=4896&amp;col=6&amp;number=4.2&amp;sourceID=14","4.2")</f>
        <v>4.2</v>
      </c>
      <c r="G4896" s="4" t="str">
        <f>HYPERLINK("http://141.218.60.56/~jnz1568/getInfo.php?workbook=10_05.xlsx&amp;sheet=U0&amp;row=4896&amp;col=7&amp;number=0.0369&amp;sourceID=14","0.0369")</f>
        <v>0.0369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HYPERLINK("http://141.218.60.56/~jnz1568/getInfo.php?workbook=10_05.xlsx&amp;sheet=U0&amp;row=4897&amp;col=6&amp;number=4.3&amp;sourceID=14","4.3")</f>
        <v>4.3</v>
      </c>
      <c r="G4897" s="4" t="str">
        <f>HYPERLINK("http://141.218.60.56/~jnz1568/getInfo.php?workbook=10_05.xlsx&amp;sheet=U0&amp;row=4897&amp;col=7&amp;number=0.0369&amp;sourceID=14","0.0369")</f>
        <v>0.0369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HYPERLINK("http://141.218.60.56/~jnz1568/getInfo.php?workbook=10_05.xlsx&amp;sheet=U0&amp;row=4898&amp;col=6&amp;number=4.4&amp;sourceID=14","4.4")</f>
        <v>4.4</v>
      </c>
      <c r="G4898" s="4" t="str">
        <f>HYPERLINK("http://141.218.60.56/~jnz1568/getInfo.php?workbook=10_05.xlsx&amp;sheet=U0&amp;row=4898&amp;col=7&amp;number=0.0366&amp;sourceID=14","0.0366")</f>
        <v>0.0366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HYPERLINK("http://141.218.60.56/~jnz1568/getInfo.php?workbook=10_05.xlsx&amp;sheet=U0&amp;row=4899&amp;col=6&amp;number=4.5&amp;sourceID=14","4.5")</f>
        <v>4.5</v>
      </c>
      <c r="G4899" s="4" t="str">
        <f>HYPERLINK("http://141.218.60.56/~jnz1568/getInfo.php?workbook=10_05.xlsx&amp;sheet=U0&amp;row=4899&amp;col=7&amp;number=0.036&amp;sourceID=14","0.036")</f>
        <v>0.036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HYPERLINK("http://141.218.60.56/~jnz1568/getInfo.php?workbook=10_05.xlsx&amp;sheet=U0&amp;row=4900&amp;col=6&amp;number=4.6&amp;sourceID=14","4.6")</f>
        <v>4.6</v>
      </c>
      <c r="G4900" s="4" t="str">
        <f>HYPERLINK("http://141.218.60.56/~jnz1568/getInfo.php?workbook=10_05.xlsx&amp;sheet=U0&amp;row=4900&amp;col=7&amp;number=0.0354&amp;sourceID=14","0.0354")</f>
        <v>0.0354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HYPERLINK("http://141.218.60.56/~jnz1568/getInfo.php?workbook=10_05.xlsx&amp;sheet=U0&amp;row=4901&amp;col=6&amp;number=4.7&amp;sourceID=14","4.7")</f>
        <v>4.7</v>
      </c>
      <c r="G4901" s="4" t="str">
        <f>HYPERLINK("http://141.218.60.56/~jnz1568/getInfo.php?workbook=10_05.xlsx&amp;sheet=U0&amp;row=4901&amp;col=7&amp;number=0.0349&amp;sourceID=14","0.0349")</f>
        <v>0.0349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HYPERLINK("http://141.218.60.56/~jnz1568/getInfo.php?workbook=10_05.xlsx&amp;sheet=U0&amp;row=4902&amp;col=6&amp;number=4.8&amp;sourceID=14","4.8")</f>
        <v>4.8</v>
      </c>
      <c r="G4902" s="4" t="str">
        <f>HYPERLINK("http://141.218.60.56/~jnz1568/getInfo.php?workbook=10_05.xlsx&amp;sheet=U0&amp;row=4902&amp;col=7&amp;number=0.034&amp;sourceID=14","0.034")</f>
        <v>0.034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HYPERLINK("http://141.218.60.56/~jnz1568/getInfo.php?workbook=10_05.xlsx&amp;sheet=U0&amp;row=4903&amp;col=6&amp;number=4.9&amp;sourceID=14","4.9")</f>
        <v>4.9</v>
      </c>
      <c r="G4903" s="4" t="str">
        <f>HYPERLINK("http://141.218.60.56/~jnz1568/getInfo.php?workbook=10_05.xlsx&amp;sheet=U0&amp;row=4903&amp;col=7&amp;number=0.033&amp;sourceID=14","0.033")</f>
        <v>0.033</v>
      </c>
    </row>
    <row r="4904" spans="1:7">
      <c r="A4904" s="3">
        <v>10</v>
      </c>
      <c r="B4904" s="3">
        <v>5</v>
      </c>
      <c r="C4904" s="3">
        <v>2</v>
      </c>
      <c r="D4904" s="3">
        <v>69</v>
      </c>
      <c r="E4904" s="3">
        <v>1</v>
      </c>
      <c r="F4904" s="4" t="str">
        <f>HYPERLINK("http://141.218.60.56/~jnz1568/getInfo.php?workbook=10_05.xlsx&amp;sheet=U0&amp;row=4904&amp;col=6&amp;number=3&amp;sourceID=14","3")</f>
        <v>3</v>
      </c>
      <c r="G4904" s="4" t="str">
        <f>HYPERLINK("http://141.218.60.56/~jnz1568/getInfo.php?workbook=10_05.xlsx&amp;sheet=U0&amp;row=4904&amp;col=7&amp;number=0.0595&amp;sourceID=14","0.0595")</f>
        <v>0.0595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HYPERLINK("http://141.218.60.56/~jnz1568/getInfo.php?workbook=10_05.xlsx&amp;sheet=U0&amp;row=4905&amp;col=6&amp;number=3.1&amp;sourceID=14","3.1")</f>
        <v>3.1</v>
      </c>
      <c r="G4905" s="4" t="str">
        <f>HYPERLINK("http://141.218.60.56/~jnz1568/getInfo.php?workbook=10_05.xlsx&amp;sheet=U0&amp;row=4905&amp;col=7&amp;number=0.0597&amp;sourceID=14","0.0597")</f>
        <v>0.0597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HYPERLINK("http://141.218.60.56/~jnz1568/getInfo.php?workbook=10_05.xlsx&amp;sheet=U0&amp;row=4906&amp;col=6&amp;number=3.2&amp;sourceID=14","3.2")</f>
        <v>3.2</v>
      </c>
      <c r="G4906" s="4" t="str">
        <f>HYPERLINK("http://141.218.60.56/~jnz1568/getInfo.php?workbook=10_05.xlsx&amp;sheet=U0&amp;row=4906&amp;col=7&amp;number=0.06&amp;sourceID=14","0.06")</f>
        <v>0.06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HYPERLINK("http://141.218.60.56/~jnz1568/getInfo.php?workbook=10_05.xlsx&amp;sheet=U0&amp;row=4907&amp;col=6&amp;number=3.3&amp;sourceID=14","3.3")</f>
        <v>3.3</v>
      </c>
      <c r="G4907" s="4" t="str">
        <f>HYPERLINK("http://141.218.60.56/~jnz1568/getInfo.php?workbook=10_05.xlsx&amp;sheet=U0&amp;row=4907&amp;col=7&amp;number=0.0603&amp;sourceID=14","0.0603")</f>
        <v>0.0603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HYPERLINK("http://141.218.60.56/~jnz1568/getInfo.php?workbook=10_05.xlsx&amp;sheet=U0&amp;row=4908&amp;col=6&amp;number=3.4&amp;sourceID=14","3.4")</f>
        <v>3.4</v>
      </c>
      <c r="G4908" s="4" t="str">
        <f>HYPERLINK("http://141.218.60.56/~jnz1568/getInfo.php?workbook=10_05.xlsx&amp;sheet=U0&amp;row=4908&amp;col=7&amp;number=0.0607&amp;sourceID=14","0.0607")</f>
        <v>0.0607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HYPERLINK("http://141.218.60.56/~jnz1568/getInfo.php?workbook=10_05.xlsx&amp;sheet=U0&amp;row=4909&amp;col=6&amp;number=3.5&amp;sourceID=14","3.5")</f>
        <v>3.5</v>
      </c>
      <c r="G4909" s="4" t="str">
        <f>HYPERLINK("http://141.218.60.56/~jnz1568/getInfo.php?workbook=10_05.xlsx&amp;sheet=U0&amp;row=4909&amp;col=7&amp;number=0.0612&amp;sourceID=14","0.0612")</f>
        <v>0.0612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HYPERLINK("http://141.218.60.56/~jnz1568/getInfo.php?workbook=10_05.xlsx&amp;sheet=U0&amp;row=4910&amp;col=6&amp;number=3.6&amp;sourceID=14","3.6")</f>
        <v>3.6</v>
      </c>
      <c r="G4910" s="4" t="str">
        <f>HYPERLINK("http://141.218.60.56/~jnz1568/getInfo.php?workbook=10_05.xlsx&amp;sheet=U0&amp;row=4910&amp;col=7&amp;number=0.0618&amp;sourceID=14","0.0618")</f>
        <v>0.0618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HYPERLINK("http://141.218.60.56/~jnz1568/getInfo.php?workbook=10_05.xlsx&amp;sheet=U0&amp;row=4911&amp;col=6&amp;number=3.7&amp;sourceID=14","3.7")</f>
        <v>3.7</v>
      </c>
      <c r="G4911" s="4" t="str">
        <f>HYPERLINK("http://141.218.60.56/~jnz1568/getInfo.php?workbook=10_05.xlsx&amp;sheet=U0&amp;row=4911&amp;col=7&amp;number=0.0625&amp;sourceID=14","0.0625")</f>
        <v>0.0625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HYPERLINK("http://141.218.60.56/~jnz1568/getInfo.php?workbook=10_05.xlsx&amp;sheet=U0&amp;row=4912&amp;col=6&amp;number=3.8&amp;sourceID=14","3.8")</f>
        <v>3.8</v>
      </c>
      <c r="G4912" s="4" t="str">
        <f>HYPERLINK("http://141.218.60.56/~jnz1568/getInfo.php?workbook=10_05.xlsx&amp;sheet=U0&amp;row=4912&amp;col=7&amp;number=0.0634&amp;sourceID=14","0.0634")</f>
        <v>0.0634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HYPERLINK("http://141.218.60.56/~jnz1568/getInfo.php?workbook=10_05.xlsx&amp;sheet=U0&amp;row=4913&amp;col=6&amp;number=3.9&amp;sourceID=14","3.9")</f>
        <v>3.9</v>
      </c>
      <c r="G4913" s="4" t="str">
        <f>HYPERLINK("http://141.218.60.56/~jnz1568/getInfo.php?workbook=10_05.xlsx&amp;sheet=U0&amp;row=4913&amp;col=7&amp;number=0.0644&amp;sourceID=14","0.0644")</f>
        <v>0.0644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HYPERLINK("http://141.218.60.56/~jnz1568/getInfo.php?workbook=10_05.xlsx&amp;sheet=U0&amp;row=4914&amp;col=6&amp;number=4&amp;sourceID=14","4")</f>
        <v>4</v>
      </c>
      <c r="G4914" s="4" t="str">
        <f>HYPERLINK("http://141.218.60.56/~jnz1568/getInfo.php?workbook=10_05.xlsx&amp;sheet=U0&amp;row=4914&amp;col=7&amp;number=0.0656&amp;sourceID=14","0.0656")</f>
        <v>0.0656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HYPERLINK("http://141.218.60.56/~jnz1568/getInfo.php?workbook=10_05.xlsx&amp;sheet=U0&amp;row=4915&amp;col=6&amp;number=4.1&amp;sourceID=14","4.1")</f>
        <v>4.1</v>
      </c>
      <c r="G4915" s="4" t="str">
        <f>HYPERLINK("http://141.218.60.56/~jnz1568/getInfo.php?workbook=10_05.xlsx&amp;sheet=U0&amp;row=4915&amp;col=7&amp;number=0.0667&amp;sourceID=14","0.0667")</f>
        <v>0.0667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HYPERLINK("http://141.218.60.56/~jnz1568/getInfo.php?workbook=10_05.xlsx&amp;sheet=U0&amp;row=4916&amp;col=6&amp;number=4.2&amp;sourceID=14","4.2")</f>
        <v>4.2</v>
      </c>
      <c r="G4916" s="4" t="str">
        <f>HYPERLINK("http://141.218.60.56/~jnz1568/getInfo.php?workbook=10_05.xlsx&amp;sheet=U0&amp;row=4916&amp;col=7&amp;number=0.0678&amp;sourceID=14","0.0678")</f>
        <v>0.0678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HYPERLINK("http://141.218.60.56/~jnz1568/getInfo.php?workbook=10_05.xlsx&amp;sheet=U0&amp;row=4917&amp;col=6&amp;number=4.3&amp;sourceID=14","4.3")</f>
        <v>4.3</v>
      </c>
      <c r="G4917" s="4" t="str">
        <f>HYPERLINK("http://141.218.60.56/~jnz1568/getInfo.php?workbook=10_05.xlsx&amp;sheet=U0&amp;row=4917&amp;col=7&amp;number=0.0684&amp;sourceID=14","0.0684")</f>
        <v>0.0684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HYPERLINK("http://141.218.60.56/~jnz1568/getInfo.php?workbook=10_05.xlsx&amp;sheet=U0&amp;row=4918&amp;col=6&amp;number=4.4&amp;sourceID=14","4.4")</f>
        <v>4.4</v>
      </c>
      <c r="G4918" s="4" t="str">
        <f>HYPERLINK("http://141.218.60.56/~jnz1568/getInfo.php?workbook=10_05.xlsx&amp;sheet=U0&amp;row=4918&amp;col=7&amp;number=0.0684&amp;sourceID=14","0.0684")</f>
        <v>0.0684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HYPERLINK("http://141.218.60.56/~jnz1568/getInfo.php?workbook=10_05.xlsx&amp;sheet=U0&amp;row=4919&amp;col=6&amp;number=4.5&amp;sourceID=14","4.5")</f>
        <v>4.5</v>
      </c>
      <c r="G4919" s="4" t="str">
        <f>HYPERLINK("http://141.218.60.56/~jnz1568/getInfo.php?workbook=10_05.xlsx&amp;sheet=U0&amp;row=4919&amp;col=7&amp;number=0.0678&amp;sourceID=14","0.0678")</f>
        <v>0.0678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HYPERLINK("http://141.218.60.56/~jnz1568/getInfo.php?workbook=10_05.xlsx&amp;sheet=U0&amp;row=4920&amp;col=6&amp;number=4.6&amp;sourceID=14","4.6")</f>
        <v>4.6</v>
      </c>
      <c r="G4920" s="4" t="str">
        <f>HYPERLINK("http://141.218.60.56/~jnz1568/getInfo.php?workbook=10_05.xlsx&amp;sheet=U0&amp;row=4920&amp;col=7&amp;number=0.0669&amp;sourceID=14","0.0669")</f>
        <v>0.0669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HYPERLINK("http://141.218.60.56/~jnz1568/getInfo.php?workbook=10_05.xlsx&amp;sheet=U0&amp;row=4921&amp;col=6&amp;number=4.7&amp;sourceID=14","4.7")</f>
        <v>4.7</v>
      </c>
      <c r="G4921" s="4" t="str">
        <f>HYPERLINK("http://141.218.60.56/~jnz1568/getInfo.php?workbook=10_05.xlsx&amp;sheet=U0&amp;row=4921&amp;col=7&amp;number=0.0662&amp;sourceID=14","0.0662")</f>
        <v>0.0662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HYPERLINK("http://141.218.60.56/~jnz1568/getInfo.php?workbook=10_05.xlsx&amp;sheet=U0&amp;row=4922&amp;col=6&amp;number=4.8&amp;sourceID=14","4.8")</f>
        <v>4.8</v>
      </c>
      <c r="G4922" s="4" t="str">
        <f>HYPERLINK("http://141.218.60.56/~jnz1568/getInfo.php?workbook=10_05.xlsx&amp;sheet=U0&amp;row=4922&amp;col=7&amp;number=0.0657&amp;sourceID=14","0.0657")</f>
        <v>0.0657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HYPERLINK("http://141.218.60.56/~jnz1568/getInfo.php?workbook=10_05.xlsx&amp;sheet=U0&amp;row=4923&amp;col=6&amp;number=4.9&amp;sourceID=14","4.9")</f>
        <v>4.9</v>
      </c>
      <c r="G4923" s="4" t="str">
        <f>HYPERLINK("http://141.218.60.56/~jnz1568/getInfo.php?workbook=10_05.xlsx&amp;sheet=U0&amp;row=4923&amp;col=7&amp;number=0.0651&amp;sourceID=14","0.0651")</f>
        <v>0.0651</v>
      </c>
    </row>
    <row r="4924" spans="1:7">
      <c r="A4924" s="3">
        <v>10</v>
      </c>
      <c r="B4924" s="3">
        <v>5</v>
      </c>
      <c r="C4924" s="3">
        <v>2</v>
      </c>
      <c r="D4924" s="3">
        <v>70</v>
      </c>
      <c r="E4924" s="3">
        <v>1</v>
      </c>
      <c r="F4924" s="4" t="str">
        <f>HYPERLINK("http://141.218.60.56/~jnz1568/getInfo.php?workbook=10_05.xlsx&amp;sheet=U0&amp;row=4924&amp;col=6&amp;number=3&amp;sourceID=14","3")</f>
        <v>3</v>
      </c>
      <c r="G4924" s="4" t="str">
        <f>HYPERLINK("http://141.218.60.56/~jnz1568/getInfo.php?workbook=10_05.xlsx&amp;sheet=U0&amp;row=4924&amp;col=7&amp;number=0.0038&amp;sourceID=14","0.0038")</f>
        <v>0.0038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HYPERLINK("http://141.218.60.56/~jnz1568/getInfo.php?workbook=10_05.xlsx&amp;sheet=U0&amp;row=4925&amp;col=6&amp;number=3.1&amp;sourceID=14","3.1")</f>
        <v>3.1</v>
      </c>
      <c r="G4925" s="4" t="str">
        <f>HYPERLINK("http://141.218.60.56/~jnz1568/getInfo.php?workbook=10_05.xlsx&amp;sheet=U0&amp;row=4925&amp;col=7&amp;number=0.00378&amp;sourceID=14","0.00378")</f>
        <v>0.00378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HYPERLINK("http://141.218.60.56/~jnz1568/getInfo.php?workbook=10_05.xlsx&amp;sheet=U0&amp;row=4926&amp;col=6&amp;number=3.2&amp;sourceID=14","3.2")</f>
        <v>3.2</v>
      </c>
      <c r="G4926" s="4" t="str">
        <f>HYPERLINK("http://141.218.60.56/~jnz1568/getInfo.php?workbook=10_05.xlsx&amp;sheet=U0&amp;row=4926&amp;col=7&amp;number=0.00376&amp;sourceID=14","0.00376")</f>
        <v>0.00376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HYPERLINK("http://141.218.60.56/~jnz1568/getInfo.php?workbook=10_05.xlsx&amp;sheet=U0&amp;row=4927&amp;col=6&amp;number=3.3&amp;sourceID=14","3.3")</f>
        <v>3.3</v>
      </c>
      <c r="G4927" s="4" t="str">
        <f>HYPERLINK("http://141.218.60.56/~jnz1568/getInfo.php?workbook=10_05.xlsx&amp;sheet=U0&amp;row=4927&amp;col=7&amp;number=0.00374&amp;sourceID=14","0.00374")</f>
        <v>0.00374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HYPERLINK("http://141.218.60.56/~jnz1568/getInfo.php?workbook=10_05.xlsx&amp;sheet=U0&amp;row=4928&amp;col=6&amp;number=3.4&amp;sourceID=14","3.4")</f>
        <v>3.4</v>
      </c>
      <c r="G4928" s="4" t="str">
        <f>HYPERLINK("http://141.218.60.56/~jnz1568/getInfo.php?workbook=10_05.xlsx&amp;sheet=U0&amp;row=4928&amp;col=7&amp;number=0.00371&amp;sourceID=14","0.00371")</f>
        <v>0.00371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HYPERLINK("http://141.218.60.56/~jnz1568/getInfo.php?workbook=10_05.xlsx&amp;sheet=U0&amp;row=4929&amp;col=6&amp;number=3.5&amp;sourceID=14","3.5")</f>
        <v>3.5</v>
      </c>
      <c r="G4929" s="4" t="str">
        <f>HYPERLINK("http://141.218.60.56/~jnz1568/getInfo.php?workbook=10_05.xlsx&amp;sheet=U0&amp;row=4929&amp;col=7&amp;number=0.00367&amp;sourceID=14","0.00367")</f>
        <v>0.00367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HYPERLINK("http://141.218.60.56/~jnz1568/getInfo.php?workbook=10_05.xlsx&amp;sheet=U0&amp;row=4930&amp;col=6&amp;number=3.6&amp;sourceID=14","3.6")</f>
        <v>3.6</v>
      </c>
      <c r="G4930" s="4" t="str">
        <f>HYPERLINK("http://141.218.60.56/~jnz1568/getInfo.php?workbook=10_05.xlsx&amp;sheet=U0&amp;row=4930&amp;col=7&amp;number=0.00363&amp;sourceID=14","0.00363")</f>
        <v>0.00363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HYPERLINK("http://141.218.60.56/~jnz1568/getInfo.php?workbook=10_05.xlsx&amp;sheet=U0&amp;row=4931&amp;col=6&amp;number=3.7&amp;sourceID=14","3.7")</f>
        <v>3.7</v>
      </c>
      <c r="G4931" s="4" t="str">
        <f>HYPERLINK("http://141.218.60.56/~jnz1568/getInfo.php?workbook=10_05.xlsx&amp;sheet=U0&amp;row=4931&amp;col=7&amp;number=0.00359&amp;sourceID=14","0.00359")</f>
        <v>0.00359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HYPERLINK("http://141.218.60.56/~jnz1568/getInfo.php?workbook=10_05.xlsx&amp;sheet=U0&amp;row=4932&amp;col=6&amp;number=3.8&amp;sourceID=14","3.8")</f>
        <v>3.8</v>
      </c>
      <c r="G4932" s="4" t="str">
        <f>HYPERLINK("http://141.218.60.56/~jnz1568/getInfo.php?workbook=10_05.xlsx&amp;sheet=U0&amp;row=4932&amp;col=7&amp;number=0.00355&amp;sourceID=14","0.00355")</f>
        <v>0.00355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HYPERLINK("http://141.218.60.56/~jnz1568/getInfo.php?workbook=10_05.xlsx&amp;sheet=U0&amp;row=4933&amp;col=6&amp;number=3.9&amp;sourceID=14","3.9")</f>
        <v>3.9</v>
      </c>
      <c r="G4933" s="4" t="str">
        <f>HYPERLINK("http://141.218.60.56/~jnz1568/getInfo.php?workbook=10_05.xlsx&amp;sheet=U0&amp;row=4933&amp;col=7&amp;number=0.00352&amp;sourceID=14","0.00352")</f>
        <v>0.00352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HYPERLINK("http://141.218.60.56/~jnz1568/getInfo.php?workbook=10_05.xlsx&amp;sheet=U0&amp;row=4934&amp;col=6&amp;number=4&amp;sourceID=14","4")</f>
        <v>4</v>
      </c>
      <c r="G4934" s="4" t="str">
        <f>HYPERLINK("http://141.218.60.56/~jnz1568/getInfo.php?workbook=10_05.xlsx&amp;sheet=U0&amp;row=4934&amp;col=7&amp;number=0.00351&amp;sourceID=14","0.00351")</f>
        <v>0.00351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HYPERLINK("http://141.218.60.56/~jnz1568/getInfo.php?workbook=10_05.xlsx&amp;sheet=U0&amp;row=4935&amp;col=6&amp;number=4.1&amp;sourceID=14","4.1")</f>
        <v>4.1</v>
      </c>
      <c r="G4935" s="4" t="str">
        <f>HYPERLINK("http://141.218.60.56/~jnz1568/getInfo.php?workbook=10_05.xlsx&amp;sheet=U0&amp;row=4935&amp;col=7&amp;number=0.00353&amp;sourceID=14","0.00353")</f>
        <v>0.00353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HYPERLINK("http://141.218.60.56/~jnz1568/getInfo.php?workbook=10_05.xlsx&amp;sheet=U0&amp;row=4936&amp;col=6&amp;number=4.2&amp;sourceID=14","4.2")</f>
        <v>4.2</v>
      </c>
      <c r="G4936" s="4" t="str">
        <f>HYPERLINK("http://141.218.60.56/~jnz1568/getInfo.php?workbook=10_05.xlsx&amp;sheet=U0&amp;row=4936&amp;col=7&amp;number=0.00356&amp;sourceID=14","0.00356")</f>
        <v>0.00356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HYPERLINK("http://141.218.60.56/~jnz1568/getInfo.php?workbook=10_05.xlsx&amp;sheet=U0&amp;row=4937&amp;col=6&amp;number=4.3&amp;sourceID=14","4.3")</f>
        <v>4.3</v>
      </c>
      <c r="G4937" s="4" t="str">
        <f>HYPERLINK("http://141.218.60.56/~jnz1568/getInfo.php?workbook=10_05.xlsx&amp;sheet=U0&amp;row=4937&amp;col=7&amp;number=0.00357&amp;sourceID=14","0.00357")</f>
        <v>0.00357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HYPERLINK("http://141.218.60.56/~jnz1568/getInfo.php?workbook=10_05.xlsx&amp;sheet=U0&amp;row=4938&amp;col=6&amp;number=4.4&amp;sourceID=14","4.4")</f>
        <v>4.4</v>
      </c>
      <c r="G4938" s="4" t="str">
        <f>HYPERLINK("http://141.218.60.56/~jnz1568/getInfo.php?workbook=10_05.xlsx&amp;sheet=U0&amp;row=4938&amp;col=7&amp;number=0.0035&amp;sourceID=14","0.0035")</f>
        <v>0.0035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HYPERLINK("http://141.218.60.56/~jnz1568/getInfo.php?workbook=10_05.xlsx&amp;sheet=U0&amp;row=4939&amp;col=6&amp;number=4.5&amp;sourceID=14","4.5")</f>
        <v>4.5</v>
      </c>
      <c r="G4939" s="4" t="str">
        <f>HYPERLINK("http://141.218.60.56/~jnz1568/getInfo.php?workbook=10_05.xlsx&amp;sheet=U0&amp;row=4939&amp;col=7&amp;number=0.00335&amp;sourceID=14","0.00335")</f>
        <v>0.00335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HYPERLINK("http://141.218.60.56/~jnz1568/getInfo.php?workbook=10_05.xlsx&amp;sheet=U0&amp;row=4940&amp;col=6&amp;number=4.6&amp;sourceID=14","4.6")</f>
        <v>4.6</v>
      </c>
      <c r="G4940" s="4" t="str">
        <f>HYPERLINK("http://141.218.60.56/~jnz1568/getInfo.php?workbook=10_05.xlsx&amp;sheet=U0&amp;row=4940&amp;col=7&amp;number=0.00314&amp;sourceID=14","0.00314")</f>
        <v>0.00314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HYPERLINK("http://141.218.60.56/~jnz1568/getInfo.php?workbook=10_05.xlsx&amp;sheet=U0&amp;row=4941&amp;col=6&amp;number=4.7&amp;sourceID=14","4.7")</f>
        <v>4.7</v>
      </c>
      <c r="G4941" s="4" t="str">
        <f>HYPERLINK("http://141.218.60.56/~jnz1568/getInfo.php?workbook=10_05.xlsx&amp;sheet=U0&amp;row=4941&amp;col=7&amp;number=0.00289&amp;sourceID=14","0.00289")</f>
        <v>0.00289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HYPERLINK("http://141.218.60.56/~jnz1568/getInfo.php?workbook=10_05.xlsx&amp;sheet=U0&amp;row=4942&amp;col=6&amp;number=4.8&amp;sourceID=14","4.8")</f>
        <v>4.8</v>
      </c>
      <c r="G4942" s="4" t="str">
        <f>HYPERLINK("http://141.218.60.56/~jnz1568/getInfo.php?workbook=10_05.xlsx&amp;sheet=U0&amp;row=4942&amp;col=7&amp;number=0.00262&amp;sourceID=14","0.00262")</f>
        <v>0.00262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HYPERLINK("http://141.218.60.56/~jnz1568/getInfo.php?workbook=10_05.xlsx&amp;sheet=U0&amp;row=4943&amp;col=6&amp;number=4.9&amp;sourceID=14","4.9")</f>
        <v>4.9</v>
      </c>
      <c r="G4943" s="4" t="str">
        <f>HYPERLINK("http://141.218.60.56/~jnz1568/getInfo.php?workbook=10_05.xlsx&amp;sheet=U0&amp;row=4943&amp;col=7&amp;number=0.00233&amp;sourceID=14","0.00233")</f>
        <v>0.00233</v>
      </c>
    </row>
    <row r="4944" spans="1:7">
      <c r="A4944" s="3">
        <v>10</v>
      </c>
      <c r="B4944" s="3">
        <v>5</v>
      </c>
      <c r="C4944" s="3">
        <v>2</v>
      </c>
      <c r="D4944" s="3">
        <v>71</v>
      </c>
      <c r="E4944" s="3">
        <v>1</v>
      </c>
      <c r="F4944" s="4" t="str">
        <f>HYPERLINK("http://141.218.60.56/~jnz1568/getInfo.php?workbook=10_05.xlsx&amp;sheet=U0&amp;row=4944&amp;col=6&amp;number=3&amp;sourceID=14","3")</f>
        <v>3</v>
      </c>
      <c r="G4944" s="4" t="str">
        <f>HYPERLINK("http://141.218.60.56/~jnz1568/getInfo.php?workbook=10_05.xlsx&amp;sheet=U0&amp;row=4944&amp;col=7&amp;number=0.00933&amp;sourceID=14","0.00933")</f>
        <v>0.00933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HYPERLINK("http://141.218.60.56/~jnz1568/getInfo.php?workbook=10_05.xlsx&amp;sheet=U0&amp;row=4945&amp;col=6&amp;number=3.1&amp;sourceID=14","3.1")</f>
        <v>3.1</v>
      </c>
      <c r="G4945" s="4" t="str">
        <f>HYPERLINK("http://141.218.60.56/~jnz1568/getInfo.php?workbook=10_05.xlsx&amp;sheet=U0&amp;row=4945&amp;col=7&amp;number=0.00928&amp;sourceID=14","0.00928")</f>
        <v>0.00928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HYPERLINK("http://141.218.60.56/~jnz1568/getInfo.php?workbook=10_05.xlsx&amp;sheet=U0&amp;row=4946&amp;col=6&amp;number=3.2&amp;sourceID=14","3.2")</f>
        <v>3.2</v>
      </c>
      <c r="G4946" s="4" t="str">
        <f>HYPERLINK("http://141.218.60.56/~jnz1568/getInfo.php?workbook=10_05.xlsx&amp;sheet=U0&amp;row=4946&amp;col=7&amp;number=0.00921&amp;sourceID=14","0.00921")</f>
        <v>0.00921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HYPERLINK("http://141.218.60.56/~jnz1568/getInfo.php?workbook=10_05.xlsx&amp;sheet=U0&amp;row=4947&amp;col=6&amp;number=3.3&amp;sourceID=14","3.3")</f>
        <v>3.3</v>
      </c>
      <c r="G4947" s="4" t="str">
        <f>HYPERLINK("http://141.218.60.56/~jnz1568/getInfo.php?workbook=10_05.xlsx&amp;sheet=U0&amp;row=4947&amp;col=7&amp;number=0.00912&amp;sourceID=14","0.00912")</f>
        <v>0.00912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HYPERLINK("http://141.218.60.56/~jnz1568/getInfo.php?workbook=10_05.xlsx&amp;sheet=U0&amp;row=4948&amp;col=6&amp;number=3.4&amp;sourceID=14","3.4")</f>
        <v>3.4</v>
      </c>
      <c r="G4948" s="4" t="str">
        <f>HYPERLINK("http://141.218.60.56/~jnz1568/getInfo.php?workbook=10_05.xlsx&amp;sheet=U0&amp;row=4948&amp;col=7&amp;number=0.00902&amp;sourceID=14","0.00902")</f>
        <v>0.00902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HYPERLINK("http://141.218.60.56/~jnz1568/getInfo.php?workbook=10_05.xlsx&amp;sheet=U0&amp;row=4949&amp;col=6&amp;number=3.5&amp;sourceID=14","3.5")</f>
        <v>3.5</v>
      </c>
      <c r="G4949" s="4" t="str">
        <f>HYPERLINK("http://141.218.60.56/~jnz1568/getInfo.php?workbook=10_05.xlsx&amp;sheet=U0&amp;row=4949&amp;col=7&amp;number=0.0089&amp;sourceID=14","0.0089")</f>
        <v>0.0089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HYPERLINK("http://141.218.60.56/~jnz1568/getInfo.php?workbook=10_05.xlsx&amp;sheet=U0&amp;row=4950&amp;col=6&amp;number=3.6&amp;sourceID=14","3.6")</f>
        <v>3.6</v>
      </c>
      <c r="G4950" s="4" t="str">
        <f>HYPERLINK("http://141.218.60.56/~jnz1568/getInfo.php?workbook=10_05.xlsx&amp;sheet=U0&amp;row=4950&amp;col=7&amp;number=0.00876&amp;sourceID=14","0.00876")</f>
        <v>0.00876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HYPERLINK("http://141.218.60.56/~jnz1568/getInfo.php?workbook=10_05.xlsx&amp;sheet=U0&amp;row=4951&amp;col=6&amp;number=3.7&amp;sourceID=14","3.7")</f>
        <v>3.7</v>
      </c>
      <c r="G4951" s="4" t="str">
        <f>HYPERLINK("http://141.218.60.56/~jnz1568/getInfo.php?workbook=10_05.xlsx&amp;sheet=U0&amp;row=4951&amp;col=7&amp;number=0.00861&amp;sourceID=14","0.00861")</f>
        <v>0.00861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HYPERLINK("http://141.218.60.56/~jnz1568/getInfo.php?workbook=10_05.xlsx&amp;sheet=U0&amp;row=4952&amp;col=6&amp;number=3.8&amp;sourceID=14","3.8")</f>
        <v>3.8</v>
      </c>
      <c r="G4952" s="4" t="str">
        <f>HYPERLINK("http://141.218.60.56/~jnz1568/getInfo.php?workbook=10_05.xlsx&amp;sheet=U0&amp;row=4952&amp;col=7&amp;number=0.00845&amp;sourceID=14","0.00845")</f>
        <v>0.00845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HYPERLINK("http://141.218.60.56/~jnz1568/getInfo.php?workbook=10_05.xlsx&amp;sheet=U0&amp;row=4953&amp;col=6&amp;number=3.9&amp;sourceID=14","3.9")</f>
        <v>3.9</v>
      </c>
      <c r="G4953" s="4" t="str">
        <f>HYPERLINK("http://141.218.60.56/~jnz1568/getInfo.php?workbook=10_05.xlsx&amp;sheet=U0&amp;row=4953&amp;col=7&amp;number=0.00832&amp;sourceID=14","0.00832")</f>
        <v>0.00832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HYPERLINK("http://141.218.60.56/~jnz1568/getInfo.php?workbook=10_05.xlsx&amp;sheet=U0&amp;row=4954&amp;col=6&amp;number=4&amp;sourceID=14","4")</f>
        <v>4</v>
      </c>
      <c r="G4954" s="4" t="str">
        <f>HYPERLINK("http://141.218.60.56/~jnz1568/getInfo.php?workbook=10_05.xlsx&amp;sheet=U0&amp;row=4954&amp;col=7&amp;number=0.00826&amp;sourceID=14","0.00826")</f>
        <v>0.00826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HYPERLINK("http://141.218.60.56/~jnz1568/getInfo.php?workbook=10_05.xlsx&amp;sheet=U0&amp;row=4955&amp;col=6&amp;number=4.1&amp;sourceID=14","4.1")</f>
        <v>4.1</v>
      </c>
      <c r="G4955" s="4" t="str">
        <f>HYPERLINK("http://141.218.60.56/~jnz1568/getInfo.php?workbook=10_05.xlsx&amp;sheet=U0&amp;row=4955&amp;col=7&amp;number=0.00829&amp;sourceID=14","0.00829")</f>
        <v>0.00829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HYPERLINK("http://141.218.60.56/~jnz1568/getInfo.php?workbook=10_05.xlsx&amp;sheet=U0&amp;row=4956&amp;col=6&amp;number=4.2&amp;sourceID=14","4.2")</f>
        <v>4.2</v>
      </c>
      <c r="G4956" s="4" t="str">
        <f>HYPERLINK("http://141.218.60.56/~jnz1568/getInfo.php?workbook=10_05.xlsx&amp;sheet=U0&amp;row=4956&amp;col=7&amp;number=0.00837&amp;sourceID=14","0.00837")</f>
        <v>0.00837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HYPERLINK("http://141.218.60.56/~jnz1568/getInfo.php?workbook=10_05.xlsx&amp;sheet=U0&amp;row=4957&amp;col=6&amp;number=4.3&amp;sourceID=14","4.3")</f>
        <v>4.3</v>
      </c>
      <c r="G4957" s="4" t="str">
        <f>HYPERLINK("http://141.218.60.56/~jnz1568/getInfo.php?workbook=10_05.xlsx&amp;sheet=U0&amp;row=4957&amp;col=7&amp;number=0.00838&amp;sourceID=14","0.00838")</f>
        <v>0.00838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HYPERLINK("http://141.218.60.56/~jnz1568/getInfo.php?workbook=10_05.xlsx&amp;sheet=U0&amp;row=4958&amp;col=6&amp;number=4.4&amp;sourceID=14","4.4")</f>
        <v>4.4</v>
      </c>
      <c r="G4958" s="4" t="str">
        <f>HYPERLINK("http://141.218.60.56/~jnz1568/getInfo.php?workbook=10_05.xlsx&amp;sheet=U0&amp;row=4958&amp;col=7&amp;number=0.00817&amp;sourceID=14","0.00817")</f>
        <v>0.00817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HYPERLINK("http://141.218.60.56/~jnz1568/getInfo.php?workbook=10_05.xlsx&amp;sheet=U0&amp;row=4959&amp;col=6&amp;number=4.5&amp;sourceID=14","4.5")</f>
        <v>4.5</v>
      </c>
      <c r="G4959" s="4" t="str">
        <f>HYPERLINK("http://141.218.60.56/~jnz1568/getInfo.php?workbook=10_05.xlsx&amp;sheet=U0&amp;row=4959&amp;col=7&amp;number=0.00774&amp;sourceID=14","0.00774")</f>
        <v>0.00774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HYPERLINK("http://141.218.60.56/~jnz1568/getInfo.php?workbook=10_05.xlsx&amp;sheet=U0&amp;row=4960&amp;col=6&amp;number=4.6&amp;sourceID=14","4.6")</f>
        <v>4.6</v>
      </c>
      <c r="G4960" s="4" t="str">
        <f>HYPERLINK("http://141.218.60.56/~jnz1568/getInfo.php?workbook=10_05.xlsx&amp;sheet=U0&amp;row=4960&amp;col=7&amp;number=0.0072&amp;sourceID=14","0.0072")</f>
        <v>0.0072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HYPERLINK("http://141.218.60.56/~jnz1568/getInfo.php?workbook=10_05.xlsx&amp;sheet=U0&amp;row=4961&amp;col=6&amp;number=4.7&amp;sourceID=14","4.7")</f>
        <v>4.7</v>
      </c>
      <c r="G4961" s="4" t="str">
        <f>HYPERLINK("http://141.218.60.56/~jnz1568/getInfo.php?workbook=10_05.xlsx&amp;sheet=U0&amp;row=4961&amp;col=7&amp;number=0.00662&amp;sourceID=14","0.00662")</f>
        <v>0.00662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HYPERLINK("http://141.218.60.56/~jnz1568/getInfo.php?workbook=10_05.xlsx&amp;sheet=U0&amp;row=4962&amp;col=6&amp;number=4.8&amp;sourceID=14","4.8")</f>
        <v>4.8</v>
      </c>
      <c r="G4962" s="4" t="str">
        <f>HYPERLINK("http://141.218.60.56/~jnz1568/getInfo.php?workbook=10_05.xlsx&amp;sheet=U0&amp;row=4962&amp;col=7&amp;number=0.00598&amp;sourceID=14","0.00598")</f>
        <v>0.00598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HYPERLINK("http://141.218.60.56/~jnz1568/getInfo.php?workbook=10_05.xlsx&amp;sheet=U0&amp;row=4963&amp;col=6&amp;number=4.9&amp;sourceID=14","4.9")</f>
        <v>4.9</v>
      </c>
      <c r="G4963" s="4" t="str">
        <f>HYPERLINK("http://141.218.60.56/~jnz1568/getInfo.php?workbook=10_05.xlsx&amp;sheet=U0&amp;row=4963&amp;col=7&amp;number=0.0053&amp;sourceID=14","0.0053")</f>
        <v>0.0053</v>
      </c>
    </row>
    <row r="4964" spans="1:7">
      <c r="A4964" s="3">
        <v>10</v>
      </c>
      <c r="B4964" s="3">
        <v>5</v>
      </c>
      <c r="C4964" s="3">
        <v>2</v>
      </c>
      <c r="D4964" s="3">
        <v>72</v>
      </c>
      <c r="E4964" s="3">
        <v>1</v>
      </c>
      <c r="F4964" s="4" t="str">
        <f>HYPERLINK("http://141.218.60.56/~jnz1568/getInfo.php?workbook=10_05.xlsx&amp;sheet=U0&amp;row=4964&amp;col=6&amp;number=3&amp;sourceID=14","3")</f>
        <v>3</v>
      </c>
      <c r="G4964" s="4" t="str">
        <f>HYPERLINK("http://141.218.60.56/~jnz1568/getInfo.php?workbook=10_05.xlsx&amp;sheet=U0&amp;row=4964&amp;col=7&amp;number=0.0104&amp;sourceID=14","0.0104")</f>
        <v>0.0104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HYPERLINK("http://141.218.60.56/~jnz1568/getInfo.php?workbook=10_05.xlsx&amp;sheet=U0&amp;row=4965&amp;col=6&amp;number=3.1&amp;sourceID=14","3.1")</f>
        <v>3.1</v>
      </c>
      <c r="G4965" s="4" t="str">
        <f>HYPERLINK("http://141.218.60.56/~jnz1568/getInfo.php?workbook=10_05.xlsx&amp;sheet=U0&amp;row=4965&amp;col=7&amp;number=0.0104&amp;sourceID=14","0.0104")</f>
        <v>0.0104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HYPERLINK("http://141.218.60.56/~jnz1568/getInfo.php?workbook=10_05.xlsx&amp;sheet=U0&amp;row=4966&amp;col=6&amp;number=3.2&amp;sourceID=14","3.2")</f>
        <v>3.2</v>
      </c>
      <c r="G4966" s="4" t="str">
        <f>HYPERLINK("http://141.218.60.56/~jnz1568/getInfo.php?workbook=10_05.xlsx&amp;sheet=U0&amp;row=4966&amp;col=7&amp;number=0.0105&amp;sourceID=14","0.0105")</f>
        <v>0.0105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HYPERLINK("http://141.218.60.56/~jnz1568/getInfo.php?workbook=10_05.xlsx&amp;sheet=U0&amp;row=4967&amp;col=6&amp;number=3.3&amp;sourceID=14","3.3")</f>
        <v>3.3</v>
      </c>
      <c r="G4967" s="4" t="str">
        <f>HYPERLINK("http://141.218.60.56/~jnz1568/getInfo.php?workbook=10_05.xlsx&amp;sheet=U0&amp;row=4967&amp;col=7&amp;number=0.0106&amp;sourceID=14","0.0106")</f>
        <v>0.0106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HYPERLINK("http://141.218.60.56/~jnz1568/getInfo.php?workbook=10_05.xlsx&amp;sheet=U0&amp;row=4968&amp;col=6&amp;number=3.4&amp;sourceID=14","3.4")</f>
        <v>3.4</v>
      </c>
      <c r="G4968" s="4" t="str">
        <f>HYPERLINK("http://141.218.60.56/~jnz1568/getInfo.php?workbook=10_05.xlsx&amp;sheet=U0&amp;row=4968&amp;col=7&amp;number=0.0107&amp;sourceID=14","0.0107")</f>
        <v>0.0107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HYPERLINK("http://141.218.60.56/~jnz1568/getInfo.php?workbook=10_05.xlsx&amp;sheet=U0&amp;row=4969&amp;col=6&amp;number=3.5&amp;sourceID=14","3.5")</f>
        <v>3.5</v>
      </c>
      <c r="G4969" s="4" t="str">
        <f>HYPERLINK("http://141.218.60.56/~jnz1568/getInfo.php?workbook=10_05.xlsx&amp;sheet=U0&amp;row=4969&amp;col=7&amp;number=0.0108&amp;sourceID=14","0.0108")</f>
        <v>0.0108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HYPERLINK("http://141.218.60.56/~jnz1568/getInfo.php?workbook=10_05.xlsx&amp;sheet=U0&amp;row=4970&amp;col=6&amp;number=3.6&amp;sourceID=14","3.6")</f>
        <v>3.6</v>
      </c>
      <c r="G4970" s="4" t="str">
        <f>HYPERLINK("http://141.218.60.56/~jnz1568/getInfo.php?workbook=10_05.xlsx&amp;sheet=U0&amp;row=4970&amp;col=7&amp;number=0.011&amp;sourceID=14","0.011")</f>
        <v>0.011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HYPERLINK("http://141.218.60.56/~jnz1568/getInfo.php?workbook=10_05.xlsx&amp;sheet=U0&amp;row=4971&amp;col=6&amp;number=3.7&amp;sourceID=14","3.7")</f>
        <v>3.7</v>
      </c>
      <c r="G4971" s="4" t="str">
        <f>HYPERLINK("http://141.218.60.56/~jnz1568/getInfo.php?workbook=10_05.xlsx&amp;sheet=U0&amp;row=4971&amp;col=7&amp;number=0.0112&amp;sourceID=14","0.0112")</f>
        <v>0.0112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HYPERLINK("http://141.218.60.56/~jnz1568/getInfo.php?workbook=10_05.xlsx&amp;sheet=U0&amp;row=4972&amp;col=6&amp;number=3.8&amp;sourceID=14","3.8")</f>
        <v>3.8</v>
      </c>
      <c r="G4972" s="4" t="str">
        <f>HYPERLINK("http://141.218.60.56/~jnz1568/getInfo.php?workbook=10_05.xlsx&amp;sheet=U0&amp;row=4972&amp;col=7&amp;number=0.0114&amp;sourceID=14","0.0114")</f>
        <v>0.0114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HYPERLINK("http://141.218.60.56/~jnz1568/getInfo.php?workbook=10_05.xlsx&amp;sheet=U0&amp;row=4973&amp;col=6&amp;number=3.9&amp;sourceID=14","3.9")</f>
        <v>3.9</v>
      </c>
      <c r="G4973" s="4" t="str">
        <f>HYPERLINK("http://141.218.60.56/~jnz1568/getInfo.php?workbook=10_05.xlsx&amp;sheet=U0&amp;row=4973&amp;col=7&amp;number=0.0117&amp;sourceID=14","0.0117")</f>
        <v>0.0117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HYPERLINK("http://141.218.60.56/~jnz1568/getInfo.php?workbook=10_05.xlsx&amp;sheet=U0&amp;row=4974&amp;col=6&amp;number=4&amp;sourceID=14","4")</f>
        <v>4</v>
      </c>
      <c r="G4974" s="4" t="str">
        <f>HYPERLINK("http://141.218.60.56/~jnz1568/getInfo.php?workbook=10_05.xlsx&amp;sheet=U0&amp;row=4974&amp;col=7&amp;number=0.0119&amp;sourceID=14","0.0119")</f>
        <v>0.0119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HYPERLINK("http://141.218.60.56/~jnz1568/getInfo.php?workbook=10_05.xlsx&amp;sheet=U0&amp;row=4975&amp;col=6&amp;number=4.1&amp;sourceID=14","4.1")</f>
        <v>4.1</v>
      </c>
      <c r="G4975" s="4" t="str">
        <f>HYPERLINK("http://141.218.60.56/~jnz1568/getInfo.php?workbook=10_05.xlsx&amp;sheet=U0&amp;row=4975&amp;col=7&amp;number=0.0122&amp;sourceID=14","0.0122")</f>
        <v>0.0122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HYPERLINK("http://141.218.60.56/~jnz1568/getInfo.php?workbook=10_05.xlsx&amp;sheet=U0&amp;row=4976&amp;col=6&amp;number=4.2&amp;sourceID=14","4.2")</f>
        <v>4.2</v>
      </c>
      <c r="G4976" s="4" t="str">
        <f>HYPERLINK("http://141.218.60.56/~jnz1568/getInfo.php?workbook=10_05.xlsx&amp;sheet=U0&amp;row=4976&amp;col=7&amp;number=0.0124&amp;sourceID=14","0.0124")</f>
        <v>0.0124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HYPERLINK("http://141.218.60.56/~jnz1568/getInfo.php?workbook=10_05.xlsx&amp;sheet=U0&amp;row=4977&amp;col=6&amp;number=4.3&amp;sourceID=14","4.3")</f>
        <v>4.3</v>
      </c>
      <c r="G4977" s="4" t="str">
        <f>HYPERLINK("http://141.218.60.56/~jnz1568/getInfo.php?workbook=10_05.xlsx&amp;sheet=U0&amp;row=4977&amp;col=7&amp;number=0.0125&amp;sourceID=14","0.0125")</f>
        <v>0.0125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HYPERLINK("http://141.218.60.56/~jnz1568/getInfo.php?workbook=10_05.xlsx&amp;sheet=U0&amp;row=4978&amp;col=6&amp;number=4.4&amp;sourceID=14","4.4")</f>
        <v>4.4</v>
      </c>
      <c r="G4978" s="4" t="str">
        <f>HYPERLINK("http://141.218.60.56/~jnz1568/getInfo.php?workbook=10_05.xlsx&amp;sheet=U0&amp;row=4978&amp;col=7&amp;number=0.0123&amp;sourceID=14","0.0123")</f>
        <v>0.0123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HYPERLINK("http://141.218.60.56/~jnz1568/getInfo.php?workbook=10_05.xlsx&amp;sheet=U0&amp;row=4979&amp;col=6&amp;number=4.5&amp;sourceID=14","4.5")</f>
        <v>4.5</v>
      </c>
      <c r="G4979" s="4" t="str">
        <f>HYPERLINK("http://141.218.60.56/~jnz1568/getInfo.php?workbook=10_05.xlsx&amp;sheet=U0&amp;row=4979&amp;col=7&amp;number=0.0118&amp;sourceID=14","0.0118")</f>
        <v>0.0118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HYPERLINK("http://141.218.60.56/~jnz1568/getInfo.php?workbook=10_05.xlsx&amp;sheet=U0&amp;row=4980&amp;col=6&amp;number=4.6&amp;sourceID=14","4.6")</f>
        <v>4.6</v>
      </c>
      <c r="G4980" s="4" t="str">
        <f>HYPERLINK("http://141.218.60.56/~jnz1568/getInfo.php?workbook=10_05.xlsx&amp;sheet=U0&amp;row=4980&amp;col=7&amp;number=0.0111&amp;sourceID=14","0.0111")</f>
        <v>0.0111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HYPERLINK("http://141.218.60.56/~jnz1568/getInfo.php?workbook=10_05.xlsx&amp;sheet=U0&amp;row=4981&amp;col=6&amp;number=4.7&amp;sourceID=14","4.7")</f>
        <v>4.7</v>
      </c>
      <c r="G4981" s="4" t="str">
        <f>HYPERLINK("http://141.218.60.56/~jnz1568/getInfo.php?workbook=10_05.xlsx&amp;sheet=U0&amp;row=4981&amp;col=7&amp;number=0.0103&amp;sourceID=14","0.0103")</f>
        <v>0.0103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HYPERLINK("http://141.218.60.56/~jnz1568/getInfo.php?workbook=10_05.xlsx&amp;sheet=U0&amp;row=4982&amp;col=6&amp;number=4.8&amp;sourceID=14","4.8")</f>
        <v>4.8</v>
      </c>
      <c r="G4982" s="4" t="str">
        <f>HYPERLINK("http://141.218.60.56/~jnz1568/getInfo.php?workbook=10_05.xlsx&amp;sheet=U0&amp;row=4982&amp;col=7&amp;number=0.00933&amp;sourceID=14","0.00933")</f>
        <v>0.00933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HYPERLINK("http://141.218.60.56/~jnz1568/getInfo.php?workbook=10_05.xlsx&amp;sheet=U0&amp;row=4983&amp;col=6&amp;number=4.9&amp;sourceID=14","4.9")</f>
        <v>4.9</v>
      </c>
      <c r="G4983" s="4" t="str">
        <f>HYPERLINK("http://141.218.60.56/~jnz1568/getInfo.php?workbook=10_05.xlsx&amp;sheet=U0&amp;row=4983&amp;col=7&amp;number=0.00831&amp;sourceID=14","0.00831")</f>
        <v>0.00831</v>
      </c>
    </row>
    <row r="4984" spans="1:7">
      <c r="A4984" s="3">
        <v>10</v>
      </c>
      <c r="B4984" s="3">
        <v>5</v>
      </c>
      <c r="C4984" s="3">
        <v>2</v>
      </c>
      <c r="D4984" s="3">
        <v>73</v>
      </c>
      <c r="E4984" s="3">
        <v>1</v>
      </c>
      <c r="F4984" s="4" t="str">
        <f>HYPERLINK("http://141.218.60.56/~jnz1568/getInfo.php?workbook=10_05.xlsx&amp;sheet=U0&amp;row=4984&amp;col=6&amp;number=3&amp;sourceID=14","3")</f>
        <v>3</v>
      </c>
      <c r="G4984" s="4" t="str">
        <f>HYPERLINK("http://141.218.60.56/~jnz1568/getInfo.php?workbook=10_05.xlsx&amp;sheet=U0&amp;row=4984&amp;col=7&amp;number=0.0306&amp;sourceID=14","0.0306")</f>
        <v>0.0306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HYPERLINK("http://141.218.60.56/~jnz1568/getInfo.php?workbook=10_05.xlsx&amp;sheet=U0&amp;row=4985&amp;col=6&amp;number=3.1&amp;sourceID=14","3.1")</f>
        <v>3.1</v>
      </c>
      <c r="G4985" s="4" t="str">
        <f>HYPERLINK("http://141.218.60.56/~jnz1568/getInfo.php?workbook=10_05.xlsx&amp;sheet=U0&amp;row=4985&amp;col=7&amp;number=0.0305&amp;sourceID=14","0.0305")</f>
        <v>0.0305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HYPERLINK("http://141.218.60.56/~jnz1568/getInfo.php?workbook=10_05.xlsx&amp;sheet=U0&amp;row=4986&amp;col=6&amp;number=3.2&amp;sourceID=14","3.2")</f>
        <v>3.2</v>
      </c>
      <c r="G4986" s="4" t="str">
        <f>HYPERLINK("http://141.218.60.56/~jnz1568/getInfo.php?workbook=10_05.xlsx&amp;sheet=U0&amp;row=4986&amp;col=7&amp;number=0.0305&amp;sourceID=14","0.0305")</f>
        <v>0.0305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HYPERLINK("http://141.218.60.56/~jnz1568/getInfo.php?workbook=10_05.xlsx&amp;sheet=U0&amp;row=4987&amp;col=6&amp;number=3.3&amp;sourceID=14","3.3")</f>
        <v>3.3</v>
      </c>
      <c r="G4987" s="4" t="str">
        <f>HYPERLINK("http://141.218.60.56/~jnz1568/getInfo.php?workbook=10_05.xlsx&amp;sheet=U0&amp;row=4987&amp;col=7&amp;number=0.0304&amp;sourceID=14","0.0304")</f>
        <v>0.0304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HYPERLINK("http://141.218.60.56/~jnz1568/getInfo.php?workbook=10_05.xlsx&amp;sheet=U0&amp;row=4988&amp;col=6&amp;number=3.4&amp;sourceID=14","3.4")</f>
        <v>3.4</v>
      </c>
      <c r="G4988" s="4" t="str">
        <f>HYPERLINK("http://141.218.60.56/~jnz1568/getInfo.php?workbook=10_05.xlsx&amp;sheet=U0&amp;row=4988&amp;col=7&amp;number=0.0302&amp;sourceID=14","0.0302")</f>
        <v>0.0302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HYPERLINK("http://141.218.60.56/~jnz1568/getInfo.php?workbook=10_05.xlsx&amp;sheet=U0&amp;row=4989&amp;col=6&amp;number=3.5&amp;sourceID=14","3.5")</f>
        <v>3.5</v>
      </c>
      <c r="G4989" s="4" t="str">
        <f>HYPERLINK("http://141.218.60.56/~jnz1568/getInfo.php?workbook=10_05.xlsx&amp;sheet=U0&amp;row=4989&amp;col=7&amp;number=0.0301&amp;sourceID=14","0.0301")</f>
        <v>0.0301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HYPERLINK("http://141.218.60.56/~jnz1568/getInfo.php?workbook=10_05.xlsx&amp;sheet=U0&amp;row=4990&amp;col=6&amp;number=3.6&amp;sourceID=14","3.6")</f>
        <v>3.6</v>
      </c>
      <c r="G4990" s="4" t="str">
        <f>HYPERLINK("http://141.218.60.56/~jnz1568/getInfo.php?workbook=10_05.xlsx&amp;sheet=U0&amp;row=4990&amp;col=7&amp;number=0.0299&amp;sourceID=14","0.0299")</f>
        <v>0.0299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HYPERLINK("http://141.218.60.56/~jnz1568/getInfo.php?workbook=10_05.xlsx&amp;sheet=U0&amp;row=4991&amp;col=6&amp;number=3.7&amp;sourceID=14","3.7")</f>
        <v>3.7</v>
      </c>
      <c r="G4991" s="4" t="str">
        <f>HYPERLINK("http://141.218.60.56/~jnz1568/getInfo.php?workbook=10_05.xlsx&amp;sheet=U0&amp;row=4991&amp;col=7&amp;number=0.0296&amp;sourceID=14","0.0296")</f>
        <v>0.0296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HYPERLINK("http://141.218.60.56/~jnz1568/getInfo.php?workbook=10_05.xlsx&amp;sheet=U0&amp;row=4992&amp;col=6&amp;number=3.8&amp;sourceID=14","3.8")</f>
        <v>3.8</v>
      </c>
      <c r="G4992" s="4" t="str">
        <f>HYPERLINK("http://141.218.60.56/~jnz1568/getInfo.php?workbook=10_05.xlsx&amp;sheet=U0&amp;row=4992&amp;col=7&amp;number=0.0294&amp;sourceID=14","0.0294")</f>
        <v>0.0294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HYPERLINK("http://141.218.60.56/~jnz1568/getInfo.php?workbook=10_05.xlsx&amp;sheet=U0&amp;row=4993&amp;col=6&amp;number=3.9&amp;sourceID=14","3.9")</f>
        <v>3.9</v>
      </c>
      <c r="G4993" s="4" t="str">
        <f>HYPERLINK("http://141.218.60.56/~jnz1568/getInfo.php?workbook=10_05.xlsx&amp;sheet=U0&amp;row=4993&amp;col=7&amp;number=0.029&amp;sourceID=14","0.029")</f>
        <v>0.029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HYPERLINK("http://141.218.60.56/~jnz1568/getInfo.php?workbook=10_05.xlsx&amp;sheet=U0&amp;row=4994&amp;col=6&amp;number=4&amp;sourceID=14","4")</f>
        <v>4</v>
      </c>
      <c r="G4994" s="4" t="str">
        <f>HYPERLINK("http://141.218.60.56/~jnz1568/getInfo.php?workbook=10_05.xlsx&amp;sheet=U0&amp;row=4994&amp;col=7&amp;number=0.0286&amp;sourceID=14","0.0286")</f>
        <v>0.0286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HYPERLINK("http://141.218.60.56/~jnz1568/getInfo.php?workbook=10_05.xlsx&amp;sheet=U0&amp;row=4995&amp;col=6&amp;number=4.1&amp;sourceID=14","4.1")</f>
        <v>4.1</v>
      </c>
      <c r="G4995" s="4" t="str">
        <f>HYPERLINK("http://141.218.60.56/~jnz1568/getInfo.php?workbook=10_05.xlsx&amp;sheet=U0&amp;row=4995&amp;col=7&amp;number=0.0281&amp;sourceID=14","0.0281")</f>
        <v>0.0281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HYPERLINK("http://141.218.60.56/~jnz1568/getInfo.php?workbook=10_05.xlsx&amp;sheet=U0&amp;row=4996&amp;col=6&amp;number=4.2&amp;sourceID=14","4.2")</f>
        <v>4.2</v>
      </c>
      <c r="G4996" s="4" t="str">
        <f>HYPERLINK("http://141.218.60.56/~jnz1568/getInfo.php?workbook=10_05.xlsx&amp;sheet=U0&amp;row=4996&amp;col=7&amp;number=0.0275&amp;sourceID=14","0.0275")</f>
        <v>0.0275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HYPERLINK("http://141.218.60.56/~jnz1568/getInfo.php?workbook=10_05.xlsx&amp;sheet=U0&amp;row=4997&amp;col=6&amp;number=4.3&amp;sourceID=14","4.3")</f>
        <v>4.3</v>
      </c>
      <c r="G4997" s="4" t="str">
        <f>HYPERLINK("http://141.218.60.56/~jnz1568/getInfo.php?workbook=10_05.xlsx&amp;sheet=U0&amp;row=4997&amp;col=7&amp;number=0.0269&amp;sourceID=14","0.0269")</f>
        <v>0.0269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HYPERLINK("http://141.218.60.56/~jnz1568/getInfo.php?workbook=10_05.xlsx&amp;sheet=U0&amp;row=4998&amp;col=6&amp;number=4.4&amp;sourceID=14","4.4")</f>
        <v>4.4</v>
      </c>
      <c r="G4998" s="4" t="str">
        <f>HYPERLINK("http://141.218.60.56/~jnz1568/getInfo.php?workbook=10_05.xlsx&amp;sheet=U0&amp;row=4998&amp;col=7&amp;number=0.0262&amp;sourceID=14","0.0262")</f>
        <v>0.0262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HYPERLINK("http://141.218.60.56/~jnz1568/getInfo.php?workbook=10_05.xlsx&amp;sheet=U0&amp;row=4999&amp;col=6&amp;number=4.5&amp;sourceID=14","4.5")</f>
        <v>4.5</v>
      </c>
      <c r="G4999" s="4" t="str">
        <f>HYPERLINK("http://141.218.60.56/~jnz1568/getInfo.php?workbook=10_05.xlsx&amp;sheet=U0&amp;row=4999&amp;col=7&amp;number=0.0256&amp;sourceID=14","0.0256")</f>
        <v>0.0256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HYPERLINK("http://141.218.60.56/~jnz1568/getInfo.php?workbook=10_05.xlsx&amp;sheet=U0&amp;row=5000&amp;col=6&amp;number=4.6&amp;sourceID=14","4.6")</f>
        <v>4.6</v>
      </c>
      <c r="G5000" s="4" t="str">
        <f>HYPERLINK("http://141.218.60.56/~jnz1568/getInfo.php?workbook=10_05.xlsx&amp;sheet=U0&amp;row=5000&amp;col=7&amp;number=0.025&amp;sourceID=14","0.025")</f>
        <v>0.025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HYPERLINK("http://141.218.60.56/~jnz1568/getInfo.php?workbook=10_05.xlsx&amp;sheet=U0&amp;row=5001&amp;col=6&amp;number=4.7&amp;sourceID=14","4.7")</f>
        <v>4.7</v>
      </c>
      <c r="G5001" s="4" t="str">
        <f>HYPERLINK("http://141.218.60.56/~jnz1568/getInfo.php?workbook=10_05.xlsx&amp;sheet=U0&amp;row=5001&amp;col=7&amp;number=0.0244&amp;sourceID=14","0.0244")</f>
        <v>0.0244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HYPERLINK("http://141.218.60.56/~jnz1568/getInfo.php?workbook=10_05.xlsx&amp;sheet=U0&amp;row=5002&amp;col=6&amp;number=4.8&amp;sourceID=14","4.8")</f>
        <v>4.8</v>
      </c>
      <c r="G5002" s="4" t="str">
        <f>HYPERLINK("http://141.218.60.56/~jnz1568/getInfo.php?workbook=10_05.xlsx&amp;sheet=U0&amp;row=5002&amp;col=7&amp;number=0.0238&amp;sourceID=14","0.0238")</f>
        <v>0.0238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HYPERLINK("http://141.218.60.56/~jnz1568/getInfo.php?workbook=10_05.xlsx&amp;sheet=U0&amp;row=5003&amp;col=6&amp;number=4.9&amp;sourceID=14","4.9")</f>
        <v>4.9</v>
      </c>
      <c r="G5003" s="4" t="str">
        <f>HYPERLINK("http://141.218.60.56/~jnz1568/getInfo.php?workbook=10_05.xlsx&amp;sheet=U0&amp;row=5003&amp;col=7&amp;number=0.0232&amp;sourceID=14","0.0232")</f>
        <v>0.0232</v>
      </c>
    </row>
    <row r="5004" spans="1:7">
      <c r="A5004" s="3">
        <v>10</v>
      </c>
      <c r="B5004" s="3">
        <v>5</v>
      </c>
      <c r="C5004" s="3">
        <v>2</v>
      </c>
      <c r="D5004" s="3">
        <v>74</v>
      </c>
      <c r="E5004" s="3">
        <v>1</v>
      </c>
      <c r="F5004" s="4" t="str">
        <f>HYPERLINK("http://141.218.60.56/~jnz1568/getInfo.php?workbook=10_05.xlsx&amp;sheet=U0&amp;row=5004&amp;col=6&amp;number=3&amp;sourceID=14","3")</f>
        <v>3</v>
      </c>
      <c r="G5004" s="4" t="str">
        <f>HYPERLINK("http://141.218.60.56/~jnz1568/getInfo.php?workbook=10_05.xlsx&amp;sheet=U0&amp;row=5004&amp;col=7&amp;number=0.0561&amp;sourceID=14","0.0561")</f>
        <v>0.0561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HYPERLINK("http://141.218.60.56/~jnz1568/getInfo.php?workbook=10_05.xlsx&amp;sheet=U0&amp;row=5005&amp;col=6&amp;number=3.1&amp;sourceID=14","3.1")</f>
        <v>3.1</v>
      </c>
      <c r="G5005" s="4" t="str">
        <f>HYPERLINK("http://141.218.60.56/~jnz1568/getInfo.php?workbook=10_05.xlsx&amp;sheet=U0&amp;row=5005&amp;col=7&amp;number=0.056&amp;sourceID=14","0.056")</f>
        <v>0.056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HYPERLINK("http://141.218.60.56/~jnz1568/getInfo.php?workbook=10_05.xlsx&amp;sheet=U0&amp;row=5006&amp;col=6&amp;number=3.2&amp;sourceID=14","3.2")</f>
        <v>3.2</v>
      </c>
      <c r="G5006" s="4" t="str">
        <f>HYPERLINK("http://141.218.60.56/~jnz1568/getInfo.php?workbook=10_05.xlsx&amp;sheet=U0&amp;row=5006&amp;col=7&amp;number=0.0558&amp;sourceID=14","0.0558")</f>
        <v>0.0558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HYPERLINK("http://141.218.60.56/~jnz1568/getInfo.php?workbook=10_05.xlsx&amp;sheet=U0&amp;row=5007&amp;col=6&amp;number=3.3&amp;sourceID=14","3.3")</f>
        <v>3.3</v>
      </c>
      <c r="G5007" s="4" t="str">
        <f>HYPERLINK("http://141.218.60.56/~jnz1568/getInfo.php?workbook=10_05.xlsx&amp;sheet=U0&amp;row=5007&amp;col=7&amp;number=0.0555&amp;sourceID=14","0.0555")</f>
        <v>0.0555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HYPERLINK("http://141.218.60.56/~jnz1568/getInfo.php?workbook=10_05.xlsx&amp;sheet=U0&amp;row=5008&amp;col=6&amp;number=3.4&amp;sourceID=14","3.4")</f>
        <v>3.4</v>
      </c>
      <c r="G5008" s="4" t="str">
        <f>HYPERLINK("http://141.218.60.56/~jnz1568/getInfo.php?workbook=10_05.xlsx&amp;sheet=U0&amp;row=5008&amp;col=7&amp;number=0.0553&amp;sourceID=14","0.0553")</f>
        <v>0.0553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HYPERLINK("http://141.218.60.56/~jnz1568/getInfo.php?workbook=10_05.xlsx&amp;sheet=U0&amp;row=5009&amp;col=6&amp;number=3.5&amp;sourceID=14","3.5")</f>
        <v>3.5</v>
      </c>
      <c r="G5009" s="4" t="str">
        <f>HYPERLINK("http://141.218.60.56/~jnz1568/getInfo.php?workbook=10_05.xlsx&amp;sheet=U0&amp;row=5009&amp;col=7&amp;number=0.0549&amp;sourceID=14","0.0549")</f>
        <v>0.0549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HYPERLINK("http://141.218.60.56/~jnz1568/getInfo.php?workbook=10_05.xlsx&amp;sheet=U0&amp;row=5010&amp;col=6&amp;number=3.6&amp;sourceID=14","3.6")</f>
        <v>3.6</v>
      </c>
      <c r="G5010" s="4" t="str">
        <f>HYPERLINK("http://141.218.60.56/~jnz1568/getInfo.php?workbook=10_05.xlsx&amp;sheet=U0&amp;row=5010&amp;col=7&amp;number=0.0544&amp;sourceID=14","0.0544")</f>
        <v>0.0544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HYPERLINK("http://141.218.60.56/~jnz1568/getInfo.php?workbook=10_05.xlsx&amp;sheet=U0&amp;row=5011&amp;col=6&amp;number=3.7&amp;sourceID=14","3.7")</f>
        <v>3.7</v>
      </c>
      <c r="G5011" s="4" t="str">
        <f>HYPERLINK("http://141.218.60.56/~jnz1568/getInfo.php?workbook=10_05.xlsx&amp;sheet=U0&amp;row=5011&amp;col=7&amp;number=0.0539&amp;sourceID=14","0.0539")</f>
        <v>0.0539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HYPERLINK("http://141.218.60.56/~jnz1568/getInfo.php?workbook=10_05.xlsx&amp;sheet=U0&amp;row=5012&amp;col=6&amp;number=3.8&amp;sourceID=14","3.8")</f>
        <v>3.8</v>
      </c>
      <c r="G5012" s="4" t="str">
        <f>HYPERLINK("http://141.218.60.56/~jnz1568/getInfo.php?workbook=10_05.xlsx&amp;sheet=U0&amp;row=5012&amp;col=7&amp;number=0.0532&amp;sourceID=14","0.0532")</f>
        <v>0.0532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HYPERLINK("http://141.218.60.56/~jnz1568/getInfo.php?workbook=10_05.xlsx&amp;sheet=U0&amp;row=5013&amp;col=6&amp;number=3.9&amp;sourceID=14","3.9")</f>
        <v>3.9</v>
      </c>
      <c r="G5013" s="4" t="str">
        <f>HYPERLINK("http://141.218.60.56/~jnz1568/getInfo.php?workbook=10_05.xlsx&amp;sheet=U0&amp;row=5013&amp;col=7&amp;number=0.0524&amp;sourceID=14","0.0524")</f>
        <v>0.0524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HYPERLINK("http://141.218.60.56/~jnz1568/getInfo.php?workbook=10_05.xlsx&amp;sheet=U0&amp;row=5014&amp;col=6&amp;number=4&amp;sourceID=14","4")</f>
        <v>4</v>
      </c>
      <c r="G5014" s="4" t="str">
        <f>HYPERLINK("http://141.218.60.56/~jnz1568/getInfo.php?workbook=10_05.xlsx&amp;sheet=U0&amp;row=5014&amp;col=7&amp;number=0.0514&amp;sourceID=14","0.0514")</f>
        <v>0.0514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HYPERLINK("http://141.218.60.56/~jnz1568/getInfo.php?workbook=10_05.xlsx&amp;sheet=U0&amp;row=5015&amp;col=6&amp;number=4.1&amp;sourceID=14","4.1")</f>
        <v>4.1</v>
      </c>
      <c r="G5015" s="4" t="str">
        <f>HYPERLINK("http://141.218.60.56/~jnz1568/getInfo.php?workbook=10_05.xlsx&amp;sheet=U0&amp;row=5015&amp;col=7&amp;number=0.0502&amp;sourceID=14","0.0502")</f>
        <v>0.0502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HYPERLINK("http://141.218.60.56/~jnz1568/getInfo.php?workbook=10_05.xlsx&amp;sheet=U0&amp;row=5016&amp;col=6&amp;number=4.2&amp;sourceID=14","4.2")</f>
        <v>4.2</v>
      </c>
      <c r="G5016" s="4" t="str">
        <f>HYPERLINK("http://141.218.60.56/~jnz1568/getInfo.php?workbook=10_05.xlsx&amp;sheet=U0&amp;row=5016&amp;col=7&amp;number=0.049&amp;sourceID=14","0.049")</f>
        <v>0.049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HYPERLINK("http://141.218.60.56/~jnz1568/getInfo.php?workbook=10_05.xlsx&amp;sheet=U0&amp;row=5017&amp;col=6&amp;number=4.3&amp;sourceID=14","4.3")</f>
        <v>4.3</v>
      </c>
      <c r="G5017" s="4" t="str">
        <f>HYPERLINK("http://141.218.60.56/~jnz1568/getInfo.php?workbook=10_05.xlsx&amp;sheet=U0&amp;row=5017&amp;col=7&amp;number=0.0476&amp;sourceID=14","0.0476")</f>
        <v>0.0476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HYPERLINK("http://141.218.60.56/~jnz1568/getInfo.php?workbook=10_05.xlsx&amp;sheet=U0&amp;row=5018&amp;col=6&amp;number=4.4&amp;sourceID=14","4.4")</f>
        <v>4.4</v>
      </c>
      <c r="G5018" s="4" t="str">
        <f>HYPERLINK("http://141.218.60.56/~jnz1568/getInfo.php?workbook=10_05.xlsx&amp;sheet=U0&amp;row=5018&amp;col=7&amp;number=0.0464&amp;sourceID=14","0.0464")</f>
        <v>0.0464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HYPERLINK("http://141.218.60.56/~jnz1568/getInfo.php?workbook=10_05.xlsx&amp;sheet=U0&amp;row=5019&amp;col=6&amp;number=4.5&amp;sourceID=14","4.5")</f>
        <v>4.5</v>
      </c>
      <c r="G5019" s="4" t="str">
        <f>HYPERLINK("http://141.218.60.56/~jnz1568/getInfo.php?workbook=10_05.xlsx&amp;sheet=U0&amp;row=5019&amp;col=7&amp;number=0.0453&amp;sourceID=14","0.0453")</f>
        <v>0.0453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HYPERLINK("http://141.218.60.56/~jnz1568/getInfo.php?workbook=10_05.xlsx&amp;sheet=U0&amp;row=5020&amp;col=6&amp;number=4.6&amp;sourceID=14","4.6")</f>
        <v>4.6</v>
      </c>
      <c r="G5020" s="4" t="str">
        <f>HYPERLINK("http://141.218.60.56/~jnz1568/getInfo.php?workbook=10_05.xlsx&amp;sheet=U0&amp;row=5020&amp;col=7&amp;number=0.0445&amp;sourceID=14","0.0445")</f>
        <v>0.0445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HYPERLINK("http://141.218.60.56/~jnz1568/getInfo.php?workbook=10_05.xlsx&amp;sheet=U0&amp;row=5021&amp;col=6&amp;number=4.7&amp;sourceID=14","4.7")</f>
        <v>4.7</v>
      </c>
      <c r="G5021" s="4" t="str">
        <f>HYPERLINK("http://141.218.60.56/~jnz1568/getInfo.php?workbook=10_05.xlsx&amp;sheet=U0&amp;row=5021&amp;col=7&amp;number=0.0437&amp;sourceID=14","0.0437")</f>
        <v>0.0437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HYPERLINK("http://141.218.60.56/~jnz1568/getInfo.php?workbook=10_05.xlsx&amp;sheet=U0&amp;row=5022&amp;col=6&amp;number=4.8&amp;sourceID=14","4.8")</f>
        <v>4.8</v>
      </c>
      <c r="G5022" s="4" t="str">
        <f>HYPERLINK("http://141.218.60.56/~jnz1568/getInfo.php?workbook=10_05.xlsx&amp;sheet=U0&amp;row=5022&amp;col=7&amp;number=0.0428&amp;sourceID=14","0.0428")</f>
        <v>0.0428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HYPERLINK("http://141.218.60.56/~jnz1568/getInfo.php?workbook=10_05.xlsx&amp;sheet=U0&amp;row=5023&amp;col=6&amp;number=4.9&amp;sourceID=14","4.9")</f>
        <v>4.9</v>
      </c>
      <c r="G5023" s="4" t="str">
        <f>HYPERLINK("http://141.218.60.56/~jnz1568/getInfo.php?workbook=10_05.xlsx&amp;sheet=U0&amp;row=5023&amp;col=7&amp;number=0.0418&amp;sourceID=14","0.0418")</f>
        <v>0.0418</v>
      </c>
    </row>
    <row r="5024" spans="1:7">
      <c r="A5024" s="3">
        <v>10</v>
      </c>
      <c r="B5024" s="3">
        <v>5</v>
      </c>
      <c r="C5024" s="3">
        <v>2</v>
      </c>
      <c r="D5024" s="3">
        <v>75</v>
      </c>
      <c r="E5024" s="3">
        <v>1</v>
      </c>
      <c r="F5024" s="4" t="str">
        <f>HYPERLINK("http://141.218.60.56/~jnz1568/getInfo.php?workbook=10_05.xlsx&amp;sheet=U0&amp;row=5024&amp;col=6&amp;number=3&amp;sourceID=14","3")</f>
        <v>3</v>
      </c>
      <c r="G5024" s="4" t="str">
        <f>HYPERLINK("http://141.218.60.56/~jnz1568/getInfo.php?workbook=10_05.xlsx&amp;sheet=U0&amp;row=5024&amp;col=7&amp;number=0.0101&amp;sourceID=14","0.0101")</f>
        <v>0.0101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HYPERLINK("http://141.218.60.56/~jnz1568/getInfo.php?workbook=10_05.xlsx&amp;sheet=U0&amp;row=5025&amp;col=6&amp;number=3.1&amp;sourceID=14","3.1")</f>
        <v>3.1</v>
      </c>
      <c r="G5025" s="4" t="str">
        <f>HYPERLINK("http://141.218.60.56/~jnz1568/getInfo.php?workbook=10_05.xlsx&amp;sheet=U0&amp;row=5025&amp;col=7&amp;number=0.0101&amp;sourceID=14","0.0101")</f>
        <v>0.0101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HYPERLINK("http://141.218.60.56/~jnz1568/getInfo.php?workbook=10_05.xlsx&amp;sheet=U0&amp;row=5026&amp;col=6&amp;number=3.2&amp;sourceID=14","3.2")</f>
        <v>3.2</v>
      </c>
      <c r="G5026" s="4" t="str">
        <f>HYPERLINK("http://141.218.60.56/~jnz1568/getInfo.php?workbook=10_05.xlsx&amp;sheet=U0&amp;row=5026&amp;col=7&amp;number=0.0102&amp;sourceID=14","0.0102")</f>
        <v>0.0102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HYPERLINK("http://141.218.60.56/~jnz1568/getInfo.php?workbook=10_05.xlsx&amp;sheet=U0&amp;row=5027&amp;col=6&amp;number=3.3&amp;sourceID=14","3.3")</f>
        <v>3.3</v>
      </c>
      <c r="G5027" s="4" t="str">
        <f>HYPERLINK("http://141.218.60.56/~jnz1568/getInfo.php?workbook=10_05.xlsx&amp;sheet=U0&amp;row=5027&amp;col=7&amp;number=0.0102&amp;sourceID=14","0.0102")</f>
        <v>0.0102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HYPERLINK("http://141.218.60.56/~jnz1568/getInfo.php?workbook=10_05.xlsx&amp;sheet=U0&amp;row=5028&amp;col=6&amp;number=3.4&amp;sourceID=14","3.4")</f>
        <v>3.4</v>
      </c>
      <c r="G5028" s="4" t="str">
        <f>HYPERLINK("http://141.218.60.56/~jnz1568/getInfo.php?workbook=10_05.xlsx&amp;sheet=U0&amp;row=5028&amp;col=7&amp;number=0.0103&amp;sourceID=14","0.0103")</f>
        <v>0.0103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HYPERLINK("http://141.218.60.56/~jnz1568/getInfo.php?workbook=10_05.xlsx&amp;sheet=U0&amp;row=5029&amp;col=6&amp;number=3.5&amp;sourceID=14","3.5")</f>
        <v>3.5</v>
      </c>
      <c r="G5029" s="4" t="str">
        <f>HYPERLINK("http://141.218.60.56/~jnz1568/getInfo.php?workbook=10_05.xlsx&amp;sheet=U0&amp;row=5029&amp;col=7&amp;number=0.0103&amp;sourceID=14","0.0103")</f>
        <v>0.0103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HYPERLINK("http://141.218.60.56/~jnz1568/getInfo.php?workbook=10_05.xlsx&amp;sheet=U0&amp;row=5030&amp;col=6&amp;number=3.6&amp;sourceID=14","3.6")</f>
        <v>3.6</v>
      </c>
      <c r="G5030" s="4" t="str">
        <f>HYPERLINK("http://141.218.60.56/~jnz1568/getInfo.php?workbook=10_05.xlsx&amp;sheet=U0&amp;row=5030&amp;col=7&amp;number=0.0104&amp;sourceID=14","0.0104")</f>
        <v>0.0104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HYPERLINK("http://141.218.60.56/~jnz1568/getInfo.php?workbook=10_05.xlsx&amp;sheet=U0&amp;row=5031&amp;col=6&amp;number=3.7&amp;sourceID=14","3.7")</f>
        <v>3.7</v>
      </c>
      <c r="G5031" s="4" t="str">
        <f>HYPERLINK("http://141.218.60.56/~jnz1568/getInfo.php?workbook=10_05.xlsx&amp;sheet=U0&amp;row=5031&amp;col=7&amp;number=0.0106&amp;sourceID=14","0.0106")</f>
        <v>0.0106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HYPERLINK("http://141.218.60.56/~jnz1568/getInfo.php?workbook=10_05.xlsx&amp;sheet=U0&amp;row=5032&amp;col=6&amp;number=3.8&amp;sourceID=14","3.8")</f>
        <v>3.8</v>
      </c>
      <c r="G5032" s="4" t="str">
        <f>HYPERLINK("http://141.218.60.56/~jnz1568/getInfo.php?workbook=10_05.xlsx&amp;sheet=U0&amp;row=5032&amp;col=7&amp;number=0.0107&amp;sourceID=14","0.0107")</f>
        <v>0.0107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HYPERLINK("http://141.218.60.56/~jnz1568/getInfo.php?workbook=10_05.xlsx&amp;sheet=U0&amp;row=5033&amp;col=6&amp;number=3.9&amp;sourceID=14","3.9")</f>
        <v>3.9</v>
      </c>
      <c r="G5033" s="4" t="str">
        <f>HYPERLINK("http://141.218.60.56/~jnz1568/getInfo.php?workbook=10_05.xlsx&amp;sheet=U0&amp;row=5033&amp;col=7&amp;number=0.0108&amp;sourceID=14","0.0108")</f>
        <v>0.0108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HYPERLINK("http://141.218.60.56/~jnz1568/getInfo.php?workbook=10_05.xlsx&amp;sheet=U0&amp;row=5034&amp;col=6&amp;number=4&amp;sourceID=14","4")</f>
        <v>4</v>
      </c>
      <c r="G5034" s="4" t="str">
        <f>HYPERLINK("http://141.218.60.56/~jnz1568/getInfo.php?workbook=10_05.xlsx&amp;sheet=U0&amp;row=5034&amp;col=7&amp;number=0.011&amp;sourceID=14","0.011")</f>
        <v>0.011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HYPERLINK("http://141.218.60.56/~jnz1568/getInfo.php?workbook=10_05.xlsx&amp;sheet=U0&amp;row=5035&amp;col=6&amp;number=4.1&amp;sourceID=14","4.1")</f>
        <v>4.1</v>
      </c>
      <c r="G5035" s="4" t="str">
        <f>HYPERLINK("http://141.218.60.56/~jnz1568/getInfo.php?workbook=10_05.xlsx&amp;sheet=U0&amp;row=5035&amp;col=7&amp;number=0.0112&amp;sourceID=14","0.0112")</f>
        <v>0.0112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HYPERLINK("http://141.218.60.56/~jnz1568/getInfo.php?workbook=10_05.xlsx&amp;sheet=U0&amp;row=5036&amp;col=6&amp;number=4.2&amp;sourceID=14","4.2")</f>
        <v>4.2</v>
      </c>
      <c r="G5036" s="4" t="str">
        <f>HYPERLINK("http://141.218.60.56/~jnz1568/getInfo.php?workbook=10_05.xlsx&amp;sheet=U0&amp;row=5036&amp;col=7&amp;number=0.0113&amp;sourceID=14","0.0113")</f>
        <v>0.0113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HYPERLINK("http://141.218.60.56/~jnz1568/getInfo.php?workbook=10_05.xlsx&amp;sheet=U0&amp;row=5037&amp;col=6&amp;number=4.3&amp;sourceID=14","4.3")</f>
        <v>4.3</v>
      </c>
      <c r="G5037" s="4" t="str">
        <f>HYPERLINK("http://141.218.60.56/~jnz1568/getInfo.php?workbook=10_05.xlsx&amp;sheet=U0&amp;row=5037&amp;col=7&amp;number=0.0114&amp;sourceID=14","0.0114")</f>
        <v>0.0114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HYPERLINK("http://141.218.60.56/~jnz1568/getInfo.php?workbook=10_05.xlsx&amp;sheet=U0&amp;row=5038&amp;col=6&amp;number=4.4&amp;sourceID=14","4.4")</f>
        <v>4.4</v>
      </c>
      <c r="G5038" s="4" t="str">
        <f>HYPERLINK("http://141.218.60.56/~jnz1568/getInfo.php?workbook=10_05.xlsx&amp;sheet=U0&amp;row=5038&amp;col=7&amp;number=0.0114&amp;sourceID=14","0.0114")</f>
        <v>0.0114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HYPERLINK("http://141.218.60.56/~jnz1568/getInfo.php?workbook=10_05.xlsx&amp;sheet=U0&amp;row=5039&amp;col=6&amp;number=4.5&amp;sourceID=14","4.5")</f>
        <v>4.5</v>
      </c>
      <c r="G5039" s="4" t="str">
        <f>HYPERLINK("http://141.218.60.56/~jnz1568/getInfo.php?workbook=10_05.xlsx&amp;sheet=U0&amp;row=5039&amp;col=7&amp;number=0.0112&amp;sourceID=14","0.0112")</f>
        <v>0.0112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HYPERLINK("http://141.218.60.56/~jnz1568/getInfo.php?workbook=10_05.xlsx&amp;sheet=U0&amp;row=5040&amp;col=6&amp;number=4.6&amp;sourceID=14","4.6")</f>
        <v>4.6</v>
      </c>
      <c r="G5040" s="4" t="str">
        <f>HYPERLINK("http://141.218.60.56/~jnz1568/getInfo.php?workbook=10_05.xlsx&amp;sheet=U0&amp;row=5040&amp;col=7&amp;number=0.011&amp;sourceID=14","0.011")</f>
        <v>0.011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HYPERLINK("http://141.218.60.56/~jnz1568/getInfo.php?workbook=10_05.xlsx&amp;sheet=U0&amp;row=5041&amp;col=6&amp;number=4.7&amp;sourceID=14","4.7")</f>
        <v>4.7</v>
      </c>
      <c r="G5041" s="4" t="str">
        <f>HYPERLINK("http://141.218.60.56/~jnz1568/getInfo.php?workbook=10_05.xlsx&amp;sheet=U0&amp;row=5041&amp;col=7&amp;number=0.0108&amp;sourceID=14","0.0108")</f>
        <v>0.0108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HYPERLINK("http://141.218.60.56/~jnz1568/getInfo.php?workbook=10_05.xlsx&amp;sheet=U0&amp;row=5042&amp;col=6&amp;number=4.8&amp;sourceID=14","4.8")</f>
        <v>4.8</v>
      </c>
      <c r="G5042" s="4" t="str">
        <f>HYPERLINK("http://141.218.60.56/~jnz1568/getInfo.php?workbook=10_05.xlsx&amp;sheet=U0&amp;row=5042&amp;col=7&amp;number=0.0106&amp;sourceID=14","0.0106")</f>
        <v>0.0106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HYPERLINK("http://141.218.60.56/~jnz1568/getInfo.php?workbook=10_05.xlsx&amp;sheet=U0&amp;row=5043&amp;col=6&amp;number=4.9&amp;sourceID=14","4.9")</f>
        <v>4.9</v>
      </c>
      <c r="G5043" s="4" t="str">
        <f>HYPERLINK("http://141.218.60.56/~jnz1568/getInfo.php?workbook=10_05.xlsx&amp;sheet=U0&amp;row=5043&amp;col=7&amp;number=0.0104&amp;sourceID=14","0.0104")</f>
        <v>0.0104</v>
      </c>
    </row>
    <row r="5044" spans="1:7">
      <c r="A5044" s="3">
        <v>10</v>
      </c>
      <c r="B5044" s="3">
        <v>5</v>
      </c>
      <c r="C5044" s="3">
        <v>2</v>
      </c>
      <c r="D5044" s="3">
        <v>76</v>
      </c>
      <c r="E5044" s="3">
        <v>1</v>
      </c>
      <c r="F5044" s="4" t="str">
        <f>HYPERLINK("http://141.218.60.56/~jnz1568/getInfo.php?workbook=10_05.xlsx&amp;sheet=U0&amp;row=5044&amp;col=6&amp;number=3&amp;sourceID=14","3")</f>
        <v>3</v>
      </c>
      <c r="G5044" s="4" t="str">
        <f>HYPERLINK("http://141.218.60.56/~jnz1568/getInfo.php?workbook=10_05.xlsx&amp;sheet=U0&amp;row=5044&amp;col=7&amp;number=0.0197&amp;sourceID=14","0.0197")</f>
        <v>0.0197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HYPERLINK("http://141.218.60.56/~jnz1568/getInfo.php?workbook=10_05.xlsx&amp;sheet=U0&amp;row=5045&amp;col=6&amp;number=3.1&amp;sourceID=14","3.1")</f>
        <v>3.1</v>
      </c>
      <c r="G5045" s="4" t="str">
        <f>HYPERLINK("http://141.218.60.56/~jnz1568/getInfo.php?workbook=10_05.xlsx&amp;sheet=U0&amp;row=5045&amp;col=7&amp;number=0.0198&amp;sourceID=14","0.0198")</f>
        <v>0.0198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HYPERLINK("http://141.218.60.56/~jnz1568/getInfo.php?workbook=10_05.xlsx&amp;sheet=U0&amp;row=5046&amp;col=6&amp;number=3.2&amp;sourceID=14","3.2")</f>
        <v>3.2</v>
      </c>
      <c r="G5046" s="4" t="str">
        <f>HYPERLINK("http://141.218.60.56/~jnz1568/getInfo.php?workbook=10_05.xlsx&amp;sheet=U0&amp;row=5046&amp;col=7&amp;number=0.0198&amp;sourceID=14","0.0198")</f>
        <v>0.0198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HYPERLINK("http://141.218.60.56/~jnz1568/getInfo.php?workbook=10_05.xlsx&amp;sheet=U0&amp;row=5047&amp;col=6&amp;number=3.3&amp;sourceID=14","3.3")</f>
        <v>3.3</v>
      </c>
      <c r="G5047" s="4" t="str">
        <f>HYPERLINK("http://141.218.60.56/~jnz1568/getInfo.php?workbook=10_05.xlsx&amp;sheet=U0&amp;row=5047&amp;col=7&amp;number=0.0199&amp;sourceID=14","0.0199")</f>
        <v>0.0199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HYPERLINK("http://141.218.60.56/~jnz1568/getInfo.php?workbook=10_05.xlsx&amp;sheet=U0&amp;row=5048&amp;col=6&amp;number=3.4&amp;sourceID=14","3.4")</f>
        <v>3.4</v>
      </c>
      <c r="G5048" s="4" t="str">
        <f>HYPERLINK("http://141.218.60.56/~jnz1568/getInfo.php?workbook=10_05.xlsx&amp;sheet=U0&amp;row=5048&amp;col=7&amp;number=0.0201&amp;sourceID=14","0.0201")</f>
        <v>0.0201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HYPERLINK("http://141.218.60.56/~jnz1568/getInfo.php?workbook=10_05.xlsx&amp;sheet=U0&amp;row=5049&amp;col=6&amp;number=3.5&amp;sourceID=14","3.5")</f>
        <v>3.5</v>
      </c>
      <c r="G5049" s="4" t="str">
        <f>HYPERLINK("http://141.218.60.56/~jnz1568/getInfo.php?workbook=10_05.xlsx&amp;sheet=U0&amp;row=5049&amp;col=7&amp;number=0.0202&amp;sourceID=14","0.0202")</f>
        <v>0.0202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HYPERLINK("http://141.218.60.56/~jnz1568/getInfo.php?workbook=10_05.xlsx&amp;sheet=U0&amp;row=5050&amp;col=6&amp;number=3.6&amp;sourceID=14","3.6")</f>
        <v>3.6</v>
      </c>
      <c r="G5050" s="4" t="str">
        <f>HYPERLINK("http://141.218.60.56/~jnz1568/getInfo.php?workbook=10_05.xlsx&amp;sheet=U0&amp;row=5050&amp;col=7&amp;number=0.0204&amp;sourceID=14","0.0204")</f>
        <v>0.0204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HYPERLINK("http://141.218.60.56/~jnz1568/getInfo.php?workbook=10_05.xlsx&amp;sheet=U0&amp;row=5051&amp;col=6&amp;number=3.7&amp;sourceID=14","3.7")</f>
        <v>3.7</v>
      </c>
      <c r="G5051" s="4" t="str">
        <f>HYPERLINK("http://141.218.60.56/~jnz1568/getInfo.php?workbook=10_05.xlsx&amp;sheet=U0&amp;row=5051&amp;col=7&amp;number=0.0206&amp;sourceID=14","0.0206")</f>
        <v>0.0206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HYPERLINK("http://141.218.60.56/~jnz1568/getInfo.php?workbook=10_05.xlsx&amp;sheet=U0&amp;row=5052&amp;col=6&amp;number=3.8&amp;sourceID=14","3.8")</f>
        <v>3.8</v>
      </c>
      <c r="G5052" s="4" t="str">
        <f>HYPERLINK("http://141.218.60.56/~jnz1568/getInfo.php?workbook=10_05.xlsx&amp;sheet=U0&amp;row=5052&amp;col=7&amp;number=0.0208&amp;sourceID=14","0.0208")</f>
        <v>0.0208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HYPERLINK("http://141.218.60.56/~jnz1568/getInfo.php?workbook=10_05.xlsx&amp;sheet=U0&amp;row=5053&amp;col=6&amp;number=3.9&amp;sourceID=14","3.9")</f>
        <v>3.9</v>
      </c>
      <c r="G5053" s="4" t="str">
        <f>HYPERLINK("http://141.218.60.56/~jnz1568/getInfo.php?workbook=10_05.xlsx&amp;sheet=U0&amp;row=5053&amp;col=7&amp;number=0.0211&amp;sourceID=14","0.0211")</f>
        <v>0.0211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HYPERLINK("http://141.218.60.56/~jnz1568/getInfo.php?workbook=10_05.xlsx&amp;sheet=U0&amp;row=5054&amp;col=6&amp;number=4&amp;sourceID=14","4")</f>
        <v>4</v>
      </c>
      <c r="G5054" s="4" t="str">
        <f>HYPERLINK("http://141.218.60.56/~jnz1568/getInfo.php?workbook=10_05.xlsx&amp;sheet=U0&amp;row=5054&amp;col=7&amp;number=0.0214&amp;sourceID=14","0.0214")</f>
        <v>0.0214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HYPERLINK("http://141.218.60.56/~jnz1568/getInfo.php?workbook=10_05.xlsx&amp;sheet=U0&amp;row=5055&amp;col=6&amp;number=4.1&amp;sourceID=14","4.1")</f>
        <v>4.1</v>
      </c>
      <c r="G5055" s="4" t="str">
        <f>HYPERLINK("http://141.218.60.56/~jnz1568/getInfo.php?workbook=10_05.xlsx&amp;sheet=U0&amp;row=5055&amp;col=7&amp;number=0.0216&amp;sourceID=14","0.0216")</f>
        <v>0.0216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HYPERLINK("http://141.218.60.56/~jnz1568/getInfo.php?workbook=10_05.xlsx&amp;sheet=U0&amp;row=5056&amp;col=6&amp;number=4.2&amp;sourceID=14","4.2")</f>
        <v>4.2</v>
      </c>
      <c r="G5056" s="4" t="str">
        <f>HYPERLINK("http://141.218.60.56/~jnz1568/getInfo.php?workbook=10_05.xlsx&amp;sheet=U0&amp;row=5056&amp;col=7&amp;number=0.0218&amp;sourceID=14","0.0218")</f>
        <v>0.0218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HYPERLINK("http://141.218.60.56/~jnz1568/getInfo.php?workbook=10_05.xlsx&amp;sheet=U0&amp;row=5057&amp;col=6&amp;number=4.3&amp;sourceID=14","4.3")</f>
        <v>4.3</v>
      </c>
      <c r="G5057" s="4" t="str">
        <f>HYPERLINK("http://141.218.60.56/~jnz1568/getInfo.php?workbook=10_05.xlsx&amp;sheet=U0&amp;row=5057&amp;col=7&amp;number=0.0219&amp;sourceID=14","0.0219")</f>
        <v>0.0219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HYPERLINK("http://141.218.60.56/~jnz1568/getInfo.php?workbook=10_05.xlsx&amp;sheet=U0&amp;row=5058&amp;col=6&amp;number=4.4&amp;sourceID=14","4.4")</f>
        <v>4.4</v>
      </c>
      <c r="G5058" s="4" t="str">
        <f>HYPERLINK("http://141.218.60.56/~jnz1568/getInfo.php?workbook=10_05.xlsx&amp;sheet=U0&amp;row=5058&amp;col=7&amp;number=0.0217&amp;sourceID=14","0.0217")</f>
        <v>0.0217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HYPERLINK("http://141.218.60.56/~jnz1568/getInfo.php?workbook=10_05.xlsx&amp;sheet=U0&amp;row=5059&amp;col=6&amp;number=4.5&amp;sourceID=14","4.5")</f>
        <v>4.5</v>
      </c>
      <c r="G5059" s="4" t="str">
        <f>HYPERLINK("http://141.218.60.56/~jnz1568/getInfo.php?workbook=10_05.xlsx&amp;sheet=U0&amp;row=5059&amp;col=7&amp;number=0.0213&amp;sourceID=14","0.0213")</f>
        <v>0.0213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HYPERLINK("http://141.218.60.56/~jnz1568/getInfo.php?workbook=10_05.xlsx&amp;sheet=U0&amp;row=5060&amp;col=6&amp;number=4.6&amp;sourceID=14","4.6")</f>
        <v>4.6</v>
      </c>
      <c r="G5060" s="4" t="str">
        <f>HYPERLINK("http://141.218.60.56/~jnz1568/getInfo.php?workbook=10_05.xlsx&amp;sheet=U0&amp;row=5060&amp;col=7&amp;number=0.0209&amp;sourceID=14","0.0209")</f>
        <v>0.0209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HYPERLINK("http://141.218.60.56/~jnz1568/getInfo.php?workbook=10_05.xlsx&amp;sheet=U0&amp;row=5061&amp;col=6&amp;number=4.7&amp;sourceID=14","4.7")</f>
        <v>4.7</v>
      </c>
      <c r="G5061" s="4" t="str">
        <f>HYPERLINK("http://141.218.60.56/~jnz1568/getInfo.php?workbook=10_05.xlsx&amp;sheet=U0&amp;row=5061&amp;col=7&amp;number=0.0206&amp;sourceID=14","0.0206")</f>
        <v>0.0206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HYPERLINK("http://141.218.60.56/~jnz1568/getInfo.php?workbook=10_05.xlsx&amp;sheet=U0&amp;row=5062&amp;col=6&amp;number=4.8&amp;sourceID=14","4.8")</f>
        <v>4.8</v>
      </c>
      <c r="G5062" s="4" t="str">
        <f>HYPERLINK("http://141.218.60.56/~jnz1568/getInfo.php?workbook=10_05.xlsx&amp;sheet=U0&amp;row=5062&amp;col=7&amp;number=0.0201&amp;sourceID=14","0.0201")</f>
        <v>0.0201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HYPERLINK("http://141.218.60.56/~jnz1568/getInfo.php?workbook=10_05.xlsx&amp;sheet=U0&amp;row=5063&amp;col=6&amp;number=4.9&amp;sourceID=14","4.9")</f>
        <v>4.9</v>
      </c>
      <c r="G5063" s="4" t="str">
        <f>HYPERLINK("http://141.218.60.56/~jnz1568/getInfo.php?workbook=10_05.xlsx&amp;sheet=U0&amp;row=5063&amp;col=7&amp;number=0.0196&amp;sourceID=14","0.0196")</f>
        <v>0.0196</v>
      </c>
    </row>
    <row r="5064" spans="1:7">
      <c r="A5064" s="3">
        <v>10</v>
      </c>
      <c r="B5064" s="3">
        <v>5</v>
      </c>
      <c r="C5064" s="3">
        <v>2</v>
      </c>
      <c r="D5064" s="3">
        <v>77</v>
      </c>
      <c r="E5064" s="3">
        <v>1</v>
      </c>
      <c r="F5064" s="4" t="str">
        <f>HYPERLINK("http://141.218.60.56/~jnz1568/getInfo.php?workbook=10_05.xlsx&amp;sheet=U0&amp;row=5064&amp;col=6&amp;number=3&amp;sourceID=14","3")</f>
        <v>3</v>
      </c>
      <c r="G5064" s="4" t="str">
        <f>HYPERLINK("http://141.218.60.56/~jnz1568/getInfo.php?workbook=10_05.xlsx&amp;sheet=U0&amp;row=5064&amp;col=7&amp;number=0.00871&amp;sourceID=14","0.00871")</f>
        <v>0.00871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HYPERLINK("http://141.218.60.56/~jnz1568/getInfo.php?workbook=10_05.xlsx&amp;sheet=U0&amp;row=5065&amp;col=6&amp;number=3.1&amp;sourceID=14","3.1")</f>
        <v>3.1</v>
      </c>
      <c r="G5065" s="4" t="str">
        <f>HYPERLINK("http://141.218.60.56/~jnz1568/getInfo.php?workbook=10_05.xlsx&amp;sheet=U0&amp;row=5065&amp;col=7&amp;number=0.0087&amp;sourceID=14","0.0087")</f>
        <v>0.0087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HYPERLINK("http://141.218.60.56/~jnz1568/getInfo.php?workbook=10_05.xlsx&amp;sheet=U0&amp;row=5066&amp;col=6&amp;number=3.2&amp;sourceID=14","3.2")</f>
        <v>3.2</v>
      </c>
      <c r="G5066" s="4" t="str">
        <f>HYPERLINK("http://141.218.60.56/~jnz1568/getInfo.php?workbook=10_05.xlsx&amp;sheet=U0&amp;row=5066&amp;col=7&amp;number=0.0087&amp;sourceID=14","0.0087")</f>
        <v>0.0087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HYPERLINK("http://141.218.60.56/~jnz1568/getInfo.php?workbook=10_05.xlsx&amp;sheet=U0&amp;row=5067&amp;col=6&amp;number=3.3&amp;sourceID=14","3.3")</f>
        <v>3.3</v>
      </c>
      <c r="G5067" s="4" t="str">
        <f>HYPERLINK("http://141.218.60.56/~jnz1568/getInfo.php?workbook=10_05.xlsx&amp;sheet=U0&amp;row=5067&amp;col=7&amp;number=0.0087&amp;sourceID=14","0.0087")</f>
        <v>0.0087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HYPERLINK("http://141.218.60.56/~jnz1568/getInfo.php?workbook=10_05.xlsx&amp;sheet=U0&amp;row=5068&amp;col=6&amp;number=3.4&amp;sourceID=14","3.4")</f>
        <v>3.4</v>
      </c>
      <c r="G5068" s="4" t="str">
        <f>HYPERLINK("http://141.218.60.56/~jnz1568/getInfo.php?workbook=10_05.xlsx&amp;sheet=U0&amp;row=5068&amp;col=7&amp;number=0.00869&amp;sourceID=14","0.00869")</f>
        <v>0.00869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HYPERLINK("http://141.218.60.56/~jnz1568/getInfo.php?workbook=10_05.xlsx&amp;sheet=U0&amp;row=5069&amp;col=6&amp;number=3.5&amp;sourceID=14","3.5")</f>
        <v>3.5</v>
      </c>
      <c r="G5069" s="4" t="str">
        <f>HYPERLINK("http://141.218.60.56/~jnz1568/getInfo.php?workbook=10_05.xlsx&amp;sheet=U0&amp;row=5069&amp;col=7&amp;number=0.00869&amp;sourceID=14","0.00869")</f>
        <v>0.00869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HYPERLINK("http://141.218.60.56/~jnz1568/getInfo.php?workbook=10_05.xlsx&amp;sheet=U0&amp;row=5070&amp;col=6&amp;number=3.6&amp;sourceID=14","3.6")</f>
        <v>3.6</v>
      </c>
      <c r="G5070" s="4" t="str">
        <f>HYPERLINK("http://141.218.60.56/~jnz1568/getInfo.php?workbook=10_05.xlsx&amp;sheet=U0&amp;row=5070&amp;col=7&amp;number=0.00868&amp;sourceID=14","0.00868")</f>
        <v>0.00868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HYPERLINK("http://141.218.60.56/~jnz1568/getInfo.php?workbook=10_05.xlsx&amp;sheet=U0&amp;row=5071&amp;col=6&amp;number=3.7&amp;sourceID=14","3.7")</f>
        <v>3.7</v>
      </c>
      <c r="G5071" s="4" t="str">
        <f>HYPERLINK("http://141.218.60.56/~jnz1568/getInfo.php?workbook=10_05.xlsx&amp;sheet=U0&amp;row=5071&amp;col=7&amp;number=0.00867&amp;sourceID=14","0.00867")</f>
        <v>0.00867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HYPERLINK("http://141.218.60.56/~jnz1568/getInfo.php?workbook=10_05.xlsx&amp;sheet=U0&amp;row=5072&amp;col=6&amp;number=3.8&amp;sourceID=14","3.8")</f>
        <v>3.8</v>
      </c>
      <c r="G5072" s="4" t="str">
        <f>HYPERLINK("http://141.218.60.56/~jnz1568/getInfo.php?workbook=10_05.xlsx&amp;sheet=U0&amp;row=5072&amp;col=7&amp;number=0.00866&amp;sourceID=14","0.00866")</f>
        <v>0.00866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HYPERLINK("http://141.218.60.56/~jnz1568/getInfo.php?workbook=10_05.xlsx&amp;sheet=U0&amp;row=5073&amp;col=6&amp;number=3.9&amp;sourceID=14","3.9")</f>
        <v>3.9</v>
      </c>
      <c r="G5073" s="4" t="str">
        <f>HYPERLINK("http://141.218.60.56/~jnz1568/getInfo.php?workbook=10_05.xlsx&amp;sheet=U0&amp;row=5073&amp;col=7&amp;number=0.00864&amp;sourceID=14","0.00864")</f>
        <v>0.00864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HYPERLINK("http://141.218.60.56/~jnz1568/getInfo.php?workbook=10_05.xlsx&amp;sheet=U0&amp;row=5074&amp;col=6&amp;number=4&amp;sourceID=14","4")</f>
        <v>4</v>
      </c>
      <c r="G5074" s="4" t="str">
        <f>HYPERLINK("http://141.218.60.56/~jnz1568/getInfo.php?workbook=10_05.xlsx&amp;sheet=U0&amp;row=5074&amp;col=7&amp;number=0.0086&amp;sourceID=14","0.0086")</f>
        <v>0.0086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HYPERLINK("http://141.218.60.56/~jnz1568/getInfo.php?workbook=10_05.xlsx&amp;sheet=U0&amp;row=5075&amp;col=6&amp;number=4.1&amp;sourceID=14","4.1")</f>
        <v>4.1</v>
      </c>
      <c r="G5075" s="4" t="str">
        <f>HYPERLINK("http://141.218.60.56/~jnz1568/getInfo.php?workbook=10_05.xlsx&amp;sheet=U0&amp;row=5075&amp;col=7&amp;number=0.00856&amp;sourceID=14","0.00856")</f>
        <v>0.00856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HYPERLINK("http://141.218.60.56/~jnz1568/getInfo.php?workbook=10_05.xlsx&amp;sheet=U0&amp;row=5076&amp;col=6&amp;number=4.2&amp;sourceID=14","4.2")</f>
        <v>4.2</v>
      </c>
      <c r="G5076" s="4" t="str">
        <f>HYPERLINK("http://141.218.60.56/~jnz1568/getInfo.php?workbook=10_05.xlsx&amp;sheet=U0&amp;row=5076&amp;col=7&amp;number=0.00848&amp;sourceID=14","0.00848")</f>
        <v>0.00848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HYPERLINK("http://141.218.60.56/~jnz1568/getInfo.php?workbook=10_05.xlsx&amp;sheet=U0&amp;row=5077&amp;col=6&amp;number=4.3&amp;sourceID=14","4.3")</f>
        <v>4.3</v>
      </c>
      <c r="G5077" s="4" t="str">
        <f>HYPERLINK("http://141.218.60.56/~jnz1568/getInfo.php?workbook=10_05.xlsx&amp;sheet=U0&amp;row=5077&amp;col=7&amp;number=0.00834&amp;sourceID=14","0.00834")</f>
        <v>0.00834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HYPERLINK("http://141.218.60.56/~jnz1568/getInfo.php?workbook=10_05.xlsx&amp;sheet=U0&amp;row=5078&amp;col=6&amp;number=4.4&amp;sourceID=14","4.4")</f>
        <v>4.4</v>
      </c>
      <c r="G5078" s="4" t="str">
        <f>HYPERLINK("http://141.218.60.56/~jnz1568/getInfo.php?workbook=10_05.xlsx&amp;sheet=U0&amp;row=5078&amp;col=7&amp;number=0.00812&amp;sourceID=14","0.00812")</f>
        <v>0.00812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HYPERLINK("http://141.218.60.56/~jnz1568/getInfo.php?workbook=10_05.xlsx&amp;sheet=U0&amp;row=5079&amp;col=6&amp;number=4.5&amp;sourceID=14","4.5")</f>
        <v>4.5</v>
      </c>
      <c r="G5079" s="4" t="str">
        <f>HYPERLINK("http://141.218.60.56/~jnz1568/getInfo.php?workbook=10_05.xlsx&amp;sheet=U0&amp;row=5079&amp;col=7&amp;number=0.00778&amp;sourceID=14","0.00778")</f>
        <v>0.00778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HYPERLINK("http://141.218.60.56/~jnz1568/getInfo.php?workbook=10_05.xlsx&amp;sheet=U0&amp;row=5080&amp;col=6&amp;number=4.6&amp;sourceID=14","4.6")</f>
        <v>4.6</v>
      </c>
      <c r="G5080" s="4" t="str">
        <f>HYPERLINK("http://141.218.60.56/~jnz1568/getInfo.php?workbook=10_05.xlsx&amp;sheet=U0&amp;row=5080&amp;col=7&amp;number=0.00731&amp;sourceID=14","0.00731")</f>
        <v>0.00731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HYPERLINK("http://141.218.60.56/~jnz1568/getInfo.php?workbook=10_05.xlsx&amp;sheet=U0&amp;row=5081&amp;col=6&amp;number=4.7&amp;sourceID=14","4.7")</f>
        <v>4.7</v>
      </c>
      <c r="G5081" s="4" t="str">
        <f>HYPERLINK("http://141.218.60.56/~jnz1568/getInfo.php?workbook=10_05.xlsx&amp;sheet=U0&amp;row=5081&amp;col=7&amp;number=0.00676&amp;sourceID=14","0.00676")</f>
        <v>0.00676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HYPERLINK("http://141.218.60.56/~jnz1568/getInfo.php?workbook=10_05.xlsx&amp;sheet=U0&amp;row=5082&amp;col=6&amp;number=4.8&amp;sourceID=14","4.8")</f>
        <v>4.8</v>
      </c>
      <c r="G5082" s="4" t="str">
        <f>HYPERLINK("http://141.218.60.56/~jnz1568/getInfo.php?workbook=10_05.xlsx&amp;sheet=U0&amp;row=5082&amp;col=7&amp;number=0.00621&amp;sourceID=14","0.00621")</f>
        <v>0.00621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HYPERLINK("http://141.218.60.56/~jnz1568/getInfo.php?workbook=10_05.xlsx&amp;sheet=U0&amp;row=5083&amp;col=6&amp;number=4.9&amp;sourceID=14","4.9")</f>
        <v>4.9</v>
      </c>
      <c r="G5083" s="4" t="str">
        <f>HYPERLINK("http://141.218.60.56/~jnz1568/getInfo.php?workbook=10_05.xlsx&amp;sheet=U0&amp;row=5083&amp;col=7&amp;number=0.00572&amp;sourceID=14","0.00572")</f>
        <v>0.00572</v>
      </c>
    </row>
    <row r="5084" spans="1:7">
      <c r="A5084" s="3">
        <v>10</v>
      </c>
      <c r="B5084" s="3">
        <v>5</v>
      </c>
      <c r="C5084" s="3">
        <v>2</v>
      </c>
      <c r="D5084" s="3">
        <v>78</v>
      </c>
      <c r="E5084" s="3">
        <v>1</v>
      </c>
      <c r="F5084" s="4" t="str">
        <f>HYPERLINK("http://141.218.60.56/~jnz1568/getInfo.php?workbook=10_05.xlsx&amp;sheet=U0&amp;row=5084&amp;col=6&amp;number=3&amp;sourceID=14","3")</f>
        <v>3</v>
      </c>
      <c r="G5084" s="4" t="str">
        <f>HYPERLINK("http://141.218.60.56/~jnz1568/getInfo.php?workbook=10_05.xlsx&amp;sheet=U0&amp;row=5084&amp;col=7&amp;number=0.0255&amp;sourceID=14","0.0255")</f>
        <v>0.0255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HYPERLINK("http://141.218.60.56/~jnz1568/getInfo.php?workbook=10_05.xlsx&amp;sheet=U0&amp;row=5085&amp;col=6&amp;number=3.1&amp;sourceID=14","3.1")</f>
        <v>3.1</v>
      </c>
      <c r="G5085" s="4" t="str">
        <f>HYPERLINK("http://141.218.60.56/~jnz1568/getInfo.php?workbook=10_05.xlsx&amp;sheet=U0&amp;row=5085&amp;col=7&amp;number=0.0255&amp;sourceID=14","0.0255")</f>
        <v>0.0255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HYPERLINK("http://141.218.60.56/~jnz1568/getInfo.php?workbook=10_05.xlsx&amp;sheet=U0&amp;row=5086&amp;col=6&amp;number=3.2&amp;sourceID=14","3.2")</f>
        <v>3.2</v>
      </c>
      <c r="G5086" s="4" t="str">
        <f>HYPERLINK("http://141.218.60.56/~jnz1568/getInfo.php?workbook=10_05.xlsx&amp;sheet=U0&amp;row=5086&amp;col=7&amp;number=0.0255&amp;sourceID=14","0.0255")</f>
        <v>0.0255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HYPERLINK("http://141.218.60.56/~jnz1568/getInfo.php?workbook=10_05.xlsx&amp;sheet=U0&amp;row=5087&amp;col=6&amp;number=3.3&amp;sourceID=14","3.3")</f>
        <v>3.3</v>
      </c>
      <c r="G5087" s="4" t="str">
        <f>HYPERLINK("http://141.218.60.56/~jnz1568/getInfo.php?workbook=10_05.xlsx&amp;sheet=U0&amp;row=5087&amp;col=7&amp;number=0.0254&amp;sourceID=14","0.0254")</f>
        <v>0.0254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HYPERLINK("http://141.218.60.56/~jnz1568/getInfo.php?workbook=10_05.xlsx&amp;sheet=U0&amp;row=5088&amp;col=6&amp;number=3.4&amp;sourceID=14","3.4")</f>
        <v>3.4</v>
      </c>
      <c r="G5088" s="4" t="str">
        <f>HYPERLINK("http://141.218.60.56/~jnz1568/getInfo.php?workbook=10_05.xlsx&amp;sheet=U0&amp;row=5088&amp;col=7&amp;number=0.0254&amp;sourceID=14","0.0254")</f>
        <v>0.0254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HYPERLINK("http://141.218.60.56/~jnz1568/getInfo.php?workbook=10_05.xlsx&amp;sheet=U0&amp;row=5089&amp;col=6&amp;number=3.5&amp;sourceID=14","3.5")</f>
        <v>3.5</v>
      </c>
      <c r="G5089" s="4" t="str">
        <f>HYPERLINK("http://141.218.60.56/~jnz1568/getInfo.php?workbook=10_05.xlsx&amp;sheet=U0&amp;row=5089&amp;col=7&amp;number=0.0253&amp;sourceID=14","0.0253")</f>
        <v>0.0253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HYPERLINK("http://141.218.60.56/~jnz1568/getInfo.php?workbook=10_05.xlsx&amp;sheet=U0&amp;row=5090&amp;col=6&amp;number=3.6&amp;sourceID=14","3.6")</f>
        <v>3.6</v>
      </c>
      <c r="G5090" s="4" t="str">
        <f>HYPERLINK("http://141.218.60.56/~jnz1568/getInfo.php?workbook=10_05.xlsx&amp;sheet=U0&amp;row=5090&amp;col=7&amp;number=0.0252&amp;sourceID=14","0.0252")</f>
        <v>0.0252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HYPERLINK("http://141.218.60.56/~jnz1568/getInfo.php?workbook=10_05.xlsx&amp;sheet=U0&amp;row=5091&amp;col=6&amp;number=3.7&amp;sourceID=14","3.7")</f>
        <v>3.7</v>
      </c>
      <c r="G5091" s="4" t="str">
        <f>HYPERLINK("http://141.218.60.56/~jnz1568/getInfo.php?workbook=10_05.xlsx&amp;sheet=U0&amp;row=5091&amp;col=7&amp;number=0.0251&amp;sourceID=14","0.0251")</f>
        <v>0.0251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HYPERLINK("http://141.218.60.56/~jnz1568/getInfo.php?workbook=10_05.xlsx&amp;sheet=U0&amp;row=5092&amp;col=6&amp;number=3.8&amp;sourceID=14","3.8")</f>
        <v>3.8</v>
      </c>
      <c r="G5092" s="4" t="str">
        <f>HYPERLINK("http://141.218.60.56/~jnz1568/getInfo.php?workbook=10_05.xlsx&amp;sheet=U0&amp;row=5092&amp;col=7&amp;number=0.0249&amp;sourceID=14","0.0249")</f>
        <v>0.0249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HYPERLINK("http://141.218.60.56/~jnz1568/getInfo.php?workbook=10_05.xlsx&amp;sheet=U0&amp;row=5093&amp;col=6&amp;number=3.9&amp;sourceID=14","3.9")</f>
        <v>3.9</v>
      </c>
      <c r="G5093" s="4" t="str">
        <f>HYPERLINK("http://141.218.60.56/~jnz1568/getInfo.php?workbook=10_05.xlsx&amp;sheet=U0&amp;row=5093&amp;col=7&amp;number=0.0247&amp;sourceID=14","0.0247")</f>
        <v>0.0247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HYPERLINK("http://141.218.60.56/~jnz1568/getInfo.php?workbook=10_05.xlsx&amp;sheet=U0&amp;row=5094&amp;col=6&amp;number=4&amp;sourceID=14","4")</f>
        <v>4</v>
      </c>
      <c r="G5094" s="4" t="str">
        <f>HYPERLINK("http://141.218.60.56/~jnz1568/getInfo.php?workbook=10_05.xlsx&amp;sheet=U0&amp;row=5094&amp;col=7&amp;number=0.0245&amp;sourceID=14","0.0245")</f>
        <v>0.0245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HYPERLINK("http://141.218.60.56/~jnz1568/getInfo.php?workbook=10_05.xlsx&amp;sheet=U0&amp;row=5095&amp;col=6&amp;number=4.1&amp;sourceID=14","4.1")</f>
        <v>4.1</v>
      </c>
      <c r="G5095" s="4" t="str">
        <f>HYPERLINK("http://141.218.60.56/~jnz1568/getInfo.php?workbook=10_05.xlsx&amp;sheet=U0&amp;row=5095&amp;col=7&amp;number=0.0242&amp;sourceID=14","0.0242")</f>
        <v>0.0242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HYPERLINK("http://141.218.60.56/~jnz1568/getInfo.php?workbook=10_05.xlsx&amp;sheet=U0&amp;row=5096&amp;col=6&amp;number=4.2&amp;sourceID=14","4.2")</f>
        <v>4.2</v>
      </c>
      <c r="G5096" s="4" t="str">
        <f>HYPERLINK("http://141.218.60.56/~jnz1568/getInfo.php?workbook=10_05.xlsx&amp;sheet=U0&amp;row=5096&amp;col=7&amp;number=0.0238&amp;sourceID=14","0.0238")</f>
        <v>0.0238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HYPERLINK("http://141.218.60.56/~jnz1568/getInfo.php?workbook=10_05.xlsx&amp;sheet=U0&amp;row=5097&amp;col=6&amp;number=4.3&amp;sourceID=14","4.3")</f>
        <v>4.3</v>
      </c>
      <c r="G5097" s="4" t="str">
        <f>HYPERLINK("http://141.218.60.56/~jnz1568/getInfo.php?workbook=10_05.xlsx&amp;sheet=U0&amp;row=5097&amp;col=7&amp;number=0.0233&amp;sourceID=14","0.0233")</f>
        <v>0.0233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HYPERLINK("http://141.218.60.56/~jnz1568/getInfo.php?workbook=10_05.xlsx&amp;sheet=U0&amp;row=5098&amp;col=6&amp;number=4.4&amp;sourceID=14","4.4")</f>
        <v>4.4</v>
      </c>
      <c r="G5098" s="4" t="str">
        <f>HYPERLINK("http://141.218.60.56/~jnz1568/getInfo.php?workbook=10_05.xlsx&amp;sheet=U0&amp;row=5098&amp;col=7&amp;number=0.0227&amp;sourceID=14","0.0227")</f>
        <v>0.0227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HYPERLINK("http://141.218.60.56/~jnz1568/getInfo.php?workbook=10_05.xlsx&amp;sheet=U0&amp;row=5099&amp;col=6&amp;number=4.5&amp;sourceID=14","4.5")</f>
        <v>4.5</v>
      </c>
      <c r="G5099" s="4" t="str">
        <f>HYPERLINK("http://141.218.60.56/~jnz1568/getInfo.php?workbook=10_05.xlsx&amp;sheet=U0&amp;row=5099&amp;col=7&amp;number=0.0219&amp;sourceID=14","0.0219")</f>
        <v>0.0219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HYPERLINK("http://141.218.60.56/~jnz1568/getInfo.php?workbook=10_05.xlsx&amp;sheet=U0&amp;row=5100&amp;col=6&amp;number=4.6&amp;sourceID=14","4.6")</f>
        <v>4.6</v>
      </c>
      <c r="G5100" s="4" t="str">
        <f>HYPERLINK("http://141.218.60.56/~jnz1568/getInfo.php?workbook=10_05.xlsx&amp;sheet=U0&amp;row=5100&amp;col=7&amp;number=0.0208&amp;sourceID=14","0.0208")</f>
        <v>0.0208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HYPERLINK("http://141.218.60.56/~jnz1568/getInfo.php?workbook=10_05.xlsx&amp;sheet=U0&amp;row=5101&amp;col=6&amp;number=4.7&amp;sourceID=14","4.7")</f>
        <v>4.7</v>
      </c>
      <c r="G5101" s="4" t="str">
        <f>HYPERLINK("http://141.218.60.56/~jnz1568/getInfo.php?workbook=10_05.xlsx&amp;sheet=U0&amp;row=5101&amp;col=7&amp;number=0.0196&amp;sourceID=14","0.0196")</f>
        <v>0.0196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HYPERLINK("http://141.218.60.56/~jnz1568/getInfo.php?workbook=10_05.xlsx&amp;sheet=U0&amp;row=5102&amp;col=6&amp;number=4.8&amp;sourceID=14","4.8")</f>
        <v>4.8</v>
      </c>
      <c r="G5102" s="4" t="str">
        <f>HYPERLINK("http://141.218.60.56/~jnz1568/getInfo.php?workbook=10_05.xlsx&amp;sheet=U0&amp;row=5102&amp;col=7&amp;number=0.0182&amp;sourceID=14","0.0182")</f>
        <v>0.0182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HYPERLINK("http://141.218.60.56/~jnz1568/getInfo.php?workbook=10_05.xlsx&amp;sheet=U0&amp;row=5103&amp;col=6&amp;number=4.9&amp;sourceID=14","4.9")</f>
        <v>4.9</v>
      </c>
      <c r="G5103" s="4" t="str">
        <f>HYPERLINK("http://141.218.60.56/~jnz1568/getInfo.php?workbook=10_05.xlsx&amp;sheet=U0&amp;row=5103&amp;col=7&amp;number=0.0168&amp;sourceID=14","0.0168")</f>
        <v>0.0168</v>
      </c>
    </row>
    <row r="5104" spans="1:7">
      <c r="A5104" s="3">
        <v>10</v>
      </c>
      <c r="B5104" s="3">
        <v>5</v>
      </c>
      <c r="C5104" s="3">
        <v>2</v>
      </c>
      <c r="D5104" s="3">
        <v>79</v>
      </c>
      <c r="E5104" s="3">
        <v>1</v>
      </c>
      <c r="F5104" s="4" t="str">
        <f>HYPERLINK("http://141.218.60.56/~jnz1568/getInfo.php?workbook=10_05.xlsx&amp;sheet=U0&amp;row=5104&amp;col=6&amp;number=3&amp;sourceID=14","3")</f>
        <v>3</v>
      </c>
      <c r="G5104" s="4" t="str">
        <f>HYPERLINK("http://141.218.60.56/~jnz1568/getInfo.php?workbook=10_05.xlsx&amp;sheet=U0&amp;row=5104&amp;col=7&amp;number=0.00129&amp;sourceID=14","0.00129")</f>
        <v>0.00129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HYPERLINK("http://141.218.60.56/~jnz1568/getInfo.php?workbook=10_05.xlsx&amp;sheet=U0&amp;row=5105&amp;col=6&amp;number=3.1&amp;sourceID=14","3.1")</f>
        <v>3.1</v>
      </c>
      <c r="G5105" s="4" t="str">
        <f>HYPERLINK("http://141.218.60.56/~jnz1568/getInfo.php?workbook=10_05.xlsx&amp;sheet=U0&amp;row=5105&amp;col=7&amp;number=0.00141&amp;sourceID=14","0.00141")</f>
        <v>0.00141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HYPERLINK("http://141.218.60.56/~jnz1568/getInfo.php?workbook=10_05.xlsx&amp;sheet=U0&amp;row=5106&amp;col=6&amp;number=3.2&amp;sourceID=14","3.2")</f>
        <v>3.2</v>
      </c>
      <c r="G5106" s="4" t="str">
        <f>HYPERLINK("http://141.218.60.56/~jnz1568/getInfo.php?workbook=10_05.xlsx&amp;sheet=U0&amp;row=5106&amp;col=7&amp;number=0.00157&amp;sourceID=14","0.00157")</f>
        <v>0.00157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HYPERLINK("http://141.218.60.56/~jnz1568/getInfo.php?workbook=10_05.xlsx&amp;sheet=U0&amp;row=5107&amp;col=6&amp;number=3.3&amp;sourceID=14","3.3")</f>
        <v>3.3</v>
      </c>
      <c r="G5107" s="4" t="str">
        <f>HYPERLINK("http://141.218.60.56/~jnz1568/getInfo.php?workbook=10_05.xlsx&amp;sheet=U0&amp;row=5107&amp;col=7&amp;number=0.00176&amp;sourceID=14","0.00176")</f>
        <v>0.00176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HYPERLINK("http://141.218.60.56/~jnz1568/getInfo.php?workbook=10_05.xlsx&amp;sheet=U0&amp;row=5108&amp;col=6&amp;number=3.4&amp;sourceID=14","3.4")</f>
        <v>3.4</v>
      </c>
      <c r="G5108" s="4" t="str">
        <f>HYPERLINK("http://141.218.60.56/~jnz1568/getInfo.php?workbook=10_05.xlsx&amp;sheet=U0&amp;row=5108&amp;col=7&amp;number=0.00198&amp;sourceID=14","0.00198")</f>
        <v>0.00198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HYPERLINK("http://141.218.60.56/~jnz1568/getInfo.php?workbook=10_05.xlsx&amp;sheet=U0&amp;row=5109&amp;col=6&amp;number=3.5&amp;sourceID=14","3.5")</f>
        <v>3.5</v>
      </c>
      <c r="G5109" s="4" t="str">
        <f>HYPERLINK("http://141.218.60.56/~jnz1568/getInfo.php?workbook=10_05.xlsx&amp;sheet=U0&amp;row=5109&amp;col=7&amp;number=0.00225&amp;sourceID=14","0.00225")</f>
        <v>0.00225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HYPERLINK("http://141.218.60.56/~jnz1568/getInfo.php?workbook=10_05.xlsx&amp;sheet=U0&amp;row=5110&amp;col=6&amp;number=3.6&amp;sourceID=14","3.6")</f>
        <v>3.6</v>
      </c>
      <c r="G5110" s="4" t="str">
        <f>HYPERLINK("http://141.218.60.56/~jnz1568/getInfo.php?workbook=10_05.xlsx&amp;sheet=U0&amp;row=5110&amp;col=7&amp;number=0.00256&amp;sourceID=14","0.00256")</f>
        <v>0.00256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HYPERLINK("http://141.218.60.56/~jnz1568/getInfo.php?workbook=10_05.xlsx&amp;sheet=U0&amp;row=5111&amp;col=6&amp;number=3.7&amp;sourceID=14","3.7")</f>
        <v>3.7</v>
      </c>
      <c r="G5111" s="4" t="str">
        <f>HYPERLINK("http://141.218.60.56/~jnz1568/getInfo.php?workbook=10_05.xlsx&amp;sheet=U0&amp;row=5111&amp;col=7&amp;number=0.0029&amp;sourceID=14","0.0029")</f>
        <v>0.0029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HYPERLINK("http://141.218.60.56/~jnz1568/getInfo.php?workbook=10_05.xlsx&amp;sheet=U0&amp;row=5112&amp;col=6&amp;number=3.8&amp;sourceID=14","3.8")</f>
        <v>3.8</v>
      </c>
      <c r="G5112" s="4" t="str">
        <f>HYPERLINK("http://141.218.60.56/~jnz1568/getInfo.php?workbook=10_05.xlsx&amp;sheet=U0&amp;row=5112&amp;col=7&amp;number=0.00325&amp;sourceID=14","0.00325")</f>
        <v>0.00325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HYPERLINK("http://141.218.60.56/~jnz1568/getInfo.php?workbook=10_05.xlsx&amp;sheet=U0&amp;row=5113&amp;col=6&amp;number=3.9&amp;sourceID=14","3.9")</f>
        <v>3.9</v>
      </c>
      <c r="G5113" s="4" t="str">
        <f>HYPERLINK("http://141.218.60.56/~jnz1568/getInfo.php?workbook=10_05.xlsx&amp;sheet=U0&amp;row=5113&amp;col=7&amp;number=0.00356&amp;sourceID=14","0.00356")</f>
        <v>0.00356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HYPERLINK("http://141.218.60.56/~jnz1568/getInfo.php?workbook=10_05.xlsx&amp;sheet=U0&amp;row=5114&amp;col=6&amp;number=4&amp;sourceID=14","4")</f>
        <v>4</v>
      </c>
      <c r="G5114" s="4" t="str">
        <f>HYPERLINK("http://141.218.60.56/~jnz1568/getInfo.php?workbook=10_05.xlsx&amp;sheet=U0&amp;row=5114&amp;col=7&amp;number=0.00379&amp;sourceID=14","0.00379")</f>
        <v>0.00379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HYPERLINK("http://141.218.60.56/~jnz1568/getInfo.php?workbook=10_05.xlsx&amp;sheet=U0&amp;row=5115&amp;col=6&amp;number=4.1&amp;sourceID=14","4.1")</f>
        <v>4.1</v>
      </c>
      <c r="G5115" s="4" t="str">
        <f>HYPERLINK("http://141.218.60.56/~jnz1568/getInfo.php?workbook=10_05.xlsx&amp;sheet=U0&amp;row=5115&amp;col=7&amp;number=0.00394&amp;sourceID=14","0.00394")</f>
        <v>0.00394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HYPERLINK("http://141.218.60.56/~jnz1568/getInfo.php?workbook=10_05.xlsx&amp;sheet=U0&amp;row=5116&amp;col=6&amp;number=4.2&amp;sourceID=14","4.2")</f>
        <v>4.2</v>
      </c>
      <c r="G5116" s="4" t="str">
        <f>HYPERLINK("http://141.218.60.56/~jnz1568/getInfo.php?workbook=10_05.xlsx&amp;sheet=U0&amp;row=5116&amp;col=7&amp;number=0.00401&amp;sourceID=14","0.00401")</f>
        <v>0.00401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HYPERLINK("http://141.218.60.56/~jnz1568/getInfo.php?workbook=10_05.xlsx&amp;sheet=U0&amp;row=5117&amp;col=6&amp;number=4.3&amp;sourceID=14","4.3")</f>
        <v>4.3</v>
      </c>
      <c r="G5117" s="4" t="str">
        <f>HYPERLINK("http://141.218.60.56/~jnz1568/getInfo.php?workbook=10_05.xlsx&amp;sheet=U0&amp;row=5117&amp;col=7&amp;number=0.00404&amp;sourceID=14","0.00404")</f>
        <v>0.00404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HYPERLINK("http://141.218.60.56/~jnz1568/getInfo.php?workbook=10_05.xlsx&amp;sheet=U0&amp;row=5118&amp;col=6&amp;number=4.4&amp;sourceID=14","4.4")</f>
        <v>4.4</v>
      </c>
      <c r="G5118" s="4" t="str">
        <f>HYPERLINK("http://141.218.60.56/~jnz1568/getInfo.php?workbook=10_05.xlsx&amp;sheet=U0&amp;row=5118&amp;col=7&amp;number=0.004&amp;sourceID=14","0.004")</f>
        <v>0.004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HYPERLINK("http://141.218.60.56/~jnz1568/getInfo.php?workbook=10_05.xlsx&amp;sheet=U0&amp;row=5119&amp;col=6&amp;number=4.5&amp;sourceID=14","4.5")</f>
        <v>4.5</v>
      </c>
      <c r="G5119" s="4" t="str">
        <f>HYPERLINK("http://141.218.60.56/~jnz1568/getInfo.php?workbook=10_05.xlsx&amp;sheet=U0&amp;row=5119&amp;col=7&amp;number=0.00386&amp;sourceID=14","0.00386")</f>
        <v>0.00386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HYPERLINK("http://141.218.60.56/~jnz1568/getInfo.php?workbook=10_05.xlsx&amp;sheet=U0&amp;row=5120&amp;col=6&amp;number=4.6&amp;sourceID=14","4.6")</f>
        <v>4.6</v>
      </c>
      <c r="G5120" s="4" t="str">
        <f>HYPERLINK("http://141.218.60.56/~jnz1568/getInfo.php?workbook=10_05.xlsx&amp;sheet=U0&amp;row=5120&amp;col=7&amp;number=0.00362&amp;sourceID=14","0.00362")</f>
        <v>0.00362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HYPERLINK("http://141.218.60.56/~jnz1568/getInfo.php?workbook=10_05.xlsx&amp;sheet=U0&amp;row=5121&amp;col=6&amp;number=4.7&amp;sourceID=14","4.7")</f>
        <v>4.7</v>
      </c>
      <c r="G5121" s="4" t="str">
        <f>HYPERLINK("http://141.218.60.56/~jnz1568/getInfo.php?workbook=10_05.xlsx&amp;sheet=U0&amp;row=5121&amp;col=7&amp;number=0.00333&amp;sourceID=14","0.00333")</f>
        <v>0.00333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HYPERLINK("http://141.218.60.56/~jnz1568/getInfo.php?workbook=10_05.xlsx&amp;sheet=U0&amp;row=5122&amp;col=6&amp;number=4.8&amp;sourceID=14","4.8")</f>
        <v>4.8</v>
      </c>
      <c r="G5122" s="4" t="str">
        <f>HYPERLINK("http://141.218.60.56/~jnz1568/getInfo.php?workbook=10_05.xlsx&amp;sheet=U0&amp;row=5122&amp;col=7&amp;number=0.00302&amp;sourceID=14","0.00302")</f>
        <v>0.00302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HYPERLINK("http://141.218.60.56/~jnz1568/getInfo.php?workbook=10_05.xlsx&amp;sheet=U0&amp;row=5123&amp;col=6&amp;number=4.9&amp;sourceID=14","4.9")</f>
        <v>4.9</v>
      </c>
      <c r="G5123" s="4" t="str">
        <f>HYPERLINK("http://141.218.60.56/~jnz1568/getInfo.php?workbook=10_05.xlsx&amp;sheet=U0&amp;row=5123&amp;col=7&amp;number=0.0027&amp;sourceID=14","0.0027")</f>
        <v>0.0027</v>
      </c>
    </row>
    <row r="5124" spans="1:7">
      <c r="A5124" s="3">
        <v>10</v>
      </c>
      <c r="B5124" s="3">
        <v>5</v>
      </c>
      <c r="C5124" s="3">
        <v>2</v>
      </c>
      <c r="D5124" s="3">
        <v>80</v>
      </c>
      <c r="E5124" s="3">
        <v>1</v>
      </c>
      <c r="F5124" s="4" t="str">
        <f>HYPERLINK("http://141.218.60.56/~jnz1568/getInfo.php?workbook=10_05.xlsx&amp;sheet=U0&amp;row=5124&amp;col=6&amp;number=3&amp;sourceID=14","3")</f>
        <v>3</v>
      </c>
      <c r="G5124" s="4" t="str">
        <f>HYPERLINK("http://141.218.60.56/~jnz1568/getInfo.php?workbook=10_05.xlsx&amp;sheet=U0&amp;row=5124&amp;col=7&amp;number=0.0121&amp;sourceID=14","0.0121")</f>
        <v>0.0121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HYPERLINK("http://141.218.60.56/~jnz1568/getInfo.php?workbook=10_05.xlsx&amp;sheet=U0&amp;row=5125&amp;col=6&amp;number=3.1&amp;sourceID=14","3.1")</f>
        <v>3.1</v>
      </c>
      <c r="G5125" s="4" t="str">
        <f>HYPERLINK("http://141.218.60.56/~jnz1568/getInfo.php?workbook=10_05.xlsx&amp;sheet=U0&amp;row=5125&amp;col=7&amp;number=0.0121&amp;sourceID=14","0.0121")</f>
        <v>0.0121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HYPERLINK("http://141.218.60.56/~jnz1568/getInfo.php?workbook=10_05.xlsx&amp;sheet=U0&amp;row=5126&amp;col=6&amp;number=3.2&amp;sourceID=14","3.2")</f>
        <v>3.2</v>
      </c>
      <c r="G5126" s="4" t="str">
        <f>HYPERLINK("http://141.218.60.56/~jnz1568/getInfo.php?workbook=10_05.xlsx&amp;sheet=U0&amp;row=5126&amp;col=7&amp;number=0.0121&amp;sourceID=14","0.0121")</f>
        <v>0.0121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HYPERLINK("http://141.218.60.56/~jnz1568/getInfo.php?workbook=10_05.xlsx&amp;sheet=U0&amp;row=5127&amp;col=6&amp;number=3.3&amp;sourceID=14","3.3")</f>
        <v>3.3</v>
      </c>
      <c r="G5127" s="4" t="str">
        <f>HYPERLINK("http://141.218.60.56/~jnz1568/getInfo.php?workbook=10_05.xlsx&amp;sheet=U0&amp;row=5127&amp;col=7&amp;number=0.012&amp;sourceID=14","0.012")</f>
        <v>0.012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HYPERLINK("http://141.218.60.56/~jnz1568/getInfo.php?workbook=10_05.xlsx&amp;sheet=U0&amp;row=5128&amp;col=6&amp;number=3.4&amp;sourceID=14","3.4")</f>
        <v>3.4</v>
      </c>
      <c r="G5128" s="4" t="str">
        <f>HYPERLINK("http://141.218.60.56/~jnz1568/getInfo.php?workbook=10_05.xlsx&amp;sheet=U0&amp;row=5128&amp;col=7&amp;number=0.012&amp;sourceID=14","0.012")</f>
        <v>0.012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HYPERLINK("http://141.218.60.56/~jnz1568/getInfo.php?workbook=10_05.xlsx&amp;sheet=U0&amp;row=5129&amp;col=6&amp;number=3.5&amp;sourceID=14","3.5")</f>
        <v>3.5</v>
      </c>
      <c r="G5129" s="4" t="str">
        <f>HYPERLINK("http://141.218.60.56/~jnz1568/getInfo.php?workbook=10_05.xlsx&amp;sheet=U0&amp;row=5129&amp;col=7&amp;number=0.0119&amp;sourceID=14","0.0119")</f>
        <v>0.0119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HYPERLINK("http://141.218.60.56/~jnz1568/getInfo.php?workbook=10_05.xlsx&amp;sheet=U0&amp;row=5130&amp;col=6&amp;number=3.6&amp;sourceID=14","3.6")</f>
        <v>3.6</v>
      </c>
      <c r="G5130" s="4" t="str">
        <f>HYPERLINK("http://141.218.60.56/~jnz1568/getInfo.php?workbook=10_05.xlsx&amp;sheet=U0&amp;row=5130&amp;col=7&amp;number=0.0119&amp;sourceID=14","0.0119")</f>
        <v>0.0119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HYPERLINK("http://141.218.60.56/~jnz1568/getInfo.php?workbook=10_05.xlsx&amp;sheet=U0&amp;row=5131&amp;col=6&amp;number=3.7&amp;sourceID=14","3.7")</f>
        <v>3.7</v>
      </c>
      <c r="G5131" s="4" t="str">
        <f>HYPERLINK("http://141.218.60.56/~jnz1568/getInfo.php?workbook=10_05.xlsx&amp;sheet=U0&amp;row=5131&amp;col=7&amp;number=0.0118&amp;sourceID=14","0.0118")</f>
        <v>0.0118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HYPERLINK("http://141.218.60.56/~jnz1568/getInfo.php?workbook=10_05.xlsx&amp;sheet=U0&amp;row=5132&amp;col=6&amp;number=3.8&amp;sourceID=14","3.8")</f>
        <v>3.8</v>
      </c>
      <c r="G5132" s="4" t="str">
        <f>HYPERLINK("http://141.218.60.56/~jnz1568/getInfo.php?workbook=10_05.xlsx&amp;sheet=U0&amp;row=5132&amp;col=7&amp;number=0.0117&amp;sourceID=14","0.0117")</f>
        <v>0.0117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HYPERLINK("http://141.218.60.56/~jnz1568/getInfo.php?workbook=10_05.xlsx&amp;sheet=U0&amp;row=5133&amp;col=6&amp;number=3.9&amp;sourceID=14","3.9")</f>
        <v>3.9</v>
      </c>
      <c r="G5133" s="4" t="str">
        <f>HYPERLINK("http://141.218.60.56/~jnz1568/getInfo.php?workbook=10_05.xlsx&amp;sheet=U0&amp;row=5133&amp;col=7&amp;number=0.0116&amp;sourceID=14","0.0116")</f>
        <v>0.0116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HYPERLINK("http://141.218.60.56/~jnz1568/getInfo.php?workbook=10_05.xlsx&amp;sheet=U0&amp;row=5134&amp;col=6&amp;number=4&amp;sourceID=14","4")</f>
        <v>4</v>
      </c>
      <c r="G5134" s="4" t="str">
        <f>HYPERLINK("http://141.218.60.56/~jnz1568/getInfo.php?workbook=10_05.xlsx&amp;sheet=U0&amp;row=5134&amp;col=7&amp;number=0.0114&amp;sourceID=14","0.0114")</f>
        <v>0.0114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HYPERLINK("http://141.218.60.56/~jnz1568/getInfo.php?workbook=10_05.xlsx&amp;sheet=U0&amp;row=5135&amp;col=6&amp;number=4.1&amp;sourceID=14","4.1")</f>
        <v>4.1</v>
      </c>
      <c r="G5135" s="4" t="str">
        <f>HYPERLINK("http://141.218.60.56/~jnz1568/getInfo.php?workbook=10_05.xlsx&amp;sheet=U0&amp;row=5135&amp;col=7&amp;number=0.0112&amp;sourceID=14","0.0112")</f>
        <v>0.0112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HYPERLINK("http://141.218.60.56/~jnz1568/getInfo.php?workbook=10_05.xlsx&amp;sheet=U0&amp;row=5136&amp;col=6&amp;number=4.2&amp;sourceID=14","4.2")</f>
        <v>4.2</v>
      </c>
      <c r="G5136" s="4" t="str">
        <f>HYPERLINK("http://141.218.60.56/~jnz1568/getInfo.php?workbook=10_05.xlsx&amp;sheet=U0&amp;row=5136&amp;col=7&amp;number=0.011&amp;sourceID=14","0.011")</f>
        <v>0.011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HYPERLINK("http://141.218.60.56/~jnz1568/getInfo.php?workbook=10_05.xlsx&amp;sheet=U0&amp;row=5137&amp;col=6&amp;number=4.3&amp;sourceID=14","4.3")</f>
        <v>4.3</v>
      </c>
      <c r="G5137" s="4" t="str">
        <f>HYPERLINK("http://141.218.60.56/~jnz1568/getInfo.php?workbook=10_05.xlsx&amp;sheet=U0&amp;row=5137&amp;col=7&amp;number=0.0107&amp;sourceID=14","0.0107")</f>
        <v>0.0107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HYPERLINK("http://141.218.60.56/~jnz1568/getInfo.php?workbook=10_05.xlsx&amp;sheet=U0&amp;row=5138&amp;col=6&amp;number=4.4&amp;sourceID=14","4.4")</f>
        <v>4.4</v>
      </c>
      <c r="G5138" s="4" t="str">
        <f>HYPERLINK("http://141.218.60.56/~jnz1568/getInfo.php?workbook=10_05.xlsx&amp;sheet=U0&amp;row=5138&amp;col=7&amp;number=0.0103&amp;sourceID=14","0.0103")</f>
        <v>0.0103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HYPERLINK("http://141.218.60.56/~jnz1568/getInfo.php?workbook=10_05.xlsx&amp;sheet=U0&amp;row=5139&amp;col=6&amp;number=4.5&amp;sourceID=14","4.5")</f>
        <v>4.5</v>
      </c>
      <c r="G5139" s="4" t="str">
        <f>HYPERLINK("http://141.218.60.56/~jnz1568/getInfo.php?workbook=10_05.xlsx&amp;sheet=U0&amp;row=5139&amp;col=7&amp;number=0.00982&amp;sourceID=14","0.00982")</f>
        <v>0.00982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HYPERLINK("http://141.218.60.56/~jnz1568/getInfo.php?workbook=10_05.xlsx&amp;sheet=U0&amp;row=5140&amp;col=6&amp;number=4.6&amp;sourceID=14","4.6")</f>
        <v>4.6</v>
      </c>
      <c r="G5140" s="4" t="str">
        <f>HYPERLINK("http://141.218.60.56/~jnz1568/getInfo.php?workbook=10_05.xlsx&amp;sheet=U0&amp;row=5140&amp;col=7&amp;number=0.00924&amp;sourceID=14","0.00924")</f>
        <v>0.00924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HYPERLINK("http://141.218.60.56/~jnz1568/getInfo.php?workbook=10_05.xlsx&amp;sheet=U0&amp;row=5141&amp;col=6&amp;number=4.7&amp;sourceID=14","4.7")</f>
        <v>4.7</v>
      </c>
      <c r="G5141" s="4" t="str">
        <f>HYPERLINK("http://141.218.60.56/~jnz1568/getInfo.php?workbook=10_05.xlsx&amp;sheet=U0&amp;row=5141&amp;col=7&amp;number=0.00852&amp;sourceID=14","0.00852")</f>
        <v>0.00852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HYPERLINK("http://141.218.60.56/~jnz1568/getInfo.php?workbook=10_05.xlsx&amp;sheet=U0&amp;row=5142&amp;col=6&amp;number=4.8&amp;sourceID=14","4.8")</f>
        <v>4.8</v>
      </c>
      <c r="G5142" s="4" t="str">
        <f>HYPERLINK("http://141.218.60.56/~jnz1568/getInfo.php?workbook=10_05.xlsx&amp;sheet=U0&amp;row=5142&amp;col=7&amp;number=0.00769&amp;sourceID=14","0.00769")</f>
        <v>0.00769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HYPERLINK("http://141.218.60.56/~jnz1568/getInfo.php?workbook=10_05.xlsx&amp;sheet=U0&amp;row=5143&amp;col=6&amp;number=4.9&amp;sourceID=14","4.9")</f>
        <v>4.9</v>
      </c>
      <c r="G5143" s="4" t="str">
        <f>HYPERLINK("http://141.218.60.56/~jnz1568/getInfo.php?workbook=10_05.xlsx&amp;sheet=U0&amp;row=5143&amp;col=7&amp;number=0.00681&amp;sourceID=14","0.00681")</f>
        <v>0.00681</v>
      </c>
    </row>
    <row r="5144" spans="1:7">
      <c r="A5144" s="3">
        <v>10</v>
      </c>
      <c r="B5144" s="3">
        <v>5</v>
      </c>
      <c r="C5144" s="3">
        <v>2</v>
      </c>
      <c r="D5144" s="3">
        <v>81</v>
      </c>
      <c r="E5144" s="3">
        <v>1</v>
      </c>
      <c r="F5144" s="4" t="str">
        <f>HYPERLINK("http://141.218.60.56/~jnz1568/getInfo.php?workbook=10_05.xlsx&amp;sheet=U0&amp;row=5144&amp;col=6&amp;number=3&amp;sourceID=14","3")</f>
        <v>3</v>
      </c>
      <c r="G5144" s="4" t="str">
        <f>HYPERLINK("http://141.218.60.56/~jnz1568/getInfo.php?workbook=10_05.xlsx&amp;sheet=U0&amp;row=5144&amp;col=7&amp;number=0.025&amp;sourceID=14","0.025")</f>
        <v>0.025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HYPERLINK("http://141.218.60.56/~jnz1568/getInfo.php?workbook=10_05.xlsx&amp;sheet=U0&amp;row=5145&amp;col=6&amp;number=3.1&amp;sourceID=14","3.1")</f>
        <v>3.1</v>
      </c>
      <c r="G5145" s="4" t="str">
        <f>HYPERLINK("http://141.218.60.56/~jnz1568/getInfo.php?workbook=10_05.xlsx&amp;sheet=U0&amp;row=5145&amp;col=7&amp;number=0.025&amp;sourceID=14","0.025")</f>
        <v>0.025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HYPERLINK("http://141.218.60.56/~jnz1568/getInfo.php?workbook=10_05.xlsx&amp;sheet=U0&amp;row=5146&amp;col=6&amp;number=3.2&amp;sourceID=14","3.2")</f>
        <v>3.2</v>
      </c>
      <c r="G5146" s="4" t="str">
        <f>HYPERLINK("http://141.218.60.56/~jnz1568/getInfo.php?workbook=10_05.xlsx&amp;sheet=U0&amp;row=5146&amp;col=7&amp;number=0.025&amp;sourceID=14","0.025")</f>
        <v>0.025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HYPERLINK("http://141.218.60.56/~jnz1568/getInfo.php?workbook=10_05.xlsx&amp;sheet=U0&amp;row=5147&amp;col=6&amp;number=3.3&amp;sourceID=14","3.3")</f>
        <v>3.3</v>
      </c>
      <c r="G5147" s="4" t="str">
        <f>HYPERLINK("http://141.218.60.56/~jnz1568/getInfo.php?workbook=10_05.xlsx&amp;sheet=U0&amp;row=5147&amp;col=7&amp;number=0.0249&amp;sourceID=14","0.0249")</f>
        <v>0.0249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HYPERLINK("http://141.218.60.56/~jnz1568/getInfo.php?workbook=10_05.xlsx&amp;sheet=U0&amp;row=5148&amp;col=6&amp;number=3.4&amp;sourceID=14","3.4")</f>
        <v>3.4</v>
      </c>
      <c r="G5148" s="4" t="str">
        <f>HYPERLINK("http://141.218.60.56/~jnz1568/getInfo.php?workbook=10_05.xlsx&amp;sheet=U0&amp;row=5148&amp;col=7&amp;number=0.0248&amp;sourceID=14","0.0248")</f>
        <v>0.0248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HYPERLINK("http://141.218.60.56/~jnz1568/getInfo.php?workbook=10_05.xlsx&amp;sheet=U0&amp;row=5149&amp;col=6&amp;number=3.5&amp;sourceID=14","3.5")</f>
        <v>3.5</v>
      </c>
      <c r="G5149" s="4" t="str">
        <f>HYPERLINK("http://141.218.60.56/~jnz1568/getInfo.php?workbook=10_05.xlsx&amp;sheet=U0&amp;row=5149&amp;col=7&amp;number=0.0248&amp;sourceID=14","0.0248")</f>
        <v>0.0248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HYPERLINK("http://141.218.60.56/~jnz1568/getInfo.php?workbook=10_05.xlsx&amp;sheet=U0&amp;row=5150&amp;col=6&amp;number=3.6&amp;sourceID=14","3.6")</f>
        <v>3.6</v>
      </c>
      <c r="G5150" s="4" t="str">
        <f>HYPERLINK("http://141.218.60.56/~jnz1568/getInfo.php?workbook=10_05.xlsx&amp;sheet=U0&amp;row=5150&amp;col=7&amp;number=0.0247&amp;sourceID=14","0.0247")</f>
        <v>0.0247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HYPERLINK("http://141.218.60.56/~jnz1568/getInfo.php?workbook=10_05.xlsx&amp;sheet=U0&amp;row=5151&amp;col=6&amp;number=3.7&amp;sourceID=14","3.7")</f>
        <v>3.7</v>
      </c>
      <c r="G5151" s="4" t="str">
        <f>HYPERLINK("http://141.218.60.56/~jnz1568/getInfo.php?workbook=10_05.xlsx&amp;sheet=U0&amp;row=5151&amp;col=7&amp;number=0.0245&amp;sourceID=14","0.0245")</f>
        <v>0.0245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HYPERLINK("http://141.218.60.56/~jnz1568/getInfo.php?workbook=10_05.xlsx&amp;sheet=U0&amp;row=5152&amp;col=6&amp;number=3.8&amp;sourceID=14","3.8")</f>
        <v>3.8</v>
      </c>
      <c r="G5152" s="4" t="str">
        <f>HYPERLINK("http://141.218.60.56/~jnz1568/getInfo.php?workbook=10_05.xlsx&amp;sheet=U0&amp;row=5152&amp;col=7&amp;number=0.0244&amp;sourceID=14","0.0244")</f>
        <v>0.0244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HYPERLINK("http://141.218.60.56/~jnz1568/getInfo.php?workbook=10_05.xlsx&amp;sheet=U0&amp;row=5153&amp;col=6&amp;number=3.9&amp;sourceID=14","3.9")</f>
        <v>3.9</v>
      </c>
      <c r="G5153" s="4" t="str">
        <f>HYPERLINK("http://141.218.60.56/~jnz1568/getInfo.php?workbook=10_05.xlsx&amp;sheet=U0&amp;row=5153&amp;col=7&amp;number=0.0242&amp;sourceID=14","0.0242")</f>
        <v>0.0242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HYPERLINK("http://141.218.60.56/~jnz1568/getInfo.php?workbook=10_05.xlsx&amp;sheet=U0&amp;row=5154&amp;col=6&amp;number=4&amp;sourceID=14","4")</f>
        <v>4</v>
      </c>
      <c r="G5154" s="4" t="str">
        <f>HYPERLINK("http://141.218.60.56/~jnz1568/getInfo.php?workbook=10_05.xlsx&amp;sheet=U0&amp;row=5154&amp;col=7&amp;number=0.0239&amp;sourceID=14","0.0239")</f>
        <v>0.0239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HYPERLINK("http://141.218.60.56/~jnz1568/getInfo.php?workbook=10_05.xlsx&amp;sheet=U0&amp;row=5155&amp;col=6&amp;number=4.1&amp;sourceID=14","4.1")</f>
        <v>4.1</v>
      </c>
      <c r="G5155" s="4" t="str">
        <f>HYPERLINK("http://141.218.60.56/~jnz1568/getInfo.php?workbook=10_05.xlsx&amp;sheet=U0&amp;row=5155&amp;col=7&amp;number=0.0236&amp;sourceID=14","0.0236")</f>
        <v>0.0236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HYPERLINK("http://141.218.60.56/~jnz1568/getInfo.php?workbook=10_05.xlsx&amp;sheet=U0&amp;row=5156&amp;col=6&amp;number=4.2&amp;sourceID=14","4.2")</f>
        <v>4.2</v>
      </c>
      <c r="G5156" s="4" t="str">
        <f>HYPERLINK("http://141.218.60.56/~jnz1568/getInfo.php?workbook=10_05.xlsx&amp;sheet=U0&amp;row=5156&amp;col=7&amp;number=0.0231&amp;sourceID=14","0.0231")</f>
        <v>0.0231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HYPERLINK("http://141.218.60.56/~jnz1568/getInfo.php?workbook=10_05.xlsx&amp;sheet=U0&amp;row=5157&amp;col=6&amp;number=4.3&amp;sourceID=14","4.3")</f>
        <v>4.3</v>
      </c>
      <c r="G5157" s="4" t="str">
        <f>HYPERLINK("http://141.218.60.56/~jnz1568/getInfo.php?workbook=10_05.xlsx&amp;sheet=U0&amp;row=5157&amp;col=7&amp;number=0.0226&amp;sourceID=14","0.0226")</f>
        <v>0.0226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HYPERLINK("http://141.218.60.56/~jnz1568/getInfo.php?workbook=10_05.xlsx&amp;sheet=U0&amp;row=5158&amp;col=6&amp;number=4.4&amp;sourceID=14","4.4")</f>
        <v>4.4</v>
      </c>
      <c r="G5158" s="4" t="str">
        <f>HYPERLINK("http://141.218.60.56/~jnz1568/getInfo.php?workbook=10_05.xlsx&amp;sheet=U0&amp;row=5158&amp;col=7&amp;number=0.0218&amp;sourceID=14","0.0218")</f>
        <v>0.0218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HYPERLINK("http://141.218.60.56/~jnz1568/getInfo.php?workbook=10_05.xlsx&amp;sheet=U0&amp;row=5159&amp;col=6&amp;number=4.5&amp;sourceID=14","4.5")</f>
        <v>4.5</v>
      </c>
      <c r="G5159" s="4" t="str">
        <f>HYPERLINK("http://141.218.60.56/~jnz1568/getInfo.php?workbook=10_05.xlsx&amp;sheet=U0&amp;row=5159&amp;col=7&amp;number=0.0207&amp;sourceID=14","0.0207")</f>
        <v>0.0207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HYPERLINK("http://141.218.60.56/~jnz1568/getInfo.php?workbook=10_05.xlsx&amp;sheet=U0&amp;row=5160&amp;col=6&amp;number=4.6&amp;sourceID=14","4.6")</f>
        <v>4.6</v>
      </c>
      <c r="G5160" s="4" t="str">
        <f>HYPERLINK("http://141.218.60.56/~jnz1568/getInfo.php?workbook=10_05.xlsx&amp;sheet=U0&amp;row=5160&amp;col=7&amp;number=0.0194&amp;sourceID=14","0.0194")</f>
        <v>0.0194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HYPERLINK("http://141.218.60.56/~jnz1568/getInfo.php?workbook=10_05.xlsx&amp;sheet=U0&amp;row=5161&amp;col=6&amp;number=4.7&amp;sourceID=14","4.7")</f>
        <v>4.7</v>
      </c>
      <c r="G5161" s="4" t="str">
        <f>HYPERLINK("http://141.218.60.56/~jnz1568/getInfo.php?workbook=10_05.xlsx&amp;sheet=U0&amp;row=5161&amp;col=7&amp;number=0.0179&amp;sourceID=14","0.0179")</f>
        <v>0.0179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HYPERLINK("http://141.218.60.56/~jnz1568/getInfo.php?workbook=10_05.xlsx&amp;sheet=U0&amp;row=5162&amp;col=6&amp;number=4.8&amp;sourceID=14","4.8")</f>
        <v>4.8</v>
      </c>
      <c r="G5162" s="4" t="str">
        <f>HYPERLINK("http://141.218.60.56/~jnz1568/getInfo.php?workbook=10_05.xlsx&amp;sheet=U0&amp;row=5162&amp;col=7&amp;number=0.0162&amp;sourceID=14","0.0162")</f>
        <v>0.0162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HYPERLINK("http://141.218.60.56/~jnz1568/getInfo.php?workbook=10_05.xlsx&amp;sheet=U0&amp;row=5163&amp;col=6&amp;number=4.9&amp;sourceID=14","4.9")</f>
        <v>4.9</v>
      </c>
      <c r="G5163" s="4" t="str">
        <f>HYPERLINK("http://141.218.60.56/~jnz1568/getInfo.php?workbook=10_05.xlsx&amp;sheet=U0&amp;row=5163&amp;col=7&amp;number=0.0145&amp;sourceID=14","0.0145")</f>
        <v>0.0145</v>
      </c>
    </row>
    <row r="5164" spans="1:7">
      <c r="A5164" s="3">
        <v>10</v>
      </c>
      <c r="B5164" s="3">
        <v>5</v>
      </c>
      <c r="C5164" s="3">
        <v>2</v>
      </c>
      <c r="D5164" s="3">
        <v>82</v>
      </c>
      <c r="E5164" s="3">
        <v>1</v>
      </c>
      <c r="F5164" s="4" t="str">
        <f>HYPERLINK("http://141.218.60.56/~jnz1568/getInfo.php?workbook=10_05.xlsx&amp;sheet=U0&amp;row=5164&amp;col=6&amp;number=3&amp;sourceID=14","3")</f>
        <v>3</v>
      </c>
      <c r="G5164" s="4" t="str">
        <f>HYPERLINK("http://141.218.60.56/~jnz1568/getInfo.php?workbook=10_05.xlsx&amp;sheet=U0&amp;row=5164&amp;col=7&amp;number=0.00216&amp;sourceID=14","0.00216")</f>
        <v>0.00216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HYPERLINK("http://141.218.60.56/~jnz1568/getInfo.php?workbook=10_05.xlsx&amp;sheet=U0&amp;row=5165&amp;col=6&amp;number=3.1&amp;sourceID=14","3.1")</f>
        <v>3.1</v>
      </c>
      <c r="G5165" s="4" t="str">
        <f>HYPERLINK("http://141.218.60.56/~jnz1568/getInfo.php?workbook=10_05.xlsx&amp;sheet=U0&amp;row=5165&amp;col=7&amp;number=0.00215&amp;sourceID=14","0.00215")</f>
        <v>0.00215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HYPERLINK("http://141.218.60.56/~jnz1568/getInfo.php?workbook=10_05.xlsx&amp;sheet=U0&amp;row=5166&amp;col=6&amp;number=3.2&amp;sourceID=14","3.2")</f>
        <v>3.2</v>
      </c>
      <c r="G5166" s="4" t="str">
        <f>HYPERLINK("http://141.218.60.56/~jnz1568/getInfo.php?workbook=10_05.xlsx&amp;sheet=U0&amp;row=5166&amp;col=7&amp;number=0.00213&amp;sourceID=14","0.00213")</f>
        <v>0.00213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HYPERLINK("http://141.218.60.56/~jnz1568/getInfo.php?workbook=10_05.xlsx&amp;sheet=U0&amp;row=5167&amp;col=6&amp;number=3.3&amp;sourceID=14","3.3")</f>
        <v>3.3</v>
      </c>
      <c r="G5167" s="4" t="str">
        <f>HYPERLINK("http://141.218.60.56/~jnz1568/getInfo.php?workbook=10_05.xlsx&amp;sheet=U0&amp;row=5167&amp;col=7&amp;number=0.00211&amp;sourceID=14","0.00211")</f>
        <v>0.00211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HYPERLINK("http://141.218.60.56/~jnz1568/getInfo.php?workbook=10_05.xlsx&amp;sheet=U0&amp;row=5168&amp;col=6&amp;number=3.4&amp;sourceID=14","3.4")</f>
        <v>3.4</v>
      </c>
      <c r="G5168" s="4" t="str">
        <f>HYPERLINK("http://141.218.60.56/~jnz1568/getInfo.php?workbook=10_05.xlsx&amp;sheet=U0&amp;row=5168&amp;col=7&amp;number=0.00209&amp;sourceID=14","0.00209")</f>
        <v>0.00209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HYPERLINK("http://141.218.60.56/~jnz1568/getInfo.php?workbook=10_05.xlsx&amp;sheet=U0&amp;row=5169&amp;col=6&amp;number=3.5&amp;sourceID=14","3.5")</f>
        <v>3.5</v>
      </c>
      <c r="G5169" s="4" t="str">
        <f>HYPERLINK("http://141.218.60.56/~jnz1568/getInfo.php?workbook=10_05.xlsx&amp;sheet=U0&amp;row=5169&amp;col=7&amp;number=0.00206&amp;sourceID=14","0.00206")</f>
        <v>0.00206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HYPERLINK("http://141.218.60.56/~jnz1568/getInfo.php?workbook=10_05.xlsx&amp;sheet=U0&amp;row=5170&amp;col=6&amp;number=3.6&amp;sourceID=14","3.6")</f>
        <v>3.6</v>
      </c>
      <c r="G5170" s="4" t="str">
        <f>HYPERLINK("http://141.218.60.56/~jnz1568/getInfo.php?workbook=10_05.xlsx&amp;sheet=U0&amp;row=5170&amp;col=7&amp;number=0.00203&amp;sourceID=14","0.00203")</f>
        <v>0.00203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HYPERLINK("http://141.218.60.56/~jnz1568/getInfo.php?workbook=10_05.xlsx&amp;sheet=U0&amp;row=5171&amp;col=6&amp;number=3.7&amp;sourceID=14","3.7")</f>
        <v>3.7</v>
      </c>
      <c r="G5171" s="4" t="str">
        <f>HYPERLINK("http://141.218.60.56/~jnz1568/getInfo.php?workbook=10_05.xlsx&amp;sheet=U0&amp;row=5171&amp;col=7&amp;number=0.00199&amp;sourceID=14","0.00199")</f>
        <v>0.00199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HYPERLINK("http://141.218.60.56/~jnz1568/getInfo.php?workbook=10_05.xlsx&amp;sheet=U0&amp;row=5172&amp;col=6&amp;number=3.8&amp;sourceID=14","3.8")</f>
        <v>3.8</v>
      </c>
      <c r="G5172" s="4" t="str">
        <f>HYPERLINK("http://141.218.60.56/~jnz1568/getInfo.php?workbook=10_05.xlsx&amp;sheet=U0&amp;row=5172&amp;col=7&amp;number=0.00194&amp;sourceID=14","0.00194")</f>
        <v>0.00194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HYPERLINK("http://141.218.60.56/~jnz1568/getInfo.php?workbook=10_05.xlsx&amp;sheet=U0&amp;row=5173&amp;col=6&amp;number=3.9&amp;sourceID=14","3.9")</f>
        <v>3.9</v>
      </c>
      <c r="G5173" s="4" t="str">
        <f>HYPERLINK("http://141.218.60.56/~jnz1568/getInfo.php?workbook=10_05.xlsx&amp;sheet=U0&amp;row=5173&amp;col=7&amp;number=0.00188&amp;sourceID=14","0.00188")</f>
        <v>0.00188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HYPERLINK("http://141.218.60.56/~jnz1568/getInfo.php?workbook=10_05.xlsx&amp;sheet=U0&amp;row=5174&amp;col=6&amp;number=4&amp;sourceID=14","4")</f>
        <v>4</v>
      </c>
      <c r="G5174" s="4" t="str">
        <f>HYPERLINK("http://141.218.60.56/~jnz1568/getInfo.php?workbook=10_05.xlsx&amp;sheet=U0&amp;row=5174&amp;col=7&amp;number=0.00181&amp;sourceID=14","0.00181")</f>
        <v>0.00181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HYPERLINK("http://141.218.60.56/~jnz1568/getInfo.php?workbook=10_05.xlsx&amp;sheet=U0&amp;row=5175&amp;col=6&amp;number=4.1&amp;sourceID=14","4.1")</f>
        <v>4.1</v>
      </c>
      <c r="G5175" s="4" t="str">
        <f>HYPERLINK("http://141.218.60.56/~jnz1568/getInfo.php?workbook=10_05.xlsx&amp;sheet=U0&amp;row=5175&amp;col=7&amp;number=0.00173&amp;sourceID=14","0.00173")</f>
        <v>0.00173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HYPERLINK("http://141.218.60.56/~jnz1568/getInfo.php?workbook=10_05.xlsx&amp;sheet=U0&amp;row=5176&amp;col=6&amp;number=4.2&amp;sourceID=14","4.2")</f>
        <v>4.2</v>
      </c>
      <c r="G5176" s="4" t="str">
        <f>HYPERLINK("http://141.218.60.56/~jnz1568/getInfo.php?workbook=10_05.xlsx&amp;sheet=U0&amp;row=5176&amp;col=7&amp;number=0.00164&amp;sourceID=14","0.00164")</f>
        <v>0.00164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HYPERLINK("http://141.218.60.56/~jnz1568/getInfo.php?workbook=10_05.xlsx&amp;sheet=U0&amp;row=5177&amp;col=6&amp;number=4.3&amp;sourceID=14","4.3")</f>
        <v>4.3</v>
      </c>
      <c r="G5177" s="4" t="str">
        <f>HYPERLINK("http://141.218.60.56/~jnz1568/getInfo.php?workbook=10_05.xlsx&amp;sheet=U0&amp;row=5177&amp;col=7&amp;number=0.00155&amp;sourceID=14","0.00155")</f>
        <v>0.00155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HYPERLINK("http://141.218.60.56/~jnz1568/getInfo.php?workbook=10_05.xlsx&amp;sheet=U0&amp;row=5178&amp;col=6&amp;number=4.4&amp;sourceID=14","4.4")</f>
        <v>4.4</v>
      </c>
      <c r="G5178" s="4" t="str">
        <f>HYPERLINK("http://141.218.60.56/~jnz1568/getInfo.php?workbook=10_05.xlsx&amp;sheet=U0&amp;row=5178&amp;col=7&amp;number=0.00147&amp;sourceID=14","0.00147")</f>
        <v>0.00147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HYPERLINK("http://141.218.60.56/~jnz1568/getInfo.php?workbook=10_05.xlsx&amp;sheet=U0&amp;row=5179&amp;col=6&amp;number=4.5&amp;sourceID=14","4.5")</f>
        <v>4.5</v>
      </c>
      <c r="G5179" s="4" t="str">
        <f>HYPERLINK("http://141.218.60.56/~jnz1568/getInfo.php?workbook=10_05.xlsx&amp;sheet=U0&amp;row=5179&amp;col=7&amp;number=0.00137&amp;sourceID=14","0.00137")</f>
        <v>0.00137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HYPERLINK("http://141.218.60.56/~jnz1568/getInfo.php?workbook=10_05.xlsx&amp;sheet=U0&amp;row=5180&amp;col=6&amp;number=4.6&amp;sourceID=14","4.6")</f>
        <v>4.6</v>
      </c>
      <c r="G5180" s="4" t="str">
        <f>HYPERLINK("http://141.218.60.56/~jnz1568/getInfo.php?workbook=10_05.xlsx&amp;sheet=U0&amp;row=5180&amp;col=7&amp;number=0.00127&amp;sourceID=14","0.00127")</f>
        <v>0.00127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HYPERLINK("http://141.218.60.56/~jnz1568/getInfo.php?workbook=10_05.xlsx&amp;sheet=U0&amp;row=5181&amp;col=6&amp;number=4.7&amp;sourceID=14","4.7")</f>
        <v>4.7</v>
      </c>
      <c r="G5181" s="4" t="str">
        <f>HYPERLINK("http://141.218.60.56/~jnz1568/getInfo.php?workbook=10_05.xlsx&amp;sheet=U0&amp;row=5181&amp;col=7&amp;number=0.00114&amp;sourceID=14","0.00114")</f>
        <v>0.00114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HYPERLINK("http://141.218.60.56/~jnz1568/getInfo.php?workbook=10_05.xlsx&amp;sheet=U0&amp;row=5182&amp;col=6&amp;number=4.8&amp;sourceID=14","4.8")</f>
        <v>4.8</v>
      </c>
      <c r="G5182" s="4" t="str">
        <f>HYPERLINK("http://141.218.60.56/~jnz1568/getInfo.php?workbook=10_05.xlsx&amp;sheet=U0&amp;row=5182&amp;col=7&amp;number=0.00101&amp;sourceID=14","0.00101")</f>
        <v>0.00101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HYPERLINK("http://141.218.60.56/~jnz1568/getInfo.php?workbook=10_05.xlsx&amp;sheet=U0&amp;row=5183&amp;col=6&amp;number=4.9&amp;sourceID=14","4.9")</f>
        <v>4.9</v>
      </c>
      <c r="G5183" s="4" t="str">
        <f>HYPERLINK("http://141.218.60.56/~jnz1568/getInfo.php?workbook=10_05.xlsx&amp;sheet=U0&amp;row=5183&amp;col=7&amp;number=0.000898&amp;sourceID=14","0.000898")</f>
        <v>0.000898</v>
      </c>
    </row>
    <row r="5184" spans="1:7">
      <c r="A5184" s="3">
        <v>10</v>
      </c>
      <c r="B5184" s="3">
        <v>5</v>
      </c>
      <c r="C5184" s="3">
        <v>2</v>
      </c>
      <c r="D5184" s="3">
        <v>83</v>
      </c>
      <c r="E5184" s="3">
        <v>1</v>
      </c>
      <c r="F5184" s="4" t="str">
        <f>HYPERLINK("http://141.218.60.56/~jnz1568/getInfo.php?workbook=10_05.xlsx&amp;sheet=U0&amp;row=5184&amp;col=6&amp;number=3&amp;sourceID=14","3")</f>
        <v>3</v>
      </c>
      <c r="G5184" s="4" t="str">
        <f>HYPERLINK("http://141.218.60.56/~jnz1568/getInfo.php?workbook=10_05.xlsx&amp;sheet=U0&amp;row=5184&amp;col=7&amp;number=0.00425&amp;sourceID=14","0.00425")</f>
        <v>0.00425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HYPERLINK("http://141.218.60.56/~jnz1568/getInfo.php?workbook=10_05.xlsx&amp;sheet=U0&amp;row=5185&amp;col=6&amp;number=3.1&amp;sourceID=14","3.1")</f>
        <v>3.1</v>
      </c>
      <c r="G5185" s="4" t="str">
        <f>HYPERLINK("http://141.218.60.56/~jnz1568/getInfo.php?workbook=10_05.xlsx&amp;sheet=U0&amp;row=5185&amp;col=7&amp;number=0.00424&amp;sourceID=14","0.00424")</f>
        <v>0.00424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HYPERLINK("http://141.218.60.56/~jnz1568/getInfo.php?workbook=10_05.xlsx&amp;sheet=U0&amp;row=5186&amp;col=6&amp;number=3.2&amp;sourceID=14","3.2")</f>
        <v>3.2</v>
      </c>
      <c r="G5186" s="4" t="str">
        <f>HYPERLINK("http://141.218.60.56/~jnz1568/getInfo.php?workbook=10_05.xlsx&amp;sheet=U0&amp;row=5186&amp;col=7&amp;number=0.00422&amp;sourceID=14","0.00422")</f>
        <v>0.00422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HYPERLINK("http://141.218.60.56/~jnz1568/getInfo.php?workbook=10_05.xlsx&amp;sheet=U0&amp;row=5187&amp;col=6&amp;number=3.3&amp;sourceID=14","3.3")</f>
        <v>3.3</v>
      </c>
      <c r="G5187" s="4" t="str">
        <f>HYPERLINK("http://141.218.60.56/~jnz1568/getInfo.php?workbook=10_05.xlsx&amp;sheet=U0&amp;row=5187&amp;col=7&amp;number=0.00419&amp;sourceID=14","0.00419")</f>
        <v>0.00419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HYPERLINK("http://141.218.60.56/~jnz1568/getInfo.php?workbook=10_05.xlsx&amp;sheet=U0&amp;row=5188&amp;col=6&amp;number=3.4&amp;sourceID=14","3.4")</f>
        <v>3.4</v>
      </c>
      <c r="G5188" s="4" t="str">
        <f>HYPERLINK("http://141.218.60.56/~jnz1568/getInfo.php?workbook=10_05.xlsx&amp;sheet=U0&amp;row=5188&amp;col=7&amp;number=0.00416&amp;sourceID=14","0.00416")</f>
        <v>0.00416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HYPERLINK("http://141.218.60.56/~jnz1568/getInfo.php?workbook=10_05.xlsx&amp;sheet=U0&amp;row=5189&amp;col=6&amp;number=3.5&amp;sourceID=14","3.5")</f>
        <v>3.5</v>
      </c>
      <c r="G5189" s="4" t="str">
        <f>HYPERLINK("http://141.218.60.56/~jnz1568/getInfo.php?workbook=10_05.xlsx&amp;sheet=U0&amp;row=5189&amp;col=7&amp;number=0.00413&amp;sourceID=14","0.00413")</f>
        <v>0.00413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HYPERLINK("http://141.218.60.56/~jnz1568/getInfo.php?workbook=10_05.xlsx&amp;sheet=U0&amp;row=5190&amp;col=6&amp;number=3.6&amp;sourceID=14","3.6")</f>
        <v>3.6</v>
      </c>
      <c r="G5190" s="4" t="str">
        <f>HYPERLINK("http://141.218.60.56/~jnz1568/getInfo.php?workbook=10_05.xlsx&amp;sheet=U0&amp;row=5190&amp;col=7&amp;number=0.00408&amp;sourceID=14","0.00408")</f>
        <v>0.00408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HYPERLINK("http://141.218.60.56/~jnz1568/getInfo.php?workbook=10_05.xlsx&amp;sheet=U0&amp;row=5191&amp;col=6&amp;number=3.7&amp;sourceID=14","3.7")</f>
        <v>3.7</v>
      </c>
      <c r="G5191" s="4" t="str">
        <f>HYPERLINK("http://141.218.60.56/~jnz1568/getInfo.php?workbook=10_05.xlsx&amp;sheet=U0&amp;row=5191&amp;col=7&amp;number=0.00403&amp;sourceID=14","0.00403")</f>
        <v>0.00403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HYPERLINK("http://141.218.60.56/~jnz1568/getInfo.php?workbook=10_05.xlsx&amp;sheet=U0&amp;row=5192&amp;col=6&amp;number=3.8&amp;sourceID=14","3.8")</f>
        <v>3.8</v>
      </c>
      <c r="G5192" s="4" t="str">
        <f>HYPERLINK("http://141.218.60.56/~jnz1568/getInfo.php?workbook=10_05.xlsx&amp;sheet=U0&amp;row=5192&amp;col=7&amp;number=0.00396&amp;sourceID=14","0.00396")</f>
        <v>0.00396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HYPERLINK("http://141.218.60.56/~jnz1568/getInfo.php?workbook=10_05.xlsx&amp;sheet=U0&amp;row=5193&amp;col=6&amp;number=3.9&amp;sourceID=14","3.9")</f>
        <v>3.9</v>
      </c>
      <c r="G5193" s="4" t="str">
        <f>HYPERLINK("http://141.218.60.56/~jnz1568/getInfo.php?workbook=10_05.xlsx&amp;sheet=U0&amp;row=5193&amp;col=7&amp;number=0.00387&amp;sourceID=14","0.00387")</f>
        <v>0.00387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HYPERLINK("http://141.218.60.56/~jnz1568/getInfo.php?workbook=10_05.xlsx&amp;sheet=U0&amp;row=5194&amp;col=6&amp;number=4&amp;sourceID=14","4")</f>
        <v>4</v>
      </c>
      <c r="G5194" s="4" t="str">
        <f>HYPERLINK("http://141.218.60.56/~jnz1568/getInfo.php?workbook=10_05.xlsx&amp;sheet=U0&amp;row=5194&amp;col=7&amp;number=0.00377&amp;sourceID=14","0.00377")</f>
        <v>0.00377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HYPERLINK("http://141.218.60.56/~jnz1568/getInfo.php?workbook=10_05.xlsx&amp;sheet=U0&amp;row=5195&amp;col=6&amp;number=4.1&amp;sourceID=14","4.1")</f>
        <v>4.1</v>
      </c>
      <c r="G5195" s="4" t="str">
        <f>HYPERLINK("http://141.218.60.56/~jnz1568/getInfo.php?workbook=10_05.xlsx&amp;sheet=U0&amp;row=5195&amp;col=7&amp;number=0.00365&amp;sourceID=14","0.00365")</f>
        <v>0.00365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HYPERLINK("http://141.218.60.56/~jnz1568/getInfo.php?workbook=10_05.xlsx&amp;sheet=U0&amp;row=5196&amp;col=6&amp;number=4.2&amp;sourceID=14","4.2")</f>
        <v>4.2</v>
      </c>
      <c r="G5196" s="4" t="str">
        <f>HYPERLINK("http://141.218.60.56/~jnz1568/getInfo.php?workbook=10_05.xlsx&amp;sheet=U0&amp;row=5196&amp;col=7&amp;number=0.00351&amp;sourceID=14","0.00351")</f>
        <v>0.00351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HYPERLINK("http://141.218.60.56/~jnz1568/getInfo.php?workbook=10_05.xlsx&amp;sheet=U0&amp;row=5197&amp;col=6&amp;number=4.3&amp;sourceID=14","4.3")</f>
        <v>4.3</v>
      </c>
      <c r="G5197" s="4" t="str">
        <f>HYPERLINK("http://141.218.60.56/~jnz1568/getInfo.php?workbook=10_05.xlsx&amp;sheet=U0&amp;row=5197&amp;col=7&amp;number=0.00336&amp;sourceID=14","0.00336")</f>
        <v>0.00336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HYPERLINK("http://141.218.60.56/~jnz1568/getInfo.php?workbook=10_05.xlsx&amp;sheet=U0&amp;row=5198&amp;col=6&amp;number=4.4&amp;sourceID=14","4.4")</f>
        <v>4.4</v>
      </c>
      <c r="G5198" s="4" t="str">
        <f>HYPERLINK("http://141.218.60.56/~jnz1568/getInfo.php?workbook=10_05.xlsx&amp;sheet=U0&amp;row=5198&amp;col=7&amp;number=0.00319&amp;sourceID=14","0.00319")</f>
        <v>0.00319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HYPERLINK("http://141.218.60.56/~jnz1568/getInfo.php?workbook=10_05.xlsx&amp;sheet=U0&amp;row=5199&amp;col=6&amp;number=4.5&amp;sourceID=14","4.5")</f>
        <v>4.5</v>
      </c>
      <c r="G5199" s="4" t="str">
        <f>HYPERLINK("http://141.218.60.56/~jnz1568/getInfo.php?workbook=10_05.xlsx&amp;sheet=U0&amp;row=5199&amp;col=7&amp;number=0.003&amp;sourceID=14","0.003")</f>
        <v>0.003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HYPERLINK("http://141.218.60.56/~jnz1568/getInfo.php?workbook=10_05.xlsx&amp;sheet=U0&amp;row=5200&amp;col=6&amp;number=4.6&amp;sourceID=14","4.6")</f>
        <v>4.6</v>
      </c>
      <c r="G5200" s="4" t="str">
        <f>HYPERLINK("http://141.218.60.56/~jnz1568/getInfo.php?workbook=10_05.xlsx&amp;sheet=U0&amp;row=5200&amp;col=7&amp;number=0.00279&amp;sourceID=14","0.00279")</f>
        <v>0.00279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HYPERLINK("http://141.218.60.56/~jnz1568/getInfo.php?workbook=10_05.xlsx&amp;sheet=U0&amp;row=5201&amp;col=6&amp;number=4.7&amp;sourceID=14","4.7")</f>
        <v>4.7</v>
      </c>
      <c r="G5201" s="4" t="str">
        <f>HYPERLINK("http://141.218.60.56/~jnz1568/getInfo.php?workbook=10_05.xlsx&amp;sheet=U0&amp;row=5201&amp;col=7&amp;number=0.00254&amp;sourceID=14","0.00254")</f>
        <v>0.00254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HYPERLINK("http://141.218.60.56/~jnz1568/getInfo.php?workbook=10_05.xlsx&amp;sheet=U0&amp;row=5202&amp;col=6&amp;number=4.8&amp;sourceID=14","4.8")</f>
        <v>4.8</v>
      </c>
      <c r="G5202" s="4" t="str">
        <f>HYPERLINK("http://141.218.60.56/~jnz1568/getInfo.php?workbook=10_05.xlsx&amp;sheet=U0&amp;row=5202&amp;col=7&amp;number=0.00227&amp;sourceID=14","0.00227")</f>
        <v>0.00227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HYPERLINK("http://141.218.60.56/~jnz1568/getInfo.php?workbook=10_05.xlsx&amp;sheet=U0&amp;row=5203&amp;col=6&amp;number=4.9&amp;sourceID=14","4.9")</f>
        <v>4.9</v>
      </c>
      <c r="G5203" s="4" t="str">
        <f>HYPERLINK("http://141.218.60.56/~jnz1568/getInfo.php?workbook=10_05.xlsx&amp;sheet=U0&amp;row=5203&amp;col=7&amp;number=0.002&amp;sourceID=14","0.002")</f>
        <v>0.002</v>
      </c>
    </row>
    <row r="5204" spans="1:7">
      <c r="A5204" s="3">
        <v>10</v>
      </c>
      <c r="B5204" s="3">
        <v>5</v>
      </c>
      <c r="C5204" s="3">
        <v>2</v>
      </c>
      <c r="D5204" s="3">
        <v>84</v>
      </c>
      <c r="E5204" s="3">
        <v>1</v>
      </c>
      <c r="F5204" s="4" t="str">
        <f>HYPERLINK("http://141.218.60.56/~jnz1568/getInfo.php?workbook=10_05.xlsx&amp;sheet=U0&amp;row=5204&amp;col=6&amp;number=3&amp;sourceID=14","3")</f>
        <v>3</v>
      </c>
      <c r="G5204" s="4" t="str">
        <f>HYPERLINK("http://141.218.60.56/~jnz1568/getInfo.php?workbook=10_05.xlsx&amp;sheet=U0&amp;row=5204&amp;col=7&amp;number=0.00771&amp;sourceID=14","0.00771")</f>
        <v>0.00771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HYPERLINK("http://141.218.60.56/~jnz1568/getInfo.php?workbook=10_05.xlsx&amp;sheet=U0&amp;row=5205&amp;col=6&amp;number=3.1&amp;sourceID=14","3.1")</f>
        <v>3.1</v>
      </c>
      <c r="G5205" s="4" t="str">
        <f>HYPERLINK("http://141.218.60.56/~jnz1568/getInfo.php?workbook=10_05.xlsx&amp;sheet=U0&amp;row=5205&amp;col=7&amp;number=0.00768&amp;sourceID=14","0.00768")</f>
        <v>0.00768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HYPERLINK("http://141.218.60.56/~jnz1568/getInfo.php?workbook=10_05.xlsx&amp;sheet=U0&amp;row=5206&amp;col=6&amp;number=3.2&amp;sourceID=14","3.2")</f>
        <v>3.2</v>
      </c>
      <c r="G5206" s="4" t="str">
        <f>HYPERLINK("http://141.218.60.56/~jnz1568/getInfo.php?workbook=10_05.xlsx&amp;sheet=U0&amp;row=5206&amp;col=7&amp;number=0.00763&amp;sourceID=14","0.00763")</f>
        <v>0.00763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HYPERLINK("http://141.218.60.56/~jnz1568/getInfo.php?workbook=10_05.xlsx&amp;sheet=U0&amp;row=5207&amp;col=6&amp;number=3.3&amp;sourceID=14","3.3")</f>
        <v>3.3</v>
      </c>
      <c r="G5207" s="4" t="str">
        <f>HYPERLINK("http://141.218.60.56/~jnz1568/getInfo.php?workbook=10_05.xlsx&amp;sheet=U0&amp;row=5207&amp;col=7&amp;number=0.00757&amp;sourceID=14","0.00757")</f>
        <v>0.00757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HYPERLINK("http://141.218.60.56/~jnz1568/getInfo.php?workbook=10_05.xlsx&amp;sheet=U0&amp;row=5208&amp;col=6&amp;number=3.4&amp;sourceID=14","3.4")</f>
        <v>3.4</v>
      </c>
      <c r="G5208" s="4" t="str">
        <f>HYPERLINK("http://141.218.60.56/~jnz1568/getInfo.php?workbook=10_05.xlsx&amp;sheet=U0&amp;row=5208&amp;col=7&amp;number=0.0075&amp;sourceID=14","0.0075")</f>
        <v>0.0075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HYPERLINK("http://141.218.60.56/~jnz1568/getInfo.php?workbook=10_05.xlsx&amp;sheet=U0&amp;row=5209&amp;col=6&amp;number=3.5&amp;sourceID=14","3.5")</f>
        <v>3.5</v>
      </c>
      <c r="G5209" s="4" t="str">
        <f>HYPERLINK("http://141.218.60.56/~jnz1568/getInfo.php?workbook=10_05.xlsx&amp;sheet=U0&amp;row=5209&amp;col=7&amp;number=0.00741&amp;sourceID=14","0.00741")</f>
        <v>0.00741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HYPERLINK("http://141.218.60.56/~jnz1568/getInfo.php?workbook=10_05.xlsx&amp;sheet=U0&amp;row=5210&amp;col=6&amp;number=3.6&amp;sourceID=14","3.6")</f>
        <v>3.6</v>
      </c>
      <c r="G5210" s="4" t="str">
        <f>HYPERLINK("http://141.218.60.56/~jnz1568/getInfo.php?workbook=10_05.xlsx&amp;sheet=U0&amp;row=5210&amp;col=7&amp;number=0.0073&amp;sourceID=14","0.0073")</f>
        <v>0.0073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HYPERLINK("http://141.218.60.56/~jnz1568/getInfo.php?workbook=10_05.xlsx&amp;sheet=U0&amp;row=5211&amp;col=6&amp;number=3.7&amp;sourceID=14","3.7")</f>
        <v>3.7</v>
      </c>
      <c r="G5211" s="4" t="str">
        <f>HYPERLINK("http://141.218.60.56/~jnz1568/getInfo.php?workbook=10_05.xlsx&amp;sheet=U0&amp;row=5211&amp;col=7&amp;number=0.00717&amp;sourceID=14","0.00717")</f>
        <v>0.00717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HYPERLINK("http://141.218.60.56/~jnz1568/getInfo.php?workbook=10_05.xlsx&amp;sheet=U0&amp;row=5212&amp;col=6&amp;number=3.8&amp;sourceID=14","3.8")</f>
        <v>3.8</v>
      </c>
      <c r="G5212" s="4" t="str">
        <f>HYPERLINK("http://141.218.60.56/~jnz1568/getInfo.php?workbook=10_05.xlsx&amp;sheet=U0&amp;row=5212&amp;col=7&amp;number=0.007&amp;sourceID=14","0.007")</f>
        <v>0.007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HYPERLINK("http://141.218.60.56/~jnz1568/getInfo.php?workbook=10_05.xlsx&amp;sheet=U0&amp;row=5213&amp;col=6&amp;number=3.9&amp;sourceID=14","3.9")</f>
        <v>3.9</v>
      </c>
      <c r="G5213" s="4" t="str">
        <f>HYPERLINK("http://141.218.60.56/~jnz1568/getInfo.php?workbook=10_05.xlsx&amp;sheet=U0&amp;row=5213&amp;col=7&amp;number=0.00681&amp;sourceID=14","0.00681")</f>
        <v>0.00681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HYPERLINK("http://141.218.60.56/~jnz1568/getInfo.php?workbook=10_05.xlsx&amp;sheet=U0&amp;row=5214&amp;col=6&amp;number=4&amp;sourceID=14","4")</f>
        <v>4</v>
      </c>
      <c r="G5214" s="4" t="str">
        <f>HYPERLINK("http://141.218.60.56/~jnz1568/getInfo.php?workbook=10_05.xlsx&amp;sheet=U0&amp;row=5214&amp;col=7&amp;number=0.00658&amp;sourceID=14","0.00658")</f>
        <v>0.00658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HYPERLINK("http://141.218.60.56/~jnz1568/getInfo.php?workbook=10_05.xlsx&amp;sheet=U0&amp;row=5215&amp;col=6&amp;number=4.1&amp;sourceID=14","4.1")</f>
        <v>4.1</v>
      </c>
      <c r="G5215" s="4" t="str">
        <f>HYPERLINK("http://141.218.60.56/~jnz1568/getInfo.php?workbook=10_05.xlsx&amp;sheet=U0&amp;row=5215&amp;col=7&amp;number=0.00633&amp;sourceID=14","0.00633")</f>
        <v>0.00633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HYPERLINK("http://141.218.60.56/~jnz1568/getInfo.php?workbook=10_05.xlsx&amp;sheet=U0&amp;row=5216&amp;col=6&amp;number=4.2&amp;sourceID=14","4.2")</f>
        <v>4.2</v>
      </c>
      <c r="G5216" s="4" t="str">
        <f>HYPERLINK("http://141.218.60.56/~jnz1568/getInfo.php?workbook=10_05.xlsx&amp;sheet=U0&amp;row=5216&amp;col=7&amp;number=0.00606&amp;sourceID=14","0.00606")</f>
        <v>0.00606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HYPERLINK("http://141.218.60.56/~jnz1568/getInfo.php?workbook=10_05.xlsx&amp;sheet=U0&amp;row=5217&amp;col=6&amp;number=4.3&amp;sourceID=14","4.3")</f>
        <v>4.3</v>
      </c>
      <c r="G5217" s="4" t="str">
        <f>HYPERLINK("http://141.218.60.56/~jnz1568/getInfo.php?workbook=10_05.xlsx&amp;sheet=U0&amp;row=5217&amp;col=7&amp;number=0.00578&amp;sourceID=14","0.00578")</f>
        <v>0.00578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HYPERLINK("http://141.218.60.56/~jnz1568/getInfo.php?workbook=10_05.xlsx&amp;sheet=U0&amp;row=5218&amp;col=6&amp;number=4.4&amp;sourceID=14","4.4")</f>
        <v>4.4</v>
      </c>
      <c r="G5218" s="4" t="str">
        <f>HYPERLINK("http://141.218.60.56/~jnz1568/getInfo.php?workbook=10_05.xlsx&amp;sheet=U0&amp;row=5218&amp;col=7&amp;number=0.00551&amp;sourceID=14","0.00551")</f>
        <v>0.00551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HYPERLINK("http://141.218.60.56/~jnz1568/getInfo.php?workbook=10_05.xlsx&amp;sheet=U0&amp;row=5219&amp;col=6&amp;number=4.5&amp;sourceID=14","4.5")</f>
        <v>4.5</v>
      </c>
      <c r="G5219" s="4" t="str">
        <f>HYPERLINK("http://141.218.60.56/~jnz1568/getInfo.php?workbook=10_05.xlsx&amp;sheet=U0&amp;row=5219&amp;col=7&amp;number=0.00521&amp;sourceID=14","0.00521")</f>
        <v>0.00521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HYPERLINK("http://141.218.60.56/~jnz1568/getInfo.php?workbook=10_05.xlsx&amp;sheet=U0&amp;row=5220&amp;col=6&amp;number=4.6&amp;sourceID=14","4.6")</f>
        <v>4.6</v>
      </c>
      <c r="G5220" s="4" t="str">
        <f>HYPERLINK("http://141.218.60.56/~jnz1568/getInfo.php?workbook=10_05.xlsx&amp;sheet=U0&amp;row=5220&amp;col=7&amp;number=0.00485&amp;sourceID=14","0.00485")</f>
        <v>0.00485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HYPERLINK("http://141.218.60.56/~jnz1568/getInfo.php?workbook=10_05.xlsx&amp;sheet=U0&amp;row=5221&amp;col=6&amp;number=4.7&amp;sourceID=14","4.7")</f>
        <v>4.7</v>
      </c>
      <c r="G5221" s="4" t="str">
        <f>HYPERLINK("http://141.218.60.56/~jnz1568/getInfo.php?workbook=10_05.xlsx&amp;sheet=U0&amp;row=5221&amp;col=7&amp;number=0.0044&amp;sourceID=14","0.0044")</f>
        <v>0.0044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HYPERLINK("http://141.218.60.56/~jnz1568/getInfo.php?workbook=10_05.xlsx&amp;sheet=U0&amp;row=5222&amp;col=6&amp;number=4.8&amp;sourceID=14","4.8")</f>
        <v>4.8</v>
      </c>
      <c r="G5222" s="4" t="str">
        <f>HYPERLINK("http://141.218.60.56/~jnz1568/getInfo.php?workbook=10_05.xlsx&amp;sheet=U0&amp;row=5222&amp;col=7&amp;number=0.00392&amp;sourceID=14","0.00392")</f>
        <v>0.00392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HYPERLINK("http://141.218.60.56/~jnz1568/getInfo.php?workbook=10_05.xlsx&amp;sheet=U0&amp;row=5223&amp;col=6&amp;number=4.9&amp;sourceID=14","4.9")</f>
        <v>4.9</v>
      </c>
      <c r="G5223" s="4" t="str">
        <f>HYPERLINK("http://141.218.60.56/~jnz1568/getInfo.php?workbook=10_05.xlsx&amp;sheet=U0&amp;row=5223&amp;col=7&amp;number=0.00348&amp;sourceID=14","0.00348")</f>
        <v>0.00348</v>
      </c>
    </row>
    <row r="5224" spans="1:7">
      <c r="A5224" s="3">
        <v>10</v>
      </c>
      <c r="B5224" s="3">
        <v>5</v>
      </c>
      <c r="C5224" s="3">
        <v>2</v>
      </c>
      <c r="D5224" s="3">
        <v>85</v>
      </c>
      <c r="E5224" s="3">
        <v>1</v>
      </c>
      <c r="F5224" s="4" t="str">
        <f>HYPERLINK("http://141.218.60.56/~jnz1568/getInfo.php?workbook=10_05.xlsx&amp;sheet=U0&amp;row=5224&amp;col=6&amp;number=3&amp;sourceID=14","3")</f>
        <v>3</v>
      </c>
      <c r="G5224" s="4" t="str">
        <f>HYPERLINK("http://141.218.60.56/~jnz1568/getInfo.php?workbook=10_05.xlsx&amp;sheet=U0&amp;row=5224&amp;col=7&amp;number=0.00861&amp;sourceID=14","0.00861")</f>
        <v>0.00861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HYPERLINK("http://141.218.60.56/~jnz1568/getInfo.php?workbook=10_05.xlsx&amp;sheet=U0&amp;row=5225&amp;col=6&amp;number=3.1&amp;sourceID=14","3.1")</f>
        <v>3.1</v>
      </c>
      <c r="G5225" s="4" t="str">
        <f>HYPERLINK("http://141.218.60.56/~jnz1568/getInfo.php?workbook=10_05.xlsx&amp;sheet=U0&amp;row=5225&amp;col=7&amp;number=0.0086&amp;sourceID=14","0.0086")</f>
        <v>0.0086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HYPERLINK("http://141.218.60.56/~jnz1568/getInfo.php?workbook=10_05.xlsx&amp;sheet=U0&amp;row=5226&amp;col=6&amp;number=3.2&amp;sourceID=14","3.2")</f>
        <v>3.2</v>
      </c>
      <c r="G5226" s="4" t="str">
        <f>HYPERLINK("http://141.218.60.56/~jnz1568/getInfo.php?workbook=10_05.xlsx&amp;sheet=U0&amp;row=5226&amp;col=7&amp;number=0.00858&amp;sourceID=14","0.00858")</f>
        <v>0.00858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HYPERLINK("http://141.218.60.56/~jnz1568/getInfo.php?workbook=10_05.xlsx&amp;sheet=U0&amp;row=5227&amp;col=6&amp;number=3.3&amp;sourceID=14","3.3")</f>
        <v>3.3</v>
      </c>
      <c r="G5227" s="4" t="str">
        <f>HYPERLINK("http://141.218.60.56/~jnz1568/getInfo.php?workbook=10_05.xlsx&amp;sheet=U0&amp;row=5227&amp;col=7&amp;number=0.00857&amp;sourceID=14","0.00857")</f>
        <v>0.00857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HYPERLINK("http://141.218.60.56/~jnz1568/getInfo.php?workbook=10_05.xlsx&amp;sheet=U0&amp;row=5228&amp;col=6&amp;number=3.4&amp;sourceID=14","3.4")</f>
        <v>3.4</v>
      </c>
      <c r="G5228" s="4" t="str">
        <f>HYPERLINK("http://141.218.60.56/~jnz1568/getInfo.php?workbook=10_05.xlsx&amp;sheet=U0&amp;row=5228&amp;col=7&amp;number=0.00855&amp;sourceID=14","0.00855")</f>
        <v>0.00855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HYPERLINK("http://141.218.60.56/~jnz1568/getInfo.php?workbook=10_05.xlsx&amp;sheet=U0&amp;row=5229&amp;col=6&amp;number=3.5&amp;sourceID=14","3.5")</f>
        <v>3.5</v>
      </c>
      <c r="G5229" s="4" t="str">
        <f>HYPERLINK("http://141.218.60.56/~jnz1568/getInfo.php?workbook=10_05.xlsx&amp;sheet=U0&amp;row=5229&amp;col=7&amp;number=0.00853&amp;sourceID=14","0.00853")</f>
        <v>0.00853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HYPERLINK("http://141.218.60.56/~jnz1568/getInfo.php?workbook=10_05.xlsx&amp;sheet=U0&amp;row=5230&amp;col=6&amp;number=3.6&amp;sourceID=14","3.6")</f>
        <v>3.6</v>
      </c>
      <c r="G5230" s="4" t="str">
        <f>HYPERLINK("http://141.218.60.56/~jnz1568/getInfo.php?workbook=10_05.xlsx&amp;sheet=U0&amp;row=5230&amp;col=7&amp;number=0.0085&amp;sourceID=14","0.0085")</f>
        <v>0.0085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HYPERLINK("http://141.218.60.56/~jnz1568/getInfo.php?workbook=10_05.xlsx&amp;sheet=U0&amp;row=5231&amp;col=6&amp;number=3.7&amp;sourceID=14","3.7")</f>
        <v>3.7</v>
      </c>
      <c r="G5231" s="4" t="str">
        <f>HYPERLINK("http://141.218.60.56/~jnz1568/getInfo.php?workbook=10_05.xlsx&amp;sheet=U0&amp;row=5231&amp;col=7&amp;number=0.00846&amp;sourceID=14","0.00846")</f>
        <v>0.00846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HYPERLINK("http://141.218.60.56/~jnz1568/getInfo.php?workbook=10_05.xlsx&amp;sheet=U0&amp;row=5232&amp;col=6&amp;number=3.8&amp;sourceID=14","3.8")</f>
        <v>3.8</v>
      </c>
      <c r="G5232" s="4" t="str">
        <f>HYPERLINK("http://141.218.60.56/~jnz1568/getInfo.php?workbook=10_05.xlsx&amp;sheet=U0&amp;row=5232&amp;col=7&amp;number=0.00841&amp;sourceID=14","0.00841")</f>
        <v>0.00841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HYPERLINK("http://141.218.60.56/~jnz1568/getInfo.php?workbook=10_05.xlsx&amp;sheet=U0&amp;row=5233&amp;col=6&amp;number=3.9&amp;sourceID=14","3.9")</f>
        <v>3.9</v>
      </c>
      <c r="G5233" s="4" t="str">
        <f>HYPERLINK("http://141.218.60.56/~jnz1568/getInfo.php?workbook=10_05.xlsx&amp;sheet=U0&amp;row=5233&amp;col=7&amp;number=0.00835&amp;sourceID=14","0.00835")</f>
        <v>0.00835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HYPERLINK("http://141.218.60.56/~jnz1568/getInfo.php?workbook=10_05.xlsx&amp;sheet=U0&amp;row=5234&amp;col=6&amp;number=4&amp;sourceID=14","4")</f>
        <v>4</v>
      </c>
      <c r="G5234" s="4" t="str">
        <f>HYPERLINK("http://141.218.60.56/~jnz1568/getInfo.php?workbook=10_05.xlsx&amp;sheet=U0&amp;row=5234&amp;col=7&amp;number=0.00827&amp;sourceID=14","0.00827")</f>
        <v>0.00827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HYPERLINK("http://141.218.60.56/~jnz1568/getInfo.php?workbook=10_05.xlsx&amp;sheet=U0&amp;row=5235&amp;col=6&amp;number=4.1&amp;sourceID=14","4.1")</f>
        <v>4.1</v>
      </c>
      <c r="G5235" s="4" t="str">
        <f>HYPERLINK("http://141.218.60.56/~jnz1568/getInfo.php?workbook=10_05.xlsx&amp;sheet=U0&amp;row=5235&amp;col=7&amp;number=0.00817&amp;sourceID=14","0.00817")</f>
        <v>0.00817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HYPERLINK("http://141.218.60.56/~jnz1568/getInfo.php?workbook=10_05.xlsx&amp;sheet=U0&amp;row=5236&amp;col=6&amp;number=4.2&amp;sourceID=14","4.2")</f>
        <v>4.2</v>
      </c>
      <c r="G5236" s="4" t="str">
        <f>HYPERLINK("http://141.218.60.56/~jnz1568/getInfo.php?workbook=10_05.xlsx&amp;sheet=U0&amp;row=5236&amp;col=7&amp;number=0.00803&amp;sourceID=14","0.00803")</f>
        <v>0.00803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HYPERLINK("http://141.218.60.56/~jnz1568/getInfo.php?workbook=10_05.xlsx&amp;sheet=U0&amp;row=5237&amp;col=6&amp;number=4.3&amp;sourceID=14","4.3")</f>
        <v>4.3</v>
      </c>
      <c r="G5237" s="4" t="str">
        <f>HYPERLINK("http://141.218.60.56/~jnz1568/getInfo.php?workbook=10_05.xlsx&amp;sheet=U0&amp;row=5237&amp;col=7&amp;number=0.00783&amp;sourceID=14","0.00783")</f>
        <v>0.00783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HYPERLINK("http://141.218.60.56/~jnz1568/getInfo.php?workbook=10_05.xlsx&amp;sheet=U0&amp;row=5238&amp;col=6&amp;number=4.4&amp;sourceID=14","4.4")</f>
        <v>4.4</v>
      </c>
      <c r="G5238" s="4" t="str">
        <f>HYPERLINK("http://141.218.60.56/~jnz1568/getInfo.php?workbook=10_05.xlsx&amp;sheet=U0&amp;row=5238&amp;col=7&amp;number=0.00755&amp;sourceID=14","0.00755")</f>
        <v>0.00755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HYPERLINK("http://141.218.60.56/~jnz1568/getInfo.php?workbook=10_05.xlsx&amp;sheet=U0&amp;row=5239&amp;col=6&amp;number=4.5&amp;sourceID=14","4.5")</f>
        <v>4.5</v>
      </c>
      <c r="G5239" s="4" t="str">
        <f>HYPERLINK("http://141.218.60.56/~jnz1568/getInfo.php?workbook=10_05.xlsx&amp;sheet=U0&amp;row=5239&amp;col=7&amp;number=0.00717&amp;sourceID=14","0.00717")</f>
        <v>0.00717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HYPERLINK("http://141.218.60.56/~jnz1568/getInfo.php?workbook=10_05.xlsx&amp;sheet=U0&amp;row=5240&amp;col=6&amp;number=4.6&amp;sourceID=14","4.6")</f>
        <v>4.6</v>
      </c>
      <c r="G5240" s="4" t="str">
        <f>HYPERLINK("http://141.218.60.56/~jnz1568/getInfo.php?workbook=10_05.xlsx&amp;sheet=U0&amp;row=5240&amp;col=7&amp;number=0.00669&amp;sourceID=14","0.00669")</f>
        <v>0.00669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HYPERLINK("http://141.218.60.56/~jnz1568/getInfo.php?workbook=10_05.xlsx&amp;sheet=U0&amp;row=5241&amp;col=6&amp;number=4.7&amp;sourceID=14","4.7")</f>
        <v>4.7</v>
      </c>
      <c r="G5241" s="4" t="str">
        <f>HYPERLINK("http://141.218.60.56/~jnz1568/getInfo.php?workbook=10_05.xlsx&amp;sheet=U0&amp;row=5241&amp;col=7&amp;number=0.00614&amp;sourceID=14","0.00614")</f>
        <v>0.00614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HYPERLINK("http://141.218.60.56/~jnz1568/getInfo.php?workbook=10_05.xlsx&amp;sheet=U0&amp;row=5242&amp;col=6&amp;number=4.8&amp;sourceID=14","4.8")</f>
        <v>4.8</v>
      </c>
      <c r="G5242" s="4" t="str">
        <f>HYPERLINK("http://141.218.60.56/~jnz1568/getInfo.php?workbook=10_05.xlsx&amp;sheet=U0&amp;row=5242&amp;col=7&amp;number=0.00557&amp;sourceID=14","0.00557")</f>
        <v>0.00557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HYPERLINK("http://141.218.60.56/~jnz1568/getInfo.php?workbook=10_05.xlsx&amp;sheet=U0&amp;row=5243&amp;col=6&amp;number=4.9&amp;sourceID=14","4.9")</f>
        <v>4.9</v>
      </c>
      <c r="G5243" s="4" t="str">
        <f>HYPERLINK("http://141.218.60.56/~jnz1568/getInfo.php?workbook=10_05.xlsx&amp;sheet=U0&amp;row=5243&amp;col=7&amp;number=0.00501&amp;sourceID=14","0.00501")</f>
        <v>0.00501</v>
      </c>
    </row>
    <row r="5244" spans="1:7">
      <c r="A5244" s="3">
        <v>10</v>
      </c>
      <c r="B5244" s="3">
        <v>5</v>
      </c>
      <c r="C5244" s="3">
        <v>2</v>
      </c>
      <c r="D5244" s="3">
        <v>86</v>
      </c>
      <c r="E5244" s="3">
        <v>1</v>
      </c>
      <c r="F5244" s="4" t="str">
        <f>HYPERLINK("http://141.218.60.56/~jnz1568/getInfo.php?workbook=10_05.xlsx&amp;sheet=U0&amp;row=5244&amp;col=6&amp;number=3&amp;sourceID=14","3")</f>
        <v>3</v>
      </c>
      <c r="G5244" s="4" t="str">
        <f>HYPERLINK("http://141.218.60.56/~jnz1568/getInfo.php?workbook=10_05.xlsx&amp;sheet=U0&amp;row=5244&amp;col=7&amp;number=0.0114&amp;sourceID=14","0.0114")</f>
        <v>0.0114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HYPERLINK("http://141.218.60.56/~jnz1568/getInfo.php?workbook=10_05.xlsx&amp;sheet=U0&amp;row=5245&amp;col=6&amp;number=3.1&amp;sourceID=14","3.1")</f>
        <v>3.1</v>
      </c>
      <c r="G5245" s="4" t="str">
        <f>HYPERLINK("http://141.218.60.56/~jnz1568/getInfo.php?workbook=10_05.xlsx&amp;sheet=U0&amp;row=5245&amp;col=7&amp;number=0.0114&amp;sourceID=14","0.0114")</f>
        <v>0.0114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HYPERLINK("http://141.218.60.56/~jnz1568/getInfo.php?workbook=10_05.xlsx&amp;sheet=U0&amp;row=5246&amp;col=6&amp;number=3.2&amp;sourceID=14","3.2")</f>
        <v>3.2</v>
      </c>
      <c r="G5246" s="4" t="str">
        <f>HYPERLINK("http://141.218.60.56/~jnz1568/getInfo.php?workbook=10_05.xlsx&amp;sheet=U0&amp;row=5246&amp;col=7&amp;number=0.0114&amp;sourceID=14","0.0114")</f>
        <v>0.0114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HYPERLINK("http://141.218.60.56/~jnz1568/getInfo.php?workbook=10_05.xlsx&amp;sheet=U0&amp;row=5247&amp;col=6&amp;number=3.3&amp;sourceID=14","3.3")</f>
        <v>3.3</v>
      </c>
      <c r="G5247" s="4" t="str">
        <f>HYPERLINK("http://141.218.60.56/~jnz1568/getInfo.php?workbook=10_05.xlsx&amp;sheet=U0&amp;row=5247&amp;col=7&amp;number=0.0113&amp;sourceID=14","0.0113")</f>
        <v>0.0113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HYPERLINK("http://141.218.60.56/~jnz1568/getInfo.php?workbook=10_05.xlsx&amp;sheet=U0&amp;row=5248&amp;col=6&amp;number=3.4&amp;sourceID=14","3.4")</f>
        <v>3.4</v>
      </c>
      <c r="G5248" s="4" t="str">
        <f>HYPERLINK("http://141.218.60.56/~jnz1568/getInfo.php?workbook=10_05.xlsx&amp;sheet=U0&amp;row=5248&amp;col=7&amp;number=0.0113&amp;sourceID=14","0.0113")</f>
        <v>0.0113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HYPERLINK("http://141.218.60.56/~jnz1568/getInfo.php?workbook=10_05.xlsx&amp;sheet=U0&amp;row=5249&amp;col=6&amp;number=3.5&amp;sourceID=14","3.5")</f>
        <v>3.5</v>
      </c>
      <c r="G5249" s="4" t="str">
        <f>HYPERLINK("http://141.218.60.56/~jnz1568/getInfo.php?workbook=10_05.xlsx&amp;sheet=U0&amp;row=5249&amp;col=7&amp;number=0.0113&amp;sourceID=14","0.0113")</f>
        <v>0.0113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HYPERLINK("http://141.218.60.56/~jnz1568/getInfo.php?workbook=10_05.xlsx&amp;sheet=U0&amp;row=5250&amp;col=6&amp;number=3.6&amp;sourceID=14","3.6")</f>
        <v>3.6</v>
      </c>
      <c r="G5250" s="4" t="str">
        <f>HYPERLINK("http://141.218.60.56/~jnz1568/getInfo.php?workbook=10_05.xlsx&amp;sheet=U0&amp;row=5250&amp;col=7&amp;number=0.0113&amp;sourceID=14","0.0113")</f>
        <v>0.0113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HYPERLINK("http://141.218.60.56/~jnz1568/getInfo.php?workbook=10_05.xlsx&amp;sheet=U0&amp;row=5251&amp;col=6&amp;number=3.7&amp;sourceID=14","3.7")</f>
        <v>3.7</v>
      </c>
      <c r="G5251" s="4" t="str">
        <f>HYPERLINK("http://141.218.60.56/~jnz1568/getInfo.php?workbook=10_05.xlsx&amp;sheet=U0&amp;row=5251&amp;col=7&amp;number=0.0112&amp;sourceID=14","0.0112")</f>
        <v>0.0112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HYPERLINK("http://141.218.60.56/~jnz1568/getInfo.php?workbook=10_05.xlsx&amp;sheet=U0&amp;row=5252&amp;col=6&amp;number=3.8&amp;sourceID=14","3.8")</f>
        <v>3.8</v>
      </c>
      <c r="G5252" s="4" t="str">
        <f>HYPERLINK("http://141.218.60.56/~jnz1568/getInfo.php?workbook=10_05.xlsx&amp;sheet=U0&amp;row=5252&amp;col=7&amp;number=0.0112&amp;sourceID=14","0.0112")</f>
        <v>0.0112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HYPERLINK("http://141.218.60.56/~jnz1568/getInfo.php?workbook=10_05.xlsx&amp;sheet=U0&amp;row=5253&amp;col=6&amp;number=3.9&amp;sourceID=14","3.9")</f>
        <v>3.9</v>
      </c>
      <c r="G5253" s="4" t="str">
        <f>HYPERLINK("http://141.218.60.56/~jnz1568/getInfo.php?workbook=10_05.xlsx&amp;sheet=U0&amp;row=5253&amp;col=7&amp;number=0.0111&amp;sourceID=14","0.0111")</f>
        <v>0.0111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HYPERLINK("http://141.218.60.56/~jnz1568/getInfo.php?workbook=10_05.xlsx&amp;sheet=U0&amp;row=5254&amp;col=6&amp;number=4&amp;sourceID=14","4")</f>
        <v>4</v>
      </c>
      <c r="G5254" s="4" t="str">
        <f>HYPERLINK("http://141.218.60.56/~jnz1568/getInfo.php?workbook=10_05.xlsx&amp;sheet=U0&amp;row=5254&amp;col=7&amp;number=0.0111&amp;sourceID=14","0.0111")</f>
        <v>0.0111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HYPERLINK("http://141.218.60.56/~jnz1568/getInfo.php?workbook=10_05.xlsx&amp;sheet=U0&amp;row=5255&amp;col=6&amp;number=4.1&amp;sourceID=14","4.1")</f>
        <v>4.1</v>
      </c>
      <c r="G5255" s="4" t="str">
        <f>HYPERLINK("http://141.218.60.56/~jnz1568/getInfo.php?workbook=10_05.xlsx&amp;sheet=U0&amp;row=5255&amp;col=7&amp;number=0.011&amp;sourceID=14","0.011")</f>
        <v>0.011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HYPERLINK("http://141.218.60.56/~jnz1568/getInfo.php?workbook=10_05.xlsx&amp;sheet=U0&amp;row=5256&amp;col=6&amp;number=4.2&amp;sourceID=14","4.2")</f>
        <v>4.2</v>
      </c>
      <c r="G5256" s="4" t="str">
        <f>HYPERLINK("http://141.218.60.56/~jnz1568/getInfo.php?workbook=10_05.xlsx&amp;sheet=U0&amp;row=5256&amp;col=7&amp;number=0.0109&amp;sourceID=14","0.0109")</f>
        <v>0.0109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HYPERLINK("http://141.218.60.56/~jnz1568/getInfo.php?workbook=10_05.xlsx&amp;sheet=U0&amp;row=5257&amp;col=6&amp;number=4.3&amp;sourceID=14","4.3")</f>
        <v>4.3</v>
      </c>
      <c r="G5257" s="4" t="str">
        <f>HYPERLINK("http://141.218.60.56/~jnz1568/getInfo.php?workbook=10_05.xlsx&amp;sheet=U0&amp;row=5257&amp;col=7&amp;number=0.0108&amp;sourceID=14","0.0108")</f>
        <v>0.0108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HYPERLINK("http://141.218.60.56/~jnz1568/getInfo.php?workbook=10_05.xlsx&amp;sheet=U0&amp;row=5258&amp;col=6&amp;number=4.4&amp;sourceID=14","4.4")</f>
        <v>4.4</v>
      </c>
      <c r="G5258" s="4" t="str">
        <f>HYPERLINK("http://141.218.60.56/~jnz1568/getInfo.php?workbook=10_05.xlsx&amp;sheet=U0&amp;row=5258&amp;col=7&amp;number=0.0106&amp;sourceID=14","0.0106")</f>
        <v>0.0106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HYPERLINK("http://141.218.60.56/~jnz1568/getInfo.php?workbook=10_05.xlsx&amp;sheet=U0&amp;row=5259&amp;col=6&amp;number=4.5&amp;sourceID=14","4.5")</f>
        <v>4.5</v>
      </c>
      <c r="G5259" s="4" t="str">
        <f>HYPERLINK("http://141.218.60.56/~jnz1568/getInfo.php?workbook=10_05.xlsx&amp;sheet=U0&amp;row=5259&amp;col=7&amp;number=0.0104&amp;sourceID=14","0.0104")</f>
        <v>0.0104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HYPERLINK("http://141.218.60.56/~jnz1568/getInfo.php?workbook=10_05.xlsx&amp;sheet=U0&amp;row=5260&amp;col=6&amp;number=4.6&amp;sourceID=14","4.6")</f>
        <v>4.6</v>
      </c>
      <c r="G5260" s="4" t="str">
        <f>HYPERLINK("http://141.218.60.56/~jnz1568/getInfo.php?workbook=10_05.xlsx&amp;sheet=U0&amp;row=5260&amp;col=7&amp;number=0.0102&amp;sourceID=14","0.0102")</f>
        <v>0.0102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HYPERLINK("http://141.218.60.56/~jnz1568/getInfo.php?workbook=10_05.xlsx&amp;sheet=U0&amp;row=5261&amp;col=6&amp;number=4.7&amp;sourceID=14","4.7")</f>
        <v>4.7</v>
      </c>
      <c r="G5261" s="4" t="str">
        <f>HYPERLINK("http://141.218.60.56/~jnz1568/getInfo.php?workbook=10_05.xlsx&amp;sheet=U0&amp;row=5261&amp;col=7&amp;number=0.00998&amp;sourceID=14","0.00998")</f>
        <v>0.00998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HYPERLINK("http://141.218.60.56/~jnz1568/getInfo.php?workbook=10_05.xlsx&amp;sheet=U0&amp;row=5262&amp;col=6&amp;number=4.8&amp;sourceID=14","4.8")</f>
        <v>4.8</v>
      </c>
      <c r="G5262" s="4" t="str">
        <f>HYPERLINK("http://141.218.60.56/~jnz1568/getInfo.php?workbook=10_05.xlsx&amp;sheet=U0&amp;row=5262&amp;col=7&amp;number=0.00976&amp;sourceID=14","0.00976")</f>
        <v>0.00976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HYPERLINK("http://141.218.60.56/~jnz1568/getInfo.php?workbook=10_05.xlsx&amp;sheet=U0&amp;row=5263&amp;col=6&amp;number=4.9&amp;sourceID=14","4.9")</f>
        <v>4.9</v>
      </c>
      <c r="G5263" s="4" t="str">
        <f>HYPERLINK("http://141.218.60.56/~jnz1568/getInfo.php?workbook=10_05.xlsx&amp;sheet=U0&amp;row=5263&amp;col=7&amp;number=0.00953&amp;sourceID=14","0.00953")</f>
        <v>0.00953</v>
      </c>
    </row>
    <row r="5264" spans="1:7">
      <c r="A5264" s="3">
        <v>10</v>
      </c>
      <c r="B5264" s="3">
        <v>5</v>
      </c>
      <c r="C5264" s="3">
        <v>2</v>
      </c>
      <c r="D5264" s="3">
        <v>87</v>
      </c>
      <c r="E5264" s="3">
        <v>1</v>
      </c>
      <c r="F5264" s="4" t="str">
        <f>HYPERLINK("http://141.218.60.56/~jnz1568/getInfo.php?workbook=10_05.xlsx&amp;sheet=U0&amp;row=5264&amp;col=6&amp;number=3&amp;sourceID=14","3")</f>
        <v>3</v>
      </c>
      <c r="G5264" s="4" t="str">
        <f>HYPERLINK("http://141.218.60.56/~jnz1568/getInfo.php?workbook=10_05.xlsx&amp;sheet=U0&amp;row=5264&amp;col=7&amp;number=0.0203&amp;sourceID=14","0.0203")</f>
        <v>0.0203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HYPERLINK("http://141.218.60.56/~jnz1568/getInfo.php?workbook=10_05.xlsx&amp;sheet=U0&amp;row=5265&amp;col=6&amp;number=3.1&amp;sourceID=14","3.1")</f>
        <v>3.1</v>
      </c>
      <c r="G5265" s="4" t="str">
        <f>HYPERLINK("http://141.218.60.56/~jnz1568/getInfo.php?workbook=10_05.xlsx&amp;sheet=U0&amp;row=5265&amp;col=7&amp;number=0.0203&amp;sourceID=14","0.0203")</f>
        <v>0.0203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HYPERLINK("http://141.218.60.56/~jnz1568/getInfo.php?workbook=10_05.xlsx&amp;sheet=U0&amp;row=5266&amp;col=6&amp;number=3.2&amp;sourceID=14","3.2")</f>
        <v>3.2</v>
      </c>
      <c r="G5266" s="4" t="str">
        <f>HYPERLINK("http://141.218.60.56/~jnz1568/getInfo.php?workbook=10_05.xlsx&amp;sheet=U0&amp;row=5266&amp;col=7&amp;number=0.0203&amp;sourceID=14","0.0203")</f>
        <v>0.0203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HYPERLINK("http://141.218.60.56/~jnz1568/getInfo.php?workbook=10_05.xlsx&amp;sheet=U0&amp;row=5267&amp;col=6&amp;number=3.3&amp;sourceID=14","3.3")</f>
        <v>3.3</v>
      </c>
      <c r="G5267" s="4" t="str">
        <f>HYPERLINK("http://141.218.60.56/~jnz1568/getInfo.php?workbook=10_05.xlsx&amp;sheet=U0&amp;row=5267&amp;col=7&amp;number=0.0203&amp;sourceID=14","0.0203")</f>
        <v>0.0203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HYPERLINK("http://141.218.60.56/~jnz1568/getInfo.php?workbook=10_05.xlsx&amp;sheet=U0&amp;row=5268&amp;col=6&amp;number=3.4&amp;sourceID=14","3.4")</f>
        <v>3.4</v>
      </c>
      <c r="G5268" s="4" t="str">
        <f>HYPERLINK("http://141.218.60.56/~jnz1568/getInfo.php?workbook=10_05.xlsx&amp;sheet=U0&amp;row=5268&amp;col=7&amp;number=0.0203&amp;sourceID=14","0.0203")</f>
        <v>0.0203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HYPERLINK("http://141.218.60.56/~jnz1568/getInfo.php?workbook=10_05.xlsx&amp;sheet=U0&amp;row=5269&amp;col=6&amp;number=3.5&amp;sourceID=14","3.5")</f>
        <v>3.5</v>
      </c>
      <c r="G5269" s="4" t="str">
        <f>HYPERLINK("http://141.218.60.56/~jnz1568/getInfo.php?workbook=10_05.xlsx&amp;sheet=U0&amp;row=5269&amp;col=7&amp;number=0.0204&amp;sourceID=14","0.0204")</f>
        <v>0.0204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HYPERLINK("http://141.218.60.56/~jnz1568/getInfo.php?workbook=10_05.xlsx&amp;sheet=U0&amp;row=5270&amp;col=6&amp;number=3.6&amp;sourceID=14","3.6")</f>
        <v>3.6</v>
      </c>
      <c r="G5270" s="4" t="str">
        <f>HYPERLINK("http://141.218.60.56/~jnz1568/getInfo.php?workbook=10_05.xlsx&amp;sheet=U0&amp;row=5270&amp;col=7&amp;number=0.0204&amp;sourceID=14","0.0204")</f>
        <v>0.0204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HYPERLINK("http://141.218.60.56/~jnz1568/getInfo.php?workbook=10_05.xlsx&amp;sheet=U0&amp;row=5271&amp;col=6&amp;number=3.7&amp;sourceID=14","3.7")</f>
        <v>3.7</v>
      </c>
      <c r="G5271" s="4" t="str">
        <f>HYPERLINK("http://141.218.60.56/~jnz1568/getInfo.php?workbook=10_05.xlsx&amp;sheet=U0&amp;row=5271&amp;col=7&amp;number=0.0204&amp;sourceID=14","0.0204")</f>
        <v>0.0204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HYPERLINK("http://141.218.60.56/~jnz1568/getInfo.php?workbook=10_05.xlsx&amp;sheet=U0&amp;row=5272&amp;col=6&amp;number=3.8&amp;sourceID=14","3.8")</f>
        <v>3.8</v>
      </c>
      <c r="G5272" s="4" t="str">
        <f>HYPERLINK("http://141.218.60.56/~jnz1568/getInfo.php?workbook=10_05.xlsx&amp;sheet=U0&amp;row=5272&amp;col=7&amp;number=0.0204&amp;sourceID=14","0.0204")</f>
        <v>0.0204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HYPERLINK("http://141.218.60.56/~jnz1568/getInfo.php?workbook=10_05.xlsx&amp;sheet=U0&amp;row=5273&amp;col=6&amp;number=3.9&amp;sourceID=14","3.9")</f>
        <v>3.9</v>
      </c>
      <c r="G5273" s="4" t="str">
        <f>HYPERLINK("http://141.218.60.56/~jnz1568/getInfo.php?workbook=10_05.xlsx&amp;sheet=U0&amp;row=5273&amp;col=7&amp;number=0.0204&amp;sourceID=14","0.0204")</f>
        <v>0.0204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HYPERLINK("http://141.218.60.56/~jnz1568/getInfo.php?workbook=10_05.xlsx&amp;sheet=U0&amp;row=5274&amp;col=6&amp;number=4&amp;sourceID=14","4")</f>
        <v>4</v>
      </c>
      <c r="G5274" s="4" t="str">
        <f>HYPERLINK("http://141.218.60.56/~jnz1568/getInfo.php?workbook=10_05.xlsx&amp;sheet=U0&amp;row=5274&amp;col=7&amp;number=0.0205&amp;sourceID=14","0.0205")</f>
        <v>0.0205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HYPERLINK("http://141.218.60.56/~jnz1568/getInfo.php?workbook=10_05.xlsx&amp;sheet=U0&amp;row=5275&amp;col=6&amp;number=4.1&amp;sourceID=14","4.1")</f>
        <v>4.1</v>
      </c>
      <c r="G5275" s="4" t="str">
        <f>HYPERLINK("http://141.218.60.56/~jnz1568/getInfo.php?workbook=10_05.xlsx&amp;sheet=U0&amp;row=5275&amp;col=7&amp;number=0.0205&amp;sourceID=14","0.0205")</f>
        <v>0.0205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HYPERLINK("http://141.218.60.56/~jnz1568/getInfo.php?workbook=10_05.xlsx&amp;sheet=U0&amp;row=5276&amp;col=6&amp;number=4.2&amp;sourceID=14","4.2")</f>
        <v>4.2</v>
      </c>
      <c r="G5276" s="4" t="str">
        <f>HYPERLINK("http://141.218.60.56/~jnz1568/getInfo.php?workbook=10_05.xlsx&amp;sheet=U0&amp;row=5276&amp;col=7&amp;number=0.0205&amp;sourceID=14","0.0205")</f>
        <v>0.0205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HYPERLINK("http://141.218.60.56/~jnz1568/getInfo.php?workbook=10_05.xlsx&amp;sheet=U0&amp;row=5277&amp;col=6&amp;number=4.3&amp;sourceID=14","4.3")</f>
        <v>4.3</v>
      </c>
      <c r="G5277" s="4" t="str">
        <f>HYPERLINK("http://141.218.60.56/~jnz1568/getInfo.php?workbook=10_05.xlsx&amp;sheet=U0&amp;row=5277&amp;col=7&amp;number=0.0204&amp;sourceID=14","0.0204")</f>
        <v>0.0204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HYPERLINK("http://141.218.60.56/~jnz1568/getInfo.php?workbook=10_05.xlsx&amp;sheet=U0&amp;row=5278&amp;col=6&amp;number=4.4&amp;sourceID=14","4.4")</f>
        <v>4.4</v>
      </c>
      <c r="G5278" s="4" t="str">
        <f>HYPERLINK("http://141.218.60.56/~jnz1568/getInfo.php?workbook=10_05.xlsx&amp;sheet=U0&amp;row=5278&amp;col=7&amp;number=0.0203&amp;sourceID=14","0.0203")</f>
        <v>0.0203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HYPERLINK("http://141.218.60.56/~jnz1568/getInfo.php?workbook=10_05.xlsx&amp;sheet=U0&amp;row=5279&amp;col=6&amp;number=4.5&amp;sourceID=14","4.5")</f>
        <v>4.5</v>
      </c>
      <c r="G5279" s="4" t="str">
        <f>HYPERLINK("http://141.218.60.56/~jnz1568/getInfo.php?workbook=10_05.xlsx&amp;sheet=U0&amp;row=5279&amp;col=7&amp;number=0.0201&amp;sourceID=14","0.0201")</f>
        <v>0.0201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HYPERLINK("http://141.218.60.56/~jnz1568/getInfo.php?workbook=10_05.xlsx&amp;sheet=U0&amp;row=5280&amp;col=6&amp;number=4.6&amp;sourceID=14","4.6")</f>
        <v>4.6</v>
      </c>
      <c r="G5280" s="4" t="str">
        <f>HYPERLINK("http://141.218.60.56/~jnz1568/getInfo.php?workbook=10_05.xlsx&amp;sheet=U0&amp;row=5280&amp;col=7&amp;number=0.0198&amp;sourceID=14","0.0198")</f>
        <v>0.0198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HYPERLINK("http://141.218.60.56/~jnz1568/getInfo.php?workbook=10_05.xlsx&amp;sheet=U0&amp;row=5281&amp;col=6&amp;number=4.7&amp;sourceID=14","4.7")</f>
        <v>4.7</v>
      </c>
      <c r="G5281" s="4" t="str">
        <f>HYPERLINK("http://141.218.60.56/~jnz1568/getInfo.php?workbook=10_05.xlsx&amp;sheet=U0&amp;row=5281&amp;col=7&amp;number=0.0194&amp;sourceID=14","0.0194")</f>
        <v>0.0194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HYPERLINK("http://141.218.60.56/~jnz1568/getInfo.php?workbook=10_05.xlsx&amp;sheet=U0&amp;row=5282&amp;col=6&amp;number=4.8&amp;sourceID=14","4.8")</f>
        <v>4.8</v>
      </c>
      <c r="G5282" s="4" t="str">
        <f>HYPERLINK("http://141.218.60.56/~jnz1568/getInfo.php?workbook=10_05.xlsx&amp;sheet=U0&amp;row=5282&amp;col=7&amp;number=0.0191&amp;sourceID=14","0.0191")</f>
        <v>0.0191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HYPERLINK("http://141.218.60.56/~jnz1568/getInfo.php?workbook=10_05.xlsx&amp;sheet=U0&amp;row=5283&amp;col=6&amp;number=4.9&amp;sourceID=14","4.9")</f>
        <v>4.9</v>
      </c>
      <c r="G5283" s="4" t="str">
        <f>HYPERLINK("http://141.218.60.56/~jnz1568/getInfo.php?workbook=10_05.xlsx&amp;sheet=U0&amp;row=5283&amp;col=7&amp;number=0.0188&amp;sourceID=14","0.0188")</f>
        <v>0.0188</v>
      </c>
    </row>
    <row r="5284" spans="1:7">
      <c r="A5284" s="3">
        <v>10</v>
      </c>
      <c r="B5284" s="3">
        <v>5</v>
      </c>
      <c r="C5284" s="3">
        <v>2</v>
      </c>
      <c r="D5284" s="3">
        <v>88</v>
      </c>
      <c r="E5284" s="3">
        <v>1</v>
      </c>
      <c r="F5284" s="4" t="str">
        <f>HYPERLINK("http://141.218.60.56/~jnz1568/getInfo.php?workbook=10_05.xlsx&amp;sheet=U0&amp;row=5284&amp;col=6&amp;number=3&amp;sourceID=14","3")</f>
        <v>3</v>
      </c>
      <c r="G5284" s="4" t="str">
        <f>HYPERLINK("http://141.218.60.56/~jnz1568/getInfo.php?workbook=10_05.xlsx&amp;sheet=U0&amp;row=5284&amp;col=7&amp;number=0.00345&amp;sourceID=14","0.00345")</f>
        <v>0.00345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HYPERLINK("http://141.218.60.56/~jnz1568/getInfo.php?workbook=10_05.xlsx&amp;sheet=U0&amp;row=5285&amp;col=6&amp;number=3.1&amp;sourceID=14","3.1")</f>
        <v>3.1</v>
      </c>
      <c r="G5285" s="4" t="str">
        <f>HYPERLINK("http://141.218.60.56/~jnz1568/getInfo.php?workbook=10_05.xlsx&amp;sheet=U0&amp;row=5285&amp;col=7&amp;number=0.00346&amp;sourceID=14","0.00346")</f>
        <v>0.00346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HYPERLINK("http://141.218.60.56/~jnz1568/getInfo.php?workbook=10_05.xlsx&amp;sheet=U0&amp;row=5286&amp;col=6&amp;number=3.2&amp;sourceID=14","3.2")</f>
        <v>3.2</v>
      </c>
      <c r="G5286" s="4" t="str">
        <f>HYPERLINK("http://141.218.60.56/~jnz1568/getInfo.php?workbook=10_05.xlsx&amp;sheet=U0&amp;row=5286&amp;col=7&amp;number=0.00347&amp;sourceID=14","0.00347")</f>
        <v>0.00347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HYPERLINK("http://141.218.60.56/~jnz1568/getInfo.php?workbook=10_05.xlsx&amp;sheet=U0&amp;row=5287&amp;col=6&amp;number=3.3&amp;sourceID=14","3.3")</f>
        <v>3.3</v>
      </c>
      <c r="G5287" s="4" t="str">
        <f>HYPERLINK("http://141.218.60.56/~jnz1568/getInfo.php?workbook=10_05.xlsx&amp;sheet=U0&amp;row=5287&amp;col=7&amp;number=0.00348&amp;sourceID=14","0.00348")</f>
        <v>0.00348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HYPERLINK("http://141.218.60.56/~jnz1568/getInfo.php?workbook=10_05.xlsx&amp;sheet=U0&amp;row=5288&amp;col=6&amp;number=3.4&amp;sourceID=14","3.4")</f>
        <v>3.4</v>
      </c>
      <c r="G5288" s="4" t="str">
        <f>HYPERLINK("http://141.218.60.56/~jnz1568/getInfo.php?workbook=10_05.xlsx&amp;sheet=U0&amp;row=5288&amp;col=7&amp;number=0.0035&amp;sourceID=14","0.0035")</f>
        <v>0.0035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HYPERLINK("http://141.218.60.56/~jnz1568/getInfo.php?workbook=10_05.xlsx&amp;sheet=U0&amp;row=5289&amp;col=6&amp;number=3.5&amp;sourceID=14","3.5")</f>
        <v>3.5</v>
      </c>
      <c r="G5289" s="4" t="str">
        <f>HYPERLINK("http://141.218.60.56/~jnz1568/getInfo.php?workbook=10_05.xlsx&amp;sheet=U0&amp;row=5289&amp;col=7&amp;number=0.00352&amp;sourceID=14","0.00352")</f>
        <v>0.00352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HYPERLINK("http://141.218.60.56/~jnz1568/getInfo.php?workbook=10_05.xlsx&amp;sheet=U0&amp;row=5290&amp;col=6&amp;number=3.6&amp;sourceID=14","3.6")</f>
        <v>3.6</v>
      </c>
      <c r="G5290" s="4" t="str">
        <f>HYPERLINK("http://141.218.60.56/~jnz1568/getInfo.php?workbook=10_05.xlsx&amp;sheet=U0&amp;row=5290&amp;col=7&amp;number=0.00354&amp;sourceID=14","0.00354")</f>
        <v>0.00354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HYPERLINK("http://141.218.60.56/~jnz1568/getInfo.php?workbook=10_05.xlsx&amp;sheet=U0&amp;row=5291&amp;col=6&amp;number=3.7&amp;sourceID=14","3.7")</f>
        <v>3.7</v>
      </c>
      <c r="G5291" s="4" t="str">
        <f>HYPERLINK("http://141.218.60.56/~jnz1568/getInfo.php?workbook=10_05.xlsx&amp;sheet=U0&amp;row=5291&amp;col=7&amp;number=0.00357&amp;sourceID=14","0.00357")</f>
        <v>0.00357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HYPERLINK("http://141.218.60.56/~jnz1568/getInfo.php?workbook=10_05.xlsx&amp;sheet=U0&amp;row=5292&amp;col=6&amp;number=3.8&amp;sourceID=14","3.8")</f>
        <v>3.8</v>
      </c>
      <c r="G5292" s="4" t="str">
        <f>HYPERLINK("http://141.218.60.56/~jnz1568/getInfo.php?workbook=10_05.xlsx&amp;sheet=U0&amp;row=5292&amp;col=7&amp;number=0.00359&amp;sourceID=14","0.00359")</f>
        <v>0.00359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HYPERLINK("http://141.218.60.56/~jnz1568/getInfo.php?workbook=10_05.xlsx&amp;sheet=U0&amp;row=5293&amp;col=6&amp;number=3.9&amp;sourceID=14","3.9")</f>
        <v>3.9</v>
      </c>
      <c r="G5293" s="4" t="str">
        <f>HYPERLINK("http://141.218.60.56/~jnz1568/getInfo.php?workbook=10_05.xlsx&amp;sheet=U0&amp;row=5293&amp;col=7&amp;number=0.00361&amp;sourceID=14","0.00361")</f>
        <v>0.00361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HYPERLINK("http://141.218.60.56/~jnz1568/getInfo.php?workbook=10_05.xlsx&amp;sheet=U0&amp;row=5294&amp;col=6&amp;number=4&amp;sourceID=14","4")</f>
        <v>4</v>
      </c>
      <c r="G5294" s="4" t="str">
        <f>HYPERLINK("http://141.218.60.56/~jnz1568/getInfo.php?workbook=10_05.xlsx&amp;sheet=U0&amp;row=5294&amp;col=7&amp;number=0.00361&amp;sourceID=14","0.00361")</f>
        <v>0.00361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HYPERLINK("http://141.218.60.56/~jnz1568/getInfo.php?workbook=10_05.xlsx&amp;sheet=U0&amp;row=5295&amp;col=6&amp;number=4.1&amp;sourceID=14","4.1")</f>
        <v>4.1</v>
      </c>
      <c r="G5295" s="4" t="str">
        <f>HYPERLINK("http://141.218.60.56/~jnz1568/getInfo.php?workbook=10_05.xlsx&amp;sheet=U0&amp;row=5295&amp;col=7&amp;number=0.00358&amp;sourceID=14","0.00358")</f>
        <v>0.00358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HYPERLINK("http://141.218.60.56/~jnz1568/getInfo.php?workbook=10_05.xlsx&amp;sheet=U0&amp;row=5296&amp;col=6&amp;number=4.2&amp;sourceID=14","4.2")</f>
        <v>4.2</v>
      </c>
      <c r="G5296" s="4" t="str">
        <f>HYPERLINK("http://141.218.60.56/~jnz1568/getInfo.php?workbook=10_05.xlsx&amp;sheet=U0&amp;row=5296&amp;col=7&amp;number=0.00349&amp;sourceID=14","0.00349")</f>
        <v>0.00349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HYPERLINK("http://141.218.60.56/~jnz1568/getInfo.php?workbook=10_05.xlsx&amp;sheet=U0&amp;row=5297&amp;col=6&amp;number=4.3&amp;sourceID=14","4.3")</f>
        <v>4.3</v>
      </c>
      <c r="G5297" s="4" t="str">
        <f>HYPERLINK("http://141.218.60.56/~jnz1568/getInfo.php?workbook=10_05.xlsx&amp;sheet=U0&amp;row=5297&amp;col=7&amp;number=0.00335&amp;sourceID=14","0.00335")</f>
        <v>0.00335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HYPERLINK("http://141.218.60.56/~jnz1568/getInfo.php?workbook=10_05.xlsx&amp;sheet=U0&amp;row=5298&amp;col=6&amp;number=4.4&amp;sourceID=14","4.4")</f>
        <v>4.4</v>
      </c>
      <c r="G5298" s="4" t="str">
        <f>HYPERLINK("http://141.218.60.56/~jnz1568/getInfo.php?workbook=10_05.xlsx&amp;sheet=U0&amp;row=5298&amp;col=7&amp;number=0.00316&amp;sourceID=14","0.00316")</f>
        <v>0.00316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HYPERLINK("http://141.218.60.56/~jnz1568/getInfo.php?workbook=10_05.xlsx&amp;sheet=U0&amp;row=5299&amp;col=6&amp;number=4.5&amp;sourceID=14","4.5")</f>
        <v>4.5</v>
      </c>
      <c r="G5299" s="4" t="str">
        <f>HYPERLINK("http://141.218.60.56/~jnz1568/getInfo.php?workbook=10_05.xlsx&amp;sheet=U0&amp;row=5299&amp;col=7&amp;number=0.00294&amp;sourceID=14","0.00294")</f>
        <v>0.00294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HYPERLINK("http://141.218.60.56/~jnz1568/getInfo.php?workbook=10_05.xlsx&amp;sheet=U0&amp;row=5300&amp;col=6&amp;number=4.6&amp;sourceID=14","4.6")</f>
        <v>4.6</v>
      </c>
      <c r="G5300" s="4" t="str">
        <f>HYPERLINK("http://141.218.60.56/~jnz1568/getInfo.php?workbook=10_05.xlsx&amp;sheet=U0&amp;row=5300&amp;col=7&amp;number=0.0027&amp;sourceID=14","0.0027")</f>
        <v>0.0027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HYPERLINK("http://141.218.60.56/~jnz1568/getInfo.php?workbook=10_05.xlsx&amp;sheet=U0&amp;row=5301&amp;col=6&amp;number=4.7&amp;sourceID=14","4.7")</f>
        <v>4.7</v>
      </c>
      <c r="G5301" s="4" t="str">
        <f>HYPERLINK("http://141.218.60.56/~jnz1568/getInfo.php?workbook=10_05.xlsx&amp;sheet=U0&amp;row=5301&amp;col=7&amp;number=0.00244&amp;sourceID=14","0.00244")</f>
        <v>0.00244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HYPERLINK("http://141.218.60.56/~jnz1568/getInfo.php?workbook=10_05.xlsx&amp;sheet=U0&amp;row=5302&amp;col=6&amp;number=4.8&amp;sourceID=14","4.8")</f>
        <v>4.8</v>
      </c>
      <c r="G5302" s="4" t="str">
        <f>HYPERLINK("http://141.218.60.56/~jnz1568/getInfo.php?workbook=10_05.xlsx&amp;sheet=U0&amp;row=5302&amp;col=7&amp;number=0.00217&amp;sourceID=14","0.00217")</f>
        <v>0.00217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HYPERLINK("http://141.218.60.56/~jnz1568/getInfo.php?workbook=10_05.xlsx&amp;sheet=U0&amp;row=5303&amp;col=6&amp;number=4.9&amp;sourceID=14","4.9")</f>
        <v>4.9</v>
      </c>
      <c r="G5303" s="4" t="str">
        <f>HYPERLINK("http://141.218.60.56/~jnz1568/getInfo.php?workbook=10_05.xlsx&amp;sheet=U0&amp;row=5303&amp;col=7&amp;number=0.00189&amp;sourceID=14","0.00189")</f>
        <v>0.00189</v>
      </c>
    </row>
    <row r="5304" spans="1:7">
      <c r="A5304" s="3">
        <v>10</v>
      </c>
      <c r="B5304" s="3">
        <v>5</v>
      </c>
      <c r="C5304" s="3">
        <v>2</v>
      </c>
      <c r="D5304" s="3">
        <v>89</v>
      </c>
      <c r="E5304" s="3">
        <v>1</v>
      </c>
      <c r="F5304" s="4" t="str">
        <f>HYPERLINK("http://141.218.60.56/~jnz1568/getInfo.php?workbook=10_05.xlsx&amp;sheet=U0&amp;row=5304&amp;col=6&amp;number=3&amp;sourceID=14","3")</f>
        <v>3</v>
      </c>
      <c r="G5304" s="4" t="str">
        <f>HYPERLINK("http://141.218.60.56/~jnz1568/getInfo.php?workbook=10_05.xlsx&amp;sheet=U0&amp;row=5304&amp;col=7&amp;number=0.00728&amp;sourceID=14","0.00728")</f>
        <v>0.00728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HYPERLINK("http://141.218.60.56/~jnz1568/getInfo.php?workbook=10_05.xlsx&amp;sheet=U0&amp;row=5305&amp;col=6&amp;number=3.1&amp;sourceID=14","3.1")</f>
        <v>3.1</v>
      </c>
      <c r="G5305" s="4" t="str">
        <f>HYPERLINK("http://141.218.60.56/~jnz1568/getInfo.php?workbook=10_05.xlsx&amp;sheet=U0&amp;row=5305&amp;col=7&amp;number=0.00732&amp;sourceID=14","0.00732")</f>
        <v>0.00732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HYPERLINK("http://141.218.60.56/~jnz1568/getInfo.php?workbook=10_05.xlsx&amp;sheet=U0&amp;row=5306&amp;col=6&amp;number=3.2&amp;sourceID=14","3.2")</f>
        <v>3.2</v>
      </c>
      <c r="G5306" s="4" t="str">
        <f>HYPERLINK("http://141.218.60.56/~jnz1568/getInfo.php?workbook=10_05.xlsx&amp;sheet=U0&amp;row=5306&amp;col=7&amp;number=0.00736&amp;sourceID=14","0.00736")</f>
        <v>0.00736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HYPERLINK("http://141.218.60.56/~jnz1568/getInfo.php?workbook=10_05.xlsx&amp;sheet=U0&amp;row=5307&amp;col=6&amp;number=3.3&amp;sourceID=14","3.3")</f>
        <v>3.3</v>
      </c>
      <c r="G5307" s="4" t="str">
        <f>HYPERLINK("http://141.218.60.56/~jnz1568/getInfo.php?workbook=10_05.xlsx&amp;sheet=U0&amp;row=5307&amp;col=7&amp;number=0.00742&amp;sourceID=14","0.00742")</f>
        <v>0.00742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HYPERLINK("http://141.218.60.56/~jnz1568/getInfo.php?workbook=10_05.xlsx&amp;sheet=U0&amp;row=5308&amp;col=6&amp;number=3.4&amp;sourceID=14","3.4")</f>
        <v>3.4</v>
      </c>
      <c r="G5308" s="4" t="str">
        <f>HYPERLINK("http://141.218.60.56/~jnz1568/getInfo.php?workbook=10_05.xlsx&amp;sheet=U0&amp;row=5308&amp;col=7&amp;number=0.00748&amp;sourceID=14","0.00748")</f>
        <v>0.00748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HYPERLINK("http://141.218.60.56/~jnz1568/getInfo.php?workbook=10_05.xlsx&amp;sheet=U0&amp;row=5309&amp;col=6&amp;number=3.5&amp;sourceID=14","3.5")</f>
        <v>3.5</v>
      </c>
      <c r="G5309" s="4" t="str">
        <f>HYPERLINK("http://141.218.60.56/~jnz1568/getInfo.php?workbook=10_05.xlsx&amp;sheet=U0&amp;row=5309&amp;col=7&amp;number=0.00756&amp;sourceID=14","0.00756")</f>
        <v>0.00756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HYPERLINK("http://141.218.60.56/~jnz1568/getInfo.php?workbook=10_05.xlsx&amp;sheet=U0&amp;row=5310&amp;col=6&amp;number=3.6&amp;sourceID=14","3.6")</f>
        <v>3.6</v>
      </c>
      <c r="G5310" s="4" t="str">
        <f>HYPERLINK("http://141.218.60.56/~jnz1568/getInfo.php?workbook=10_05.xlsx&amp;sheet=U0&amp;row=5310&amp;col=7&amp;number=0.00765&amp;sourceID=14","0.00765")</f>
        <v>0.00765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HYPERLINK("http://141.218.60.56/~jnz1568/getInfo.php?workbook=10_05.xlsx&amp;sheet=U0&amp;row=5311&amp;col=6&amp;number=3.7&amp;sourceID=14","3.7")</f>
        <v>3.7</v>
      </c>
      <c r="G5311" s="4" t="str">
        <f>HYPERLINK("http://141.218.60.56/~jnz1568/getInfo.php?workbook=10_05.xlsx&amp;sheet=U0&amp;row=5311&amp;col=7&amp;number=0.00776&amp;sourceID=14","0.00776")</f>
        <v>0.00776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HYPERLINK("http://141.218.60.56/~jnz1568/getInfo.php?workbook=10_05.xlsx&amp;sheet=U0&amp;row=5312&amp;col=6&amp;number=3.8&amp;sourceID=14","3.8")</f>
        <v>3.8</v>
      </c>
      <c r="G5312" s="4" t="str">
        <f>HYPERLINK("http://141.218.60.56/~jnz1568/getInfo.php?workbook=10_05.xlsx&amp;sheet=U0&amp;row=5312&amp;col=7&amp;number=0.00787&amp;sourceID=14","0.00787")</f>
        <v>0.00787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HYPERLINK("http://141.218.60.56/~jnz1568/getInfo.php?workbook=10_05.xlsx&amp;sheet=U0&amp;row=5313&amp;col=6&amp;number=3.9&amp;sourceID=14","3.9")</f>
        <v>3.9</v>
      </c>
      <c r="G5313" s="4" t="str">
        <f>HYPERLINK("http://141.218.60.56/~jnz1568/getInfo.php?workbook=10_05.xlsx&amp;sheet=U0&amp;row=5313&amp;col=7&amp;number=0.00798&amp;sourceID=14","0.00798")</f>
        <v>0.00798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HYPERLINK("http://141.218.60.56/~jnz1568/getInfo.php?workbook=10_05.xlsx&amp;sheet=U0&amp;row=5314&amp;col=6&amp;number=4&amp;sourceID=14","4")</f>
        <v>4</v>
      </c>
      <c r="G5314" s="4" t="str">
        <f>HYPERLINK("http://141.218.60.56/~jnz1568/getInfo.php?workbook=10_05.xlsx&amp;sheet=U0&amp;row=5314&amp;col=7&amp;number=0.00805&amp;sourceID=14","0.00805")</f>
        <v>0.00805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HYPERLINK("http://141.218.60.56/~jnz1568/getInfo.php?workbook=10_05.xlsx&amp;sheet=U0&amp;row=5315&amp;col=6&amp;number=4.1&amp;sourceID=14","4.1")</f>
        <v>4.1</v>
      </c>
      <c r="G5315" s="4" t="str">
        <f>HYPERLINK("http://141.218.60.56/~jnz1568/getInfo.php?workbook=10_05.xlsx&amp;sheet=U0&amp;row=5315&amp;col=7&amp;number=0.00804&amp;sourceID=14","0.00804")</f>
        <v>0.00804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HYPERLINK("http://141.218.60.56/~jnz1568/getInfo.php?workbook=10_05.xlsx&amp;sheet=U0&amp;row=5316&amp;col=6&amp;number=4.2&amp;sourceID=14","4.2")</f>
        <v>4.2</v>
      </c>
      <c r="G5316" s="4" t="str">
        <f>HYPERLINK("http://141.218.60.56/~jnz1568/getInfo.php?workbook=10_05.xlsx&amp;sheet=U0&amp;row=5316&amp;col=7&amp;number=0.00791&amp;sourceID=14","0.00791")</f>
        <v>0.00791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HYPERLINK("http://141.218.60.56/~jnz1568/getInfo.php?workbook=10_05.xlsx&amp;sheet=U0&amp;row=5317&amp;col=6&amp;number=4.3&amp;sourceID=14","4.3")</f>
        <v>4.3</v>
      </c>
      <c r="G5317" s="4" t="str">
        <f>HYPERLINK("http://141.218.60.56/~jnz1568/getInfo.php?workbook=10_05.xlsx&amp;sheet=U0&amp;row=5317&amp;col=7&amp;number=0.00764&amp;sourceID=14","0.00764")</f>
        <v>0.00764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HYPERLINK("http://141.218.60.56/~jnz1568/getInfo.php?workbook=10_05.xlsx&amp;sheet=U0&amp;row=5318&amp;col=6&amp;number=4.4&amp;sourceID=14","4.4")</f>
        <v>4.4</v>
      </c>
      <c r="G5318" s="4" t="str">
        <f>HYPERLINK("http://141.218.60.56/~jnz1568/getInfo.php?workbook=10_05.xlsx&amp;sheet=U0&amp;row=5318&amp;col=7&amp;number=0.00726&amp;sourceID=14","0.00726")</f>
        <v>0.00726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HYPERLINK("http://141.218.60.56/~jnz1568/getInfo.php?workbook=10_05.xlsx&amp;sheet=U0&amp;row=5319&amp;col=6&amp;number=4.5&amp;sourceID=14","4.5")</f>
        <v>4.5</v>
      </c>
      <c r="G5319" s="4" t="str">
        <f>HYPERLINK("http://141.218.60.56/~jnz1568/getInfo.php?workbook=10_05.xlsx&amp;sheet=U0&amp;row=5319&amp;col=7&amp;number=0.00681&amp;sourceID=14","0.00681")</f>
        <v>0.00681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HYPERLINK("http://141.218.60.56/~jnz1568/getInfo.php?workbook=10_05.xlsx&amp;sheet=U0&amp;row=5320&amp;col=6&amp;number=4.6&amp;sourceID=14","4.6")</f>
        <v>4.6</v>
      </c>
      <c r="G5320" s="4" t="str">
        <f>HYPERLINK("http://141.218.60.56/~jnz1568/getInfo.php?workbook=10_05.xlsx&amp;sheet=U0&amp;row=5320&amp;col=7&amp;number=0.00631&amp;sourceID=14","0.00631")</f>
        <v>0.00631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HYPERLINK("http://141.218.60.56/~jnz1568/getInfo.php?workbook=10_05.xlsx&amp;sheet=U0&amp;row=5321&amp;col=6&amp;number=4.7&amp;sourceID=14","4.7")</f>
        <v>4.7</v>
      </c>
      <c r="G5321" s="4" t="str">
        <f>HYPERLINK("http://141.218.60.56/~jnz1568/getInfo.php?workbook=10_05.xlsx&amp;sheet=U0&amp;row=5321&amp;col=7&amp;number=0.00576&amp;sourceID=14","0.00576")</f>
        <v>0.00576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HYPERLINK("http://141.218.60.56/~jnz1568/getInfo.php?workbook=10_05.xlsx&amp;sheet=U0&amp;row=5322&amp;col=6&amp;number=4.8&amp;sourceID=14","4.8")</f>
        <v>4.8</v>
      </c>
      <c r="G5322" s="4" t="str">
        <f>HYPERLINK("http://141.218.60.56/~jnz1568/getInfo.php?workbook=10_05.xlsx&amp;sheet=U0&amp;row=5322&amp;col=7&amp;number=0.00515&amp;sourceID=14","0.00515")</f>
        <v>0.00515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HYPERLINK("http://141.218.60.56/~jnz1568/getInfo.php?workbook=10_05.xlsx&amp;sheet=U0&amp;row=5323&amp;col=6&amp;number=4.9&amp;sourceID=14","4.9")</f>
        <v>4.9</v>
      </c>
      <c r="G5323" s="4" t="str">
        <f>HYPERLINK("http://141.218.60.56/~jnz1568/getInfo.php?workbook=10_05.xlsx&amp;sheet=U0&amp;row=5323&amp;col=7&amp;number=0.00454&amp;sourceID=14","0.00454")</f>
        <v>0.00454</v>
      </c>
    </row>
    <row r="5324" spans="1:7">
      <c r="A5324" s="3">
        <v>10</v>
      </c>
      <c r="B5324" s="3">
        <v>5</v>
      </c>
      <c r="C5324" s="3">
        <v>2</v>
      </c>
      <c r="D5324" s="3">
        <v>90</v>
      </c>
      <c r="E5324" s="3">
        <v>1</v>
      </c>
      <c r="F5324" s="4" t="str">
        <f>HYPERLINK("http://141.218.60.56/~jnz1568/getInfo.php?workbook=10_05.xlsx&amp;sheet=U0&amp;row=5324&amp;col=6&amp;number=3&amp;sourceID=14","3")</f>
        <v>3</v>
      </c>
      <c r="G5324" s="4" t="str">
        <f>HYPERLINK("http://141.218.60.56/~jnz1568/getInfo.php?workbook=10_05.xlsx&amp;sheet=U0&amp;row=5324&amp;col=7&amp;number=0.0135&amp;sourceID=14","0.0135")</f>
        <v>0.0135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HYPERLINK("http://141.218.60.56/~jnz1568/getInfo.php?workbook=10_05.xlsx&amp;sheet=U0&amp;row=5325&amp;col=6&amp;number=3.1&amp;sourceID=14","3.1")</f>
        <v>3.1</v>
      </c>
      <c r="G5325" s="4" t="str">
        <f>HYPERLINK("http://141.218.60.56/~jnz1568/getInfo.php?workbook=10_05.xlsx&amp;sheet=U0&amp;row=5325&amp;col=7&amp;number=0.0136&amp;sourceID=14","0.0136")</f>
        <v>0.0136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HYPERLINK("http://141.218.60.56/~jnz1568/getInfo.php?workbook=10_05.xlsx&amp;sheet=U0&amp;row=5326&amp;col=6&amp;number=3.2&amp;sourceID=14","3.2")</f>
        <v>3.2</v>
      </c>
      <c r="G5326" s="4" t="str">
        <f>HYPERLINK("http://141.218.60.56/~jnz1568/getInfo.php?workbook=10_05.xlsx&amp;sheet=U0&amp;row=5326&amp;col=7&amp;number=0.0138&amp;sourceID=14","0.0138")</f>
        <v>0.0138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HYPERLINK("http://141.218.60.56/~jnz1568/getInfo.php?workbook=10_05.xlsx&amp;sheet=U0&amp;row=5327&amp;col=6&amp;number=3.3&amp;sourceID=14","3.3")</f>
        <v>3.3</v>
      </c>
      <c r="G5327" s="4" t="str">
        <f>HYPERLINK("http://141.218.60.56/~jnz1568/getInfo.php?workbook=10_05.xlsx&amp;sheet=U0&amp;row=5327&amp;col=7&amp;number=0.0139&amp;sourceID=14","0.0139")</f>
        <v>0.0139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HYPERLINK("http://141.218.60.56/~jnz1568/getInfo.php?workbook=10_05.xlsx&amp;sheet=U0&amp;row=5328&amp;col=6&amp;number=3.4&amp;sourceID=14","3.4")</f>
        <v>3.4</v>
      </c>
      <c r="G5328" s="4" t="str">
        <f>HYPERLINK("http://141.218.60.56/~jnz1568/getInfo.php?workbook=10_05.xlsx&amp;sheet=U0&amp;row=5328&amp;col=7&amp;number=0.0142&amp;sourceID=14","0.0142")</f>
        <v>0.0142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HYPERLINK("http://141.218.60.56/~jnz1568/getInfo.php?workbook=10_05.xlsx&amp;sheet=U0&amp;row=5329&amp;col=6&amp;number=3.5&amp;sourceID=14","3.5")</f>
        <v>3.5</v>
      </c>
      <c r="G5329" s="4" t="str">
        <f>HYPERLINK("http://141.218.60.56/~jnz1568/getInfo.php?workbook=10_05.xlsx&amp;sheet=U0&amp;row=5329&amp;col=7&amp;number=0.0144&amp;sourceID=14","0.0144")</f>
        <v>0.0144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HYPERLINK("http://141.218.60.56/~jnz1568/getInfo.php?workbook=10_05.xlsx&amp;sheet=U0&amp;row=5330&amp;col=6&amp;number=3.6&amp;sourceID=14","3.6")</f>
        <v>3.6</v>
      </c>
      <c r="G5330" s="4" t="str">
        <f>HYPERLINK("http://141.218.60.56/~jnz1568/getInfo.php?workbook=10_05.xlsx&amp;sheet=U0&amp;row=5330&amp;col=7&amp;number=0.0147&amp;sourceID=14","0.0147")</f>
        <v>0.0147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HYPERLINK("http://141.218.60.56/~jnz1568/getInfo.php?workbook=10_05.xlsx&amp;sheet=U0&amp;row=5331&amp;col=6&amp;number=3.7&amp;sourceID=14","3.7")</f>
        <v>3.7</v>
      </c>
      <c r="G5331" s="4" t="str">
        <f>HYPERLINK("http://141.218.60.56/~jnz1568/getInfo.php?workbook=10_05.xlsx&amp;sheet=U0&amp;row=5331&amp;col=7&amp;number=0.015&amp;sourceID=14","0.015")</f>
        <v>0.015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HYPERLINK("http://141.218.60.56/~jnz1568/getInfo.php?workbook=10_05.xlsx&amp;sheet=U0&amp;row=5332&amp;col=6&amp;number=3.8&amp;sourceID=14","3.8")</f>
        <v>3.8</v>
      </c>
      <c r="G5332" s="4" t="str">
        <f>HYPERLINK("http://141.218.60.56/~jnz1568/getInfo.php?workbook=10_05.xlsx&amp;sheet=U0&amp;row=5332&amp;col=7&amp;number=0.0153&amp;sourceID=14","0.0153")</f>
        <v>0.0153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HYPERLINK("http://141.218.60.56/~jnz1568/getInfo.php?workbook=10_05.xlsx&amp;sheet=U0&amp;row=5333&amp;col=6&amp;number=3.9&amp;sourceID=14","3.9")</f>
        <v>3.9</v>
      </c>
      <c r="G5333" s="4" t="str">
        <f>HYPERLINK("http://141.218.60.56/~jnz1568/getInfo.php?workbook=10_05.xlsx&amp;sheet=U0&amp;row=5333&amp;col=7&amp;number=0.0156&amp;sourceID=14","0.0156")</f>
        <v>0.0156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HYPERLINK("http://141.218.60.56/~jnz1568/getInfo.php?workbook=10_05.xlsx&amp;sheet=U0&amp;row=5334&amp;col=6&amp;number=4&amp;sourceID=14","4")</f>
        <v>4</v>
      </c>
      <c r="G5334" s="4" t="str">
        <f>HYPERLINK("http://141.218.60.56/~jnz1568/getInfo.php?workbook=10_05.xlsx&amp;sheet=U0&amp;row=5334&amp;col=7&amp;number=0.0157&amp;sourceID=14","0.0157")</f>
        <v>0.0157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HYPERLINK("http://141.218.60.56/~jnz1568/getInfo.php?workbook=10_05.xlsx&amp;sheet=U0&amp;row=5335&amp;col=6&amp;number=4.1&amp;sourceID=14","4.1")</f>
        <v>4.1</v>
      </c>
      <c r="G5335" s="4" t="str">
        <f>HYPERLINK("http://141.218.60.56/~jnz1568/getInfo.php?workbook=10_05.xlsx&amp;sheet=U0&amp;row=5335&amp;col=7&amp;number=0.0155&amp;sourceID=14","0.0155")</f>
        <v>0.0155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HYPERLINK("http://141.218.60.56/~jnz1568/getInfo.php?workbook=10_05.xlsx&amp;sheet=U0&amp;row=5336&amp;col=6&amp;number=4.2&amp;sourceID=14","4.2")</f>
        <v>4.2</v>
      </c>
      <c r="G5336" s="4" t="str">
        <f>HYPERLINK("http://141.218.60.56/~jnz1568/getInfo.php?workbook=10_05.xlsx&amp;sheet=U0&amp;row=5336&amp;col=7&amp;number=0.015&amp;sourceID=14","0.015")</f>
        <v>0.015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HYPERLINK("http://141.218.60.56/~jnz1568/getInfo.php?workbook=10_05.xlsx&amp;sheet=U0&amp;row=5337&amp;col=6&amp;number=4.3&amp;sourceID=14","4.3")</f>
        <v>4.3</v>
      </c>
      <c r="G5337" s="4" t="str">
        <f>HYPERLINK("http://141.218.60.56/~jnz1568/getInfo.php?workbook=10_05.xlsx&amp;sheet=U0&amp;row=5337&amp;col=7&amp;number=0.0143&amp;sourceID=14","0.0143")</f>
        <v>0.0143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HYPERLINK("http://141.218.60.56/~jnz1568/getInfo.php?workbook=10_05.xlsx&amp;sheet=U0&amp;row=5338&amp;col=6&amp;number=4.4&amp;sourceID=14","4.4")</f>
        <v>4.4</v>
      </c>
      <c r="G5338" s="4" t="str">
        <f>HYPERLINK("http://141.218.60.56/~jnz1568/getInfo.php?workbook=10_05.xlsx&amp;sheet=U0&amp;row=5338&amp;col=7&amp;number=0.0136&amp;sourceID=14","0.0136")</f>
        <v>0.0136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HYPERLINK("http://141.218.60.56/~jnz1568/getInfo.php?workbook=10_05.xlsx&amp;sheet=U0&amp;row=5339&amp;col=6&amp;number=4.5&amp;sourceID=14","4.5")</f>
        <v>4.5</v>
      </c>
      <c r="G5339" s="4" t="str">
        <f>HYPERLINK("http://141.218.60.56/~jnz1568/getInfo.php?workbook=10_05.xlsx&amp;sheet=U0&amp;row=5339&amp;col=7&amp;number=0.0128&amp;sourceID=14","0.0128")</f>
        <v>0.0128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HYPERLINK("http://141.218.60.56/~jnz1568/getInfo.php?workbook=10_05.xlsx&amp;sheet=U0&amp;row=5340&amp;col=6&amp;number=4.6&amp;sourceID=14","4.6")</f>
        <v>4.6</v>
      </c>
      <c r="G5340" s="4" t="str">
        <f>HYPERLINK("http://141.218.60.56/~jnz1568/getInfo.php?workbook=10_05.xlsx&amp;sheet=U0&amp;row=5340&amp;col=7&amp;number=0.0118&amp;sourceID=14","0.0118")</f>
        <v>0.0118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HYPERLINK("http://141.218.60.56/~jnz1568/getInfo.php?workbook=10_05.xlsx&amp;sheet=U0&amp;row=5341&amp;col=6&amp;number=4.7&amp;sourceID=14","4.7")</f>
        <v>4.7</v>
      </c>
      <c r="G5341" s="4" t="str">
        <f>HYPERLINK("http://141.218.60.56/~jnz1568/getInfo.php?workbook=10_05.xlsx&amp;sheet=U0&amp;row=5341&amp;col=7&amp;number=0.0107&amp;sourceID=14","0.0107")</f>
        <v>0.0107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HYPERLINK("http://141.218.60.56/~jnz1568/getInfo.php?workbook=10_05.xlsx&amp;sheet=U0&amp;row=5342&amp;col=6&amp;number=4.8&amp;sourceID=14","4.8")</f>
        <v>4.8</v>
      </c>
      <c r="G5342" s="4" t="str">
        <f>HYPERLINK("http://141.218.60.56/~jnz1568/getInfo.php?workbook=10_05.xlsx&amp;sheet=U0&amp;row=5342&amp;col=7&amp;number=0.00959&amp;sourceID=14","0.00959")</f>
        <v>0.00959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HYPERLINK("http://141.218.60.56/~jnz1568/getInfo.php?workbook=10_05.xlsx&amp;sheet=U0&amp;row=5343&amp;col=6&amp;number=4.9&amp;sourceID=14","4.9")</f>
        <v>4.9</v>
      </c>
      <c r="G5343" s="4" t="str">
        <f>HYPERLINK("http://141.218.60.56/~jnz1568/getInfo.php?workbook=10_05.xlsx&amp;sheet=U0&amp;row=5343&amp;col=7&amp;number=0.00849&amp;sourceID=14","0.00849")</f>
        <v>0.00849</v>
      </c>
    </row>
    <row r="5344" spans="1:7">
      <c r="A5344" s="3">
        <v>10</v>
      </c>
      <c r="B5344" s="3">
        <v>5</v>
      </c>
      <c r="C5344" s="3">
        <v>2</v>
      </c>
      <c r="D5344" s="3">
        <v>91</v>
      </c>
      <c r="E5344" s="3">
        <v>1</v>
      </c>
      <c r="F5344" s="4" t="str">
        <f>HYPERLINK("http://141.218.60.56/~jnz1568/getInfo.php?workbook=10_05.xlsx&amp;sheet=U0&amp;row=5344&amp;col=6&amp;number=3&amp;sourceID=14","3")</f>
        <v>3</v>
      </c>
      <c r="G5344" s="4" t="str">
        <f>HYPERLINK("http://141.218.60.56/~jnz1568/getInfo.php?workbook=10_05.xlsx&amp;sheet=U0&amp;row=5344&amp;col=7&amp;number=0.00411&amp;sourceID=14","0.00411")</f>
        <v>0.00411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HYPERLINK("http://141.218.60.56/~jnz1568/getInfo.php?workbook=10_05.xlsx&amp;sheet=U0&amp;row=5345&amp;col=6&amp;number=3.1&amp;sourceID=14","3.1")</f>
        <v>3.1</v>
      </c>
      <c r="G5345" s="4" t="str">
        <f>HYPERLINK("http://141.218.60.56/~jnz1568/getInfo.php?workbook=10_05.xlsx&amp;sheet=U0&amp;row=5345&amp;col=7&amp;number=0.00416&amp;sourceID=14","0.00416")</f>
        <v>0.00416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HYPERLINK("http://141.218.60.56/~jnz1568/getInfo.php?workbook=10_05.xlsx&amp;sheet=U0&amp;row=5346&amp;col=6&amp;number=3.2&amp;sourceID=14","3.2")</f>
        <v>3.2</v>
      </c>
      <c r="G5346" s="4" t="str">
        <f>HYPERLINK("http://141.218.60.56/~jnz1568/getInfo.php?workbook=10_05.xlsx&amp;sheet=U0&amp;row=5346&amp;col=7&amp;number=0.00422&amp;sourceID=14","0.00422")</f>
        <v>0.00422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HYPERLINK("http://141.218.60.56/~jnz1568/getInfo.php?workbook=10_05.xlsx&amp;sheet=U0&amp;row=5347&amp;col=6&amp;number=3.3&amp;sourceID=14","3.3")</f>
        <v>3.3</v>
      </c>
      <c r="G5347" s="4" t="str">
        <f>HYPERLINK("http://141.218.60.56/~jnz1568/getInfo.php?workbook=10_05.xlsx&amp;sheet=U0&amp;row=5347&amp;col=7&amp;number=0.0043&amp;sourceID=14","0.0043")</f>
        <v>0.0043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HYPERLINK("http://141.218.60.56/~jnz1568/getInfo.php?workbook=10_05.xlsx&amp;sheet=U0&amp;row=5348&amp;col=6&amp;number=3.4&amp;sourceID=14","3.4")</f>
        <v>3.4</v>
      </c>
      <c r="G5348" s="4" t="str">
        <f>HYPERLINK("http://141.218.60.56/~jnz1568/getInfo.php?workbook=10_05.xlsx&amp;sheet=U0&amp;row=5348&amp;col=7&amp;number=0.0044&amp;sourceID=14","0.0044")</f>
        <v>0.0044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HYPERLINK("http://141.218.60.56/~jnz1568/getInfo.php?workbook=10_05.xlsx&amp;sheet=U0&amp;row=5349&amp;col=6&amp;number=3.5&amp;sourceID=14","3.5")</f>
        <v>3.5</v>
      </c>
      <c r="G5349" s="4" t="str">
        <f>HYPERLINK("http://141.218.60.56/~jnz1568/getInfo.php?workbook=10_05.xlsx&amp;sheet=U0&amp;row=5349&amp;col=7&amp;number=0.00451&amp;sourceID=14","0.00451")</f>
        <v>0.00451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HYPERLINK("http://141.218.60.56/~jnz1568/getInfo.php?workbook=10_05.xlsx&amp;sheet=U0&amp;row=5350&amp;col=6&amp;number=3.6&amp;sourceID=14","3.6")</f>
        <v>3.6</v>
      </c>
      <c r="G5350" s="4" t="str">
        <f>HYPERLINK("http://141.218.60.56/~jnz1568/getInfo.php?workbook=10_05.xlsx&amp;sheet=U0&amp;row=5350&amp;col=7&amp;number=0.00465&amp;sourceID=14","0.00465")</f>
        <v>0.00465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HYPERLINK("http://141.218.60.56/~jnz1568/getInfo.php?workbook=10_05.xlsx&amp;sheet=U0&amp;row=5351&amp;col=6&amp;number=3.7&amp;sourceID=14","3.7")</f>
        <v>3.7</v>
      </c>
      <c r="G5351" s="4" t="str">
        <f>HYPERLINK("http://141.218.60.56/~jnz1568/getInfo.php?workbook=10_05.xlsx&amp;sheet=U0&amp;row=5351&amp;col=7&amp;number=0.0048&amp;sourceID=14","0.0048")</f>
        <v>0.0048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HYPERLINK("http://141.218.60.56/~jnz1568/getInfo.php?workbook=10_05.xlsx&amp;sheet=U0&amp;row=5352&amp;col=6&amp;number=3.8&amp;sourceID=14","3.8")</f>
        <v>3.8</v>
      </c>
      <c r="G5352" s="4" t="str">
        <f>HYPERLINK("http://141.218.60.56/~jnz1568/getInfo.php?workbook=10_05.xlsx&amp;sheet=U0&amp;row=5352&amp;col=7&amp;number=0.00495&amp;sourceID=14","0.00495")</f>
        <v>0.00495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HYPERLINK("http://141.218.60.56/~jnz1568/getInfo.php?workbook=10_05.xlsx&amp;sheet=U0&amp;row=5353&amp;col=6&amp;number=3.9&amp;sourceID=14","3.9")</f>
        <v>3.9</v>
      </c>
      <c r="G5353" s="4" t="str">
        <f>HYPERLINK("http://141.218.60.56/~jnz1568/getInfo.php?workbook=10_05.xlsx&amp;sheet=U0&amp;row=5353&amp;col=7&amp;number=0.00509&amp;sourceID=14","0.00509")</f>
        <v>0.00509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HYPERLINK("http://141.218.60.56/~jnz1568/getInfo.php?workbook=10_05.xlsx&amp;sheet=U0&amp;row=5354&amp;col=6&amp;number=4&amp;sourceID=14","4")</f>
        <v>4</v>
      </c>
      <c r="G5354" s="4" t="str">
        <f>HYPERLINK("http://141.218.60.56/~jnz1568/getInfo.php?workbook=10_05.xlsx&amp;sheet=U0&amp;row=5354&amp;col=7&amp;number=0.00518&amp;sourceID=14","0.00518")</f>
        <v>0.00518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HYPERLINK("http://141.218.60.56/~jnz1568/getInfo.php?workbook=10_05.xlsx&amp;sheet=U0&amp;row=5355&amp;col=6&amp;number=4.1&amp;sourceID=14","4.1")</f>
        <v>4.1</v>
      </c>
      <c r="G5355" s="4" t="str">
        <f>HYPERLINK("http://141.218.60.56/~jnz1568/getInfo.php?workbook=10_05.xlsx&amp;sheet=U0&amp;row=5355&amp;col=7&amp;number=0.00518&amp;sourceID=14","0.00518")</f>
        <v>0.00518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HYPERLINK("http://141.218.60.56/~jnz1568/getInfo.php?workbook=10_05.xlsx&amp;sheet=U0&amp;row=5356&amp;col=6&amp;number=4.2&amp;sourceID=14","4.2")</f>
        <v>4.2</v>
      </c>
      <c r="G5356" s="4" t="str">
        <f>HYPERLINK("http://141.218.60.56/~jnz1568/getInfo.php?workbook=10_05.xlsx&amp;sheet=U0&amp;row=5356&amp;col=7&amp;number=0.00506&amp;sourceID=14","0.00506")</f>
        <v>0.00506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HYPERLINK("http://141.218.60.56/~jnz1568/getInfo.php?workbook=10_05.xlsx&amp;sheet=U0&amp;row=5357&amp;col=6&amp;number=4.3&amp;sourceID=14","4.3")</f>
        <v>4.3</v>
      </c>
      <c r="G5357" s="4" t="str">
        <f>HYPERLINK("http://141.218.60.56/~jnz1568/getInfo.php?workbook=10_05.xlsx&amp;sheet=U0&amp;row=5357&amp;col=7&amp;number=0.00485&amp;sourceID=14","0.00485")</f>
        <v>0.00485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HYPERLINK("http://141.218.60.56/~jnz1568/getInfo.php?workbook=10_05.xlsx&amp;sheet=U0&amp;row=5358&amp;col=6&amp;number=4.4&amp;sourceID=14","4.4")</f>
        <v>4.4</v>
      </c>
      <c r="G5358" s="4" t="str">
        <f>HYPERLINK("http://141.218.60.56/~jnz1568/getInfo.php?workbook=10_05.xlsx&amp;sheet=U0&amp;row=5358&amp;col=7&amp;number=0.0046&amp;sourceID=14","0.0046")</f>
        <v>0.0046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HYPERLINK("http://141.218.60.56/~jnz1568/getInfo.php?workbook=10_05.xlsx&amp;sheet=U0&amp;row=5359&amp;col=6&amp;number=4.5&amp;sourceID=14","4.5")</f>
        <v>4.5</v>
      </c>
      <c r="G5359" s="4" t="str">
        <f>HYPERLINK("http://141.218.60.56/~jnz1568/getInfo.php?workbook=10_05.xlsx&amp;sheet=U0&amp;row=5359&amp;col=7&amp;number=0.00431&amp;sourceID=14","0.00431")</f>
        <v>0.00431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HYPERLINK("http://141.218.60.56/~jnz1568/getInfo.php?workbook=10_05.xlsx&amp;sheet=U0&amp;row=5360&amp;col=6&amp;number=4.6&amp;sourceID=14","4.6")</f>
        <v>4.6</v>
      </c>
      <c r="G5360" s="4" t="str">
        <f>HYPERLINK("http://141.218.60.56/~jnz1568/getInfo.php?workbook=10_05.xlsx&amp;sheet=U0&amp;row=5360&amp;col=7&amp;number=0.00397&amp;sourceID=14","0.00397")</f>
        <v>0.00397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HYPERLINK("http://141.218.60.56/~jnz1568/getInfo.php?workbook=10_05.xlsx&amp;sheet=U0&amp;row=5361&amp;col=6&amp;number=4.7&amp;sourceID=14","4.7")</f>
        <v>4.7</v>
      </c>
      <c r="G5361" s="4" t="str">
        <f>HYPERLINK("http://141.218.60.56/~jnz1568/getInfo.php?workbook=10_05.xlsx&amp;sheet=U0&amp;row=5361&amp;col=7&amp;number=0.0036&amp;sourceID=14","0.0036")</f>
        <v>0.0036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HYPERLINK("http://141.218.60.56/~jnz1568/getInfo.php?workbook=10_05.xlsx&amp;sheet=U0&amp;row=5362&amp;col=6&amp;number=4.8&amp;sourceID=14","4.8")</f>
        <v>4.8</v>
      </c>
      <c r="G5362" s="4" t="str">
        <f>HYPERLINK("http://141.218.60.56/~jnz1568/getInfo.php?workbook=10_05.xlsx&amp;sheet=U0&amp;row=5362&amp;col=7&amp;number=0.00322&amp;sourceID=14","0.00322")</f>
        <v>0.00322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HYPERLINK("http://141.218.60.56/~jnz1568/getInfo.php?workbook=10_05.xlsx&amp;sheet=U0&amp;row=5363&amp;col=6&amp;number=4.9&amp;sourceID=14","4.9")</f>
        <v>4.9</v>
      </c>
      <c r="G5363" s="4" t="str">
        <f>HYPERLINK("http://141.218.60.56/~jnz1568/getInfo.php?workbook=10_05.xlsx&amp;sheet=U0&amp;row=5363&amp;col=7&amp;number=0.00287&amp;sourceID=14","0.00287")</f>
        <v>0.00287</v>
      </c>
    </row>
    <row r="5364" spans="1:7">
      <c r="A5364" s="3">
        <v>10</v>
      </c>
      <c r="B5364" s="3">
        <v>5</v>
      </c>
      <c r="C5364" s="3">
        <v>2</v>
      </c>
      <c r="D5364" s="3">
        <v>92</v>
      </c>
      <c r="E5364" s="3">
        <v>1</v>
      </c>
      <c r="F5364" s="4" t="str">
        <f>HYPERLINK("http://141.218.60.56/~jnz1568/getInfo.php?workbook=10_05.xlsx&amp;sheet=U0&amp;row=5364&amp;col=6&amp;number=3&amp;sourceID=14","3")</f>
        <v>3</v>
      </c>
      <c r="G5364" s="4" t="str">
        <f>HYPERLINK("http://141.218.60.56/~jnz1568/getInfo.php?workbook=10_05.xlsx&amp;sheet=U0&amp;row=5364&amp;col=7&amp;number=0.00607&amp;sourceID=14","0.00607")</f>
        <v>0.00607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HYPERLINK("http://141.218.60.56/~jnz1568/getInfo.php?workbook=10_05.xlsx&amp;sheet=U0&amp;row=5365&amp;col=6&amp;number=3.1&amp;sourceID=14","3.1")</f>
        <v>3.1</v>
      </c>
      <c r="G5365" s="4" t="str">
        <f>HYPERLINK("http://141.218.60.56/~jnz1568/getInfo.php?workbook=10_05.xlsx&amp;sheet=U0&amp;row=5365&amp;col=7&amp;number=0.00639&amp;sourceID=14","0.00639")</f>
        <v>0.00639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HYPERLINK("http://141.218.60.56/~jnz1568/getInfo.php?workbook=10_05.xlsx&amp;sheet=U0&amp;row=5366&amp;col=6&amp;number=3.2&amp;sourceID=14","3.2")</f>
        <v>3.2</v>
      </c>
      <c r="G5366" s="4" t="str">
        <f>HYPERLINK("http://141.218.60.56/~jnz1568/getInfo.php?workbook=10_05.xlsx&amp;sheet=U0&amp;row=5366&amp;col=7&amp;number=0.00678&amp;sourceID=14","0.00678")</f>
        <v>0.00678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HYPERLINK("http://141.218.60.56/~jnz1568/getInfo.php?workbook=10_05.xlsx&amp;sheet=U0&amp;row=5367&amp;col=6&amp;number=3.3&amp;sourceID=14","3.3")</f>
        <v>3.3</v>
      </c>
      <c r="G5367" s="4" t="str">
        <f>HYPERLINK("http://141.218.60.56/~jnz1568/getInfo.php?workbook=10_05.xlsx&amp;sheet=U0&amp;row=5367&amp;col=7&amp;number=0.00724&amp;sourceID=14","0.00724")</f>
        <v>0.00724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HYPERLINK("http://141.218.60.56/~jnz1568/getInfo.php?workbook=10_05.xlsx&amp;sheet=U0&amp;row=5368&amp;col=6&amp;number=3.4&amp;sourceID=14","3.4")</f>
        <v>3.4</v>
      </c>
      <c r="G5368" s="4" t="str">
        <f>HYPERLINK("http://141.218.60.56/~jnz1568/getInfo.php?workbook=10_05.xlsx&amp;sheet=U0&amp;row=5368&amp;col=7&amp;number=0.00777&amp;sourceID=14","0.00777")</f>
        <v>0.00777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HYPERLINK("http://141.218.60.56/~jnz1568/getInfo.php?workbook=10_05.xlsx&amp;sheet=U0&amp;row=5369&amp;col=6&amp;number=3.5&amp;sourceID=14","3.5")</f>
        <v>3.5</v>
      </c>
      <c r="G5369" s="4" t="str">
        <f>HYPERLINK("http://141.218.60.56/~jnz1568/getInfo.php?workbook=10_05.xlsx&amp;sheet=U0&amp;row=5369&amp;col=7&amp;number=0.00835&amp;sourceID=14","0.00835")</f>
        <v>0.00835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HYPERLINK("http://141.218.60.56/~jnz1568/getInfo.php?workbook=10_05.xlsx&amp;sheet=U0&amp;row=5370&amp;col=6&amp;number=3.6&amp;sourceID=14","3.6")</f>
        <v>3.6</v>
      </c>
      <c r="G5370" s="4" t="str">
        <f>HYPERLINK("http://141.218.60.56/~jnz1568/getInfo.php?workbook=10_05.xlsx&amp;sheet=U0&amp;row=5370&amp;col=7&amp;number=0.00893&amp;sourceID=14","0.00893")</f>
        <v>0.00893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HYPERLINK("http://141.218.60.56/~jnz1568/getInfo.php?workbook=10_05.xlsx&amp;sheet=U0&amp;row=5371&amp;col=6&amp;number=3.7&amp;sourceID=14","3.7")</f>
        <v>3.7</v>
      </c>
      <c r="G5371" s="4" t="str">
        <f>HYPERLINK("http://141.218.60.56/~jnz1568/getInfo.php?workbook=10_05.xlsx&amp;sheet=U0&amp;row=5371&amp;col=7&amp;number=0.00944&amp;sourceID=14","0.00944")</f>
        <v>0.00944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HYPERLINK("http://141.218.60.56/~jnz1568/getInfo.php?workbook=10_05.xlsx&amp;sheet=U0&amp;row=5372&amp;col=6&amp;number=3.8&amp;sourceID=14","3.8")</f>
        <v>3.8</v>
      </c>
      <c r="G5372" s="4" t="str">
        <f>HYPERLINK("http://141.218.60.56/~jnz1568/getInfo.php?workbook=10_05.xlsx&amp;sheet=U0&amp;row=5372&amp;col=7&amp;number=0.00979&amp;sourceID=14","0.00979")</f>
        <v>0.00979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HYPERLINK("http://141.218.60.56/~jnz1568/getInfo.php?workbook=10_05.xlsx&amp;sheet=U0&amp;row=5373&amp;col=6&amp;number=3.9&amp;sourceID=14","3.9")</f>
        <v>3.9</v>
      </c>
      <c r="G5373" s="4" t="str">
        <f>HYPERLINK("http://141.218.60.56/~jnz1568/getInfo.php?workbook=10_05.xlsx&amp;sheet=U0&amp;row=5373&amp;col=7&amp;number=0.00992&amp;sourceID=14","0.00992")</f>
        <v>0.00992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HYPERLINK("http://141.218.60.56/~jnz1568/getInfo.php?workbook=10_05.xlsx&amp;sheet=U0&amp;row=5374&amp;col=6&amp;number=4&amp;sourceID=14","4")</f>
        <v>4</v>
      </c>
      <c r="G5374" s="4" t="str">
        <f>HYPERLINK("http://141.218.60.56/~jnz1568/getInfo.php?workbook=10_05.xlsx&amp;sheet=U0&amp;row=5374&amp;col=7&amp;number=0.00986&amp;sourceID=14","0.00986")</f>
        <v>0.00986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HYPERLINK("http://141.218.60.56/~jnz1568/getInfo.php?workbook=10_05.xlsx&amp;sheet=U0&amp;row=5375&amp;col=6&amp;number=4.1&amp;sourceID=14","4.1")</f>
        <v>4.1</v>
      </c>
      <c r="G5375" s="4" t="str">
        <f>HYPERLINK("http://141.218.60.56/~jnz1568/getInfo.php?workbook=10_05.xlsx&amp;sheet=U0&amp;row=5375&amp;col=7&amp;number=0.00971&amp;sourceID=14","0.00971")</f>
        <v>0.00971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HYPERLINK("http://141.218.60.56/~jnz1568/getInfo.php?workbook=10_05.xlsx&amp;sheet=U0&amp;row=5376&amp;col=6&amp;number=4.2&amp;sourceID=14","4.2")</f>
        <v>4.2</v>
      </c>
      <c r="G5376" s="4" t="str">
        <f>HYPERLINK("http://141.218.60.56/~jnz1568/getInfo.php?workbook=10_05.xlsx&amp;sheet=U0&amp;row=5376&amp;col=7&amp;number=0.00947&amp;sourceID=14","0.00947")</f>
        <v>0.00947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HYPERLINK("http://141.218.60.56/~jnz1568/getInfo.php?workbook=10_05.xlsx&amp;sheet=U0&amp;row=5377&amp;col=6&amp;number=4.3&amp;sourceID=14","4.3")</f>
        <v>4.3</v>
      </c>
      <c r="G5377" s="4" t="str">
        <f>HYPERLINK("http://141.218.60.56/~jnz1568/getInfo.php?workbook=10_05.xlsx&amp;sheet=U0&amp;row=5377&amp;col=7&amp;number=0.00909&amp;sourceID=14","0.00909")</f>
        <v>0.00909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HYPERLINK("http://141.218.60.56/~jnz1568/getInfo.php?workbook=10_05.xlsx&amp;sheet=U0&amp;row=5378&amp;col=6&amp;number=4.4&amp;sourceID=14","4.4")</f>
        <v>4.4</v>
      </c>
      <c r="G5378" s="4" t="str">
        <f>HYPERLINK("http://141.218.60.56/~jnz1568/getInfo.php?workbook=10_05.xlsx&amp;sheet=U0&amp;row=5378&amp;col=7&amp;number=0.00855&amp;sourceID=14","0.00855")</f>
        <v>0.00855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HYPERLINK("http://141.218.60.56/~jnz1568/getInfo.php?workbook=10_05.xlsx&amp;sheet=U0&amp;row=5379&amp;col=6&amp;number=4.5&amp;sourceID=14","4.5")</f>
        <v>4.5</v>
      </c>
      <c r="G5379" s="4" t="str">
        <f>HYPERLINK("http://141.218.60.56/~jnz1568/getInfo.php?workbook=10_05.xlsx&amp;sheet=U0&amp;row=5379&amp;col=7&amp;number=0.00794&amp;sourceID=14","0.00794")</f>
        <v>0.00794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HYPERLINK("http://141.218.60.56/~jnz1568/getInfo.php?workbook=10_05.xlsx&amp;sheet=U0&amp;row=5380&amp;col=6&amp;number=4.6&amp;sourceID=14","4.6")</f>
        <v>4.6</v>
      </c>
      <c r="G5380" s="4" t="str">
        <f>HYPERLINK("http://141.218.60.56/~jnz1568/getInfo.php?workbook=10_05.xlsx&amp;sheet=U0&amp;row=5380&amp;col=7&amp;number=0.00731&amp;sourceID=14","0.00731")</f>
        <v>0.00731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HYPERLINK("http://141.218.60.56/~jnz1568/getInfo.php?workbook=10_05.xlsx&amp;sheet=U0&amp;row=5381&amp;col=6&amp;number=4.7&amp;sourceID=14","4.7")</f>
        <v>4.7</v>
      </c>
      <c r="G5381" s="4" t="str">
        <f>HYPERLINK("http://141.218.60.56/~jnz1568/getInfo.php?workbook=10_05.xlsx&amp;sheet=U0&amp;row=5381&amp;col=7&amp;number=0.00664&amp;sourceID=14","0.00664")</f>
        <v>0.00664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HYPERLINK("http://141.218.60.56/~jnz1568/getInfo.php?workbook=10_05.xlsx&amp;sheet=U0&amp;row=5382&amp;col=6&amp;number=4.8&amp;sourceID=14","4.8")</f>
        <v>4.8</v>
      </c>
      <c r="G5382" s="4" t="str">
        <f>HYPERLINK("http://141.218.60.56/~jnz1568/getInfo.php?workbook=10_05.xlsx&amp;sheet=U0&amp;row=5382&amp;col=7&amp;number=0.00594&amp;sourceID=14","0.00594")</f>
        <v>0.00594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HYPERLINK("http://141.218.60.56/~jnz1568/getInfo.php?workbook=10_05.xlsx&amp;sheet=U0&amp;row=5383&amp;col=6&amp;number=4.9&amp;sourceID=14","4.9")</f>
        <v>4.9</v>
      </c>
      <c r="G5383" s="4" t="str">
        <f>HYPERLINK("http://141.218.60.56/~jnz1568/getInfo.php?workbook=10_05.xlsx&amp;sheet=U0&amp;row=5383&amp;col=7&amp;number=0.00525&amp;sourceID=14","0.00525")</f>
        <v>0.00525</v>
      </c>
    </row>
    <row r="5384" spans="1:7">
      <c r="A5384" s="3">
        <v>10</v>
      </c>
      <c r="B5384" s="3">
        <v>5</v>
      </c>
      <c r="C5384" s="3">
        <v>2</v>
      </c>
      <c r="D5384" s="3">
        <v>93</v>
      </c>
      <c r="E5384" s="3">
        <v>1</v>
      </c>
      <c r="F5384" s="4" t="str">
        <f>HYPERLINK("http://141.218.60.56/~jnz1568/getInfo.php?workbook=10_05.xlsx&amp;sheet=U0&amp;row=5384&amp;col=6&amp;number=3&amp;sourceID=14","3")</f>
        <v>3</v>
      </c>
      <c r="G5384" s="4" t="str">
        <f>HYPERLINK("http://141.218.60.56/~jnz1568/getInfo.php?workbook=10_05.xlsx&amp;sheet=U0&amp;row=5384&amp;col=7&amp;number=0.00968&amp;sourceID=14","0.00968")</f>
        <v>0.00968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HYPERLINK("http://141.218.60.56/~jnz1568/getInfo.php?workbook=10_05.xlsx&amp;sheet=U0&amp;row=5385&amp;col=6&amp;number=3.1&amp;sourceID=14","3.1")</f>
        <v>3.1</v>
      </c>
      <c r="G5385" s="4" t="str">
        <f>HYPERLINK("http://141.218.60.56/~jnz1568/getInfo.php?workbook=10_05.xlsx&amp;sheet=U0&amp;row=5385&amp;col=7&amp;number=0.00964&amp;sourceID=14","0.00964")</f>
        <v>0.00964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HYPERLINK("http://141.218.60.56/~jnz1568/getInfo.php?workbook=10_05.xlsx&amp;sheet=U0&amp;row=5386&amp;col=6&amp;number=3.2&amp;sourceID=14","3.2")</f>
        <v>3.2</v>
      </c>
      <c r="G5386" s="4" t="str">
        <f>HYPERLINK("http://141.218.60.56/~jnz1568/getInfo.php?workbook=10_05.xlsx&amp;sheet=U0&amp;row=5386&amp;col=7&amp;number=0.00958&amp;sourceID=14","0.00958")</f>
        <v>0.00958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HYPERLINK("http://141.218.60.56/~jnz1568/getInfo.php?workbook=10_05.xlsx&amp;sheet=U0&amp;row=5387&amp;col=6&amp;number=3.3&amp;sourceID=14","3.3")</f>
        <v>3.3</v>
      </c>
      <c r="G5387" s="4" t="str">
        <f>HYPERLINK("http://141.218.60.56/~jnz1568/getInfo.php?workbook=10_05.xlsx&amp;sheet=U0&amp;row=5387&amp;col=7&amp;number=0.00952&amp;sourceID=14","0.00952")</f>
        <v>0.00952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HYPERLINK("http://141.218.60.56/~jnz1568/getInfo.php?workbook=10_05.xlsx&amp;sheet=U0&amp;row=5388&amp;col=6&amp;number=3.4&amp;sourceID=14","3.4")</f>
        <v>3.4</v>
      </c>
      <c r="G5388" s="4" t="str">
        <f>HYPERLINK("http://141.218.60.56/~jnz1568/getInfo.php?workbook=10_05.xlsx&amp;sheet=U0&amp;row=5388&amp;col=7&amp;number=0.00943&amp;sourceID=14","0.00943")</f>
        <v>0.00943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HYPERLINK("http://141.218.60.56/~jnz1568/getInfo.php?workbook=10_05.xlsx&amp;sheet=U0&amp;row=5389&amp;col=6&amp;number=3.5&amp;sourceID=14","3.5")</f>
        <v>3.5</v>
      </c>
      <c r="G5389" s="4" t="str">
        <f>HYPERLINK("http://141.218.60.56/~jnz1568/getInfo.php?workbook=10_05.xlsx&amp;sheet=U0&amp;row=5389&amp;col=7&amp;number=0.00933&amp;sourceID=14","0.00933")</f>
        <v>0.00933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HYPERLINK("http://141.218.60.56/~jnz1568/getInfo.php?workbook=10_05.xlsx&amp;sheet=U0&amp;row=5390&amp;col=6&amp;number=3.6&amp;sourceID=14","3.6")</f>
        <v>3.6</v>
      </c>
      <c r="G5390" s="4" t="str">
        <f>HYPERLINK("http://141.218.60.56/~jnz1568/getInfo.php?workbook=10_05.xlsx&amp;sheet=U0&amp;row=5390&amp;col=7&amp;number=0.00919&amp;sourceID=14","0.00919")</f>
        <v>0.00919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HYPERLINK("http://141.218.60.56/~jnz1568/getInfo.php?workbook=10_05.xlsx&amp;sheet=U0&amp;row=5391&amp;col=6&amp;number=3.7&amp;sourceID=14","3.7")</f>
        <v>3.7</v>
      </c>
      <c r="G5391" s="4" t="str">
        <f>HYPERLINK("http://141.218.60.56/~jnz1568/getInfo.php?workbook=10_05.xlsx&amp;sheet=U0&amp;row=5391&amp;col=7&amp;number=0.00903&amp;sourceID=14","0.00903")</f>
        <v>0.00903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HYPERLINK("http://141.218.60.56/~jnz1568/getInfo.php?workbook=10_05.xlsx&amp;sheet=U0&amp;row=5392&amp;col=6&amp;number=3.8&amp;sourceID=14","3.8")</f>
        <v>3.8</v>
      </c>
      <c r="G5392" s="4" t="str">
        <f>HYPERLINK("http://141.218.60.56/~jnz1568/getInfo.php?workbook=10_05.xlsx&amp;sheet=U0&amp;row=5392&amp;col=7&amp;number=0.00884&amp;sourceID=14","0.00884")</f>
        <v>0.00884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HYPERLINK("http://141.218.60.56/~jnz1568/getInfo.php?workbook=10_05.xlsx&amp;sheet=U0&amp;row=5393&amp;col=6&amp;number=3.9&amp;sourceID=14","3.9")</f>
        <v>3.9</v>
      </c>
      <c r="G5393" s="4" t="str">
        <f>HYPERLINK("http://141.218.60.56/~jnz1568/getInfo.php?workbook=10_05.xlsx&amp;sheet=U0&amp;row=5393&amp;col=7&amp;number=0.0086&amp;sourceID=14","0.0086")</f>
        <v>0.0086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HYPERLINK("http://141.218.60.56/~jnz1568/getInfo.php?workbook=10_05.xlsx&amp;sheet=U0&amp;row=5394&amp;col=6&amp;number=4&amp;sourceID=14","4")</f>
        <v>4</v>
      </c>
      <c r="G5394" s="4" t="str">
        <f>HYPERLINK("http://141.218.60.56/~jnz1568/getInfo.php?workbook=10_05.xlsx&amp;sheet=U0&amp;row=5394&amp;col=7&amp;number=0.00831&amp;sourceID=14","0.00831")</f>
        <v>0.00831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HYPERLINK("http://141.218.60.56/~jnz1568/getInfo.php?workbook=10_05.xlsx&amp;sheet=U0&amp;row=5395&amp;col=6&amp;number=4.1&amp;sourceID=14","4.1")</f>
        <v>4.1</v>
      </c>
      <c r="G5395" s="4" t="str">
        <f>HYPERLINK("http://141.218.60.56/~jnz1568/getInfo.php?workbook=10_05.xlsx&amp;sheet=U0&amp;row=5395&amp;col=7&amp;number=0.00798&amp;sourceID=14","0.00798")</f>
        <v>0.00798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HYPERLINK("http://141.218.60.56/~jnz1568/getInfo.php?workbook=10_05.xlsx&amp;sheet=U0&amp;row=5396&amp;col=6&amp;number=4.2&amp;sourceID=14","4.2")</f>
        <v>4.2</v>
      </c>
      <c r="G5396" s="4" t="str">
        <f>HYPERLINK("http://141.218.60.56/~jnz1568/getInfo.php?workbook=10_05.xlsx&amp;sheet=U0&amp;row=5396&amp;col=7&amp;number=0.00759&amp;sourceID=14","0.00759")</f>
        <v>0.00759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HYPERLINK("http://141.218.60.56/~jnz1568/getInfo.php?workbook=10_05.xlsx&amp;sheet=U0&amp;row=5397&amp;col=6&amp;number=4.3&amp;sourceID=14","4.3")</f>
        <v>4.3</v>
      </c>
      <c r="G5397" s="4" t="str">
        <f>HYPERLINK("http://141.218.60.56/~jnz1568/getInfo.php?workbook=10_05.xlsx&amp;sheet=U0&amp;row=5397&amp;col=7&amp;number=0.00717&amp;sourceID=14","0.00717")</f>
        <v>0.00717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HYPERLINK("http://141.218.60.56/~jnz1568/getInfo.php?workbook=10_05.xlsx&amp;sheet=U0&amp;row=5398&amp;col=6&amp;number=4.4&amp;sourceID=14","4.4")</f>
        <v>4.4</v>
      </c>
      <c r="G5398" s="4" t="str">
        <f>HYPERLINK("http://141.218.60.56/~jnz1568/getInfo.php?workbook=10_05.xlsx&amp;sheet=U0&amp;row=5398&amp;col=7&amp;number=0.0067&amp;sourceID=14","0.0067")</f>
        <v>0.0067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HYPERLINK("http://141.218.60.56/~jnz1568/getInfo.php?workbook=10_05.xlsx&amp;sheet=U0&amp;row=5399&amp;col=6&amp;number=4.5&amp;sourceID=14","4.5")</f>
        <v>4.5</v>
      </c>
      <c r="G5399" s="4" t="str">
        <f>HYPERLINK("http://141.218.60.56/~jnz1568/getInfo.php?workbook=10_05.xlsx&amp;sheet=U0&amp;row=5399&amp;col=7&amp;number=0.00619&amp;sourceID=14","0.00619")</f>
        <v>0.00619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HYPERLINK("http://141.218.60.56/~jnz1568/getInfo.php?workbook=10_05.xlsx&amp;sheet=U0&amp;row=5400&amp;col=6&amp;number=4.6&amp;sourceID=14","4.6")</f>
        <v>4.6</v>
      </c>
      <c r="G5400" s="4" t="str">
        <f>HYPERLINK("http://141.218.60.56/~jnz1568/getInfo.php?workbook=10_05.xlsx&amp;sheet=U0&amp;row=5400&amp;col=7&amp;number=0.00563&amp;sourceID=14","0.00563")</f>
        <v>0.00563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HYPERLINK("http://141.218.60.56/~jnz1568/getInfo.php?workbook=10_05.xlsx&amp;sheet=U0&amp;row=5401&amp;col=6&amp;number=4.7&amp;sourceID=14","4.7")</f>
        <v>4.7</v>
      </c>
      <c r="G5401" s="4" t="str">
        <f>HYPERLINK("http://141.218.60.56/~jnz1568/getInfo.php?workbook=10_05.xlsx&amp;sheet=U0&amp;row=5401&amp;col=7&amp;number=0.00503&amp;sourceID=14","0.00503")</f>
        <v>0.00503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HYPERLINK("http://141.218.60.56/~jnz1568/getInfo.php?workbook=10_05.xlsx&amp;sheet=U0&amp;row=5402&amp;col=6&amp;number=4.8&amp;sourceID=14","4.8")</f>
        <v>4.8</v>
      </c>
      <c r="G5402" s="4" t="str">
        <f>HYPERLINK("http://141.218.60.56/~jnz1568/getInfo.php?workbook=10_05.xlsx&amp;sheet=U0&amp;row=5402&amp;col=7&amp;number=0.00443&amp;sourceID=14","0.00443")</f>
        <v>0.00443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HYPERLINK("http://141.218.60.56/~jnz1568/getInfo.php?workbook=10_05.xlsx&amp;sheet=U0&amp;row=5403&amp;col=6&amp;number=4.9&amp;sourceID=14","4.9")</f>
        <v>4.9</v>
      </c>
      <c r="G5403" s="4" t="str">
        <f>HYPERLINK("http://141.218.60.56/~jnz1568/getInfo.php?workbook=10_05.xlsx&amp;sheet=U0&amp;row=5403&amp;col=7&amp;number=0.00388&amp;sourceID=14","0.00388")</f>
        <v>0.00388</v>
      </c>
    </row>
    <row r="5404" spans="1:7">
      <c r="A5404" s="3">
        <v>10</v>
      </c>
      <c r="B5404" s="3">
        <v>5</v>
      </c>
      <c r="C5404" s="3">
        <v>2</v>
      </c>
      <c r="D5404" s="3">
        <v>94</v>
      </c>
      <c r="E5404" s="3">
        <v>1</v>
      </c>
      <c r="F5404" s="4" t="str">
        <f>HYPERLINK("http://141.218.60.56/~jnz1568/getInfo.php?workbook=10_05.xlsx&amp;sheet=U0&amp;row=5404&amp;col=6&amp;number=3&amp;sourceID=14","3")</f>
        <v>3</v>
      </c>
      <c r="G5404" s="4" t="str">
        <f>HYPERLINK("http://141.218.60.56/~jnz1568/getInfo.php?workbook=10_05.xlsx&amp;sheet=U0&amp;row=5404&amp;col=7&amp;number=0.0537&amp;sourceID=14","0.0537")</f>
        <v>0.0537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HYPERLINK("http://141.218.60.56/~jnz1568/getInfo.php?workbook=10_05.xlsx&amp;sheet=U0&amp;row=5405&amp;col=6&amp;number=3.1&amp;sourceID=14","3.1")</f>
        <v>3.1</v>
      </c>
      <c r="G5405" s="4" t="str">
        <f>HYPERLINK("http://141.218.60.56/~jnz1568/getInfo.php?workbook=10_05.xlsx&amp;sheet=U0&amp;row=5405&amp;col=7&amp;number=0.0536&amp;sourceID=14","0.0536")</f>
        <v>0.0536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HYPERLINK("http://141.218.60.56/~jnz1568/getInfo.php?workbook=10_05.xlsx&amp;sheet=U0&amp;row=5406&amp;col=6&amp;number=3.2&amp;sourceID=14","3.2")</f>
        <v>3.2</v>
      </c>
      <c r="G5406" s="4" t="str">
        <f>HYPERLINK("http://141.218.60.56/~jnz1568/getInfo.php?workbook=10_05.xlsx&amp;sheet=U0&amp;row=5406&amp;col=7&amp;number=0.0534&amp;sourceID=14","0.0534")</f>
        <v>0.0534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HYPERLINK("http://141.218.60.56/~jnz1568/getInfo.php?workbook=10_05.xlsx&amp;sheet=U0&amp;row=5407&amp;col=6&amp;number=3.3&amp;sourceID=14","3.3")</f>
        <v>3.3</v>
      </c>
      <c r="G5407" s="4" t="str">
        <f>HYPERLINK("http://141.218.60.56/~jnz1568/getInfo.php?workbook=10_05.xlsx&amp;sheet=U0&amp;row=5407&amp;col=7&amp;number=0.0532&amp;sourceID=14","0.0532")</f>
        <v>0.0532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HYPERLINK("http://141.218.60.56/~jnz1568/getInfo.php?workbook=10_05.xlsx&amp;sheet=U0&amp;row=5408&amp;col=6&amp;number=3.4&amp;sourceID=14","3.4")</f>
        <v>3.4</v>
      </c>
      <c r="G5408" s="4" t="str">
        <f>HYPERLINK("http://141.218.60.56/~jnz1568/getInfo.php?workbook=10_05.xlsx&amp;sheet=U0&amp;row=5408&amp;col=7&amp;number=0.0529&amp;sourceID=14","0.0529")</f>
        <v>0.0529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HYPERLINK("http://141.218.60.56/~jnz1568/getInfo.php?workbook=10_05.xlsx&amp;sheet=U0&amp;row=5409&amp;col=6&amp;number=3.5&amp;sourceID=14","3.5")</f>
        <v>3.5</v>
      </c>
      <c r="G5409" s="4" t="str">
        <f>HYPERLINK("http://141.218.60.56/~jnz1568/getInfo.php?workbook=10_05.xlsx&amp;sheet=U0&amp;row=5409&amp;col=7&amp;number=0.0526&amp;sourceID=14","0.0526")</f>
        <v>0.0526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HYPERLINK("http://141.218.60.56/~jnz1568/getInfo.php?workbook=10_05.xlsx&amp;sheet=U0&amp;row=5410&amp;col=6&amp;number=3.6&amp;sourceID=14","3.6")</f>
        <v>3.6</v>
      </c>
      <c r="G5410" s="4" t="str">
        <f>HYPERLINK("http://141.218.60.56/~jnz1568/getInfo.php?workbook=10_05.xlsx&amp;sheet=U0&amp;row=5410&amp;col=7&amp;number=0.0522&amp;sourceID=14","0.0522")</f>
        <v>0.0522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HYPERLINK("http://141.218.60.56/~jnz1568/getInfo.php?workbook=10_05.xlsx&amp;sheet=U0&amp;row=5411&amp;col=6&amp;number=3.7&amp;sourceID=14","3.7")</f>
        <v>3.7</v>
      </c>
      <c r="G5411" s="4" t="str">
        <f>HYPERLINK("http://141.218.60.56/~jnz1568/getInfo.php?workbook=10_05.xlsx&amp;sheet=U0&amp;row=5411&amp;col=7&amp;number=0.0516&amp;sourceID=14","0.0516")</f>
        <v>0.0516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HYPERLINK("http://141.218.60.56/~jnz1568/getInfo.php?workbook=10_05.xlsx&amp;sheet=U0&amp;row=5412&amp;col=6&amp;number=3.8&amp;sourceID=14","3.8")</f>
        <v>3.8</v>
      </c>
      <c r="G5412" s="4" t="str">
        <f>HYPERLINK("http://141.218.60.56/~jnz1568/getInfo.php?workbook=10_05.xlsx&amp;sheet=U0&amp;row=5412&amp;col=7&amp;number=0.051&amp;sourceID=14","0.051")</f>
        <v>0.051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HYPERLINK("http://141.218.60.56/~jnz1568/getInfo.php?workbook=10_05.xlsx&amp;sheet=U0&amp;row=5413&amp;col=6&amp;number=3.9&amp;sourceID=14","3.9")</f>
        <v>3.9</v>
      </c>
      <c r="G5413" s="4" t="str">
        <f>HYPERLINK("http://141.218.60.56/~jnz1568/getInfo.php?workbook=10_05.xlsx&amp;sheet=U0&amp;row=5413&amp;col=7&amp;number=0.0502&amp;sourceID=14","0.0502")</f>
        <v>0.0502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HYPERLINK("http://141.218.60.56/~jnz1568/getInfo.php?workbook=10_05.xlsx&amp;sheet=U0&amp;row=5414&amp;col=6&amp;number=4&amp;sourceID=14","4")</f>
        <v>4</v>
      </c>
      <c r="G5414" s="4" t="str">
        <f>HYPERLINK("http://141.218.60.56/~jnz1568/getInfo.php?workbook=10_05.xlsx&amp;sheet=U0&amp;row=5414&amp;col=7&amp;number=0.0492&amp;sourceID=14","0.0492")</f>
        <v>0.0492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HYPERLINK("http://141.218.60.56/~jnz1568/getInfo.php?workbook=10_05.xlsx&amp;sheet=U0&amp;row=5415&amp;col=6&amp;number=4.1&amp;sourceID=14","4.1")</f>
        <v>4.1</v>
      </c>
      <c r="G5415" s="4" t="str">
        <f>HYPERLINK("http://141.218.60.56/~jnz1568/getInfo.php?workbook=10_05.xlsx&amp;sheet=U0&amp;row=5415&amp;col=7&amp;number=0.048&amp;sourceID=14","0.048")</f>
        <v>0.048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HYPERLINK("http://141.218.60.56/~jnz1568/getInfo.php?workbook=10_05.xlsx&amp;sheet=U0&amp;row=5416&amp;col=6&amp;number=4.2&amp;sourceID=14","4.2")</f>
        <v>4.2</v>
      </c>
      <c r="G5416" s="4" t="str">
        <f>HYPERLINK("http://141.218.60.56/~jnz1568/getInfo.php?workbook=10_05.xlsx&amp;sheet=U0&amp;row=5416&amp;col=7&amp;number=0.0466&amp;sourceID=14","0.0466")</f>
        <v>0.0466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HYPERLINK("http://141.218.60.56/~jnz1568/getInfo.php?workbook=10_05.xlsx&amp;sheet=U0&amp;row=5417&amp;col=6&amp;number=4.3&amp;sourceID=14","4.3")</f>
        <v>4.3</v>
      </c>
      <c r="G5417" s="4" t="str">
        <f>HYPERLINK("http://141.218.60.56/~jnz1568/getInfo.php?workbook=10_05.xlsx&amp;sheet=U0&amp;row=5417&amp;col=7&amp;number=0.0449&amp;sourceID=14","0.0449")</f>
        <v>0.0449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HYPERLINK("http://141.218.60.56/~jnz1568/getInfo.php?workbook=10_05.xlsx&amp;sheet=U0&amp;row=5418&amp;col=6&amp;number=4.4&amp;sourceID=14","4.4")</f>
        <v>4.4</v>
      </c>
      <c r="G5418" s="4" t="str">
        <f>HYPERLINK("http://141.218.60.56/~jnz1568/getInfo.php?workbook=10_05.xlsx&amp;sheet=U0&amp;row=5418&amp;col=7&amp;number=0.043&amp;sourceID=14","0.043")</f>
        <v>0.043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HYPERLINK("http://141.218.60.56/~jnz1568/getInfo.php?workbook=10_05.xlsx&amp;sheet=U0&amp;row=5419&amp;col=6&amp;number=4.5&amp;sourceID=14","4.5")</f>
        <v>4.5</v>
      </c>
      <c r="G5419" s="4" t="str">
        <f>HYPERLINK("http://141.218.60.56/~jnz1568/getInfo.php?workbook=10_05.xlsx&amp;sheet=U0&amp;row=5419&amp;col=7&amp;number=0.0409&amp;sourceID=14","0.0409")</f>
        <v>0.0409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HYPERLINK("http://141.218.60.56/~jnz1568/getInfo.php?workbook=10_05.xlsx&amp;sheet=U0&amp;row=5420&amp;col=6&amp;number=4.6&amp;sourceID=14","4.6")</f>
        <v>4.6</v>
      </c>
      <c r="G5420" s="4" t="str">
        <f>HYPERLINK("http://141.218.60.56/~jnz1568/getInfo.php?workbook=10_05.xlsx&amp;sheet=U0&amp;row=5420&amp;col=7&amp;number=0.0387&amp;sourceID=14","0.0387")</f>
        <v>0.0387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HYPERLINK("http://141.218.60.56/~jnz1568/getInfo.php?workbook=10_05.xlsx&amp;sheet=U0&amp;row=5421&amp;col=6&amp;number=4.7&amp;sourceID=14","4.7")</f>
        <v>4.7</v>
      </c>
      <c r="G5421" s="4" t="str">
        <f>HYPERLINK("http://141.218.60.56/~jnz1568/getInfo.php?workbook=10_05.xlsx&amp;sheet=U0&amp;row=5421&amp;col=7&amp;number=0.0365&amp;sourceID=14","0.0365")</f>
        <v>0.0365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HYPERLINK("http://141.218.60.56/~jnz1568/getInfo.php?workbook=10_05.xlsx&amp;sheet=U0&amp;row=5422&amp;col=6&amp;number=4.8&amp;sourceID=14","4.8")</f>
        <v>4.8</v>
      </c>
      <c r="G5422" s="4" t="str">
        <f>HYPERLINK("http://141.218.60.56/~jnz1568/getInfo.php?workbook=10_05.xlsx&amp;sheet=U0&amp;row=5422&amp;col=7&amp;number=0.0343&amp;sourceID=14","0.0343")</f>
        <v>0.0343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HYPERLINK("http://141.218.60.56/~jnz1568/getInfo.php?workbook=10_05.xlsx&amp;sheet=U0&amp;row=5423&amp;col=6&amp;number=4.9&amp;sourceID=14","4.9")</f>
        <v>4.9</v>
      </c>
      <c r="G5423" s="4" t="str">
        <f>HYPERLINK("http://141.218.60.56/~jnz1568/getInfo.php?workbook=10_05.xlsx&amp;sheet=U0&amp;row=5423&amp;col=7&amp;number=0.0324&amp;sourceID=14","0.0324")</f>
        <v>0.0324</v>
      </c>
    </row>
    <row r="5424" spans="1:7">
      <c r="A5424" s="3">
        <v>10</v>
      </c>
      <c r="B5424" s="3">
        <v>5</v>
      </c>
      <c r="C5424" s="3">
        <v>2</v>
      </c>
      <c r="D5424" s="3">
        <v>95</v>
      </c>
      <c r="E5424" s="3">
        <v>1</v>
      </c>
      <c r="F5424" s="4" t="str">
        <f>HYPERLINK("http://141.218.60.56/~jnz1568/getInfo.php?workbook=10_05.xlsx&amp;sheet=U0&amp;row=5424&amp;col=6&amp;number=3&amp;sourceID=14","3")</f>
        <v>3</v>
      </c>
      <c r="G5424" s="4" t="str">
        <f>HYPERLINK("http://141.218.60.56/~jnz1568/getInfo.php?workbook=10_05.xlsx&amp;sheet=U0&amp;row=5424&amp;col=7&amp;number=0.00686&amp;sourceID=14","0.00686")</f>
        <v>0.00686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HYPERLINK("http://141.218.60.56/~jnz1568/getInfo.php?workbook=10_05.xlsx&amp;sheet=U0&amp;row=5425&amp;col=6&amp;number=3.1&amp;sourceID=14","3.1")</f>
        <v>3.1</v>
      </c>
      <c r="G5425" s="4" t="str">
        <f>HYPERLINK("http://141.218.60.56/~jnz1568/getInfo.php?workbook=10_05.xlsx&amp;sheet=U0&amp;row=5425&amp;col=7&amp;number=0.00683&amp;sourceID=14","0.00683")</f>
        <v>0.00683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HYPERLINK("http://141.218.60.56/~jnz1568/getInfo.php?workbook=10_05.xlsx&amp;sheet=U0&amp;row=5426&amp;col=6&amp;number=3.2&amp;sourceID=14","3.2")</f>
        <v>3.2</v>
      </c>
      <c r="G5426" s="4" t="str">
        <f>HYPERLINK("http://141.218.60.56/~jnz1568/getInfo.php?workbook=10_05.xlsx&amp;sheet=U0&amp;row=5426&amp;col=7&amp;number=0.0068&amp;sourceID=14","0.0068")</f>
        <v>0.0068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HYPERLINK("http://141.218.60.56/~jnz1568/getInfo.php?workbook=10_05.xlsx&amp;sheet=U0&amp;row=5427&amp;col=6&amp;number=3.3&amp;sourceID=14","3.3")</f>
        <v>3.3</v>
      </c>
      <c r="G5427" s="4" t="str">
        <f>HYPERLINK("http://141.218.60.56/~jnz1568/getInfo.php?workbook=10_05.xlsx&amp;sheet=U0&amp;row=5427&amp;col=7&amp;number=0.00675&amp;sourceID=14","0.00675")</f>
        <v>0.00675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HYPERLINK("http://141.218.60.56/~jnz1568/getInfo.php?workbook=10_05.xlsx&amp;sheet=U0&amp;row=5428&amp;col=6&amp;number=3.4&amp;sourceID=14","3.4")</f>
        <v>3.4</v>
      </c>
      <c r="G5428" s="4" t="str">
        <f>HYPERLINK("http://141.218.60.56/~jnz1568/getInfo.php?workbook=10_05.xlsx&amp;sheet=U0&amp;row=5428&amp;col=7&amp;number=0.0067&amp;sourceID=14","0.0067")</f>
        <v>0.0067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HYPERLINK("http://141.218.60.56/~jnz1568/getInfo.php?workbook=10_05.xlsx&amp;sheet=U0&amp;row=5429&amp;col=6&amp;number=3.5&amp;sourceID=14","3.5")</f>
        <v>3.5</v>
      </c>
      <c r="G5429" s="4" t="str">
        <f>HYPERLINK("http://141.218.60.56/~jnz1568/getInfo.php?workbook=10_05.xlsx&amp;sheet=U0&amp;row=5429&amp;col=7&amp;number=0.00663&amp;sourceID=14","0.00663")</f>
        <v>0.00663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HYPERLINK("http://141.218.60.56/~jnz1568/getInfo.php?workbook=10_05.xlsx&amp;sheet=U0&amp;row=5430&amp;col=6&amp;number=3.6&amp;sourceID=14","3.6")</f>
        <v>3.6</v>
      </c>
      <c r="G5430" s="4" t="str">
        <f>HYPERLINK("http://141.218.60.56/~jnz1568/getInfo.php?workbook=10_05.xlsx&amp;sheet=U0&amp;row=5430&amp;col=7&amp;number=0.00655&amp;sourceID=14","0.00655")</f>
        <v>0.00655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HYPERLINK("http://141.218.60.56/~jnz1568/getInfo.php?workbook=10_05.xlsx&amp;sheet=U0&amp;row=5431&amp;col=6&amp;number=3.7&amp;sourceID=14","3.7")</f>
        <v>3.7</v>
      </c>
      <c r="G5431" s="4" t="str">
        <f>HYPERLINK("http://141.218.60.56/~jnz1568/getInfo.php?workbook=10_05.xlsx&amp;sheet=U0&amp;row=5431&amp;col=7&amp;number=0.00645&amp;sourceID=14","0.00645")</f>
        <v>0.00645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HYPERLINK("http://141.218.60.56/~jnz1568/getInfo.php?workbook=10_05.xlsx&amp;sheet=U0&amp;row=5432&amp;col=6&amp;number=3.8&amp;sourceID=14","3.8")</f>
        <v>3.8</v>
      </c>
      <c r="G5432" s="4" t="str">
        <f>HYPERLINK("http://141.218.60.56/~jnz1568/getInfo.php?workbook=10_05.xlsx&amp;sheet=U0&amp;row=5432&amp;col=7&amp;number=0.00632&amp;sourceID=14","0.00632")</f>
        <v>0.00632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HYPERLINK("http://141.218.60.56/~jnz1568/getInfo.php?workbook=10_05.xlsx&amp;sheet=U0&amp;row=5433&amp;col=6&amp;number=3.9&amp;sourceID=14","3.9")</f>
        <v>3.9</v>
      </c>
      <c r="G5433" s="4" t="str">
        <f>HYPERLINK("http://141.218.60.56/~jnz1568/getInfo.php?workbook=10_05.xlsx&amp;sheet=U0&amp;row=5433&amp;col=7&amp;number=0.00616&amp;sourceID=14","0.00616")</f>
        <v>0.00616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HYPERLINK("http://141.218.60.56/~jnz1568/getInfo.php?workbook=10_05.xlsx&amp;sheet=U0&amp;row=5434&amp;col=6&amp;number=4&amp;sourceID=14","4")</f>
        <v>4</v>
      </c>
      <c r="G5434" s="4" t="str">
        <f>HYPERLINK("http://141.218.60.56/~jnz1568/getInfo.php?workbook=10_05.xlsx&amp;sheet=U0&amp;row=5434&amp;col=7&amp;number=0.00597&amp;sourceID=14","0.00597")</f>
        <v>0.00597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HYPERLINK("http://141.218.60.56/~jnz1568/getInfo.php?workbook=10_05.xlsx&amp;sheet=U0&amp;row=5435&amp;col=6&amp;number=4.1&amp;sourceID=14","4.1")</f>
        <v>4.1</v>
      </c>
      <c r="G5435" s="4" t="str">
        <f>HYPERLINK("http://141.218.60.56/~jnz1568/getInfo.php?workbook=10_05.xlsx&amp;sheet=U0&amp;row=5435&amp;col=7&amp;number=0.00573&amp;sourceID=14","0.00573")</f>
        <v>0.00573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HYPERLINK("http://141.218.60.56/~jnz1568/getInfo.php?workbook=10_05.xlsx&amp;sheet=U0&amp;row=5436&amp;col=6&amp;number=4.2&amp;sourceID=14","4.2")</f>
        <v>4.2</v>
      </c>
      <c r="G5436" s="4" t="str">
        <f>HYPERLINK("http://141.218.60.56/~jnz1568/getInfo.php?workbook=10_05.xlsx&amp;sheet=U0&amp;row=5436&amp;col=7&amp;number=0.00545&amp;sourceID=14","0.00545")</f>
        <v>0.00545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HYPERLINK("http://141.218.60.56/~jnz1568/getInfo.php?workbook=10_05.xlsx&amp;sheet=U0&amp;row=5437&amp;col=6&amp;number=4.3&amp;sourceID=14","4.3")</f>
        <v>4.3</v>
      </c>
      <c r="G5437" s="4" t="str">
        <f>HYPERLINK("http://141.218.60.56/~jnz1568/getInfo.php?workbook=10_05.xlsx&amp;sheet=U0&amp;row=5437&amp;col=7&amp;number=0.00511&amp;sourceID=14","0.00511")</f>
        <v>0.00511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HYPERLINK("http://141.218.60.56/~jnz1568/getInfo.php?workbook=10_05.xlsx&amp;sheet=U0&amp;row=5438&amp;col=6&amp;number=4.4&amp;sourceID=14","4.4")</f>
        <v>4.4</v>
      </c>
      <c r="G5438" s="4" t="str">
        <f>HYPERLINK("http://141.218.60.56/~jnz1568/getInfo.php?workbook=10_05.xlsx&amp;sheet=U0&amp;row=5438&amp;col=7&amp;number=0.00472&amp;sourceID=14","0.00472")</f>
        <v>0.00472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HYPERLINK("http://141.218.60.56/~jnz1568/getInfo.php?workbook=10_05.xlsx&amp;sheet=U0&amp;row=5439&amp;col=6&amp;number=4.5&amp;sourceID=14","4.5")</f>
        <v>4.5</v>
      </c>
      <c r="G5439" s="4" t="str">
        <f>HYPERLINK("http://141.218.60.56/~jnz1568/getInfo.php?workbook=10_05.xlsx&amp;sheet=U0&amp;row=5439&amp;col=7&amp;number=0.00427&amp;sourceID=14","0.00427")</f>
        <v>0.00427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HYPERLINK("http://141.218.60.56/~jnz1568/getInfo.php?workbook=10_05.xlsx&amp;sheet=U0&amp;row=5440&amp;col=6&amp;number=4.6&amp;sourceID=14","4.6")</f>
        <v>4.6</v>
      </c>
      <c r="G5440" s="4" t="str">
        <f>HYPERLINK("http://141.218.60.56/~jnz1568/getInfo.php?workbook=10_05.xlsx&amp;sheet=U0&amp;row=5440&amp;col=7&amp;number=0.00379&amp;sourceID=14","0.00379")</f>
        <v>0.00379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HYPERLINK("http://141.218.60.56/~jnz1568/getInfo.php?workbook=10_05.xlsx&amp;sheet=U0&amp;row=5441&amp;col=6&amp;number=4.7&amp;sourceID=14","4.7")</f>
        <v>4.7</v>
      </c>
      <c r="G5441" s="4" t="str">
        <f>HYPERLINK("http://141.218.60.56/~jnz1568/getInfo.php?workbook=10_05.xlsx&amp;sheet=U0&amp;row=5441&amp;col=7&amp;number=0.0033&amp;sourceID=14","0.0033")</f>
        <v>0.0033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HYPERLINK("http://141.218.60.56/~jnz1568/getInfo.php?workbook=10_05.xlsx&amp;sheet=U0&amp;row=5442&amp;col=6&amp;number=4.8&amp;sourceID=14","4.8")</f>
        <v>4.8</v>
      </c>
      <c r="G5442" s="4" t="str">
        <f>HYPERLINK("http://141.218.60.56/~jnz1568/getInfo.php?workbook=10_05.xlsx&amp;sheet=U0&amp;row=5442&amp;col=7&amp;number=0.00285&amp;sourceID=14","0.00285")</f>
        <v>0.00285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HYPERLINK("http://141.218.60.56/~jnz1568/getInfo.php?workbook=10_05.xlsx&amp;sheet=U0&amp;row=5443&amp;col=6&amp;number=4.9&amp;sourceID=14","4.9")</f>
        <v>4.9</v>
      </c>
      <c r="G5443" s="4" t="str">
        <f>HYPERLINK("http://141.218.60.56/~jnz1568/getInfo.php?workbook=10_05.xlsx&amp;sheet=U0&amp;row=5443&amp;col=7&amp;number=0.00245&amp;sourceID=14","0.00245")</f>
        <v>0.00245</v>
      </c>
    </row>
    <row r="5444" spans="1:7">
      <c r="A5444" s="3">
        <v>10</v>
      </c>
      <c r="B5444" s="3">
        <v>5</v>
      </c>
      <c r="C5444" s="3">
        <v>2</v>
      </c>
      <c r="D5444" s="3">
        <v>96</v>
      </c>
      <c r="E5444" s="3">
        <v>1</v>
      </c>
      <c r="F5444" s="4" t="str">
        <f>HYPERLINK("http://141.218.60.56/~jnz1568/getInfo.php?workbook=10_05.xlsx&amp;sheet=U0&amp;row=5444&amp;col=6&amp;number=3&amp;sourceID=14","3")</f>
        <v>3</v>
      </c>
      <c r="G5444" s="4" t="str">
        <f>HYPERLINK("http://141.218.60.56/~jnz1568/getInfo.php?workbook=10_05.xlsx&amp;sheet=U0&amp;row=5444&amp;col=7&amp;number=0.00625&amp;sourceID=14","0.00625")</f>
        <v>0.00625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HYPERLINK("http://141.218.60.56/~jnz1568/getInfo.php?workbook=10_05.xlsx&amp;sheet=U0&amp;row=5445&amp;col=6&amp;number=3.1&amp;sourceID=14","3.1")</f>
        <v>3.1</v>
      </c>
      <c r="G5445" s="4" t="str">
        <f>HYPERLINK("http://141.218.60.56/~jnz1568/getInfo.php?workbook=10_05.xlsx&amp;sheet=U0&amp;row=5445&amp;col=7&amp;number=0.00624&amp;sourceID=14","0.00624")</f>
        <v>0.00624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HYPERLINK("http://141.218.60.56/~jnz1568/getInfo.php?workbook=10_05.xlsx&amp;sheet=U0&amp;row=5446&amp;col=6&amp;number=3.2&amp;sourceID=14","3.2")</f>
        <v>3.2</v>
      </c>
      <c r="G5446" s="4" t="str">
        <f>HYPERLINK("http://141.218.60.56/~jnz1568/getInfo.php?workbook=10_05.xlsx&amp;sheet=U0&amp;row=5446&amp;col=7&amp;number=0.00623&amp;sourceID=14","0.00623")</f>
        <v>0.00623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HYPERLINK("http://141.218.60.56/~jnz1568/getInfo.php?workbook=10_05.xlsx&amp;sheet=U0&amp;row=5447&amp;col=6&amp;number=3.3&amp;sourceID=14","3.3")</f>
        <v>3.3</v>
      </c>
      <c r="G5447" s="4" t="str">
        <f>HYPERLINK("http://141.218.60.56/~jnz1568/getInfo.php?workbook=10_05.xlsx&amp;sheet=U0&amp;row=5447&amp;col=7&amp;number=0.00622&amp;sourceID=14","0.00622")</f>
        <v>0.00622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HYPERLINK("http://141.218.60.56/~jnz1568/getInfo.php?workbook=10_05.xlsx&amp;sheet=U0&amp;row=5448&amp;col=6&amp;number=3.4&amp;sourceID=14","3.4")</f>
        <v>3.4</v>
      </c>
      <c r="G5448" s="4" t="str">
        <f>HYPERLINK("http://141.218.60.56/~jnz1568/getInfo.php?workbook=10_05.xlsx&amp;sheet=U0&amp;row=5448&amp;col=7&amp;number=0.0062&amp;sourceID=14","0.0062")</f>
        <v>0.0062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HYPERLINK("http://141.218.60.56/~jnz1568/getInfo.php?workbook=10_05.xlsx&amp;sheet=U0&amp;row=5449&amp;col=6&amp;number=3.5&amp;sourceID=14","3.5")</f>
        <v>3.5</v>
      </c>
      <c r="G5449" s="4" t="str">
        <f>HYPERLINK("http://141.218.60.56/~jnz1568/getInfo.php?workbook=10_05.xlsx&amp;sheet=U0&amp;row=5449&amp;col=7&amp;number=0.00618&amp;sourceID=14","0.00618")</f>
        <v>0.00618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HYPERLINK("http://141.218.60.56/~jnz1568/getInfo.php?workbook=10_05.xlsx&amp;sheet=U0&amp;row=5450&amp;col=6&amp;number=3.6&amp;sourceID=14","3.6")</f>
        <v>3.6</v>
      </c>
      <c r="G5450" s="4" t="str">
        <f>HYPERLINK("http://141.218.60.56/~jnz1568/getInfo.php?workbook=10_05.xlsx&amp;sheet=U0&amp;row=5450&amp;col=7&amp;number=0.00616&amp;sourceID=14","0.00616")</f>
        <v>0.00616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HYPERLINK("http://141.218.60.56/~jnz1568/getInfo.php?workbook=10_05.xlsx&amp;sheet=U0&amp;row=5451&amp;col=6&amp;number=3.7&amp;sourceID=14","3.7")</f>
        <v>3.7</v>
      </c>
      <c r="G5451" s="4" t="str">
        <f>HYPERLINK("http://141.218.60.56/~jnz1568/getInfo.php?workbook=10_05.xlsx&amp;sheet=U0&amp;row=5451&amp;col=7&amp;number=0.00613&amp;sourceID=14","0.00613")</f>
        <v>0.00613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HYPERLINK("http://141.218.60.56/~jnz1568/getInfo.php?workbook=10_05.xlsx&amp;sheet=U0&amp;row=5452&amp;col=6&amp;number=3.8&amp;sourceID=14","3.8")</f>
        <v>3.8</v>
      </c>
      <c r="G5452" s="4" t="str">
        <f>HYPERLINK("http://141.218.60.56/~jnz1568/getInfo.php?workbook=10_05.xlsx&amp;sheet=U0&amp;row=5452&amp;col=7&amp;number=0.00609&amp;sourceID=14","0.00609")</f>
        <v>0.00609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HYPERLINK("http://141.218.60.56/~jnz1568/getInfo.php?workbook=10_05.xlsx&amp;sheet=U0&amp;row=5453&amp;col=6&amp;number=3.9&amp;sourceID=14","3.9")</f>
        <v>3.9</v>
      </c>
      <c r="G5453" s="4" t="str">
        <f>HYPERLINK("http://141.218.60.56/~jnz1568/getInfo.php?workbook=10_05.xlsx&amp;sheet=U0&amp;row=5453&amp;col=7&amp;number=0.00604&amp;sourceID=14","0.00604")</f>
        <v>0.00604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HYPERLINK("http://141.218.60.56/~jnz1568/getInfo.php?workbook=10_05.xlsx&amp;sheet=U0&amp;row=5454&amp;col=6&amp;number=4&amp;sourceID=14","4")</f>
        <v>4</v>
      </c>
      <c r="G5454" s="4" t="str">
        <f>HYPERLINK("http://141.218.60.56/~jnz1568/getInfo.php?workbook=10_05.xlsx&amp;sheet=U0&amp;row=5454&amp;col=7&amp;number=0.00597&amp;sourceID=14","0.00597")</f>
        <v>0.00597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HYPERLINK("http://141.218.60.56/~jnz1568/getInfo.php?workbook=10_05.xlsx&amp;sheet=U0&amp;row=5455&amp;col=6&amp;number=4.1&amp;sourceID=14","4.1")</f>
        <v>4.1</v>
      </c>
      <c r="G5455" s="4" t="str">
        <f>HYPERLINK("http://141.218.60.56/~jnz1568/getInfo.php?workbook=10_05.xlsx&amp;sheet=U0&amp;row=5455&amp;col=7&amp;number=0.00589&amp;sourceID=14","0.00589")</f>
        <v>0.00589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HYPERLINK("http://141.218.60.56/~jnz1568/getInfo.php?workbook=10_05.xlsx&amp;sheet=U0&amp;row=5456&amp;col=6&amp;number=4.2&amp;sourceID=14","4.2")</f>
        <v>4.2</v>
      </c>
      <c r="G5456" s="4" t="str">
        <f>HYPERLINK("http://141.218.60.56/~jnz1568/getInfo.php?workbook=10_05.xlsx&amp;sheet=U0&amp;row=5456&amp;col=7&amp;number=0.00578&amp;sourceID=14","0.00578")</f>
        <v>0.00578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HYPERLINK("http://141.218.60.56/~jnz1568/getInfo.php?workbook=10_05.xlsx&amp;sheet=U0&amp;row=5457&amp;col=6&amp;number=4.3&amp;sourceID=14","4.3")</f>
        <v>4.3</v>
      </c>
      <c r="G5457" s="4" t="str">
        <f>HYPERLINK("http://141.218.60.56/~jnz1568/getInfo.php?workbook=10_05.xlsx&amp;sheet=U0&amp;row=5457&amp;col=7&amp;number=0.00564&amp;sourceID=14","0.00564")</f>
        <v>0.00564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HYPERLINK("http://141.218.60.56/~jnz1568/getInfo.php?workbook=10_05.xlsx&amp;sheet=U0&amp;row=5458&amp;col=6&amp;number=4.4&amp;sourceID=14","4.4")</f>
        <v>4.4</v>
      </c>
      <c r="G5458" s="4" t="str">
        <f>HYPERLINK("http://141.218.60.56/~jnz1568/getInfo.php?workbook=10_05.xlsx&amp;sheet=U0&amp;row=5458&amp;col=7&amp;number=0.00546&amp;sourceID=14","0.00546")</f>
        <v>0.00546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HYPERLINK("http://141.218.60.56/~jnz1568/getInfo.php?workbook=10_05.xlsx&amp;sheet=U0&amp;row=5459&amp;col=6&amp;number=4.5&amp;sourceID=14","4.5")</f>
        <v>4.5</v>
      </c>
      <c r="G5459" s="4" t="str">
        <f>HYPERLINK("http://141.218.60.56/~jnz1568/getInfo.php?workbook=10_05.xlsx&amp;sheet=U0&amp;row=5459&amp;col=7&amp;number=0.00522&amp;sourceID=14","0.00522")</f>
        <v>0.00522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HYPERLINK("http://141.218.60.56/~jnz1568/getInfo.php?workbook=10_05.xlsx&amp;sheet=U0&amp;row=5460&amp;col=6&amp;number=4.6&amp;sourceID=14","4.6")</f>
        <v>4.6</v>
      </c>
      <c r="G5460" s="4" t="str">
        <f>HYPERLINK("http://141.218.60.56/~jnz1568/getInfo.php?workbook=10_05.xlsx&amp;sheet=U0&amp;row=5460&amp;col=7&amp;number=0.00492&amp;sourceID=14","0.00492")</f>
        <v>0.00492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HYPERLINK("http://141.218.60.56/~jnz1568/getInfo.php?workbook=10_05.xlsx&amp;sheet=U0&amp;row=5461&amp;col=6&amp;number=4.7&amp;sourceID=14","4.7")</f>
        <v>4.7</v>
      </c>
      <c r="G5461" s="4" t="str">
        <f>HYPERLINK("http://141.218.60.56/~jnz1568/getInfo.php?workbook=10_05.xlsx&amp;sheet=U0&amp;row=5461&amp;col=7&amp;number=0.00459&amp;sourceID=14","0.00459")</f>
        <v>0.00459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HYPERLINK("http://141.218.60.56/~jnz1568/getInfo.php?workbook=10_05.xlsx&amp;sheet=U0&amp;row=5462&amp;col=6&amp;number=4.8&amp;sourceID=14","4.8")</f>
        <v>4.8</v>
      </c>
      <c r="G5462" s="4" t="str">
        <f>HYPERLINK("http://141.218.60.56/~jnz1568/getInfo.php?workbook=10_05.xlsx&amp;sheet=U0&amp;row=5462&amp;col=7&amp;number=0.00426&amp;sourceID=14","0.00426")</f>
        <v>0.00426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HYPERLINK("http://141.218.60.56/~jnz1568/getInfo.php?workbook=10_05.xlsx&amp;sheet=U0&amp;row=5463&amp;col=6&amp;number=4.9&amp;sourceID=14","4.9")</f>
        <v>4.9</v>
      </c>
      <c r="G5463" s="4" t="str">
        <f>HYPERLINK("http://141.218.60.56/~jnz1568/getInfo.php?workbook=10_05.xlsx&amp;sheet=U0&amp;row=5463&amp;col=7&amp;number=0.00396&amp;sourceID=14","0.00396")</f>
        <v>0.00396</v>
      </c>
    </row>
    <row r="5464" spans="1:7">
      <c r="A5464" s="3">
        <v>10</v>
      </c>
      <c r="B5464" s="3">
        <v>5</v>
      </c>
      <c r="C5464" s="3">
        <v>2</v>
      </c>
      <c r="D5464" s="3">
        <v>97</v>
      </c>
      <c r="E5464" s="3">
        <v>1</v>
      </c>
      <c r="F5464" s="4" t="str">
        <f>HYPERLINK("http://141.218.60.56/~jnz1568/getInfo.php?workbook=10_05.xlsx&amp;sheet=U0&amp;row=5464&amp;col=6&amp;number=3&amp;sourceID=14","3")</f>
        <v>3</v>
      </c>
      <c r="G5464" s="4" t="str">
        <f>HYPERLINK("http://141.218.60.56/~jnz1568/getInfo.php?workbook=10_05.xlsx&amp;sheet=U0&amp;row=5464&amp;col=7&amp;number=0.011&amp;sourceID=14","0.011")</f>
        <v>0.011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HYPERLINK("http://141.218.60.56/~jnz1568/getInfo.php?workbook=10_05.xlsx&amp;sheet=U0&amp;row=5465&amp;col=6&amp;number=3.1&amp;sourceID=14","3.1")</f>
        <v>3.1</v>
      </c>
      <c r="G5465" s="4" t="str">
        <f>HYPERLINK("http://141.218.60.56/~jnz1568/getInfo.php?workbook=10_05.xlsx&amp;sheet=U0&amp;row=5465&amp;col=7&amp;number=0.011&amp;sourceID=14","0.011")</f>
        <v>0.011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HYPERLINK("http://141.218.60.56/~jnz1568/getInfo.php?workbook=10_05.xlsx&amp;sheet=U0&amp;row=5466&amp;col=6&amp;number=3.2&amp;sourceID=14","3.2")</f>
        <v>3.2</v>
      </c>
      <c r="G5466" s="4" t="str">
        <f>HYPERLINK("http://141.218.60.56/~jnz1568/getInfo.php?workbook=10_05.xlsx&amp;sheet=U0&amp;row=5466&amp;col=7&amp;number=0.011&amp;sourceID=14","0.011")</f>
        <v>0.011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HYPERLINK("http://141.218.60.56/~jnz1568/getInfo.php?workbook=10_05.xlsx&amp;sheet=U0&amp;row=5467&amp;col=6&amp;number=3.3&amp;sourceID=14","3.3")</f>
        <v>3.3</v>
      </c>
      <c r="G5467" s="4" t="str">
        <f>HYPERLINK("http://141.218.60.56/~jnz1568/getInfo.php?workbook=10_05.xlsx&amp;sheet=U0&amp;row=5467&amp;col=7&amp;number=0.011&amp;sourceID=14","0.011")</f>
        <v>0.011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HYPERLINK("http://141.218.60.56/~jnz1568/getInfo.php?workbook=10_05.xlsx&amp;sheet=U0&amp;row=5468&amp;col=6&amp;number=3.4&amp;sourceID=14","3.4")</f>
        <v>3.4</v>
      </c>
      <c r="G5468" s="4" t="str">
        <f>HYPERLINK("http://141.218.60.56/~jnz1568/getInfo.php?workbook=10_05.xlsx&amp;sheet=U0&amp;row=5468&amp;col=7&amp;number=0.0109&amp;sourceID=14","0.0109")</f>
        <v>0.0109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HYPERLINK("http://141.218.60.56/~jnz1568/getInfo.php?workbook=10_05.xlsx&amp;sheet=U0&amp;row=5469&amp;col=6&amp;number=3.5&amp;sourceID=14","3.5")</f>
        <v>3.5</v>
      </c>
      <c r="G5469" s="4" t="str">
        <f>HYPERLINK("http://141.218.60.56/~jnz1568/getInfo.php?workbook=10_05.xlsx&amp;sheet=U0&amp;row=5469&amp;col=7&amp;number=0.0109&amp;sourceID=14","0.0109")</f>
        <v>0.0109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HYPERLINK("http://141.218.60.56/~jnz1568/getInfo.php?workbook=10_05.xlsx&amp;sheet=U0&amp;row=5470&amp;col=6&amp;number=3.6&amp;sourceID=14","3.6")</f>
        <v>3.6</v>
      </c>
      <c r="G5470" s="4" t="str">
        <f>HYPERLINK("http://141.218.60.56/~jnz1568/getInfo.php?workbook=10_05.xlsx&amp;sheet=U0&amp;row=5470&amp;col=7&amp;number=0.0109&amp;sourceID=14","0.0109")</f>
        <v>0.0109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HYPERLINK("http://141.218.60.56/~jnz1568/getInfo.php?workbook=10_05.xlsx&amp;sheet=U0&amp;row=5471&amp;col=6&amp;number=3.7&amp;sourceID=14","3.7")</f>
        <v>3.7</v>
      </c>
      <c r="G5471" s="4" t="str">
        <f>HYPERLINK("http://141.218.60.56/~jnz1568/getInfo.php?workbook=10_05.xlsx&amp;sheet=U0&amp;row=5471&amp;col=7&amp;number=0.0108&amp;sourceID=14","0.0108")</f>
        <v>0.0108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HYPERLINK("http://141.218.60.56/~jnz1568/getInfo.php?workbook=10_05.xlsx&amp;sheet=U0&amp;row=5472&amp;col=6&amp;number=3.8&amp;sourceID=14","3.8")</f>
        <v>3.8</v>
      </c>
      <c r="G5472" s="4" t="str">
        <f>HYPERLINK("http://141.218.60.56/~jnz1568/getInfo.php?workbook=10_05.xlsx&amp;sheet=U0&amp;row=5472&amp;col=7&amp;number=0.0107&amp;sourceID=14","0.0107")</f>
        <v>0.0107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HYPERLINK("http://141.218.60.56/~jnz1568/getInfo.php?workbook=10_05.xlsx&amp;sheet=U0&amp;row=5473&amp;col=6&amp;number=3.9&amp;sourceID=14","3.9")</f>
        <v>3.9</v>
      </c>
      <c r="G5473" s="4" t="str">
        <f>HYPERLINK("http://141.218.60.56/~jnz1568/getInfo.php?workbook=10_05.xlsx&amp;sheet=U0&amp;row=5473&amp;col=7&amp;number=0.0106&amp;sourceID=14","0.0106")</f>
        <v>0.0106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HYPERLINK("http://141.218.60.56/~jnz1568/getInfo.php?workbook=10_05.xlsx&amp;sheet=U0&amp;row=5474&amp;col=6&amp;number=4&amp;sourceID=14","4")</f>
        <v>4</v>
      </c>
      <c r="G5474" s="4" t="str">
        <f>HYPERLINK("http://141.218.60.56/~jnz1568/getInfo.php?workbook=10_05.xlsx&amp;sheet=U0&amp;row=5474&amp;col=7&amp;number=0.0105&amp;sourceID=14","0.0105")</f>
        <v>0.0105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HYPERLINK("http://141.218.60.56/~jnz1568/getInfo.php?workbook=10_05.xlsx&amp;sheet=U0&amp;row=5475&amp;col=6&amp;number=4.1&amp;sourceID=14","4.1")</f>
        <v>4.1</v>
      </c>
      <c r="G5475" s="4" t="str">
        <f>HYPERLINK("http://141.218.60.56/~jnz1568/getInfo.php?workbook=10_05.xlsx&amp;sheet=U0&amp;row=5475&amp;col=7&amp;number=0.0104&amp;sourceID=14","0.0104")</f>
        <v>0.0104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HYPERLINK("http://141.218.60.56/~jnz1568/getInfo.php?workbook=10_05.xlsx&amp;sheet=U0&amp;row=5476&amp;col=6&amp;number=4.2&amp;sourceID=14","4.2")</f>
        <v>4.2</v>
      </c>
      <c r="G5476" s="4" t="str">
        <f>HYPERLINK("http://141.218.60.56/~jnz1568/getInfo.php?workbook=10_05.xlsx&amp;sheet=U0&amp;row=5476&amp;col=7&amp;number=0.0102&amp;sourceID=14","0.0102")</f>
        <v>0.0102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HYPERLINK("http://141.218.60.56/~jnz1568/getInfo.php?workbook=10_05.xlsx&amp;sheet=U0&amp;row=5477&amp;col=6&amp;number=4.3&amp;sourceID=14","4.3")</f>
        <v>4.3</v>
      </c>
      <c r="G5477" s="4" t="str">
        <f>HYPERLINK("http://141.218.60.56/~jnz1568/getInfo.php?workbook=10_05.xlsx&amp;sheet=U0&amp;row=5477&amp;col=7&amp;number=0.00996&amp;sourceID=14","0.00996")</f>
        <v>0.00996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HYPERLINK("http://141.218.60.56/~jnz1568/getInfo.php?workbook=10_05.xlsx&amp;sheet=U0&amp;row=5478&amp;col=6&amp;number=4.4&amp;sourceID=14","4.4")</f>
        <v>4.4</v>
      </c>
      <c r="G5478" s="4" t="str">
        <f>HYPERLINK("http://141.218.60.56/~jnz1568/getInfo.php?workbook=10_05.xlsx&amp;sheet=U0&amp;row=5478&amp;col=7&amp;number=0.00965&amp;sourceID=14","0.00965")</f>
        <v>0.00965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HYPERLINK("http://141.218.60.56/~jnz1568/getInfo.php?workbook=10_05.xlsx&amp;sheet=U0&amp;row=5479&amp;col=6&amp;number=4.5&amp;sourceID=14","4.5")</f>
        <v>4.5</v>
      </c>
      <c r="G5479" s="4" t="str">
        <f>HYPERLINK("http://141.218.60.56/~jnz1568/getInfo.php?workbook=10_05.xlsx&amp;sheet=U0&amp;row=5479&amp;col=7&amp;number=0.00924&amp;sourceID=14","0.00924")</f>
        <v>0.00924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HYPERLINK("http://141.218.60.56/~jnz1568/getInfo.php?workbook=10_05.xlsx&amp;sheet=U0&amp;row=5480&amp;col=6&amp;number=4.6&amp;sourceID=14","4.6")</f>
        <v>4.6</v>
      </c>
      <c r="G5480" s="4" t="str">
        <f>HYPERLINK("http://141.218.60.56/~jnz1568/getInfo.php?workbook=10_05.xlsx&amp;sheet=U0&amp;row=5480&amp;col=7&amp;number=0.00875&amp;sourceID=14","0.00875")</f>
        <v>0.00875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HYPERLINK("http://141.218.60.56/~jnz1568/getInfo.php?workbook=10_05.xlsx&amp;sheet=U0&amp;row=5481&amp;col=6&amp;number=4.7&amp;sourceID=14","4.7")</f>
        <v>4.7</v>
      </c>
      <c r="G5481" s="4" t="str">
        <f>HYPERLINK("http://141.218.60.56/~jnz1568/getInfo.php?workbook=10_05.xlsx&amp;sheet=U0&amp;row=5481&amp;col=7&amp;number=0.00821&amp;sourceID=14","0.00821")</f>
        <v>0.00821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HYPERLINK("http://141.218.60.56/~jnz1568/getInfo.php?workbook=10_05.xlsx&amp;sheet=U0&amp;row=5482&amp;col=6&amp;number=4.8&amp;sourceID=14","4.8")</f>
        <v>4.8</v>
      </c>
      <c r="G5482" s="4" t="str">
        <f>HYPERLINK("http://141.218.60.56/~jnz1568/getInfo.php?workbook=10_05.xlsx&amp;sheet=U0&amp;row=5482&amp;col=7&amp;number=0.00769&amp;sourceID=14","0.00769")</f>
        <v>0.00769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HYPERLINK("http://141.218.60.56/~jnz1568/getInfo.php?workbook=10_05.xlsx&amp;sheet=U0&amp;row=5483&amp;col=6&amp;number=4.9&amp;sourceID=14","4.9")</f>
        <v>4.9</v>
      </c>
      <c r="G5483" s="4" t="str">
        <f>HYPERLINK("http://141.218.60.56/~jnz1568/getInfo.php?workbook=10_05.xlsx&amp;sheet=U0&amp;row=5483&amp;col=7&amp;number=0.00722&amp;sourceID=14","0.00722")</f>
        <v>0.00722</v>
      </c>
    </row>
    <row r="5484" spans="1:7">
      <c r="A5484" s="3">
        <v>10</v>
      </c>
      <c r="B5484" s="3">
        <v>5</v>
      </c>
      <c r="C5484" s="3">
        <v>2</v>
      </c>
      <c r="D5484" s="3">
        <v>98</v>
      </c>
      <c r="E5484" s="3">
        <v>1</v>
      </c>
      <c r="F5484" s="4" t="str">
        <f>HYPERLINK("http://141.218.60.56/~jnz1568/getInfo.php?workbook=10_05.xlsx&amp;sheet=U0&amp;row=5484&amp;col=6&amp;number=3&amp;sourceID=14","3")</f>
        <v>3</v>
      </c>
      <c r="G5484" s="4" t="str">
        <f>HYPERLINK("http://141.218.60.56/~jnz1568/getInfo.php?workbook=10_05.xlsx&amp;sheet=U0&amp;row=5484&amp;col=7&amp;number=0.00904&amp;sourceID=14","0.00904")</f>
        <v>0.00904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HYPERLINK("http://141.218.60.56/~jnz1568/getInfo.php?workbook=10_05.xlsx&amp;sheet=U0&amp;row=5485&amp;col=6&amp;number=3.1&amp;sourceID=14","3.1")</f>
        <v>3.1</v>
      </c>
      <c r="G5485" s="4" t="str">
        <f>HYPERLINK("http://141.218.60.56/~jnz1568/getInfo.php?workbook=10_05.xlsx&amp;sheet=U0&amp;row=5485&amp;col=7&amp;number=0.00897&amp;sourceID=14","0.00897")</f>
        <v>0.00897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HYPERLINK("http://141.218.60.56/~jnz1568/getInfo.php?workbook=10_05.xlsx&amp;sheet=U0&amp;row=5486&amp;col=6&amp;number=3.2&amp;sourceID=14","3.2")</f>
        <v>3.2</v>
      </c>
      <c r="G5486" s="4" t="str">
        <f>HYPERLINK("http://141.218.60.56/~jnz1568/getInfo.php?workbook=10_05.xlsx&amp;sheet=U0&amp;row=5486&amp;col=7&amp;number=0.00888&amp;sourceID=14","0.00888")</f>
        <v>0.00888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HYPERLINK("http://141.218.60.56/~jnz1568/getInfo.php?workbook=10_05.xlsx&amp;sheet=U0&amp;row=5487&amp;col=6&amp;number=3.3&amp;sourceID=14","3.3")</f>
        <v>3.3</v>
      </c>
      <c r="G5487" s="4" t="str">
        <f>HYPERLINK("http://141.218.60.56/~jnz1568/getInfo.php?workbook=10_05.xlsx&amp;sheet=U0&amp;row=5487&amp;col=7&amp;number=0.00877&amp;sourceID=14","0.00877")</f>
        <v>0.00877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HYPERLINK("http://141.218.60.56/~jnz1568/getInfo.php?workbook=10_05.xlsx&amp;sheet=U0&amp;row=5488&amp;col=6&amp;number=3.4&amp;sourceID=14","3.4")</f>
        <v>3.4</v>
      </c>
      <c r="G5488" s="4" t="str">
        <f>HYPERLINK("http://141.218.60.56/~jnz1568/getInfo.php?workbook=10_05.xlsx&amp;sheet=U0&amp;row=5488&amp;col=7&amp;number=0.00864&amp;sourceID=14","0.00864")</f>
        <v>0.00864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HYPERLINK("http://141.218.60.56/~jnz1568/getInfo.php?workbook=10_05.xlsx&amp;sheet=U0&amp;row=5489&amp;col=6&amp;number=3.5&amp;sourceID=14","3.5")</f>
        <v>3.5</v>
      </c>
      <c r="G5489" s="4" t="str">
        <f>HYPERLINK("http://141.218.60.56/~jnz1568/getInfo.php?workbook=10_05.xlsx&amp;sheet=U0&amp;row=5489&amp;col=7&amp;number=0.00847&amp;sourceID=14","0.00847")</f>
        <v>0.00847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HYPERLINK("http://141.218.60.56/~jnz1568/getInfo.php?workbook=10_05.xlsx&amp;sheet=U0&amp;row=5490&amp;col=6&amp;number=3.6&amp;sourceID=14","3.6")</f>
        <v>3.6</v>
      </c>
      <c r="G5490" s="4" t="str">
        <f>HYPERLINK("http://141.218.60.56/~jnz1568/getInfo.php?workbook=10_05.xlsx&amp;sheet=U0&amp;row=5490&amp;col=7&amp;number=0.00826&amp;sourceID=14","0.00826")</f>
        <v>0.00826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HYPERLINK("http://141.218.60.56/~jnz1568/getInfo.php?workbook=10_05.xlsx&amp;sheet=U0&amp;row=5491&amp;col=6&amp;number=3.7&amp;sourceID=14","3.7")</f>
        <v>3.7</v>
      </c>
      <c r="G5491" s="4" t="str">
        <f>HYPERLINK("http://141.218.60.56/~jnz1568/getInfo.php?workbook=10_05.xlsx&amp;sheet=U0&amp;row=5491&amp;col=7&amp;number=0.00801&amp;sourceID=14","0.00801")</f>
        <v>0.00801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HYPERLINK("http://141.218.60.56/~jnz1568/getInfo.php?workbook=10_05.xlsx&amp;sheet=U0&amp;row=5492&amp;col=6&amp;number=3.8&amp;sourceID=14","3.8")</f>
        <v>3.8</v>
      </c>
      <c r="G5492" s="4" t="str">
        <f>HYPERLINK("http://141.218.60.56/~jnz1568/getInfo.php?workbook=10_05.xlsx&amp;sheet=U0&amp;row=5492&amp;col=7&amp;number=0.0077&amp;sourceID=14","0.0077")</f>
        <v>0.0077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HYPERLINK("http://141.218.60.56/~jnz1568/getInfo.php?workbook=10_05.xlsx&amp;sheet=U0&amp;row=5493&amp;col=6&amp;number=3.9&amp;sourceID=14","3.9")</f>
        <v>3.9</v>
      </c>
      <c r="G5493" s="4" t="str">
        <f>HYPERLINK("http://141.218.60.56/~jnz1568/getInfo.php?workbook=10_05.xlsx&amp;sheet=U0&amp;row=5493&amp;col=7&amp;number=0.00732&amp;sourceID=14","0.00732")</f>
        <v>0.00732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HYPERLINK("http://141.218.60.56/~jnz1568/getInfo.php?workbook=10_05.xlsx&amp;sheet=U0&amp;row=5494&amp;col=6&amp;number=4&amp;sourceID=14","4")</f>
        <v>4</v>
      </c>
      <c r="G5494" s="4" t="str">
        <f>HYPERLINK("http://141.218.60.56/~jnz1568/getInfo.php?workbook=10_05.xlsx&amp;sheet=U0&amp;row=5494&amp;col=7&amp;number=0.00689&amp;sourceID=14","0.00689")</f>
        <v>0.00689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HYPERLINK("http://141.218.60.56/~jnz1568/getInfo.php?workbook=10_05.xlsx&amp;sheet=U0&amp;row=5495&amp;col=6&amp;number=4.1&amp;sourceID=14","4.1")</f>
        <v>4.1</v>
      </c>
      <c r="G5495" s="4" t="str">
        <f>HYPERLINK("http://141.218.60.56/~jnz1568/getInfo.php?workbook=10_05.xlsx&amp;sheet=U0&amp;row=5495&amp;col=7&amp;number=0.00638&amp;sourceID=14","0.00638")</f>
        <v>0.00638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HYPERLINK("http://141.218.60.56/~jnz1568/getInfo.php?workbook=10_05.xlsx&amp;sheet=U0&amp;row=5496&amp;col=6&amp;number=4.2&amp;sourceID=14","4.2")</f>
        <v>4.2</v>
      </c>
      <c r="G5496" s="4" t="str">
        <f>HYPERLINK("http://141.218.60.56/~jnz1568/getInfo.php?workbook=10_05.xlsx&amp;sheet=U0&amp;row=5496&amp;col=7&amp;number=0.00583&amp;sourceID=14","0.00583")</f>
        <v>0.00583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HYPERLINK("http://141.218.60.56/~jnz1568/getInfo.php?workbook=10_05.xlsx&amp;sheet=U0&amp;row=5497&amp;col=6&amp;number=4.3&amp;sourceID=14","4.3")</f>
        <v>4.3</v>
      </c>
      <c r="G5497" s="4" t="str">
        <f>HYPERLINK("http://141.218.60.56/~jnz1568/getInfo.php?workbook=10_05.xlsx&amp;sheet=U0&amp;row=5497&amp;col=7&amp;number=0.00525&amp;sourceID=14","0.00525")</f>
        <v>0.00525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HYPERLINK("http://141.218.60.56/~jnz1568/getInfo.php?workbook=10_05.xlsx&amp;sheet=U0&amp;row=5498&amp;col=6&amp;number=4.4&amp;sourceID=14","4.4")</f>
        <v>4.4</v>
      </c>
      <c r="G5498" s="4" t="str">
        <f>HYPERLINK("http://141.218.60.56/~jnz1568/getInfo.php?workbook=10_05.xlsx&amp;sheet=U0&amp;row=5498&amp;col=7&amp;number=0.00466&amp;sourceID=14","0.00466")</f>
        <v>0.00466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HYPERLINK("http://141.218.60.56/~jnz1568/getInfo.php?workbook=10_05.xlsx&amp;sheet=U0&amp;row=5499&amp;col=6&amp;number=4.5&amp;sourceID=14","4.5")</f>
        <v>4.5</v>
      </c>
      <c r="G5499" s="4" t="str">
        <f>HYPERLINK("http://141.218.60.56/~jnz1568/getInfo.php?workbook=10_05.xlsx&amp;sheet=U0&amp;row=5499&amp;col=7&amp;number=0.0041&amp;sourceID=14","0.0041")</f>
        <v>0.0041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HYPERLINK("http://141.218.60.56/~jnz1568/getInfo.php?workbook=10_05.xlsx&amp;sheet=U0&amp;row=5500&amp;col=6&amp;number=4.6&amp;sourceID=14","4.6")</f>
        <v>4.6</v>
      </c>
      <c r="G5500" s="4" t="str">
        <f>HYPERLINK("http://141.218.60.56/~jnz1568/getInfo.php?workbook=10_05.xlsx&amp;sheet=U0&amp;row=5500&amp;col=7&amp;number=0.00357&amp;sourceID=14","0.00357")</f>
        <v>0.00357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HYPERLINK("http://141.218.60.56/~jnz1568/getInfo.php?workbook=10_05.xlsx&amp;sheet=U0&amp;row=5501&amp;col=6&amp;number=4.7&amp;sourceID=14","4.7")</f>
        <v>4.7</v>
      </c>
      <c r="G5501" s="4" t="str">
        <f>HYPERLINK("http://141.218.60.56/~jnz1568/getInfo.php?workbook=10_05.xlsx&amp;sheet=U0&amp;row=5501&amp;col=7&amp;number=0.00308&amp;sourceID=14","0.00308")</f>
        <v>0.00308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HYPERLINK("http://141.218.60.56/~jnz1568/getInfo.php?workbook=10_05.xlsx&amp;sheet=U0&amp;row=5502&amp;col=6&amp;number=4.8&amp;sourceID=14","4.8")</f>
        <v>4.8</v>
      </c>
      <c r="G5502" s="4" t="str">
        <f>HYPERLINK("http://141.218.60.56/~jnz1568/getInfo.php?workbook=10_05.xlsx&amp;sheet=U0&amp;row=5502&amp;col=7&amp;number=0.00263&amp;sourceID=14","0.00263")</f>
        <v>0.00263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HYPERLINK("http://141.218.60.56/~jnz1568/getInfo.php?workbook=10_05.xlsx&amp;sheet=U0&amp;row=5503&amp;col=6&amp;number=4.9&amp;sourceID=14","4.9")</f>
        <v>4.9</v>
      </c>
      <c r="G5503" s="4" t="str">
        <f>HYPERLINK("http://141.218.60.56/~jnz1568/getInfo.php?workbook=10_05.xlsx&amp;sheet=U0&amp;row=5503&amp;col=7&amp;number=0.00225&amp;sourceID=14","0.00225")</f>
        <v>0.00225</v>
      </c>
    </row>
    <row r="5504" spans="1:7">
      <c r="A5504" s="3">
        <v>10</v>
      </c>
      <c r="B5504" s="3">
        <v>5</v>
      </c>
      <c r="C5504" s="3">
        <v>2</v>
      </c>
      <c r="D5504" s="3">
        <v>99</v>
      </c>
      <c r="E5504" s="3">
        <v>1</v>
      </c>
      <c r="F5504" s="4" t="str">
        <f>HYPERLINK("http://141.218.60.56/~jnz1568/getInfo.php?workbook=10_05.xlsx&amp;sheet=U0&amp;row=5504&amp;col=6&amp;number=3&amp;sourceID=14","3")</f>
        <v>3</v>
      </c>
      <c r="G5504" s="4" t="str">
        <f>HYPERLINK("http://141.218.60.56/~jnz1568/getInfo.php?workbook=10_05.xlsx&amp;sheet=U0&amp;row=5504&amp;col=7&amp;number=0.00164&amp;sourceID=14","0.00164")</f>
        <v>0.00164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HYPERLINK("http://141.218.60.56/~jnz1568/getInfo.php?workbook=10_05.xlsx&amp;sheet=U0&amp;row=5505&amp;col=6&amp;number=3.1&amp;sourceID=14","3.1")</f>
        <v>3.1</v>
      </c>
      <c r="G5505" s="4" t="str">
        <f>HYPERLINK("http://141.218.60.56/~jnz1568/getInfo.php?workbook=10_05.xlsx&amp;sheet=U0&amp;row=5505&amp;col=7&amp;number=0.00163&amp;sourceID=14","0.00163")</f>
        <v>0.00163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HYPERLINK("http://141.218.60.56/~jnz1568/getInfo.php?workbook=10_05.xlsx&amp;sheet=U0&amp;row=5506&amp;col=6&amp;number=3.2&amp;sourceID=14","3.2")</f>
        <v>3.2</v>
      </c>
      <c r="G5506" s="4" t="str">
        <f>HYPERLINK("http://141.218.60.56/~jnz1568/getInfo.php?workbook=10_05.xlsx&amp;sheet=U0&amp;row=5506&amp;col=7&amp;number=0.00162&amp;sourceID=14","0.00162")</f>
        <v>0.00162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HYPERLINK("http://141.218.60.56/~jnz1568/getInfo.php?workbook=10_05.xlsx&amp;sheet=U0&amp;row=5507&amp;col=6&amp;number=3.3&amp;sourceID=14","3.3")</f>
        <v>3.3</v>
      </c>
      <c r="G5507" s="4" t="str">
        <f>HYPERLINK("http://141.218.60.56/~jnz1568/getInfo.php?workbook=10_05.xlsx&amp;sheet=U0&amp;row=5507&amp;col=7&amp;number=0.00161&amp;sourceID=14","0.00161")</f>
        <v>0.00161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HYPERLINK("http://141.218.60.56/~jnz1568/getInfo.php?workbook=10_05.xlsx&amp;sheet=U0&amp;row=5508&amp;col=6&amp;number=3.4&amp;sourceID=14","3.4")</f>
        <v>3.4</v>
      </c>
      <c r="G5508" s="4" t="str">
        <f>HYPERLINK("http://141.218.60.56/~jnz1568/getInfo.php?workbook=10_05.xlsx&amp;sheet=U0&amp;row=5508&amp;col=7&amp;number=0.00159&amp;sourceID=14","0.00159")</f>
        <v>0.00159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HYPERLINK("http://141.218.60.56/~jnz1568/getInfo.php?workbook=10_05.xlsx&amp;sheet=U0&amp;row=5509&amp;col=6&amp;number=3.5&amp;sourceID=14","3.5")</f>
        <v>3.5</v>
      </c>
      <c r="G5509" s="4" t="str">
        <f>HYPERLINK("http://141.218.60.56/~jnz1568/getInfo.php?workbook=10_05.xlsx&amp;sheet=U0&amp;row=5509&amp;col=7&amp;number=0.00156&amp;sourceID=14","0.00156")</f>
        <v>0.00156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HYPERLINK("http://141.218.60.56/~jnz1568/getInfo.php?workbook=10_05.xlsx&amp;sheet=U0&amp;row=5510&amp;col=6&amp;number=3.6&amp;sourceID=14","3.6")</f>
        <v>3.6</v>
      </c>
      <c r="G5510" s="4" t="str">
        <f>HYPERLINK("http://141.218.60.56/~jnz1568/getInfo.php?workbook=10_05.xlsx&amp;sheet=U0&amp;row=5510&amp;col=7&amp;number=0.00153&amp;sourceID=14","0.00153")</f>
        <v>0.00153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HYPERLINK("http://141.218.60.56/~jnz1568/getInfo.php?workbook=10_05.xlsx&amp;sheet=U0&amp;row=5511&amp;col=6&amp;number=3.7&amp;sourceID=14","3.7")</f>
        <v>3.7</v>
      </c>
      <c r="G5511" s="4" t="str">
        <f>HYPERLINK("http://141.218.60.56/~jnz1568/getInfo.php?workbook=10_05.xlsx&amp;sheet=U0&amp;row=5511&amp;col=7&amp;number=0.00149&amp;sourceID=14","0.00149")</f>
        <v>0.00149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HYPERLINK("http://141.218.60.56/~jnz1568/getInfo.php?workbook=10_05.xlsx&amp;sheet=U0&amp;row=5512&amp;col=6&amp;number=3.8&amp;sourceID=14","3.8")</f>
        <v>3.8</v>
      </c>
      <c r="G5512" s="4" t="str">
        <f>HYPERLINK("http://141.218.60.56/~jnz1568/getInfo.php?workbook=10_05.xlsx&amp;sheet=U0&amp;row=5512&amp;col=7&amp;number=0.00145&amp;sourceID=14","0.00145")</f>
        <v>0.00145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HYPERLINK("http://141.218.60.56/~jnz1568/getInfo.php?workbook=10_05.xlsx&amp;sheet=U0&amp;row=5513&amp;col=6&amp;number=3.9&amp;sourceID=14","3.9")</f>
        <v>3.9</v>
      </c>
      <c r="G5513" s="4" t="str">
        <f>HYPERLINK("http://141.218.60.56/~jnz1568/getInfo.php?workbook=10_05.xlsx&amp;sheet=U0&amp;row=5513&amp;col=7&amp;number=0.00139&amp;sourceID=14","0.00139")</f>
        <v>0.00139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HYPERLINK("http://141.218.60.56/~jnz1568/getInfo.php?workbook=10_05.xlsx&amp;sheet=U0&amp;row=5514&amp;col=6&amp;number=4&amp;sourceID=14","4")</f>
        <v>4</v>
      </c>
      <c r="G5514" s="4" t="str">
        <f>HYPERLINK("http://141.218.60.56/~jnz1568/getInfo.php?workbook=10_05.xlsx&amp;sheet=U0&amp;row=5514&amp;col=7&amp;number=0.00133&amp;sourceID=14","0.00133")</f>
        <v>0.00133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HYPERLINK("http://141.218.60.56/~jnz1568/getInfo.php?workbook=10_05.xlsx&amp;sheet=U0&amp;row=5515&amp;col=6&amp;number=4.1&amp;sourceID=14","4.1")</f>
        <v>4.1</v>
      </c>
      <c r="G5515" s="4" t="str">
        <f>HYPERLINK("http://141.218.60.56/~jnz1568/getInfo.php?workbook=10_05.xlsx&amp;sheet=U0&amp;row=5515&amp;col=7&amp;number=0.00125&amp;sourceID=14","0.00125")</f>
        <v>0.00125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HYPERLINK("http://141.218.60.56/~jnz1568/getInfo.php?workbook=10_05.xlsx&amp;sheet=U0&amp;row=5516&amp;col=6&amp;number=4.2&amp;sourceID=14","4.2")</f>
        <v>4.2</v>
      </c>
      <c r="G5516" s="4" t="str">
        <f>HYPERLINK("http://141.218.60.56/~jnz1568/getInfo.php?workbook=10_05.xlsx&amp;sheet=U0&amp;row=5516&amp;col=7&amp;number=0.00117&amp;sourceID=14","0.00117")</f>
        <v>0.00117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HYPERLINK("http://141.218.60.56/~jnz1568/getInfo.php?workbook=10_05.xlsx&amp;sheet=U0&amp;row=5517&amp;col=6&amp;number=4.3&amp;sourceID=14","4.3")</f>
        <v>4.3</v>
      </c>
      <c r="G5517" s="4" t="str">
        <f>HYPERLINK("http://141.218.60.56/~jnz1568/getInfo.php?workbook=10_05.xlsx&amp;sheet=U0&amp;row=5517&amp;col=7&amp;number=0.00108&amp;sourceID=14","0.00108")</f>
        <v>0.00108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HYPERLINK("http://141.218.60.56/~jnz1568/getInfo.php?workbook=10_05.xlsx&amp;sheet=U0&amp;row=5518&amp;col=6&amp;number=4.4&amp;sourceID=14","4.4")</f>
        <v>4.4</v>
      </c>
      <c r="G5518" s="4" t="str">
        <f>HYPERLINK("http://141.218.60.56/~jnz1568/getInfo.php?workbook=10_05.xlsx&amp;sheet=U0&amp;row=5518&amp;col=7&amp;number=0.00099&amp;sourceID=14","0.00099")</f>
        <v>0.00099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HYPERLINK("http://141.218.60.56/~jnz1568/getInfo.php?workbook=10_05.xlsx&amp;sheet=U0&amp;row=5519&amp;col=6&amp;number=4.5&amp;sourceID=14","4.5")</f>
        <v>4.5</v>
      </c>
      <c r="G5519" s="4" t="str">
        <f>HYPERLINK("http://141.218.60.56/~jnz1568/getInfo.php?workbook=10_05.xlsx&amp;sheet=U0&amp;row=5519&amp;col=7&amp;number=0.000913&amp;sourceID=14","0.000913")</f>
        <v>0.000913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HYPERLINK("http://141.218.60.56/~jnz1568/getInfo.php?workbook=10_05.xlsx&amp;sheet=U0&amp;row=5520&amp;col=6&amp;number=4.6&amp;sourceID=14","4.6")</f>
        <v>4.6</v>
      </c>
      <c r="G5520" s="4" t="str">
        <f>HYPERLINK("http://141.218.60.56/~jnz1568/getInfo.php?workbook=10_05.xlsx&amp;sheet=U0&amp;row=5520&amp;col=7&amp;number=0.000846&amp;sourceID=14","0.000846")</f>
        <v>0.000846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HYPERLINK("http://141.218.60.56/~jnz1568/getInfo.php?workbook=10_05.xlsx&amp;sheet=U0&amp;row=5521&amp;col=6&amp;number=4.7&amp;sourceID=14","4.7")</f>
        <v>4.7</v>
      </c>
      <c r="G5521" s="4" t="str">
        <f>HYPERLINK("http://141.218.60.56/~jnz1568/getInfo.php?workbook=10_05.xlsx&amp;sheet=U0&amp;row=5521&amp;col=7&amp;number=0.000786&amp;sourceID=14","0.000786")</f>
        <v>0.000786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HYPERLINK("http://141.218.60.56/~jnz1568/getInfo.php?workbook=10_05.xlsx&amp;sheet=U0&amp;row=5522&amp;col=6&amp;number=4.8&amp;sourceID=14","4.8")</f>
        <v>4.8</v>
      </c>
      <c r="G5522" s="4" t="str">
        <f>HYPERLINK("http://141.218.60.56/~jnz1568/getInfo.php?workbook=10_05.xlsx&amp;sheet=U0&amp;row=5522&amp;col=7&amp;number=0.000725&amp;sourceID=14","0.000725")</f>
        <v>0.000725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HYPERLINK("http://141.218.60.56/~jnz1568/getInfo.php?workbook=10_05.xlsx&amp;sheet=U0&amp;row=5523&amp;col=6&amp;number=4.9&amp;sourceID=14","4.9")</f>
        <v>4.9</v>
      </c>
      <c r="G5523" s="4" t="str">
        <f>HYPERLINK("http://141.218.60.56/~jnz1568/getInfo.php?workbook=10_05.xlsx&amp;sheet=U0&amp;row=5523&amp;col=7&amp;number=0.000667&amp;sourceID=14","0.000667")</f>
        <v>0.000667</v>
      </c>
    </row>
    <row r="5524" spans="1:7">
      <c r="A5524" s="3">
        <v>10</v>
      </c>
      <c r="B5524" s="3">
        <v>5</v>
      </c>
      <c r="C5524" s="3">
        <v>2</v>
      </c>
      <c r="D5524" s="3">
        <v>100</v>
      </c>
      <c r="E5524" s="3">
        <v>1</v>
      </c>
      <c r="F5524" s="4" t="str">
        <f>HYPERLINK("http://141.218.60.56/~jnz1568/getInfo.php?workbook=10_05.xlsx&amp;sheet=U0&amp;row=5524&amp;col=6&amp;number=3&amp;sourceID=14","3")</f>
        <v>3</v>
      </c>
      <c r="G5524" s="4" t="str">
        <f>HYPERLINK("http://141.218.60.56/~jnz1568/getInfo.php?workbook=10_05.xlsx&amp;sheet=U0&amp;row=5524&amp;col=7&amp;number=0.0025&amp;sourceID=14","0.0025")</f>
        <v>0.0025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HYPERLINK("http://141.218.60.56/~jnz1568/getInfo.php?workbook=10_05.xlsx&amp;sheet=U0&amp;row=5525&amp;col=6&amp;number=3.1&amp;sourceID=14","3.1")</f>
        <v>3.1</v>
      </c>
      <c r="G5525" s="4" t="str">
        <f>HYPERLINK("http://141.218.60.56/~jnz1568/getInfo.php?workbook=10_05.xlsx&amp;sheet=U0&amp;row=5525&amp;col=7&amp;number=0.00249&amp;sourceID=14","0.00249")</f>
        <v>0.00249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HYPERLINK("http://141.218.60.56/~jnz1568/getInfo.php?workbook=10_05.xlsx&amp;sheet=U0&amp;row=5526&amp;col=6&amp;number=3.2&amp;sourceID=14","3.2")</f>
        <v>3.2</v>
      </c>
      <c r="G5526" s="4" t="str">
        <f>HYPERLINK("http://141.218.60.56/~jnz1568/getInfo.php?workbook=10_05.xlsx&amp;sheet=U0&amp;row=5526&amp;col=7&amp;number=0.00247&amp;sourceID=14","0.00247")</f>
        <v>0.00247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HYPERLINK("http://141.218.60.56/~jnz1568/getInfo.php?workbook=10_05.xlsx&amp;sheet=U0&amp;row=5527&amp;col=6&amp;number=3.3&amp;sourceID=14","3.3")</f>
        <v>3.3</v>
      </c>
      <c r="G5527" s="4" t="str">
        <f>HYPERLINK("http://141.218.60.56/~jnz1568/getInfo.php?workbook=10_05.xlsx&amp;sheet=U0&amp;row=5527&amp;col=7&amp;number=0.00245&amp;sourceID=14","0.00245")</f>
        <v>0.00245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HYPERLINK("http://141.218.60.56/~jnz1568/getInfo.php?workbook=10_05.xlsx&amp;sheet=U0&amp;row=5528&amp;col=6&amp;number=3.4&amp;sourceID=14","3.4")</f>
        <v>3.4</v>
      </c>
      <c r="G5528" s="4" t="str">
        <f>HYPERLINK("http://141.218.60.56/~jnz1568/getInfo.php?workbook=10_05.xlsx&amp;sheet=U0&amp;row=5528&amp;col=7&amp;number=0.00243&amp;sourceID=14","0.00243")</f>
        <v>0.00243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HYPERLINK("http://141.218.60.56/~jnz1568/getInfo.php?workbook=10_05.xlsx&amp;sheet=U0&amp;row=5529&amp;col=6&amp;number=3.5&amp;sourceID=14","3.5")</f>
        <v>3.5</v>
      </c>
      <c r="G5529" s="4" t="str">
        <f>HYPERLINK("http://141.218.60.56/~jnz1568/getInfo.php?workbook=10_05.xlsx&amp;sheet=U0&amp;row=5529&amp;col=7&amp;number=0.00239&amp;sourceID=14","0.00239")</f>
        <v>0.00239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HYPERLINK("http://141.218.60.56/~jnz1568/getInfo.php?workbook=10_05.xlsx&amp;sheet=U0&amp;row=5530&amp;col=6&amp;number=3.6&amp;sourceID=14","3.6")</f>
        <v>3.6</v>
      </c>
      <c r="G5530" s="4" t="str">
        <f>HYPERLINK("http://141.218.60.56/~jnz1568/getInfo.php?workbook=10_05.xlsx&amp;sheet=U0&amp;row=5530&amp;col=7&amp;number=0.00235&amp;sourceID=14","0.00235")</f>
        <v>0.00235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HYPERLINK("http://141.218.60.56/~jnz1568/getInfo.php?workbook=10_05.xlsx&amp;sheet=U0&amp;row=5531&amp;col=6&amp;number=3.7&amp;sourceID=14","3.7")</f>
        <v>3.7</v>
      </c>
      <c r="G5531" s="4" t="str">
        <f>HYPERLINK("http://141.218.60.56/~jnz1568/getInfo.php?workbook=10_05.xlsx&amp;sheet=U0&amp;row=5531&amp;col=7&amp;number=0.0023&amp;sourceID=14","0.0023")</f>
        <v>0.0023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HYPERLINK("http://141.218.60.56/~jnz1568/getInfo.php?workbook=10_05.xlsx&amp;sheet=U0&amp;row=5532&amp;col=6&amp;number=3.8&amp;sourceID=14","3.8")</f>
        <v>3.8</v>
      </c>
      <c r="G5532" s="4" t="str">
        <f>HYPERLINK("http://141.218.60.56/~jnz1568/getInfo.php?workbook=10_05.xlsx&amp;sheet=U0&amp;row=5532&amp;col=7&amp;number=0.00224&amp;sourceID=14","0.00224")</f>
        <v>0.00224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HYPERLINK("http://141.218.60.56/~jnz1568/getInfo.php?workbook=10_05.xlsx&amp;sheet=U0&amp;row=5533&amp;col=6&amp;number=3.9&amp;sourceID=14","3.9")</f>
        <v>3.9</v>
      </c>
      <c r="G5533" s="4" t="str">
        <f>HYPERLINK("http://141.218.60.56/~jnz1568/getInfo.php?workbook=10_05.xlsx&amp;sheet=U0&amp;row=5533&amp;col=7&amp;number=0.00217&amp;sourceID=14","0.00217")</f>
        <v>0.00217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HYPERLINK("http://141.218.60.56/~jnz1568/getInfo.php?workbook=10_05.xlsx&amp;sheet=U0&amp;row=5534&amp;col=6&amp;number=4&amp;sourceID=14","4")</f>
        <v>4</v>
      </c>
      <c r="G5534" s="4" t="str">
        <f>HYPERLINK("http://141.218.60.56/~jnz1568/getInfo.php?workbook=10_05.xlsx&amp;sheet=U0&amp;row=5534&amp;col=7&amp;number=0.00208&amp;sourceID=14","0.00208")</f>
        <v>0.00208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HYPERLINK("http://141.218.60.56/~jnz1568/getInfo.php?workbook=10_05.xlsx&amp;sheet=U0&amp;row=5535&amp;col=6&amp;number=4.1&amp;sourceID=14","4.1")</f>
        <v>4.1</v>
      </c>
      <c r="G5535" s="4" t="str">
        <f>HYPERLINK("http://141.218.60.56/~jnz1568/getInfo.php?workbook=10_05.xlsx&amp;sheet=U0&amp;row=5535&amp;col=7&amp;number=0.00198&amp;sourceID=14","0.00198")</f>
        <v>0.00198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HYPERLINK("http://141.218.60.56/~jnz1568/getInfo.php?workbook=10_05.xlsx&amp;sheet=U0&amp;row=5536&amp;col=6&amp;number=4.2&amp;sourceID=14","4.2")</f>
        <v>4.2</v>
      </c>
      <c r="G5536" s="4" t="str">
        <f>HYPERLINK("http://141.218.60.56/~jnz1568/getInfo.php?workbook=10_05.xlsx&amp;sheet=U0&amp;row=5536&amp;col=7&amp;number=0.00186&amp;sourceID=14","0.00186")</f>
        <v>0.00186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HYPERLINK("http://141.218.60.56/~jnz1568/getInfo.php?workbook=10_05.xlsx&amp;sheet=U0&amp;row=5537&amp;col=6&amp;number=4.3&amp;sourceID=14","4.3")</f>
        <v>4.3</v>
      </c>
      <c r="G5537" s="4" t="str">
        <f>HYPERLINK("http://141.218.60.56/~jnz1568/getInfo.php?workbook=10_05.xlsx&amp;sheet=U0&amp;row=5537&amp;col=7&amp;number=0.00173&amp;sourceID=14","0.00173")</f>
        <v>0.00173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HYPERLINK("http://141.218.60.56/~jnz1568/getInfo.php?workbook=10_05.xlsx&amp;sheet=U0&amp;row=5538&amp;col=6&amp;number=4.4&amp;sourceID=14","4.4")</f>
        <v>4.4</v>
      </c>
      <c r="G5538" s="4" t="str">
        <f>HYPERLINK("http://141.218.60.56/~jnz1568/getInfo.php?workbook=10_05.xlsx&amp;sheet=U0&amp;row=5538&amp;col=7&amp;number=0.00159&amp;sourceID=14","0.00159")</f>
        <v>0.00159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HYPERLINK("http://141.218.60.56/~jnz1568/getInfo.php?workbook=10_05.xlsx&amp;sheet=U0&amp;row=5539&amp;col=6&amp;number=4.5&amp;sourceID=14","4.5")</f>
        <v>4.5</v>
      </c>
      <c r="G5539" s="4" t="str">
        <f>HYPERLINK("http://141.218.60.56/~jnz1568/getInfo.php?workbook=10_05.xlsx&amp;sheet=U0&amp;row=5539&amp;col=7&amp;number=0.00147&amp;sourceID=14","0.00147")</f>
        <v>0.00147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HYPERLINK("http://141.218.60.56/~jnz1568/getInfo.php?workbook=10_05.xlsx&amp;sheet=U0&amp;row=5540&amp;col=6&amp;number=4.6&amp;sourceID=14","4.6")</f>
        <v>4.6</v>
      </c>
      <c r="G5540" s="4" t="str">
        <f>HYPERLINK("http://141.218.60.56/~jnz1568/getInfo.php?workbook=10_05.xlsx&amp;sheet=U0&amp;row=5540&amp;col=7&amp;number=0.00136&amp;sourceID=14","0.00136")</f>
        <v>0.00136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HYPERLINK("http://141.218.60.56/~jnz1568/getInfo.php?workbook=10_05.xlsx&amp;sheet=U0&amp;row=5541&amp;col=6&amp;number=4.7&amp;sourceID=14","4.7")</f>
        <v>4.7</v>
      </c>
      <c r="G5541" s="4" t="str">
        <f>HYPERLINK("http://141.218.60.56/~jnz1568/getInfo.php?workbook=10_05.xlsx&amp;sheet=U0&amp;row=5541&amp;col=7&amp;number=0.00127&amp;sourceID=14","0.00127")</f>
        <v>0.00127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HYPERLINK("http://141.218.60.56/~jnz1568/getInfo.php?workbook=10_05.xlsx&amp;sheet=U0&amp;row=5542&amp;col=6&amp;number=4.8&amp;sourceID=14","4.8")</f>
        <v>4.8</v>
      </c>
      <c r="G5542" s="4" t="str">
        <f>HYPERLINK("http://141.218.60.56/~jnz1568/getInfo.php?workbook=10_05.xlsx&amp;sheet=U0&amp;row=5542&amp;col=7&amp;number=0.00118&amp;sourceID=14","0.00118")</f>
        <v>0.00118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HYPERLINK("http://141.218.60.56/~jnz1568/getInfo.php?workbook=10_05.xlsx&amp;sheet=U0&amp;row=5543&amp;col=6&amp;number=4.9&amp;sourceID=14","4.9")</f>
        <v>4.9</v>
      </c>
      <c r="G5543" s="4" t="str">
        <f>HYPERLINK("http://141.218.60.56/~jnz1568/getInfo.php?workbook=10_05.xlsx&amp;sheet=U0&amp;row=5543&amp;col=7&amp;number=0.00109&amp;sourceID=14","0.00109")</f>
        <v>0.00109</v>
      </c>
    </row>
    <row r="5544" spans="1:7">
      <c r="A5544" s="3">
        <v>10</v>
      </c>
      <c r="B5544" s="3">
        <v>5</v>
      </c>
      <c r="C5544" s="3">
        <v>2</v>
      </c>
      <c r="D5544" s="3">
        <v>101</v>
      </c>
      <c r="E5544" s="3">
        <v>1</v>
      </c>
      <c r="F5544" s="4" t="str">
        <f>HYPERLINK("http://141.218.60.56/~jnz1568/getInfo.php?workbook=10_05.xlsx&amp;sheet=U0&amp;row=5544&amp;col=6&amp;number=3&amp;sourceID=14","3")</f>
        <v>3</v>
      </c>
      <c r="G5544" s="4" t="str">
        <f>HYPERLINK("http://141.218.60.56/~jnz1568/getInfo.php?workbook=10_05.xlsx&amp;sheet=U0&amp;row=5544&amp;col=7&amp;number=0.0217&amp;sourceID=14","0.0217")</f>
        <v>0.0217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HYPERLINK("http://141.218.60.56/~jnz1568/getInfo.php?workbook=10_05.xlsx&amp;sheet=U0&amp;row=5545&amp;col=6&amp;number=3.1&amp;sourceID=14","3.1")</f>
        <v>3.1</v>
      </c>
      <c r="G5545" s="4" t="str">
        <f>HYPERLINK("http://141.218.60.56/~jnz1568/getInfo.php?workbook=10_05.xlsx&amp;sheet=U0&amp;row=5545&amp;col=7&amp;number=0.0216&amp;sourceID=14","0.0216")</f>
        <v>0.0216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HYPERLINK("http://141.218.60.56/~jnz1568/getInfo.php?workbook=10_05.xlsx&amp;sheet=U0&amp;row=5546&amp;col=6&amp;number=3.2&amp;sourceID=14","3.2")</f>
        <v>3.2</v>
      </c>
      <c r="G5546" s="4" t="str">
        <f>HYPERLINK("http://141.218.60.56/~jnz1568/getInfo.php?workbook=10_05.xlsx&amp;sheet=U0&amp;row=5546&amp;col=7&amp;number=0.0214&amp;sourceID=14","0.0214")</f>
        <v>0.0214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HYPERLINK("http://141.218.60.56/~jnz1568/getInfo.php?workbook=10_05.xlsx&amp;sheet=U0&amp;row=5547&amp;col=6&amp;number=3.3&amp;sourceID=14","3.3")</f>
        <v>3.3</v>
      </c>
      <c r="G5547" s="4" t="str">
        <f>HYPERLINK("http://141.218.60.56/~jnz1568/getInfo.php?workbook=10_05.xlsx&amp;sheet=U0&amp;row=5547&amp;col=7&amp;number=0.0212&amp;sourceID=14","0.0212")</f>
        <v>0.0212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HYPERLINK("http://141.218.60.56/~jnz1568/getInfo.php?workbook=10_05.xlsx&amp;sheet=U0&amp;row=5548&amp;col=6&amp;number=3.4&amp;sourceID=14","3.4")</f>
        <v>3.4</v>
      </c>
      <c r="G5548" s="4" t="str">
        <f>HYPERLINK("http://141.218.60.56/~jnz1568/getInfo.php?workbook=10_05.xlsx&amp;sheet=U0&amp;row=5548&amp;col=7&amp;number=0.021&amp;sourceID=14","0.021")</f>
        <v>0.021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HYPERLINK("http://141.218.60.56/~jnz1568/getInfo.php?workbook=10_05.xlsx&amp;sheet=U0&amp;row=5549&amp;col=6&amp;number=3.5&amp;sourceID=14","3.5")</f>
        <v>3.5</v>
      </c>
      <c r="G5549" s="4" t="str">
        <f>HYPERLINK("http://141.218.60.56/~jnz1568/getInfo.php?workbook=10_05.xlsx&amp;sheet=U0&amp;row=5549&amp;col=7&amp;number=0.0207&amp;sourceID=14","0.0207")</f>
        <v>0.0207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HYPERLINK("http://141.218.60.56/~jnz1568/getInfo.php?workbook=10_05.xlsx&amp;sheet=U0&amp;row=5550&amp;col=6&amp;number=3.6&amp;sourceID=14","3.6")</f>
        <v>3.6</v>
      </c>
      <c r="G5550" s="4" t="str">
        <f>HYPERLINK("http://141.218.60.56/~jnz1568/getInfo.php?workbook=10_05.xlsx&amp;sheet=U0&amp;row=5550&amp;col=7&amp;number=0.0203&amp;sourceID=14","0.0203")</f>
        <v>0.0203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HYPERLINK("http://141.218.60.56/~jnz1568/getInfo.php?workbook=10_05.xlsx&amp;sheet=U0&amp;row=5551&amp;col=6&amp;number=3.7&amp;sourceID=14","3.7")</f>
        <v>3.7</v>
      </c>
      <c r="G5551" s="4" t="str">
        <f>HYPERLINK("http://141.218.60.56/~jnz1568/getInfo.php?workbook=10_05.xlsx&amp;sheet=U0&amp;row=5551&amp;col=7&amp;number=0.0198&amp;sourceID=14","0.0198")</f>
        <v>0.0198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HYPERLINK("http://141.218.60.56/~jnz1568/getInfo.php?workbook=10_05.xlsx&amp;sheet=U0&amp;row=5552&amp;col=6&amp;number=3.8&amp;sourceID=14","3.8")</f>
        <v>3.8</v>
      </c>
      <c r="G5552" s="4" t="str">
        <f>HYPERLINK("http://141.218.60.56/~jnz1568/getInfo.php?workbook=10_05.xlsx&amp;sheet=U0&amp;row=5552&amp;col=7&amp;number=0.0192&amp;sourceID=14","0.0192")</f>
        <v>0.0192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HYPERLINK("http://141.218.60.56/~jnz1568/getInfo.php?workbook=10_05.xlsx&amp;sheet=U0&amp;row=5553&amp;col=6&amp;number=3.9&amp;sourceID=14","3.9")</f>
        <v>3.9</v>
      </c>
      <c r="G5553" s="4" t="str">
        <f>HYPERLINK("http://141.218.60.56/~jnz1568/getInfo.php?workbook=10_05.xlsx&amp;sheet=U0&amp;row=5553&amp;col=7&amp;number=0.0185&amp;sourceID=14","0.0185")</f>
        <v>0.0185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HYPERLINK("http://141.218.60.56/~jnz1568/getInfo.php?workbook=10_05.xlsx&amp;sheet=U0&amp;row=5554&amp;col=6&amp;number=4&amp;sourceID=14","4")</f>
        <v>4</v>
      </c>
      <c r="G5554" s="4" t="str">
        <f>HYPERLINK("http://141.218.60.56/~jnz1568/getInfo.php?workbook=10_05.xlsx&amp;sheet=U0&amp;row=5554&amp;col=7&amp;number=0.0177&amp;sourceID=14","0.0177")</f>
        <v>0.0177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HYPERLINK("http://141.218.60.56/~jnz1568/getInfo.php?workbook=10_05.xlsx&amp;sheet=U0&amp;row=5555&amp;col=6&amp;number=4.1&amp;sourceID=14","4.1")</f>
        <v>4.1</v>
      </c>
      <c r="G5555" s="4" t="str">
        <f>HYPERLINK("http://141.218.60.56/~jnz1568/getInfo.php?workbook=10_05.xlsx&amp;sheet=U0&amp;row=5555&amp;col=7&amp;number=0.0167&amp;sourceID=14","0.0167")</f>
        <v>0.0167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HYPERLINK("http://141.218.60.56/~jnz1568/getInfo.php?workbook=10_05.xlsx&amp;sheet=U0&amp;row=5556&amp;col=6&amp;number=4.2&amp;sourceID=14","4.2")</f>
        <v>4.2</v>
      </c>
      <c r="G5556" s="4" t="str">
        <f>HYPERLINK("http://141.218.60.56/~jnz1568/getInfo.php?workbook=10_05.xlsx&amp;sheet=U0&amp;row=5556&amp;col=7&amp;number=0.0155&amp;sourceID=14","0.0155")</f>
        <v>0.0155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HYPERLINK("http://141.218.60.56/~jnz1568/getInfo.php?workbook=10_05.xlsx&amp;sheet=U0&amp;row=5557&amp;col=6&amp;number=4.3&amp;sourceID=14","4.3")</f>
        <v>4.3</v>
      </c>
      <c r="G5557" s="4" t="str">
        <f>HYPERLINK("http://141.218.60.56/~jnz1568/getInfo.php?workbook=10_05.xlsx&amp;sheet=U0&amp;row=5557&amp;col=7&amp;number=0.0142&amp;sourceID=14","0.0142")</f>
        <v>0.0142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HYPERLINK("http://141.218.60.56/~jnz1568/getInfo.php?workbook=10_05.xlsx&amp;sheet=U0&amp;row=5558&amp;col=6&amp;number=4.4&amp;sourceID=14","4.4")</f>
        <v>4.4</v>
      </c>
      <c r="G5558" s="4" t="str">
        <f>HYPERLINK("http://141.218.60.56/~jnz1568/getInfo.php?workbook=10_05.xlsx&amp;sheet=U0&amp;row=5558&amp;col=7&amp;number=0.0129&amp;sourceID=14","0.0129")</f>
        <v>0.0129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HYPERLINK("http://141.218.60.56/~jnz1568/getInfo.php?workbook=10_05.xlsx&amp;sheet=U0&amp;row=5559&amp;col=6&amp;number=4.5&amp;sourceID=14","4.5")</f>
        <v>4.5</v>
      </c>
      <c r="G5559" s="4" t="str">
        <f>HYPERLINK("http://141.218.60.56/~jnz1568/getInfo.php?workbook=10_05.xlsx&amp;sheet=U0&amp;row=5559&amp;col=7&amp;number=0.0115&amp;sourceID=14","0.0115")</f>
        <v>0.0115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HYPERLINK("http://141.218.60.56/~jnz1568/getInfo.php?workbook=10_05.xlsx&amp;sheet=U0&amp;row=5560&amp;col=6&amp;number=4.6&amp;sourceID=14","4.6")</f>
        <v>4.6</v>
      </c>
      <c r="G5560" s="4" t="str">
        <f>HYPERLINK("http://141.218.60.56/~jnz1568/getInfo.php?workbook=10_05.xlsx&amp;sheet=U0&amp;row=5560&amp;col=7&amp;number=0.0103&amp;sourceID=14","0.0103")</f>
        <v>0.0103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HYPERLINK("http://141.218.60.56/~jnz1568/getInfo.php?workbook=10_05.xlsx&amp;sheet=U0&amp;row=5561&amp;col=6&amp;number=4.7&amp;sourceID=14","4.7")</f>
        <v>4.7</v>
      </c>
      <c r="G5561" s="4" t="str">
        <f>HYPERLINK("http://141.218.60.56/~jnz1568/getInfo.php?workbook=10_05.xlsx&amp;sheet=U0&amp;row=5561&amp;col=7&amp;number=0.00915&amp;sourceID=14","0.00915")</f>
        <v>0.00915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HYPERLINK("http://141.218.60.56/~jnz1568/getInfo.php?workbook=10_05.xlsx&amp;sheet=U0&amp;row=5562&amp;col=6&amp;number=4.8&amp;sourceID=14","4.8")</f>
        <v>4.8</v>
      </c>
      <c r="G5562" s="4" t="str">
        <f>HYPERLINK("http://141.218.60.56/~jnz1568/getInfo.php?workbook=10_05.xlsx&amp;sheet=U0&amp;row=5562&amp;col=7&amp;number=0.00809&amp;sourceID=14","0.00809")</f>
        <v>0.00809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HYPERLINK("http://141.218.60.56/~jnz1568/getInfo.php?workbook=10_05.xlsx&amp;sheet=U0&amp;row=5563&amp;col=6&amp;number=4.9&amp;sourceID=14","4.9")</f>
        <v>4.9</v>
      </c>
      <c r="G5563" s="4" t="str">
        <f>HYPERLINK("http://141.218.60.56/~jnz1568/getInfo.php?workbook=10_05.xlsx&amp;sheet=U0&amp;row=5563&amp;col=7&amp;number=0.00712&amp;sourceID=14","0.00712")</f>
        <v>0.00712</v>
      </c>
    </row>
    <row r="5564" spans="1:7">
      <c r="A5564" s="3">
        <v>10</v>
      </c>
      <c r="B5564" s="3">
        <v>5</v>
      </c>
      <c r="C5564" s="3">
        <v>2</v>
      </c>
      <c r="D5564" s="3">
        <v>102</v>
      </c>
      <c r="E5564" s="3">
        <v>1</v>
      </c>
      <c r="F5564" s="4" t="str">
        <f>HYPERLINK("http://141.218.60.56/~jnz1568/getInfo.php?workbook=10_05.xlsx&amp;sheet=U0&amp;row=5564&amp;col=6&amp;number=3&amp;sourceID=14","3")</f>
        <v>3</v>
      </c>
      <c r="G5564" s="4" t="str">
        <f>HYPERLINK("http://141.218.60.56/~jnz1568/getInfo.php?workbook=10_05.xlsx&amp;sheet=U0&amp;row=5564&amp;col=7&amp;number=0.00412&amp;sourceID=14","0.00412")</f>
        <v>0.00412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HYPERLINK("http://141.218.60.56/~jnz1568/getInfo.php?workbook=10_05.xlsx&amp;sheet=U0&amp;row=5565&amp;col=6&amp;number=3.1&amp;sourceID=14","3.1")</f>
        <v>3.1</v>
      </c>
      <c r="G5565" s="4" t="str">
        <f>HYPERLINK("http://141.218.60.56/~jnz1568/getInfo.php?workbook=10_05.xlsx&amp;sheet=U0&amp;row=5565&amp;col=7&amp;number=0.00409&amp;sourceID=14","0.00409")</f>
        <v>0.00409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HYPERLINK("http://141.218.60.56/~jnz1568/getInfo.php?workbook=10_05.xlsx&amp;sheet=U0&amp;row=5566&amp;col=6&amp;number=3.2&amp;sourceID=14","3.2")</f>
        <v>3.2</v>
      </c>
      <c r="G5566" s="4" t="str">
        <f>HYPERLINK("http://141.218.60.56/~jnz1568/getInfo.php?workbook=10_05.xlsx&amp;sheet=U0&amp;row=5566&amp;col=7&amp;number=0.00406&amp;sourceID=14","0.00406")</f>
        <v>0.00406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HYPERLINK("http://141.218.60.56/~jnz1568/getInfo.php?workbook=10_05.xlsx&amp;sheet=U0&amp;row=5567&amp;col=6&amp;number=3.3&amp;sourceID=14","3.3")</f>
        <v>3.3</v>
      </c>
      <c r="G5567" s="4" t="str">
        <f>HYPERLINK("http://141.218.60.56/~jnz1568/getInfo.php?workbook=10_05.xlsx&amp;sheet=U0&amp;row=5567&amp;col=7&amp;number=0.00401&amp;sourceID=14","0.00401")</f>
        <v>0.00401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HYPERLINK("http://141.218.60.56/~jnz1568/getInfo.php?workbook=10_05.xlsx&amp;sheet=U0&amp;row=5568&amp;col=6&amp;number=3.4&amp;sourceID=14","3.4")</f>
        <v>3.4</v>
      </c>
      <c r="G5568" s="4" t="str">
        <f>HYPERLINK("http://141.218.60.56/~jnz1568/getInfo.php?workbook=10_05.xlsx&amp;sheet=U0&amp;row=5568&amp;col=7&amp;number=0.00396&amp;sourceID=14","0.00396")</f>
        <v>0.00396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HYPERLINK("http://141.218.60.56/~jnz1568/getInfo.php?workbook=10_05.xlsx&amp;sheet=U0&amp;row=5569&amp;col=6&amp;number=3.5&amp;sourceID=14","3.5")</f>
        <v>3.5</v>
      </c>
      <c r="G5569" s="4" t="str">
        <f>HYPERLINK("http://141.218.60.56/~jnz1568/getInfo.php?workbook=10_05.xlsx&amp;sheet=U0&amp;row=5569&amp;col=7&amp;number=0.00389&amp;sourceID=14","0.00389")</f>
        <v>0.00389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HYPERLINK("http://141.218.60.56/~jnz1568/getInfo.php?workbook=10_05.xlsx&amp;sheet=U0&amp;row=5570&amp;col=6&amp;number=3.6&amp;sourceID=14","3.6")</f>
        <v>3.6</v>
      </c>
      <c r="G5570" s="4" t="str">
        <f>HYPERLINK("http://141.218.60.56/~jnz1568/getInfo.php?workbook=10_05.xlsx&amp;sheet=U0&amp;row=5570&amp;col=7&amp;number=0.0038&amp;sourceID=14","0.0038")</f>
        <v>0.0038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HYPERLINK("http://141.218.60.56/~jnz1568/getInfo.php?workbook=10_05.xlsx&amp;sheet=U0&amp;row=5571&amp;col=6&amp;number=3.7&amp;sourceID=14","3.7")</f>
        <v>3.7</v>
      </c>
      <c r="G5571" s="4" t="str">
        <f>HYPERLINK("http://141.218.60.56/~jnz1568/getInfo.php?workbook=10_05.xlsx&amp;sheet=U0&amp;row=5571&amp;col=7&amp;number=0.0037&amp;sourceID=14","0.0037")</f>
        <v>0.0037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HYPERLINK("http://141.218.60.56/~jnz1568/getInfo.php?workbook=10_05.xlsx&amp;sheet=U0&amp;row=5572&amp;col=6&amp;number=3.8&amp;sourceID=14","3.8")</f>
        <v>3.8</v>
      </c>
      <c r="G5572" s="4" t="str">
        <f>HYPERLINK("http://141.218.60.56/~jnz1568/getInfo.php?workbook=10_05.xlsx&amp;sheet=U0&amp;row=5572&amp;col=7&amp;number=0.00357&amp;sourceID=14","0.00357")</f>
        <v>0.00357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HYPERLINK("http://141.218.60.56/~jnz1568/getInfo.php?workbook=10_05.xlsx&amp;sheet=U0&amp;row=5573&amp;col=6&amp;number=3.9&amp;sourceID=14","3.9")</f>
        <v>3.9</v>
      </c>
      <c r="G5573" s="4" t="str">
        <f>HYPERLINK("http://141.218.60.56/~jnz1568/getInfo.php?workbook=10_05.xlsx&amp;sheet=U0&amp;row=5573&amp;col=7&amp;number=0.00342&amp;sourceID=14","0.00342")</f>
        <v>0.00342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HYPERLINK("http://141.218.60.56/~jnz1568/getInfo.php?workbook=10_05.xlsx&amp;sheet=U0&amp;row=5574&amp;col=6&amp;number=4&amp;sourceID=14","4")</f>
        <v>4</v>
      </c>
      <c r="G5574" s="4" t="str">
        <f>HYPERLINK("http://141.218.60.56/~jnz1568/getInfo.php?workbook=10_05.xlsx&amp;sheet=U0&amp;row=5574&amp;col=7&amp;number=0.00324&amp;sourceID=14","0.00324")</f>
        <v>0.00324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HYPERLINK("http://141.218.60.56/~jnz1568/getInfo.php?workbook=10_05.xlsx&amp;sheet=U0&amp;row=5575&amp;col=6&amp;number=4.1&amp;sourceID=14","4.1")</f>
        <v>4.1</v>
      </c>
      <c r="G5575" s="4" t="str">
        <f>HYPERLINK("http://141.218.60.56/~jnz1568/getInfo.php?workbook=10_05.xlsx&amp;sheet=U0&amp;row=5575&amp;col=7&amp;number=0.00304&amp;sourceID=14","0.00304")</f>
        <v>0.00304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HYPERLINK("http://141.218.60.56/~jnz1568/getInfo.php?workbook=10_05.xlsx&amp;sheet=U0&amp;row=5576&amp;col=6&amp;number=4.2&amp;sourceID=14","4.2")</f>
        <v>4.2</v>
      </c>
      <c r="G5576" s="4" t="str">
        <f>HYPERLINK("http://141.218.60.56/~jnz1568/getInfo.php?workbook=10_05.xlsx&amp;sheet=U0&amp;row=5576&amp;col=7&amp;number=0.00283&amp;sourceID=14","0.00283")</f>
        <v>0.00283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HYPERLINK("http://141.218.60.56/~jnz1568/getInfo.php?workbook=10_05.xlsx&amp;sheet=U0&amp;row=5577&amp;col=6&amp;number=4.3&amp;sourceID=14","4.3")</f>
        <v>4.3</v>
      </c>
      <c r="G5577" s="4" t="str">
        <f>HYPERLINK("http://141.218.60.56/~jnz1568/getInfo.php?workbook=10_05.xlsx&amp;sheet=U0&amp;row=5577&amp;col=7&amp;number=0.00262&amp;sourceID=14","0.00262")</f>
        <v>0.00262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HYPERLINK("http://141.218.60.56/~jnz1568/getInfo.php?workbook=10_05.xlsx&amp;sheet=U0&amp;row=5578&amp;col=6&amp;number=4.4&amp;sourceID=14","4.4")</f>
        <v>4.4</v>
      </c>
      <c r="G5578" s="4" t="str">
        <f>HYPERLINK("http://141.218.60.56/~jnz1568/getInfo.php?workbook=10_05.xlsx&amp;sheet=U0&amp;row=5578&amp;col=7&amp;number=0.00243&amp;sourceID=14","0.00243")</f>
        <v>0.00243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HYPERLINK("http://141.218.60.56/~jnz1568/getInfo.php?workbook=10_05.xlsx&amp;sheet=U0&amp;row=5579&amp;col=6&amp;number=4.5&amp;sourceID=14","4.5")</f>
        <v>4.5</v>
      </c>
      <c r="G5579" s="4" t="str">
        <f>HYPERLINK("http://141.218.60.56/~jnz1568/getInfo.php?workbook=10_05.xlsx&amp;sheet=U0&amp;row=5579&amp;col=7&amp;number=0.00226&amp;sourceID=14","0.00226")</f>
        <v>0.00226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HYPERLINK("http://141.218.60.56/~jnz1568/getInfo.php?workbook=10_05.xlsx&amp;sheet=U0&amp;row=5580&amp;col=6&amp;number=4.6&amp;sourceID=14","4.6")</f>
        <v>4.6</v>
      </c>
      <c r="G5580" s="4" t="str">
        <f>HYPERLINK("http://141.218.60.56/~jnz1568/getInfo.php?workbook=10_05.xlsx&amp;sheet=U0&amp;row=5580&amp;col=7&amp;number=0.00209&amp;sourceID=14","0.00209")</f>
        <v>0.00209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HYPERLINK("http://141.218.60.56/~jnz1568/getInfo.php?workbook=10_05.xlsx&amp;sheet=U0&amp;row=5581&amp;col=6&amp;number=4.7&amp;sourceID=14","4.7")</f>
        <v>4.7</v>
      </c>
      <c r="G5581" s="4" t="str">
        <f>HYPERLINK("http://141.218.60.56/~jnz1568/getInfo.php?workbook=10_05.xlsx&amp;sheet=U0&amp;row=5581&amp;col=7&amp;number=0.00194&amp;sourceID=14","0.00194")</f>
        <v>0.00194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HYPERLINK("http://141.218.60.56/~jnz1568/getInfo.php?workbook=10_05.xlsx&amp;sheet=U0&amp;row=5582&amp;col=6&amp;number=4.8&amp;sourceID=14","4.8")</f>
        <v>4.8</v>
      </c>
      <c r="G5582" s="4" t="str">
        <f>HYPERLINK("http://141.218.60.56/~jnz1568/getInfo.php?workbook=10_05.xlsx&amp;sheet=U0&amp;row=5582&amp;col=7&amp;number=0.00179&amp;sourceID=14","0.00179")</f>
        <v>0.00179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HYPERLINK("http://141.218.60.56/~jnz1568/getInfo.php?workbook=10_05.xlsx&amp;sheet=U0&amp;row=5583&amp;col=6&amp;number=4.9&amp;sourceID=14","4.9")</f>
        <v>4.9</v>
      </c>
      <c r="G5583" s="4" t="str">
        <f>HYPERLINK("http://141.218.60.56/~jnz1568/getInfo.php?workbook=10_05.xlsx&amp;sheet=U0&amp;row=5583&amp;col=7&amp;number=0.00165&amp;sourceID=14","0.00165")</f>
        <v>0.00165</v>
      </c>
    </row>
    <row r="5584" spans="1:7">
      <c r="A5584" s="3">
        <v>10</v>
      </c>
      <c r="B5584" s="3">
        <v>5</v>
      </c>
      <c r="C5584" s="3">
        <v>2</v>
      </c>
      <c r="D5584" s="3">
        <v>103</v>
      </c>
      <c r="E5584" s="3">
        <v>1</v>
      </c>
      <c r="F5584" s="4" t="str">
        <f>HYPERLINK("http://141.218.60.56/~jnz1568/getInfo.php?workbook=10_05.xlsx&amp;sheet=U0&amp;row=5584&amp;col=6&amp;number=3&amp;sourceID=14","3")</f>
        <v>3</v>
      </c>
      <c r="G5584" s="4" t="str">
        <f>HYPERLINK("http://141.218.60.56/~jnz1568/getInfo.php?workbook=10_05.xlsx&amp;sheet=U0&amp;row=5584&amp;col=7&amp;number=0.0418&amp;sourceID=14","0.0418")</f>
        <v>0.0418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HYPERLINK("http://141.218.60.56/~jnz1568/getInfo.php?workbook=10_05.xlsx&amp;sheet=U0&amp;row=5585&amp;col=6&amp;number=3.1&amp;sourceID=14","3.1")</f>
        <v>3.1</v>
      </c>
      <c r="G5585" s="4" t="str">
        <f>HYPERLINK("http://141.218.60.56/~jnz1568/getInfo.php?workbook=10_05.xlsx&amp;sheet=U0&amp;row=5585&amp;col=7&amp;number=0.0416&amp;sourceID=14","0.0416")</f>
        <v>0.0416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HYPERLINK("http://141.218.60.56/~jnz1568/getInfo.php?workbook=10_05.xlsx&amp;sheet=U0&amp;row=5586&amp;col=6&amp;number=3.2&amp;sourceID=14","3.2")</f>
        <v>3.2</v>
      </c>
      <c r="G5586" s="4" t="str">
        <f>HYPERLINK("http://141.218.60.56/~jnz1568/getInfo.php?workbook=10_05.xlsx&amp;sheet=U0&amp;row=5586&amp;col=7&amp;number=0.0413&amp;sourceID=14","0.0413")</f>
        <v>0.0413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HYPERLINK("http://141.218.60.56/~jnz1568/getInfo.php?workbook=10_05.xlsx&amp;sheet=U0&amp;row=5587&amp;col=6&amp;number=3.3&amp;sourceID=14","3.3")</f>
        <v>3.3</v>
      </c>
      <c r="G5587" s="4" t="str">
        <f>HYPERLINK("http://141.218.60.56/~jnz1568/getInfo.php?workbook=10_05.xlsx&amp;sheet=U0&amp;row=5587&amp;col=7&amp;number=0.041&amp;sourceID=14","0.041")</f>
        <v>0.041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HYPERLINK("http://141.218.60.56/~jnz1568/getInfo.php?workbook=10_05.xlsx&amp;sheet=U0&amp;row=5588&amp;col=6&amp;number=3.4&amp;sourceID=14","3.4")</f>
        <v>3.4</v>
      </c>
      <c r="G5588" s="4" t="str">
        <f>HYPERLINK("http://141.218.60.56/~jnz1568/getInfo.php?workbook=10_05.xlsx&amp;sheet=U0&amp;row=5588&amp;col=7&amp;number=0.0406&amp;sourceID=14","0.0406")</f>
        <v>0.0406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HYPERLINK("http://141.218.60.56/~jnz1568/getInfo.php?workbook=10_05.xlsx&amp;sheet=U0&amp;row=5589&amp;col=6&amp;number=3.5&amp;sourceID=14","3.5")</f>
        <v>3.5</v>
      </c>
      <c r="G5589" s="4" t="str">
        <f>HYPERLINK("http://141.218.60.56/~jnz1568/getInfo.php?workbook=10_05.xlsx&amp;sheet=U0&amp;row=5589&amp;col=7&amp;number=0.0402&amp;sourceID=14","0.0402")</f>
        <v>0.0402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HYPERLINK("http://141.218.60.56/~jnz1568/getInfo.php?workbook=10_05.xlsx&amp;sheet=U0&amp;row=5590&amp;col=6&amp;number=3.6&amp;sourceID=14","3.6")</f>
        <v>3.6</v>
      </c>
      <c r="G5590" s="4" t="str">
        <f>HYPERLINK("http://141.218.60.56/~jnz1568/getInfo.php?workbook=10_05.xlsx&amp;sheet=U0&amp;row=5590&amp;col=7&amp;number=0.0396&amp;sourceID=14","0.0396")</f>
        <v>0.0396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HYPERLINK("http://141.218.60.56/~jnz1568/getInfo.php?workbook=10_05.xlsx&amp;sheet=U0&amp;row=5591&amp;col=6&amp;number=3.7&amp;sourceID=14","3.7")</f>
        <v>3.7</v>
      </c>
      <c r="G5591" s="4" t="str">
        <f>HYPERLINK("http://141.218.60.56/~jnz1568/getInfo.php?workbook=10_05.xlsx&amp;sheet=U0&amp;row=5591&amp;col=7&amp;number=0.0388&amp;sourceID=14","0.0388")</f>
        <v>0.0388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HYPERLINK("http://141.218.60.56/~jnz1568/getInfo.php?workbook=10_05.xlsx&amp;sheet=U0&amp;row=5592&amp;col=6&amp;number=3.8&amp;sourceID=14","3.8")</f>
        <v>3.8</v>
      </c>
      <c r="G5592" s="4" t="str">
        <f>HYPERLINK("http://141.218.60.56/~jnz1568/getInfo.php?workbook=10_05.xlsx&amp;sheet=U0&amp;row=5592&amp;col=7&amp;number=0.0379&amp;sourceID=14","0.0379")</f>
        <v>0.0379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HYPERLINK("http://141.218.60.56/~jnz1568/getInfo.php?workbook=10_05.xlsx&amp;sheet=U0&amp;row=5593&amp;col=6&amp;number=3.9&amp;sourceID=14","3.9")</f>
        <v>3.9</v>
      </c>
      <c r="G5593" s="4" t="str">
        <f>HYPERLINK("http://141.218.60.56/~jnz1568/getInfo.php?workbook=10_05.xlsx&amp;sheet=U0&amp;row=5593&amp;col=7&amp;number=0.0368&amp;sourceID=14","0.0368")</f>
        <v>0.0368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HYPERLINK("http://141.218.60.56/~jnz1568/getInfo.php?workbook=10_05.xlsx&amp;sheet=U0&amp;row=5594&amp;col=6&amp;number=4&amp;sourceID=14","4")</f>
        <v>4</v>
      </c>
      <c r="G5594" s="4" t="str">
        <f>HYPERLINK("http://141.218.60.56/~jnz1568/getInfo.php?workbook=10_05.xlsx&amp;sheet=U0&amp;row=5594&amp;col=7&amp;number=0.0355&amp;sourceID=14","0.0355")</f>
        <v>0.0355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HYPERLINK("http://141.218.60.56/~jnz1568/getInfo.php?workbook=10_05.xlsx&amp;sheet=U0&amp;row=5595&amp;col=6&amp;number=4.1&amp;sourceID=14","4.1")</f>
        <v>4.1</v>
      </c>
      <c r="G5595" s="4" t="str">
        <f>HYPERLINK("http://141.218.60.56/~jnz1568/getInfo.php?workbook=10_05.xlsx&amp;sheet=U0&amp;row=5595&amp;col=7&amp;number=0.0339&amp;sourceID=14","0.0339")</f>
        <v>0.0339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HYPERLINK("http://141.218.60.56/~jnz1568/getInfo.php?workbook=10_05.xlsx&amp;sheet=U0&amp;row=5596&amp;col=6&amp;number=4.2&amp;sourceID=14","4.2")</f>
        <v>4.2</v>
      </c>
      <c r="G5596" s="4" t="str">
        <f>HYPERLINK("http://141.218.60.56/~jnz1568/getInfo.php?workbook=10_05.xlsx&amp;sheet=U0&amp;row=5596&amp;col=7&amp;number=0.0321&amp;sourceID=14","0.0321")</f>
        <v>0.0321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HYPERLINK("http://141.218.60.56/~jnz1568/getInfo.php?workbook=10_05.xlsx&amp;sheet=U0&amp;row=5597&amp;col=6&amp;number=4.3&amp;sourceID=14","4.3")</f>
        <v>4.3</v>
      </c>
      <c r="G5597" s="4" t="str">
        <f>HYPERLINK("http://141.218.60.56/~jnz1568/getInfo.php?workbook=10_05.xlsx&amp;sheet=U0&amp;row=5597&amp;col=7&amp;number=0.03&amp;sourceID=14","0.03")</f>
        <v>0.03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HYPERLINK("http://141.218.60.56/~jnz1568/getInfo.php?workbook=10_05.xlsx&amp;sheet=U0&amp;row=5598&amp;col=6&amp;number=4.4&amp;sourceID=14","4.4")</f>
        <v>4.4</v>
      </c>
      <c r="G5598" s="4" t="str">
        <f>HYPERLINK("http://141.218.60.56/~jnz1568/getInfo.php?workbook=10_05.xlsx&amp;sheet=U0&amp;row=5598&amp;col=7&amp;number=0.0277&amp;sourceID=14","0.0277")</f>
        <v>0.0277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HYPERLINK("http://141.218.60.56/~jnz1568/getInfo.php?workbook=10_05.xlsx&amp;sheet=U0&amp;row=5599&amp;col=6&amp;number=4.5&amp;sourceID=14","4.5")</f>
        <v>4.5</v>
      </c>
      <c r="G5599" s="4" t="str">
        <f>HYPERLINK("http://141.218.60.56/~jnz1568/getInfo.php?workbook=10_05.xlsx&amp;sheet=U0&amp;row=5599&amp;col=7&amp;number=0.0253&amp;sourceID=14","0.0253")</f>
        <v>0.0253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HYPERLINK("http://141.218.60.56/~jnz1568/getInfo.php?workbook=10_05.xlsx&amp;sheet=U0&amp;row=5600&amp;col=6&amp;number=4.6&amp;sourceID=14","4.6")</f>
        <v>4.6</v>
      </c>
      <c r="G5600" s="4" t="str">
        <f>HYPERLINK("http://141.218.60.56/~jnz1568/getInfo.php?workbook=10_05.xlsx&amp;sheet=U0&amp;row=5600&amp;col=7&amp;number=0.023&amp;sourceID=14","0.023")</f>
        <v>0.023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HYPERLINK("http://141.218.60.56/~jnz1568/getInfo.php?workbook=10_05.xlsx&amp;sheet=U0&amp;row=5601&amp;col=6&amp;number=4.7&amp;sourceID=14","4.7")</f>
        <v>4.7</v>
      </c>
      <c r="G5601" s="4" t="str">
        <f>HYPERLINK("http://141.218.60.56/~jnz1568/getInfo.php?workbook=10_05.xlsx&amp;sheet=U0&amp;row=5601&amp;col=7&amp;number=0.0208&amp;sourceID=14","0.0208")</f>
        <v>0.0208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HYPERLINK("http://141.218.60.56/~jnz1568/getInfo.php?workbook=10_05.xlsx&amp;sheet=U0&amp;row=5602&amp;col=6&amp;number=4.8&amp;sourceID=14","4.8")</f>
        <v>4.8</v>
      </c>
      <c r="G5602" s="4" t="str">
        <f>HYPERLINK("http://141.218.60.56/~jnz1568/getInfo.php?workbook=10_05.xlsx&amp;sheet=U0&amp;row=5602&amp;col=7&amp;number=0.0188&amp;sourceID=14","0.0188")</f>
        <v>0.0188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HYPERLINK("http://141.218.60.56/~jnz1568/getInfo.php?workbook=10_05.xlsx&amp;sheet=U0&amp;row=5603&amp;col=6&amp;number=4.9&amp;sourceID=14","4.9")</f>
        <v>4.9</v>
      </c>
      <c r="G5603" s="4" t="str">
        <f>HYPERLINK("http://141.218.60.56/~jnz1568/getInfo.php?workbook=10_05.xlsx&amp;sheet=U0&amp;row=5603&amp;col=7&amp;number=0.017&amp;sourceID=14","0.017")</f>
        <v>0.017</v>
      </c>
    </row>
    <row r="5604" spans="1:7">
      <c r="A5604" s="3">
        <v>10</v>
      </c>
      <c r="B5604" s="3">
        <v>5</v>
      </c>
      <c r="C5604" s="3">
        <v>2</v>
      </c>
      <c r="D5604" s="3">
        <v>104</v>
      </c>
      <c r="E5604" s="3">
        <v>1</v>
      </c>
      <c r="F5604" s="4" t="str">
        <f>HYPERLINK("http://141.218.60.56/~jnz1568/getInfo.php?workbook=10_05.xlsx&amp;sheet=U0&amp;row=5604&amp;col=6&amp;number=3&amp;sourceID=14","3")</f>
        <v>3</v>
      </c>
      <c r="G5604" s="4" t="str">
        <f>HYPERLINK("http://141.218.60.56/~jnz1568/getInfo.php?workbook=10_05.xlsx&amp;sheet=U0&amp;row=5604&amp;col=7&amp;number=0.00532&amp;sourceID=14","0.00532")</f>
        <v>0.00532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HYPERLINK("http://141.218.60.56/~jnz1568/getInfo.php?workbook=10_05.xlsx&amp;sheet=U0&amp;row=5605&amp;col=6&amp;number=3.1&amp;sourceID=14","3.1")</f>
        <v>3.1</v>
      </c>
      <c r="G5605" s="4" t="str">
        <f>HYPERLINK("http://141.218.60.56/~jnz1568/getInfo.php?workbook=10_05.xlsx&amp;sheet=U0&amp;row=5605&amp;col=7&amp;number=0.00529&amp;sourceID=14","0.00529")</f>
        <v>0.00529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HYPERLINK("http://141.218.60.56/~jnz1568/getInfo.php?workbook=10_05.xlsx&amp;sheet=U0&amp;row=5606&amp;col=6&amp;number=3.2&amp;sourceID=14","3.2")</f>
        <v>3.2</v>
      </c>
      <c r="G5606" s="4" t="str">
        <f>HYPERLINK("http://141.218.60.56/~jnz1568/getInfo.php?workbook=10_05.xlsx&amp;sheet=U0&amp;row=5606&amp;col=7&amp;number=0.00526&amp;sourceID=14","0.00526")</f>
        <v>0.00526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HYPERLINK("http://141.218.60.56/~jnz1568/getInfo.php?workbook=10_05.xlsx&amp;sheet=U0&amp;row=5607&amp;col=6&amp;number=3.3&amp;sourceID=14","3.3")</f>
        <v>3.3</v>
      </c>
      <c r="G5607" s="4" t="str">
        <f>HYPERLINK("http://141.218.60.56/~jnz1568/getInfo.php?workbook=10_05.xlsx&amp;sheet=U0&amp;row=5607&amp;col=7&amp;number=0.00521&amp;sourceID=14","0.00521")</f>
        <v>0.00521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HYPERLINK("http://141.218.60.56/~jnz1568/getInfo.php?workbook=10_05.xlsx&amp;sheet=U0&amp;row=5608&amp;col=6&amp;number=3.4&amp;sourceID=14","3.4")</f>
        <v>3.4</v>
      </c>
      <c r="G5608" s="4" t="str">
        <f>HYPERLINK("http://141.218.60.56/~jnz1568/getInfo.php?workbook=10_05.xlsx&amp;sheet=U0&amp;row=5608&amp;col=7&amp;number=0.00516&amp;sourceID=14","0.00516")</f>
        <v>0.00516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HYPERLINK("http://141.218.60.56/~jnz1568/getInfo.php?workbook=10_05.xlsx&amp;sheet=U0&amp;row=5609&amp;col=6&amp;number=3.5&amp;sourceID=14","3.5")</f>
        <v>3.5</v>
      </c>
      <c r="G5609" s="4" t="str">
        <f>HYPERLINK("http://141.218.60.56/~jnz1568/getInfo.php?workbook=10_05.xlsx&amp;sheet=U0&amp;row=5609&amp;col=7&amp;number=0.00509&amp;sourceID=14","0.00509")</f>
        <v>0.00509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HYPERLINK("http://141.218.60.56/~jnz1568/getInfo.php?workbook=10_05.xlsx&amp;sheet=U0&amp;row=5610&amp;col=6&amp;number=3.6&amp;sourceID=14","3.6")</f>
        <v>3.6</v>
      </c>
      <c r="G5610" s="4" t="str">
        <f>HYPERLINK("http://141.218.60.56/~jnz1568/getInfo.php?workbook=10_05.xlsx&amp;sheet=U0&amp;row=5610&amp;col=7&amp;number=0.005&amp;sourceID=14","0.005")</f>
        <v>0.005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HYPERLINK("http://141.218.60.56/~jnz1568/getInfo.php?workbook=10_05.xlsx&amp;sheet=U0&amp;row=5611&amp;col=6&amp;number=3.7&amp;sourceID=14","3.7")</f>
        <v>3.7</v>
      </c>
      <c r="G5611" s="4" t="str">
        <f>HYPERLINK("http://141.218.60.56/~jnz1568/getInfo.php?workbook=10_05.xlsx&amp;sheet=U0&amp;row=5611&amp;col=7&amp;number=0.0049&amp;sourceID=14","0.0049")</f>
        <v>0.0049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HYPERLINK("http://141.218.60.56/~jnz1568/getInfo.php?workbook=10_05.xlsx&amp;sheet=U0&amp;row=5612&amp;col=6&amp;number=3.8&amp;sourceID=14","3.8")</f>
        <v>3.8</v>
      </c>
      <c r="G5612" s="4" t="str">
        <f>HYPERLINK("http://141.218.60.56/~jnz1568/getInfo.php?workbook=10_05.xlsx&amp;sheet=U0&amp;row=5612&amp;col=7&amp;number=0.00477&amp;sourceID=14","0.00477")</f>
        <v>0.00477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HYPERLINK("http://141.218.60.56/~jnz1568/getInfo.php?workbook=10_05.xlsx&amp;sheet=U0&amp;row=5613&amp;col=6&amp;number=3.9&amp;sourceID=14","3.9")</f>
        <v>3.9</v>
      </c>
      <c r="G5613" s="4" t="str">
        <f>HYPERLINK("http://141.218.60.56/~jnz1568/getInfo.php?workbook=10_05.xlsx&amp;sheet=U0&amp;row=5613&amp;col=7&amp;number=0.00461&amp;sourceID=14","0.00461")</f>
        <v>0.00461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HYPERLINK("http://141.218.60.56/~jnz1568/getInfo.php?workbook=10_05.xlsx&amp;sheet=U0&amp;row=5614&amp;col=6&amp;number=4&amp;sourceID=14","4")</f>
        <v>4</v>
      </c>
      <c r="G5614" s="4" t="str">
        <f>HYPERLINK("http://141.218.60.56/~jnz1568/getInfo.php?workbook=10_05.xlsx&amp;sheet=U0&amp;row=5614&amp;col=7&amp;number=0.00442&amp;sourceID=14","0.00442")</f>
        <v>0.00442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HYPERLINK("http://141.218.60.56/~jnz1568/getInfo.php?workbook=10_05.xlsx&amp;sheet=U0&amp;row=5615&amp;col=6&amp;number=4.1&amp;sourceID=14","4.1")</f>
        <v>4.1</v>
      </c>
      <c r="G5615" s="4" t="str">
        <f>HYPERLINK("http://141.218.60.56/~jnz1568/getInfo.php?workbook=10_05.xlsx&amp;sheet=U0&amp;row=5615&amp;col=7&amp;number=0.0042&amp;sourceID=14","0.0042")</f>
        <v>0.0042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HYPERLINK("http://141.218.60.56/~jnz1568/getInfo.php?workbook=10_05.xlsx&amp;sheet=U0&amp;row=5616&amp;col=6&amp;number=4.2&amp;sourceID=14","4.2")</f>
        <v>4.2</v>
      </c>
      <c r="G5616" s="4" t="str">
        <f>HYPERLINK("http://141.218.60.56/~jnz1568/getInfo.php?workbook=10_05.xlsx&amp;sheet=U0&amp;row=5616&amp;col=7&amp;number=0.00395&amp;sourceID=14","0.00395")</f>
        <v>0.00395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HYPERLINK("http://141.218.60.56/~jnz1568/getInfo.php?workbook=10_05.xlsx&amp;sheet=U0&amp;row=5617&amp;col=6&amp;number=4.3&amp;sourceID=14","4.3")</f>
        <v>4.3</v>
      </c>
      <c r="G5617" s="4" t="str">
        <f>HYPERLINK("http://141.218.60.56/~jnz1568/getInfo.php?workbook=10_05.xlsx&amp;sheet=U0&amp;row=5617&amp;col=7&amp;number=0.00368&amp;sourceID=14","0.00368")</f>
        <v>0.00368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HYPERLINK("http://141.218.60.56/~jnz1568/getInfo.php?workbook=10_05.xlsx&amp;sheet=U0&amp;row=5618&amp;col=6&amp;number=4.4&amp;sourceID=14","4.4")</f>
        <v>4.4</v>
      </c>
      <c r="G5618" s="4" t="str">
        <f>HYPERLINK("http://141.218.60.56/~jnz1568/getInfo.php?workbook=10_05.xlsx&amp;sheet=U0&amp;row=5618&amp;col=7&amp;number=0.0034&amp;sourceID=14","0.0034")</f>
        <v>0.0034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HYPERLINK("http://141.218.60.56/~jnz1568/getInfo.php?workbook=10_05.xlsx&amp;sheet=U0&amp;row=5619&amp;col=6&amp;number=4.5&amp;sourceID=14","4.5")</f>
        <v>4.5</v>
      </c>
      <c r="G5619" s="4" t="str">
        <f>HYPERLINK("http://141.218.60.56/~jnz1568/getInfo.php?workbook=10_05.xlsx&amp;sheet=U0&amp;row=5619&amp;col=7&amp;number=0.00315&amp;sourceID=14","0.00315")</f>
        <v>0.00315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HYPERLINK("http://141.218.60.56/~jnz1568/getInfo.php?workbook=10_05.xlsx&amp;sheet=U0&amp;row=5620&amp;col=6&amp;number=4.6&amp;sourceID=14","4.6")</f>
        <v>4.6</v>
      </c>
      <c r="G5620" s="4" t="str">
        <f>HYPERLINK("http://141.218.60.56/~jnz1568/getInfo.php?workbook=10_05.xlsx&amp;sheet=U0&amp;row=5620&amp;col=7&amp;number=0.00293&amp;sourceID=14","0.00293")</f>
        <v>0.00293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HYPERLINK("http://141.218.60.56/~jnz1568/getInfo.php?workbook=10_05.xlsx&amp;sheet=U0&amp;row=5621&amp;col=6&amp;number=4.7&amp;sourceID=14","4.7")</f>
        <v>4.7</v>
      </c>
      <c r="G5621" s="4" t="str">
        <f>HYPERLINK("http://141.218.60.56/~jnz1568/getInfo.php?workbook=10_05.xlsx&amp;sheet=U0&amp;row=5621&amp;col=7&amp;number=0.00274&amp;sourceID=14","0.00274")</f>
        <v>0.00274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HYPERLINK("http://141.218.60.56/~jnz1568/getInfo.php?workbook=10_05.xlsx&amp;sheet=U0&amp;row=5622&amp;col=6&amp;number=4.8&amp;sourceID=14","4.8")</f>
        <v>4.8</v>
      </c>
      <c r="G5622" s="4" t="str">
        <f>HYPERLINK("http://141.218.60.56/~jnz1568/getInfo.php?workbook=10_05.xlsx&amp;sheet=U0&amp;row=5622&amp;col=7&amp;number=0.00256&amp;sourceID=14","0.00256")</f>
        <v>0.00256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HYPERLINK("http://141.218.60.56/~jnz1568/getInfo.php?workbook=10_05.xlsx&amp;sheet=U0&amp;row=5623&amp;col=6&amp;number=4.9&amp;sourceID=14","4.9")</f>
        <v>4.9</v>
      </c>
      <c r="G5623" s="4" t="str">
        <f>HYPERLINK("http://141.218.60.56/~jnz1568/getInfo.php?workbook=10_05.xlsx&amp;sheet=U0&amp;row=5623&amp;col=7&amp;number=0.00237&amp;sourceID=14","0.00237")</f>
        <v>0.00237</v>
      </c>
    </row>
    <row r="5624" spans="1:7">
      <c r="A5624" s="3">
        <v>10</v>
      </c>
      <c r="B5624" s="3">
        <v>5</v>
      </c>
      <c r="C5624" s="3">
        <v>2</v>
      </c>
      <c r="D5624" s="3">
        <v>105</v>
      </c>
      <c r="E5624" s="3">
        <v>1</v>
      </c>
      <c r="F5624" s="4" t="str">
        <f>HYPERLINK("http://141.218.60.56/~jnz1568/getInfo.php?workbook=10_05.xlsx&amp;sheet=U0&amp;row=5624&amp;col=6&amp;number=3&amp;sourceID=14","3")</f>
        <v>3</v>
      </c>
      <c r="G5624" s="4" t="str">
        <f>HYPERLINK("http://141.218.60.56/~jnz1568/getInfo.php?workbook=10_05.xlsx&amp;sheet=U0&amp;row=5624&amp;col=7&amp;number=0.00251&amp;sourceID=14","0.00251")</f>
        <v>0.00251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HYPERLINK("http://141.218.60.56/~jnz1568/getInfo.php?workbook=10_05.xlsx&amp;sheet=U0&amp;row=5625&amp;col=6&amp;number=3.1&amp;sourceID=14","3.1")</f>
        <v>3.1</v>
      </c>
      <c r="G5625" s="4" t="str">
        <f>HYPERLINK("http://141.218.60.56/~jnz1568/getInfo.php?workbook=10_05.xlsx&amp;sheet=U0&amp;row=5625&amp;col=7&amp;number=0.00248&amp;sourceID=14","0.00248")</f>
        <v>0.00248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HYPERLINK("http://141.218.60.56/~jnz1568/getInfo.php?workbook=10_05.xlsx&amp;sheet=U0&amp;row=5626&amp;col=6&amp;number=3.2&amp;sourceID=14","3.2")</f>
        <v>3.2</v>
      </c>
      <c r="G5626" s="4" t="str">
        <f>HYPERLINK("http://141.218.60.56/~jnz1568/getInfo.php?workbook=10_05.xlsx&amp;sheet=U0&amp;row=5626&amp;col=7&amp;number=0.00245&amp;sourceID=14","0.00245")</f>
        <v>0.00245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HYPERLINK("http://141.218.60.56/~jnz1568/getInfo.php?workbook=10_05.xlsx&amp;sheet=U0&amp;row=5627&amp;col=6&amp;number=3.3&amp;sourceID=14","3.3")</f>
        <v>3.3</v>
      </c>
      <c r="G5627" s="4" t="str">
        <f>HYPERLINK("http://141.218.60.56/~jnz1568/getInfo.php?workbook=10_05.xlsx&amp;sheet=U0&amp;row=5627&amp;col=7&amp;number=0.00241&amp;sourceID=14","0.00241")</f>
        <v>0.00241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HYPERLINK("http://141.218.60.56/~jnz1568/getInfo.php?workbook=10_05.xlsx&amp;sheet=U0&amp;row=5628&amp;col=6&amp;number=3.4&amp;sourceID=14","3.4")</f>
        <v>3.4</v>
      </c>
      <c r="G5628" s="4" t="str">
        <f>HYPERLINK("http://141.218.60.56/~jnz1568/getInfo.php?workbook=10_05.xlsx&amp;sheet=U0&amp;row=5628&amp;col=7&amp;number=0.00236&amp;sourceID=14","0.00236")</f>
        <v>0.00236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HYPERLINK("http://141.218.60.56/~jnz1568/getInfo.php?workbook=10_05.xlsx&amp;sheet=U0&amp;row=5629&amp;col=6&amp;number=3.5&amp;sourceID=14","3.5")</f>
        <v>3.5</v>
      </c>
      <c r="G5629" s="4" t="str">
        <f>HYPERLINK("http://141.218.60.56/~jnz1568/getInfo.php?workbook=10_05.xlsx&amp;sheet=U0&amp;row=5629&amp;col=7&amp;number=0.0023&amp;sourceID=14","0.0023")</f>
        <v>0.0023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HYPERLINK("http://141.218.60.56/~jnz1568/getInfo.php?workbook=10_05.xlsx&amp;sheet=U0&amp;row=5630&amp;col=6&amp;number=3.6&amp;sourceID=14","3.6")</f>
        <v>3.6</v>
      </c>
      <c r="G5630" s="4" t="str">
        <f>HYPERLINK("http://141.218.60.56/~jnz1568/getInfo.php?workbook=10_05.xlsx&amp;sheet=U0&amp;row=5630&amp;col=7&amp;number=0.00222&amp;sourceID=14","0.00222")</f>
        <v>0.00222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HYPERLINK("http://141.218.60.56/~jnz1568/getInfo.php?workbook=10_05.xlsx&amp;sheet=U0&amp;row=5631&amp;col=6&amp;number=3.7&amp;sourceID=14","3.7")</f>
        <v>3.7</v>
      </c>
      <c r="G5631" s="4" t="str">
        <f>HYPERLINK("http://141.218.60.56/~jnz1568/getInfo.php?workbook=10_05.xlsx&amp;sheet=U0&amp;row=5631&amp;col=7&amp;number=0.00213&amp;sourceID=14","0.00213")</f>
        <v>0.00213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HYPERLINK("http://141.218.60.56/~jnz1568/getInfo.php?workbook=10_05.xlsx&amp;sheet=U0&amp;row=5632&amp;col=6&amp;number=3.8&amp;sourceID=14","3.8")</f>
        <v>3.8</v>
      </c>
      <c r="G5632" s="4" t="str">
        <f>HYPERLINK("http://141.218.60.56/~jnz1568/getInfo.php?workbook=10_05.xlsx&amp;sheet=U0&amp;row=5632&amp;col=7&amp;number=0.00203&amp;sourceID=14","0.00203")</f>
        <v>0.00203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HYPERLINK("http://141.218.60.56/~jnz1568/getInfo.php?workbook=10_05.xlsx&amp;sheet=U0&amp;row=5633&amp;col=6&amp;number=3.9&amp;sourceID=14","3.9")</f>
        <v>3.9</v>
      </c>
      <c r="G5633" s="4" t="str">
        <f>HYPERLINK("http://141.218.60.56/~jnz1568/getInfo.php?workbook=10_05.xlsx&amp;sheet=U0&amp;row=5633&amp;col=7&amp;number=0.00191&amp;sourceID=14","0.00191")</f>
        <v>0.00191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HYPERLINK("http://141.218.60.56/~jnz1568/getInfo.php?workbook=10_05.xlsx&amp;sheet=U0&amp;row=5634&amp;col=6&amp;number=4&amp;sourceID=14","4")</f>
        <v>4</v>
      </c>
      <c r="G5634" s="4" t="str">
        <f>HYPERLINK("http://141.218.60.56/~jnz1568/getInfo.php?workbook=10_05.xlsx&amp;sheet=U0&amp;row=5634&amp;col=7&amp;number=0.00179&amp;sourceID=14","0.00179")</f>
        <v>0.00179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HYPERLINK("http://141.218.60.56/~jnz1568/getInfo.php?workbook=10_05.xlsx&amp;sheet=U0&amp;row=5635&amp;col=6&amp;number=4.1&amp;sourceID=14","4.1")</f>
        <v>4.1</v>
      </c>
      <c r="G5635" s="4" t="str">
        <f>HYPERLINK("http://141.218.60.56/~jnz1568/getInfo.php?workbook=10_05.xlsx&amp;sheet=U0&amp;row=5635&amp;col=7&amp;number=0.00166&amp;sourceID=14","0.00166")</f>
        <v>0.00166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HYPERLINK("http://141.218.60.56/~jnz1568/getInfo.php?workbook=10_05.xlsx&amp;sheet=U0&amp;row=5636&amp;col=6&amp;number=4.2&amp;sourceID=14","4.2")</f>
        <v>4.2</v>
      </c>
      <c r="G5636" s="4" t="str">
        <f>HYPERLINK("http://141.218.60.56/~jnz1568/getInfo.php?workbook=10_05.xlsx&amp;sheet=U0&amp;row=5636&amp;col=7&amp;number=0.00154&amp;sourceID=14","0.00154")</f>
        <v>0.00154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HYPERLINK("http://141.218.60.56/~jnz1568/getInfo.php?workbook=10_05.xlsx&amp;sheet=U0&amp;row=5637&amp;col=6&amp;number=4.3&amp;sourceID=14","4.3")</f>
        <v>4.3</v>
      </c>
      <c r="G5637" s="4" t="str">
        <f>HYPERLINK("http://141.218.60.56/~jnz1568/getInfo.php?workbook=10_05.xlsx&amp;sheet=U0&amp;row=5637&amp;col=7&amp;number=0.00142&amp;sourceID=14","0.00142")</f>
        <v>0.00142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HYPERLINK("http://141.218.60.56/~jnz1568/getInfo.php?workbook=10_05.xlsx&amp;sheet=U0&amp;row=5638&amp;col=6&amp;number=4.4&amp;sourceID=14","4.4")</f>
        <v>4.4</v>
      </c>
      <c r="G5638" s="4" t="str">
        <f>HYPERLINK("http://141.218.60.56/~jnz1568/getInfo.php?workbook=10_05.xlsx&amp;sheet=U0&amp;row=5638&amp;col=7&amp;number=0.00129&amp;sourceID=14","0.00129")</f>
        <v>0.00129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HYPERLINK("http://141.218.60.56/~jnz1568/getInfo.php?workbook=10_05.xlsx&amp;sheet=U0&amp;row=5639&amp;col=6&amp;number=4.5&amp;sourceID=14","4.5")</f>
        <v>4.5</v>
      </c>
      <c r="G5639" s="4" t="str">
        <f>HYPERLINK("http://141.218.60.56/~jnz1568/getInfo.php?workbook=10_05.xlsx&amp;sheet=U0&amp;row=5639&amp;col=7&amp;number=0.00117&amp;sourceID=14","0.00117")</f>
        <v>0.00117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HYPERLINK("http://141.218.60.56/~jnz1568/getInfo.php?workbook=10_05.xlsx&amp;sheet=U0&amp;row=5640&amp;col=6&amp;number=4.6&amp;sourceID=14","4.6")</f>
        <v>4.6</v>
      </c>
      <c r="G5640" s="4" t="str">
        <f>HYPERLINK("http://141.218.60.56/~jnz1568/getInfo.php?workbook=10_05.xlsx&amp;sheet=U0&amp;row=5640&amp;col=7&amp;number=0.00105&amp;sourceID=14","0.00105")</f>
        <v>0.00105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HYPERLINK("http://141.218.60.56/~jnz1568/getInfo.php?workbook=10_05.xlsx&amp;sheet=U0&amp;row=5641&amp;col=6&amp;number=4.7&amp;sourceID=14","4.7")</f>
        <v>4.7</v>
      </c>
      <c r="G5641" s="4" t="str">
        <f>HYPERLINK("http://141.218.60.56/~jnz1568/getInfo.php?workbook=10_05.xlsx&amp;sheet=U0&amp;row=5641&amp;col=7&amp;number=0.000941&amp;sourceID=14","0.000941")</f>
        <v>0.000941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HYPERLINK("http://141.218.60.56/~jnz1568/getInfo.php?workbook=10_05.xlsx&amp;sheet=U0&amp;row=5642&amp;col=6&amp;number=4.8&amp;sourceID=14","4.8")</f>
        <v>4.8</v>
      </c>
      <c r="G5642" s="4" t="str">
        <f>HYPERLINK("http://141.218.60.56/~jnz1568/getInfo.php?workbook=10_05.xlsx&amp;sheet=U0&amp;row=5642&amp;col=7&amp;number=0.000851&amp;sourceID=14","0.000851")</f>
        <v>0.000851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HYPERLINK("http://141.218.60.56/~jnz1568/getInfo.php?workbook=10_05.xlsx&amp;sheet=U0&amp;row=5643&amp;col=6&amp;number=4.9&amp;sourceID=14","4.9")</f>
        <v>4.9</v>
      </c>
      <c r="G5643" s="4" t="str">
        <f>HYPERLINK("http://141.218.60.56/~jnz1568/getInfo.php?workbook=10_05.xlsx&amp;sheet=U0&amp;row=5643&amp;col=7&amp;number=0.00077&amp;sourceID=14","0.00077")</f>
        <v>0.00077</v>
      </c>
    </row>
    <row r="5644" spans="1:7">
      <c r="A5644" s="3">
        <v>10</v>
      </c>
      <c r="B5644" s="3">
        <v>5</v>
      </c>
      <c r="C5644" s="3">
        <v>2</v>
      </c>
      <c r="D5644" s="3">
        <v>106</v>
      </c>
      <c r="E5644" s="3">
        <v>1</v>
      </c>
      <c r="F5644" s="4" t="str">
        <f>HYPERLINK("http://141.218.60.56/~jnz1568/getInfo.php?workbook=10_05.xlsx&amp;sheet=U0&amp;row=5644&amp;col=6&amp;number=3&amp;sourceID=14","3")</f>
        <v>3</v>
      </c>
      <c r="G5644" s="4" t="str">
        <f>HYPERLINK("http://141.218.60.56/~jnz1568/getInfo.php?workbook=10_05.xlsx&amp;sheet=U0&amp;row=5644&amp;col=7&amp;number=0.00725&amp;sourceID=14","0.00725")</f>
        <v>0.00725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HYPERLINK("http://141.218.60.56/~jnz1568/getInfo.php?workbook=10_05.xlsx&amp;sheet=U0&amp;row=5645&amp;col=6&amp;number=3.1&amp;sourceID=14","3.1")</f>
        <v>3.1</v>
      </c>
      <c r="G5645" s="4" t="str">
        <f>HYPERLINK("http://141.218.60.56/~jnz1568/getInfo.php?workbook=10_05.xlsx&amp;sheet=U0&amp;row=5645&amp;col=7&amp;number=0.00717&amp;sourceID=14","0.00717")</f>
        <v>0.00717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HYPERLINK("http://141.218.60.56/~jnz1568/getInfo.php?workbook=10_05.xlsx&amp;sheet=U0&amp;row=5646&amp;col=6&amp;number=3.2&amp;sourceID=14","3.2")</f>
        <v>3.2</v>
      </c>
      <c r="G5646" s="4" t="str">
        <f>HYPERLINK("http://141.218.60.56/~jnz1568/getInfo.php?workbook=10_05.xlsx&amp;sheet=U0&amp;row=5646&amp;col=7&amp;number=0.00708&amp;sourceID=14","0.00708")</f>
        <v>0.00708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HYPERLINK("http://141.218.60.56/~jnz1568/getInfo.php?workbook=10_05.xlsx&amp;sheet=U0&amp;row=5647&amp;col=6&amp;number=3.3&amp;sourceID=14","3.3")</f>
        <v>3.3</v>
      </c>
      <c r="G5647" s="4" t="str">
        <f>HYPERLINK("http://141.218.60.56/~jnz1568/getInfo.php?workbook=10_05.xlsx&amp;sheet=U0&amp;row=5647&amp;col=7&amp;number=0.00697&amp;sourceID=14","0.00697")</f>
        <v>0.00697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HYPERLINK("http://141.218.60.56/~jnz1568/getInfo.php?workbook=10_05.xlsx&amp;sheet=U0&amp;row=5648&amp;col=6&amp;number=3.4&amp;sourceID=14","3.4")</f>
        <v>3.4</v>
      </c>
      <c r="G5648" s="4" t="str">
        <f>HYPERLINK("http://141.218.60.56/~jnz1568/getInfo.php?workbook=10_05.xlsx&amp;sheet=U0&amp;row=5648&amp;col=7&amp;number=0.00683&amp;sourceID=14","0.00683")</f>
        <v>0.00683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HYPERLINK("http://141.218.60.56/~jnz1568/getInfo.php?workbook=10_05.xlsx&amp;sheet=U0&amp;row=5649&amp;col=6&amp;number=3.5&amp;sourceID=14","3.5")</f>
        <v>3.5</v>
      </c>
      <c r="G5649" s="4" t="str">
        <f>HYPERLINK("http://141.218.60.56/~jnz1568/getInfo.php?workbook=10_05.xlsx&amp;sheet=U0&amp;row=5649&amp;col=7&amp;number=0.00666&amp;sourceID=14","0.00666")</f>
        <v>0.00666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HYPERLINK("http://141.218.60.56/~jnz1568/getInfo.php?workbook=10_05.xlsx&amp;sheet=U0&amp;row=5650&amp;col=6&amp;number=3.6&amp;sourceID=14","3.6")</f>
        <v>3.6</v>
      </c>
      <c r="G5650" s="4" t="str">
        <f>HYPERLINK("http://141.218.60.56/~jnz1568/getInfo.php?workbook=10_05.xlsx&amp;sheet=U0&amp;row=5650&amp;col=7&amp;number=0.00645&amp;sourceID=14","0.00645")</f>
        <v>0.00645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HYPERLINK("http://141.218.60.56/~jnz1568/getInfo.php?workbook=10_05.xlsx&amp;sheet=U0&amp;row=5651&amp;col=6&amp;number=3.7&amp;sourceID=14","3.7")</f>
        <v>3.7</v>
      </c>
      <c r="G5651" s="4" t="str">
        <f>HYPERLINK("http://141.218.60.56/~jnz1568/getInfo.php?workbook=10_05.xlsx&amp;sheet=U0&amp;row=5651&amp;col=7&amp;number=0.0062&amp;sourceID=14","0.0062")</f>
        <v>0.0062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HYPERLINK("http://141.218.60.56/~jnz1568/getInfo.php?workbook=10_05.xlsx&amp;sheet=U0&amp;row=5652&amp;col=6&amp;number=3.8&amp;sourceID=14","3.8")</f>
        <v>3.8</v>
      </c>
      <c r="G5652" s="4" t="str">
        <f>HYPERLINK("http://141.218.60.56/~jnz1568/getInfo.php?workbook=10_05.xlsx&amp;sheet=U0&amp;row=5652&amp;col=7&amp;number=0.0059&amp;sourceID=14","0.0059")</f>
        <v>0.0059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HYPERLINK("http://141.218.60.56/~jnz1568/getInfo.php?workbook=10_05.xlsx&amp;sheet=U0&amp;row=5653&amp;col=6&amp;number=3.9&amp;sourceID=14","3.9")</f>
        <v>3.9</v>
      </c>
      <c r="G5653" s="4" t="str">
        <f>HYPERLINK("http://141.218.60.56/~jnz1568/getInfo.php?workbook=10_05.xlsx&amp;sheet=U0&amp;row=5653&amp;col=7&amp;number=0.00556&amp;sourceID=14","0.00556")</f>
        <v>0.00556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HYPERLINK("http://141.218.60.56/~jnz1568/getInfo.php?workbook=10_05.xlsx&amp;sheet=U0&amp;row=5654&amp;col=6&amp;number=4&amp;sourceID=14","4")</f>
        <v>4</v>
      </c>
      <c r="G5654" s="4" t="str">
        <f>HYPERLINK("http://141.218.60.56/~jnz1568/getInfo.php?workbook=10_05.xlsx&amp;sheet=U0&amp;row=5654&amp;col=7&amp;number=0.00519&amp;sourceID=14","0.00519")</f>
        <v>0.00519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HYPERLINK("http://141.218.60.56/~jnz1568/getInfo.php?workbook=10_05.xlsx&amp;sheet=U0&amp;row=5655&amp;col=6&amp;number=4.1&amp;sourceID=14","4.1")</f>
        <v>4.1</v>
      </c>
      <c r="G5655" s="4" t="str">
        <f>HYPERLINK("http://141.218.60.56/~jnz1568/getInfo.php?workbook=10_05.xlsx&amp;sheet=U0&amp;row=5655&amp;col=7&amp;number=0.0048&amp;sourceID=14","0.0048")</f>
        <v>0.0048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HYPERLINK("http://141.218.60.56/~jnz1568/getInfo.php?workbook=10_05.xlsx&amp;sheet=U0&amp;row=5656&amp;col=6&amp;number=4.2&amp;sourceID=14","4.2")</f>
        <v>4.2</v>
      </c>
      <c r="G5656" s="4" t="str">
        <f>HYPERLINK("http://141.218.60.56/~jnz1568/getInfo.php?workbook=10_05.xlsx&amp;sheet=U0&amp;row=5656&amp;col=7&amp;number=0.00444&amp;sourceID=14","0.00444")</f>
        <v>0.00444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HYPERLINK("http://141.218.60.56/~jnz1568/getInfo.php?workbook=10_05.xlsx&amp;sheet=U0&amp;row=5657&amp;col=6&amp;number=4.3&amp;sourceID=14","4.3")</f>
        <v>4.3</v>
      </c>
      <c r="G5657" s="4" t="str">
        <f>HYPERLINK("http://141.218.60.56/~jnz1568/getInfo.php?workbook=10_05.xlsx&amp;sheet=U0&amp;row=5657&amp;col=7&amp;number=0.00411&amp;sourceID=14","0.00411")</f>
        <v>0.00411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HYPERLINK("http://141.218.60.56/~jnz1568/getInfo.php?workbook=10_05.xlsx&amp;sheet=U0&amp;row=5658&amp;col=6&amp;number=4.4&amp;sourceID=14","4.4")</f>
        <v>4.4</v>
      </c>
      <c r="G5658" s="4" t="str">
        <f>HYPERLINK("http://141.218.60.56/~jnz1568/getInfo.php?workbook=10_05.xlsx&amp;sheet=U0&amp;row=5658&amp;col=7&amp;number=0.00381&amp;sourceID=14","0.00381")</f>
        <v>0.00381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HYPERLINK("http://141.218.60.56/~jnz1568/getInfo.php?workbook=10_05.xlsx&amp;sheet=U0&amp;row=5659&amp;col=6&amp;number=4.5&amp;sourceID=14","4.5")</f>
        <v>4.5</v>
      </c>
      <c r="G5659" s="4" t="str">
        <f>HYPERLINK("http://141.218.60.56/~jnz1568/getInfo.php?workbook=10_05.xlsx&amp;sheet=U0&amp;row=5659&amp;col=7&amp;number=0.00349&amp;sourceID=14","0.00349")</f>
        <v>0.00349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HYPERLINK("http://141.218.60.56/~jnz1568/getInfo.php?workbook=10_05.xlsx&amp;sheet=U0&amp;row=5660&amp;col=6&amp;number=4.6&amp;sourceID=14","4.6")</f>
        <v>4.6</v>
      </c>
      <c r="G5660" s="4" t="str">
        <f>HYPERLINK("http://141.218.60.56/~jnz1568/getInfo.php?workbook=10_05.xlsx&amp;sheet=U0&amp;row=5660&amp;col=7&amp;number=0.00315&amp;sourceID=14","0.00315")</f>
        <v>0.00315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HYPERLINK("http://141.218.60.56/~jnz1568/getInfo.php?workbook=10_05.xlsx&amp;sheet=U0&amp;row=5661&amp;col=6&amp;number=4.7&amp;sourceID=14","4.7")</f>
        <v>4.7</v>
      </c>
      <c r="G5661" s="4" t="str">
        <f>HYPERLINK("http://141.218.60.56/~jnz1568/getInfo.php?workbook=10_05.xlsx&amp;sheet=U0&amp;row=5661&amp;col=7&amp;number=0.00285&amp;sourceID=14","0.00285")</f>
        <v>0.00285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HYPERLINK("http://141.218.60.56/~jnz1568/getInfo.php?workbook=10_05.xlsx&amp;sheet=U0&amp;row=5662&amp;col=6&amp;number=4.8&amp;sourceID=14","4.8")</f>
        <v>4.8</v>
      </c>
      <c r="G5662" s="4" t="str">
        <f>HYPERLINK("http://141.218.60.56/~jnz1568/getInfo.php?workbook=10_05.xlsx&amp;sheet=U0&amp;row=5662&amp;col=7&amp;number=0.00261&amp;sourceID=14","0.00261")</f>
        <v>0.00261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HYPERLINK("http://141.218.60.56/~jnz1568/getInfo.php?workbook=10_05.xlsx&amp;sheet=U0&amp;row=5663&amp;col=6&amp;number=4.9&amp;sourceID=14","4.9")</f>
        <v>4.9</v>
      </c>
      <c r="G5663" s="4" t="str">
        <f>HYPERLINK("http://141.218.60.56/~jnz1568/getInfo.php?workbook=10_05.xlsx&amp;sheet=U0&amp;row=5663&amp;col=7&amp;number=0.0024&amp;sourceID=14","0.0024")</f>
        <v>0.0024</v>
      </c>
    </row>
    <row r="5664" spans="1:7">
      <c r="A5664" s="3">
        <v>10</v>
      </c>
      <c r="B5664" s="3">
        <v>5</v>
      </c>
      <c r="C5664" s="3">
        <v>2</v>
      </c>
      <c r="D5664" s="3">
        <v>107</v>
      </c>
      <c r="E5664" s="3">
        <v>1</v>
      </c>
      <c r="F5664" s="4" t="str">
        <f>HYPERLINK("http://141.218.60.56/~jnz1568/getInfo.php?workbook=10_05.xlsx&amp;sheet=U0&amp;row=5664&amp;col=6&amp;number=3&amp;sourceID=14","3")</f>
        <v>3</v>
      </c>
      <c r="G5664" s="4" t="str">
        <f>HYPERLINK("http://141.218.60.56/~jnz1568/getInfo.php?workbook=10_05.xlsx&amp;sheet=U0&amp;row=5664&amp;col=7&amp;number=0.0144&amp;sourceID=14","0.0144")</f>
        <v>0.0144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HYPERLINK("http://141.218.60.56/~jnz1568/getInfo.php?workbook=10_05.xlsx&amp;sheet=U0&amp;row=5665&amp;col=6&amp;number=3.1&amp;sourceID=14","3.1")</f>
        <v>3.1</v>
      </c>
      <c r="G5665" s="4" t="str">
        <f>HYPERLINK("http://141.218.60.56/~jnz1568/getInfo.php?workbook=10_05.xlsx&amp;sheet=U0&amp;row=5665&amp;col=7&amp;number=0.0142&amp;sourceID=14","0.0142")</f>
        <v>0.0142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HYPERLINK("http://141.218.60.56/~jnz1568/getInfo.php?workbook=10_05.xlsx&amp;sheet=U0&amp;row=5666&amp;col=6&amp;number=3.2&amp;sourceID=14","3.2")</f>
        <v>3.2</v>
      </c>
      <c r="G5666" s="4" t="str">
        <f>HYPERLINK("http://141.218.60.56/~jnz1568/getInfo.php?workbook=10_05.xlsx&amp;sheet=U0&amp;row=5666&amp;col=7&amp;number=0.0141&amp;sourceID=14","0.0141")</f>
        <v>0.0141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HYPERLINK("http://141.218.60.56/~jnz1568/getInfo.php?workbook=10_05.xlsx&amp;sheet=U0&amp;row=5667&amp;col=6&amp;number=3.3&amp;sourceID=14","3.3")</f>
        <v>3.3</v>
      </c>
      <c r="G5667" s="4" t="str">
        <f>HYPERLINK("http://141.218.60.56/~jnz1568/getInfo.php?workbook=10_05.xlsx&amp;sheet=U0&amp;row=5667&amp;col=7&amp;number=0.0139&amp;sourceID=14","0.0139")</f>
        <v>0.0139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HYPERLINK("http://141.218.60.56/~jnz1568/getInfo.php?workbook=10_05.xlsx&amp;sheet=U0&amp;row=5668&amp;col=6&amp;number=3.4&amp;sourceID=14","3.4")</f>
        <v>3.4</v>
      </c>
      <c r="G5668" s="4" t="str">
        <f>HYPERLINK("http://141.218.60.56/~jnz1568/getInfo.php?workbook=10_05.xlsx&amp;sheet=U0&amp;row=5668&amp;col=7&amp;number=0.0136&amp;sourceID=14","0.0136")</f>
        <v>0.0136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HYPERLINK("http://141.218.60.56/~jnz1568/getInfo.php?workbook=10_05.xlsx&amp;sheet=U0&amp;row=5669&amp;col=6&amp;number=3.5&amp;sourceID=14","3.5")</f>
        <v>3.5</v>
      </c>
      <c r="G5669" s="4" t="str">
        <f>HYPERLINK("http://141.218.60.56/~jnz1568/getInfo.php?workbook=10_05.xlsx&amp;sheet=U0&amp;row=5669&amp;col=7&amp;number=0.0133&amp;sourceID=14","0.0133")</f>
        <v>0.0133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HYPERLINK("http://141.218.60.56/~jnz1568/getInfo.php?workbook=10_05.xlsx&amp;sheet=U0&amp;row=5670&amp;col=6&amp;number=3.6&amp;sourceID=14","3.6")</f>
        <v>3.6</v>
      </c>
      <c r="G5670" s="4" t="str">
        <f>HYPERLINK("http://141.218.60.56/~jnz1568/getInfo.php?workbook=10_05.xlsx&amp;sheet=U0&amp;row=5670&amp;col=7&amp;number=0.013&amp;sourceID=14","0.013")</f>
        <v>0.013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HYPERLINK("http://141.218.60.56/~jnz1568/getInfo.php?workbook=10_05.xlsx&amp;sheet=U0&amp;row=5671&amp;col=6&amp;number=3.7&amp;sourceID=14","3.7")</f>
        <v>3.7</v>
      </c>
      <c r="G5671" s="4" t="str">
        <f>HYPERLINK("http://141.218.60.56/~jnz1568/getInfo.php?workbook=10_05.xlsx&amp;sheet=U0&amp;row=5671&amp;col=7&amp;number=0.0125&amp;sourceID=14","0.0125")</f>
        <v>0.0125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HYPERLINK("http://141.218.60.56/~jnz1568/getInfo.php?workbook=10_05.xlsx&amp;sheet=U0&amp;row=5672&amp;col=6&amp;number=3.8&amp;sourceID=14","3.8")</f>
        <v>3.8</v>
      </c>
      <c r="G5672" s="4" t="str">
        <f>HYPERLINK("http://141.218.60.56/~jnz1568/getInfo.php?workbook=10_05.xlsx&amp;sheet=U0&amp;row=5672&amp;col=7&amp;number=0.012&amp;sourceID=14","0.012")</f>
        <v>0.012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HYPERLINK("http://141.218.60.56/~jnz1568/getInfo.php?workbook=10_05.xlsx&amp;sheet=U0&amp;row=5673&amp;col=6&amp;number=3.9&amp;sourceID=14","3.9")</f>
        <v>3.9</v>
      </c>
      <c r="G5673" s="4" t="str">
        <f>HYPERLINK("http://141.218.60.56/~jnz1568/getInfo.php?workbook=10_05.xlsx&amp;sheet=U0&amp;row=5673&amp;col=7&amp;number=0.0113&amp;sourceID=14","0.0113")</f>
        <v>0.0113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HYPERLINK("http://141.218.60.56/~jnz1568/getInfo.php?workbook=10_05.xlsx&amp;sheet=U0&amp;row=5674&amp;col=6&amp;number=4&amp;sourceID=14","4")</f>
        <v>4</v>
      </c>
      <c r="G5674" s="4" t="str">
        <f>HYPERLINK("http://141.218.60.56/~jnz1568/getInfo.php?workbook=10_05.xlsx&amp;sheet=U0&amp;row=5674&amp;col=7&amp;number=0.0106&amp;sourceID=14","0.0106")</f>
        <v>0.0106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HYPERLINK("http://141.218.60.56/~jnz1568/getInfo.php?workbook=10_05.xlsx&amp;sheet=U0&amp;row=5675&amp;col=6&amp;number=4.1&amp;sourceID=14","4.1")</f>
        <v>4.1</v>
      </c>
      <c r="G5675" s="4" t="str">
        <f>HYPERLINK("http://141.218.60.56/~jnz1568/getInfo.php?workbook=10_05.xlsx&amp;sheet=U0&amp;row=5675&amp;col=7&amp;number=0.00977&amp;sourceID=14","0.00977")</f>
        <v>0.00977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HYPERLINK("http://141.218.60.56/~jnz1568/getInfo.php?workbook=10_05.xlsx&amp;sheet=U0&amp;row=5676&amp;col=6&amp;number=4.2&amp;sourceID=14","4.2")</f>
        <v>4.2</v>
      </c>
      <c r="G5676" s="4" t="str">
        <f>HYPERLINK("http://141.218.60.56/~jnz1568/getInfo.php?workbook=10_05.xlsx&amp;sheet=U0&amp;row=5676&amp;col=7&amp;number=0.00897&amp;sourceID=14","0.00897")</f>
        <v>0.00897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HYPERLINK("http://141.218.60.56/~jnz1568/getInfo.php?workbook=10_05.xlsx&amp;sheet=U0&amp;row=5677&amp;col=6&amp;number=4.3&amp;sourceID=14","4.3")</f>
        <v>4.3</v>
      </c>
      <c r="G5677" s="4" t="str">
        <f>HYPERLINK("http://141.218.60.56/~jnz1568/getInfo.php?workbook=10_05.xlsx&amp;sheet=U0&amp;row=5677&amp;col=7&amp;number=0.00821&amp;sourceID=14","0.00821")</f>
        <v>0.00821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HYPERLINK("http://141.218.60.56/~jnz1568/getInfo.php?workbook=10_05.xlsx&amp;sheet=U0&amp;row=5678&amp;col=6&amp;number=4.4&amp;sourceID=14","4.4")</f>
        <v>4.4</v>
      </c>
      <c r="G5678" s="4" t="str">
        <f>HYPERLINK("http://141.218.60.56/~jnz1568/getInfo.php?workbook=10_05.xlsx&amp;sheet=U0&amp;row=5678&amp;col=7&amp;number=0.00752&amp;sourceID=14","0.00752")</f>
        <v>0.00752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HYPERLINK("http://141.218.60.56/~jnz1568/getInfo.php?workbook=10_05.xlsx&amp;sheet=U0&amp;row=5679&amp;col=6&amp;number=4.5&amp;sourceID=14","4.5")</f>
        <v>4.5</v>
      </c>
      <c r="G5679" s="4" t="str">
        <f>HYPERLINK("http://141.218.60.56/~jnz1568/getInfo.php?workbook=10_05.xlsx&amp;sheet=U0&amp;row=5679&amp;col=7&amp;number=0.00688&amp;sourceID=14","0.00688")</f>
        <v>0.00688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HYPERLINK("http://141.218.60.56/~jnz1568/getInfo.php?workbook=10_05.xlsx&amp;sheet=U0&amp;row=5680&amp;col=6&amp;number=4.6&amp;sourceID=14","4.6")</f>
        <v>4.6</v>
      </c>
      <c r="G5680" s="4" t="str">
        <f>HYPERLINK("http://141.218.60.56/~jnz1568/getInfo.php?workbook=10_05.xlsx&amp;sheet=U0&amp;row=5680&amp;col=7&amp;number=0.00625&amp;sourceID=14","0.00625")</f>
        <v>0.00625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HYPERLINK("http://141.218.60.56/~jnz1568/getInfo.php?workbook=10_05.xlsx&amp;sheet=U0&amp;row=5681&amp;col=6&amp;number=4.7&amp;sourceID=14","4.7")</f>
        <v>4.7</v>
      </c>
      <c r="G5681" s="4" t="str">
        <f>HYPERLINK("http://141.218.60.56/~jnz1568/getInfo.php?workbook=10_05.xlsx&amp;sheet=U0&amp;row=5681&amp;col=7&amp;number=0.00563&amp;sourceID=14","0.00563")</f>
        <v>0.00563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HYPERLINK("http://141.218.60.56/~jnz1568/getInfo.php?workbook=10_05.xlsx&amp;sheet=U0&amp;row=5682&amp;col=6&amp;number=4.8&amp;sourceID=14","4.8")</f>
        <v>4.8</v>
      </c>
      <c r="G5682" s="4" t="str">
        <f>HYPERLINK("http://141.218.60.56/~jnz1568/getInfo.php?workbook=10_05.xlsx&amp;sheet=U0&amp;row=5682&amp;col=7&amp;number=0.00507&amp;sourceID=14","0.00507")</f>
        <v>0.00507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HYPERLINK("http://141.218.60.56/~jnz1568/getInfo.php?workbook=10_05.xlsx&amp;sheet=U0&amp;row=5683&amp;col=6&amp;number=4.9&amp;sourceID=14","4.9")</f>
        <v>4.9</v>
      </c>
      <c r="G5683" s="4" t="str">
        <f>HYPERLINK("http://141.218.60.56/~jnz1568/getInfo.php?workbook=10_05.xlsx&amp;sheet=U0&amp;row=5683&amp;col=7&amp;number=0.00461&amp;sourceID=14","0.00461")</f>
        <v>0.00461</v>
      </c>
    </row>
    <row r="5684" spans="1:7">
      <c r="A5684" s="3">
        <v>10</v>
      </c>
      <c r="B5684" s="3">
        <v>5</v>
      </c>
      <c r="C5684" s="3">
        <v>2</v>
      </c>
      <c r="D5684" s="3">
        <v>108</v>
      </c>
      <c r="E5684" s="3">
        <v>1</v>
      </c>
      <c r="F5684" s="4" t="str">
        <f>HYPERLINK("http://141.218.60.56/~jnz1568/getInfo.php?workbook=10_05.xlsx&amp;sheet=U0&amp;row=5684&amp;col=6&amp;number=3&amp;sourceID=14","3")</f>
        <v>3</v>
      </c>
      <c r="G5684" s="4" t="str">
        <f>HYPERLINK("http://141.218.60.56/~jnz1568/getInfo.php?workbook=10_05.xlsx&amp;sheet=U0&amp;row=5684&amp;col=7&amp;number=0.0218&amp;sourceID=14","0.0218")</f>
        <v>0.0218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HYPERLINK("http://141.218.60.56/~jnz1568/getInfo.php?workbook=10_05.xlsx&amp;sheet=U0&amp;row=5685&amp;col=6&amp;number=3.1&amp;sourceID=14","3.1")</f>
        <v>3.1</v>
      </c>
      <c r="G5685" s="4" t="str">
        <f>HYPERLINK("http://141.218.60.56/~jnz1568/getInfo.php?workbook=10_05.xlsx&amp;sheet=U0&amp;row=5685&amp;col=7&amp;number=0.0217&amp;sourceID=14","0.0217")</f>
        <v>0.0217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HYPERLINK("http://141.218.60.56/~jnz1568/getInfo.php?workbook=10_05.xlsx&amp;sheet=U0&amp;row=5686&amp;col=6&amp;number=3.2&amp;sourceID=14","3.2")</f>
        <v>3.2</v>
      </c>
      <c r="G5686" s="4" t="str">
        <f>HYPERLINK("http://141.218.60.56/~jnz1568/getInfo.php?workbook=10_05.xlsx&amp;sheet=U0&amp;row=5686&amp;col=7&amp;number=0.0215&amp;sourceID=14","0.0215")</f>
        <v>0.0215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HYPERLINK("http://141.218.60.56/~jnz1568/getInfo.php?workbook=10_05.xlsx&amp;sheet=U0&amp;row=5687&amp;col=6&amp;number=3.3&amp;sourceID=14","3.3")</f>
        <v>3.3</v>
      </c>
      <c r="G5687" s="4" t="str">
        <f>HYPERLINK("http://141.218.60.56/~jnz1568/getInfo.php?workbook=10_05.xlsx&amp;sheet=U0&amp;row=5687&amp;col=7&amp;number=0.0213&amp;sourceID=14","0.0213")</f>
        <v>0.0213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HYPERLINK("http://141.218.60.56/~jnz1568/getInfo.php?workbook=10_05.xlsx&amp;sheet=U0&amp;row=5688&amp;col=6&amp;number=3.4&amp;sourceID=14","3.4")</f>
        <v>3.4</v>
      </c>
      <c r="G5688" s="4" t="str">
        <f>HYPERLINK("http://141.218.60.56/~jnz1568/getInfo.php?workbook=10_05.xlsx&amp;sheet=U0&amp;row=5688&amp;col=7&amp;number=0.021&amp;sourceID=14","0.021")</f>
        <v>0.021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HYPERLINK("http://141.218.60.56/~jnz1568/getInfo.php?workbook=10_05.xlsx&amp;sheet=U0&amp;row=5689&amp;col=6&amp;number=3.5&amp;sourceID=14","3.5")</f>
        <v>3.5</v>
      </c>
      <c r="G5689" s="4" t="str">
        <f>HYPERLINK("http://141.218.60.56/~jnz1568/getInfo.php?workbook=10_05.xlsx&amp;sheet=U0&amp;row=5689&amp;col=7&amp;number=0.0207&amp;sourceID=14","0.0207")</f>
        <v>0.0207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HYPERLINK("http://141.218.60.56/~jnz1568/getInfo.php?workbook=10_05.xlsx&amp;sheet=U0&amp;row=5690&amp;col=6&amp;number=3.6&amp;sourceID=14","3.6")</f>
        <v>3.6</v>
      </c>
      <c r="G5690" s="4" t="str">
        <f>HYPERLINK("http://141.218.60.56/~jnz1568/getInfo.php?workbook=10_05.xlsx&amp;sheet=U0&amp;row=5690&amp;col=7&amp;number=0.0202&amp;sourceID=14","0.0202")</f>
        <v>0.0202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HYPERLINK("http://141.218.60.56/~jnz1568/getInfo.php?workbook=10_05.xlsx&amp;sheet=U0&amp;row=5691&amp;col=6&amp;number=3.7&amp;sourceID=14","3.7")</f>
        <v>3.7</v>
      </c>
      <c r="G5691" s="4" t="str">
        <f>HYPERLINK("http://141.218.60.56/~jnz1568/getInfo.php?workbook=10_05.xlsx&amp;sheet=U0&amp;row=5691&amp;col=7&amp;number=0.0197&amp;sourceID=14","0.0197")</f>
        <v>0.0197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HYPERLINK("http://141.218.60.56/~jnz1568/getInfo.php?workbook=10_05.xlsx&amp;sheet=U0&amp;row=5692&amp;col=6&amp;number=3.8&amp;sourceID=14","3.8")</f>
        <v>3.8</v>
      </c>
      <c r="G5692" s="4" t="str">
        <f>HYPERLINK("http://141.218.60.56/~jnz1568/getInfo.php?workbook=10_05.xlsx&amp;sheet=U0&amp;row=5692&amp;col=7&amp;number=0.0191&amp;sourceID=14","0.0191")</f>
        <v>0.0191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HYPERLINK("http://141.218.60.56/~jnz1568/getInfo.php?workbook=10_05.xlsx&amp;sheet=U0&amp;row=5693&amp;col=6&amp;number=3.9&amp;sourceID=14","3.9")</f>
        <v>3.9</v>
      </c>
      <c r="G5693" s="4" t="str">
        <f>HYPERLINK("http://141.218.60.56/~jnz1568/getInfo.php?workbook=10_05.xlsx&amp;sheet=U0&amp;row=5693&amp;col=7&amp;number=0.0183&amp;sourceID=14","0.0183")</f>
        <v>0.0183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HYPERLINK("http://141.218.60.56/~jnz1568/getInfo.php?workbook=10_05.xlsx&amp;sheet=U0&amp;row=5694&amp;col=6&amp;number=4&amp;sourceID=14","4")</f>
        <v>4</v>
      </c>
      <c r="G5694" s="4" t="str">
        <f>HYPERLINK("http://141.218.60.56/~jnz1568/getInfo.php?workbook=10_05.xlsx&amp;sheet=U0&amp;row=5694&amp;col=7&amp;number=0.0174&amp;sourceID=14","0.0174")</f>
        <v>0.0174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HYPERLINK("http://141.218.60.56/~jnz1568/getInfo.php?workbook=10_05.xlsx&amp;sheet=U0&amp;row=5695&amp;col=6&amp;number=4.1&amp;sourceID=14","4.1")</f>
        <v>4.1</v>
      </c>
      <c r="G5695" s="4" t="str">
        <f>HYPERLINK("http://141.218.60.56/~jnz1568/getInfo.php?workbook=10_05.xlsx&amp;sheet=U0&amp;row=5695&amp;col=7&amp;number=0.0164&amp;sourceID=14","0.0164")</f>
        <v>0.0164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HYPERLINK("http://141.218.60.56/~jnz1568/getInfo.php?workbook=10_05.xlsx&amp;sheet=U0&amp;row=5696&amp;col=6&amp;number=4.2&amp;sourceID=14","4.2")</f>
        <v>4.2</v>
      </c>
      <c r="G5696" s="4" t="str">
        <f>HYPERLINK("http://141.218.60.56/~jnz1568/getInfo.php?workbook=10_05.xlsx&amp;sheet=U0&amp;row=5696&amp;col=7&amp;number=0.0152&amp;sourceID=14","0.0152")</f>
        <v>0.0152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HYPERLINK("http://141.218.60.56/~jnz1568/getInfo.php?workbook=10_05.xlsx&amp;sheet=U0&amp;row=5697&amp;col=6&amp;number=4.3&amp;sourceID=14","4.3")</f>
        <v>4.3</v>
      </c>
      <c r="G5697" s="4" t="str">
        <f>HYPERLINK("http://141.218.60.56/~jnz1568/getInfo.php?workbook=10_05.xlsx&amp;sheet=U0&amp;row=5697&amp;col=7&amp;number=0.014&amp;sourceID=14","0.014")</f>
        <v>0.014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HYPERLINK("http://141.218.60.56/~jnz1568/getInfo.php?workbook=10_05.xlsx&amp;sheet=U0&amp;row=5698&amp;col=6&amp;number=4.4&amp;sourceID=14","4.4")</f>
        <v>4.4</v>
      </c>
      <c r="G5698" s="4" t="str">
        <f>HYPERLINK("http://141.218.60.56/~jnz1568/getInfo.php?workbook=10_05.xlsx&amp;sheet=U0&amp;row=5698&amp;col=7&amp;number=0.0129&amp;sourceID=14","0.0129")</f>
        <v>0.0129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HYPERLINK("http://141.218.60.56/~jnz1568/getInfo.php?workbook=10_05.xlsx&amp;sheet=U0&amp;row=5699&amp;col=6&amp;number=4.5&amp;sourceID=14","4.5")</f>
        <v>4.5</v>
      </c>
      <c r="G5699" s="4" t="str">
        <f>HYPERLINK("http://141.218.60.56/~jnz1568/getInfo.php?workbook=10_05.xlsx&amp;sheet=U0&amp;row=5699&amp;col=7&amp;number=0.0118&amp;sourceID=14","0.0118")</f>
        <v>0.0118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HYPERLINK("http://141.218.60.56/~jnz1568/getInfo.php?workbook=10_05.xlsx&amp;sheet=U0&amp;row=5700&amp;col=6&amp;number=4.6&amp;sourceID=14","4.6")</f>
        <v>4.6</v>
      </c>
      <c r="G5700" s="4" t="str">
        <f>HYPERLINK("http://141.218.60.56/~jnz1568/getInfo.php?workbook=10_05.xlsx&amp;sheet=U0&amp;row=5700&amp;col=7&amp;number=0.0109&amp;sourceID=14","0.0109")</f>
        <v>0.0109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HYPERLINK("http://141.218.60.56/~jnz1568/getInfo.php?workbook=10_05.xlsx&amp;sheet=U0&amp;row=5701&amp;col=6&amp;number=4.7&amp;sourceID=14","4.7")</f>
        <v>4.7</v>
      </c>
      <c r="G5701" s="4" t="str">
        <f>HYPERLINK("http://141.218.60.56/~jnz1568/getInfo.php?workbook=10_05.xlsx&amp;sheet=U0&amp;row=5701&amp;col=7&amp;number=0.00997&amp;sourceID=14","0.00997")</f>
        <v>0.00997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HYPERLINK("http://141.218.60.56/~jnz1568/getInfo.php?workbook=10_05.xlsx&amp;sheet=U0&amp;row=5702&amp;col=6&amp;number=4.8&amp;sourceID=14","4.8")</f>
        <v>4.8</v>
      </c>
      <c r="G5702" s="4" t="str">
        <f>HYPERLINK("http://141.218.60.56/~jnz1568/getInfo.php?workbook=10_05.xlsx&amp;sheet=U0&amp;row=5702&amp;col=7&amp;number=0.0091&amp;sourceID=14","0.0091")</f>
        <v>0.0091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HYPERLINK("http://141.218.60.56/~jnz1568/getInfo.php?workbook=10_05.xlsx&amp;sheet=U0&amp;row=5703&amp;col=6&amp;number=4.9&amp;sourceID=14","4.9")</f>
        <v>4.9</v>
      </c>
      <c r="G5703" s="4" t="str">
        <f>HYPERLINK("http://141.218.60.56/~jnz1568/getInfo.php?workbook=10_05.xlsx&amp;sheet=U0&amp;row=5703&amp;col=7&amp;number=0.00831&amp;sourceID=14","0.00831")</f>
        <v>0.00831</v>
      </c>
    </row>
    <row r="5704" spans="1:7">
      <c r="A5704" s="3">
        <v>10</v>
      </c>
      <c r="B5704" s="3">
        <v>5</v>
      </c>
      <c r="C5704" s="3">
        <v>2</v>
      </c>
      <c r="D5704" s="3">
        <v>109</v>
      </c>
      <c r="E5704" s="3">
        <v>1</v>
      </c>
      <c r="F5704" s="4" t="str">
        <f>HYPERLINK("http://141.218.60.56/~jnz1568/getInfo.php?workbook=10_05.xlsx&amp;sheet=U0&amp;row=5704&amp;col=6&amp;number=3&amp;sourceID=14","3")</f>
        <v>3</v>
      </c>
      <c r="G5704" s="4" t="str">
        <f>HYPERLINK("http://141.218.60.56/~jnz1568/getInfo.php?workbook=10_05.xlsx&amp;sheet=U0&amp;row=5704&amp;col=7&amp;number=0.011&amp;sourceID=14","0.011")</f>
        <v>0.011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HYPERLINK("http://141.218.60.56/~jnz1568/getInfo.php?workbook=10_05.xlsx&amp;sheet=U0&amp;row=5705&amp;col=6&amp;number=3.1&amp;sourceID=14","3.1")</f>
        <v>3.1</v>
      </c>
      <c r="G5705" s="4" t="str">
        <f>HYPERLINK("http://141.218.60.56/~jnz1568/getInfo.php?workbook=10_05.xlsx&amp;sheet=U0&amp;row=5705&amp;col=7&amp;number=0.011&amp;sourceID=14","0.011")</f>
        <v>0.011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HYPERLINK("http://141.218.60.56/~jnz1568/getInfo.php?workbook=10_05.xlsx&amp;sheet=U0&amp;row=5706&amp;col=6&amp;number=3.2&amp;sourceID=14","3.2")</f>
        <v>3.2</v>
      </c>
      <c r="G5706" s="4" t="str">
        <f>HYPERLINK("http://141.218.60.56/~jnz1568/getInfo.php?workbook=10_05.xlsx&amp;sheet=U0&amp;row=5706&amp;col=7&amp;number=0.0109&amp;sourceID=14","0.0109")</f>
        <v>0.0109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HYPERLINK("http://141.218.60.56/~jnz1568/getInfo.php?workbook=10_05.xlsx&amp;sheet=U0&amp;row=5707&amp;col=6&amp;number=3.3&amp;sourceID=14","3.3")</f>
        <v>3.3</v>
      </c>
      <c r="G5707" s="4" t="str">
        <f>HYPERLINK("http://141.218.60.56/~jnz1568/getInfo.php?workbook=10_05.xlsx&amp;sheet=U0&amp;row=5707&amp;col=7&amp;number=0.0109&amp;sourceID=14","0.0109")</f>
        <v>0.0109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HYPERLINK("http://141.218.60.56/~jnz1568/getInfo.php?workbook=10_05.xlsx&amp;sheet=U0&amp;row=5708&amp;col=6&amp;number=3.4&amp;sourceID=14","3.4")</f>
        <v>3.4</v>
      </c>
      <c r="G5708" s="4" t="str">
        <f>HYPERLINK("http://141.218.60.56/~jnz1568/getInfo.php?workbook=10_05.xlsx&amp;sheet=U0&amp;row=5708&amp;col=7&amp;number=0.0108&amp;sourceID=14","0.0108")</f>
        <v>0.0108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HYPERLINK("http://141.218.60.56/~jnz1568/getInfo.php?workbook=10_05.xlsx&amp;sheet=U0&amp;row=5709&amp;col=6&amp;number=3.5&amp;sourceID=14","3.5")</f>
        <v>3.5</v>
      </c>
      <c r="G5709" s="4" t="str">
        <f>HYPERLINK("http://141.218.60.56/~jnz1568/getInfo.php?workbook=10_05.xlsx&amp;sheet=U0&amp;row=5709&amp;col=7&amp;number=0.0108&amp;sourceID=14","0.0108")</f>
        <v>0.0108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HYPERLINK("http://141.218.60.56/~jnz1568/getInfo.php?workbook=10_05.xlsx&amp;sheet=U0&amp;row=5710&amp;col=6&amp;number=3.6&amp;sourceID=14","3.6")</f>
        <v>3.6</v>
      </c>
      <c r="G5710" s="4" t="str">
        <f>HYPERLINK("http://141.218.60.56/~jnz1568/getInfo.php?workbook=10_05.xlsx&amp;sheet=U0&amp;row=5710&amp;col=7&amp;number=0.0107&amp;sourceID=14","0.0107")</f>
        <v>0.0107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HYPERLINK("http://141.218.60.56/~jnz1568/getInfo.php?workbook=10_05.xlsx&amp;sheet=U0&amp;row=5711&amp;col=6&amp;number=3.7&amp;sourceID=14","3.7")</f>
        <v>3.7</v>
      </c>
      <c r="G5711" s="4" t="str">
        <f>HYPERLINK("http://141.218.60.56/~jnz1568/getInfo.php?workbook=10_05.xlsx&amp;sheet=U0&amp;row=5711&amp;col=7&amp;number=0.0106&amp;sourceID=14","0.0106")</f>
        <v>0.0106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HYPERLINK("http://141.218.60.56/~jnz1568/getInfo.php?workbook=10_05.xlsx&amp;sheet=U0&amp;row=5712&amp;col=6&amp;number=3.8&amp;sourceID=14","3.8")</f>
        <v>3.8</v>
      </c>
      <c r="G5712" s="4" t="str">
        <f>HYPERLINK("http://141.218.60.56/~jnz1568/getInfo.php?workbook=10_05.xlsx&amp;sheet=U0&amp;row=5712&amp;col=7&amp;number=0.0104&amp;sourceID=14","0.0104")</f>
        <v>0.0104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HYPERLINK("http://141.218.60.56/~jnz1568/getInfo.php?workbook=10_05.xlsx&amp;sheet=U0&amp;row=5713&amp;col=6&amp;number=3.9&amp;sourceID=14","3.9")</f>
        <v>3.9</v>
      </c>
      <c r="G5713" s="4" t="str">
        <f>HYPERLINK("http://141.218.60.56/~jnz1568/getInfo.php?workbook=10_05.xlsx&amp;sheet=U0&amp;row=5713&amp;col=7&amp;number=0.0103&amp;sourceID=14","0.0103")</f>
        <v>0.0103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HYPERLINK("http://141.218.60.56/~jnz1568/getInfo.php?workbook=10_05.xlsx&amp;sheet=U0&amp;row=5714&amp;col=6&amp;number=4&amp;sourceID=14","4")</f>
        <v>4</v>
      </c>
      <c r="G5714" s="4" t="str">
        <f>HYPERLINK("http://141.218.60.56/~jnz1568/getInfo.php?workbook=10_05.xlsx&amp;sheet=U0&amp;row=5714&amp;col=7&amp;number=0.0101&amp;sourceID=14","0.0101")</f>
        <v>0.0101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HYPERLINK("http://141.218.60.56/~jnz1568/getInfo.php?workbook=10_05.xlsx&amp;sheet=U0&amp;row=5715&amp;col=6&amp;number=4.1&amp;sourceID=14","4.1")</f>
        <v>4.1</v>
      </c>
      <c r="G5715" s="4" t="str">
        <f>HYPERLINK("http://141.218.60.56/~jnz1568/getInfo.php?workbook=10_05.xlsx&amp;sheet=U0&amp;row=5715&amp;col=7&amp;number=0.00984&amp;sourceID=14","0.00984")</f>
        <v>0.00984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HYPERLINK("http://141.218.60.56/~jnz1568/getInfo.php?workbook=10_05.xlsx&amp;sheet=U0&amp;row=5716&amp;col=6&amp;number=4.2&amp;sourceID=14","4.2")</f>
        <v>4.2</v>
      </c>
      <c r="G5716" s="4" t="str">
        <f>HYPERLINK("http://141.218.60.56/~jnz1568/getInfo.php?workbook=10_05.xlsx&amp;sheet=U0&amp;row=5716&amp;col=7&amp;number=0.00954&amp;sourceID=14","0.00954")</f>
        <v>0.00954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HYPERLINK("http://141.218.60.56/~jnz1568/getInfo.php?workbook=10_05.xlsx&amp;sheet=U0&amp;row=5717&amp;col=6&amp;number=4.3&amp;sourceID=14","4.3")</f>
        <v>4.3</v>
      </c>
      <c r="G5717" s="4" t="str">
        <f>HYPERLINK("http://141.218.60.56/~jnz1568/getInfo.php?workbook=10_05.xlsx&amp;sheet=U0&amp;row=5717&amp;col=7&amp;number=0.00918&amp;sourceID=14","0.00918")</f>
        <v>0.00918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HYPERLINK("http://141.218.60.56/~jnz1568/getInfo.php?workbook=10_05.xlsx&amp;sheet=U0&amp;row=5718&amp;col=6&amp;number=4.4&amp;sourceID=14","4.4")</f>
        <v>4.4</v>
      </c>
      <c r="G5718" s="4" t="str">
        <f>HYPERLINK("http://141.218.60.56/~jnz1568/getInfo.php?workbook=10_05.xlsx&amp;sheet=U0&amp;row=5718&amp;col=7&amp;number=0.00876&amp;sourceID=14","0.00876")</f>
        <v>0.00876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HYPERLINK("http://141.218.60.56/~jnz1568/getInfo.php?workbook=10_05.xlsx&amp;sheet=U0&amp;row=5719&amp;col=6&amp;number=4.5&amp;sourceID=14","4.5")</f>
        <v>4.5</v>
      </c>
      <c r="G5719" s="4" t="str">
        <f>HYPERLINK("http://141.218.60.56/~jnz1568/getInfo.php?workbook=10_05.xlsx&amp;sheet=U0&amp;row=5719&amp;col=7&amp;number=0.00829&amp;sourceID=14","0.00829")</f>
        <v>0.00829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HYPERLINK("http://141.218.60.56/~jnz1568/getInfo.php?workbook=10_05.xlsx&amp;sheet=U0&amp;row=5720&amp;col=6&amp;number=4.6&amp;sourceID=14","4.6")</f>
        <v>4.6</v>
      </c>
      <c r="G5720" s="4" t="str">
        <f>HYPERLINK("http://141.218.60.56/~jnz1568/getInfo.php?workbook=10_05.xlsx&amp;sheet=U0&amp;row=5720&amp;col=7&amp;number=0.0078&amp;sourceID=14","0.0078")</f>
        <v>0.0078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HYPERLINK("http://141.218.60.56/~jnz1568/getInfo.php?workbook=10_05.xlsx&amp;sheet=U0&amp;row=5721&amp;col=6&amp;number=4.7&amp;sourceID=14","4.7")</f>
        <v>4.7</v>
      </c>
      <c r="G5721" s="4" t="str">
        <f>HYPERLINK("http://141.218.60.56/~jnz1568/getInfo.php?workbook=10_05.xlsx&amp;sheet=U0&amp;row=5721&amp;col=7&amp;number=0.00733&amp;sourceID=14","0.00733")</f>
        <v>0.00733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HYPERLINK("http://141.218.60.56/~jnz1568/getInfo.php?workbook=10_05.xlsx&amp;sheet=U0&amp;row=5722&amp;col=6&amp;number=4.8&amp;sourceID=14","4.8")</f>
        <v>4.8</v>
      </c>
      <c r="G5722" s="4" t="str">
        <f>HYPERLINK("http://141.218.60.56/~jnz1568/getInfo.php?workbook=10_05.xlsx&amp;sheet=U0&amp;row=5722&amp;col=7&amp;number=0.00695&amp;sourceID=14","0.00695")</f>
        <v>0.00695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HYPERLINK("http://141.218.60.56/~jnz1568/getInfo.php?workbook=10_05.xlsx&amp;sheet=U0&amp;row=5723&amp;col=6&amp;number=4.9&amp;sourceID=14","4.9")</f>
        <v>4.9</v>
      </c>
      <c r="G5723" s="4" t="str">
        <f>HYPERLINK("http://141.218.60.56/~jnz1568/getInfo.php?workbook=10_05.xlsx&amp;sheet=U0&amp;row=5723&amp;col=7&amp;number=0.0067&amp;sourceID=14","0.0067")</f>
        <v>0.0067</v>
      </c>
    </row>
    <row r="5724" spans="1:7">
      <c r="A5724" s="3">
        <v>10</v>
      </c>
      <c r="B5724" s="3">
        <v>5</v>
      </c>
      <c r="C5724" s="3">
        <v>2</v>
      </c>
      <c r="D5724" s="3">
        <v>110</v>
      </c>
      <c r="E5724" s="3">
        <v>1</v>
      </c>
      <c r="F5724" s="4" t="str">
        <f>HYPERLINK("http://141.218.60.56/~jnz1568/getInfo.php?workbook=10_05.xlsx&amp;sheet=U0&amp;row=5724&amp;col=6&amp;number=3&amp;sourceID=14","3")</f>
        <v>3</v>
      </c>
      <c r="G5724" s="4" t="str">
        <f>HYPERLINK("http://141.218.60.56/~jnz1568/getInfo.php?workbook=10_05.xlsx&amp;sheet=U0&amp;row=5724&amp;col=7&amp;number=0.00973&amp;sourceID=14","0.00973")</f>
        <v>0.00973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HYPERLINK("http://141.218.60.56/~jnz1568/getInfo.php?workbook=10_05.xlsx&amp;sheet=U0&amp;row=5725&amp;col=6&amp;number=3.1&amp;sourceID=14","3.1")</f>
        <v>3.1</v>
      </c>
      <c r="G5725" s="4" t="str">
        <f>HYPERLINK("http://141.218.60.56/~jnz1568/getInfo.php?workbook=10_05.xlsx&amp;sheet=U0&amp;row=5725&amp;col=7&amp;number=0.00969&amp;sourceID=14","0.00969")</f>
        <v>0.00969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HYPERLINK("http://141.218.60.56/~jnz1568/getInfo.php?workbook=10_05.xlsx&amp;sheet=U0&amp;row=5726&amp;col=6&amp;number=3.2&amp;sourceID=14","3.2")</f>
        <v>3.2</v>
      </c>
      <c r="G5726" s="4" t="str">
        <f>HYPERLINK("http://141.218.60.56/~jnz1568/getInfo.php?workbook=10_05.xlsx&amp;sheet=U0&amp;row=5726&amp;col=7&amp;number=0.00963&amp;sourceID=14","0.00963")</f>
        <v>0.00963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HYPERLINK("http://141.218.60.56/~jnz1568/getInfo.php?workbook=10_05.xlsx&amp;sheet=U0&amp;row=5727&amp;col=6&amp;number=3.3&amp;sourceID=14","3.3")</f>
        <v>3.3</v>
      </c>
      <c r="G5727" s="4" t="str">
        <f>HYPERLINK("http://141.218.60.56/~jnz1568/getInfo.php?workbook=10_05.xlsx&amp;sheet=U0&amp;row=5727&amp;col=7&amp;number=0.00956&amp;sourceID=14","0.00956")</f>
        <v>0.00956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HYPERLINK("http://141.218.60.56/~jnz1568/getInfo.php?workbook=10_05.xlsx&amp;sheet=U0&amp;row=5728&amp;col=6&amp;number=3.4&amp;sourceID=14","3.4")</f>
        <v>3.4</v>
      </c>
      <c r="G5728" s="4" t="str">
        <f>HYPERLINK("http://141.218.60.56/~jnz1568/getInfo.php?workbook=10_05.xlsx&amp;sheet=U0&amp;row=5728&amp;col=7&amp;number=0.00948&amp;sourceID=14","0.00948")</f>
        <v>0.00948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HYPERLINK("http://141.218.60.56/~jnz1568/getInfo.php?workbook=10_05.xlsx&amp;sheet=U0&amp;row=5729&amp;col=6&amp;number=3.5&amp;sourceID=14","3.5")</f>
        <v>3.5</v>
      </c>
      <c r="G5729" s="4" t="str">
        <f>HYPERLINK("http://141.218.60.56/~jnz1568/getInfo.php?workbook=10_05.xlsx&amp;sheet=U0&amp;row=5729&amp;col=7&amp;number=0.00937&amp;sourceID=14","0.00937")</f>
        <v>0.00937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HYPERLINK("http://141.218.60.56/~jnz1568/getInfo.php?workbook=10_05.xlsx&amp;sheet=U0&amp;row=5730&amp;col=6&amp;number=3.6&amp;sourceID=14","3.6")</f>
        <v>3.6</v>
      </c>
      <c r="G5730" s="4" t="str">
        <f>HYPERLINK("http://141.218.60.56/~jnz1568/getInfo.php?workbook=10_05.xlsx&amp;sheet=U0&amp;row=5730&amp;col=7&amp;number=0.00923&amp;sourceID=14","0.00923")</f>
        <v>0.00923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HYPERLINK("http://141.218.60.56/~jnz1568/getInfo.php?workbook=10_05.xlsx&amp;sheet=U0&amp;row=5731&amp;col=6&amp;number=3.7&amp;sourceID=14","3.7")</f>
        <v>3.7</v>
      </c>
      <c r="G5731" s="4" t="str">
        <f>HYPERLINK("http://141.218.60.56/~jnz1568/getInfo.php?workbook=10_05.xlsx&amp;sheet=U0&amp;row=5731&amp;col=7&amp;number=0.00907&amp;sourceID=14","0.00907")</f>
        <v>0.00907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HYPERLINK("http://141.218.60.56/~jnz1568/getInfo.php?workbook=10_05.xlsx&amp;sheet=U0&amp;row=5732&amp;col=6&amp;number=3.8&amp;sourceID=14","3.8")</f>
        <v>3.8</v>
      </c>
      <c r="G5732" s="4" t="str">
        <f>HYPERLINK("http://141.218.60.56/~jnz1568/getInfo.php?workbook=10_05.xlsx&amp;sheet=U0&amp;row=5732&amp;col=7&amp;number=0.00886&amp;sourceID=14","0.00886")</f>
        <v>0.00886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HYPERLINK("http://141.218.60.56/~jnz1568/getInfo.php?workbook=10_05.xlsx&amp;sheet=U0&amp;row=5733&amp;col=6&amp;number=3.9&amp;sourceID=14","3.9")</f>
        <v>3.9</v>
      </c>
      <c r="G5733" s="4" t="str">
        <f>HYPERLINK("http://141.218.60.56/~jnz1568/getInfo.php?workbook=10_05.xlsx&amp;sheet=U0&amp;row=5733&amp;col=7&amp;number=0.00861&amp;sourceID=14","0.00861")</f>
        <v>0.00861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HYPERLINK("http://141.218.60.56/~jnz1568/getInfo.php?workbook=10_05.xlsx&amp;sheet=U0&amp;row=5734&amp;col=6&amp;number=4&amp;sourceID=14","4")</f>
        <v>4</v>
      </c>
      <c r="G5734" s="4" t="str">
        <f>HYPERLINK("http://141.218.60.56/~jnz1568/getInfo.php?workbook=10_05.xlsx&amp;sheet=U0&amp;row=5734&amp;col=7&amp;number=0.0083&amp;sourceID=14","0.0083")</f>
        <v>0.0083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HYPERLINK("http://141.218.60.56/~jnz1568/getInfo.php?workbook=10_05.xlsx&amp;sheet=U0&amp;row=5735&amp;col=6&amp;number=4.1&amp;sourceID=14","4.1")</f>
        <v>4.1</v>
      </c>
      <c r="G5735" s="4" t="str">
        <f>HYPERLINK("http://141.218.60.56/~jnz1568/getInfo.php?workbook=10_05.xlsx&amp;sheet=U0&amp;row=5735&amp;col=7&amp;number=0.00793&amp;sourceID=14","0.00793")</f>
        <v>0.00793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HYPERLINK("http://141.218.60.56/~jnz1568/getInfo.php?workbook=10_05.xlsx&amp;sheet=U0&amp;row=5736&amp;col=6&amp;number=4.2&amp;sourceID=14","4.2")</f>
        <v>4.2</v>
      </c>
      <c r="G5736" s="4" t="str">
        <f>HYPERLINK("http://141.218.60.56/~jnz1568/getInfo.php?workbook=10_05.xlsx&amp;sheet=U0&amp;row=5736&amp;col=7&amp;number=0.0075&amp;sourceID=14","0.0075")</f>
        <v>0.0075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HYPERLINK("http://141.218.60.56/~jnz1568/getInfo.php?workbook=10_05.xlsx&amp;sheet=U0&amp;row=5737&amp;col=6&amp;number=4.3&amp;sourceID=14","4.3")</f>
        <v>4.3</v>
      </c>
      <c r="G5737" s="4" t="str">
        <f>HYPERLINK("http://141.218.60.56/~jnz1568/getInfo.php?workbook=10_05.xlsx&amp;sheet=U0&amp;row=5737&amp;col=7&amp;number=0.007&amp;sourceID=14","0.007")</f>
        <v>0.007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HYPERLINK("http://141.218.60.56/~jnz1568/getInfo.php?workbook=10_05.xlsx&amp;sheet=U0&amp;row=5738&amp;col=6&amp;number=4.4&amp;sourceID=14","4.4")</f>
        <v>4.4</v>
      </c>
      <c r="G5738" s="4" t="str">
        <f>HYPERLINK("http://141.218.60.56/~jnz1568/getInfo.php?workbook=10_05.xlsx&amp;sheet=U0&amp;row=5738&amp;col=7&amp;number=0.00644&amp;sourceID=14","0.00644")</f>
        <v>0.00644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HYPERLINK("http://141.218.60.56/~jnz1568/getInfo.php?workbook=10_05.xlsx&amp;sheet=U0&amp;row=5739&amp;col=6&amp;number=4.5&amp;sourceID=14","4.5")</f>
        <v>4.5</v>
      </c>
      <c r="G5739" s="4" t="str">
        <f>HYPERLINK("http://141.218.60.56/~jnz1568/getInfo.php?workbook=10_05.xlsx&amp;sheet=U0&amp;row=5739&amp;col=7&amp;number=0.00585&amp;sourceID=14","0.00585")</f>
        <v>0.00585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HYPERLINK("http://141.218.60.56/~jnz1568/getInfo.php?workbook=10_05.xlsx&amp;sheet=U0&amp;row=5740&amp;col=6&amp;number=4.6&amp;sourceID=14","4.6")</f>
        <v>4.6</v>
      </c>
      <c r="G5740" s="4" t="str">
        <f>HYPERLINK("http://141.218.60.56/~jnz1568/getInfo.php?workbook=10_05.xlsx&amp;sheet=U0&amp;row=5740&amp;col=7&amp;number=0.00525&amp;sourceID=14","0.00525")</f>
        <v>0.00525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HYPERLINK("http://141.218.60.56/~jnz1568/getInfo.php?workbook=10_05.xlsx&amp;sheet=U0&amp;row=5741&amp;col=6&amp;number=4.7&amp;sourceID=14","4.7")</f>
        <v>4.7</v>
      </c>
      <c r="G5741" s="4" t="str">
        <f>HYPERLINK("http://141.218.60.56/~jnz1568/getInfo.php?workbook=10_05.xlsx&amp;sheet=U0&amp;row=5741&amp;col=7&amp;number=0.00466&amp;sourceID=14","0.00466")</f>
        <v>0.00466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HYPERLINK("http://141.218.60.56/~jnz1568/getInfo.php?workbook=10_05.xlsx&amp;sheet=U0&amp;row=5742&amp;col=6&amp;number=4.8&amp;sourceID=14","4.8")</f>
        <v>4.8</v>
      </c>
      <c r="G5742" s="4" t="str">
        <f>HYPERLINK("http://141.218.60.56/~jnz1568/getInfo.php?workbook=10_05.xlsx&amp;sheet=U0&amp;row=5742&amp;col=7&amp;number=0.00412&amp;sourceID=14","0.00412")</f>
        <v>0.00412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HYPERLINK("http://141.218.60.56/~jnz1568/getInfo.php?workbook=10_05.xlsx&amp;sheet=U0&amp;row=5743&amp;col=6&amp;number=4.9&amp;sourceID=14","4.9")</f>
        <v>4.9</v>
      </c>
      <c r="G5743" s="4" t="str">
        <f>HYPERLINK("http://141.218.60.56/~jnz1568/getInfo.php?workbook=10_05.xlsx&amp;sheet=U0&amp;row=5743&amp;col=7&amp;number=0.00364&amp;sourceID=14","0.00364")</f>
        <v>0.00364</v>
      </c>
    </row>
    <row r="5744" spans="1:7">
      <c r="A5744" s="3">
        <v>10</v>
      </c>
      <c r="B5744" s="3">
        <v>5</v>
      </c>
      <c r="C5744" s="3">
        <v>2</v>
      </c>
      <c r="D5744" s="3">
        <v>111</v>
      </c>
      <c r="E5744" s="3">
        <v>1</v>
      </c>
      <c r="F5744" s="4" t="str">
        <f>HYPERLINK("http://141.218.60.56/~jnz1568/getInfo.php?workbook=10_05.xlsx&amp;sheet=U0&amp;row=5744&amp;col=6&amp;number=3&amp;sourceID=14","3")</f>
        <v>3</v>
      </c>
      <c r="G5744" s="4" t="str">
        <f>HYPERLINK("http://141.218.60.56/~jnz1568/getInfo.php?workbook=10_05.xlsx&amp;sheet=U0&amp;row=5744&amp;col=7&amp;number=0.00419&amp;sourceID=14","0.00419")</f>
        <v>0.00419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HYPERLINK("http://141.218.60.56/~jnz1568/getInfo.php?workbook=10_05.xlsx&amp;sheet=U0&amp;row=5745&amp;col=6&amp;number=3.1&amp;sourceID=14","3.1")</f>
        <v>3.1</v>
      </c>
      <c r="G5745" s="4" t="str">
        <f>HYPERLINK("http://141.218.60.56/~jnz1568/getInfo.php?workbook=10_05.xlsx&amp;sheet=U0&amp;row=5745&amp;col=7&amp;number=0.00417&amp;sourceID=14","0.00417")</f>
        <v>0.00417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HYPERLINK("http://141.218.60.56/~jnz1568/getInfo.php?workbook=10_05.xlsx&amp;sheet=U0&amp;row=5746&amp;col=6&amp;number=3.2&amp;sourceID=14","3.2")</f>
        <v>3.2</v>
      </c>
      <c r="G5746" s="4" t="str">
        <f>HYPERLINK("http://141.218.60.56/~jnz1568/getInfo.php?workbook=10_05.xlsx&amp;sheet=U0&amp;row=5746&amp;col=7&amp;number=0.00415&amp;sourceID=14","0.00415")</f>
        <v>0.00415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HYPERLINK("http://141.218.60.56/~jnz1568/getInfo.php?workbook=10_05.xlsx&amp;sheet=U0&amp;row=5747&amp;col=6&amp;number=3.3&amp;sourceID=14","3.3")</f>
        <v>3.3</v>
      </c>
      <c r="G5747" s="4" t="str">
        <f>HYPERLINK("http://141.218.60.56/~jnz1568/getInfo.php?workbook=10_05.xlsx&amp;sheet=U0&amp;row=5747&amp;col=7&amp;number=0.00413&amp;sourceID=14","0.00413")</f>
        <v>0.00413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HYPERLINK("http://141.218.60.56/~jnz1568/getInfo.php?workbook=10_05.xlsx&amp;sheet=U0&amp;row=5748&amp;col=6&amp;number=3.4&amp;sourceID=14","3.4")</f>
        <v>3.4</v>
      </c>
      <c r="G5748" s="4" t="str">
        <f>HYPERLINK("http://141.218.60.56/~jnz1568/getInfo.php?workbook=10_05.xlsx&amp;sheet=U0&amp;row=5748&amp;col=7&amp;number=0.0041&amp;sourceID=14","0.0041")</f>
        <v>0.0041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HYPERLINK("http://141.218.60.56/~jnz1568/getInfo.php?workbook=10_05.xlsx&amp;sheet=U0&amp;row=5749&amp;col=6&amp;number=3.5&amp;sourceID=14","3.5")</f>
        <v>3.5</v>
      </c>
      <c r="G5749" s="4" t="str">
        <f>HYPERLINK("http://141.218.60.56/~jnz1568/getInfo.php?workbook=10_05.xlsx&amp;sheet=U0&amp;row=5749&amp;col=7&amp;number=0.00406&amp;sourceID=14","0.00406")</f>
        <v>0.00406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HYPERLINK("http://141.218.60.56/~jnz1568/getInfo.php?workbook=10_05.xlsx&amp;sheet=U0&amp;row=5750&amp;col=6&amp;number=3.6&amp;sourceID=14","3.6")</f>
        <v>3.6</v>
      </c>
      <c r="G5750" s="4" t="str">
        <f>HYPERLINK("http://141.218.60.56/~jnz1568/getInfo.php?workbook=10_05.xlsx&amp;sheet=U0&amp;row=5750&amp;col=7&amp;number=0.00401&amp;sourceID=14","0.00401")</f>
        <v>0.00401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HYPERLINK("http://141.218.60.56/~jnz1568/getInfo.php?workbook=10_05.xlsx&amp;sheet=U0&amp;row=5751&amp;col=6&amp;number=3.7&amp;sourceID=14","3.7")</f>
        <v>3.7</v>
      </c>
      <c r="G5751" s="4" t="str">
        <f>HYPERLINK("http://141.218.60.56/~jnz1568/getInfo.php?workbook=10_05.xlsx&amp;sheet=U0&amp;row=5751&amp;col=7&amp;number=0.00395&amp;sourceID=14","0.00395")</f>
        <v>0.00395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HYPERLINK("http://141.218.60.56/~jnz1568/getInfo.php?workbook=10_05.xlsx&amp;sheet=U0&amp;row=5752&amp;col=6&amp;number=3.8&amp;sourceID=14","3.8")</f>
        <v>3.8</v>
      </c>
      <c r="G5752" s="4" t="str">
        <f>HYPERLINK("http://141.218.60.56/~jnz1568/getInfo.php?workbook=10_05.xlsx&amp;sheet=U0&amp;row=5752&amp;col=7&amp;number=0.00388&amp;sourceID=14","0.00388")</f>
        <v>0.00388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HYPERLINK("http://141.218.60.56/~jnz1568/getInfo.php?workbook=10_05.xlsx&amp;sheet=U0&amp;row=5753&amp;col=6&amp;number=3.9&amp;sourceID=14","3.9")</f>
        <v>3.9</v>
      </c>
      <c r="G5753" s="4" t="str">
        <f>HYPERLINK("http://141.218.60.56/~jnz1568/getInfo.php?workbook=10_05.xlsx&amp;sheet=U0&amp;row=5753&amp;col=7&amp;number=0.00379&amp;sourceID=14","0.00379")</f>
        <v>0.00379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HYPERLINK("http://141.218.60.56/~jnz1568/getInfo.php?workbook=10_05.xlsx&amp;sheet=U0&amp;row=5754&amp;col=6&amp;number=4&amp;sourceID=14","4")</f>
        <v>4</v>
      </c>
      <c r="G5754" s="4" t="str">
        <f>HYPERLINK("http://141.218.60.56/~jnz1568/getInfo.php?workbook=10_05.xlsx&amp;sheet=U0&amp;row=5754&amp;col=7&amp;number=0.00367&amp;sourceID=14","0.00367")</f>
        <v>0.00367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HYPERLINK("http://141.218.60.56/~jnz1568/getInfo.php?workbook=10_05.xlsx&amp;sheet=U0&amp;row=5755&amp;col=6&amp;number=4.1&amp;sourceID=14","4.1")</f>
        <v>4.1</v>
      </c>
      <c r="G5755" s="4" t="str">
        <f>HYPERLINK("http://141.218.60.56/~jnz1568/getInfo.php?workbook=10_05.xlsx&amp;sheet=U0&amp;row=5755&amp;col=7&amp;number=0.00354&amp;sourceID=14","0.00354")</f>
        <v>0.00354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HYPERLINK("http://141.218.60.56/~jnz1568/getInfo.php?workbook=10_05.xlsx&amp;sheet=U0&amp;row=5756&amp;col=6&amp;number=4.2&amp;sourceID=14","4.2")</f>
        <v>4.2</v>
      </c>
      <c r="G5756" s="4" t="str">
        <f>HYPERLINK("http://141.218.60.56/~jnz1568/getInfo.php?workbook=10_05.xlsx&amp;sheet=U0&amp;row=5756&amp;col=7&amp;number=0.00338&amp;sourceID=14","0.00338")</f>
        <v>0.00338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HYPERLINK("http://141.218.60.56/~jnz1568/getInfo.php?workbook=10_05.xlsx&amp;sheet=U0&amp;row=5757&amp;col=6&amp;number=4.3&amp;sourceID=14","4.3")</f>
        <v>4.3</v>
      </c>
      <c r="G5757" s="4" t="str">
        <f>HYPERLINK("http://141.218.60.56/~jnz1568/getInfo.php?workbook=10_05.xlsx&amp;sheet=U0&amp;row=5757&amp;col=7&amp;number=0.00319&amp;sourceID=14","0.00319")</f>
        <v>0.00319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HYPERLINK("http://141.218.60.56/~jnz1568/getInfo.php?workbook=10_05.xlsx&amp;sheet=U0&amp;row=5758&amp;col=6&amp;number=4.4&amp;sourceID=14","4.4")</f>
        <v>4.4</v>
      </c>
      <c r="G5758" s="4" t="str">
        <f>HYPERLINK("http://141.218.60.56/~jnz1568/getInfo.php?workbook=10_05.xlsx&amp;sheet=U0&amp;row=5758&amp;col=7&amp;number=0.00298&amp;sourceID=14","0.00298")</f>
        <v>0.00298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HYPERLINK("http://141.218.60.56/~jnz1568/getInfo.php?workbook=10_05.xlsx&amp;sheet=U0&amp;row=5759&amp;col=6&amp;number=4.5&amp;sourceID=14","4.5")</f>
        <v>4.5</v>
      </c>
      <c r="G5759" s="4" t="str">
        <f>HYPERLINK("http://141.218.60.56/~jnz1568/getInfo.php?workbook=10_05.xlsx&amp;sheet=U0&amp;row=5759&amp;col=7&amp;number=0.00275&amp;sourceID=14","0.00275")</f>
        <v>0.00275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HYPERLINK("http://141.218.60.56/~jnz1568/getInfo.php?workbook=10_05.xlsx&amp;sheet=U0&amp;row=5760&amp;col=6&amp;number=4.6&amp;sourceID=14","4.6")</f>
        <v>4.6</v>
      </c>
      <c r="G5760" s="4" t="str">
        <f>HYPERLINK("http://141.218.60.56/~jnz1568/getInfo.php?workbook=10_05.xlsx&amp;sheet=U0&amp;row=5760&amp;col=7&amp;number=0.00254&amp;sourceID=14","0.00254")</f>
        <v>0.00254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HYPERLINK("http://141.218.60.56/~jnz1568/getInfo.php?workbook=10_05.xlsx&amp;sheet=U0&amp;row=5761&amp;col=6&amp;number=4.7&amp;sourceID=14","4.7")</f>
        <v>4.7</v>
      </c>
      <c r="G5761" s="4" t="str">
        <f>HYPERLINK("http://141.218.60.56/~jnz1568/getInfo.php?workbook=10_05.xlsx&amp;sheet=U0&amp;row=5761&amp;col=7&amp;number=0.00236&amp;sourceID=14","0.00236")</f>
        <v>0.00236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HYPERLINK("http://141.218.60.56/~jnz1568/getInfo.php?workbook=10_05.xlsx&amp;sheet=U0&amp;row=5762&amp;col=6&amp;number=4.8&amp;sourceID=14","4.8")</f>
        <v>4.8</v>
      </c>
      <c r="G5762" s="4" t="str">
        <f>HYPERLINK("http://141.218.60.56/~jnz1568/getInfo.php?workbook=10_05.xlsx&amp;sheet=U0&amp;row=5762&amp;col=7&amp;number=0.00224&amp;sourceID=14","0.00224")</f>
        <v>0.00224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HYPERLINK("http://141.218.60.56/~jnz1568/getInfo.php?workbook=10_05.xlsx&amp;sheet=U0&amp;row=5763&amp;col=6&amp;number=4.9&amp;sourceID=14","4.9")</f>
        <v>4.9</v>
      </c>
      <c r="G5763" s="4" t="str">
        <f>HYPERLINK("http://141.218.60.56/~jnz1568/getInfo.php?workbook=10_05.xlsx&amp;sheet=U0&amp;row=5763&amp;col=7&amp;number=0.00215&amp;sourceID=14","0.00215")</f>
        <v>0.00215</v>
      </c>
    </row>
    <row r="5764" spans="1:7">
      <c r="A5764" s="3">
        <v>10</v>
      </c>
      <c r="B5764" s="3">
        <v>5</v>
      </c>
      <c r="C5764" s="3">
        <v>2</v>
      </c>
      <c r="D5764" s="3">
        <v>112</v>
      </c>
      <c r="E5764" s="3">
        <v>1</v>
      </c>
      <c r="F5764" s="4" t="str">
        <f>HYPERLINK("http://141.218.60.56/~jnz1568/getInfo.php?workbook=10_05.xlsx&amp;sheet=U0&amp;row=5764&amp;col=6&amp;number=3&amp;sourceID=14","3")</f>
        <v>3</v>
      </c>
      <c r="G5764" s="4" t="str">
        <f>HYPERLINK("http://141.218.60.56/~jnz1568/getInfo.php?workbook=10_05.xlsx&amp;sheet=U0&amp;row=5764&amp;col=7&amp;number=0.0859&amp;sourceID=14","0.0859")</f>
        <v>0.0859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HYPERLINK("http://141.218.60.56/~jnz1568/getInfo.php?workbook=10_05.xlsx&amp;sheet=U0&amp;row=5765&amp;col=6&amp;number=3.1&amp;sourceID=14","3.1")</f>
        <v>3.1</v>
      </c>
      <c r="G5765" s="4" t="str">
        <f>HYPERLINK("http://141.218.60.56/~jnz1568/getInfo.php?workbook=10_05.xlsx&amp;sheet=U0&amp;row=5765&amp;col=7&amp;number=0.0858&amp;sourceID=14","0.0858")</f>
        <v>0.0858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HYPERLINK("http://141.218.60.56/~jnz1568/getInfo.php?workbook=10_05.xlsx&amp;sheet=U0&amp;row=5766&amp;col=6&amp;number=3.2&amp;sourceID=14","3.2")</f>
        <v>3.2</v>
      </c>
      <c r="G5766" s="4" t="str">
        <f>HYPERLINK("http://141.218.60.56/~jnz1568/getInfo.php?workbook=10_05.xlsx&amp;sheet=U0&amp;row=5766&amp;col=7&amp;number=0.0857&amp;sourceID=14","0.0857")</f>
        <v>0.0857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HYPERLINK("http://141.218.60.56/~jnz1568/getInfo.php?workbook=10_05.xlsx&amp;sheet=U0&amp;row=5767&amp;col=6&amp;number=3.3&amp;sourceID=14","3.3")</f>
        <v>3.3</v>
      </c>
      <c r="G5767" s="4" t="str">
        <f>HYPERLINK("http://141.218.60.56/~jnz1568/getInfo.php?workbook=10_05.xlsx&amp;sheet=U0&amp;row=5767&amp;col=7&amp;number=0.0855&amp;sourceID=14","0.0855")</f>
        <v>0.0855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HYPERLINK("http://141.218.60.56/~jnz1568/getInfo.php?workbook=10_05.xlsx&amp;sheet=U0&amp;row=5768&amp;col=6&amp;number=3.4&amp;sourceID=14","3.4")</f>
        <v>3.4</v>
      </c>
      <c r="G5768" s="4" t="str">
        <f>HYPERLINK("http://141.218.60.56/~jnz1568/getInfo.php?workbook=10_05.xlsx&amp;sheet=U0&amp;row=5768&amp;col=7&amp;number=0.0853&amp;sourceID=14","0.0853")</f>
        <v>0.0853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HYPERLINK("http://141.218.60.56/~jnz1568/getInfo.php?workbook=10_05.xlsx&amp;sheet=U0&amp;row=5769&amp;col=6&amp;number=3.5&amp;sourceID=14","3.5")</f>
        <v>3.5</v>
      </c>
      <c r="G5769" s="4" t="str">
        <f>HYPERLINK("http://141.218.60.56/~jnz1568/getInfo.php?workbook=10_05.xlsx&amp;sheet=U0&amp;row=5769&amp;col=7&amp;number=0.085&amp;sourceID=14","0.085")</f>
        <v>0.085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HYPERLINK("http://141.218.60.56/~jnz1568/getInfo.php?workbook=10_05.xlsx&amp;sheet=U0&amp;row=5770&amp;col=6&amp;number=3.6&amp;sourceID=14","3.6")</f>
        <v>3.6</v>
      </c>
      <c r="G5770" s="4" t="str">
        <f>HYPERLINK("http://141.218.60.56/~jnz1568/getInfo.php?workbook=10_05.xlsx&amp;sheet=U0&amp;row=5770&amp;col=7&amp;number=0.0847&amp;sourceID=14","0.0847")</f>
        <v>0.0847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HYPERLINK("http://141.218.60.56/~jnz1568/getInfo.php?workbook=10_05.xlsx&amp;sheet=U0&amp;row=5771&amp;col=6&amp;number=3.7&amp;sourceID=14","3.7")</f>
        <v>3.7</v>
      </c>
      <c r="G5771" s="4" t="str">
        <f>HYPERLINK("http://141.218.60.56/~jnz1568/getInfo.php?workbook=10_05.xlsx&amp;sheet=U0&amp;row=5771&amp;col=7&amp;number=0.0843&amp;sourceID=14","0.0843")</f>
        <v>0.0843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HYPERLINK("http://141.218.60.56/~jnz1568/getInfo.php?workbook=10_05.xlsx&amp;sheet=U0&amp;row=5772&amp;col=6&amp;number=3.8&amp;sourceID=14","3.8")</f>
        <v>3.8</v>
      </c>
      <c r="G5772" s="4" t="str">
        <f>HYPERLINK("http://141.218.60.56/~jnz1568/getInfo.php?workbook=10_05.xlsx&amp;sheet=U0&amp;row=5772&amp;col=7&amp;number=0.0838&amp;sourceID=14","0.0838")</f>
        <v>0.0838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HYPERLINK("http://141.218.60.56/~jnz1568/getInfo.php?workbook=10_05.xlsx&amp;sheet=U0&amp;row=5773&amp;col=6&amp;number=3.9&amp;sourceID=14","3.9")</f>
        <v>3.9</v>
      </c>
      <c r="G5773" s="4" t="str">
        <f>HYPERLINK("http://141.218.60.56/~jnz1568/getInfo.php?workbook=10_05.xlsx&amp;sheet=U0&amp;row=5773&amp;col=7&amp;number=0.0832&amp;sourceID=14","0.0832")</f>
        <v>0.0832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HYPERLINK("http://141.218.60.56/~jnz1568/getInfo.php?workbook=10_05.xlsx&amp;sheet=U0&amp;row=5774&amp;col=6&amp;number=4&amp;sourceID=14","4")</f>
        <v>4</v>
      </c>
      <c r="G5774" s="4" t="str">
        <f>HYPERLINK("http://141.218.60.56/~jnz1568/getInfo.php?workbook=10_05.xlsx&amp;sheet=U0&amp;row=5774&amp;col=7&amp;number=0.0824&amp;sourceID=14","0.0824")</f>
        <v>0.0824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HYPERLINK("http://141.218.60.56/~jnz1568/getInfo.php?workbook=10_05.xlsx&amp;sheet=U0&amp;row=5775&amp;col=6&amp;number=4.1&amp;sourceID=14","4.1")</f>
        <v>4.1</v>
      </c>
      <c r="G5775" s="4" t="str">
        <f>HYPERLINK("http://141.218.60.56/~jnz1568/getInfo.php?workbook=10_05.xlsx&amp;sheet=U0&amp;row=5775&amp;col=7&amp;number=0.0815&amp;sourceID=14","0.0815")</f>
        <v>0.0815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HYPERLINK("http://141.218.60.56/~jnz1568/getInfo.php?workbook=10_05.xlsx&amp;sheet=U0&amp;row=5776&amp;col=6&amp;number=4.2&amp;sourceID=14","4.2")</f>
        <v>4.2</v>
      </c>
      <c r="G5776" s="4" t="str">
        <f>HYPERLINK("http://141.218.60.56/~jnz1568/getInfo.php?workbook=10_05.xlsx&amp;sheet=U0&amp;row=5776&amp;col=7&amp;number=0.0805&amp;sourceID=14","0.0805")</f>
        <v>0.0805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HYPERLINK("http://141.218.60.56/~jnz1568/getInfo.php?workbook=10_05.xlsx&amp;sheet=U0&amp;row=5777&amp;col=6&amp;number=4.3&amp;sourceID=14","4.3")</f>
        <v>4.3</v>
      </c>
      <c r="G5777" s="4" t="str">
        <f>HYPERLINK("http://141.218.60.56/~jnz1568/getInfo.php?workbook=10_05.xlsx&amp;sheet=U0&amp;row=5777&amp;col=7&amp;number=0.0792&amp;sourceID=14","0.0792")</f>
        <v>0.0792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HYPERLINK("http://141.218.60.56/~jnz1568/getInfo.php?workbook=10_05.xlsx&amp;sheet=U0&amp;row=5778&amp;col=6&amp;number=4.4&amp;sourceID=14","4.4")</f>
        <v>4.4</v>
      </c>
      <c r="G5778" s="4" t="str">
        <f>HYPERLINK("http://141.218.60.56/~jnz1568/getInfo.php?workbook=10_05.xlsx&amp;sheet=U0&amp;row=5778&amp;col=7&amp;number=0.0779&amp;sourceID=14","0.0779")</f>
        <v>0.0779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HYPERLINK("http://141.218.60.56/~jnz1568/getInfo.php?workbook=10_05.xlsx&amp;sheet=U0&amp;row=5779&amp;col=6&amp;number=4.5&amp;sourceID=14","4.5")</f>
        <v>4.5</v>
      </c>
      <c r="G5779" s="4" t="str">
        <f>HYPERLINK("http://141.218.60.56/~jnz1568/getInfo.php?workbook=10_05.xlsx&amp;sheet=U0&amp;row=5779&amp;col=7&amp;number=0.0765&amp;sourceID=14","0.0765")</f>
        <v>0.0765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HYPERLINK("http://141.218.60.56/~jnz1568/getInfo.php?workbook=10_05.xlsx&amp;sheet=U0&amp;row=5780&amp;col=6&amp;number=4.6&amp;sourceID=14","4.6")</f>
        <v>4.6</v>
      </c>
      <c r="G5780" s="4" t="str">
        <f>HYPERLINK("http://141.218.60.56/~jnz1568/getInfo.php?workbook=10_05.xlsx&amp;sheet=U0&amp;row=5780&amp;col=7&amp;number=0.0751&amp;sourceID=14","0.0751")</f>
        <v>0.0751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HYPERLINK("http://141.218.60.56/~jnz1568/getInfo.php?workbook=10_05.xlsx&amp;sheet=U0&amp;row=5781&amp;col=6&amp;number=4.7&amp;sourceID=14","4.7")</f>
        <v>4.7</v>
      </c>
      <c r="G5781" s="4" t="str">
        <f>HYPERLINK("http://141.218.60.56/~jnz1568/getInfo.php?workbook=10_05.xlsx&amp;sheet=U0&amp;row=5781&amp;col=7&amp;number=0.0737&amp;sourceID=14","0.0737")</f>
        <v>0.0737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HYPERLINK("http://141.218.60.56/~jnz1568/getInfo.php?workbook=10_05.xlsx&amp;sheet=U0&amp;row=5782&amp;col=6&amp;number=4.8&amp;sourceID=14","4.8")</f>
        <v>4.8</v>
      </c>
      <c r="G5782" s="4" t="str">
        <f>HYPERLINK("http://141.218.60.56/~jnz1568/getInfo.php?workbook=10_05.xlsx&amp;sheet=U0&amp;row=5782&amp;col=7&amp;number=0.0727&amp;sourceID=14","0.0727")</f>
        <v>0.0727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HYPERLINK("http://141.218.60.56/~jnz1568/getInfo.php?workbook=10_05.xlsx&amp;sheet=U0&amp;row=5783&amp;col=6&amp;number=4.9&amp;sourceID=14","4.9")</f>
        <v>4.9</v>
      </c>
      <c r="G5783" s="4" t="str">
        <f>HYPERLINK("http://141.218.60.56/~jnz1568/getInfo.php?workbook=10_05.xlsx&amp;sheet=U0&amp;row=5783&amp;col=7&amp;number=0.0719&amp;sourceID=14","0.0719")</f>
        <v>0.0719</v>
      </c>
    </row>
    <row r="5784" spans="1:7">
      <c r="A5784" s="3">
        <v>10</v>
      </c>
      <c r="B5784" s="3">
        <v>5</v>
      </c>
      <c r="C5784" s="3">
        <v>2</v>
      </c>
      <c r="D5784" s="3">
        <v>113</v>
      </c>
      <c r="E5784" s="3">
        <v>1</v>
      </c>
      <c r="F5784" s="4" t="str">
        <f>HYPERLINK("http://141.218.60.56/~jnz1568/getInfo.php?workbook=10_05.xlsx&amp;sheet=U0&amp;row=5784&amp;col=6&amp;number=3&amp;sourceID=14","3")</f>
        <v>3</v>
      </c>
      <c r="G5784" s="4" t="str">
        <f>HYPERLINK("http://141.218.60.56/~jnz1568/getInfo.php?workbook=10_05.xlsx&amp;sheet=U0&amp;row=5784&amp;col=7&amp;number=0.00515&amp;sourceID=14","0.00515")</f>
        <v>0.00515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HYPERLINK("http://141.218.60.56/~jnz1568/getInfo.php?workbook=10_05.xlsx&amp;sheet=U0&amp;row=5785&amp;col=6&amp;number=3.1&amp;sourceID=14","3.1")</f>
        <v>3.1</v>
      </c>
      <c r="G5785" s="4" t="str">
        <f>HYPERLINK("http://141.218.60.56/~jnz1568/getInfo.php?workbook=10_05.xlsx&amp;sheet=U0&amp;row=5785&amp;col=7&amp;number=0.00514&amp;sourceID=14","0.00514")</f>
        <v>0.00514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HYPERLINK("http://141.218.60.56/~jnz1568/getInfo.php?workbook=10_05.xlsx&amp;sheet=U0&amp;row=5786&amp;col=6&amp;number=3.2&amp;sourceID=14","3.2")</f>
        <v>3.2</v>
      </c>
      <c r="G5786" s="4" t="str">
        <f>HYPERLINK("http://141.218.60.56/~jnz1568/getInfo.php?workbook=10_05.xlsx&amp;sheet=U0&amp;row=5786&amp;col=7&amp;number=0.00512&amp;sourceID=14","0.00512")</f>
        <v>0.00512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HYPERLINK("http://141.218.60.56/~jnz1568/getInfo.php?workbook=10_05.xlsx&amp;sheet=U0&amp;row=5787&amp;col=6&amp;number=3.3&amp;sourceID=14","3.3")</f>
        <v>3.3</v>
      </c>
      <c r="G5787" s="4" t="str">
        <f>HYPERLINK("http://141.218.60.56/~jnz1568/getInfo.php?workbook=10_05.xlsx&amp;sheet=U0&amp;row=5787&amp;col=7&amp;number=0.00511&amp;sourceID=14","0.00511")</f>
        <v>0.00511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HYPERLINK("http://141.218.60.56/~jnz1568/getInfo.php?workbook=10_05.xlsx&amp;sheet=U0&amp;row=5788&amp;col=6&amp;number=3.4&amp;sourceID=14","3.4")</f>
        <v>3.4</v>
      </c>
      <c r="G5788" s="4" t="str">
        <f>HYPERLINK("http://141.218.60.56/~jnz1568/getInfo.php?workbook=10_05.xlsx&amp;sheet=U0&amp;row=5788&amp;col=7&amp;number=0.00509&amp;sourceID=14","0.00509")</f>
        <v>0.00509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HYPERLINK("http://141.218.60.56/~jnz1568/getInfo.php?workbook=10_05.xlsx&amp;sheet=U0&amp;row=5789&amp;col=6&amp;number=3.5&amp;sourceID=14","3.5")</f>
        <v>3.5</v>
      </c>
      <c r="G5789" s="4" t="str">
        <f>HYPERLINK("http://141.218.60.56/~jnz1568/getInfo.php?workbook=10_05.xlsx&amp;sheet=U0&amp;row=5789&amp;col=7&amp;number=0.00506&amp;sourceID=14","0.00506")</f>
        <v>0.00506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HYPERLINK("http://141.218.60.56/~jnz1568/getInfo.php?workbook=10_05.xlsx&amp;sheet=U0&amp;row=5790&amp;col=6&amp;number=3.6&amp;sourceID=14","3.6")</f>
        <v>3.6</v>
      </c>
      <c r="G5790" s="4" t="str">
        <f>HYPERLINK("http://141.218.60.56/~jnz1568/getInfo.php?workbook=10_05.xlsx&amp;sheet=U0&amp;row=5790&amp;col=7&amp;number=0.00503&amp;sourceID=14","0.00503")</f>
        <v>0.00503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HYPERLINK("http://141.218.60.56/~jnz1568/getInfo.php?workbook=10_05.xlsx&amp;sheet=U0&amp;row=5791&amp;col=6&amp;number=3.7&amp;sourceID=14","3.7")</f>
        <v>3.7</v>
      </c>
      <c r="G5791" s="4" t="str">
        <f>HYPERLINK("http://141.218.60.56/~jnz1568/getInfo.php?workbook=10_05.xlsx&amp;sheet=U0&amp;row=5791&amp;col=7&amp;number=0.00498&amp;sourceID=14","0.00498")</f>
        <v>0.00498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HYPERLINK("http://141.218.60.56/~jnz1568/getInfo.php?workbook=10_05.xlsx&amp;sheet=U0&amp;row=5792&amp;col=6&amp;number=3.8&amp;sourceID=14","3.8")</f>
        <v>3.8</v>
      </c>
      <c r="G5792" s="4" t="str">
        <f>HYPERLINK("http://141.218.60.56/~jnz1568/getInfo.php?workbook=10_05.xlsx&amp;sheet=U0&amp;row=5792&amp;col=7&amp;number=0.00493&amp;sourceID=14","0.00493")</f>
        <v>0.00493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HYPERLINK("http://141.218.60.56/~jnz1568/getInfo.php?workbook=10_05.xlsx&amp;sheet=U0&amp;row=5793&amp;col=6&amp;number=3.9&amp;sourceID=14","3.9")</f>
        <v>3.9</v>
      </c>
      <c r="G5793" s="4" t="str">
        <f>HYPERLINK("http://141.218.60.56/~jnz1568/getInfo.php?workbook=10_05.xlsx&amp;sheet=U0&amp;row=5793&amp;col=7&amp;number=0.00487&amp;sourceID=14","0.00487")</f>
        <v>0.00487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HYPERLINK("http://141.218.60.56/~jnz1568/getInfo.php?workbook=10_05.xlsx&amp;sheet=U0&amp;row=5794&amp;col=6&amp;number=4&amp;sourceID=14","4")</f>
        <v>4</v>
      </c>
      <c r="G5794" s="4" t="str">
        <f>HYPERLINK("http://141.218.60.56/~jnz1568/getInfo.php?workbook=10_05.xlsx&amp;sheet=U0&amp;row=5794&amp;col=7&amp;number=0.00479&amp;sourceID=14","0.00479")</f>
        <v>0.00479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HYPERLINK("http://141.218.60.56/~jnz1568/getInfo.php?workbook=10_05.xlsx&amp;sheet=U0&amp;row=5795&amp;col=6&amp;number=4.1&amp;sourceID=14","4.1")</f>
        <v>4.1</v>
      </c>
      <c r="G5795" s="4" t="str">
        <f>HYPERLINK("http://141.218.60.56/~jnz1568/getInfo.php?workbook=10_05.xlsx&amp;sheet=U0&amp;row=5795&amp;col=7&amp;number=0.0047&amp;sourceID=14","0.0047")</f>
        <v>0.0047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HYPERLINK("http://141.218.60.56/~jnz1568/getInfo.php?workbook=10_05.xlsx&amp;sheet=U0&amp;row=5796&amp;col=6&amp;number=4.2&amp;sourceID=14","4.2")</f>
        <v>4.2</v>
      </c>
      <c r="G5796" s="4" t="str">
        <f>HYPERLINK("http://141.218.60.56/~jnz1568/getInfo.php?workbook=10_05.xlsx&amp;sheet=U0&amp;row=5796&amp;col=7&amp;number=0.00458&amp;sourceID=14","0.00458")</f>
        <v>0.00458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HYPERLINK("http://141.218.60.56/~jnz1568/getInfo.php?workbook=10_05.xlsx&amp;sheet=U0&amp;row=5797&amp;col=6&amp;number=4.3&amp;sourceID=14","4.3")</f>
        <v>4.3</v>
      </c>
      <c r="G5797" s="4" t="str">
        <f>HYPERLINK("http://141.218.60.56/~jnz1568/getInfo.php?workbook=10_05.xlsx&amp;sheet=U0&amp;row=5797&amp;col=7&amp;number=0.00444&amp;sourceID=14","0.00444")</f>
        <v>0.00444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HYPERLINK("http://141.218.60.56/~jnz1568/getInfo.php?workbook=10_05.xlsx&amp;sheet=U0&amp;row=5798&amp;col=6&amp;number=4.4&amp;sourceID=14","4.4")</f>
        <v>4.4</v>
      </c>
      <c r="G5798" s="4" t="str">
        <f>HYPERLINK("http://141.218.60.56/~jnz1568/getInfo.php?workbook=10_05.xlsx&amp;sheet=U0&amp;row=5798&amp;col=7&amp;number=0.00427&amp;sourceID=14","0.00427")</f>
        <v>0.00427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HYPERLINK("http://141.218.60.56/~jnz1568/getInfo.php?workbook=10_05.xlsx&amp;sheet=U0&amp;row=5799&amp;col=6&amp;number=4.5&amp;sourceID=14","4.5")</f>
        <v>4.5</v>
      </c>
      <c r="G5799" s="4" t="str">
        <f>HYPERLINK("http://141.218.60.56/~jnz1568/getInfo.php?workbook=10_05.xlsx&amp;sheet=U0&amp;row=5799&amp;col=7&amp;number=0.00407&amp;sourceID=14","0.00407")</f>
        <v>0.00407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HYPERLINK("http://141.218.60.56/~jnz1568/getInfo.php?workbook=10_05.xlsx&amp;sheet=U0&amp;row=5800&amp;col=6&amp;number=4.6&amp;sourceID=14","4.6")</f>
        <v>4.6</v>
      </c>
      <c r="G5800" s="4" t="str">
        <f>HYPERLINK("http://141.218.60.56/~jnz1568/getInfo.php?workbook=10_05.xlsx&amp;sheet=U0&amp;row=5800&amp;col=7&amp;number=0.00385&amp;sourceID=14","0.00385")</f>
        <v>0.00385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HYPERLINK("http://141.218.60.56/~jnz1568/getInfo.php?workbook=10_05.xlsx&amp;sheet=U0&amp;row=5801&amp;col=6&amp;number=4.7&amp;sourceID=14","4.7")</f>
        <v>4.7</v>
      </c>
      <c r="G5801" s="4" t="str">
        <f>HYPERLINK("http://141.218.60.56/~jnz1568/getInfo.php?workbook=10_05.xlsx&amp;sheet=U0&amp;row=5801&amp;col=7&amp;number=0.00362&amp;sourceID=14","0.00362")</f>
        <v>0.00362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HYPERLINK("http://141.218.60.56/~jnz1568/getInfo.php?workbook=10_05.xlsx&amp;sheet=U0&amp;row=5802&amp;col=6&amp;number=4.8&amp;sourceID=14","4.8")</f>
        <v>4.8</v>
      </c>
      <c r="G5802" s="4" t="str">
        <f>HYPERLINK("http://141.218.60.56/~jnz1568/getInfo.php?workbook=10_05.xlsx&amp;sheet=U0&amp;row=5802&amp;col=7&amp;number=0.00341&amp;sourceID=14","0.00341")</f>
        <v>0.00341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HYPERLINK("http://141.218.60.56/~jnz1568/getInfo.php?workbook=10_05.xlsx&amp;sheet=U0&amp;row=5803&amp;col=6&amp;number=4.9&amp;sourceID=14","4.9")</f>
        <v>4.9</v>
      </c>
      <c r="G5803" s="4" t="str">
        <f>HYPERLINK("http://141.218.60.56/~jnz1568/getInfo.php?workbook=10_05.xlsx&amp;sheet=U0&amp;row=5803&amp;col=7&amp;number=0.00323&amp;sourceID=14","0.00323")</f>
        <v>0.00323</v>
      </c>
    </row>
    <row r="5804" spans="1:7">
      <c r="A5804" s="3">
        <v>10</v>
      </c>
      <c r="B5804" s="3">
        <v>5</v>
      </c>
      <c r="C5804" s="3">
        <v>2</v>
      </c>
      <c r="D5804" s="3">
        <v>114</v>
      </c>
      <c r="E5804" s="3">
        <v>1</v>
      </c>
      <c r="F5804" s="4" t="str">
        <f>HYPERLINK("http://141.218.60.56/~jnz1568/getInfo.php?workbook=10_05.xlsx&amp;sheet=U0&amp;row=5804&amp;col=6&amp;number=3&amp;sourceID=14","3")</f>
        <v>3</v>
      </c>
      <c r="G5804" s="4" t="str">
        <f>HYPERLINK("http://141.218.60.56/~jnz1568/getInfo.php?workbook=10_05.xlsx&amp;sheet=U0&amp;row=5804&amp;col=7&amp;number=0.00326&amp;sourceID=14","0.00326")</f>
        <v>0.00326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HYPERLINK("http://141.218.60.56/~jnz1568/getInfo.php?workbook=10_05.xlsx&amp;sheet=U0&amp;row=5805&amp;col=6&amp;number=3.1&amp;sourceID=14","3.1")</f>
        <v>3.1</v>
      </c>
      <c r="G5805" s="4" t="str">
        <f>HYPERLINK("http://141.218.60.56/~jnz1568/getInfo.php?workbook=10_05.xlsx&amp;sheet=U0&amp;row=5805&amp;col=7&amp;number=0.00325&amp;sourceID=14","0.00325")</f>
        <v>0.00325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HYPERLINK("http://141.218.60.56/~jnz1568/getInfo.php?workbook=10_05.xlsx&amp;sheet=U0&amp;row=5806&amp;col=6&amp;number=3.2&amp;sourceID=14","3.2")</f>
        <v>3.2</v>
      </c>
      <c r="G5806" s="4" t="str">
        <f>HYPERLINK("http://141.218.60.56/~jnz1568/getInfo.php?workbook=10_05.xlsx&amp;sheet=U0&amp;row=5806&amp;col=7&amp;number=0.00324&amp;sourceID=14","0.00324")</f>
        <v>0.00324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HYPERLINK("http://141.218.60.56/~jnz1568/getInfo.php?workbook=10_05.xlsx&amp;sheet=U0&amp;row=5807&amp;col=6&amp;number=3.3&amp;sourceID=14","3.3")</f>
        <v>3.3</v>
      </c>
      <c r="G5807" s="4" t="str">
        <f>HYPERLINK("http://141.218.60.56/~jnz1568/getInfo.php?workbook=10_05.xlsx&amp;sheet=U0&amp;row=5807&amp;col=7&amp;number=0.00322&amp;sourceID=14","0.00322")</f>
        <v>0.00322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HYPERLINK("http://141.218.60.56/~jnz1568/getInfo.php?workbook=10_05.xlsx&amp;sheet=U0&amp;row=5808&amp;col=6&amp;number=3.4&amp;sourceID=14","3.4")</f>
        <v>3.4</v>
      </c>
      <c r="G5808" s="4" t="str">
        <f>HYPERLINK("http://141.218.60.56/~jnz1568/getInfo.php?workbook=10_05.xlsx&amp;sheet=U0&amp;row=5808&amp;col=7&amp;number=0.00321&amp;sourceID=14","0.00321")</f>
        <v>0.00321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HYPERLINK("http://141.218.60.56/~jnz1568/getInfo.php?workbook=10_05.xlsx&amp;sheet=U0&amp;row=5809&amp;col=6&amp;number=3.5&amp;sourceID=14","3.5")</f>
        <v>3.5</v>
      </c>
      <c r="G5809" s="4" t="str">
        <f>HYPERLINK("http://141.218.60.56/~jnz1568/getInfo.php?workbook=10_05.xlsx&amp;sheet=U0&amp;row=5809&amp;col=7&amp;number=0.00319&amp;sourceID=14","0.00319")</f>
        <v>0.00319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HYPERLINK("http://141.218.60.56/~jnz1568/getInfo.php?workbook=10_05.xlsx&amp;sheet=U0&amp;row=5810&amp;col=6&amp;number=3.6&amp;sourceID=14","3.6")</f>
        <v>3.6</v>
      </c>
      <c r="G5810" s="4" t="str">
        <f>HYPERLINK("http://141.218.60.56/~jnz1568/getInfo.php?workbook=10_05.xlsx&amp;sheet=U0&amp;row=5810&amp;col=7&amp;number=0.00316&amp;sourceID=14","0.00316")</f>
        <v>0.00316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HYPERLINK("http://141.218.60.56/~jnz1568/getInfo.php?workbook=10_05.xlsx&amp;sheet=U0&amp;row=5811&amp;col=6&amp;number=3.7&amp;sourceID=14","3.7")</f>
        <v>3.7</v>
      </c>
      <c r="G5811" s="4" t="str">
        <f>HYPERLINK("http://141.218.60.56/~jnz1568/getInfo.php?workbook=10_05.xlsx&amp;sheet=U0&amp;row=5811&amp;col=7&amp;number=0.00313&amp;sourceID=14","0.00313")</f>
        <v>0.00313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HYPERLINK("http://141.218.60.56/~jnz1568/getInfo.php?workbook=10_05.xlsx&amp;sheet=U0&amp;row=5812&amp;col=6&amp;number=3.8&amp;sourceID=14","3.8")</f>
        <v>3.8</v>
      </c>
      <c r="G5812" s="4" t="str">
        <f>HYPERLINK("http://141.218.60.56/~jnz1568/getInfo.php?workbook=10_05.xlsx&amp;sheet=U0&amp;row=5812&amp;col=7&amp;number=0.00309&amp;sourceID=14","0.00309")</f>
        <v>0.00309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HYPERLINK("http://141.218.60.56/~jnz1568/getInfo.php?workbook=10_05.xlsx&amp;sheet=U0&amp;row=5813&amp;col=6&amp;number=3.9&amp;sourceID=14","3.9")</f>
        <v>3.9</v>
      </c>
      <c r="G5813" s="4" t="str">
        <f>HYPERLINK("http://141.218.60.56/~jnz1568/getInfo.php?workbook=10_05.xlsx&amp;sheet=U0&amp;row=5813&amp;col=7&amp;number=0.00304&amp;sourceID=14","0.00304")</f>
        <v>0.00304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HYPERLINK("http://141.218.60.56/~jnz1568/getInfo.php?workbook=10_05.xlsx&amp;sheet=U0&amp;row=5814&amp;col=6&amp;number=4&amp;sourceID=14","4")</f>
        <v>4</v>
      </c>
      <c r="G5814" s="4" t="str">
        <f>HYPERLINK("http://141.218.60.56/~jnz1568/getInfo.php?workbook=10_05.xlsx&amp;sheet=U0&amp;row=5814&amp;col=7&amp;number=0.00297&amp;sourceID=14","0.00297")</f>
        <v>0.00297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HYPERLINK("http://141.218.60.56/~jnz1568/getInfo.php?workbook=10_05.xlsx&amp;sheet=U0&amp;row=5815&amp;col=6&amp;number=4.1&amp;sourceID=14","4.1")</f>
        <v>4.1</v>
      </c>
      <c r="G5815" s="4" t="str">
        <f>HYPERLINK("http://141.218.60.56/~jnz1568/getInfo.php?workbook=10_05.xlsx&amp;sheet=U0&amp;row=5815&amp;col=7&amp;number=0.0029&amp;sourceID=14","0.0029")</f>
        <v>0.0029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HYPERLINK("http://141.218.60.56/~jnz1568/getInfo.php?workbook=10_05.xlsx&amp;sheet=U0&amp;row=5816&amp;col=6&amp;number=4.2&amp;sourceID=14","4.2")</f>
        <v>4.2</v>
      </c>
      <c r="G5816" s="4" t="str">
        <f>HYPERLINK("http://141.218.60.56/~jnz1568/getInfo.php?workbook=10_05.xlsx&amp;sheet=U0&amp;row=5816&amp;col=7&amp;number=0.00281&amp;sourceID=14","0.00281")</f>
        <v>0.00281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HYPERLINK("http://141.218.60.56/~jnz1568/getInfo.php?workbook=10_05.xlsx&amp;sheet=U0&amp;row=5817&amp;col=6&amp;number=4.3&amp;sourceID=14","4.3")</f>
        <v>4.3</v>
      </c>
      <c r="G5817" s="4" t="str">
        <f>HYPERLINK("http://141.218.60.56/~jnz1568/getInfo.php?workbook=10_05.xlsx&amp;sheet=U0&amp;row=5817&amp;col=7&amp;number=0.0027&amp;sourceID=14","0.0027")</f>
        <v>0.0027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HYPERLINK("http://141.218.60.56/~jnz1568/getInfo.php?workbook=10_05.xlsx&amp;sheet=U0&amp;row=5818&amp;col=6&amp;number=4.4&amp;sourceID=14","4.4")</f>
        <v>4.4</v>
      </c>
      <c r="G5818" s="4" t="str">
        <f>HYPERLINK("http://141.218.60.56/~jnz1568/getInfo.php?workbook=10_05.xlsx&amp;sheet=U0&amp;row=5818&amp;col=7&amp;number=0.00257&amp;sourceID=14","0.00257")</f>
        <v>0.00257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HYPERLINK("http://141.218.60.56/~jnz1568/getInfo.php?workbook=10_05.xlsx&amp;sheet=U0&amp;row=5819&amp;col=6&amp;number=4.5&amp;sourceID=14","4.5")</f>
        <v>4.5</v>
      </c>
      <c r="G5819" s="4" t="str">
        <f>HYPERLINK("http://141.218.60.56/~jnz1568/getInfo.php?workbook=10_05.xlsx&amp;sheet=U0&amp;row=5819&amp;col=7&amp;number=0.00242&amp;sourceID=14","0.00242")</f>
        <v>0.00242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HYPERLINK("http://141.218.60.56/~jnz1568/getInfo.php?workbook=10_05.xlsx&amp;sheet=U0&amp;row=5820&amp;col=6&amp;number=4.6&amp;sourceID=14","4.6")</f>
        <v>4.6</v>
      </c>
      <c r="G5820" s="4" t="str">
        <f>HYPERLINK("http://141.218.60.56/~jnz1568/getInfo.php?workbook=10_05.xlsx&amp;sheet=U0&amp;row=5820&amp;col=7&amp;number=0.00226&amp;sourceID=14","0.00226")</f>
        <v>0.00226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HYPERLINK("http://141.218.60.56/~jnz1568/getInfo.php?workbook=10_05.xlsx&amp;sheet=U0&amp;row=5821&amp;col=6&amp;number=4.7&amp;sourceID=14","4.7")</f>
        <v>4.7</v>
      </c>
      <c r="G5821" s="4" t="str">
        <f>HYPERLINK("http://141.218.60.56/~jnz1568/getInfo.php?workbook=10_05.xlsx&amp;sheet=U0&amp;row=5821&amp;col=7&amp;number=0.00209&amp;sourceID=14","0.00209")</f>
        <v>0.00209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HYPERLINK("http://141.218.60.56/~jnz1568/getInfo.php?workbook=10_05.xlsx&amp;sheet=U0&amp;row=5822&amp;col=6&amp;number=4.8&amp;sourceID=14","4.8")</f>
        <v>4.8</v>
      </c>
      <c r="G5822" s="4" t="str">
        <f>HYPERLINK("http://141.218.60.56/~jnz1568/getInfo.php?workbook=10_05.xlsx&amp;sheet=U0&amp;row=5822&amp;col=7&amp;number=0.00194&amp;sourceID=14","0.00194")</f>
        <v>0.00194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HYPERLINK("http://141.218.60.56/~jnz1568/getInfo.php?workbook=10_05.xlsx&amp;sheet=U0&amp;row=5823&amp;col=6&amp;number=4.9&amp;sourceID=14","4.9")</f>
        <v>4.9</v>
      </c>
      <c r="G5823" s="4" t="str">
        <f>HYPERLINK("http://141.218.60.56/~jnz1568/getInfo.php?workbook=10_05.xlsx&amp;sheet=U0&amp;row=5823&amp;col=7&amp;number=0.00182&amp;sourceID=14","0.00182")</f>
        <v>0.00182</v>
      </c>
    </row>
    <row r="5824" spans="1:7">
      <c r="A5824" s="3">
        <v>10</v>
      </c>
      <c r="B5824" s="3">
        <v>5</v>
      </c>
      <c r="C5824" s="3">
        <v>2</v>
      </c>
      <c r="D5824" s="3">
        <v>115</v>
      </c>
      <c r="E5824" s="3">
        <v>1</v>
      </c>
      <c r="F5824" s="4" t="str">
        <f>HYPERLINK("http://141.218.60.56/~jnz1568/getInfo.php?workbook=10_05.xlsx&amp;sheet=U0&amp;row=5824&amp;col=6&amp;number=3&amp;sourceID=14","3")</f>
        <v>3</v>
      </c>
      <c r="G5824" s="4" t="str">
        <f>HYPERLINK("http://141.218.60.56/~jnz1568/getInfo.php?workbook=10_05.xlsx&amp;sheet=U0&amp;row=5824&amp;col=7&amp;number=0.00226&amp;sourceID=14","0.00226")</f>
        <v>0.00226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HYPERLINK("http://141.218.60.56/~jnz1568/getInfo.php?workbook=10_05.xlsx&amp;sheet=U0&amp;row=5825&amp;col=6&amp;number=3.1&amp;sourceID=14","3.1")</f>
        <v>3.1</v>
      </c>
      <c r="G5825" s="4" t="str">
        <f>HYPERLINK("http://141.218.60.56/~jnz1568/getInfo.php?workbook=10_05.xlsx&amp;sheet=U0&amp;row=5825&amp;col=7&amp;number=0.00225&amp;sourceID=14","0.00225")</f>
        <v>0.00225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HYPERLINK("http://141.218.60.56/~jnz1568/getInfo.php?workbook=10_05.xlsx&amp;sheet=U0&amp;row=5826&amp;col=6&amp;number=3.2&amp;sourceID=14","3.2")</f>
        <v>3.2</v>
      </c>
      <c r="G5826" s="4" t="str">
        <f>HYPERLINK("http://141.218.60.56/~jnz1568/getInfo.php?workbook=10_05.xlsx&amp;sheet=U0&amp;row=5826&amp;col=7&amp;number=0.00224&amp;sourceID=14","0.00224")</f>
        <v>0.00224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HYPERLINK("http://141.218.60.56/~jnz1568/getInfo.php?workbook=10_05.xlsx&amp;sheet=U0&amp;row=5827&amp;col=6&amp;number=3.3&amp;sourceID=14","3.3")</f>
        <v>3.3</v>
      </c>
      <c r="G5827" s="4" t="str">
        <f>HYPERLINK("http://141.218.60.56/~jnz1568/getInfo.php?workbook=10_05.xlsx&amp;sheet=U0&amp;row=5827&amp;col=7&amp;number=0.00223&amp;sourceID=14","0.00223")</f>
        <v>0.00223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HYPERLINK("http://141.218.60.56/~jnz1568/getInfo.php?workbook=10_05.xlsx&amp;sheet=U0&amp;row=5828&amp;col=6&amp;number=3.4&amp;sourceID=14","3.4")</f>
        <v>3.4</v>
      </c>
      <c r="G5828" s="4" t="str">
        <f>HYPERLINK("http://141.218.60.56/~jnz1568/getInfo.php?workbook=10_05.xlsx&amp;sheet=U0&amp;row=5828&amp;col=7&amp;number=0.00222&amp;sourceID=14","0.00222")</f>
        <v>0.00222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HYPERLINK("http://141.218.60.56/~jnz1568/getInfo.php?workbook=10_05.xlsx&amp;sheet=U0&amp;row=5829&amp;col=6&amp;number=3.5&amp;sourceID=14","3.5")</f>
        <v>3.5</v>
      </c>
      <c r="G5829" s="4" t="str">
        <f>HYPERLINK("http://141.218.60.56/~jnz1568/getInfo.php?workbook=10_05.xlsx&amp;sheet=U0&amp;row=5829&amp;col=7&amp;number=0.0022&amp;sourceID=14","0.0022")</f>
        <v>0.0022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HYPERLINK("http://141.218.60.56/~jnz1568/getInfo.php?workbook=10_05.xlsx&amp;sheet=U0&amp;row=5830&amp;col=6&amp;number=3.6&amp;sourceID=14","3.6")</f>
        <v>3.6</v>
      </c>
      <c r="G5830" s="4" t="str">
        <f>HYPERLINK("http://141.218.60.56/~jnz1568/getInfo.php?workbook=10_05.xlsx&amp;sheet=U0&amp;row=5830&amp;col=7&amp;number=0.00217&amp;sourceID=14","0.00217")</f>
        <v>0.00217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HYPERLINK("http://141.218.60.56/~jnz1568/getInfo.php?workbook=10_05.xlsx&amp;sheet=U0&amp;row=5831&amp;col=6&amp;number=3.7&amp;sourceID=14","3.7")</f>
        <v>3.7</v>
      </c>
      <c r="G5831" s="4" t="str">
        <f>HYPERLINK("http://141.218.60.56/~jnz1568/getInfo.php?workbook=10_05.xlsx&amp;sheet=U0&amp;row=5831&amp;col=7&amp;number=0.00214&amp;sourceID=14","0.00214")</f>
        <v>0.00214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HYPERLINK("http://141.218.60.56/~jnz1568/getInfo.php?workbook=10_05.xlsx&amp;sheet=U0&amp;row=5832&amp;col=6&amp;number=3.8&amp;sourceID=14","3.8")</f>
        <v>3.8</v>
      </c>
      <c r="G5832" s="4" t="str">
        <f>HYPERLINK("http://141.218.60.56/~jnz1568/getInfo.php?workbook=10_05.xlsx&amp;sheet=U0&amp;row=5832&amp;col=7&amp;number=0.0021&amp;sourceID=14","0.0021")</f>
        <v>0.0021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HYPERLINK("http://141.218.60.56/~jnz1568/getInfo.php?workbook=10_05.xlsx&amp;sheet=U0&amp;row=5833&amp;col=6&amp;number=3.9&amp;sourceID=14","3.9")</f>
        <v>3.9</v>
      </c>
      <c r="G5833" s="4" t="str">
        <f>HYPERLINK("http://141.218.60.56/~jnz1568/getInfo.php?workbook=10_05.xlsx&amp;sheet=U0&amp;row=5833&amp;col=7&amp;number=0.00206&amp;sourceID=14","0.00206")</f>
        <v>0.00206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HYPERLINK("http://141.218.60.56/~jnz1568/getInfo.php?workbook=10_05.xlsx&amp;sheet=U0&amp;row=5834&amp;col=6&amp;number=4&amp;sourceID=14","4")</f>
        <v>4</v>
      </c>
      <c r="G5834" s="4" t="str">
        <f>HYPERLINK("http://141.218.60.56/~jnz1568/getInfo.php?workbook=10_05.xlsx&amp;sheet=U0&amp;row=5834&amp;col=7&amp;number=0.00201&amp;sourceID=14","0.00201")</f>
        <v>0.00201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HYPERLINK("http://141.218.60.56/~jnz1568/getInfo.php?workbook=10_05.xlsx&amp;sheet=U0&amp;row=5835&amp;col=6&amp;number=4.1&amp;sourceID=14","4.1")</f>
        <v>4.1</v>
      </c>
      <c r="G5835" s="4" t="str">
        <f>HYPERLINK("http://141.218.60.56/~jnz1568/getInfo.php?workbook=10_05.xlsx&amp;sheet=U0&amp;row=5835&amp;col=7&amp;number=0.00194&amp;sourceID=14","0.00194")</f>
        <v>0.00194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HYPERLINK("http://141.218.60.56/~jnz1568/getInfo.php?workbook=10_05.xlsx&amp;sheet=U0&amp;row=5836&amp;col=6&amp;number=4.2&amp;sourceID=14","4.2")</f>
        <v>4.2</v>
      </c>
      <c r="G5836" s="4" t="str">
        <f>HYPERLINK("http://141.218.60.56/~jnz1568/getInfo.php?workbook=10_05.xlsx&amp;sheet=U0&amp;row=5836&amp;col=7&amp;number=0.00187&amp;sourceID=14","0.00187")</f>
        <v>0.00187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HYPERLINK("http://141.218.60.56/~jnz1568/getInfo.php?workbook=10_05.xlsx&amp;sheet=U0&amp;row=5837&amp;col=6&amp;number=4.3&amp;sourceID=14","4.3")</f>
        <v>4.3</v>
      </c>
      <c r="G5837" s="4" t="str">
        <f>HYPERLINK("http://141.218.60.56/~jnz1568/getInfo.php?workbook=10_05.xlsx&amp;sheet=U0&amp;row=5837&amp;col=7&amp;number=0.00179&amp;sourceID=14","0.00179")</f>
        <v>0.00179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HYPERLINK("http://141.218.60.56/~jnz1568/getInfo.php?workbook=10_05.xlsx&amp;sheet=U0&amp;row=5838&amp;col=6&amp;number=4.4&amp;sourceID=14","4.4")</f>
        <v>4.4</v>
      </c>
      <c r="G5838" s="4" t="str">
        <f>HYPERLINK("http://141.218.60.56/~jnz1568/getInfo.php?workbook=10_05.xlsx&amp;sheet=U0&amp;row=5838&amp;col=7&amp;number=0.00171&amp;sourceID=14","0.00171")</f>
        <v>0.00171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HYPERLINK("http://141.218.60.56/~jnz1568/getInfo.php?workbook=10_05.xlsx&amp;sheet=U0&amp;row=5839&amp;col=6&amp;number=4.5&amp;sourceID=14","4.5")</f>
        <v>4.5</v>
      </c>
      <c r="G5839" s="4" t="str">
        <f>HYPERLINK("http://141.218.60.56/~jnz1568/getInfo.php?workbook=10_05.xlsx&amp;sheet=U0&amp;row=5839&amp;col=7&amp;number=0.00163&amp;sourceID=14","0.00163")</f>
        <v>0.00163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HYPERLINK("http://141.218.60.56/~jnz1568/getInfo.php?workbook=10_05.xlsx&amp;sheet=U0&amp;row=5840&amp;col=6&amp;number=4.6&amp;sourceID=14","4.6")</f>
        <v>4.6</v>
      </c>
      <c r="G5840" s="4" t="str">
        <f>HYPERLINK("http://141.218.60.56/~jnz1568/getInfo.php?workbook=10_05.xlsx&amp;sheet=U0&amp;row=5840&amp;col=7&amp;number=0.00157&amp;sourceID=14","0.00157")</f>
        <v>0.00157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HYPERLINK("http://141.218.60.56/~jnz1568/getInfo.php?workbook=10_05.xlsx&amp;sheet=U0&amp;row=5841&amp;col=6&amp;number=4.7&amp;sourceID=14","4.7")</f>
        <v>4.7</v>
      </c>
      <c r="G5841" s="4" t="str">
        <f>HYPERLINK("http://141.218.60.56/~jnz1568/getInfo.php?workbook=10_05.xlsx&amp;sheet=U0&amp;row=5841&amp;col=7&amp;number=0.00151&amp;sourceID=14","0.00151")</f>
        <v>0.00151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HYPERLINK("http://141.218.60.56/~jnz1568/getInfo.php?workbook=10_05.xlsx&amp;sheet=U0&amp;row=5842&amp;col=6&amp;number=4.8&amp;sourceID=14","4.8")</f>
        <v>4.8</v>
      </c>
      <c r="G5842" s="4" t="str">
        <f>HYPERLINK("http://141.218.60.56/~jnz1568/getInfo.php?workbook=10_05.xlsx&amp;sheet=U0&amp;row=5842&amp;col=7&amp;number=0.00145&amp;sourceID=14","0.00145")</f>
        <v>0.00145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HYPERLINK("http://141.218.60.56/~jnz1568/getInfo.php?workbook=10_05.xlsx&amp;sheet=U0&amp;row=5843&amp;col=6&amp;number=4.9&amp;sourceID=14","4.9")</f>
        <v>4.9</v>
      </c>
      <c r="G5843" s="4" t="str">
        <f>HYPERLINK("http://141.218.60.56/~jnz1568/getInfo.php?workbook=10_05.xlsx&amp;sheet=U0&amp;row=5843&amp;col=7&amp;number=0.0014&amp;sourceID=14","0.0014")</f>
        <v>0.0014</v>
      </c>
    </row>
    <row r="5844" spans="1:7">
      <c r="A5844" s="3">
        <v>10</v>
      </c>
      <c r="B5844" s="3">
        <v>5</v>
      </c>
      <c r="C5844" s="3">
        <v>2</v>
      </c>
      <c r="D5844" s="3">
        <v>116</v>
      </c>
      <c r="E5844" s="3">
        <v>1</v>
      </c>
      <c r="F5844" s="4" t="str">
        <f>HYPERLINK("http://141.218.60.56/~jnz1568/getInfo.php?workbook=10_05.xlsx&amp;sheet=U0&amp;row=5844&amp;col=6&amp;number=3&amp;sourceID=14","3")</f>
        <v>3</v>
      </c>
      <c r="G5844" s="4" t="str">
        <f>HYPERLINK("http://141.218.60.56/~jnz1568/getInfo.php?workbook=10_05.xlsx&amp;sheet=U0&amp;row=5844&amp;col=7&amp;number=0.00396&amp;sourceID=14","0.00396")</f>
        <v>0.00396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HYPERLINK("http://141.218.60.56/~jnz1568/getInfo.php?workbook=10_05.xlsx&amp;sheet=U0&amp;row=5845&amp;col=6&amp;number=3.1&amp;sourceID=14","3.1")</f>
        <v>3.1</v>
      </c>
      <c r="G5845" s="4" t="str">
        <f>HYPERLINK("http://141.218.60.56/~jnz1568/getInfo.php?workbook=10_05.xlsx&amp;sheet=U0&amp;row=5845&amp;col=7&amp;number=0.00395&amp;sourceID=14","0.00395")</f>
        <v>0.00395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HYPERLINK("http://141.218.60.56/~jnz1568/getInfo.php?workbook=10_05.xlsx&amp;sheet=U0&amp;row=5846&amp;col=6&amp;number=3.2&amp;sourceID=14","3.2")</f>
        <v>3.2</v>
      </c>
      <c r="G5846" s="4" t="str">
        <f>HYPERLINK("http://141.218.60.56/~jnz1568/getInfo.php?workbook=10_05.xlsx&amp;sheet=U0&amp;row=5846&amp;col=7&amp;number=0.00393&amp;sourceID=14","0.00393")</f>
        <v>0.00393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HYPERLINK("http://141.218.60.56/~jnz1568/getInfo.php?workbook=10_05.xlsx&amp;sheet=U0&amp;row=5847&amp;col=6&amp;number=3.3&amp;sourceID=14","3.3")</f>
        <v>3.3</v>
      </c>
      <c r="G5847" s="4" t="str">
        <f>HYPERLINK("http://141.218.60.56/~jnz1568/getInfo.php?workbook=10_05.xlsx&amp;sheet=U0&amp;row=5847&amp;col=7&amp;number=0.00391&amp;sourceID=14","0.00391")</f>
        <v>0.00391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HYPERLINK("http://141.218.60.56/~jnz1568/getInfo.php?workbook=10_05.xlsx&amp;sheet=U0&amp;row=5848&amp;col=6&amp;number=3.4&amp;sourceID=14","3.4")</f>
        <v>3.4</v>
      </c>
      <c r="G5848" s="4" t="str">
        <f>HYPERLINK("http://141.218.60.56/~jnz1568/getInfo.php?workbook=10_05.xlsx&amp;sheet=U0&amp;row=5848&amp;col=7&amp;number=0.00388&amp;sourceID=14","0.00388")</f>
        <v>0.00388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HYPERLINK("http://141.218.60.56/~jnz1568/getInfo.php?workbook=10_05.xlsx&amp;sheet=U0&amp;row=5849&amp;col=6&amp;number=3.5&amp;sourceID=14","3.5")</f>
        <v>3.5</v>
      </c>
      <c r="G5849" s="4" t="str">
        <f>HYPERLINK("http://141.218.60.56/~jnz1568/getInfo.php?workbook=10_05.xlsx&amp;sheet=U0&amp;row=5849&amp;col=7&amp;number=0.00385&amp;sourceID=14","0.00385")</f>
        <v>0.00385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HYPERLINK("http://141.218.60.56/~jnz1568/getInfo.php?workbook=10_05.xlsx&amp;sheet=U0&amp;row=5850&amp;col=6&amp;number=3.6&amp;sourceID=14","3.6")</f>
        <v>3.6</v>
      </c>
      <c r="G5850" s="4" t="str">
        <f>HYPERLINK("http://141.218.60.56/~jnz1568/getInfo.php?workbook=10_05.xlsx&amp;sheet=U0&amp;row=5850&amp;col=7&amp;number=0.00381&amp;sourceID=14","0.00381")</f>
        <v>0.00381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HYPERLINK("http://141.218.60.56/~jnz1568/getInfo.php?workbook=10_05.xlsx&amp;sheet=U0&amp;row=5851&amp;col=6&amp;number=3.7&amp;sourceID=14","3.7")</f>
        <v>3.7</v>
      </c>
      <c r="G5851" s="4" t="str">
        <f>HYPERLINK("http://141.218.60.56/~jnz1568/getInfo.php?workbook=10_05.xlsx&amp;sheet=U0&amp;row=5851&amp;col=7&amp;number=0.00376&amp;sourceID=14","0.00376")</f>
        <v>0.00376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HYPERLINK("http://141.218.60.56/~jnz1568/getInfo.php?workbook=10_05.xlsx&amp;sheet=U0&amp;row=5852&amp;col=6&amp;number=3.8&amp;sourceID=14","3.8")</f>
        <v>3.8</v>
      </c>
      <c r="G5852" s="4" t="str">
        <f>HYPERLINK("http://141.218.60.56/~jnz1568/getInfo.php?workbook=10_05.xlsx&amp;sheet=U0&amp;row=5852&amp;col=7&amp;number=0.00369&amp;sourceID=14","0.00369")</f>
        <v>0.00369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HYPERLINK("http://141.218.60.56/~jnz1568/getInfo.php?workbook=10_05.xlsx&amp;sheet=U0&amp;row=5853&amp;col=6&amp;number=3.9&amp;sourceID=14","3.9")</f>
        <v>3.9</v>
      </c>
      <c r="G5853" s="4" t="str">
        <f>HYPERLINK("http://141.218.60.56/~jnz1568/getInfo.php?workbook=10_05.xlsx&amp;sheet=U0&amp;row=5853&amp;col=7&amp;number=0.00362&amp;sourceID=14","0.00362")</f>
        <v>0.00362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HYPERLINK("http://141.218.60.56/~jnz1568/getInfo.php?workbook=10_05.xlsx&amp;sheet=U0&amp;row=5854&amp;col=6&amp;number=4&amp;sourceID=14","4")</f>
        <v>4</v>
      </c>
      <c r="G5854" s="4" t="str">
        <f>HYPERLINK("http://141.218.60.56/~jnz1568/getInfo.php?workbook=10_05.xlsx&amp;sheet=U0&amp;row=5854&amp;col=7&amp;number=0.00352&amp;sourceID=14","0.00352")</f>
        <v>0.00352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HYPERLINK("http://141.218.60.56/~jnz1568/getInfo.php?workbook=10_05.xlsx&amp;sheet=U0&amp;row=5855&amp;col=6&amp;number=4.1&amp;sourceID=14","4.1")</f>
        <v>4.1</v>
      </c>
      <c r="G5855" s="4" t="str">
        <f>HYPERLINK("http://141.218.60.56/~jnz1568/getInfo.php?workbook=10_05.xlsx&amp;sheet=U0&amp;row=5855&amp;col=7&amp;number=0.00342&amp;sourceID=14","0.00342")</f>
        <v>0.00342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HYPERLINK("http://141.218.60.56/~jnz1568/getInfo.php?workbook=10_05.xlsx&amp;sheet=U0&amp;row=5856&amp;col=6&amp;number=4.2&amp;sourceID=14","4.2")</f>
        <v>4.2</v>
      </c>
      <c r="G5856" s="4" t="str">
        <f>HYPERLINK("http://141.218.60.56/~jnz1568/getInfo.php?workbook=10_05.xlsx&amp;sheet=U0&amp;row=5856&amp;col=7&amp;number=0.00329&amp;sourceID=14","0.00329")</f>
        <v>0.00329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HYPERLINK("http://141.218.60.56/~jnz1568/getInfo.php?workbook=10_05.xlsx&amp;sheet=U0&amp;row=5857&amp;col=6&amp;number=4.3&amp;sourceID=14","4.3")</f>
        <v>4.3</v>
      </c>
      <c r="G5857" s="4" t="str">
        <f>HYPERLINK("http://141.218.60.56/~jnz1568/getInfo.php?workbook=10_05.xlsx&amp;sheet=U0&amp;row=5857&amp;col=7&amp;number=0.00316&amp;sourceID=14","0.00316")</f>
        <v>0.00316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HYPERLINK("http://141.218.60.56/~jnz1568/getInfo.php?workbook=10_05.xlsx&amp;sheet=U0&amp;row=5858&amp;col=6&amp;number=4.4&amp;sourceID=14","4.4")</f>
        <v>4.4</v>
      </c>
      <c r="G5858" s="4" t="str">
        <f>HYPERLINK("http://141.218.60.56/~jnz1568/getInfo.php?workbook=10_05.xlsx&amp;sheet=U0&amp;row=5858&amp;col=7&amp;number=0.00303&amp;sourceID=14","0.00303")</f>
        <v>0.00303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HYPERLINK("http://141.218.60.56/~jnz1568/getInfo.php?workbook=10_05.xlsx&amp;sheet=U0&amp;row=5859&amp;col=6&amp;number=4.5&amp;sourceID=14","4.5")</f>
        <v>4.5</v>
      </c>
      <c r="G5859" s="4" t="str">
        <f>HYPERLINK("http://141.218.60.56/~jnz1568/getInfo.php?workbook=10_05.xlsx&amp;sheet=U0&amp;row=5859&amp;col=7&amp;number=0.00292&amp;sourceID=14","0.00292")</f>
        <v>0.00292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HYPERLINK("http://141.218.60.56/~jnz1568/getInfo.php?workbook=10_05.xlsx&amp;sheet=U0&amp;row=5860&amp;col=6&amp;number=4.6&amp;sourceID=14","4.6")</f>
        <v>4.6</v>
      </c>
      <c r="G5860" s="4" t="str">
        <f>HYPERLINK("http://141.218.60.56/~jnz1568/getInfo.php?workbook=10_05.xlsx&amp;sheet=U0&amp;row=5860&amp;col=7&amp;number=0.00283&amp;sourceID=14","0.00283")</f>
        <v>0.00283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HYPERLINK("http://141.218.60.56/~jnz1568/getInfo.php?workbook=10_05.xlsx&amp;sheet=U0&amp;row=5861&amp;col=6&amp;number=4.7&amp;sourceID=14","4.7")</f>
        <v>4.7</v>
      </c>
      <c r="G5861" s="4" t="str">
        <f>HYPERLINK("http://141.218.60.56/~jnz1568/getInfo.php?workbook=10_05.xlsx&amp;sheet=U0&amp;row=5861&amp;col=7&amp;number=0.00276&amp;sourceID=14","0.00276")</f>
        <v>0.00276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HYPERLINK("http://141.218.60.56/~jnz1568/getInfo.php?workbook=10_05.xlsx&amp;sheet=U0&amp;row=5862&amp;col=6&amp;number=4.8&amp;sourceID=14","4.8")</f>
        <v>4.8</v>
      </c>
      <c r="G5862" s="4" t="str">
        <f>HYPERLINK("http://141.218.60.56/~jnz1568/getInfo.php?workbook=10_05.xlsx&amp;sheet=U0&amp;row=5862&amp;col=7&amp;number=0.00267&amp;sourceID=14","0.00267")</f>
        <v>0.00267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HYPERLINK("http://141.218.60.56/~jnz1568/getInfo.php?workbook=10_05.xlsx&amp;sheet=U0&amp;row=5863&amp;col=6&amp;number=4.9&amp;sourceID=14","4.9")</f>
        <v>4.9</v>
      </c>
      <c r="G5863" s="4" t="str">
        <f>HYPERLINK("http://141.218.60.56/~jnz1568/getInfo.php?workbook=10_05.xlsx&amp;sheet=U0&amp;row=5863&amp;col=7&amp;number=0.00258&amp;sourceID=14","0.00258")</f>
        <v>0.00258</v>
      </c>
    </row>
    <row r="5864" spans="1:7">
      <c r="A5864" s="3">
        <v>10</v>
      </c>
      <c r="B5864" s="3">
        <v>5</v>
      </c>
      <c r="C5864" s="3">
        <v>2</v>
      </c>
      <c r="D5864" s="3">
        <v>117</v>
      </c>
      <c r="E5864" s="3">
        <v>1</v>
      </c>
      <c r="F5864" s="4" t="str">
        <f>HYPERLINK("http://141.218.60.56/~jnz1568/getInfo.php?workbook=10_05.xlsx&amp;sheet=U0&amp;row=5864&amp;col=6&amp;number=3&amp;sourceID=14","3")</f>
        <v>3</v>
      </c>
      <c r="G5864" s="4" t="str">
        <f>HYPERLINK("http://141.218.60.56/~jnz1568/getInfo.php?workbook=10_05.xlsx&amp;sheet=U0&amp;row=5864&amp;col=7&amp;number=0.0157&amp;sourceID=14","0.0157")</f>
        <v>0.0157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HYPERLINK("http://141.218.60.56/~jnz1568/getInfo.php?workbook=10_05.xlsx&amp;sheet=U0&amp;row=5865&amp;col=6&amp;number=3.1&amp;sourceID=14","3.1")</f>
        <v>3.1</v>
      </c>
      <c r="G5865" s="4" t="str">
        <f>HYPERLINK("http://141.218.60.56/~jnz1568/getInfo.php?workbook=10_05.xlsx&amp;sheet=U0&amp;row=5865&amp;col=7&amp;number=0.0156&amp;sourceID=14","0.0156")</f>
        <v>0.0156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HYPERLINK("http://141.218.60.56/~jnz1568/getInfo.php?workbook=10_05.xlsx&amp;sheet=U0&amp;row=5866&amp;col=6&amp;number=3.2&amp;sourceID=14","3.2")</f>
        <v>3.2</v>
      </c>
      <c r="G5866" s="4" t="str">
        <f>HYPERLINK("http://141.218.60.56/~jnz1568/getInfo.php?workbook=10_05.xlsx&amp;sheet=U0&amp;row=5866&amp;col=7&amp;number=0.0155&amp;sourceID=14","0.0155")</f>
        <v>0.0155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HYPERLINK("http://141.218.60.56/~jnz1568/getInfo.php?workbook=10_05.xlsx&amp;sheet=U0&amp;row=5867&amp;col=6&amp;number=3.3&amp;sourceID=14","3.3")</f>
        <v>3.3</v>
      </c>
      <c r="G5867" s="4" t="str">
        <f>HYPERLINK("http://141.218.60.56/~jnz1568/getInfo.php?workbook=10_05.xlsx&amp;sheet=U0&amp;row=5867&amp;col=7&amp;number=0.0153&amp;sourceID=14","0.0153")</f>
        <v>0.0153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HYPERLINK("http://141.218.60.56/~jnz1568/getInfo.php?workbook=10_05.xlsx&amp;sheet=U0&amp;row=5868&amp;col=6&amp;number=3.4&amp;sourceID=14","3.4")</f>
        <v>3.4</v>
      </c>
      <c r="G5868" s="4" t="str">
        <f>HYPERLINK("http://141.218.60.56/~jnz1568/getInfo.php?workbook=10_05.xlsx&amp;sheet=U0&amp;row=5868&amp;col=7&amp;number=0.015&amp;sourceID=14","0.015")</f>
        <v>0.015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HYPERLINK("http://141.218.60.56/~jnz1568/getInfo.php?workbook=10_05.xlsx&amp;sheet=U0&amp;row=5869&amp;col=6&amp;number=3.5&amp;sourceID=14","3.5")</f>
        <v>3.5</v>
      </c>
      <c r="G5869" s="4" t="str">
        <f>HYPERLINK("http://141.218.60.56/~jnz1568/getInfo.php?workbook=10_05.xlsx&amp;sheet=U0&amp;row=5869&amp;col=7&amp;number=0.0147&amp;sourceID=14","0.0147")</f>
        <v>0.0147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HYPERLINK("http://141.218.60.56/~jnz1568/getInfo.php?workbook=10_05.xlsx&amp;sheet=U0&amp;row=5870&amp;col=6&amp;number=3.6&amp;sourceID=14","3.6")</f>
        <v>3.6</v>
      </c>
      <c r="G5870" s="4" t="str">
        <f>HYPERLINK("http://141.218.60.56/~jnz1568/getInfo.php?workbook=10_05.xlsx&amp;sheet=U0&amp;row=5870&amp;col=7&amp;number=0.0144&amp;sourceID=14","0.0144")</f>
        <v>0.0144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HYPERLINK("http://141.218.60.56/~jnz1568/getInfo.php?workbook=10_05.xlsx&amp;sheet=U0&amp;row=5871&amp;col=6&amp;number=3.7&amp;sourceID=14","3.7")</f>
        <v>3.7</v>
      </c>
      <c r="G5871" s="4" t="str">
        <f>HYPERLINK("http://141.218.60.56/~jnz1568/getInfo.php?workbook=10_05.xlsx&amp;sheet=U0&amp;row=5871&amp;col=7&amp;number=0.0139&amp;sourceID=14","0.0139")</f>
        <v>0.0139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HYPERLINK("http://141.218.60.56/~jnz1568/getInfo.php?workbook=10_05.xlsx&amp;sheet=U0&amp;row=5872&amp;col=6&amp;number=3.8&amp;sourceID=14","3.8")</f>
        <v>3.8</v>
      </c>
      <c r="G5872" s="4" t="str">
        <f>HYPERLINK("http://141.218.60.56/~jnz1568/getInfo.php?workbook=10_05.xlsx&amp;sheet=U0&amp;row=5872&amp;col=7&amp;number=0.0134&amp;sourceID=14","0.0134")</f>
        <v>0.0134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HYPERLINK("http://141.218.60.56/~jnz1568/getInfo.php?workbook=10_05.xlsx&amp;sheet=U0&amp;row=5873&amp;col=6&amp;number=3.9&amp;sourceID=14","3.9")</f>
        <v>3.9</v>
      </c>
      <c r="G5873" s="4" t="str">
        <f>HYPERLINK("http://141.218.60.56/~jnz1568/getInfo.php?workbook=10_05.xlsx&amp;sheet=U0&amp;row=5873&amp;col=7&amp;number=0.0127&amp;sourceID=14","0.0127")</f>
        <v>0.0127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HYPERLINK("http://141.218.60.56/~jnz1568/getInfo.php?workbook=10_05.xlsx&amp;sheet=U0&amp;row=5874&amp;col=6&amp;number=4&amp;sourceID=14","4")</f>
        <v>4</v>
      </c>
      <c r="G5874" s="4" t="str">
        <f>HYPERLINK("http://141.218.60.56/~jnz1568/getInfo.php?workbook=10_05.xlsx&amp;sheet=U0&amp;row=5874&amp;col=7&amp;number=0.012&amp;sourceID=14","0.012")</f>
        <v>0.012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HYPERLINK("http://141.218.60.56/~jnz1568/getInfo.php?workbook=10_05.xlsx&amp;sheet=U0&amp;row=5875&amp;col=6&amp;number=4.1&amp;sourceID=14","4.1")</f>
        <v>4.1</v>
      </c>
      <c r="G5875" s="4" t="str">
        <f>HYPERLINK("http://141.218.60.56/~jnz1568/getInfo.php?workbook=10_05.xlsx&amp;sheet=U0&amp;row=5875&amp;col=7&amp;number=0.0111&amp;sourceID=14","0.0111")</f>
        <v>0.0111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HYPERLINK("http://141.218.60.56/~jnz1568/getInfo.php?workbook=10_05.xlsx&amp;sheet=U0&amp;row=5876&amp;col=6&amp;number=4.2&amp;sourceID=14","4.2")</f>
        <v>4.2</v>
      </c>
      <c r="G5876" s="4" t="str">
        <f>HYPERLINK("http://141.218.60.56/~jnz1568/getInfo.php?workbook=10_05.xlsx&amp;sheet=U0&amp;row=5876&amp;col=7&amp;number=0.0102&amp;sourceID=14","0.0102")</f>
        <v>0.0102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HYPERLINK("http://141.218.60.56/~jnz1568/getInfo.php?workbook=10_05.xlsx&amp;sheet=U0&amp;row=5877&amp;col=6&amp;number=4.3&amp;sourceID=14","4.3")</f>
        <v>4.3</v>
      </c>
      <c r="G5877" s="4" t="str">
        <f>HYPERLINK("http://141.218.60.56/~jnz1568/getInfo.php?workbook=10_05.xlsx&amp;sheet=U0&amp;row=5877&amp;col=7&amp;number=0.0093&amp;sourceID=14","0.0093")</f>
        <v>0.0093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HYPERLINK("http://141.218.60.56/~jnz1568/getInfo.php?workbook=10_05.xlsx&amp;sheet=U0&amp;row=5878&amp;col=6&amp;number=4.4&amp;sourceID=14","4.4")</f>
        <v>4.4</v>
      </c>
      <c r="G5878" s="4" t="str">
        <f>HYPERLINK("http://141.218.60.56/~jnz1568/getInfo.php?workbook=10_05.xlsx&amp;sheet=U0&amp;row=5878&amp;col=7&amp;number=0.00848&amp;sourceID=14","0.00848")</f>
        <v>0.00848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HYPERLINK("http://141.218.60.56/~jnz1568/getInfo.php?workbook=10_05.xlsx&amp;sheet=U0&amp;row=5879&amp;col=6&amp;number=4.5&amp;sourceID=14","4.5")</f>
        <v>4.5</v>
      </c>
      <c r="G5879" s="4" t="str">
        <f>HYPERLINK("http://141.218.60.56/~jnz1568/getInfo.php?workbook=10_05.xlsx&amp;sheet=U0&amp;row=5879&amp;col=7&amp;number=0.00775&amp;sourceID=14","0.00775")</f>
        <v>0.00775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HYPERLINK("http://141.218.60.56/~jnz1568/getInfo.php?workbook=10_05.xlsx&amp;sheet=U0&amp;row=5880&amp;col=6&amp;number=4.6&amp;sourceID=14","4.6")</f>
        <v>4.6</v>
      </c>
      <c r="G5880" s="4" t="str">
        <f>HYPERLINK("http://141.218.60.56/~jnz1568/getInfo.php?workbook=10_05.xlsx&amp;sheet=U0&amp;row=5880&amp;col=7&amp;number=0.00711&amp;sourceID=14","0.00711")</f>
        <v>0.00711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HYPERLINK("http://141.218.60.56/~jnz1568/getInfo.php?workbook=10_05.xlsx&amp;sheet=U0&amp;row=5881&amp;col=6&amp;number=4.7&amp;sourceID=14","4.7")</f>
        <v>4.7</v>
      </c>
      <c r="G5881" s="4" t="str">
        <f>HYPERLINK("http://141.218.60.56/~jnz1568/getInfo.php?workbook=10_05.xlsx&amp;sheet=U0&amp;row=5881&amp;col=7&amp;number=0.0065&amp;sourceID=14","0.0065")</f>
        <v>0.0065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HYPERLINK("http://141.218.60.56/~jnz1568/getInfo.php?workbook=10_05.xlsx&amp;sheet=U0&amp;row=5882&amp;col=6&amp;number=4.8&amp;sourceID=14","4.8")</f>
        <v>4.8</v>
      </c>
      <c r="G5882" s="4" t="str">
        <f>HYPERLINK("http://141.218.60.56/~jnz1568/getInfo.php?workbook=10_05.xlsx&amp;sheet=U0&amp;row=5882&amp;col=7&amp;number=0.00595&amp;sourceID=14","0.00595")</f>
        <v>0.00595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HYPERLINK("http://141.218.60.56/~jnz1568/getInfo.php?workbook=10_05.xlsx&amp;sheet=U0&amp;row=5883&amp;col=6&amp;number=4.9&amp;sourceID=14","4.9")</f>
        <v>4.9</v>
      </c>
      <c r="G5883" s="4" t="str">
        <f>HYPERLINK("http://141.218.60.56/~jnz1568/getInfo.php?workbook=10_05.xlsx&amp;sheet=U0&amp;row=5883&amp;col=7&amp;number=0.00546&amp;sourceID=14","0.00546")</f>
        <v>0.00546</v>
      </c>
    </row>
    <row r="5884" spans="1:7">
      <c r="A5884" s="3">
        <v>10</v>
      </c>
      <c r="B5884" s="3">
        <v>5</v>
      </c>
      <c r="C5884" s="3">
        <v>2</v>
      </c>
      <c r="D5884" s="3">
        <v>118</v>
      </c>
      <c r="E5884" s="3">
        <v>1</v>
      </c>
      <c r="F5884" s="4" t="str">
        <f>HYPERLINK("http://141.218.60.56/~jnz1568/getInfo.php?workbook=10_05.xlsx&amp;sheet=U0&amp;row=5884&amp;col=6&amp;number=3&amp;sourceID=14","3")</f>
        <v>3</v>
      </c>
      <c r="G5884" s="4" t="str">
        <f>HYPERLINK("http://141.218.60.56/~jnz1568/getInfo.php?workbook=10_05.xlsx&amp;sheet=U0&amp;row=5884&amp;col=7&amp;number=0.00732&amp;sourceID=14","0.00732")</f>
        <v>0.00732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HYPERLINK("http://141.218.60.56/~jnz1568/getInfo.php?workbook=10_05.xlsx&amp;sheet=U0&amp;row=5885&amp;col=6&amp;number=3.1&amp;sourceID=14","3.1")</f>
        <v>3.1</v>
      </c>
      <c r="G5885" s="4" t="str">
        <f>HYPERLINK("http://141.218.60.56/~jnz1568/getInfo.php?workbook=10_05.xlsx&amp;sheet=U0&amp;row=5885&amp;col=7&amp;number=0.00726&amp;sourceID=14","0.00726")</f>
        <v>0.00726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HYPERLINK("http://141.218.60.56/~jnz1568/getInfo.php?workbook=10_05.xlsx&amp;sheet=U0&amp;row=5886&amp;col=6&amp;number=3.2&amp;sourceID=14","3.2")</f>
        <v>3.2</v>
      </c>
      <c r="G5886" s="4" t="str">
        <f>HYPERLINK("http://141.218.60.56/~jnz1568/getInfo.php?workbook=10_05.xlsx&amp;sheet=U0&amp;row=5886&amp;col=7&amp;number=0.00718&amp;sourceID=14","0.00718")</f>
        <v>0.00718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HYPERLINK("http://141.218.60.56/~jnz1568/getInfo.php?workbook=10_05.xlsx&amp;sheet=U0&amp;row=5887&amp;col=6&amp;number=3.3&amp;sourceID=14","3.3")</f>
        <v>3.3</v>
      </c>
      <c r="G5887" s="4" t="str">
        <f>HYPERLINK("http://141.218.60.56/~jnz1568/getInfo.php?workbook=10_05.xlsx&amp;sheet=U0&amp;row=5887&amp;col=7&amp;number=0.00708&amp;sourceID=14","0.00708")</f>
        <v>0.00708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HYPERLINK("http://141.218.60.56/~jnz1568/getInfo.php?workbook=10_05.xlsx&amp;sheet=U0&amp;row=5888&amp;col=6&amp;number=3.4&amp;sourceID=14","3.4")</f>
        <v>3.4</v>
      </c>
      <c r="G5888" s="4" t="str">
        <f>HYPERLINK("http://141.218.60.56/~jnz1568/getInfo.php?workbook=10_05.xlsx&amp;sheet=U0&amp;row=5888&amp;col=7&amp;number=0.00696&amp;sourceID=14","0.00696")</f>
        <v>0.00696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HYPERLINK("http://141.218.60.56/~jnz1568/getInfo.php?workbook=10_05.xlsx&amp;sheet=U0&amp;row=5889&amp;col=6&amp;number=3.5&amp;sourceID=14","3.5")</f>
        <v>3.5</v>
      </c>
      <c r="G5889" s="4" t="str">
        <f>HYPERLINK("http://141.218.60.56/~jnz1568/getInfo.php?workbook=10_05.xlsx&amp;sheet=U0&amp;row=5889&amp;col=7&amp;number=0.00681&amp;sourceID=14","0.00681")</f>
        <v>0.00681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HYPERLINK("http://141.218.60.56/~jnz1568/getInfo.php?workbook=10_05.xlsx&amp;sheet=U0&amp;row=5890&amp;col=6&amp;number=3.6&amp;sourceID=14","3.6")</f>
        <v>3.6</v>
      </c>
      <c r="G5890" s="4" t="str">
        <f>HYPERLINK("http://141.218.60.56/~jnz1568/getInfo.php?workbook=10_05.xlsx&amp;sheet=U0&amp;row=5890&amp;col=7&amp;number=0.00662&amp;sourceID=14","0.00662")</f>
        <v>0.00662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HYPERLINK("http://141.218.60.56/~jnz1568/getInfo.php?workbook=10_05.xlsx&amp;sheet=U0&amp;row=5891&amp;col=6&amp;number=3.7&amp;sourceID=14","3.7")</f>
        <v>3.7</v>
      </c>
      <c r="G5891" s="4" t="str">
        <f>HYPERLINK("http://141.218.60.56/~jnz1568/getInfo.php?workbook=10_05.xlsx&amp;sheet=U0&amp;row=5891&amp;col=7&amp;number=0.00639&amp;sourceID=14","0.00639")</f>
        <v>0.00639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HYPERLINK("http://141.218.60.56/~jnz1568/getInfo.php?workbook=10_05.xlsx&amp;sheet=U0&amp;row=5892&amp;col=6&amp;number=3.8&amp;sourceID=14","3.8")</f>
        <v>3.8</v>
      </c>
      <c r="G5892" s="4" t="str">
        <f>HYPERLINK("http://141.218.60.56/~jnz1568/getInfo.php?workbook=10_05.xlsx&amp;sheet=U0&amp;row=5892&amp;col=7&amp;number=0.00612&amp;sourceID=14","0.00612")</f>
        <v>0.00612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HYPERLINK("http://141.218.60.56/~jnz1568/getInfo.php?workbook=10_05.xlsx&amp;sheet=U0&amp;row=5893&amp;col=6&amp;number=3.9&amp;sourceID=14","3.9")</f>
        <v>3.9</v>
      </c>
      <c r="G5893" s="4" t="str">
        <f>HYPERLINK("http://141.218.60.56/~jnz1568/getInfo.php?workbook=10_05.xlsx&amp;sheet=U0&amp;row=5893&amp;col=7&amp;number=0.00579&amp;sourceID=14","0.00579")</f>
        <v>0.00579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HYPERLINK("http://141.218.60.56/~jnz1568/getInfo.php?workbook=10_05.xlsx&amp;sheet=U0&amp;row=5894&amp;col=6&amp;number=4&amp;sourceID=14","4")</f>
        <v>4</v>
      </c>
      <c r="G5894" s="4" t="str">
        <f>HYPERLINK("http://141.218.60.56/~jnz1568/getInfo.php?workbook=10_05.xlsx&amp;sheet=U0&amp;row=5894&amp;col=7&amp;number=0.00541&amp;sourceID=14","0.00541")</f>
        <v>0.00541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HYPERLINK("http://141.218.60.56/~jnz1568/getInfo.php?workbook=10_05.xlsx&amp;sheet=U0&amp;row=5895&amp;col=6&amp;number=4.1&amp;sourceID=14","4.1")</f>
        <v>4.1</v>
      </c>
      <c r="G5895" s="4" t="str">
        <f>HYPERLINK("http://141.218.60.56/~jnz1568/getInfo.php?workbook=10_05.xlsx&amp;sheet=U0&amp;row=5895&amp;col=7&amp;number=0.00499&amp;sourceID=14","0.00499")</f>
        <v>0.00499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HYPERLINK("http://141.218.60.56/~jnz1568/getInfo.php?workbook=10_05.xlsx&amp;sheet=U0&amp;row=5896&amp;col=6&amp;number=4.2&amp;sourceID=14","4.2")</f>
        <v>4.2</v>
      </c>
      <c r="G5896" s="4" t="str">
        <f>HYPERLINK("http://141.218.60.56/~jnz1568/getInfo.php?workbook=10_05.xlsx&amp;sheet=U0&amp;row=5896&amp;col=7&amp;number=0.00455&amp;sourceID=14","0.00455")</f>
        <v>0.00455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HYPERLINK("http://141.218.60.56/~jnz1568/getInfo.php?workbook=10_05.xlsx&amp;sheet=U0&amp;row=5897&amp;col=6&amp;number=4.3&amp;sourceID=14","4.3")</f>
        <v>4.3</v>
      </c>
      <c r="G5897" s="4" t="str">
        <f>HYPERLINK("http://141.218.60.56/~jnz1568/getInfo.php?workbook=10_05.xlsx&amp;sheet=U0&amp;row=5897&amp;col=7&amp;number=0.00413&amp;sourceID=14","0.00413")</f>
        <v>0.00413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HYPERLINK("http://141.218.60.56/~jnz1568/getInfo.php?workbook=10_05.xlsx&amp;sheet=U0&amp;row=5898&amp;col=6&amp;number=4.4&amp;sourceID=14","4.4")</f>
        <v>4.4</v>
      </c>
      <c r="G5898" s="4" t="str">
        <f>HYPERLINK("http://141.218.60.56/~jnz1568/getInfo.php?workbook=10_05.xlsx&amp;sheet=U0&amp;row=5898&amp;col=7&amp;number=0.00378&amp;sourceID=14","0.00378")</f>
        <v>0.00378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HYPERLINK("http://141.218.60.56/~jnz1568/getInfo.php?workbook=10_05.xlsx&amp;sheet=U0&amp;row=5899&amp;col=6&amp;number=4.5&amp;sourceID=14","4.5")</f>
        <v>4.5</v>
      </c>
      <c r="G5899" s="4" t="str">
        <f>HYPERLINK("http://141.218.60.56/~jnz1568/getInfo.php?workbook=10_05.xlsx&amp;sheet=U0&amp;row=5899&amp;col=7&amp;number=0.00348&amp;sourceID=14","0.00348")</f>
        <v>0.00348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HYPERLINK("http://141.218.60.56/~jnz1568/getInfo.php?workbook=10_05.xlsx&amp;sheet=U0&amp;row=5900&amp;col=6&amp;number=4.6&amp;sourceID=14","4.6")</f>
        <v>4.6</v>
      </c>
      <c r="G5900" s="4" t="str">
        <f>HYPERLINK("http://141.218.60.56/~jnz1568/getInfo.php?workbook=10_05.xlsx&amp;sheet=U0&amp;row=5900&amp;col=7&amp;number=0.00321&amp;sourceID=14","0.00321")</f>
        <v>0.00321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HYPERLINK("http://141.218.60.56/~jnz1568/getInfo.php?workbook=10_05.xlsx&amp;sheet=U0&amp;row=5901&amp;col=6&amp;number=4.7&amp;sourceID=14","4.7")</f>
        <v>4.7</v>
      </c>
      <c r="G5901" s="4" t="str">
        <f>HYPERLINK("http://141.218.60.56/~jnz1568/getInfo.php?workbook=10_05.xlsx&amp;sheet=U0&amp;row=5901&amp;col=7&amp;number=0.00294&amp;sourceID=14","0.00294")</f>
        <v>0.00294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HYPERLINK("http://141.218.60.56/~jnz1568/getInfo.php?workbook=10_05.xlsx&amp;sheet=U0&amp;row=5902&amp;col=6&amp;number=4.8&amp;sourceID=14","4.8")</f>
        <v>4.8</v>
      </c>
      <c r="G5902" s="4" t="str">
        <f>HYPERLINK("http://141.218.60.56/~jnz1568/getInfo.php?workbook=10_05.xlsx&amp;sheet=U0&amp;row=5902&amp;col=7&amp;number=0.00267&amp;sourceID=14","0.00267")</f>
        <v>0.00267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HYPERLINK("http://141.218.60.56/~jnz1568/getInfo.php?workbook=10_05.xlsx&amp;sheet=U0&amp;row=5903&amp;col=6&amp;number=4.9&amp;sourceID=14","4.9")</f>
        <v>4.9</v>
      </c>
      <c r="G5903" s="4" t="str">
        <f>HYPERLINK("http://141.218.60.56/~jnz1568/getInfo.php?workbook=10_05.xlsx&amp;sheet=U0&amp;row=5903&amp;col=7&amp;number=0.00245&amp;sourceID=14","0.00245")</f>
        <v>0.00245</v>
      </c>
    </row>
    <row r="5904" spans="1:7">
      <c r="A5904" s="3">
        <v>10</v>
      </c>
      <c r="B5904" s="3">
        <v>5</v>
      </c>
      <c r="C5904" s="3">
        <v>2</v>
      </c>
      <c r="D5904" s="3">
        <v>119</v>
      </c>
      <c r="E5904" s="3">
        <v>1</v>
      </c>
      <c r="F5904" s="4" t="str">
        <f>HYPERLINK("http://141.218.60.56/~jnz1568/getInfo.php?workbook=10_05.xlsx&amp;sheet=U0&amp;row=5904&amp;col=6&amp;number=3&amp;sourceID=14","3")</f>
        <v>3</v>
      </c>
      <c r="G5904" s="4" t="str">
        <f>HYPERLINK("http://141.218.60.56/~jnz1568/getInfo.php?workbook=10_05.xlsx&amp;sheet=U0&amp;row=5904&amp;col=7&amp;number=0.00299&amp;sourceID=14","0.00299")</f>
        <v>0.00299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HYPERLINK("http://141.218.60.56/~jnz1568/getInfo.php?workbook=10_05.xlsx&amp;sheet=U0&amp;row=5905&amp;col=6&amp;number=3.1&amp;sourceID=14","3.1")</f>
        <v>3.1</v>
      </c>
      <c r="G5905" s="4" t="str">
        <f>HYPERLINK("http://141.218.60.56/~jnz1568/getInfo.php?workbook=10_05.xlsx&amp;sheet=U0&amp;row=5905&amp;col=7&amp;number=0.00296&amp;sourceID=14","0.00296")</f>
        <v>0.00296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HYPERLINK("http://141.218.60.56/~jnz1568/getInfo.php?workbook=10_05.xlsx&amp;sheet=U0&amp;row=5906&amp;col=6&amp;number=3.2&amp;sourceID=14","3.2")</f>
        <v>3.2</v>
      </c>
      <c r="G5906" s="4" t="str">
        <f>HYPERLINK("http://141.218.60.56/~jnz1568/getInfo.php?workbook=10_05.xlsx&amp;sheet=U0&amp;row=5906&amp;col=7&amp;number=0.00293&amp;sourceID=14","0.00293")</f>
        <v>0.00293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HYPERLINK("http://141.218.60.56/~jnz1568/getInfo.php?workbook=10_05.xlsx&amp;sheet=U0&amp;row=5907&amp;col=6&amp;number=3.3&amp;sourceID=14","3.3")</f>
        <v>3.3</v>
      </c>
      <c r="G5907" s="4" t="str">
        <f>HYPERLINK("http://141.218.60.56/~jnz1568/getInfo.php?workbook=10_05.xlsx&amp;sheet=U0&amp;row=5907&amp;col=7&amp;number=0.00289&amp;sourceID=14","0.00289")</f>
        <v>0.00289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HYPERLINK("http://141.218.60.56/~jnz1568/getInfo.php?workbook=10_05.xlsx&amp;sheet=U0&amp;row=5908&amp;col=6&amp;number=3.4&amp;sourceID=14","3.4")</f>
        <v>3.4</v>
      </c>
      <c r="G5908" s="4" t="str">
        <f>HYPERLINK("http://141.218.60.56/~jnz1568/getInfo.php?workbook=10_05.xlsx&amp;sheet=U0&amp;row=5908&amp;col=7&amp;number=0.00284&amp;sourceID=14","0.00284")</f>
        <v>0.00284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HYPERLINK("http://141.218.60.56/~jnz1568/getInfo.php?workbook=10_05.xlsx&amp;sheet=U0&amp;row=5909&amp;col=6&amp;number=3.5&amp;sourceID=14","3.5")</f>
        <v>3.5</v>
      </c>
      <c r="G5909" s="4" t="str">
        <f>HYPERLINK("http://141.218.60.56/~jnz1568/getInfo.php?workbook=10_05.xlsx&amp;sheet=U0&amp;row=5909&amp;col=7&amp;number=0.00278&amp;sourceID=14","0.00278")</f>
        <v>0.00278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HYPERLINK("http://141.218.60.56/~jnz1568/getInfo.php?workbook=10_05.xlsx&amp;sheet=U0&amp;row=5910&amp;col=6&amp;number=3.6&amp;sourceID=14","3.6")</f>
        <v>3.6</v>
      </c>
      <c r="G5910" s="4" t="str">
        <f>HYPERLINK("http://141.218.60.56/~jnz1568/getInfo.php?workbook=10_05.xlsx&amp;sheet=U0&amp;row=5910&amp;col=7&amp;number=0.0027&amp;sourceID=14","0.0027")</f>
        <v>0.0027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HYPERLINK("http://141.218.60.56/~jnz1568/getInfo.php?workbook=10_05.xlsx&amp;sheet=U0&amp;row=5911&amp;col=6&amp;number=3.7&amp;sourceID=14","3.7")</f>
        <v>3.7</v>
      </c>
      <c r="G5911" s="4" t="str">
        <f>HYPERLINK("http://141.218.60.56/~jnz1568/getInfo.php?workbook=10_05.xlsx&amp;sheet=U0&amp;row=5911&amp;col=7&amp;number=0.00261&amp;sourceID=14","0.00261")</f>
        <v>0.00261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HYPERLINK("http://141.218.60.56/~jnz1568/getInfo.php?workbook=10_05.xlsx&amp;sheet=U0&amp;row=5912&amp;col=6&amp;number=3.8&amp;sourceID=14","3.8")</f>
        <v>3.8</v>
      </c>
      <c r="G5912" s="4" t="str">
        <f>HYPERLINK("http://141.218.60.56/~jnz1568/getInfo.php?workbook=10_05.xlsx&amp;sheet=U0&amp;row=5912&amp;col=7&amp;number=0.0025&amp;sourceID=14","0.0025")</f>
        <v>0.0025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HYPERLINK("http://141.218.60.56/~jnz1568/getInfo.php?workbook=10_05.xlsx&amp;sheet=U0&amp;row=5913&amp;col=6&amp;number=3.9&amp;sourceID=14","3.9")</f>
        <v>3.9</v>
      </c>
      <c r="G5913" s="4" t="str">
        <f>HYPERLINK("http://141.218.60.56/~jnz1568/getInfo.php?workbook=10_05.xlsx&amp;sheet=U0&amp;row=5913&amp;col=7&amp;number=0.00237&amp;sourceID=14","0.00237")</f>
        <v>0.00237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HYPERLINK("http://141.218.60.56/~jnz1568/getInfo.php?workbook=10_05.xlsx&amp;sheet=U0&amp;row=5914&amp;col=6&amp;number=4&amp;sourceID=14","4")</f>
        <v>4</v>
      </c>
      <c r="G5914" s="4" t="str">
        <f>HYPERLINK("http://141.218.60.56/~jnz1568/getInfo.php?workbook=10_05.xlsx&amp;sheet=U0&amp;row=5914&amp;col=7&amp;number=0.00222&amp;sourceID=14","0.00222")</f>
        <v>0.00222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HYPERLINK("http://141.218.60.56/~jnz1568/getInfo.php?workbook=10_05.xlsx&amp;sheet=U0&amp;row=5915&amp;col=6&amp;number=4.1&amp;sourceID=14","4.1")</f>
        <v>4.1</v>
      </c>
      <c r="G5915" s="4" t="str">
        <f>HYPERLINK("http://141.218.60.56/~jnz1568/getInfo.php?workbook=10_05.xlsx&amp;sheet=U0&amp;row=5915&amp;col=7&amp;number=0.00205&amp;sourceID=14","0.00205")</f>
        <v>0.00205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HYPERLINK("http://141.218.60.56/~jnz1568/getInfo.php?workbook=10_05.xlsx&amp;sheet=U0&amp;row=5916&amp;col=6&amp;number=4.2&amp;sourceID=14","4.2")</f>
        <v>4.2</v>
      </c>
      <c r="G5916" s="4" t="str">
        <f>HYPERLINK("http://141.218.60.56/~jnz1568/getInfo.php?workbook=10_05.xlsx&amp;sheet=U0&amp;row=5916&amp;col=7&amp;number=0.00188&amp;sourceID=14","0.00188")</f>
        <v>0.00188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HYPERLINK("http://141.218.60.56/~jnz1568/getInfo.php?workbook=10_05.xlsx&amp;sheet=U0&amp;row=5917&amp;col=6&amp;number=4.3&amp;sourceID=14","4.3")</f>
        <v>4.3</v>
      </c>
      <c r="G5917" s="4" t="str">
        <f>HYPERLINK("http://141.218.60.56/~jnz1568/getInfo.php?workbook=10_05.xlsx&amp;sheet=U0&amp;row=5917&amp;col=7&amp;number=0.00172&amp;sourceID=14","0.00172")</f>
        <v>0.00172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HYPERLINK("http://141.218.60.56/~jnz1568/getInfo.php?workbook=10_05.xlsx&amp;sheet=U0&amp;row=5918&amp;col=6&amp;number=4.4&amp;sourceID=14","4.4")</f>
        <v>4.4</v>
      </c>
      <c r="G5918" s="4" t="str">
        <f>HYPERLINK("http://141.218.60.56/~jnz1568/getInfo.php?workbook=10_05.xlsx&amp;sheet=U0&amp;row=5918&amp;col=7&amp;number=0.00157&amp;sourceID=14","0.00157")</f>
        <v>0.00157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HYPERLINK("http://141.218.60.56/~jnz1568/getInfo.php?workbook=10_05.xlsx&amp;sheet=U0&amp;row=5919&amp;col=6&amp;number=4.5&amp;sourceID=14","4.5")</f>
        <v>4.5</v>
      </c>
      <c r="G5919" s="4" t="str">
        <f>HYPERLINK("http://141.218.60.56/~jnz1568/getInfo.php?workbook=10_05.xlsx&amp;sheet=U0&amp;row=5919&amp;col=7&amp;number=0.00144&amp;sourceID=14","0.00144")</f>
        <v>0.00144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HYPERLINK("http://141.218.60.56/~jnz1568/getInfo.php?workbook=10_05.xlsx&amp;sheet=U0&amp;row=5920&amp;col=6&amp;number=4.6&amp;sourceID=14","4.6")</f>
        <v>4.6</v>
      </c>
      <c r="G5920" s="4" t="str">
        <f>HYPERLINK("http://141.218.60.56/~jnz1568/getInfo.php?workbook=10_05.xlsx&amp;sheet=U0&amp;row=5920&amp;col=7&amp;number=0.00132&amp;sourceID=14","0.00132")</f>
        <v>0.00132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HYPERLINK("http://141.218.60.56/~jnz1568/getInfo.php?workbook=10_05.xlsx&amp;sheet=U0&amp;row=5921&amp;col=6&amp;number=4.7&amp;sourceID=14","4.7")</f>
        <v>4.7</v>
      </c>
      <c r="G5921" s="4" t="str">
        <f>HYPERLINK("http://141.218.60.56/~jnz1568/getInfo.php?workbook=10_05.xlsx&amp;sheet=U0&amp;row=5921&amp;col=7&amp;number=0.0012&amp;sourceID=14","0.0012")</f>
        <v>0.0012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HYPERLINK("http://141.218.60.56/~jnz1568/getInfo.php?workbook=10_05.xlsx&amp;sheet=U0&amp;row=5922&amp;col=6&amp;number=4.8&amp;sourceID=14","4.8")</f>
        <v>4.8</v>
      </c>
      <c r="G5922" s="4" t="str">
        <f>HYPERLINK("http://141.218.60.56/~jnz1568/getInfo.php?workbook=10_05.xlsx&amp;sheet=U0&amp;row=5922&amp;col=7&amp;number=0.0011&amp;sourceID=14","0.0011")</f>
        <v>0.0011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HYPERLINK("http://141.218.60.56/~jnz1568/getInfo.php?workbook=10_05.xlsx&amp;sheet=U0&amp;row=5923&amp;col=6&amp;number=4.9&amp;sourceID=14","4.9")</f>
        <v>4.9</v>
      </c>
      <c r="G5923" s="4" t="str">
        <f>HYPERLINK("http://141.218.60.56/~jnz1568/getInfo.php?workbook=10_05.xlsx&amp;sheet=U0&amp;row=5923&amp;col=7&amp;number=0.00101&amp;sourceID=14","0.00101")</f>
        <v>0.00101</v>
      </c>
    </row>
    <row r="5924" spans="1:7">
      <c r="A5924" s="3">
        <v>10</v>
      </c>
      <c r="B5924" s="3">
        <v>5</v>
      </c>
      <c r="C5924" s="3">
        <v>2</v>
      </c>
      <c r="D5924" s="3">
        <v>120</v>
      </c>
      <c r="E5924" s="3">
        <v>1</v>
      </c>
      <c r="F5924" s="4" t="str">
        <f>HYPERLINK("http://141.218.60.56/~jnz1568/getInfo.php?workbook=10_05.xlsx&amp;sheet=U0&amp;row=5924&amp;col=6&amp;number=3&amp;sourceID=14","3")</f>
        <v>3</v>
      </c>
      <c r="G5924" s="4" t="str">
        <f>HYPERLINK("http://141.218.60.56/~jnz1568/getInfo.php?workbook=10_05.xlsx&amp;sheet=U0&amp;row=5924&amp;col=7&amp;number=0.00207&amp;sourceID=14","0.00207")</f>
        <v>0.00207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HYPERLINK("http://141.218.60.56/~jnz1568/getInfo.php?workbook=10_05.xlsx&amp;sheet=U0&amp;row=5925&amp;col=6&amp;number=3.1&amp;sourceID=14","3.1")</f>
        <v>3.1</v>
      </c>
      <c r="G5925" s="4" t="str">
        <f>HYPERLINK("http://141.218.60.56/~jnz1568/getInfo.php?workbook=10_05.xlsx&amp;sheet=U0&amp;row=5925&amp;col=7&amp;number=0.00205&amp;sourceID=14","0.00205")</f>
        <v>0.00205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HYPERLINK("http://141.218.60.56/~jnz1568/getInfo.php?workbook=10_05.xlsx&amp;sheet=U0&amp;row=5926&amp;col=6&amp;number=3.2&amp;sourceID=14","3.2")</f>
        <v>3.2</v>
      </c>
      <c r="G5926" s="4" t="str">
        <f>HYPERLINK("http://141.218.60.56/~jnz1568/getInfo.php?workbook=10_05.xlsx&amp;sheet=U0&amp;row=5926&amp;col=7&amp;number=0.00202&amp;sourceID=14","0.00202")</f>
        <v>0.00202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HYPERLINK("http://141.218.60.56/~jnz1568/getInfo.php?workbook=10_05.xlsx&amp;sheet=U0&amp;row=5927&amp;col=6&amp;number=3.3&amp;sourceID=14","3.3")</f>
        <v>3.3</v>
      </c>
      <c r="G5927" s="4" t="str">
        <f>HYPERLINK("http://141.218.60.56/~jnz1568/getInfo.php?workbook=10_05.xlsx&amp;sheet=U0&amp;row=5927&amp;col=7&amp;number=0.00199&amp;sourceID=14","0.00199")</f>
        <v>0.00199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HYPERLINK("http://141.218.60.56/~jnz1568/getInfo.php?workbook=10_05.xlsx&amp;sheet=U0&amp;row=5928&amp;col=6&amp;number=3.4&amp;sourceID=14","3.4")</f>
        <v>3.4</v>
      </c>
      <c r="G5928" s="4" t="str">
        <f>HYPERLINK("http://141.218.60.56/~jnz1568/getInfo.php?workbook=10_05.xlsx&amp;sheet=U0&amp;row=5928&amp;col=7&amp;number=0.00195&amp;sourceID=14","0.00195")</f>
        <v>0.00195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HYPERLINK("http://141.218.60.56/~jnz1568/getInfo.php?workbook=10_05.xlsx&amp;sheet=U0&amp;row=5929&amp;col=6&amp;number=3.5&amp;sourceID=14","3.5")</f>
        <v>3.5</v>
      </c>
      <c r="G5929" s="4" t="str">
        <f>HYPERLINK("http://141.218.60.56/~jnz1568/getInfo.php?workbook=10_05.xlsx&amp;sheet=U0&amp;row=5929&amp;col=7&amp;number=0.00191&amp;sourceID=14","0.00191")</f>
        <v>0.00191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HYPERLINK("http://141.218.60.56/~jnz1568/getInfo.php?workbook=10_05.xlsx&amp;sheet=U0&amp;row=5930&amp;col=6&amp;number=3.6&amp;sourceID=14","3.6")</f>
        <v>3.6</v>
      </c>
      <c r="G5930" s="4" t="str">
        <f>HYPERLINK("http://141.218.60.56/~jnz1568/getInfo.php?workbook=10_05.xlsx&amp;sheet=U0&amp;row=5930&amp;col=7&amp;number=0.00185&amp;sourceID=14","0.00185")</f>
        <v>0.00185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HYPERLINK("http://141.218.60.56/~jnz1568/getInfo.php?workbook=10_05.xlsx&amp;sheet=U0&amp;row=5931&amp;col=6&amp;number=3.7&amp;sourceID=14","3.7")</f>
        <v>3.7</v>
      </c>
      <c r="G5931" s="4" t="str">
        <f>HYPERLINK("http://141.218.60.56/~jnz1568/getInfo.php?workbook=10_05.xlsx&amp;sheet=U0&amp;row=5931&amp;col=7&amp;number=0.00178&amp;sourceID=14","0.00178")</f>
        <v>0.00178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HYPERLINK("http://141.218.60.56/~jnz1568/getInfo.php?workbook=10_05.xlsx&amp;sheet=U0&amp;row=5932&amp;col=6&amp;number=3.8&amp;sourceID=14","3.8")</f>
        <v>3.8</v>
      </c>
      <c r="G5932" s="4" t="str">
        <f>HYPERLINK("http://141.218.60.56/~jnz1568/getInfo.php?workbook=10_05.xlsx&amp;sheet=U0&amp;row=5932&amp;col=7&amp;number=0.00169&amp;sourceID=14","0.00169")</f>
        <v>0.00169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HYPERLINK("http://141.218.60.56/~jnz1568/getInfo.php?workbook=10_05.xlsx&amp;sheet=U0&amp;row=5933&amp;col=6&amp;number=3.9&amp;sourceID=14","3.9")</f>
        <v>3.9</v>
      </c>
      <c r="G5933" s="4" t="str">
        <f>HYPERLINK("http://141.218.60.56/~jnz1568/getInfo.php?workbook=10_05.xlsx&amp;sheet=U0&amp;row=5933&amp;col=7&amp;number=0.00159&amp;sourceID=14","0.00159")</f>
        <v>0.00159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HYPERLINK("http://141.218.60.56/~jnz1568/getInfo.php?workbook=10_05.xlsx&amp;sheet=U0&amp;row=5934&amp;col=6&amp;number=4&amp;sourceID=14","4")</f>
        <v>4</v>
      </c>
      <c r="G5934" s="4" t="str">
        <f>HYPERLINK("http://141.218.60.56/~jnz1568/getInfo.php?workbook=10_05.xlsx&amp;sheet=U0&amp;row=5934&amp;col=7&amp;number=0.00148&amp;sourceID=14","0.00148")</f>
        <v>0.00148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HYPERLINK("http://141.218.60.56/~jnz1568/getInfo.php?workbook=10_05.xlsx&amp;sheet=U0&amp;row=5935&amp;col=6&amp;number=4.1&amp;sourceID=14","4.1")</f>
        <v>4.1</v>
      </c>
      <c r="G5935" s="4" t="str">
        <f>HYPERLINK("http://141.218.60.56/~jnz1568/getInfo.php?workbook=10_05.xlsx&amp;sheet=U0&amp;row=5935&amp;col=7&amp;number=0.00136&amp;sourceID=14","0.00136")</f>
        <v>0.00136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HYPERLINK("http://141.218.60.56/~jnz1568/getInfo.php?workbook=10_05.xlsx&amp;sheet=U0&amp;row=5936&amp;col=6&amp;number=4.2&amp;sourceID=14","4.2")</f>
        <v>4.2</v>
      </c>
      <c r="G5936" s="4" t="str">
        <f>HYPERLINK("http://141.218.60.56/~jnz1568/getInfo.php?workbook=10_05.xlsx&amp;sheet=U0&amp;row=5936&amp;col=7&amp;number=0.00123&amp;sourceID=14","0.00123")</f>
        <v>0.00123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HYPERLINK("http://141.218.60.56/~jnz1568/getInfo.php?workbook=10_05.xlsx&amp;sheet=U0&amp;row=5937&amp;col=6&amp;number=4.3&amp;sourceID=14","4.3")</f>
        <v>4.3</v>
      </c>
      <c r="G5937" s="4" t="str">
        <f>HYPERLINK("http://141.218.60.56/~jnz1568/getInfo.php?workbook=10_05.xlsx&amp;sheet=U0&amp;row=5937&amp;col=7&amp;number=0.00112&amp;sourceID=14","0.00112")</f>
        <v>0.00112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HYPERLINK("http://141.218.60.56/~jnz1568/getInfo.php?workbook=10_05.xlsx&amp;sheet=U0&amp;row=5938&amp;col=6&amp;number=4.4&amp;sourceID=14","4.4")</f>
        <v>4.4</v>
      </c>
      <c r="G5938" s="4" t="str">
        <f>HYPERLINK("http://141.218.60.56/~jnz1568/getInfo.php?workbook=10_05.xlsx&amp;sheet=U0&amp;row=5938&amp;col=7&amp;number=0.00101&amp;sourceID=14","0.00101")</f>
        <v>0.00101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HYPERLINK("http://141.218.60.56/~jnz1568/getInfo.php?workbook=10_05.xlsx&amp;sheet=U0&amp;row=5939&amp;col=6&amp;number=4.5&amp;sourceID=14","4.5")</f>
        <v>4.5</v>
      </c>
      <c r="G5939" s="4" t="str">
        <f>HYPERLINK("http://141.218.60.56/~jnz1568/getInfo.php?workbook=10_05.xlsx&amp;sheet=U0&amp;row=5939&amp;col=7&amp;number=0.000923&amp;sourceID=14","0.000923")</f>
        <v>0.000923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HYPERLINK("http://141.218.60.56/~jnz1568/getInfo.php?workbook=10_05.xlsx&amp;sheet=U0&amp;row=5940&amp;col=6&amp;number=4.6&amp;sourceID=14","4.6")</f>
        <v>4.6</v>
      </c>
      <c r="G5940" s="4" t="str">
        <f>HYPERLINK("http://141.218.60.56/~jnz1568/getInfo.php?workbook=10_05.xlsx&amp;sheet=U0&amp;row=5940&amp;col=7&amp;number=0.000837&amp;sourceID=14","0.000837")</f>
        <v>0.000837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HYPERLINK("http://141.218.60.56/~jnz1568/getInfo.php?workbook=10_05.xlsx&amp;sheet=U0&amp;row=5941&amp;col=6&amp;number=4.7&amp;sourceID=14","4.7")</f>
        <v>4.7</v>
      </c>
      <c r="G5941" s="4" t="str">
        <f>HYPERLINK("http://141.218.60.56/~jnz1568/getInfo.php?workbook=10_05.xlsx&amp;sheet=U0&amp;row=5941&amp;col=7&amp;number=0.000756&amp;sourceID=14","0.000756")</f>
        <v>0.000756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HYPERLINK("http://141.218.60.56/~jnz1568/getInfo.php?workbook=10_05.xlsx&amp;sheet=U0&amp;row=5942&amp;col=6&amp;number=4.8&amp;sourceID=14","4.8")</f>
        <v>4.8</v>
      </c>
      <c r="G5942" s="4" t="str">
        <f>HYPERLINK("http://141.218.60.56/~jnz1568/getInfo.php?workbook=10_05.xlsx&amp;sheet=U0&amp;row=5942&amp;col=7&amp;number=0.000686&amp;sourceID=14","0.000686")</f>
        <v>0.000686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HYPERLINK("http://141.218.60.56/~jnz1568/getInfo.php?workbook=10_05.xlsx&amp;sheet=U0&amp;row=5943&amp;col=6&amp;number=4.9&amp;sourceID=14","4.9")</f>
        <v>4.9</v>
      </c>
      <c r="G5943" s="4" t="str">
        <f>HYPERLINK("http://141.218.60.56/~jnz1568/getInfo.php?workbook=10_05.xlsx&amp;sheet=U0&amp;row=5943&amp;col=7&amp;number=0.000629&amp;sourceID=14","0.000629")</f>
        <v>0.000629</v>
      </c>
    </row>
    <row r="5944" spans="1:7">
      <c r="A5944" s="3">
        <v>10</v>
      </c>
      <c r="B5944" s="3">
        <v>5</v>
      </c>
      <c r="C5944" s="3">
        <v>2</v>
      </c>
      <c r="D5944" s="3">
        <v>121</v>
      </c>
      <c r="E5944" s="3">
        <v>1</v>
      </c>
      <c r="F5944" s="4" t="str">
        <f>HYPERLINK("http://141.218.60.56/~jnz1568/getInfo.php?workbook=10_05.xlsx&amp;sheet=U0&amp;row=5944&amp;col=6&amp;number=3&amp;sourceID=14","3")</f>
        <v>3</v>
      </c>
      <c r="G5944" s="4" t="str">
        <f>HYPERLINK("http://141.218.60.56/~jnz1568/getInfo.php?workbook=10_05.xlsx&amp;sheet=U0&amp;row=5944&amp;col=7&amp;number=0.00644&amp;sourceID=14","0.00644")</f>
        <v>0.00644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HYPERLINK("http://141.218.60.56/~jnz1568/getInfo.php?workbook=10_05.xlsx&amp;sheet=U0&amp;row=5945&amp;col=6&amp;number=3.1&amp;sourceID=14","3.1")</f>
        <v>3.1</v>
      </c>
      <c r="G5945" s="4" t="str">
        <f>HYPERLINK("http://141.218.60.56/~jnz1568/getInfo.php?workbook=10_05.xlsx&amp;sheet=U0&amp;row=5945&amp;col=7&amp;number=0.00638&amp;sourceID=14","0.00638")</f>
        <v>0.00638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HYPERLINK("http://141.218.60.56/~jnz1568/getInfo.php?workbook=10_05.xlsx&amp;sheet=U0&amp;row=5946&amp;col=6&amp;number=3.2&amp;sourceID=14","3.2")</f>
        <v>3.2</v>
      </c>
      <c r="G5946" s="4" t="str">
        <f>HYPERLINK("http://141.218.60.56/~jnz1568/getInfo.php?workbook=10_05.xlsx&amp;sheet=U0&amp;row=5946&amp;col=7&amp;number=0.0063&amp;sourceID=14","0.0063")</f>
        <v>0.0063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HYPERLINK("http://141.218.60.56/~jnz1568/getInfo.php?workbook=10_05.xlsx&amp;sheet=U0&amp;row=5947&amp;col=6&amp;number=3.3&amp;sourceID=14","3.3")</f>
        <v>3.3</v>
      </c>
      <c r="G5947" s="4" t="str">
        <f>HYPERLINK("http://141.218.60.56/~jnz1568/getInfo.php?workbook=10_05.xlsx&amp;sheet=U0&amp;row=5947&amp;col=7&amp;number=0.00621&amp;sourceID=14","0.00621")</f>
        <v>0.00621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HYPERLINK("http://141.218.60.56/~jnz1568/getInfo.php?workbook=10_05.xlsx&amp;sheet=U0&amp;row=5948&amp;col=6&amp;number=3.4&amp;sourceID=14","3.4")</f>
        <v>3.4</v>
      </c>
      <c r="G5948" s="4" t="str">
        <f>HYPERLINK("http://141.218.60.56/~jnz1568/getInfo.php?workbook=10_05.xlsx&amp;sheet=U0&amp;row=5948&amp;col=7&amp;number=0.00609&amp;sourceID=14","0.00609")</f>
        <v>0.00609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HYPERLINK("http://141.218.60.56/~jnz1568/getInfo.php?workbook=10_05.xlsx&amp;sheet=U0&amp;row=5949&amp;col=6&amp;number=3.5&amp;sourceID=14","3.5")</f>
        <v>3.5</v>
      </c>
      <c r="G5949" s="4" t="str">
        <f>HYPERLINK("http://141.218.60.56/~jnz1568/getInfo.php?workbook=10_05.xlsx&amp;sheet=U0&amp;row=5949&amp;col=7&amp;number=0.00594&amp;sourceID=14","0.00594")</f>
        <v>0.00594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HYPERLINK("http://141.218.60.56/~jnz1568/getInfo.php?workbook=10_05.xlsx&amp;sheet=U0&amp;row=5950&amp;col=6&amp;number=3.6&amp;sourceID=14","3.6")</f>
        <v>3.6</v>
      </c>
      <c r="G5950" s="4" t="str">
        <f>HYPERLINK("http://141.218.60.56/~jnz1568/getInfo.php?workbook=10_05.xlsx&amp;sheet=U0&amp;row=5950&amp;col=7&amp;number=0.00577&amp;sourceID=14","0.00577")</f>
        <v>0.00577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HYPERLINK("http://141.218.60.56/~jnz1568/getInfo.php?workbook=10_05.xlsx&amp;sheet=U0&amp;row=5951&amp;col=6&amp;number=3.7&amp;sourceID=14","3.7")</f>
        <v>3.7</v>
      </c>
      <c r="G5951" s="4" t="str">
        <f>HYPERLINK("http://141.218.60.56/~jnz1568/getInfo.php?workbook=10_05.xlsx&amp;sheet=U0&amp;row=5951&amp;col=7&amp;number=0.00555&amp;sourceID=14","0.00555")</f>
        <v>0.00555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HYPERLINK("http://141.218.60.56/~jnz1568/getInfo.php?workbook=10_05.xlsx&amp;sheet=U0&amp;row=5952&amp;col=6&amp;number=3.8&amp;sourceID=14","3.8")</f>
        <v>3.8</v>
      </c>
      <c r="G5952" s="4" t="str">
        <f>HYPERLINK("http://141.218.60.56/~jnz1568/getInfo.php?workbook=10_05.xlsx&amp;sheet=U0&amp;row=5952&amp;col=7&amp;number=0.0053&amp;sourceID=14","0.0053")</f>
        <v>0.0053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HYPERLINK("http://141.218.60.56/~jnz1568/getInfo.php?workbook=10_05.xlsx&amp;sheet=U0&amp;row=5953&amp;col=6&amp;number=3.9&amp;sourceID=14","3.9")</f>
        <v>3.9</v>
      </c>
      <c r="G5953" s="4" t="str">
        <f>HYPERLINK("http://141.218.60.56/~jnz1568/getInfo.php?workbook=10_05.xlsx&amp;sheet=U0&amp;row=5953&amp;col=7&amp;number=0.005&amp;sourceID=14","0.005")</f>
        <v>0.005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HYPERLINK("http://141.218.60.56/~jnz1568/getInfo.php?workbook=10_05.xlsx&amp;sheet=U0&amp;row=5954&amp;col=6&amp;number=4&amp;sourceID=14","4")</f>
        <v>4</v>
      </c>
      <c r="G5954" s="4" t="str">
        <f>HYPERLINK("http://141.218.60.56/~jnz1568/getInfo.php?workbook=10_05.xlsx&amp;sheet=U0&amp;row=5954&amp;col=7&amp;number=0.00467&amp;sourceID=14","0.00467")</f>
        <v>0.00467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HYPERLINK("http://141.218.60.56/~jnz1568/getInfo.php?workbook=10_05.xlsx&amp;sheet=U0&amp;row=5955&amp;col=6&amp;number=4.1&amp;sourceID=14","4.1")</f>
        <v>4.1</v>
      </c>
      <c r="G5955" s="4" t="str">
        <f>HYPERLINK("http://141.218.60.56/~jnz1568/getInfo.php?workbook=10_05.xlsx&amp;sheet=U0&amp;row=5955&amp;col=7&amp;number=0.00431&amp;sourceID=14","0.00431")</f>
        <v>0.00431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HYPERLINK("http://141.218.60.56/~jnz1568/getInfo.php?workbook=10_05.xlsx&amp;sheet=U0&amp;row=5956&amp;col=6&amp;number=4.2&amp;sourceID=14","4.2")</f>
        <v>4.2</v>
      </c>
      <c r="G5956" s="4" t="str">
        <f>HYPERLINK("http://141.218.60.56/~jnz1568/getInfo.php?workbook=10_05.xlsx&amp;sheet=U0&amp;row=5956&amp;col=7&amp;number=0.00396&amp;sourceID=14","0.00396")</f>
        <v>0.00396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HYPERLINK("http://141.218.60.56/~jnz1568/getInfo.php?workbook=10_05.xlsx&amp;sheet=U0&amp;row=5957&amp;col=6&amp;number=4.3&amp;sourceID=14","4.3")</f>
        <v>4.3</v>
      </c>
      <c r="G5957" s="4" t="str">
        <f>HYPERLINK("http://141.218.60.56/~jnz1568/getInfo.php?workbook=10_05.xlsx&amp;sheet=U0&amp;row=5957&amp;col=7&amp;number=0.00363&amp;sourceID=14","0.00363")</f>
        <v>0.00363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HYPERLINK("http://141.218.60.56/~jnz1568/getInfo.php?workbook=10_05.xlsx&amp;sheet=U0&amp;row=5958&amp;col=6&amp;number=4.4&amp;sourceID=14","4.4")</f>
        <v>4.4</v>
      </c>
      <c r="G5958" s="4" t="str">
        <f>HYPERLINK("http://141.218.60.56/~jnz1568/getInfo.php?workbook=10_05.xlsx&amp;sheet=U0&amp;row=5958&amp;col=7&amp;number=0.00333&amp;sourceID=14","0.00333")</f>
        <v>0.00333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HYPERLINK("http://141.218.60.56/~jnz1568/getInfo.php?workbook=10_05.xlsx&amp;sheet=U0&amp;row=5959&amp;col=6&amp;number=4.5&amp;sourceID=14","4.5")</f>
        <v>4.5</v>
      </c>
      <c r="G5959" s="4" t="str">
        <f>HYPERLINK("http://141.218.60.56/~jnz1568/getInfo.php?workbook=10_05.xlsx&amp;sheet=U0&amp;row=5959&amp;col=7&amp;number=0.00306&amp;sourceID=14","0.00306")</f>
        <v>0.00306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HYPERLINK("http://141.218.60.56/~jnz1568/getInfo.php?workbook=10_05.xlsx&amp;sheet=U0&amp;row=5960&amp;col=6&amp;number=4.6&amp;sourceID=14","4.6")</f>
        <v>4.6</v>
      </c>
      <c r="G5960" s="4" t="str">
        <f>HYPERLINK("http://141.218.60.56/~jnz1568/getInfo.php?workbook=10_05.xlsx&amp;sheet=U0&amp;row=5960&amp;col=7&amp;number=0.00282&amp;sourceID=14","0.00282")</f>
        <v>0.00282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HYPERLINK("http://141.218.60.56/~jnz1568/getInfo.php?workbook=10_05.xlsx&amp;sheet=U0&amp;row=5961&amp;col=6&amp;number=4.7&amp;sourceID=14","4.7")</f>
        <v>4.7</v>
      </c>
      <c r="G5961" s="4" t="str">
        <f>HYPERLINK("http://141.218.60.56/~jnz1568/getInfo.php?workbook=10_05.xlsx&amp;sheet=U0&amp;row=5961&amp;col=7&amp;number=0.00261&amp;sourceID=14","0.00261")</f>
        <v>0.00261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HYPERLINK("http://141.218.60.56/~jnz1568/getInfo.php?workbook=10_05.xlsx&amp;sheet=U0&amp;row=5962&amp;col=6&amp;number=4.8&amp;sourceID=14","4.8")</f>
        <v>4.8</v>
      </c>
      <c r="G5962" s="4" t="str">
        <f>HYPERLINK("http://141.218.60.56/~jnz1568/getInfo.php?workbook=10_05.xlsx&amp;sheet=U0&amp;row=5962&amp;col=7&amp;number=0.00241&amp;sourceID=14","0.00241")</f>
        <v>0.00241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HYPERLINK("http://141.218.60.56/~jnz1568/getInfo.php?workbook=10_05.xlsx&amp;sheet=U0&amp;row=5963&amp;col=6&amp;number=4.9&amp;sourceID=14","4.9")</f>
        <v>4.9</v>
      </c>
      <c r="G5963" s="4" t="str">
        <f>HYPERLINK("http://141.218.60.56/~jnz1568/getInfo.php?workbook=10_05.xlsx&amp;sheet=U0&amp;row=5963&amp;col=7&amp;number=0.00224&amp;sourceID=14","0.00224")</f>
        <v>0.00224</v>
      </c>
    </row>
    <row r="5964" spans="1:7">
      <c r="A5964" s="3">
        <v>10</v>
      </c>
      <c r="B5964" s="3">
        <v>5</v>
      </c>
      <c r="C5964" s="3">
        <v>2</v>
      </c>
      <c r="D5964" s="3">
        <v>122</v>
      </c>
      <c r="E5964" s="3">
        <v>1</v>
      </c>
      <c r="F5964" s="4" t="str">
        <f>HYPERLINK("http://141.218.60.56/~jnz1568/getInfo.php?workbook=10_05.xlsx&amp;sheet=U0&amp;row=5964&amp;col=6&amp;number=3&amp;sourceID=14","3")</f>
        <v>3</v>
      </c>
      <c r="G5964" s="4" t="str">
        <f>HYPERLINK("http://141.218.60.56/~jnz1568/getInfo.php?workbook=10_05.xlsx&amp;sheet=U0&amp;row=5964&amp;col=7&amp;number=0.0141&amp;sourceID=14","0.0141")</f>
        <v>0.0141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HYPERLINK("http://141.218.60.56/~jnz1568/getInfo.php?workbook=10_05.xlsx&amp;sheet=U0&amp;row=5965&amp;col=6&amp;number=3.1&amp;sourceID=14","3.1")</f>
        <v>3.1</v>
      </c>
      <c r="G5965" s="4" t="str">
        <f>HYPERLINK("http://141.218.60.56/~jnz1568/getInfo.php?workbook=10_05.xlsx&amp;sheet=U0&amp;row=5965&amp;col=7&amp;number=0.014&amp;sourceID=14","0.014")</f>
        <v>0.014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HYPERLINK("http://141.218.60.56/~jnz1568/getInfo.php?workbook=10_05.xlsx&amp;sheet=U0&amp;row=5966&amp;col=6&amp;number=3.2&amp;sourceID=14","3.2")</f>
        <v>3.2</v>
      </c>
      <c r="G5966" s="4" t="str">
        <f>HYPERLINK("http://141.218.60.56/~jnz1568/getInfo.php?workbook=10_05.xlsx&amp;sheet=U0&amp;row=5966&amp;col=7&amp;number=0.0138&amp;sourceID=14","0.0138")</f>
        <v>0.0138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HYPERLINK("http://141.218.60.56/~jnz1568/getInfo.php?workbook=10_05.xlsx&amp;sheet=U0&amp;row=5967&amp;col=6&amp;number=3.3&amp;sourceID=14","3.3")</f>
        <v>3.3</v>
      </c>
      <c r="G5967" s="4" t="str">
        <f>HYPERLINK("http://141.218.60.56/~jnz1568/getInfo.php?workbook=10_05.xlsx&amp;sheet=U0&amp;row=5967&amp;col=7&amp;number=0.0136&amp;sourceID=14","0.0136")</f>
        <v>0.0136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HYPERLINK("http://141.218.60.56/~jnz1568/getInfo.php?workbook=10_05.xlsx&amp;sheet=U0&amp;row=5968&amp;col=6&amp;number=3.4&amp;sourceID=14","3.4")</f>
        <v>3.4</v>
      </c>
      <c r="G5968" s="4" t="str">
        <f>HYPERLINK("http://141.218.60.56/~jnz1568/getInfo.php?workbook=10_05.xlsx&amp;sheet=U0&amp;row=5968&amp;col=7&amp;number=0.0134&amp;sourceID=14","0.0134")</f>
        <v>0.0134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HYPERLINK("http://141.218.60.56/~jnz1568/getInfo.php?workbook=10_05.xlsx&amp;sheet=U0&amp;row=5969&amp;col=6&amp;number=3.5&amp;sourceID=14","3.5")</f>
        <v>3.5</v>
      </c>
      <c r="G5969" s="4" t="str">
        <f>HYPERLINK("http://141.218.60.56/~jnz1568/getInfo.php?workbook=10_05.xlsx&amp;sheet=U0&amp;row=5969&amp;col=7&amp;number=0.0131&amp;sourceID=14","0.0131")</f>
        <v>0.0131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HYPERLINK("http://141.218.60.56/~jnz1568/getInfo.php?workbook=10_05.xlsx&amp;sheet=U0&amp;row=5970&amp;col=6&amp;number=3.6&amp;sourceID=14","3.6")</f>
        <v>3.6</v>
      </c>
      <c r="G5970" s="4" t="str">
        <f>HYPERLINK("http://141.218.60.56/~jnz1568/getInfo.php?workbook=10_05.xlsx&amp;sheet=U0&amp;row=5970&amp;col=7&amp;number=0.0128&amp;sourceID=14","0.0128")</f>
        <v>0.0128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HYPERLINK("http://141.218.60.56/~jnz1568/getInfo.php?workbook=10_05.xlsx&amp;sheet=U0&amp;row=5971&amp;col=6&amp;number=3.7&amp;sourceID=14","3.7")</f>
        <v>3.7</v>
      </c>
      <c r="G5971" s="4" t="str">
        <f>HYPERLINK("http://141.218.60.56/~jnz1568/getInfo.php?workbook=10_05.xlsx&amp;sheet=U0&amp;row=5971&amp;col=7&amp;number=0.0124&amp;sourceID=14","0.0124")</f>
        <v>0.0124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HYPERLINK("http://141.218.60.56/~jnz1568/getInfo.php?workbook=10_05.xlsx&amp;sheet=U0&amp;row=5972&amp;col=6&amp;number=3.8&amp;sourceID=14","3.8")</f>
        <v>3.8</v>
      </c>
      <c r="G5972" s="4" t="str">
        <f>HYPERLINK("http://141.218.60.56/~jnz1568/getInfo.php?workbook=10_05.xlsx&amp;sheet=U0&amp;row=5972&amp;col=7&amp;number=0.0119&amp;sourceID=14","0.0119")</f>
        <v>0.0119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HYPERLINK("http://141.218.60.56/~jnz1568/getInfo.php?workbook=10_05.xlsx&amp;sheet=U0&amp;row=5973&amp;col=6&amp;number=3.9&amp;sourceID=14","3.9")</f>
        <v>3.9</v>
      </c>
      <c r="G5973" s="4" t="str">
        <f>HYPERLINK("http://141.218.60.56/~jnz1568/getInfo.php?workbook=10_05.xlsx&amp;sheet=U0&amp;row=5973&amp;col=7&amp;number=0.0113&amp;sourceID=14","0.0113")</f>
        <v>0.0113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HYPERLINK("http://141.218.60.56/~jnz1568/getInfo.php?workbook=10_05.xlsx&amp;sheet=U0&amp;row=5974&amp;col=6&amp;number=4&amp;sourceID=14","4")</f>
        <v>4</v>
      </c>
      <c r="G5974" s="4" t="str">
        <f>HYPERLINK("http://141.218.60.56/~jnz1568/getInfo.php?workbook=10_05.xlsx&amp;sheet=U0&amp;row=5974&amp;col=7&amp;number=0.0106&amp;sourceID=14","0.0106")</f>
        <v>0.0106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HYPERLINK("http://141.218.60.56/~jnz1568/getInfo.php?workbook=10_05.xlsx&amp;sheet=U0&amp;row=5975&amp;col=6&amp;number=4.1&amp;sourceID=14","4.1")</f>
        <v>4.1</v>
      </c>
      <c r="G5975" s="4" t="str">
        <f>HYPERLINK("http://141.218.60.56/~jnz1568/getInfo.php?workbook=10_05.xlsx&amp;sheet=U0&amp;row=5975&amp;col=7&amp;number=0.00986&amp;sourceID=14","0.00986")</f>
        <v>0.00986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HYPERLINK("http://141.218.60.56/~jnz1568/getInfo.php?workbook=10_05.xlsx&amp;sheet=U0&amp;row=5976&amp;col=6&amp;number=4.2&amp;sourceID=14","4.2")</f>
        <v>4.2</v>
      </c>
      <c r="G5976" s="4" t="str">
        <f>HYPERLINK("http://141.218.60.56/~jnz1568/getInfo.php?workbook=10_05.xlsx&amp;sheet=U0&amp;row=5976&amp;col=7&amp;number=0.00907&amp;sourceID=14","0.00907")</f>
        <v>0.00907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HYPERLINK("http://141.218.60.56/~jnz1568/getInfo.php?workbook=10_05.xlsx&amp;sheet=U0&amp;row=5977&amp;col=6&amp;number=4.3&amp;sourceID=14","4.3")</f>
        <v>4.3</v>
      </c>
      <c r="G5977" s="4" t="str">
        <f>HYPERLINK("http://141.218.60.56/~jnz1568/getInfo.php?workbook=10_05.xlsx&amp;sheet=U0&amp;row=5977&amp;col=7&amp;number=0.00833&amp;sourceID=14","0.00833")</f>
        <v>0.00833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HYPERLINK("http://141.218.60.56/~jnz1568/getInfo.php?workbook=10_05.xlsx&amp;sheet=U0&amp;row=5978&amp;col=6&amp;number=4.4&amp;sourceID=14","4.4")</f>
        <v>4.4</v>
      </c>
      <c r="G5978" s="4" t="str">
        <f>HYPERLINK("http://141.218.60.56/~jnz1568/getInfo.php?workbook=10_05.xlsx&amp;sheet=U0&amp;row=5978&amp;col=7&amp;number=0.00771&amp;sourceID=14","0.00771")</f>
        <v>0.00771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HYPERLINK("http://141.218.60.56/~jnz1568/getInfo.php?workbook=10_05.xlsx&amp;sheet=U0&amp;row=5979&amp;col=6&amp;number=4.5&amp;sourceID=14","4.5")</f>
        <v>4.5</v>
      </c>
      <c r="G5979" s="4" t="str">
        <f>HYPERLINK("http://141.218.60.56/~jnz1568/getInfo.php?workbook=10_05.xlsx&amp;sheet=U0&amp;row=5979&amp;col=7&amp;number=0.0072&amp;sourceID=14","0.0072")</f>
        <v>0.0072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HYPERLINK("http://141.218.60.56/~jnz1568/getInfo.php?workbook=10_05.xlsx&amp;sheet=U0&amp;row=5980&amp;col=6&amp;number=4.6&amp;sourceID=14","4.6")</f>
        <v>4.6</v>
      </c>
      <c r="G5980" s="4" t="str">
        <f>HYPERLINK("http://141.218.60.56/~jnz1568/getInfo.php?workbook=10_05.xlsx&amp;sheet=U0&amp;row=5980&amp;col=7&amp;number=0.00676&amp;sourceID=14","0.00676")</f>
        <v>0.00676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HYPERLINK("http://141.218.60.56/~jnz1568/getInfo.php?workbook=10_05.xlsx&amp;sheet=U0&amp;row=5981&amp;col=6&amp;number=4.7&amp;sourceID=14","4.7")</f>
        <v>4.7</v>
      </c>
      <c r="G5981" s="4" t="str">
        <f>HYPERLINK("http://141.218.60.56/~jnz1568/getInfo.php?workbook=10_05.xlsx&amp;sheet=U0&amp;row=5981&amp;col=7&amp;number=0.00631&amp;sourceID=14","0.00631")</f>
        <v>0.00631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HYPERLINK("http://141.218.60.56/~jnz1568/getInfo.php?workbook=10_05.xlsx&amp;sheet=U0&amp;row=5982&amp;col=6&amp;number=4.8&amp;sourceID=14","4.8")</f>
        <v>4.8</v>
      </c>
      <c r="G5982" s="4" t="str">
        <f>HYPERLINK("http://141.218.60.56/~jnz1568/getInfo.php?workbook=10_05.xlsx&amp;sheet=U0&amp;row=5982&amp;col=7&amp;number=0.00588&amp;sourceID=14","0.00588")</f>
        <v>0.00588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HYPERLINK("http://141.218.60.56/~jnz1568/getInfo.php?workbook=10_05.xlsx&amp;sheet=U0&amp;row=5983&amp;col=6&amp;number=4.9&amp;sourceID=14","4.9")</f>
        <v>4.9</v>
      </c>
      <c r="G5983" s="4" t="str">
        <f>HYPERLINK("http://141.218.60.56/~jnz1568/getInfo.php?workbook=10_05.xlsx&amp;sheet=U0&amp;row=5983&amp;col=7&amp;number=0.0055&amp;sourceID=14","0.0055")</f>
        <v>0.0055</v>
      </c>
    </row>
    <row r="5984" spans="1:7">
      <c r="A5984" s="3">
        <v>10</v>
      </c>
      <c r="B5984" s="3">
        <v>5</v>
      </c>
      <c r="C5984" s="3">
        <v>2</v>
      </c>
      <c r="D5984" s="3">
        <v>123</v>
      </c>
      <c r="E5984" s="3">
        <v>1</v>
      </c>
      <c r="F5984" s="4" t="str">
        <f>HYPERLINK("http://141.218.60.56/~jnz1568/getInfo.php?workbook=10_05.xlsx&amp;sheet=U0&amp;row=5984&amp;col=6&amp;number=3&amp;sourceID=14","3")</f>
        <v>3</v>
      </c>
      <c r="G5984" s="4" t="str">
        <f>HYPERLINK("http://141.218.60.56/~jnz1568/getInfo.php?workbook=10_05.xlsx&amp;sheet=U0&amp;row=5984&amp;col=7&amp;number=0.0134&amp;sourceID=14","0.0134")</f>
        <v>0.0134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HYPERLINK("http://141.218.60.56/~jnz1568/getInfo.php?workbook=10_05.xlsx&amp;sheet=U0&amp;row=5985&amp;col=6&amp;number=3.1&amp;sourceID=14","3.1")</f>
        <v>3.1</v>
      </c>
      <c r="G5985" s="4" t="str">
        <f>HYPERLINK("http://141.218.60.56/~jnz1568/getInfo.php?workbook=10_05.xlsx&amp;sheet=U0&amp;row=5985&amp;col=7&amp;number=0.0133&amp;sourceID=14","0.0133")</f>
        <v>0.0133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HYPERLINK("http://141.218.60.56/~jnz1568/getInfo.php?workbook=10_05.xlsx&amp;sheet=U0&amp;row=5986&amp;col=6&amp;number=3.2&amp;sourceID=14","3.2")</f>
        <v>3.2</v>
      </c>
      <c r="G5986" s="4" t="str">
        <f>HYPERLINK("http://141.218.60.56/~jnz1568/getInfo.php?workbook=10_05.xlsx&amp;sheet=U0&amp;row=5986&amp;col=7&amp;number=0.0132&amp;sourceID=14","0.0132")</f>
        <v>0.0132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HYPERLINK("http://141.218.60.56/~jnz1568/getInfo.php?workbook=10_05.xlsx&amp;sheet=U0&amp;row=5987&amp;col=6&amp;number=3.3&amp;sourceID=14","3.3")</f>
        <v>3.3</v>
      </c>
      <c r="G5987" s="4" t="str">
        <f>HYPERLINK("http://141.218.60.56/~jnz1568/getInfo.php?workbook=10_05.xlsx&amp;sheet=U0&amp;row=5987&amp;col=7&amp;number=0.013&amp;sourceID=14","0.013")</f>
        <v>0.013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HYPERLINK("http://141.218.60.56/~jnz1568/getInfo.php?workbook=10_05.xlsx&amp;sheet=U0&amp;row=5988&amp;col=6&amp;number=3.4&amp;sourceID=14","3.4")</f>
        <v>3.4</v>
      </c>
      <c r="G5988" s="4" t="str">
        <f>HYPERLINK("http://141.218.60.56/~jnz1568/getInfo.php?workbook=10_05.xlsx&amp;sheet=U0&amp;row=5988&amp;col=7&amp;number=0.0128&amp;sourceID=14","0.0128")</f>
        <v>0.0128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HYPERLINK("http://141.218.60.56/~jnz1568/getInfo.php?workbook=10_05.xlsx&amp;sheet=U0&amp;row=5989&amp;col=6&amp;number=3.5&amp;sourceID=14","3.5")</f>
        <v>3.5</v>
      </c>
      <c r="G5989" s="4" t="str">
        <f>HYPERLINK("http://141.218.60.56/~jnz1568/getInfo.php?workbook=10_05.xlsx&amp;sheet=U0&amp;row=5989&amp;col=7&amp;number=0.0126&amp;sourceID=14","0.0126")</f>
        <v>0.0126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HYPERLINK("http://141.218.60.56/~jnz1568/getInfo.php?workbook=10_05.xlsx&amp;sheet=U0&amp;row=5990&amp;col=6&amp;number=3.6&amp;sourceID=14","3.6")</f>
        <v>3.6</v>
      </c>
      <c r="G5990" s="4" t="str">
        <f>HYPERLINK("http://141.218.60.56/~jnz1568/getInfo.php?workbook=10_05.xlsx&amp;sheet=U0&amp;row=5990&amp;col=7&amp;number=0.0123&amp;sourceID=14","0.0123")</f>
        <v>0.0123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HYPERLINK("http://141.218.60.56/~jnz1568/getInfo.php?workbook=10_05.xlsx&amp;sheet=U0&amp;row=5991&amp;col=6&amp;number=3.7&amp;sourceID=14","3.7")</f>
        <v>3.7</v>
      </c>
      <c r="G5991" s="4" t="str">
        <f>HYPERLINK("http://141.218.60.56/~jnz1568/getInfo.php?workbook=10_05.xlsx&amp;sheet=U0&amp;row=5991&amp;col=7&amp;number=0.012&amp;sourceID=14","0.012")</f>
        <v>0.012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HYPERLINK("http://141.218.60.56/~jnz1568/getInfo.php?workbook=10_05.xlsx&amp;sheet=U0&amp;row=5992&amp;col=6&amp;number=3.8&amp;sourceID=14","3.8")</f>
        <v>3.8</v>
      </c>
      <c r="G5992" s="4" t="str">
        <f>HYPERLINK("http://141.218.60.56/~jnz1568/getInfo.php?workbook=10_05.xlsx&amp;sheet=U0&amp;row=5992&amp;col=7&amp;number=0.0116&amp;sourceID=14","0.0116")</f>
        <v>0.0116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HYPERLINK("http://141.218.60.56/~jnz1568/getInfo.php?workbook=10_05.xlsx&amp;sheet=U0&amp;row=5993&amp;col=6&amp;number=3.9&amp;sourceID=14","3.9")</f>
        <v>3.9</v>
      </c>
      <c r="G5993" s="4" t="str">
        <f>HYPERLINK("http://141.218.60.56/~jnz1568/getInfo.php?workbook=10_05.xlsx&amp;sheet=U0&amp;row=5993&amp;col=7&amp;number=0.0111&amp;sourceID=14","0.0111")</f>
        <v>0.0111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HYPERLINK("http://141.218.60.56/~jnz1568/getInfo.php?workbook=10_05.xlsx&amp;sheet=U0&amp;row=5994&amp;col=6&amp;number=4&amp;sourceID=14","4")</f>
        <v>4</v>
      </c>
      <c r="G5994" s="4" t="str">
        <f>HYPERLINK("http://141.218.60.56/~jnz1568/getInfo.php?workbook=10_05.xlsx&amp;sheet=U0&amp;row=5994&amp;col=7&amp;number=0.0106&amp;sourceID=14","0.0106")</f>
        <v>0.0106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HYPERLINK("http://141.218.60.56/~jnz1568/getInfo.php?workbook=10_05.xlsx&amp;sheet=U0&amp;row=5995&amp;col=6&amp;number=4.1&amp;sourceID=14","4.1")</f>
        <v>4.1</v>
      </c>
      <c r="G5995" s="4" t="str">
        <f>HYPERLINK("http://141.218.60.56/~jnz1568/getInfo.php?workbook=10_05.xlsx&amp;sheet=U0&amp;row=5995&amp;col=7&amp;number=0.00993&amp;sourceID=14","0.00993")</f>
        <v>0.00993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HYPERLINK("http://141.218.60.56/~jnz1568/getInfo.php?workbook=10_05.xlsx&amp;sheet=U0&amp;row=5996&amp;col=6&amp;number=4.2&amp;sourceID=14","4.2")</f>
        <v>4.2</v>
      </c>
      <c r="G5996" s="4" t="str">
        <f>HYPERLINK("http://141.218.60.56/~jnz1568/getInfo.php?workbook=10_05.xlsx&amp;sheet=U0&amp;row=5996&amp;col=7&amp;number=0.00926&amp;sourceID=14","0.00926")</f>
        <v>0.00926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HYPERLINK("http://141.218.60.56/~jnz1568/getInfo.php?workbook=10_05.xlsx&amp;sheet=U0&amp;row=5997&amp;col=6&amp;number=4.3&amp;sourceID=14","4.3")</f>
        <v>4.3</v>
      </c>
      <c r="G5997" s="4" t="str">
        <f>HYPERLINK("http://141.218.60.56/~jnz1568/getInfo.php?workbook=10_05.xlsx&amp;sheet=U0&amp;row=5997&amp;col=7&amp;number=0.0086&amp;sourceID=14","0.0086")</f>
        <v>0.0086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HYPERLINK("http://141.218.60.56/~jnz1568/getInfo.php?workbook=10_05.xlsx&amp;sheet=U0&amp;row=5998&amp;col=6&amp;number=4.4&amp;sourceID=14","4.4")</f>
        <v>4.4</v>
      </c>
      <c r="G5998" s="4" t="str">
        <f>HYPERLINK("http://141.218.60.56/~jnz1568/getInfo.php?workbook=10_05.xlsx&amp;sheet=U0&amp;row=5998&amp;col=7&amp;number=0.00801&amp;sourceID=14","0.00801")</f>
        <v>0.00801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HYPERLINK("http://141.218.60.56/~jnz1568/getInfo.php?workbook=10_05.xlsx&amp;sheet=U0&amp;row=5999&amp;col=6&amp;number=4.5&amp;sourceID=14","4.5")</f>
        <v>4.5</v>
      </c>
      <c r="G5999" s="4" t="str">
        <f>HYPERLINK("http://141.218.60.56/~jnz1568/getInfo.php?workbook=10_05.xlsx&amp;sheet=U0&amp;row=5999&amp;col=7&amp;number=0.00748&amp;sourceID=14","0.00748")</f>
        <v>0.00748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HYPERLINK("http://141.218.60.56/~jnz1568/getInfo.php?workbook=10_05.xlsx&amp;sheet=U0&amp;row=6000&amp;col=6&amp;number=4.6&amp;sourceID=14","4.6")</f>
        <v>4.6</v>
      </c>
      <c r="G6000" s="4" t="str">
        <f>HYPERLINK("http://141.218.60.56/~jnz1568/getInfo.php?workbook=10_05.xlsx&amp;sheet=U0&amp;row=6000&amp;col=7&amp;number=0.00701&amp;sourceID=14","0.00701")</f>
        <v>0.00701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HYPERLINK("http://141.218.60.56/~jnz1568/getInfo.php?workbook=10_05.xlsx&amp;sheet=U0&amp;row=6001&amp;col=6&amp;number=4.7&amp;sourceID=14","4.7")</f>
        <v>4.7</v>
      </c>
      <c r="G6001" s="4" t="str">
        <f>HYPERLINK("http://141.218.60.56/~jnz1568/getInfo.php?workbook=10_05.xlsx&amp;sheet=U0&amp;row=6001&amp;col=7&amp;number=0.00654&amp;sourceID=14","0.00654")</f>
        <v>0.00654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HYPERLINK("http://141.218.60.56/~jnz1568/getInfo.php?workbook=10_05.xlsx&amp;sheet=U0&amp;row=6002&amp;col=6&amp;number=4.8&amp;sourceID=14","4.8")</f>
        <v>4.8</v>
      </c>
      <c r="G6002" s="4" t="str">
        <f>HYPERLINK("http://141.218.60.56/~jnz1568/getInfo.php?workbook=10_05.xlsx&amp;sheet=U0&amp;row=6002&amp;col=7&amp;number=0.00609&amp;sourceID=14","0.00609")</f>
        <v>0.00609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HYPERLINK("http://141.218.60.56/~jnz1568/getInfo.php?workbook=10_05.xlsx&amp;sheet=U0&amp;row=6003&amp;col=6&amp;number=4.9&amp;sourceID=14","4.9")</f>
        <v>4.9</v>
      </c>
      <c r="G6003" s="4" t="str">
        <f>HYPERLINK("http://141.218.60.56/~jnz1568/getInfo.php?workbook=10_05.xlsx&amp;sheet=U0&amp;row=6003&amp;col=7&amp;number=0.00569&amp;sourceID=14","0.00569")</f>
        <v>0.00569</v>
      </c>
    </row>
    <row r="6004" spans="1:7">
      <c r="A6004" s="3">
        <v>10</v>
      </c>
      <c r="B6004" s="3">
        <v>5</v>
      </c>
      <c r="C6004" s="3">
        <v>2</v>
      </c>
      <c r="D6004" s="3">
        <v>124</v>
      </c>
      <c r="E6004" s="3">
        <v>1</v>
      </c>
      <c r="F6004" s="4" t="str">
        <f>HYPERLINK("http://141.218.60.56/~jnz1568/getInfo.php?workbook=10_05.xlsx&amp;sheet=U0&amp;row=6004&amp;col=6&amp;number=3&amp;sourceID=14","3")</f>
        <v>3</v>
      </c>
      <c r="G6004" s="4" t="str">
        <f>HYPERLINK("http://141.218.60.56/~jnz1568/getInfo.php?workbook=10_05.xlsx&amp;sheet=U0&amp;row=6004&amp;col=7&amp;number=0.0241&amp;sourceID=14","0.0241")</f>
        <v>0.0241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HYPERLINK("http://141.218.60.56/~jnz1568/getInfo.php?workbook=10_05.xlsx&amp;sheet=U0&amp;row=6005&amp;col=6&amp;number=3.1&amp;sourceID=14","3.1")</f>
        <v>3.1</v>
      </c>
      <c r="G6005" s="4" t="str">
        <f>HYPERLINK("http://141.218.60.56/~jnz1568/getInfo.php?workbook=10_05.xlsx&amp;sheet=U0&amp;row=6005&amp;col=7&amp;number=0.024&amp;sourceID=14","0.024")</f>
        <v>0.024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HYPERLINK("http://141.218.60.56/~jnz1568/getInfo.php?workbook=10_05.xlsx&amp;sheet=U0&amp;row=6006&amp;col=6&amp;number=3.2&amp;sourceID=14","3.2")</f>
        <v>3.2</v>
      </c>
      <c r="G6006" s="4" t="str">
        <f>HYPERLINK("http://141.218.60.56/~jnz1568/getInfo.php?workbook=10_05.xlsx&amp;sheet=U0&amp;row=6006&amp;col=7&amp;number=0.0238&amp;sourceID=14","0.0238")</f>
        <v>0.0238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HYPERLINK("http://141.218.60.56/~jnz1568/getInfo.php?workbook=10_05.xlsx&amp;sheet=U0&amp;row=6007&amp;col=6&amp;number=3.3&amp;sourceID=14","3.3")</f>
        <v>3.3</v>
      </c>
      <c r="G6007" s="4" t="str">
        <f>HYPERLINK("http://141.218.60.56/~jnz1568/getInfo.php?workbook=10_05.xlsx&amp;sheet=U0&amp;row=6007&amp;col=7&amp;number=0.0236&amp;sourceID=14","0.0236")</f>
        <v>0.0236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HYPERLINK("http://141.218.60.56/~jnz1568/getInfo.php?workbook=10_05.xlsx&amp;sheet=U0&amp;row=6008&amp;col=6&amp;number=3.4&amp;sourceID=14","3.4")</f>
        <v>3.4</v>
      </c>
      <c r="G6008" s="4" t="str">
        <f>HYPERLINK("http://141.218.60.56/~jnz1568/getInfo.php?workbook=10_05.xlsx&amp;sheet=U0&amp;row=6008&amp;col=7&amp;number=0.0233&amp;sourceID=14","0.0233")</f>
        <v>0.0233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HYPERLINK("http://141.218.60.56/~jnz1568/getInfo.php?workbook=10_05.xlsx&amp;sheet=U0&amp;row=6009&amp;col=6&amp;number=3.5&amp;sourceID=14","3.5")</f>
        <v>3.5</v>
      </c>
      <c r="G6009" s="4" t="str">
        <f>HYPERLINK("http://141.218.60.56/~jnz1568/getInfo.php?workbook=10_05.xlsx&amp;sheet=U0&amp;row=6009&amp;col=7&amp;number=0.023&amp;sourceID=14","0.023")</f>
        <v>0.023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HYPERLINK("http://141.218.60.56/~jnz1568/getInfo.php?workbook=10_05.xlsx&amp;sheet=U0&amp;row=6010&amp;col=6&amp;number=3.6&amp;sourceID=14","3.6")</f>
        <v>3.6</v>
      </c>
      <c r="G6010" s="4" t="str">
        <f>HYPERLINK("http://141.218.60.56/~jnz1568/getInfo.php?workbook=10_05.xlsx&amp;sheet=U0&amp;row=6010&amp;col=7&amp;number=0.0226&amp;sourceID=14","0.0226")</f>
        <v>0.0226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HYPERLINK("http://141.218.60.56/~jnz1568/getInfo.php?workbook=10_05.xlsx&amp;sheet=U0&amp;row=6011&amp;col=6&amp;number=3.7&amp;sourceID=14","3.7")</f>
        <v>3.7</v>
      </c>
      <c r="G6011" s="4" t="str">
        <f>HYPERLINK("http://141.218.60.56/~jnz1568/getInfo.php?workbook=10_05.xlsx&amp;sheet=U0&amp;row=6011&amp;col=7&amp;number=0.0221&amp;sourceID=14","0.0221")</f>
        <v>0.0221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HYPERLINK("http://141.218.60.56/~jnz1568/getInfo.php?workbook=10_05.xlsx&amp;sheet=U0&amp;row=6012&amp;col=6&amp;number=3.8&amp;sourceID=14","3.8")</f>
        <v>3.8</v>
      </c>
      <c r="G6012" s="4" t="str">
        <f>HYPERLINK("http://141.218.60.56/~jnz1568/getInfo.php?workbook=10_05.xlsx&amp;sheet=U0&amp;row=6012&amp;col=7&amp;number=0.0215&amp;sourceID=14","0.0215")</f>
        <v>0.0215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HYPERLINK("http://141.218.60.56/~jnz1568/getInfo.php?workbook=10_05.xlsx&amp;sheet=U0&amp;row=6013&amp;col=6&amp;number=3.9&amp;sourceID=14","3.9")</f>
        <v>3.9</v>
      </c>
      <c r="G6013" s="4" t="str">
        <f>HYPERLINK("http://141.218.60.56/~jnz1568/getInfo.php?workbook=10_05.xlsx&amp;sheet=U0&amp;row=6013&amp;col=7&amp;number=0.0208&amp;sourceID=14","0.0208")</f>
        <v>0.0208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HYPERLINK("http://141.218.60.56/~jnz1568/getInfo.php?workbook=10_05.xlsx&amp;sheet=U0&amp;row=6014&amp;col=6&amp;number=4&amp;sourceID=14","4")</f>
        <v>4</v>
      </c>
      <c r="G6014" s="4" t="str">
        <f>HYPERLINK("http://141.218.60.56/~jnz1568/getInfo.php?workbook=10_05.xlsx&amp;sheet=U0&amp;row=6014&amp;col=7&amp;number=0.0199&amp;sourceID=14","0.0199")</f>
        <v>0.0199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HYPERLINK("http://141.218.60.56/~jnz1568/getInfo.php?workbook=10_05.xlsx&amp;sheet=U0&amp;row=6015&amp;col=6&amp;number=4.1&amp;sourceID=14","4.1")</f>
        <v>4.1</v>
      </c>
      <c r="G6015" s="4" t="str">
        <f>HYPERLINK("http://141.218.60.56/~jnz1568/getInfo.php?workbook=10_05.xlsx&amp;sheet=U0&amp;row=6015&amp;col=7&amp;number=0.019&amp;sourceID=14","0.019")</f>
        <v>0.019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HYPERLINK("http://141.218.60.56/~jnz1568/getInfo.php?workbook=10_05.xlsx&amp;sheet=U0&amp;row=6016&amp;col=6&amp;number=4.2&amp;sourceID=14","4.2")</f>
        <v>4.2</v>
      </c>
      <c r="G6016" s="4" t="str">
        <f>HYPERLINK("http://141.218.60.56/~jnz1568/getInfo.php?workbook=10_05.xlsx&amp;sheet=U0&amp;row=6016&amp;col=7&amp;number=0.0179&amp;sourceID=14","0.0179")</f>
        <v>0.0179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HYPERLINK("http://141.218.60.56/~jnz1568/getInfo.php?workbook=10_05.xlsx&amp;sheet=U0&amp;row=6017&amp;col=6&amp;number=4.3&amp;sourceID=14","4.3")</f>
        <v>4.3</v>
      </c>
      <c r="G6017" s="4" t="str">
        <f>HYPERLINK("http://141.218.60.56/~jnz1568/getInfo.php?workbook=10_05.xlsx&amp;sheet=U0&amp;row=6017&amp;col=7&amp;number=0.0169&amp;sourceID=14","0.0169")</f>
        <v>0.0169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HYPERLINK("http://141.218.60.56/~jnz1568/getInfo.php?workbook=10_05.xlsx&amp;sheet=U0&amp;row=6018&amp;col=6&amp;number=4.4&amp;sourceID=14","4.4")</f>
        <v>4.4</v>
      </c>
      <c r="G6018" s="4" t="str">
        <f>HYPERLINK("http://141.218.60.56/~jnz1568/getInfo.php?workbook=10_05.xlsx&amp;sheet=U0&amp;row=6018&amp;col=7&amp;number=0.0159&amp;sourceID=14","0.0159")</f>
        <v>0.0159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HYPERLINK("http://141.218.60.56/~jnz1568/getInfo.php?workbook=10_05.xlsx&amp;sheet=U0&amp;row=6019&amp;col=6&amp;number=4.5&amp;sourceID=14","4.5")</f>
        <v>4.5</v>
      </c>
      <c r="G6019" s="4" t="str">
        <f>HYPERLINK("http://141.218.60.56/~jnz1568/getInfo.php?workbook=10_05.xlsx&amp;sheet=U0&amp;row=6019&amp;col=7&amp;number=0.015&amp;sourceID=14","0.015")</f>
        <v>0.015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HYPERLINK("http://141.218.60.56/~jnz1568/getInfo.php?workbook=10_05.xlsx&amp;sheet=U0&amp;row=6020&amp;col=6&amp;number=4.6&amp;sourceID=14","4.6")</f>
        <v>4.6</v>
      </c>
      <c r="G6020" s="4" t="str">
        <f>HYPERLINK("http://141.218.60.56/~jnz1568/getInfo.php?workbook=10_05.xlsx&amp;sheet=U0&amp;row=6020&amp;col=7&amp;number=0.0141&amp;sourceID=14","0.0141")</f>
        <v>0.0141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HYPERLINK("http://141.218.60.56/~jnz1568/getInfo.php?workbook=10_05.xlsx&amp;sheet=U0&amp;row=6021&amp;col=6&amp;number=4.7&amp;sourceID=14","4.7")</f>
        <v>4.7</v>
      </c>
      <c r="G6021" s="4" t="str">
        <f>HYPERLINK("http://141.218.60.56/~jnz1568/getInfo.php?workbook=10_05.xlsx&amp;sheet=U0&amp;row=6021&amp;col=7&amp;number=0.0134&amp;sourceID=14","0.0134")</f>
        <v>0.0134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HYPERLINK("http://141.218.60.56/~jnz1568/getInfo.php?workbook=10_05.xlsx&amp;sheet=U0&amp;row=6022&amp;col=6&amp;number=4.8&amp;sourceID=14","4.8")</f>
        <v>4.8</v>
      </c>
      <c r="G6022" s="4" t="str">
        <f>HYPERLINK("http://141.218.60.56/~jnz1568/getInfo.php?workbook=10_05.xlsx&amp;sheet=U0&amp;row=6022&amp;col=7&amp;number=0.0127&amp;sourceID=14","0.0127")</f>
        <v>0.0127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HYPERLINK("http://141.218.60.56/~jnz1568/getInfo.php?workbook=10_05.xlsx&amp;sheet=U0&amp;row=6023&amp;col=6&amp;number=4.9&amp;sourceID=14","4.9")</f>
        <v>4.9</v>
      </c>
      <c r="G6023" s="4" t="str">
        <f>HYPERLINK("http://141.218.60.56/~jnz1568/getInfo.php?workbook=10_05.xlsx&amp;sheet=U0&amp;row=6023&amp;col=7&amp;number=0.0121&amp;sourceID=14","0.0121")</f>
        <v>0.0121</v>
      </c>
    </row>
    <row r="6024" spans="1:7">
      <c r="A6024" s="3">
        <v>10</v>
      </c>
      <c r="B6024" s="3">
        <v>5</v>
      </c>
      <c r="C6024" s="3">
        <v>2</v>
      </c>
      <c r="D6024" s="3">
        <v>125</v>
      </c>
      <c r="E6024" s="3">
        <v>1</v>
      </c>
      <c r="F6024" s="4" t="str">
        <f>HYPERLINK("http://141.218.60.56/~jnz1568/getInfo.php?workbook=10_05.xlsx&amp;sheet=U0&amp;row=6024&amp;col=6&amp;number=3&amp;sourceID=14","3")</f>
        <v>3</v>
      </c>
      <c r="G6024" s="4" t="str">
        <f>HYPERLINK("http://141.218.60.56/~jnz1568/getInfo.php?workbook=10_05.xlsx&amp;sheet=U0&amp;row=6024&amp;col=7&amp;number=0.00588&amp;sourceID=14","0.00588")</f>
        <v>0.00588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HYPERLINK("http://141.218.60.56/~jnz1568/getInfo.php?workbook=10_05.xlsx&amp;sheet=U0&amp;row=6025&amp;col=6&amp;number=3.1&amp;sourceID=14","3.1")</f>
        <v>3.1</v>
      </c>
      <c r="G6025" s="4" t="str">
        <f>HYPERLINK("http://141.218.60.56/~jnz1568/getInfo.php?workbook=10_05.xlsx&amp;sheet=U0&amp;row=6025&amp;col=7&amp;number=0.00586&amp;sourceID=14","0.00586")</f>
        <v>0.00586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HYPERLINK("http://141.218.60.56/~jnz1568/getInfo.php?workbook=10_05.xlsx&amp;sheet=U0&amp;row=6026&amp;col=6&amp;number=3.2&amp;sourceID=14","3.2")</f>
        <v>3.2</v>
      </c>
      <c r="G6026" s="4" t="str">
        <f>HYPERLINK("http://141.218.60.56/~jnz1568/getInfo.php?workbook=10_05.xlsx&amp;sheet=U0&amp;row=6026&amp;col=7&amp;number=0.00583&amp;sourceID=14","0.00583")</f>
        <v>0.00583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HYPERLINK("http://141.218.60.56/~jnz1568/getInfo.php?workbook=10_05.xlsx&amp;sheet=U0&amp;row=6027&amp;col=6&amp;number=3.3&amp;sourceID=14","3.3")</f>
        <v>3.3</v>
      </c>
      <c r="G6027" s="4" t="str">
        <f>HYPERLINK("http://141.218.60.56/~jnz1568/getInfo.php?workbook=10_05.xlsx&amp;sheet=U0&amp;row=6027&amp;col=7&amp;number=0.0058&amp;sourceID=14","0.0058")</f>
        <v>0.0058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HYPERLINK("http://141.218.60.56/~jnz1568/getInfo.php?workbook=10_05.xlsx&amp;sheet=U0&amp;row=6028&amp;col=6&amp;number=3.4&amp;sourceID=14","3.4")</f>
        <v>3.4</v>
      </c>
      <c r="G6028" s="4" t="str">
        <f>HYPERLINK("http://141.218.60.56/~jnz1568/getInfo.php?workbook=10_05.xlsx&amp;sheet=U0&amp;row=6028&amp;col=7&amp;number=0.00576&amp;sourceID=14","0.00576")</f>
        <v>0.00576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HYPERLINK("http://141.218.60.56/~jnz1568/getInfo.php?workbook=10_05.xlsx&amp;sheet=U0&amp;row=6029&amp;col=6&amp;number=3.5&amp;sourceID=14","3.5")</f>
        <v>3.5</v>
      </c>
      <c r="G6029" s="4" t="str">
        <f>HYPERLINK("http://141.218.60.56/~jnz1568/getInfo.php?workbook=10_05.xlsx&amp;sheet=U0&amp;row=6029&amp;col=7&amp;number=0.00571&amp;sourceID=14","0.00571")</f>
        <v>0.00571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HYPERLINK("http://141.218.60.56/~jnz1568/getInfo.php?workbook=10_05.xlsx&amp;sheet=U0&amp;row=6030&amp;col=6&amp;number=3.6&amp;sourceID=14","3.6")</f>
        <v>3.6</v>
      </c>
      <c r="G6030" s="4" t="str">
        <f>HYPERLINK("http://141.218.60.56/~jnz1568/getInfo.php?workbook=10_05.xlsx&amp;sheet=U0&amp;row=6030&amp;col=7&amp;number=0.00565&amp;sourceID=14","0.00565")</f>
        <v>0.00565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HYPERLINK("http://141.218.60.56/~jnz1568/getInfo.php?workbook=10_05.xlsx&amp;sheet=U0&amp;row=6031&amp;col=6&amp;number=3.7&amp;sourceID=14","3.7")</f>
        <v>3.7</v>
      </c>
      <c r="G6031" s="4" t="str">
        <f>HYPERLINK("http://141.218.60.56/~jnz1568/getInfo.php?workbook=10_05.xlsx&amp;sheet=U0&amp;row=6031&amp;col=7&amp;number=0.00557&amp;sourceID=14","0.00557")</f>
        <v>0.00557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HYPERLINK("http://141.218.60.56/~jnz1568/getInfo.php?workbook=10_05.xlsx&amp;sheet=U0&amp;row=6032&amp;col=6&amp;number=3.8&amp;sourceID=14","3.8")</f>
        <v>3.8</v>
      </c>
      <c r="G6032" s="4" t="str">
        <f>HYPERLINK("http://141.218.60.56/~jnz1568/getInfo.php?workbook=10_05.xlsx&amp;sheet=U0&amp;row=6032&amp;col=7&amp;number=0.00547&amp;sourceID=14","0.00547")</f>
        <v>0.00547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HYPERLINK("http://141.218.60.56/~jnz1568/getInfo.php?workbook=10_05.xlsx&amp;sheet=U0&amp;row=6033&amp;col=6&amp;number=3.9&amp;sourceID=14","3.9")</f>
        <v>3.9</v>
      </c>
      <c r="G6033" s="4" t="str">
        <f>HYPERLINK("http://141.218.60.56/~jnz1568/getInfo.php?workbook=10_05.xlsx&amp;sheet=U0&amp;row=6033&amp;col=7&amp;number=0.00535&amp;sourceID=14","0.00535")</f>
        <v>0.00535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HYPERLINK("http://141.218.60.56/~jnz1568/getInfo.php?workbook=10_05.xlsx&amp;sheet=U0&amp;row=6034&amp;col=6&amp;number=4&amp;sourceID=14","4")</f>
        <v>4</v>
      </c>
      <c r="G6034" s="4" t="str">
        <f>HYPERLINK("http://141.218.60.56/~jnz1568/getInfo.php?workbook=10_05.xlsx&amp;sheet=U0&amp;row=6034&amp;col=7&amp;number=0.00521&amp;sourceID=14","0.00521")</f>
        <v>0.00521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HYPERLINK("http://141.218.60.56/~jnz1568/getInfo.php?workbook=10_05.xlsx&amp;sheet=U0&amp;row=6035&amp;col=6&amp;number=4.1&amp;sourceID=14","4.1")</f>
        <v>4.1</v>
      </c>
      <c r="G6035" s="4" t="str">
        <f>HYPERLINK("http://141.218.60.56/~jnz1568/getInfo.php?workbook=10_05.xlsx&amp;sheet=U0&amp;row=6035&amp;col=7&amp;number=0.00503&amp;sourceID=14","0.00503")</f>
        <v>0.00503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HYPERLINK("http://141.218.60.56/~jnz1568/getInfo.php?workbook=10_05.xlsx&amp;sheet=U0&amp;row=6036&amp;col=6&amp;number=4.2&amp;sourceID=14","4.2")</f>
        <v>4.2</v>
      </c>
      <c r="G6036" s="4" t="str">
        <f>HYPERLINK("http://141.218.60.56/~jnz1568/getInfo.php?workbook=10_05.xlsx&amp;sheet=U0&amp;row=6036&amp;col=7&amp;number=0.00482&amp;sourceID=14","0.00482")</f>
        <v>0.00482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HYPERLINK("http://141.218.60.56/~jnz1568/getInfo.php?workbook=10_05.xlsx&amp;sheet=U0&amp;row=6037&amp;col=6&amp;number=4.3&amp;sourceID=14","4.3")</f>
        <v>4.3</v>
      </c>
      <c r="G6037" s="4" t="str">
        <f>HYPERLINK("http://141.218.60.56/~jnz1568/getInfo.php?workbook=10_05.xlsx&amp;sheet=U0&amp;row=6037&amp;col=7&amp;number=0.00457&amp;sourceID=14","0.00457")</f>
        <v>0.00457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HYPERLINK("http://141.218.60.56/~jnz1568/getInfo.php?workbook=10_05.xlsx&amp;sheet=U0&amp;row=6038&amp;col=6&amp;number=4.4&amp;sourceID=14","4.4")</f>
        <v>4.4</v>
      </c>
      <c r="G6038" s="4" t="str">
        <f>HYPERLINK("http://141.218.60.56/~jnz1568/getInfo.php?workbook=10_05.xlsx&amp;sheet=U0&amp;row=6038&amp;col=7&amp;number=0.00429&amp;sourceID=14","0.00429")</f>
        <v>0.00429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HYPERLINK("http://141.218.60.56/~jnz1568/getInfo.php?workbook=10_05.xlsx&amp;sheet=U0&amp;row=6039&amp;col=6&amp;number=4.5&amp;sourceID=14","4.5")</f>
        <v>4.5</v>
      </c>
      <c r="G6039" s="4" t="str">
        <f>HYPERLINK("http://141.218.60.56/~jnz1568/getInfo.php?workbook=10_05.xlsx&amp;sheet=U0&amp;row=6039&amp;col=7&amp;number=0.00399&amp;sourceID=14","0.00399")</f>
        <v>0.00399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HYPERLINK("http://141.218.60.56/~jnz1568/getInfo.php?workbook=10_05.xlsx&amp;sheet=U0&amp;row=6040&amp;col=6&amp;number=4.6&amp;sourceID=14","4.6")</f>
        <v>4.6</v>
      </c>
      <c r="G6040" s="4" t="str">
        <f>HYPERLINK("http://141.218.60.56/~jnz1568/getInfo.php?workbook=10_05.xlsx&amp;sheet=U0&amp;row=6040&amp;col=7&amp;number=0.00371&amp;sourceID=14","0.00371")</f>
        <v>0.00371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HYPERLINK("http://141.218.60.56/~jnz1568/getInfo.php?workbook=10_05.xlsx&amp;sheet=U0&amp;row=6041&amp;col=6&amp;number=4.7&amp;sourceID=14","4.7")</f>
        <v>4.7</v>
      </c>
      <c r="G6041" s="4" t="str">
        <f>HYPERLINK("http://141.218.60.56/~jnz1568/getInfo.php?workbook=10_05.xlsx&amp;sheet=U0&amp;row=6041&amp;col=7&amp;number=0.00348&amp;sourceID=14","0.00348")</f>
        <v>0.00348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HYPERLINK("http://141.218.60.56/~jnz1568/getInfo.php?workbook=10_05.xlsx&amp;sheet=U0&amp;row=6042&amp;col=6&amp;number=4.8&amp;sourceID=14","4.8")</f>
        <v>4.8</v>
      </c>
      <c r="G6042" s="4" t="str">
        <f>HYPERLINK("http://141.218.60.56/~jnz1568/getInfo.php?workbook=10_05.xlsx&amp;sheet=U0&amp;row=6042&amp;col=7&amp;number=0.00331&amp;sourceID=14","0.00331")</f>
        <v>0.00331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HYPERLINK("http://141.218.60.56/~jnz1568/getInfo.php?workbook=10_05.xlsx&amp;sheet=U0&amp;row=6043&amp;col=6&amp;number=4.9&amp;sourceID=14","4.9")</f>
        <v>4.9</v>
      </c>
      <c r="G6043" s="4" t="str">
        <f>HYPERLINK("http://141.218.60.56/~jnz1568/getInfo.php?workbook=10_05.xlsx&amp;sheet=U0&amp;row=6043&amp;col=7&amp;number=0.0032&amp;sourceID=14","0.0032")</f>
        <v>0.0032</v>
      </c>
    </row>
    <row r="6044" spans="1:7">
      <c r="A6044" s="3">
        <v>10</v>
      </c>
      <c r="B6044" s="3">
        <v>5</v>
      </c>
      <c r="C6044" s="3">
        <v>2</v>
      </c>
      <c r="D6044" s="3">
        <v>126</v>
      </c>
      <c r="E6044" s="3">
        <v>1</v>
      </c>
      <c r="F6044" s="4" t="str">
        <f>HYPERLINK("http://141.218.60.56/~jnz1568/getInfo.php?workbook=10_05.xlsx&amp;sheet=U0&amp;row=6044&amp;col=6&amp;number=3&amp;sourceID=14","3")</f>
        <v>3</v>
      </c>
      <c r="G6044" s="4" t="str">
        <f>HYPERLINK("http://141.218.60.56/~jnz1568/getInfo.php?workbook=10_05.xlsx&amp;sheet=U0&amp;row=6044&amp;col=7&amp;number=0.02&amp;sourceID=14","0.02")</f>
        <v>0.02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HYPERLINK("http://141.218.60.56/~jnz1568/getInfo.php?workbook=10_05.xlsx&amp;sheet=U0&amp;row=6045&amp;col=6&amp;number=3.1&amp;sourceID=14","3.1")</f>
        <v>3.1</v>
      </c>
      <c r="G6045" s="4" t="str">
        <f>HYPERLINK("http://141.218.60.56/~jnz1568/getInfo.php?workbook=10_05.xlsx&amp;sheet=U0&amp;row=6045&amp;col=7&amp;number=0.02&amp;sourceID=14","0.02")</f>
        <v>0.02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HYPERLINK("http://141.218.60.56/~jnz1568/getInfo.php?workbook=10_05.xlsx&amp;sheet=U0&amp;row=6046&amp;col=6&amp;number=3.2&amp;sourceID=14","3.2")</f>
        <v>3.2</v>
      </c>
      <c r="G6046" s="4" t="str">
        <f>HYPERLINK("http://141.218.60.56/~jnz1568/getInfo.php?workbook=10_05.xlsx&amp;sheet=U0&amp;row=6046&amp;col=7&amp;number=0.0199&amp;sourceID=14","0.0199")</f>
        <v>0.0199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HYPERLINK("http://141.218.60.56/~jnz1568/getInfo.php?workbook=10_05.xlsx&amp;sheet=U0&amp;row=6047&amp;col=6&amp;number=3.3&amp;sourceID=14","3.3")</f>
        <v>3.3</v>
      </c>
      <c r="G6047" s="4" t="str">
        <f>HYPERLINK("http://141.218.60.56/~jnz1568/getInfo.php?workbook=10_05.xlsx&amp;sheet=U0&amp;row=6047&amp;col=7&amp;number=0.0198&amp;sourceID=14","0.0198")</f>
        <v>0.0198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HYPERLINK("http://141.218.60.56/~jnz1568/getInfo.php?workbook=10_05.xlsx&amp;sheet=U0&amp;row=6048&amp;col=6&amp;number=3.4&amp;sourceID=14","3.4")</f>
        <v>3.4</v>
      </c>
      <c r="G6048" s="4" t="str">
        <f>HYPERLINK("http://141.218.60.56/~jnz1568/getInfo.php?workbook=10_05.xlsx&amp;sheet=U0&amp;row=6048&amp;col=7&amp;number=0.0197&amp;sourceID=14","0.0197")</f>
        <v>0.0197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HYPERLINK("http://141.218.60.56/~jnz1568/getInfo.php?workbook=10_05.xlsx&amp;sheet=U0&amp;row=6049&amp;col=6&amp;number=3.5&amp;sourceID=14","3.5")</f>
        <v>3.5</v>
      </c>
      <c r="G6049" s="4" t="str">
        <f>HYPERLINK("http://141.218.60.56/~jnz1568/getInfo.php?workbook=10_05.xlsx&amp;sheet=U0&amp;row=6049&amp;col=7&amp;number=0.0195&amp;sourceID=14","0.0195")</f>
        <v>0.0195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HYPERLINK("http://141.218.60.56/~jnz1568/getInfo.php?workbook=10_05.xlsx&amp;sheet=U0&amp;row=6050&amp;col=6&amp;number=3.6&amp;sourceID=14","3.6")</f>
        <v>3.6</v>
      </c>
      <c r="G6050" s="4" t="str">
        <f>HYPERLINK("http://141.218.60.56/~jnz1568/getInfo.php?workbook=10_05.xlsx&amp;sheet=U0&amp;row=6050&amp;col=7&amp;number=0.0194&amp;sourceID=14","0.0194")</f>
        <v>0.0194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HYPERLINK("http://141.218.60.56/~jnz1568/getInfo.php?workbook=10_05.xlsx&amp;sheet=U0&amp;row=6051&amp;col=6&amp;number=3.7&amp;sourceID=14","3.7")</f>
        <v>3.7</v>
      </c>
      <c r="G6051" s="4" t="str">
        <f>HYPERLINK("http://141.218.60.56/~jnz1568/getInfo.php?workbook=10_05.xlsx&amp;sheet=U0&amp;row=6051&amp;col=7&amp;number=0.0191&amp;sourceID=14","0.0191")</f>
        <v>0.0191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HYPERLINK("http://141.218.60.56/~jnz1568/getInfo.php?workbook=10_05.xlsx&amp;sheet=U0&amp;row=6052&amp;col=6&amp;number=3.8&amp;sourceID=14","3.8")</f>
        <v>3.8</v>
      </c>
      <c r="G6052" s="4" t="str">
        <f>HYPERLINK("http://141.218.60.56/~jnz1568/getInfo.php?workbook=10_05.xlsx&amp;sheet=U0&amp;row=6052&amp;col=7&amp;number=0.0189&amp;sourceID=14","0.0189")</f>
        <v>0.0189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HYPERLINK("http://141.218.60.56/~jnz1568/getInfo.php?workbook=10_05.xlsx&amp;sheet=U0&amp;row=6053&amp;col=6&amp;number=3.9&amp;sourceID=14","3.9")</f>
        <v>3.9</v>
      </c>
      <c r="G6053" s="4" t="str">
        <f>HYPERLINK("http://141.218.60.56/~jnz1568/getInfo.php?workbook=10_05.xlsx&amp;sheet=U0&amp;row=6053&amp;col=7&amp;number=0.0185&amp;sourceID=14","0.0185")</f>
        <v>0.0185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HYPERLINK("http://141.218.60.56/~jnz1568/getInfo.php?workbook=10_05.xlsx&amp;sheet=U0&amp;row=6054&amp;col=6&amp;number=4&amp;sourceID=14","4")</f>
        <v>4</v>
      </c>
      <c r="G6054" s="4" t="str">
        <f>HYPERLINK("http://141.218.60.56/~jnz1568/getInfo.php?workbook=10_05.xlsx&amp;sheet=U0&amp;row=6054&amp;col=7&amp;number=0.0181&amp;sourceID=14","0.0181")</f>
        <v>0.0181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HYPERLINK("http://141.218.60.56/~jnz1568/getInfo.php?workbook=10_05.xlsx&amp;sheet=U0&amp;row=6055&amp;col=6&amp;number=4.1&amp;sourceID=14","4.1")</f>
        <v>4.1</v>
      </c>
      <c r="G6055" s="4" t="str">
        <f>HYPERLINK("http://141.218.60.56/~jnz1568/getInfo.php?workbook=10_05.xlsx&amp;sheet=U0&amp;row=6055&amp;col=7&amp;number=0.0176&amp;sourceID=14","0.0176")</f>
        <v>0.0176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HYPERLINK("http://141.218.60.56/~jnz1568/getInfo.php?workbook=10_05.xlsx&amp;sheet=U0&amp;row=6056&amp;col=6&amp;number=4.2&amp;sourceID=14","4.2")</f>
        <v>4.2</v>
      </c>
      <c r="G6056" s="4" t="str">
        <f>HYPERLINK("http://141.218.60.56/~jnz1568/getInfo.php?workbook=10_05.xlsx&amp;sheet=U0&amp;row=6056&amp;col=7&amp;number=0.0169&amp;sourceID=14","0.0169")</f>
        <v>0.0169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HYPERLINK("http://141.218.60.56/~jnz1568/getInfo.php?workbook=10_05.xlsx&amp;sheet=U0&amp;row=6057&amp;col=6&amp;number=4.3&amp;sourceID=14","4.3")</f>
        <v>4.3</v>
      </c>
      <c r="G6057" s="4" t="str">
        <f>HYPERLINK("http://141.218.60.56/~jnz1568/getInfo.php?workbook=10_05.xlsx&amp;sheet=U0&amp;row=6057&amp;col=7&amp;number=0.0162&amp;sourceID=14","0.0162")</f>
        <v>0.0162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HYPERLINK("http://141.218.60.56/~jnz1568/getInfo.php?workbook=10_05.xlsx&amp;sheet=U0&amp;row=6058&amp;col=6&amp;number=4.4&amp;sourceID=14","4.4")</f>
        <v>4.4</v>
      </c>
      <c r="G6058" s="4" t="str">
        <f>HYPERLINK("http://141.218.60.56/~jnz1568/getInfo.php?workbook=10_05.xlsx&amp;sheet=U0&amp;row=6058&amp;col=7&amp;number=0.0154&amp;sourceID=14","0.0154")</f>
        <v>0.0154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HYPERLINK("http://141.218.60.56/~jnz1568/getInfo.php?workbook=10_05.xlsx&amp;sheet=U0&amp;row=6059&amp;col=6&amp;number=4.5&amp;sourceID=14","4.5")</f>
        <v>4.5</v>
      </c>
      <c r="G6059" s="4" t="str">
        <f>HYPERLINK("http://141.218.60.56/~jnz1568/getInfo.php?workbook=10_05.xlsx&amp;sheet=U0&amp;row=6059&amp;col=7&amp;number=0.0146&amp;sourceID=14","0.0146")</f>
        <v>0.0146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HYPERLINK("http://141.218.60.56/~jnz1568/getInfo.php?workbook=10_05.xlsx&amp;sheet=U0&amp;row=6060&amp;col=6&amp;number=4.6&amp;sourceID=14","4.6")</f>
        <v>4.6</v>
      </c>
      <c r="G6060" s="4" t="str">
        <f>HYPERLINK("http://141.218.60.56/~jnz1568/getInfo.php?workbook=10_05.xlsx&amp;sheet=U0&amp;row=6060&amp;col=7&amp;number=0.0138&amp;sourceID=14","0.0138")</f>
        <v>0.0138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HYPERLINK("http://141.218.60.56/~jnz1568/getInfo.php?workbook=10_05.xlsx&amp;sheet=U0&amp;row=6061&amp;col=6&amp;number=4.7&amp;sourceID=14","4.7")</f>
        <v>4.7</v>
      </c>
      <c r="G6061" s="4" t="str">
        <f>HYPERLINK("http://141.218.60.56/~jnz1568/getInfo.php?workbook=10_05.xlsx&amp;sheet=U0&amp;row=6061&amp;col=7&amp;number=0.0131&amp;sourceID=14","0.0131")</f>
        <v>0.0131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HYPERLINK("http://141.218.60.56/~jnz1568/getInfo.php?workbook=10_05.xlsx&amp;sheet=U0&amp;row=6062&amp;col=6&amp;number=4.8&amp;sourceID=14","4.8")</f>
        <v>4.8</v>
      </c>
      <c r="G6062" s="4" t="str">
        <f>HYPERLINK("http://141.218.60.56/~jnz1568/getInfo.php?workbook=10_05.xlsx&amp;sheet=U0&amp;row=6062&amp;col=7&amp;number=0.0127&amp;sourceID=14","0.0127")</f>
        <v>0.0127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HYPERLINK("http://141.218.60.56/~jnz1568/getInfo.php?workbook=10_05.xlsx&amp;sheet=U0&amp;row=6063&amp;col=6&amp;number=4.9&amp;sourceID=14","4.9")</f>
        <v>4.9</v>
      </c>
      <c r="G6063" s="4" t="str">
        <f>HYPERLINK("http://141.218.60.56/~jnz1568/getInfo.php?workbook=10_05.xlsx&amp;sheet=U0&amp;row=6063&amp;col=7&amp;number=0.0125&amp;sourceID=14","0.0125")</f>
        <v>0.0125</v>
      </c>
    </row>
    <row r="6064" spans="1:7">
      <c r="A6064" s="3">
        <v>10</v>
      </c>
      <c r="B6064" s="3">
        <v>5</v>
      </c>
      <c r="C6064" s="3">
        <v>2</v>
      </c>
      <c r="D6064" s="3">
        <v>127</v>
      </c>
      <c r="E6064" s="3">
        <v>1</v>
      </c>
      <c r="F6064" s="4" t="str">
        <f>HYPERLINK("http://141.218.60.56/~jnz1568/getInfo.php?workbook=10_05.xlsx&amp;sheet=U0&amp;row=6064&amp;col=6&amp;number=3&amp;sourceID=14","3")</f>
        <v>3</v>
      </c>
      <c r="G6064" s="4" t="str">
        <f>HYPERLINK("http://141.218.60.56/~jnz1568/getInfo.php?workbook=10_05.xlsx&amp;sheet=U0&amp;row=6064&amp;col=7&amp;number=0.00243&amp;sourceID=14","0.00243")</f>
        <v>0.00243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HYPERLINK("http://141.218.60.56/~jnz1568/getInfo.php?workbook=10_05.xlsx&amp;sheet=U0&amp;row=6065&amp;col=6&amp;number=3.1&amp;sourceID=14","3.1")</f>
        <v>3.1</v>
      </c>
      <c r="G6065" s="4" t="str">
        <f>HYPERLINK("http://141.218.60.56/~jnz1568/getInfo.php?workbook=10_05.xlsx&amp;sheet=U0&amp;row=6065&amp;col=7&amp;number=0.00242&amp;sourceID=14","0.00242")</f>
        <v>0.00242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HYPERLINK("http://141.218.60.56/~jnz1568/getInfo.php?workbook=10_05.xlsx&amp;sheet=U0&amp;row=6066&amp;col=6&amp;number=3.2&amp;sourceID=14","3.2")</f>
        <v>3.2</v>
      </c>
      <c r="G6066" s="4" t="str">
        <f>HYPERLINK("http://141.218.60.56/~jnz1568/getInfo.php?workbook=10_05.xlsx&amp;sheet=U0&amp;row=6066&amp;col=7&amp;number=0.00242&amp;sourceID=14","0.00242")</f>
        <v>0.00242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HYPERLINK("http://141.218.60.56/~jnz1568/getInfo.php?workbook=10_05.xlsx&amp;sheet=U0&amp;row=6067&amp;col=6&amp;number=3.3&amp;sourceID=14","3.3")</f>
        <v>3.3</v>
      </c>
      <c r="G6067" s="4" t="str">
        <f>HYPERLINK("http://141.218.60.56/~jnz1568/getInfo.php?workbook=10_05.xlsx&amp;sheet=U0&amp;row=6067&amp;col=7&amp;number=0.0024&amp;sourceID=14","0.0024")</f>
        <v>0.0024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HYPERLINK("http://141.218.60.56/~jnz1568/getInfo.php?workbook=10_05.xlsx&amp;sheet=U0&amp;row=6068&amp;col=6&amp;number=3.4&amp;sourceID=14","3.4")</f>
        <v>3.4</v>
      </c>
      <c r="G6068" s="4" t="str">
        <f>HYPERLINK("http://141.218.60.56/~jnz1568/getInfo.php?workbook=10_05.xlsx&amp;sheet=U0&amp;row=6068&amp;col=7&amp;number=0.00239&amp;sourceID=14","0.00239")</f>
        <v>0.00239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HYPERLINK("http://141.218.60.56/~jnz1568/getInfo.php?workbook=10_05.xlsx&amp;sheet=U0&amp;row=6069&amp;col=6&amp;number=3.5&amp;sourceID=14","3.5")</f>
        <v>3.5</v>
      </c>
      <c r="G6069" s="4" t="str">
        <f>HYPERLINK("http://141.218.60.56/~jnz1568/getInfo.php?workbook=10_05.xlsx&amp;sheet=U0&amp;row=6069&amp;col=7&amp;number=0.00237&amp;sourceID=14","0.00237")</f>
        <v>0.00237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HYPERLINK("http://141.218.60.56/~jnz1568/getInfo.php?workbook=10_05.xlsx&amp;sheet=U0&amp;row=6070&amp;col=6&amp;number=3.6&amp;sourceID=14","3.6")</f>
        <v>3.6</v>
      </c>
      <c r="G6070" s="4" t="str">
        <f>HYPERLINK("http://141.218.60.56/~jnz1568/getInfo.php?workbook=10_05.xlsx&amp;sheet=U0&amp;row=6070&amp;col=7&amp;number=0.00235&amp;sourceID=14","0.00235")</f>
        <v>0.00235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HYPERLINK("http://141.218.60.56/~jnz1568/getInfo.php?workbook=10_05.xlsx&amp;sheet=U0&amp;row=6071&amp;col=6&amp;number=3.7&amp;sourceID=14","3.7")</f>
        <v>3.7</v>
      </c>
      <c r="G6071" s="4" t="str">
        <f>HYPERLINK("http://141.218.60.56/~jnz1568/getInfo.php?workbook=10_05.xlsx&amp;sheet=U0&amp;row=6071&amp;col=7&amp;number=0.00232&amp;sourceID=14","0.00232")</f>
        <v>0.00232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HYPERLINK("http://141.218.60.56/~jnz1568/getInfo.php?workbook=10_05.xlsx&amp;sheet=U0&amp;row=6072&amp;col=6&amp;number=3.8&amp;sourceID=14","3.8")</f>
        <v>3.8</v>
      </c>
      <c r="G6072" s="4" t="str">
        <f>HYPERLINK("http://141.218.60.56/~jnz1568/getInfo.php?workbook=10_05.xlsx&amp;sheet=U0&amp;row=6072&amp;col=7&amp;number=0.00228&amp;sourceID=14","0.00228")</f>
        <v>0.00228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HYPERLINK("http://141.218.60.56/~jnz1568/getInfo.php?workbook=10_05.xlsx&amp;sheet=U0&amp;row=6073&amp;col=6&amp;number=3.9&amp;sourceID=14","3.9")</f>
        <v>3.9</v>
      </c>
      <c r="G6073" s="4" t="str">
        <f>HYPERLINK("http://141.218.60.56/~jnz1568/getInfo.php?workbook=10_05.xlsx&amp;sheet=U0&amp;row=6073&amp;col=7&amp;number=0.00223&amp;sourceID=14","0.00223")</f>
        <v>0.00223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HYPERLINK("http://141.218.60.56/~jnz1568/getInfo.php?workbook=10_05.xlsx&amp;sheet=U0&amp;row=6074&amp;col=6&amp;number=4&amp;sourceID=14","4")</f>
        <v>4</v>
      </c>
      <c r="G6074" s="4" t="str">
        <f>HYPERLINK("http://141.218.60.56/~jnz1568/getInfo.php?workbook=10_05.xlsx&amp;sheet=U0&amp;row=6074&amp;col=7&amp;number=0.00218&amp;sourceID=14","0.00218")</f>
        <v>0.00218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HYPERLINK("http://141.218.60.56/~jnz1568/getInfo.php?workbook=10_05.xlsx&amp;sheet=U0&amp;row=6075&amp;col=6&amp;number=4.1&amp;sourceID=14","4.1")</f>
        <v>4.1</v>
      </c>
      <c r="G6075" s="4" t="str">
        <f>HYPERLINK("http://141.218.60.56/~jnz1568/getInfo.php?workbook=10_05.xlsx&amp;sheet=U0&amp;row=6075&amp;col=7&amp;number=0.00211&amp;sourceID=14","0.00211")</f>
        <v>0.00211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HYPERLINK("http://141.218.60.56/~jnz1568/getInfo.php?workbook=10_05.xlsx&amp;sheet=U0&amp;row=6076&amp;col=6&amp;number=4.2&amp;sourceID=14","4.2")</f>
        <v>4.2</v>
      </c>
      <c r="G6076" s="4" t="str">
        <f>HYPERLINK("http://141.218.60.56/~jnz1568/getInfo.php?workbook=10_05.xlsx&amp;sheet=U0&amp;row=6076&amp;col=7&amp;number=0.00203&amp;sourceID=14","0.00203")</f>
        <v>0.00203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HYPERLINK("http://141.218.60.56/~jnz1568/getInfo.php?workbook=10_05.xlsx&amp;sheet=U0&amp;row=6077&amp;col=6&amp;number=4.3&amp;sourceID=14","4.3")</f>
        <v>4.3</v>
      </c>
      <c r="G6077" s="4" t="str">
        <f>HYPERLINK("http://141.218.60.56/~jnz1568/getInfo.php?workbook=10_05.xlsx&amp;sheet=U0&amp;row=6077&amp;col=7&amp;number=0.00193&amp;sourceID=14","0.00193")</f>
        <v>0.00193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HYPERLINK("http://141.218.60.56/~jnz1568/getInfo.php?workbook=10_05.xlsx&amp;sheet=U0&amp;row=6078&amp;col=6&amp;number=4.4&amp;sourceID=14","4.4")</f>
        <v>4.4</v>
      </c>
      <c r="G6078" s="4" t="str">
        <f>HYPERLINK("http://141.218.60.56/~jnz1568/getInfo.php?workbook=10_05.xlsx&amp;sheet=U0&amp;row=6078&amp;col=7&amp;number=0.00182&amp;sourceID=14","0.00182")</f>
        <v>0.00182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HYPERLINK("http://141.218.60.56/~jnz1568/getInfo.php?workbook=10_05.xlsx&amp;sheet=U0&amp;row=6079&amp;col=6&amp;number=4.5&amp;sourceID=14","4.5")</f>
        <v>4.5</v>
      </c>
      <c r="G6079" s="4" t="str">
        <f>HYPERLINK("http://141.218.60.56/~jnz1568/getInfo.php?workbook=10_05.xlsx&amp;sheet=U0&amp;row=6079&amp;col=7&amp;number=0.00169&amp;sourceID=14","0.00169")</f>
        <v>0.00169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HYPERLINK("http://141.218.60.56/~jnz1568/getInfo.php?workbook=10_05.xlsx&amp;sheet=U0&amp;row=6080&amp;col=6&amp;number=4.6&amp;sourceID=14","4.6")</f>
        <v>4.6</v>
      </c>
      <c r="G6080" s="4" t="str">
        <f>HYPERLINK("http://141.218.60.56/~jnz1568/getInfo.php?workbook=10_05.xlsx&amp;sheet=U0&amp;row=6080&amp;col=7&amp;number=0.00155&amp;sourceID=14","0.00155")</f>
        <v>0.00155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HYPERLINK("http://141.218.60.56/~jnz1568/getInfo.php?workbook=10_05.xlsx&amp;sheet=U0&amp;row=6081&amp;col=6&amp;number=4.7&amp;sourceID=14","4.7")</f>
        <v>4.7</v>
      </c>
      <c r="G6081" s="4" t="str">
        <f>HYPERLINK("http://141.218.60.56/~jnz1568/getInfo.php?workbook=10_05.xlsx&amp;sheet=U0&amp;row=6081&amp;col=7&amp;number=0.00142&amp;sourceID=14","0.00142")</f>
        <v>0.00142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HYPERLINK("http://141.218.60.56/~jnz1568/getInfo.php?workbook=10_05.xlsx&amp;sheet=U0&amp;row=6082&amp;col=6&amp;number=4.8&amp;sourceID=14","4.8")</f>
        <v>4.8</v>
      </c>
      <c r="G6082" s="4" t="str">
        <f>HYPERLINK("http://141.218.60.56/~jnz1568/getInfo.php?workbook=10_05.xlsx&amp;sheet=U0&amp;row=6082&amp;col=7&amp;number=0.0013&amp;sourceID=14","0.0013")</f>
        <v>0.0013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HYPERLINK("http://141.218.60.56/~jnz1568/getInfo.php?workbook=10_05.xlsx&amp;sheet=U0&amp;row=6083&amp;col=6&amp;number=4.9&amp;sourceID=14","4.9")</f>
        <v>4.9</v>
      </c>
      <c r="G6083" s="4" t="str">
        <f>HYPERLINK("http://141.218.60.56/~jnz1568/getInfo.php?workbook=10_05.xlsx&amp;sheet=U0&amp;row=6083&amp;col=7&amp;number=0.00119&amp;sourceID=14","0.00119")</f>
        <v>0.00119</v>
      </c>
    </row>
    <row r="6084" spans="1:7">
      <c r="A6084" s="3">
        <v>10</v>
      </c>
      <c r="B6084" s="3">
        <v>5</v>
      </c>
      <c r="C6084" s="3">
        <v>2</v>
      </c>
      <c r="D6084" s="3">
        <v>128</v>
      </c>
      <c r="E6084" s="3">
        <v>1</v>
      </c>
      <c r="F6084" s="4" t="str">
        <f>HYPERLINK("http://141.218.60.56/~jnz1568/getInfo.php?workbook=10_05.xlsx&amp;sheet=U0&amp;row=6084&amp;col=6&amp;number=3&amp;sourceID=14","3")</f>
        <v>3</v>
      </c>
      <c r="G6084" s="4" t="str">
        <f>HYPERLINK("http://141.218.60.56/~jnz1568/getInfo.php?workbook=10_05.xlsx&amp;sheet=U0&amp;row=6084&amp;col=7&amp;number=0.00705&amp;sourceID=14","0.00705")</f>
        <v>0.00705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HYPERLINK("http://141.218.60.56/~jnz1568/getInfo.php?workbook=10_05.xlsx&amp;sheet=U0&amp;row=6085&amp;col=6&amp;number=3.1&amp;sourceID=14","3.1")</f>
        <v>3.1</v>
      </c>
      <c r="G6085" s="4" t="str">
        <f>HYPERLINK("http://141.218.60.56/~jnz1568/getInfo.php?workbook=10_05.xlsx&amp;sheet=U0&amp;row=6085&amp;col=7&amp;number=0.00703&amp;sourceID=14","0.00703")</f>
        <v>0.00703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HYPERLINK("http://141.218.60.56/~jnz1568/getInfo.php?workbook=10_05.xlsx&amp;sheet=U0&amp;row=6086&amp;col=6&amp;number=3.2&amp;sourceID=14","3.2")</f>
        <v>3.2</v>
      </c>
      <c r="G6086" s="4" t="str">
        <f>HYPERLINK("http://141.218.60.56/~jnz1568/getInfo.php?workbook=10_05.xlsx&amp;sheet=U0&amp;row=6086&amp;col=7&amp;number=0.007&amp;sourceID=14","0.007")</f>
        <v>0.007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HYPERLINK("http://141.218.60.56/~jnz1568/getInfo.php?workbook=10_05.xlsx&amp;sheet=U0&amp;row=6087&amp;col=6&amp;number=3.3&amp;sourceID=14","3.3")</f>
        <v>3.3</v>
      </c>
      <c r="G6087" s="4" t="str">
        <f>HYPERLINK("http://141.218.60.56/~jnz1568/getInfo.php?workbook=10_05.xlsx&amp;sheet=U0&amp;row=6087&amp;col=7&amp;number=0.00697&amp;sourceID=14","0.00697")</f>
        <v>0.00697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HYPERLINK("http://141.218.60.56/~jnz1568/getInfo.php?workbook=10_05.xlsx&amp;sheet=U0&amp;row=6088&amp;col=6&amp;number=3.4&amp;sourceID=14","3.4")</f>
        <v>3.4</v>
      </c>
      <c r="G6088" s="4" t="str">
        <f>HYPERLINK("http://141.218.60.56/~jnz1568/getInfo.php?workbook=10_05.xlsx&amp;sheet=U0&amp;row=6088&amp;col=7&amp;number=0.00693&amp;sourceID=14","0.00693")</f>
        <v>0.00693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HYPERLINK("http://141.218.60.56/~jnz1568/getInfo.php?workbook=10_05.xlsx&amp;sheet=U0&amp;row=6089&amp;col=6&amp;number=3.5&amp;sourceID=14","3.5")</f>
        <v>3.5</v>
      </c>
      <c r="G6089" s="4" t="str">
        <f>HYPERLINK("http://141.218.60.56/~jnz1568/getInfo.php?workbook=10_05.xlsx&amp;sheet=U0&amp;row=6089&amp;col=7&amp;number=0.00687&amp;sourceID=14","0.00687")</f>
        <v>0.00687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HYPERLINK("http://141.218.60.56/~jnz1568/getInfo.php?workbook=10_05.xlsx&amp;sheet=U0&amp;row=6090&amp;col=6&amp;number=3.6&amp;sourceID=14","3.6")</f>
        <v>3.6</v>
      </c>
      <c r="G6090" s="4" t="str">
        <f>HYPERLINK("http://141.218.60.56/~jnz1568/getInfo.php?workbook=10_05.xlsx&amp;sheet=U0&amp;row=6090&amp;col=7&amp;number=0.00681&amp;sourceID=14","0.00681")</f>
        <v>0.00681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HYPERLINK("http://141.218.60.56/~jnz1568/getInfo.php?workbook=10_05.xlsx&amp;sheet=U0&amp;row=6091&amp;col=6&amp;number=3.7&amp;sourceID=14","3.7")</f>
        <v>3.7</v>
      </c>
      <c r="G6091" s="4" t="str">
        <f>HYPERLINK("http://141.218.60.56/~jnz1568/getInfo.php?workbook=10_05.xlsx&amp;sheet=U0&amp;row=6091&amp;col=7&amp;number=0.00672&amp;sourceID=14","0.00672")</f>
        <v>0.00672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HYPERLINK("http://141.218.60.56/~jnz1568/getInfo.php?workbook=10_05.xlsx&amp;sheet=U0&amp;row=6092&amp;col=6&amp;number=3.8&amp;sourceID=14","3.8")</f>
        <v>3.8</v>
      </c>
      <c r="G6092" s="4" t="str">
        <f>HYPERLINK("http://141.218.60.56/~jnz1568/getInfo.php?workbook=10_05.xlsx&amp;sheet=U0&amp;row=6092&amp;col=7&amp;number=0.00662&amp;sourceID=14","0.00662")</f>
        <v>0.00662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HYPERLINK("http://141.218.60.56/~jnz1568/getInfo.php?workbook=10_05.xlsx&amp;sheet=U0&amp;row=6093&amp;col=6&amp;number=3.9&amp;sourceID=14","3.9")</f>
        <v>3.9</v>
      </c>
      <c r="G6093" s="4" t="str">
        <f>HYPERLINK("http://141.218.60.56/~jnz1568/getInfo.php?workbook=10_05.xlsx&amp;sheet=U0&amp;row=6093&amp;col=7&amp;number=0.0065&amp;sourceID=14","0.0065")</f>
        <v>0.0065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HYPERLINK("http://141.218.60.56/~jnz1568/getInfo.php?workbook=10_05.xlsx&amp;sheet=U0&amp;row=6094&amp;col=6&amp;number=4&amp;sourceID=14","4")</f>
        <v>4</v>
      </c>
      <c r="G6094" s="4" t="str">
        <f>HYPERLINK("http://141.218.60.56/~jnz1568/getInfo.php?workbook=10_05.xlsx&amp;sheet=U0&amp;row=6094&amp;col=7&amp;number=0.00634&amp;sourceID=14","0.00634")</f>
        <v>0.00634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HYPERLINK("http://141.218.60.56/~jnz1568/getInfo.php?workbook=10_05.xlsx&amp;sheet=U0&amp;row=6095&amp;col=6&amp;number=4.1&amp;sourceID=14","4.1")</f>
        <v>4.1</v>
      </c>
      <c r="G6095" s="4" t="str">
        <f>HYPERLINK("http://141.218.60.56/~jnz1568/getInfo.php?workbook=10_05.xlsx&amp;sheet=U0&amp;row=6095&amp;col=7&amp;number=0.00616&amp;sourceID=14","0.00616")</f>
        <v>0.00616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HYPERLINK("http://141.218.60.56/~jnz1568/getInfo.php?workbook=10_05.xlsx&amp;sheet=U0&amp;row=6096&amp;col=6&amp;number=4.2&amp;sourceID=14","4.2")</f>
        <v>4.2</v>
      </c>
      <c r="G6096" s="4" t="str">
        <f>HYPERLINK("http://141.218.60.56/~jnz1568/getInfo.php?workbook=10_05.xlsx&amp;sheet=U0&amp;row=6096&amp;col=7&amp;number=0.00594&amp;sourceID=14","0.00594")</f>
        <v>0.00594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HYPERLINK("http://141.218.60.56/~jnz1568/getInfo.php?workbook=10_05.xlsx&amp;sheet=U0&amp;row=6097&amp;col=6&amp;number=4.3&amp;sourceID=14","4.3")</f>
        <v>4.3</v>
      </c>
      <c r="G6097" s="4" t="str">
        <f>HYPERLINK("http://141.218.60.56/~jnz1568/getInfo.php?workbook=10_05.xlsx&amp;sheet=U0&amp;row=6097&amp;col=7&amp;number=0.00569&amp;sourceID=14","0.00569")</f>
        <v>0.00569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HYPERLINK("http://141.218.60.56/~jnz1568/getInfo.php?workbook=10_05.xlsx&amp;sheet=U0&amp;row=6098&amp;col=6&amp;number=4.4&amp;sourceID=14","4.4")</f>
        <v>4.4</v>
      </c>
      <c r="G6098" s="4" t="str">
        <f>HYPERLINK("http://141.218.60.56/~jnz1568/getInfo.php?workbook=10_05.xlsx&amp;sheet=U0&amp;row=6098&amp;col=7&amp;number=0.00541&amp;sourceID=14","0.00541")</f>
        <v>0.00541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HYPERLINK("http://141.218.60.56/~jnz1568/getInfo.php?workbook=10_05.xlsx&amp;sheet=U0&amp;row=6099&amp;col=6&amp;number=4.5&amp;sourceID=14","4.5")</f>
        <v>4.5</v>
      </c>
      <c r="G6099" s="4" t="str">
        <f>HYPERLINK("http://141.218.60.56/~jnz1568/getInfo.php?workbook=10_05.xlsx&amp;sheet=U0&amp;row=6099&amp;col=7&amp;number=0.0051&amp;sourceID=14","0.0051")</f>
        <v>0.0051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HYPERLINK("http://141.218.60.56/~jnz1568/getInfo.php?workbook=10_05.xlsx&amp;sheet=U0&amp;row=6100&amp;col=6&amp;number=4.6&amp;sourceID=14","4.6")</f>
        <v>4.6</v>
      </c>
      <c r="G6100" s="4" t="str">
        <f>HYPERLINK("http://141.218.60.56/~jnz1568/getInfo.php?workbook=10_05.xlsx&amp;sheet=U0&amp;row=6100&amp;col=7&amp;number=0.00479&amp;sourceID=14","0.00479")</f>
        <v>0.00479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HYPERLINK("http://141.218.60.56/~jnz1568/getInfo.php?workbook=10_05.xlsx&amp;sheet=U0&amp;row=6101&amp;col=6&amp;number=4.7&amp;sourceID=14","4.7")</f>
        <v>4.7</v>
      </c>
      <c r="G6101" s="4" t="str">
        <f>HYPERLINK("http://141.218.60.56/~jnz1568/getInfo.php?workbook=10_05.xlsx&amp;sheet=U0&amp;row=6101&amp;col=7&amp;number=0.00447&amp;sourceID=14","0.00447")</f>
        <v>0.00447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HYPERLINK("http://141.218.60.56/~jnz1568/getInfo.php?workbook=10_05.xlsx&amp;sheet=U0&amp;row=6102&amp;col=6&amp;number=4.8&amp;sourceID=14","4.8")</f>
        <v>4.8</v>
      </c>
      <c r="G6102" s="4" t="str">
        <f>HYPERLINK("http://141.218.60.56/~jnz1568/getInfo.php?workbook=10_05.xlsx&amp;sheet=U0&amp;row=6102&amp;col=7&amp;number=0.00417&amp;sourceID=14","0.00417")</f>
        <v>0.00417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HYPERLINK("http://141.218.60.56/~jnz1568/getInfo.php?workbook=10_05.xlsx&amp;sheet=U0&amp;row=6103&amp;col=6&amp;number=4.9&amp;sourceID=14","4.9")</f>
        <v>4.9</v>
      </c>
      <c r="G6103" s="4" t="str">
        <f>HYPERLINK("http://141.218.60.56/~jnz1568/getInfo.php?workbook=10_05.xlsx&amp;sheet=U0&amp;row=6103&amp;col=7&amp;number=0.00389&amp;sourceID=14","0.00389")</f>
        <v>0.00389</v>
      </c>
    </row>
    <row r="6104" spans="1:7">
      <c r="A6104" s="3">
        <v>10</v>
      </c>
      <c r="B6104" s="3">
        <v>5</v>
      </c>
      <c r="C6104" s="3">
        <v>2</v>
      </c>
      <c r="D6104" s="3">
        <v>129</v>
      </c>
      <c r="E6104" s="3">
        <v>1</v>
      </c>
      <c r="F6104" s="4" t="str">
        <f>HYPERLINK("http://141.218.60.56/~jnz1568/getInfo.php?workbook=10_05.xlsx&amp;sheet=U0&amp;row=6104&amp;col=6&amp;number=3&amp;sourceID=14","3")</f>
        <v>3</v>
      </c>
      <c r="G6104" s="4" t="str">
        <f>HYPERLINK("http://141.218.60.56/~jnz1568/getInfo.php?workbook=10_05.xlsx&amp;sheet=U0&amp;row=6104&amp;col=7&amp;number=0.0122&amp;sourceID=14","0.0122")</f>
        <v>0.0122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HYPERLINK("http://141.218.60.56/~jnz1568/getInfo.php?workbook=10_05.xlsx&amp;sheet=U0&amp;row=6105&amp;col=6&amp;number=3.1&amp;sourceID=14","3.1")</f>
        <v>3.1</v>
      </c>
      <c r="G6105" s="4" t="str">
        <f>HYPERLINK("http://141.218.60.56/~jnz1568/getInfo.php?workbook=10_05.xlsx&amp;sheet=U0&amp;row=6105&amp;col=7&amp;number=0.0122&amp;sourceID=14","0.0122")</f>
        <v>0.0122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HYPERLINK("http://141.218.60.56/~jnz1568/getInfo.php?workbook=10_05.xlsx&amp;sheet=U0&amp;row=6106&amp;col=6&amp;number=3.2&amp;sourceID=14","3.2")</f>
        <v>3.2</v>
      </c>
      <c r="G6106" s="4" t="str">
        <f>HYPERLINK("http://141.218.60.56/~jnz1568/getInfo.php?workbook=10_05.xlsx&amp;sheet=U0&amp;row=6106&amp;col=7&amp;number=0.0121&amp;sourceID=14","0.0121")</f>
        <v>0.0121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HYPERLINK("http://141.218.60.56/~jnz1568/getInfo.php?workbook=10_05.xlsx&amp;sheet=U0&amp;row=6107&amp;col=6&amp;number=3.3&amp;sourceID=14","3.3")</f>
        <v>3.3</v>
      </c>
      <c r="G6107" s="4" t="str">
        <f>HYPERLINK("http://141.218.60.56/~jnz1568/getInfo.php?workbook=10_05.xlsx&amp;sheet=U0&amp;row=6107&amp;col=7&amp;number=0.0121&amp;sourceID=14","0.0121")</f>
        <v>0.0121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HYPERLINK("http://141.218.60.56/~jnz1568/getInfo.php?workbook=10_05.xlsx&amp;sheet=U0&amp;row=6108&amp;col=6&amp;number=3.4&amp;sourceID=14","3.4")</f>
        <v>3.4</v>
      </c>
      <c r="G6108" s="4" t="str">
        <f>HYPERLINK("http://141.218.60.56/~jnz1568/getInfo.php?workbook=10_05.xlsx&amp;sheet=U0&amp;row=6108&amp;col=7&amp;number=0.012&amp;sourceID=14","0.012")</f>
        <v>0.012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HYPERLINK("http://141.218.60.56/~jnz1568/getInfo.php?workbook=10_05.xlsx&amp;sheet=U0&amp;row=6109&amp;col=6&amp;number=3.5&amp;sourceID=14","3.5")</f>
        <v>3.5</v>
      </c>
      <c r="G6109" s="4" t="str">
        <f>HYPERLINK("http://141.218.60.56/~jnz1568/getInfo.php?workbook=10_05.xlsx&amp;sheet=U0&amp;row=6109&amp;col=7&amp;number=0.0119&amp;sourceID=14","0.0119")</f>
        <v>0.0119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HYPERLINK("http://141.218.60.56/~jnz1568/getInfo.php?workbook=10_05.xlsx&amp;sheet=U0&amp;row=6110&amp;col=6&amp;number=3.6&amp;sourceID=14","3.6")</f>
        <v>3.6</v>
      </c>
      <c r="G6110" s="4" t="str">
        <f>HYPERLINK("http://141.218.60.56/~jnz1568/getInfo.php?workbook=10_05.xlsx&amp;sheet=U0&amp;row=6110&amp;col=7&amp;number=0.0118&amp;sourceID=14","0.0118")</f>
        <v>0.0118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HYPERLINK("http://141.218.60.56/~jnz1568/getInfo.php?workbook=10_05.xlsx&amp;sheet=U0&amp;row=6111&amp;col=6&amp;number=3.7&amp;sourceID=14","3.7")</f>
        <v>3.7</v>
      </c>
      <c r="G6111" s="4" t="str">
        <f>HYPERLINK("http://141.218.60.56/~jnz1568/getInfo.php?workbook=10_05.xlsx&amp;sheet=U0&amp;row=6111&amp;col=7&amp;number=0.0117&amp;sourceID=14","0.0117")</f>
        <v>0.0117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HYPERLINK("http://141.218.60.56/~jnz1568/getInfo.php?workbook=10_05.xlsx&amp;sheet=U0&amp;row=6112&amp;col=6&amp;number=3.8&amp;sourceID=14","3.8")</f>
        <v>3.8</v>
      </c>
      <c r="G6112" s="4" t="str">
        <f>HYPERLINK("http://141.218.60.56/~jnz1568/getInfo.php?workbook=10_05.xlsx&amp;sheet=U0&amp;row=6112&amp;col=7&amp;number=0.0115&amp;sourceID=14","0.0115")</f>
        <v>0.0115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HYPERLINK("http://141.218.60.56/~jnz1568/getInfo.php?workbook=10_05.xlsx&amp;sheet=U0&amp;row=6113&amp;col=6&amp;number=3.9&amp;sourceID=14","3.9")</f>
        <v>3.9</v>
      </c>
      <c r="G6113" s="4" t="str">
        <f>HYPERLINK("http://141.218.60.56/~jnz1568/getInfo.php?workbook=10_05.xlsx&amp;sheet=U0&amp;row=6113&amp;col=7&amp;number=0.0113&amp;sourceID=14","0.0113")</f>
        <v>0.0113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HYPERLINK("http://141.218.60.56/~jnz1568/getInfo.php?workbook=10_05.xlsx&amp;sheet=U0&amp;row=6114&amp;col=6&amp;number=4&amp;sourceID=14","4")</f>
        <v>4</v>
      </c>
      <c r="G6114" s="4" t="str">
        <f>HYPERLINK("http://141.218.60.56/~jnz1568/getInfo.php?workbook=10_05.xlsx&amp;sheet=U0&amp;row=6114&amp;col=7&amp;number=0.0111&amp;sourceID=14","0.0111")</f>
        <v>0.0111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HYPERLINK("http://141.218.60.56/~jnz1568/getInfo.php?workbook=10_05.xlsx&amp;sheet=U0&amp;row=6115&amp;col=6&amp;number=4.1&amp;sourceID=14","4.1")</f>
        <v>4.1</v>
      </c>
      <c r="G6115" s="4" t="str">
        <f>HYPERLINK("http://141.218.60.56/~jnz1568/getInfo.php?workbook=10_05.xlsx&amp;sheet=U0&amp;row=6115&amp;col=7&amp;number=0.0108&amp;sourceID=14","0.0108")</f>
        <v>0.0108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HYPERLINK("http://141.218.60.56/~jnz1568/getInfo.php?workbook=10_05.xlsx&amp;sheet=U0&amp;row=6116&amp;col=6&amp;number=4.2&amp;sourceID=14","4.2")</f>
        <v>4.2</v>
      </c>
      <c r="G6116" s="4" t="str">
        <f>HYPERLINK("http://141.218.60.56/~jnz1568/getInfo.php?workbook=10_05.xlsx&amp;sheet=U0&amp;row=6116&amp;col=7&amp;number=0.0104&amp;sourceID=14","0.0104")</f>
        <v>0.0104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HYPERLINK("http://141.218.60.56/~jnz1568/getInfo.php?workbook=10_05.xlsx&amp;sheet=U0&amp;row=6117&amp;col=6&amp;number=4.3&amp;sourceID=14","4.3")</f>
        <v>4.3</v>
      </c>
      <c r="G6117" s="4" t="str">
        <f>HYPERLINK("http://141.218.60.56/~jnz1568/getInfo.php?workbook=10_05.xlsx&amp;sheet=U0&amp;row=6117&amp;col=7&amp;number=0.00998&amp;sourceID=14","0.00998")</f>
        <v>0.00998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HYPERLINK("http://141.218.60.56/~jnz1568/getInfo.php?workbook=10_05.xlsx&amp;sheet=U0&amp;row=6118&amp;col=6&amp;number=4.4&amp;sourceID=14","4.4")</f>
        <v>4.4</v>
      </c>
      <c r="G6118" s="4" t="str">
        <f>HYPERLINK("http://141.218.60.56/~jnz1568/getInfo.php?workbook=10_05.xlsx&amp;sheet=U0&amp;row=6118&amp;col=7&amp;number=0.0095&amp;sourceID=14","0.0095")</f>
        <v>0.0095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HYPERLINK("http://141.218.60.56/~jnz1568/getInfo.php?workbook=10_05.xlsx&amp;sheet=U0&amp;row=6119&amp;col=6&amp;number=4.5&amp;sourceID=14","4.5")</f>
        <v>4.5</v>
      </c>
      <c r="G6119" s="4" t="str">
        <f>HYPERLINK("http://141.218.60.56/~jnz1568/getInfo.php?workbook=10_05.xlsx&amp;sheet=U0&amp;row=6119&amp;col=7&amp;number=0.00899&amp;sourceID=14","0.00899")</f>
        <v>0.00899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HYPERLINK("http://141.218.60.56/~jnz1568/getInfo.php?workbook=10_05.xlsx&amp;sheet=U0&amp;row=6120&amp;col=6&amp;number=4.6&amp;sourceID=14","4.6")</f>
        <v>4.6</v>
      </c>
      <c r="G6120" s="4" t="str">
        <f>HYPERLINK("http://141.218.60.56/~jnz1568/getInfo.php?workbook=10_05.xlsx&amp;sheet=U0&amp;row=6120&amp;col=7&amp;number=0.00849&amp;sourceID=14","0.00849")</f>
        <v>0.00849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HYPERLINK("http://141.218.60.56/~jnz1568/getInfo.php?workbook=10_05.xlsx&amp;sheet=U0&amp;row=6121&amp;col=6&amp;number=4.7&amp;sourceID=14","4.7")</f>
        <v>4.7</v>
      </c>
      <c r="G6121" s="4" t="str">
        <f>HYPERLINK("http://141.218.60.56/~jnz1568/getInfo.php?workbook=10_05.xlsx&amp;sheet=U0&amp;row=6121&amp;col=7&amp;number=0.00807&amp;sourceID=14","0.00807")</f>
        <v>0.00807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HYPERLINK("http://141.218.60.56/~jnz1568/getInfo.php?workbook=10_05.xlsx&amp;sheet=U0&amp;row=6122&amp;col=6&amp;number=4.8&amp;sourceID=14","4.8")</f>
        <v>4.8</v>
      </c>
      <c r="G6122" s="4" t="str">
        <f>HYPERLINK("http://141.218.60.56/~jnz1568/getInfo.php?workbook=10_05.xlsx&amp;sheet=U0&amp;row=6122&amp;col=7&amp;number=0.00776&amp;sourceID=14","0.00776")</f>
        <v>0.00776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HYPERLINK("http://141.218.60.56/~jnz1568/getInfo.php?workbook=10_05.xlsx&amp;sheet=U0&amp;row=6123&amp;col=6&amp;number=4.9&amp;sourceID=14","4.9")</f>
        <v>4.9</v>
      </c>
      <c r="G6123" s="4" t="str">
        <f>HYPERLINK("http://141.218.60.56/~jnz1568/getInfo.php?workbook=10_05.xlsx&amp;sheet=U0&amp;row=6123&amp;col=7&amp;number=0.00752&amp;sourceID=14","0.00752")</f>
        <v>0.00752</v>
      </c>
    </row>
    <row r="6124" spans="1:7">
      <c r="A6124" s="3">
        <v>10</v>
      </c>
      <c r="B6124" s="3">
        <v>5</v>
      </c>
      <c r="C6124" s="3">
        <v>2</v>
      </c>
      <c r="D6124" s="3">
        <v>130</v>
      </c>
      <c r="E6124" s="3">
        <v>1</v>
      </c>
      <c r="F6124" s="4" t="str">
        <f>HYPERLINK("http://141.218.60.56/~jnz1568/getInfo.php?workbook=10_05.xlsx&amp;sheet=U0&amp;row=6124&amp;col=6&amp;number=3&amp;sourceID=14","3")</f>
        <v>3</v>
      </c>
      <c r="G6124" s="4" t="str">
        <f>HYPERLINK("http://141.218.60.56/~jnz1568/getInfo.php?workbook=10_05.xlsx&amp;sheet=U0&amp;row=6124&amp;col=7&amp;number=0.0322&amp;sourceID=14","0.0322")</f>
        <v>0.0322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HYPERLINK("http://141.218.60.56/~jnz1568/getInfo.php?workbook=10_05.xlsx&amp;sheet=U0&amp;row=6125&amp;col=6&amp;number=3.1&amp;sourceID=14","3.1")</f>
        <v>3.1</v>
      </c>
      <c r="G6125" s="4" t="str">
        <f>HYPERLINK("http://141.218.60.56/~jnz1568/getInfo.php?workbook=10_05.xlsx&amp;sheet=U0&amp;row=6125&amp;col=7&amp;number=0.0322&amp;sourceID=14","0.0322")</f>
        <v>0.0322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HYPERLINK("http://141.218.60.56/~jnz1568/getInfo.php?workbook=10_05.xlsx&amp;sheet=U0&amp;row=6126&amp;col=6&amp;number=3.2&amp;sourceID=14","3.2")</f>
        <v>3.2</v>
      </c>
      <c r="G6126" s="4" t="str">
        <f>HYPERLINK("http://141.218.60.56/~jnz1568/getInfo.php?workbook=10_05.xlsx&amp;sheet=U0&amp;row=6126&amp;col=7&amp;number=0.0321&amp;sourceID=14","0.0321")</f>
        <v>0.0321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HYPERLINK("http://141.218.60.56/~jnz1568/getInfo.php?workbook=10_05.xlsx&amp;sheet=U0&amp;row=6127&amp;col=6&amp;number=3.3&amp;sourceID=14","3.3")</f>
        <v>3.3</v>
      </c>
      <c r="G6127" s="4" t="str">
        <f>HYPERLINK("http://141.218.60.56/~jnz1568/getInfo.php?workbook=10_05.xlsx&amp;sheet=U0&amp;row=6127&amp;col=7&amp;number=0.032&amp;sourceID=14","0.032")</f>
        <v>0.032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HYPERLINK("http://141.218.60.56/~jnz1568/getInfo.php?workbook=10_05.xlsx&amp;sheet=U0&amp;row=6128&amp;col=6&amp;number=3.4&amp;sourceID=14","3.4")</f>
        <v>3.4</v>
      </c>
      <c r="G6128" s="4" t="str">
        <f>HYPERLINK("http://141.218.60.56/~jnz1568/getInfo.php?workbook=10_05.xlsx&amp;sheet=U0&amp;row=6128&amp;col=7&amp;number=0.0319&amp;sourceID=14","0.0319")</f>
        <v>0.0319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HYPERLINK("http://141.218.60.56/~jnz1568/getInfo.php?workbook=10_05.xlsx&amp;sheet=U0&amp;row=6129&amp;col=6&amp;number=3.5&amp;sourceID=14","3.5")</f>
        <v>3.5</v>
      </c>
      <c r="G6129" s="4" t="str">
        <f>HYPERLINK("http://141.218.60.56/~jnz1568/getInfo.php?workbook=10_05.xlsx&amp;sheet=U0&amp;row=6129&amp;col=7&amp;number=0.0318&amp;sourceID=14","0.0318")</f>
        <v>0.0318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HYPERLINK("http://141.218.60.56/~jnz1568/getInfo.php?workbook=10_05.xlsx&amp;sheet=U0&amp;row=6130&amp;col=6&amp;number=3.6&amp;sourceID=14","3.6")</f>
        <v>3.6</v>
      </c>
      <c r="G6130" s="4" t="str">
        <f>HYPERLINK("http://141.218.60.56/~jnz1568/getInfo.php?workbook=10_05.xlsx&amp;sheet=U0&amp;row=6130&amp;col=7&amp;number=0.0317&amp;sourceID=14","0.0317")</f>
        <v>0.0317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HYPERLINK("http://141.218.60.56/~jnz1568/getInfo.php?workbook=10_05.xlsx&amp;sheet=U0&amp;row=6131&amp;col=6&amp;number=3.7&amp;sourceID=14","3.7")</f>
        <v>3.7</v>
      </c>
      <c r="G6131" s="4" t="str">
        <f>HYPERLINK("http://141.218.60.56/~jnz1568/getInfo.php?workbook=10_05.xlsx&amp;sheet=U0&amp;row=6131&amp;col=7&amp;number=0.0315&amp;sourceID=14","0.0315")</f>
        <v>0.0315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HYPERLINK("http://141.218.60.56/~jnz1568/getInfo.php?workbook=10_05.xlsx&amp;sheet=U0&amp;row=6132&amp;col=6&amp;number=3.8&amp;sourceID=14","3.8")</f>
        <v>3.8</v>
      </c>
      <c r="G6132" s="4" t="str">
        <f>HYPERLINK("http://141.218.60.56/~jnz1568/getInfo.php?workbook=10_05.xlsx&amp;sheet=U0&amp;row=6132&amp;col=7&amp;number=0.0312&amp;sourceID=14","0.0312")</f>
        <v>0.0312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HYPERLINK("http://141.218.60.56/~jnz1568/getInfo.php?workbook=10_05.xlsx&amp;sheet=U0&amp;row=6133&amp;col=6&amp;number=3.9&amp;sourceID=14","3.9")</f>
        <v>3.9</v>
      </c>
      <c r="G6133" s="4" t="str">
        <f>HYPERLINK("http://141.218.60.56/~jnz1568/getInfo.php?workbook=10_05.xlsx&amp;sheet=U0&amp;row=6133&amp;col=7&amp;number=0.0309&amp;sourceID=14","0.0309")</f>
        <v>0.0309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HYPERLINK("http://141.218.60.56/~jnz1568/getInfo.php?workbook=10_05.xlsx&amp;sheet=U0&amp;row=6134&amp;col=6&amp;number=4&amp;sourceID=14","4")</f>
        <v>4</v>
      </c>
      <c r="G6134" s="4" t="str">
        <f>HYPERLINK("http://141.218.60.56/~jnz1568/getInfo.php?workbook=10_05.xlsx&amp;sheet=U0&amp;row=6134&amp;col=7&amp;number=0.0306&amp;sourceID=14","0.0306")</f>
        <v>0.0306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HYPERLINK("http://141.218.60.56/~jnz1568/getInfo.php?workbook=10_05.xlsx&amp;sheet=U0&amp;row=6135&amp;col=6&amp;number=4.1&amp;sourceID=14","4.1")</f>
        <v>4.1</v>
      </c>
      <c r="G6135" s="4" t="str">
        <f>HYPERLINK("http://141.218.60.56/~jnz1568/getInfo.php?workbook=10_05.xlsx&amp;sheet=U0&amp;row=6135&amp;col=7&amp;number=0.0301&amp;sourceID=14","0.0301")</f>
        <v>0.0301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HYPERLINK("http://141.218.60.56/~jnz1568/getInfo.php?workbook=10_05.xlsx&amp;sheet=U0&amp;row=6136&amp;col=6&amp;number=4.2&amp;sourceID=14","4.2")</f>
        <v>4.2</v>
      </c>
      <c r="G6136" s="4" t="str">
        <f>HYPERLINK("http://141.218.60.56/~jnz1568/getInfo.php?workbook=10_05.xlsx&amp;sheet=U0&amp;row=6136&amp;col=7&amp;number=0.0296&amp;sourceID=14","0.0296")</f>
        <v>0.0296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HYPERLINK("http://141.218.60.56/~jnz1568/getInfo.php?workbook=10_05.xlsx&amp;sheet=U0&amp;row=6137&amp;col=6&amp;number=4.3&amp;sourceID=14","4.3")</f>
        <v>4.3</v>
      </c>
      <c r="G6137" s="4" t="str">
        <f>HYPERLINK("http://141.218.60.56/~jnz1568/getInfo.php?workbook=10_05.xlsx&amp;sheet=U0&amp;row=6137&amp;col=7&amp;number=0.0289&amp;sourceID=14","0.0289")</f>
        <v>0.0289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HYPERLINK("http://141.218.60.56/~jnz1568/getInfo.php?workbook=10_05.xlsx&amp;sheet=U0&amp;row=6138&amp;col=6&amp;number=4.4&amp;sourceID=14","4.4")</f>
        <v>4.4</v>
      </c>
      <c r="G6138" s="4" t="str">
        <f>HYPERLINK("http://141.218.60.56/~jnz1568/getInfo.php?workbook=10_05.xlsx&amp;sheet=U0&amp;row=6138&amp;col=7&amp;number=0.0281&amp;sourceID=14","0.0281")</f>
        <v>0.0281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HYPERLINK("http://141.218.60.56/~jnz1568/getInfo.php?workbook=10_05.xlsx&amp;sheet=U0&amp;row=6139&amp;col=6&amp;number=4.5&amp;sourceID=14","4.5")</f>
        <v>4.5</v>
      </c>
      <c r="G6139" s="4" t="str">
        <f>HYPERLINK("http://141.218.60.56/~jnz1568/getInfo.php?workbook=10_05.xlsx&amp;sheet=U0&amp;row=6139&amp;col=7&amp;number=0.0273&amp;sourceID=14","0.0273")</f>
        <v>0.0273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HYPERLINK("http://141.218.60.56/~jnz1568/getInfo.php?workbook=10_05.xlsx&amp;sheet=U0&amp;row=6140&amp;col=6&amp;number=4.6&amp;sourceID=14","4.6")</f>
        <v>4.6</v>
      </c>
      <c r="G6140" s="4" t="str">
        <f>HYPERLINK("http://141.218.60.56/~jnz1568/getInfo.php?workbook=10_05.xlsx&amp;sheet=U0&amp;row=6140&amp;col=7&amp;number=0.0264&amp;sourceID=14","0.0264")</f>
        <v>0.0264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HYPERLINK("http://141.218.60.56/~jnz1568/getInfo.php?workbook=10_05.xlsx&amp;sheet=U0&amp;row=6141&amp;col=6&amp;number=4.7&amp;sourceID=14","4.7")</f>
        <v>4.7</v>
      </c>
      <c r="G6141" s="4" t="str">
        <f>HYPERLINK("http://141.218.60.56/~jnz1568/getInfo.php?workbook=10_05.xlsx&amp;sheet=U0&amp;row=6141&amp;col=7&amp;number=0.0255&amp;sourceID=14","0.0255")</f>
        <v>0.0255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HYPERLINK("http://141.218.60.56/~jnz1568/getInfo.php?workbook=10_05.xlsx&amp;sheet=U0&amp;row=6142&amp;col=6&amp;number=4.8&amp;sourceID=14","4.8")</f>
        <v>4.8</v>
      </c>
      <c r="G6142" s="4" t="str">
        <f>HYPERLINK("http://141.218.60.56/~jnz1568/getInfo.php?workbook=10_05.xlsx&amp;sheet=U0&amp;row=6142&amp;col=7&amp;number=0.0248&amp;sourceID=14","0.0248")</f>
        <v>0.0248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HYPERLINK("http://141.218.60.56/~jnz1568/getInfo.php?workbook=10_05.xlsx&amp;sheet=U0&amp;row=6143&amp;col=6&amp;number=4.9&amp;sourceID=14","4.9")</f>
        <v>4.9</v>
      </c>
      <c r="G6143" s="4" t="str">
        <f>HYPERLINK("http://141.218.60.56/~jnz1568/getInfo.php?workbook=10_05.xlsx&amp;sheet=U0&amp;row=6143&amp;col=7&amp;number=0.0244&amp;sourceID=14","0.0244")</f>
        <v>0.0244</v>
      </c>
    </row>
    <row r="6144" spans="1:7">
      <c r="A6144" s="3">
        <v>10</v>
      </c>
      <c r="B6144" s="3">
        <v>5</v>
      </c>
      <c r="C6144" s="3">
        <v>2</v>
      </c>
      <c r="D6144" s="3">
        <v>131</v>
      </c>
      <c r="E6144" s="3">
        <v>1</v>
      </c>
      <c r="F6144" s="4" t="str">
        <f>HYPERLINK("http://141.218.60.56/~jnz1568/getInfo.php?workbook=10_05.xlsx&amp;sheet=U0&amp;row=6144&amp;col=6&amp;number=3&amp;sourceID=14","3")</f>
        <v>3</v>
      </c>
      <c r="G6144" s="4" t="str">
        <f>HYPERLINK("http://141.218.60.56/~jnz1568/getInfo.php?workbook=10_05.xlsx&amp;sheet=U0&amp;row=6144&amp;col=7&amp;number=0.00223&amp;sourceID=14","0.00223")</f>
        <v>0.00223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HYPERLINK("http://141.218.60.56/~jnz1568/getInfo.php?workbook=10_05.xlsx&amp;sheet=U0&amp;row=6145&amp;col=6&amp;number=3.1&amp;sourceID=14","3.1")</f>
        <v>3.1</v>
      </c>
      <c r="G6145" s="4" t="str">
        <f>HYPERLINK("http://141.218.60.56/~jnz1568/getInfo.php?workbook=10_05.xlsx&amp;sheet=U0&amp;row=6145&amp;col=7&amp;number=0.00221&amp;sourceID=14","0.00221")</f>
        <v>0.00221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HYPERLINK("http://141.218.60.56/~jnz1568/getInfo.php?workbook=10_05.xlsx&amp;sheet=U0&amp;row=6146&amp;col=6&amp;number=3.2&amp;sourceID=14","3.2")</f>
        <v>3.2</v>
      </c>
      <c r="G6146" s="4" t="str">
        <f>HYPERLINK("http://141.218.60.56/~jnz1568/getInfo.php?workbook=10_05.xlsx&amp;sheet=U0&amp;row=6146&amp;col=7&amp;number=0.00219&amp;sourceID=14","0.00219")</f>
        <v>0.00219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HYPERLINK("http://141.218.60.56/~jnz1568/getInfo.php?workbook=10_05.xlsx&amp;sheet=U0&amp;row=6147&amp;col=6&amp;number=3.3&amp;sourceID=14","3.3")</f>
        <v>3.3</v>
      </c>
      <c r="G6147" s="4" t="str">
        <f>HYPERLINK("http://141.218.60.56/~jnz1568/getInfo.php?workbook=10_05.xlsx&amp;sheet=U0&amp;row=6147&amp;col=7&amp;number=0.00217&amp;sourceID=14","0.00217")</f>
        <v>0.00217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HYPERLINK("http://141.218.60.56/~jnz1568/getInfo.php?workbook=10_05.xlsx&amp;sheet=U0&amp;row=6148&amp;col=6&amp;number=3.4&amp;sourceID=14","3.4")</f>
        <v>3.4</v>
      </c>
      <c r="G6148" s="4" t="str">
        <f>HYPERLINK("http://141.218.60.56/~jnz1568/getInfo.php?workbook=10_05.xlsx&amp;sheet=U0&amp;row=6148&amp;col=7&amp;number=0.00214&amp;sourceID=14","0.00214")</f>
        <v>0.00214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HYPERLINK("http://141.218.60.56/~jnz1568/getInfo.php?workbook=10_05.xlsx&amp;sheet=U0&amp;row=6149&amp;col=6&amp;number=3.5&amp;sourceID=14","3.5")</f>
        <v>3.5</v>
      </c>
      <c r="G6149" s="4" t="str">
        <f>HYPERLINK("http://141.218.60.56/~jnz1568/getInfo.php?workbook=10_05.xlsx&amp;sheet=U0&amp;row=6149&amp;col=7&amp;number=0.0021&amp;sourceID=14","0.0021")</f>
        <v>0.0021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HYPERLINK("http://141.218.60.56/~jnz1568/getInfo.php?workbook=10_05.xlsx&amp;sheet=U0&amp;row=6150&amp;col=6&amp;number=3.6&amp;sourceID=14","3.6")</f>
        <v>3.6</v>
      </c>
      <c r="G6150" s="4" t="str">
        <f>HYPERLINK("http://141.218.60.56/~jnz1568/getInfo.php?workbook=10_05.xlsx&amp;sheet=U0&amp;row=6150&amp;col=7&amp;number=0.00205&amp;sourceID=14","0.00205")</f>
        <v>0.00205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HYPERLINK("http://141.218.60.56/~jnz1568/getInfo.php?workbook=10_05.xlsx&amp;sheet=U0&amp;row=6151&amp;col=6&amp;number=3.7&amp;sourceID=14","3.7")</f>
        <v>3.7</v>
      </c>
      <c r="G6151" s="4" t="str">
        <f>HYPERLINK("http://141.218.60.56/~jnz1568/getInfo.php?workbook=10_05.xlsx&amp;sheet=U0&amp;row=6151&amp;col=7&amp;number=0.002&amp;sourceID=14","0.002")</f>
        <v>0.002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HYPERLINK("http://141.218.60.56/~jnz1568/getInfo.php?workbook=10_05.xlsx&amp;sheet=U0&amp;row=6152&amp;col=6&amp;number=3.8&amp;sourceID=14","3.8")</f>
        <v>3.8</v>
      </c>
      <c r="G6152" s="4" t="str">
        <f>HYPERLINK("http://141.218.60.56/~jnz1568/getInfo.php?workbook=10_05.xlsx&amp;sheet=U0&amp;row=6152&amp;col=7&amp;number=0.00193&amp;sourceID=14","0.00193")</f>
        <v>0.00193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HYPERLINK("http://141.218.60.56/~jnz1568/getInfo.php?workbook=10_05.xlsx&amp;sheet=U0&amp;row=6153&amp;col=6&amp;number=3.9&amp;sourceID=14","3.9")</f>
        <v>3.9</v>
      </c>
      <c r="G6153" s="4" t="str">
        <f>HYPERLINK("http://141.218.60.56/~jnz1568/getInfo.php?workbook=10_05.xlsx&amp;sheet=U0&amp;row=6153&amp;col=7&amp;number=0.00184&amp;sourceID=14","0.00184")</f>
        <v>0.00184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HYPERLINK("http://141.218.60.56/~jnz1568/getInfo.php?workbook=10_05.xlsx&amp;sheet=U0&amp;row=6154&amp;col=6&amp;number=4&amp;sourceID=14","4")</f>
        <v>4</v>
      </c>
      <c r="G6154" s="4" t="str">
        <f>HYPERLINK("http://141.218.60.56/~jnz1568/getInfo.php?workbook=10_05.xlsx&amp;sheet=U0&amp;row=6154&amp;col=7&amp;number=0.00175&amp;sourceID=14","0.00175")</f>
        <v>0.00175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HYPERLINK("http://141.218.60.56/~jnz1568/getInfo.php?workbook=10_05.xlsx&amp;sheet=U0&amp;row=6155&amp;col=6&amp;number=4.1&amp;sourceID=14","4.1")</f>
        <v>4.1</v>
      </c>
      <c r="G6155" s="4" t="str">
        <f>HYPERLINK("http://141.218.60.56/~jnz1568/getInfo.php?workbook=10_05.xlsx&amp;sheet=U0&amp;row=6155&amp;col=7&amp;number=0.00164&amp;sourceID=14","0.00164")</f>
        <v>0.00164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HYPERLINK("http://141.218.60.56/~jnz1568/getInfo.php?workbook=10_05.xlsx&amp;sheet=U0&amp;row=6156&amp;col=6&amp;number=4.2&amp;sourceID=14","4.2")</f>
        <v>4.2</v>
      </c>
      <c r="G6156" s="4" t="str">
        <f>HYPERLINK("http://141.218.60.56/~jnz1568/getInfo.php?workbook=10_05.xlsx&amp;sheet=U0&amp;row=6156&amp;col=7&amp;number=0.00154&amp;sourceID=14","0.00154")</f>
        <v>0.00154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HYPERLINK("http://141.218.60.56/~jnz1568/getInfo.php?workbook=10_05.xlsx&amp;sheet=U0&amp;row=6157&amp;col=6&amp;number=4.3&amp;sourceID=14","4.3")</f>
        <v>4.3</v>
      </c>
      <c r="G6157" s="4" t="str">
        <f>HYPERLINK("http://141.218.60.56/~jnz1568/getInfo.php?workbook=10_05.xlsx&amp;sheet=U0&amp;row=6157&amp;col=7&amp;number=0.00144&amp;sourceID=14","0.00144")</f>
        <v>0.00144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HYPERLINK("http://141.218.60.56/~jnz1568/getInfo.php?workbook=10_05.xlsx&amp;sheet=U0&amp;row=6158&amp;col=6&amp;number=4.4&amp;sourceID=14","4.4")</f>
        <v>4.4</v>
      </c>
      <c r="G6158" s="4" t="str">
        <f>HYPERLINK("http://141.218.60.56/~jnz1568/getInfo.php?workbook=10_05.xlsx&amp;sheet=U0&amp;row=6158&amp;col=7&amp;number=0.00136&amp;sourceID=14","0.00136")</f>
        <v>0.00136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HYPERLINK("http://141.218.60.56/~jnz1568/getInfo.php?workbook=10_05.xlsx&amp;sheet=U0&amp;row=6159&amp;col=6&amp;number=4.5&amp;sourceID=14","4.5")</f>
        <v>4.5</v>
      </c>
      <c r="G6159" s="4" t="str">
        <f>HYPERLINK("http://141.218.60.56/~jnz1568/getInfo.php?workbook=10_05.xlsx&amp;sheet=U0&amp;row=6159&amp;col=7&amp;number=0.00129&amp;sourceID=14","0.00129")</f>
        <v>0.00129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HYPERLINK("http://141.218.60.56/~jnz1568/getInfo.php?workbook=10_05.xlsx&amp;sheet=U0&amp;row=6160&amp;col=6&amp;number=4.6&amp;sourceID=14","4.6")</f>
        <v>4.6</v>
      </c>
      <c r="G6160" s="4" t="str">
        <f>HYPERLINK("http://141.218.60.56/~jnz1568/getInfo.php?workbook=10_05.xlsx&amp;sheet=U0&amp;row=6160&amp;col=7&amp;number=0.00124&amp;sourceID=14","0.00124")</f>
        <v>0.00124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HYPERLINK("http://141.218.60.56/~jnz1568/getInfo.php?workbook=10_05.xlsx&amp;sheet=U0&amp;row=6161&amp;col=6&amp;number=4.7&amp;sourceID=14","4.7")</f>
        <v>4.7</v>
      </c>
      <c r="G6161" s="4" t="str">
        <f>HYPERLINK("http://141.218.60.56/~jnz1568/getInfo.php?workbook=10_05.xlsx&amp;sheet=U0&amp;row=6161&amp;col=7&amp;number=0.00118&amp;sourceID=14","0.00118")</f>
        <v>0.00118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HYPERLINK("http://141.218.60.56/~jnz1568/getInfo.php?workbook=10_05.xlsx&amp;sheet=U0&amp;row=6162&amp;col=6&amp;number=4.8&amp;sourceID=14","4.8")</f>
        <v>4.8</v>
      </c>
      <c r="G6162" s="4" t="str">
        <f>HYPERLINK("http://141.218.60.56/~jnz1568/getInfo.php?workbook=10_05.xlsx&amp;sheet=U0&amp;row=6162&amp;col=7&amp;number=0.00111&amp;sourceID=14","0.00111")</f>
        <v>0.00111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HYPERLINK("http://141.218.60.56/~jnz1568/getInfo.php?workbook=10_05.xlsx&amp;sheet=U0&amp;row=6163&amp;col=6&amp;number=4.9&amp;sourceID=14","4.9")</f>
        <v>4.9</v>
      </c>
      <c r="G6163" s="4" t="str">
        <f>HYPERLINK("http://141.218.60.56/~jnz1568/getInfo.php?workbook=10_05.xlsx&amp;sheet=U0&amp;row=6163&amp;col=7&amp;number=0.00106&amp;sourceID=14","0.00106")</f>
        <v>0.00106</v>
      </c>
    </row>
    <row r="6164" spans="1:7">
      <c r="A6164" s="3">
        <v>10</v>
      </c>
      <c r="B6164" s="3">
        <v>5</v>
      </c>
      <c r="C6164" s="3">
        <v>2</v>
      </c>
      <c r="D6164" s="3">
        <v>132</v>
      </c>
      <c r="E6164" s="3">
        <v>1</v>
      </c>
      <c r="F6164" s="4" t="str">
        <f>HYPERLINK("http://141.218.60.56/~jnz1568/getInfo.php?workbook=10_05.xlsx&amp;sheet=U0&amp;row=6164&amp;col=6&amp;number=3&amp;sourceID=14","3")</f>
        <v>3</v>
      </c>
      <c r="G6164" s="4" t="str">
        <f>HYPERLINK("http://141.218.60.56/~jnz1568/getInfo.php?workbook=10_05.xlsx&amp;sheet=U0&amp;row=6164&amp;col=7&amp;number=0.00715&amp;sourceID=14","0.00715")</f>
        <v>0.00715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HYPERLINK("http://141.218.60.56/~jnz1568/getInfo.php?workbook=10_05.xlsx&amp;sheet=U0&amp;row=6165&amp;col=6&amp;number=3.1&amp;sourceID=14","3.1")</f>
        <v>3.1</v>
      </c>
      <c r="G6165" s="4" t="str">
        <f>HYPERLINK("http://141.218.60.56/~jnz1568/getInfo.php?workbook=10_05.xlsx&amp;sheet=U0&amp;row=6165&amp;col=7&amp;number=0.0071&amp;sourceID=14","0.0071")</f>
        <v>0.0071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HYPERLINK("http://141.218.60.56/~jnz1568/getInfo.php?workbook=10_05.xlsx&amp;sheet=U0&amp;row=6166&amp;col=6&amp;number=3.2&amp;sourceID=14","3.2")</f>
        <v>3.2</v>
      </c>
      <c r="G6166" s="4" t="str">
        <f>HYPERLINK("http://141.218.60.56/~jnz1568/getInfo.php?workbook=10_05.xlsx&amp;sheet=U0&amp;row=6166&amp;col=7&amp;number=0.00704&amp;sourceID=14","0.00704")</f>
        <v>0.00704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HYPERLINK("http://141.218.60.56/~jnz1568/getInfo.php?workbook=10_05.xlsx&amp;sheet=U0&amp;row=6167&amp;col=6&amp;number=3.3&amp;sourceID=14","3.3")</f>
        <v>3.3</v>
      </c>
      <c r="G6167" s="4" t="str">
        <f>HYPERLINK("http://141.218.60.56/~jnz1568/getInfo.php?workbook=10_05.xlsx&amp;sheet=U0&amp;row=6167&amp;col=7&amp;number=0.00697&amp;sourceID=14","0.00697")</f>
        <v>0.00697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HYPERLINK("http://141.218.60.56/~jnz1568/getInfo.php?workbook=10_05.xlsx&amp;sheet=U0&amp;row=6168&amp;col=6&amp;number=3.4&amp;sourceID=14","3.4")</f>
        <v>3.4</v>
      </c>
      <c r="G6168" s="4" t="str">
        <f>HYPERLINK("http://141.218.60.56/~jnz1568/getInfo.php?workbook=10_05.xlsx&amp;sheet=U0&amp;row=6168&amp;col=7&amp;number=0.00688&amp;sourceID=14","0.00688")</f>
        <v>0.00688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HYPERLINK("http://141.218.60.56/~jnz1568/getInfo.php?workbook=10_05.xlsx&amp;sheet=U0&amp;row=6169&amp;col=6&amp;number=3.5&amp;sourceID=14","3.5")</f>
        <v>3.5</v>
      </c>
      <c r="G6169" s="4" t="str">
        <f>HYPERLINK("http://141.218.60.56/~jnz1568/getInfo.php?workbook=10_05.xlsx&amp;sheet=U0&amp;row=6169&amp;col=7&amp;number=0.00677&amp;sourceID=14","0.00677")</f>
        <v>0.00677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HYPERLINK("http://141.218.60.56/~jnz1568/getInfo.php?workbook=10_05.xlsx&amp;sheet=U0&amp;row=6170&amp;col=6&amp;number=3.6&amp;sourceID=14","3.6")</f>
        <v>3.6</v>
      </c>
      <c r="G6170" s="4" t="str">
        <f>HYPERLINK("http://141.218.60.56/~jnz1568/getInfo.php?workbook=10_05.xlsx&amp;sheet=U0&amp;row=6170&amp;col=7&amp;number=0.00663&amp;sourceID=14","0.00663")</f>
        <v>0.00663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HYPERLINK("http://141.218.60.56/~jnz1568/getInfo.php?workbook=10_05.xlsx&amp;sheet=U0&amp;row=6171&amp;col=6&amp;number=3.7&amp;sourceID=14","3.7")</f>
        <v>3.7</v>
      </c>
      <c r="G6171" s="4" t="str">
        <f>HYPERLINK("http://141.218.60.56/~jnz1568/getInfo.php?workbook=10_05.xlsx&amp;sheet=U0&amp;row=6171&amp;col=7&amp;number=0.00646&amp;sourceID=14","0.00646")</f>
        <v>0.00646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HYPERLINK("http://141.218.60.56/~jnz1568/getInfo.php?workbook=10_05.xlsx&amp;sheet=U0&amp;row=6172&amp;col=6&amp;number=3.8&amp;sourceID=14","3.8")</f>
        <v>3.8</v>
      </c>
      <c r="G6172" s="4" t="str">
        <f>HYPERLINK("http://141.218.60.56/~jnz1568/getInfo.php?workbook=10_05.xlsx&amp;sheet=U0&amp;row=6172&amp;col=7&amp;number=0.00625&amp;sourceID=14","0.00625")</f>
        <v>0.00625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HYPERLINK("http://141.218.60.56/~jnz1568/getInfo.php?workbook=10_05.xlsx&amp;sheet=U0&amp;row=6173&amp;col=6&amp;number=3.9&amp;sourceID=14","3.9")</f>
        <v>3.9</v>
      </c>
      <c r="G6173" s="4" t="str">
        <f>HYPERLINK("http://141.218.60.56/~jnz1568/getInfo.php?workbook=10_05.xlsx&amp;sheet=U0&amp;row=6173&amp;col=7&amp;number=0.00601&amp;sourceID=14","0.00601")</f>
        <v>0.00601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HYPERLINK("http://141.218.60.56/~jnz1568/getInfo.php?workbook=10_05.xlsx&amp;sheet=U0&amp;row=6174&amp;col=6&amp;number=4&amp;sourceID=14","4")</f>
        <v>4</v>
      </c>
      <c r="G6174" s="4" t="str">
        <f>HYPERLINK("http://141.218.60.56/~jnz1568/getInfo.php?workbook=10_05.xlsx&amp;sheet=U0&amp;row=6174&amp;col=7&amp;number=0.00572&amp;sourceID=14","0.00572")</f>
        <v>0.00572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HYPERLINK("http://141.218.60.56/~jnz1568/getInfo.php?workbook=10_05.xlsx&amp;sheet=U0&amp;row=6175&amp;col=6&amp;number=4.1&amp;sourceID=14","4.1")</f>
        <v>4.1</v>
      </c>
      <c r="G6175" s="4" t="str">
        <f>HYPERLINK("http://141.218.60.56/~jnz1568/getInfo.php?workbook=10_05.xlsx&amp;sheet=U0&amp;row=6175&amp;col=7&amp;number=0.00541&amp;sourceID=14","0.00541")</f>
        <v>0.00541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HYPERLINK("http://141.218.60.56/~jnz1568/getInfo.php?workbook=10_05.xlsx&amp;sheet=U0&amp;row=6176&amp;col=6&amp;number=4.2&amp;sourceID=14","4.2")</f>
        <v>4.2</v>
      </c>
      <c r="G6176" s="4" t="str">
        <f>HYPERLINK("http://141.218.60.56/~jnz1568/getInfo.php?workbook=10_05.xlsx&amp;sheet=U0&amp;row=6176&amp;col=7&amp;number=0.00509&amp;sourceID=14","0.00509")</f>
        <v>0.00509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HYPERLINK("http://141.218.60.56/~jnz1568/getInfo.php?workbook=10_05.xlsx&amp;sheet=U0&amp;row=6177&amp;col=6&amp;number=4.3&amp;sourceID=14","4.3")</f>
        <v>4.3</v>
      </c>
      <c r="G6177" s="4" t="str">
        <f>HYPERLINK("http://141.218.60.56/~jnz1568/getInfo.php?workbook=10_05.xlsx&amp;sheet=U0&amp;row=6177&amp;col=7&amp;number=0.00479&amp;sourceID=14","0.00479")</f>
        <v>0.00479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HYPERLINK("http://141.218.60.56/~jnz1568/getInfo.php?workbook=10_05.xlsx&amp;sheet=U0&amp;row=6178&amp;col=6&amp;number=4.4&amp;sourceID=14","4.4")</f>
        <v>4.4</v>
      </c>
      <c r="G6178" s="4" t="str">
        <f>HYPERLINK("http://141.218.60.56/~jnz1568/getInfo.php?workbook=10_05.xlsx&amp;sheet=U0&amp;row=6178&amp;col=7&amp;number=0.00454&amp;sourceID=14","0.00454")</f>
        <v>0.00454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HYPERLINK("http://141.218.60.56/~jnz1568/getInfo.php?workbook=10_05.xlsx&amp;sheet=U0&amp;row=6179&amp;col=6&amp;number=4.5&amp;sourceID=14","4.5")</f>
        <v>4.5</v>
      </c>
      <c r="G6179" s="4" t="str">
        <f>HYPERLINK("http://141.218.60.56/~jnz1568/getInfo.php?workbook=10_05.xlsx&amp;sheet=U0&amp;row=6179&amp;col=7&amp;number=0.00434&amp;sourceID=14","0.00434")</f>
        <v>0.00434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HYPERLINK("http://141.218.60.56/~jnz1568/getInfo.php?workbook=10_05.xlsx&amp;sheet=U0&amp;row=6180&amp;col=6&amp;number=4.6&amp;sourceID=14","4.6")</f>
        <v>4.6</v>
      </c>
      <c r="G6180" s="4" t="str">
        <f>HYPERLINK("http://141.218.60.56/~jnz1568/getInfo.php?workbook=10_05.xlsx&amp;sheet=U0&amp;row=6180&amp;col=7&amp;number=0.00416&amp;sourceID=14","0.00416")</f>
        <v>0.00416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HYPERLINK("http://141.218.60.56/~jnz1568/getInfo.php?workbook=10_05.xlsx&amp;sheet=U0&amp;row=6181&amp;col=6&amp;number=4.7&amp;sourceID=14","4.7")</f>
        <v>4.7</v>
      </c>
      <c r="G6181" s="4" t="str">
        <f>HYPERLINK("http://141.218.60.56/~jnz1568/getInfo.php?workbook=10_05.xlsx&amp;sheet=U0&amp;row=6181&amp;col=7&amp;number=0.00398&amp;sourceID=14","0.00398")</f>
        <v>0.00398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HYPERLINK("http://141.218.60.56/~jnz1568/getInfo.php?workbook=10_05.xlsx&amp;sheet=U0&amp;row=6182&amp;col=6&amp;number=4.8&amp;sourceID=14","4.8")</f>
        <v>4.8</v>
      </c>
      <c r="G6182" s="4" t="str">
        <f>HYPERLINK("http://141.218.60.56/~jnz1568/getInfo.php?workbook=10_05.xlsx&amp;sheet=U0&amp;row=6182&amp;col=7&amp;number=0.00379&amp;sourceID=14","0.00379")</f>
        <v>0.00379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HYPERLINK("http://141.218.60.56/~jnz1568/getInfo.php?workbook=10_05.xlsx&amp;sheet=U0&amp;row=6183&amp;col=6&amp;number=4.9&amp;sourceID=14","4.9")</f>
        <v>4.9</v>
      </c>
      <c r="G6183" s="4" t="str">
        <f>HYPERLINK("http://141.218.60.56/~jnz1568/getInfo.php?workbook=10_05.xlsx&amp;sheet=U0&amp;row=6183&amp;col=7&amp;number=0.00362&amp;sourceID=14","0.00362")</f>
        <v>0.00362</v>
      </c>
    </row>
    <row r="6184" spans="1:7">
      <c r="A6184" s="3">
        <v>10</v>
      </c>
      <c r="B6184" s="3">
        <v>5</v>
      </c>
      <c r="C6184" s="3">
        <v>2</v>
      </c>
      <c r="D6184" s="3">
        <v>133</v>
      </c>
      <c r="E6184" s="3">
        <v>1</v>
      </c>
      <c r="F6184" s="4" t="str">
        <f>HYPERLINK("http://141.218.60.56/~jnz1568/getInfo.php?workbook=10_05.xlsx&amp;sheet=U0&amp;row=6184&amp;col=6&amp;number=3&amp;sourceID=14","3")</f>
        <v>3</v>
      </c>
      <c r="G6184" s="4" t="str">
        <f>HYPERLINK("http://141.218.60.56/~jnz1568/getInfo.php?workbook=10_05.xlsx&amp;sheet=U0&amp;row=6184&amp;col=7&amp;number=0.0188&amp;sourceID=14","0.0188")</f>
        <v>0.0188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HYPERLINK("http://141.218.60.56/~jnz1568/getInfo.php?workbook=10_05.xlsx&amp;sheet=U0&amp;row=6185&amp;col=6&amp;number=3.1&amp;sourceID=14","3.1")</f>
        <v>3.1</v>
      </c>
      <c r="G6185" s="4" t="str">
        <f>HYPERLINK("http://141.218.60.56/~jnz1568/getInfo.php?workbook=10_05.xlsx&amp;sheet=U0&amp;row=6185&amp;col=7&amp;number=0.0187&amp;sourceID=14","0.0187")</f>
        <v>0.0187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HYPERLINK("http://141.218.60.56/~jnz1568/getInfo.php?workbook=10_05.xlsx&amp;sheet=U0&amp;row=6186&amp;col=6&amp;number=3.2&amp;sourceID=14","3.2")</f>
        <v>3.2</v>
      </c>
      <c r="G6186" s="4" t="str">
        <f>HYPERLINK("http://141.218.60.56/~jnz1568/getInfo.php?workbook=10_05.xlsx&amp;sheet=U0&amp;row=6186&amp;col=7&amp;number=0.0186&amp;sourceID=14","0.0186")</f>
        <v>0.0186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HYPERLINK("http://141.218.60.56/~jnz1568/getInfo.php?workbook=10_05.xlsx&amp;sheet=U0&amp;row=6187&amp;col=6&amp;number=3.3&amp;sourceID=14","3.3")</f>
        <v>3.3</v>
      </c>
      <c r="G6187" s="4" t="str">
        <f>HYPERLINK("http://141.218.60.56/~jnz1568/getInfo.php?workbook=10_05.xlsx&amp;sheet=U0&amp;row=6187&amp;col=7&amp;number=0.0185&amp;sourceID=14","0.0185")</f>
        <v>0.0185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HYPERLINK("http://141.218.60.56/~jnz1568/getInfo.php?workbook=10_05.xlsx&amp;sheet=U0&amp;row=6188&amp;col=6&amp;number=3.4&amp;sourceID=14","3.4")</f>
        <v>3.4</v>
      </c>
      <c r="G6188" s="4" t="str">
        <f>HYPERLINK("http://141.218.60.56/~jnz1568/getInfo.php?workbook=10_05.xlsx&amp;sheet=U0&amp;row=6188&amp;col=7&amp;number=0.0184&amp;sourceID=14","0.0184")</f>
        <v>0.0184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HYPERLINK("http://141.218.60.56/~jnz1568/getInfo.php?workbook=10_05.xlsx&amp;sheet=U0&amp;row=6189&amp;col=6&amp;number=3.5&amp;sourceID=14","3.5")</f>
        <v>3.5</v>
      </c>
      <c r="G6189" s="4" t="str">
        <f>HYPERLINK("http://141.218.60.56/~jnz1568/getInfo.php?workbook=10_05.xlsx&amp;sheet=U0&amp;row=6189&amp;col=7&amp;number=0.0183&amp;sourceID=14","0.0183")</f>
        <v>0.0183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HYPERLINK("http://141.218.60.56/~jnz1568/getInfo.php?workbook=10_05.xlsx&amp;sheet=U0&amp;row=6190&amp;col=6&amp;number=3.6&amp;sourceID=14","3.6")</f>
        <v>3.6</v>
      </c>
      <c r="G6190" s="4" t="str">
        <f>HYPERLINK("http://141.218.60.56/~jnz1568/getInfo.php?workbook=10_05.xlsx&amp;sheet=U0&amp;row=6190&amp;col=7&amp;number=0.0181&amp;sourceID=14","0.0181")</f>
        <v>0.0181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HYPERLINK("http://141.218.60.56/~jnz1568/getInfo.php?workbook=10_05.xlsx&amp;sheet=U0&amp;row=6191&amp;col=6&amp;number=3.7&amp;sourceID=14","3.7")</f>
        <v>3.7</v>
      </c>
      <c r="G6191" s="4" t="str">
        <f>HYPERLINK("http://141.218.60.56/~jnz1568/getInfo.php?workbook=10_05.xlsx&amp;sheet=U0&amp;row=6191&amp;col=7&amp;number=0.0178&amp;sourceID=14","0.0178")</f>
        <v>0.0178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HYPERLINK("http://141.218.60.56/~jnz1568/getInfo.php?workbook=10_05.xlsx&amp;sheet=U0&amp;row=6192&amp;col=6&amp;number=3.8&amp;sourceID=14","3.8")</f>
        <v>3.8</v>
      </c>
      <c r="G6192" s="4" t="str">
        <f>HYPERLINK("http://141.218.60.56/~jnz1568/getInfo.php?workbook=10_05.xlsx&amp;sheet=U0&amp;row=6192&amp;col=7&amp;number=0.0175&amp;sourceID=14","0.0175")</f>
        <v>0.0175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HYPERLINK("http://141.218.60.56/~jnz1568/getInfo.php?workbook=10_05.xlsx&amp;sheet=U0&amp;row=6193&amp;col=6&amp;number=3.9&amp;sourceID=14","3.9")</f>
        <v>3.9</v>
      </c>
      <c r="G6193" s="4" t="str">
        <f>HYPERLINK("http://141.218.60.56/~jnz1568/getInfo.php?workbook=10_05.xlsx&amp;sheet=U0&amp;row=6193&amp;col=7&amp;number=0.0172&amp;sourceID=14","0.0172")</f>
        <v>0.0172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HYPERLINK("http://141.218.60.56/~jnz1568/getInfo.php?workbook=10_05.xlsx&amp;sheet=U0&amp;row=6194&amp;col=6&amp;number=4&amp;sourceID=14","4")</f>
        <v>4</v>
      </c>
      <c r="G6194" s="4" t="str">
        <f>HYPERLINK("http://141.218.60.56/~jnz1568/getInfo.php?workbook=10_05.xlsx&amp;sheet=U0&amp;row=6194&amp;col=7&amp;number=0.0168&amp;sourceID=14","0.0168")</f>
        <v>0.0168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HYPERLINK("http://141.218.60.56/~jnz1568/getInfo.php?workbook=10_05.xlsx&amp;sheet=U0&amp;row=6195&amp;col=6&amp;number=4.1&amp;sourceID=14","4.1")</f>
        <v>4.1</v>
      </c>
      <c r="G6195" s="4" t="str">
        <f>HYPERLINK("http://141.218.60.56/~jnz1568/getInfo.php?workbook=10_05.xlsx&amp;sheet=U0&amp;row=6195&amp;col=7&amp;number=0.0163&amp;sourceID=14","0.0163")</f>
        <v>0.0163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HYPERLINK("http://141.218.60.56/~jnz1568/getInfo.php?workbook=10_05.xlsx&amp;sheet=U0&amp;row=6196&amp;col=6&amp;number=4.2&amp;sourceID=14","4.2")</f>
        <v>4.2</v>
      </c>
      <c r="G6196" s="4" t="str">
        <f>HYPERLINK("http://141.218.60.56/~jnz1568/getInfo.php?workbook=10_05.xlsx&amp;sheet=U0&amp;row=6196&amp;col=7&amp;number=0.0157&amp;sourceID=14","0.0157")</f>
        <v>0.0157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HYPERLINK("http://141.218.60.56/~jnz1568/getInfo.php?workbook=10_05.xlsx&amp;sheet=U0&amp;row=6197&amp;col=6&amp;number=4.3&amp;sourceID=14","4.3")</f>
        <v>4.3</v>
      </c>
      <c r="G6197" s="4" t="str">
        <f>HYPERLINK("http://141.218.60.56/~jnz1568/getInfo.php?workbook=10_05.xlsx&amp;sheet=U0&amp;row=6197&amp;col=7&amp;number=0.0151&amp;sourceID=14","0.0151")</f>
        <v>0.0151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HYPERLINK("http://141.218.60.56/~jnz1568/getInfo.php?workbook=10_05.xlsx&amp;sheet=U0&amp;row=6198&amp;col=6&amp;number=4.4&amp;sourceID=14","4.4")</f>
        <v>4.4</v>
      </c>
      <c r="G6198" s="4" t="str">
        <f>HYPERLINK("http://141.218.60.56/~jnz1568/getInfo.php?workbook=10_05.xlsx&amp;sheet=U0&amp;row=6198&amp;col=7&amp;number=0.0145&amp;sourceID=14","0.0145")</f>
        <v>0.0145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HYPERLINK("http://141.218.60.56/~jnz1568/getInfo.php?workbook=10_05.xlsx&amp;sheet=U0&amp;row=6199&amp;col=6&amp;number=4.5&amp;sourceID=14","4.5")</f>
        <v>4.5</v>
      </c>
      <c r="G6199" s="4" t="str">
        <f>HYPERLINK("http://141.218.60.56/~jnz1568/getInfo.php?workbook=10_05.xlsx&amp;sheet=U0&amp;row=6199&amp;col=7&amp;number=0.014&amp;sourceID=14","0.014")</f>
        <v>0.014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HYPERLINK("http://141.218.60.56/~jnz1568/getInfo.php?workbook=10_05.xlsx&amp;sheet=U0&amp;row=6200&amp;col=6&amp;number=4.6&amp;sourceID=14","4.6")</f>
        <v>4.6</v>
      </c>
      <c r="G6200" s="4" t="str">
        <f>HYPERLINK("http://141.218.60.56/~jnz1568/getInfo.php?workbook=10_05.xlsx&amp;sheet=U0&amp;row=6200&amp;col=7&amp;number=0.0136&amp;sourceID=14","0.0136")</f>
        <v>0.0136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HYPERLINK("http://141.218.60.56/~jnz1568/getInfo.php?workbook=10_05.xlsx&amp;sheet=U0&amp;row=6201&amp;col=6&amp;number=4.7&amp;sourceID=14","4.7")</f>
        <v>4.7</v>
      </c>
      <c r="G6201" s="4" t="str">
        <f>HYPERLINK("http://141.218.60.56/~jnz1568/getInfo.php?workbook=10_05.xlsx&amp;sheet=U0&amp;row=6201&amp;col=7&amp;number=0.0132&amp;sourceID=14","0.0132")</f>
        <v>0.0132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HYPERLINK("http://141.218.60.56/~jnz1568/getInfo.php?workbook=10_05.xlsx&amp;sheet=U0&amp;row=6202&amp;col=6&amp;number=4.8&amp;sourceID=14","4.8")</f>
        <v>4.8</v>
      </c>
      <c r="G6202" s="4" t="str">
        <f>HYPERLINK("http://141.218.60.56/~jnz1568/getInfo.php?workbook=10_05.xlsx&amp;sheet=U0&amp;row=6202&amp;col=7&amp;number=0.0128&amp;sourceID=14","0.0128")</f>
        <v>0.0128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HYPERLINK("http://141.218.60.56/~jnz1568/getInfo.php?workbook=10_05.xlsx&amp;sheet=U0&amp;row=6203&amp;col=6&amp;number=4.9&amp;sourceID=14","4.9")</f>
        <v>4.9</v>
      </c>
      <c r="G6203" s="4" t="str">
        <f>HYPERLINK("http://141.218.60.56/~jnz1568/getInfo.php?workbook=10_05.xlsx&amp;sheet=U0&amp;row=6203&amp;col=7&amp;number=0.0124&amp;sourceID=14","0.0124")</f>
        <v>0.0124</v>
      </c>
    </row>
    <row r="6204" spans="1:7">
      <c r="A6204" s="3">
        <v>10</v>
      </c>
      <c r="B6204" s="3">
        <v>5</v>
      </c>
      <c r="C6204" s="3">
        <v>2</v>
      </c>
      <c r="D6204" s="3">
        <v>134</v>
      </c>
      <c r="E6204" s="3">
        <v>1</v>
      </c>
      <c r="F6204" s="4" t="str">
        <f>HYPERLINK("http://141.218.60.56/~jnz1568/getInfo.php?workbook=10_05.xlsx&amp;sheet=U0&amp;row=6204&amp;col=6&amp;number=3&amp;sourceID=14","3")</f>
        <v>3</v>
      </c>
      <c r="G6204" s="4" t="str">
        <f>HYPERLINK("http://141.218.60.56/~jnz1568/getInfo.php?workbook=10_05.xlsx&amp;sheet=U0&amp;row=6204&amp;col=7&amp;number=0.00209&amp;sourceID=14","0.00209")</f>
        <v>0.00209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HYPERLINK("http://141.218.60.56/~jnz1568/getInfo.php?workbook=10_05.xlsx&amp;sheet=U0&amp;row=6205&amp;col=6&amp;number=3.1&amp;sourceID=14","3.1")</f>
        <v>3.1</v>
      </c>
      <c r="G6205" s="4" t="str">
        <f>HYPERLINK("http://141.218.60.56/~jnz1568/getInfo.php?workbook=10_05.xlsx&amp;sheet=U0&amp;row=6205&amp;col=7&amp;number=0.00208&amp;sourceID=14","0.00208")</f>
        <v>0.00208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HYPERLINK("http://141.218.60.56/~jnz1568/getInfo.php?workbook=10_05.xlsx&amp;sheet=U0&amp;row=6206&amp;col=6&amp;number=3.2&amp;sourceID=14","3.2")</f>
        <v>3.2</v>
      </c>
      <c r="G6206" s="4" t="str">
        <f>HYPERLINK("http://141.218.60.56/~jnz1568/getInfo.php?workbook=10_05.xlsx&amp;sheet=U0&amp;row=6206&amp;col=7&amp;number=0.00207&amp;sourceID=14","0.00207")</f>
        <v>0.00207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HYPERLINK("http://141.218.60.56/~jnz1568/getInfo.php?workbook=10_05.xlsx&amp;sheet=U0&amp;row=6207&amp;col=6&amp;number=3.3&amp;sourceID=14","3.3")</f>
        <v>3.3</v>
      </c>
      <c r="G6207" s="4" t="str">
        <f>HYPERLINK("http://141.218.60.56/~jnz1568/getInfo.php?workbook=10_05.xlsx&amp;sheet=U0&amp;row=6207&amp;col=7&amp;number=0.00205&amp;sourceID=14","0.00205")</f>
        <v>0.00205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HYPERLINK("http://141.218.60.56/~jnz1568/getInfo.php?workbook=10_05.xlsx&amp;sheet=U0&amp;row=6208&amp;col=6&amp;number=3.4&amp;sourceID=14","3.4")</f>
        <v>3.4</v>
      </c>
      <c r="G6208" s="4" t="str">
        <f>HYPERLINK("http://141.218.60.56/~jnz1568/getInfo.php?workbook=10_05.xlsx&amp;sheet=U0&amp;row=6208&amp;col=7&amp;number=0.00203&amp;sourceID=14","0.00203")</f>
        <v>0.00203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HYPERLINK("http://141.218.60.56/~jnz1568/getInfo.php?workbook=10_05.xlsx&amp;sheet=U0&amp;row=6209&amp;col=6&amp;number=3.5&amp;sourceID=14","3.5")</f>
        <v>3.5</v>
      </c>
      <c r="G6209" s="4" t="str">
        <f>HYPERLINK("http://141.218.60.56/~jnz1568/getInfo.php?workbook=10_05.xlsx&amp;sheet=U0&amp;row=6209&amp;col=7&amp;number=0.00201&amp;sourceID=14","0.00201")</f>
        <v>0.00201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HYPERLINK("http://141.218.60.56/~jnz1568/getInfo.php?workbook=10_05.xlsx&amp;sheet=U0&amp;row=6210&amp;col=6&amp;number=3.6&amp;sourceID=14","3.6")</f>
        <v>3.6</v>
      </c>
      <c r="G6210" s="4" t="str">
        <f>HYPERLINK("http://141.218.60.56/~jnz1568/getInfo.php?workbook=10_05.xlsx&amp;sheet=U0&amp;row=6210&amp;col=7&amp;number=0.00198&amp;sourceID=14","0.00198")</f>
        <v>0.00198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HYPERLINK("http://141.218.60.56/~jnz1568/getInfo.php?workbook=10_05.xlsx&amp;sheet=U0&amp;row=6211&amp;col=6&amp;number=3.7&amp;sourceID=14","3.7")</f>
        <v>3.7</v>
      </c>
      <c r="G6211" s="4" t="str">
        <f>HYPERLINK("http://141.218.60.56/~jnz1568/getInfo.php?workbook=10_05.xlsx&amp;sheet=U0&amp;row=6211&amp;col=7&amp;number=0.00195&amp;sourceID=14","0.00195")</f>
        <v>0.00195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HYPERLINK("http://141.218.60.56/~jnz1568/getInfo.php?workbook=10_05.xlsx&amp;sheet=U0&amp;row=6212&amp;col=6&amp;number=3.8&amp;sourceID=14","3.8")</f>
        <v>3.8</v>
      </c>
      <c r="G6212" s="4" t="str">
        <f>HYPERLINK("http://141.218.60.56/~jnz1568/getInfo.php?workbook=10_05.xlsx&amp;sheet=U0&amp;row=6212&amp;col=7&amp;number=0.00191&amp;sourceID=14","0.00191")</f>
        <v>0.00191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HYPERLINK("http://141.218.60.56/~jnz1568/getInfo.php?workbook=10_05.xlsx&amp;sheet=U0&amp;row=6213&amp;col=6&amp;number=3.9&amp;sourceID=14","3.9")</f>
        <v>3.9</v>
      </c>
      <c r="G6213" s="4" t="str">
        <f>HYPERLINK("http://141.218.60.56/~jnz1568/getInfo.php?workbook=10_05.xlsx&amp;sheet=U0&amp;row=6213&amp;col=7&amp;number=0.00186&amp;sourceID=14","0.00186")</f>
        <v>0.00186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HYPERLINK("http://141.218.60.56/~jnz1568/getInfo.php?workbook=10_05.xlsx&amp;sheet=U0&amp;row=6214&amp;col=6&amp;number=4&amp;sourceID=14","4")</f>
        <v>4</v>
      </c>
      <c r="G6214" s="4" t="str">
        <f>HYPERLINK("http://141.218.60.56/~jnz1568/getInfo.php?workbook=10_05.xlsx&amp;sheet=U0&amp;row=6214&amp;col=7&amp;number=0.0018&amp;sourceID=14","0.0018")</f>
        <v>0.0018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HYPERLINK("http://141.218.60.56/~jnz1568/getInfo.php?workbook=10_05.xlsx&amp;sheet=U0&amp;row=6215&amp;col=6&amp;number=4.1&amp;sourceID=14","4.1")</f>
        <v>4.1</v>
      </c>
      <c r="G6215" s="4" t="str">
        <f>HYPERLINK("http://141.218.60.56/~jnz1568/getInfo.php?workbook=10_05.xlsx&amp;sheet=U0&amp;row=6215&amp;col=7&amp;number=0.00173&amp;sourceID=14","0.00173")</f>
        <v>0.00173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HYPERLINK("http://141.218.60.56/~jnz1568/getInfo.php?workbook=10_05.xlsx&amp;sheet=U0&amp;row=6216&amp;col=6&amp;number=4.2&amp;sourceID=14","4.2")</f>
        <v>4.2</v>
      </c>
      <c r="G6216" s="4" t="str">
        <f>HYPERLINK("http://141.218.60.56/~jnz1568/getInfo.php?workbook=10_05.xlsx&amp;sheet=U0&amp;row=6216&amp;col=7&amp;number=0.00167&amp;sourceID=14","0.00167")</f>
        <v>0.00167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HYPERLINK("http://141.218.60.56/~jnz1568/getInfo.php?workbook=10_05.xlsx&amp;sheet=U0&amp;row=6217&amp;col=6&amp;number=4.3&amp;sourceID=14","4.3")</f>
        <v>4.3</v>
      </c>
      <c r="G6217" s="4" t="str">
        <f>HYPERLINK("http://141.218.60.56/~jnz1568/getInfo.php?workbook=10_05.xlsx&amp;sheet=U0&amp;row=6217&amp;col=7&amp;number=0.0016&amp;sourceID=14","0.0016")</f>
        <v>0.0016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HYPERLINK("http://141.218.60.56/~jnz1568/getInfo.php?workbook=10_05.xlsx&amp;sheet=U0&amp;row=6218&amp;col=6&amp;number=4.4&amp;sourceID=14","4.4")</f>
        <v>4.4</v>
      </c>
      <c r="G6218" s="4" t="str">
        <f>HYPERLINK("http://141.218.60.56/~jnz1568/getInfo.php?workbook=10_05.xlsx&amp;sheet=U0&amp;row=6218&amp;col=7&amp;number=0.00154&amp;sourceID=14","0.00154")</f>
        <v>0.00154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HYPERLINK("http://141.218.60.56/~jnz1568/getInfo.php?workbook=10_05.xlsx&amp;sheet=U0&amp;row=6219&amp;col=6&amp;number=4.5&amp;sourceID=14","4.5")</f>
        <v>4.5</v>
      </c>
      <c r="G6219" s="4" t="str">
        <f>HYPERLINK("http://141.218.60.56/~jnz1568/getInfo.php?workbook=10_05.xlsx&amp;sheet=U0&amp;row=6219&amp;col=7&amp;number=0.0015&amp;sourceID=14","0.0015")</f>
        <v>0.0015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HYPERLINK("http://141.218.60.56/~jnz1568/getInfo.php?workbook=10_05.xlsx&amp;sheet=U0&amp;row=6220&amp;col=6&amp;number=4.6&amp;sourceID=14","4.6")</f>
        <v>4.6</v>
      </c>
      <c r="G6220" s="4" t="str">
        <f>HYPERLINK("http://141.218.60.56/~jnz1568/getInfo.php?workbook=10_05.xlsx&amp;sheet=U0&amp;row=6220&amp;col=7&amp;number=0.00147&amp;sourceID=14","0.00147")</f>
        <v>0.00147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HYPERLINK("http://141.218.60.56/~jnz1568/getInfo.php?workbook=10_05.xlsx&amp;sheet=U0&amp;row=6221&amp;col=6&amp;number=4.7&amp;sourceID=14","4.7")</f>
        <v>4.7</v>
      </c>
      <c r="G6221" s="4" t="str">
        <f>HYPERLINK("http://141.218.60.56/~jnz1568/getInfo.php?workbook=10_05.xlsx&amp;sheet=U0&amp;row=6221&amp;col=7&amp;number=0.00144&amp;sourceID=14","0.00144")</f>
        <v>0.00144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HYPERLINK("http://141.218.60.56/~jnz1568/getInfo.php?workbook=10_05.xlsx&amp;sheet=U0&amp;row=6222&amp;col=6&amp;number=4.8&amp;sourceID=14","4.8")</f>
        <v>4.8</v>
      </c>
      <c r="G6222" s="4" t="str">
        <f>HYPERLINK("http://141.218.60.56/~jnz1568/getInfo.php?workbook=10_05.xlsx&amp;sheet=U0&amp;row=6222&amp;col=7&amp;number=0.0014&amp;sourceID=14","0.0014")</f>
        <v>0.0014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HYPERLINK("http://141.218.60.56/~jnz1568/getInfo.php?workbook=10_05.xlsx&amp;sheet=U0&amp;row=6223&amp;col=6&amp;number=4.9&amp;sourceID=14","4.9")</f>
        <v>4.9</v>
      </c>
      <c r="G6223" s="4" t="str">
        <f>HYPERLINK("http://141.218.60.56/~jnz1568/getInfo.php?workbook=10_05.xlsx&amp;sheet=U0&amp;row=6223&amp;col=7&amp;number=0.00135&amp;sourceID=14","0.00135")</f>
        <v>0.00135</v>
      </c>
    </row>
    <row r="6224" spans="1:7">
      <c r="A6224" s="3">
        <v>10</v>
      </c>
      <c r="B6224" s="3">
        <v>5</v>
      </c>
      <c r="C6224" s="3">
        <v>2</v>
      </c>
      <c r="D6224" s="3">
        <v>135</v>
      </c>
      <c r="E6224" s="3">
        <v>1</v>
      </c>
      <c r="F6224" s="4" t="str">
        <f>HYPERLINK("http://141.218.60.56/~jnz1568/getInfo.php?workbook=10_05.xlsx&amp;sheet=U0&amp;row=6224&amp;col=6&amp;number=3&amp;sourceID=14","3")</f>
        <v>3</v>
      </c>
      <c r="G6224" s="4" t="str">
        <f>HYPERLINK("http://141.218.60.56/~jnz1568/getInfo.php?workbook=10_05.xlsx&amp;sheet=U0&amp;row=6224&amp;col=7&amp;number=0.00511&amp;sourceID=14","0.00511")</f>
        <v>0.00511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HYPERLINK("http://141.218.60.56/~jnz1568/getInfo.php?workbook=10_05.xlsx&amp;sheet=U0&amp;row=6225&amp;col=6&amp;number=3.1&amp;sourceID=14","3.1")</f>
        <v>3.1</v>
      </c>
      <c r="G6225" s="4" t="str">
        <f>HYPERLINK("http://141.218.60.56/~jnz1568/getInfo.php?workbook=10_05.xlsx&amp;sheet=U0&amp;row=6225&amp;col=7&amp;number=0.00509&amp;sourceID=14","0.00509")</f>
        <v>0.00509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HYPERLINK("http://141.218.60.56/~jnz1568/getInfo.php?workbook=10_05.xlsx&amp;sheet=U0&amp;row=6226&amp;col=6&amp;number=3.2&amp;sourceID=14","3.2")</f>
        <v>3.2</v>
      </c>
      <c r="G6226" s="4" t="str">
        <f>HYPERLINK("http://141.218.60.56/~jnz1568/getInfo.php?workbook=10_05.xlsx&amp;sheet=U0&amp;row=6226&amp;col=7&amp;number=0.00507&amp;sourceID=14","0.00507")</f>
        <v>0.00507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HYPERLINK("http://141.218.60.56/~jnz1568/getInfo.php?workbook=10_05.xlsx&amp;sheet=U0&amp;row=6227&amp;col=6&amp;number=3.3&amp;sourceID=14","3.3")</f>
        <v>3.3</v>
      </c>
      <c r="G6227" s="4" t="str">
        <f>HYPERLINK("http://141.218.60.56/~jnz1568/getInfo.php?workbook=10_05.xlsx&amp;sheet=U0&amp;row=6227&amp;col=7&amp;number=0.00504&amp;sourceID=14","0.00504")</f>
        <v>0.00504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HYPERLINK("http://141.218.60.56/~jnz1568/getInfo.php?workbook=10_05.xlsx&amp;sheet=U0&amp;row=6228&amp;col=6&amp;number=3.4&amp;sourceID=14","3.4")</f>
        <v>3.4</v>
      </c>
      <c r="G6228" s="4" t="str">
        <f>HYPERLINK("http://141.218.60.56/~jnz1568/getInfo.php?workbook=10_05.xlsx&amp;sheet=U0&amp;row=6228&amp;col=7&amp;number=0.005&amp;sourceID=14","0.005")</f>
        <v>0.005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HYPERLINK("http://141.218.60.56/~jnz1568/getInfo.php?workbook=10_05.xlsx&amp;sheet=U0&amp;row=6229&amp;col=6&amp;number=3.5&amp;sourceID=14","3.5")</f>
        <v>3.5</v>
      </c>
      <c r="G6229" s="4" t="str">
        <f>HYPERLINK("http://141.218.60.56/~jnz1568/getInfo.php?workbook=10_05.xlsx&amp;sheet=U0&amp;row=6229&amp;col=7&amp;number=0.00495&amp;sourceID=14","0.00495")</f>
        <v>0.00495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HYPERLINK("http://141.218.60.56/~jnz1568/getInfo.php?workbook=10_05.xlsx&amp;sheet=U0&amp;row=6230&amp;col=6&amp;number=3.6&amp;sourceID=14","3.6")</f>
        <v>3.6</v>
      </c>
      <c r="G6230" s="4" t="str">
        <f>HYPERLINK("http://141.218.60.56/~jnz1568/getInfo.php?workbook=10_05.xlsx&amp;sheet=U0&amp;row=6230&amp;col=7&amp;number=0.00489&amp;sourceID=14","0.00489")</f>
        <v>0.00489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HYPERLINK("http://141.218.60.56/~jnz1568/getInfo.php?workbook=10_05.xlsx&amp;sheet=U0&amp;row=6231&amp;col=6&amp;number=3.7&amp;sourceID=14","3.7")</f>
        <v>3.7</v>
      </c>
      <c r="G6231" s="4" t="str">
        <f>HYPERLINK("http://141.218.60.56/~jnz1568/getInfo.php?workbook=10_05.xlsx&amp;sheet=U0&amp;row=6231&amp;col=7&amp;number=0.00482&amp;sourceID=14","0.00482")</f>
        <v>0.00482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HYPERLINK("http://141.218.60.56/~jnz1568/getInfo.php?workbook=10_05.xlsx&amp;sheet=U0&amp;row=6232&amp;col=6&amp;number=3.8&amp;sourceID=14","3.8")</f>
        <v>3.8</v>
      </c>
      <c r="G6232" s="4" t="str">
        <f>HYPERLINK("http://141.218.60.56/~jnz1568/getInfo.php?workbook=10_05.xlsx&amp;sheet=U0&amp;row=6232&amp;col=7&amp;number=0.00473&amp;sourceID=14","0.00473")</f>
        <v>0.00473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HYPERLINK("http://141.218.60.56/~jnz1568/getInfo.php?workbook=10_05.xlsx&amp;sheet=U0&amp;row=6233&amp;col=6&amp;number=3.9&amp;sourceID=14","3.9")</f>
        <v>3.9</v>
      </c>
      <c r="G6233" s="4" t="str">
        <f>HYPERLINK("http://141.218.60.56/~jnz1568/getInfo.php?workbook=10_05.xlsx&amp;sheet=U0&amp;row=6233&amp;col=7&amp;number=0.00462&amp;sourceID=14","0.00462")</f>
        <v>0.00462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HYPERLINK("http://141.218.60.56/~jnz1568/getInfo.php?workbook=10_05.xlsx&amp;sheet=U0&amp;row=6234&amp;col=6&amp;number=4&amp;sourceID=14","4")</f>
        <v>4</v>
      </c>
      <c r="G6234" s="4" t="str">
        <f>HYPERLINK("http://141.218.60.56/~jnz1568/getInfo.php?workbook=10_05.xlsx&amp;sheet=U0&amp;row=6234&amp;col=7&amp;number=0.0045&amp;sourceID=14","0.0045")</f>
        <v>0.0045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HYPERLINK("http://141.218.60.56/~jnz1568/getInfo.php?workbook=10_05.xlsx&amp;sheet=U0&amp;row=6235&amp;col=6&amp;number=4.1&amp;sourceID=14","4.1")</f>
        <v>4.1</v>
      </c>
      <c r="G6235" s="4" t="str">
        <f>HYPERLINK("http://141.218.60.56/~jnz1568/getInfo.php?workbook=10_05.xlsx&amp;sheet=U0&amp;row=6235&amp;col=7&amp;number=0.00436&amp;sourceID=14","0.00436")</f>
        <v>0.00436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HYPERLINK("http://141.218.60.56/~jnz1568/getInfo.php?workbook=10_05.xlsx&amp;sheet=U0&amp;row=6236&amp;col=6&amp;number=4.2&amp;sourceID=14","4.2")</f>
        <v>4.2</v>
      </c>
      <c r="G6236" s="4" t="str">
        <f>HYPERLINK("http://141.218.60.56/~jnz1568/getInfo.php?workbook=10_05.xlsx&amp;sheet=U0&amp;row=6236&amp;col=7&amp;number=0.00421&amp;sourceID=14","0.00421")</f>
        <v>0.00421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HYPERLINK("http://141.218.60.56/~jnz1568/getInfo.php?workbook=10_05.xlsx&amp;sheet=U0&amp;row=6237&amp;col=6&amp;number=4.3&amp;sourceID=14","4.3")</f>
        <v>4.3</v>
      </c>
      <c r="G6237" s="4" t="str">
        <f>HYPERLINK("http://141.218.60.56/~jnz1568/getInfo.php?workbook=10_05.xlsx&amp;sheet=U0&amp;row=6237&amp;col=7&amp;number=0.00408&amp;sourceID=14","0.00408")</f>
        <v>0.00408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HYPERLINK("http://141.218.60.56/~jnz1568/getInfo.php?workbook=10_05.xlsx&amp;sheet=U0&amp;row=6238&amp;col=6&amp;number=4.4&amp;sourceID=14","4.4")</f>
        <v>4.4</v>
      </c>
      <c r="G6238" s="4" t="str">
        <f>HYPERLINK("http://141.218.60.56/~jnz1568/getInfo.php?workbook=10_05.xlsx&amp;sheet=U0&amp;row=6238&amp;col=7&amp;number=0.00397&amp;sourceID=14","0.00397")</f>
        <v>0.00397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HYPERLINK("http://141.218.60.56/~jnz1568/getInfo.php?workbook=10_05.xlsx&amp;sheet=U0&amp;row=6239&amp;col=6&amp;number=4.5&amp;sourceID=14","4.5")</f>
        <v>4.5</v>
      </c>
      <c r="G6239" s="4" t="str">
        <f>HYPERLINK("http://141.218.60.56/~jnz1568/getInfo.php?workbook=10_05.xlsx&amp;sheet=U0&amp;row=6239&amp;col=7&amp;number=0.00389&amp;sourceID=14","0.00389")</f>
        <v>0.00389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HYPERLINK("http://141.218.60.56/~jnz1568/getInfo.php?workbook=10_05.xlsx&amp;sheet=U0&amp;row=6240&amp;col=6&amp;number=4.6&amp;sourceID=14","4.6")</f>
        <v>4.6</v>
      </c>
      <c r="G6240" s="4" t="str">
        <f>HYPERLINK("http://141.218.60.56/~jnz1568/getInfo.php?workbook=10_05.xlsx&amp;sheet=U0&amp;row=6240&amp;col=7&amp;number=0.00384&amp;sourceID=14","0.00384")</f>
        <v>0.00384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HYPERLINK("http://141.218.60.56/~jnz1568/getInfo.php?workbook=10_05.xlsx&amp;sheet=U0&amp;row=6241&amp;col=6&amp;number=4.7&amp;sourceID=14","4.7")</f>
        <v>4.7</v>
      </c>
      <c r="G6241" s="4" t="str">
        <f>HYPERLINK("http://141.218.60.56/~jnz1568/getInfo.php?workbook=10_05.xlsx&amp;sheet=U0&amp;row=6241&amp;col=7&amp;number=0.00378&amp;sourceID=14","0.00378")</f>
        <v>0.00378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HYPERLINK("http://141.218.60.56/~jnz1568/getInfo.php?workbook=10_05.xlsx&amp;sheet=U0&amp;row=6242&amp;col=6&amp;number=4.8&amp;sourceID=14","4.8")</f>
        <v>4.8</v>
      </c>
      <c r="G6242" s="4" t="str">
        <f>HYPERLINK("http://141.218.60.56/~jnz1568/getInfo.php?workbook=10_05.xlsx&amp;sheet=U0&amp;row=6242&amp;col=7&amp;number=0.00369&amp;sourceID=14","0.00369")</f>
        <v>0.00369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HYPERLINK("http://141.218.60.56/~jnz1568/getInfo.php?workbook=10_05.xlsx&amp;sheet=U0&amp;row=6243&amp;col=6&amp;number=4.9&amp;sourceID=14","4.9")</f>
        <v>4.9</v>
      </c>
      <c r="G6243" s="4" t="str">
        <f>HYPERLINK("http://141.218.60.56/~jnz1568/getInfo.php?workbook=10_05.xlsx&amp;sheet=U0&amp;row=6243&amp;col=7&amp;number=0.0036&amp;sourceID=14","0.0036")</f>
        <v>0.0036</v>
      </c>
    </row>
    <row r="6244" spans="1:7">
      <c r="A6244" s="3">
        <v>10</v>
      </c>
      <c r="B6244" s="3">
        <v>5</v>
      </c>
      <c r="C6244" s="3">
        <v>2</v>
      </c>
      <c r="D6244" s="3">
        <v>136</v>
      </c>
      <c r="E6244" s="3">
        <v>1</v>
      </c>
      <c r="F6244" s="4" t="str">
        <f>HYPERLINK("http://141.218.60.56/~jnz1568/getInfo.php?workbook=10_05.xlsx&amp;sheet=U0&amp;row=6244&amp;col=6&amp;number=3&amp;sourceID=14","3")</f>
        <v>3</v>
      </c>
      <c r="G6244" s="4" t="str">
        <f>HYPERLINK("http://141.218.60.56/~jnz1568/getInfo.php?workbook=10_05.xlsx&amp;sheet=U0&amp;row=6244&amp;col=7&amp;number=0.00994&amp;sourceID=14","0.00994")</f>
        <v>0.00994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HYPERLINK("http://141.218.60.56/~jnz1568/getInfo.php?workbook=10_05.xlsx&amp;sheet=U0&amp;row=6245&amp;col=6&amp;number=3.1&amp;sourceID=14","3.1")</f>
        <v>3.1</v>
      </c>
      <c r="G6245" s="4" t="str">
        <f>HYPERLINK("http://141.218.60.56/~jnz1568/getInfo.php?workbook=10_05.xlsx&amp;sheet=U0&amp;row=6245&amp;col=7&amp;number=0.00992&amp;sourceID=14","0.00992")</f>
        <v>0.00992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HYPERLINK("http://141.218.60.56/~jnz1568/getInfo.php?workbook=10_05.xlsx&amp;sheet=U0&amp;row=6246&amp;col=6&amp;number=3.2&amp;sourceID=14","3.2")</f>
        <v>3.2</v>
      </c>
      <c r="G6246" s="4" t="str">
        <f>HYPERLINK("http://141.218.60.56/~jnz1568/getInfo.php?workbook=10_05.xlsx&amp;sheet=U0&amp;row=6246&amp;col=7&amp;number=0.0099&amp;sourceID=14","0.0099")</f>
        <v>0.0099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HYPERLINK("http://141.218.60.56/~jnz1568/getInfo.php?workbook=10_05.xlsx&amp;sheet=U0&amp;row=6247&amp;col=6&amp;number=3.3&amp;sourceID=14","3.3")</f>
        <v>3.3</v>
      </c>
      <c r="G6247" s="4" t="str">
        <f>HYPERLINK("http://141.218.60.56/~jnz1568/getInfo.php?workbook=10_05.xlsx&amp;sheet=U0&amp;row=6247&amp;col=7&amp;number=0.00987&amp;sourceID=14","0.00987")</f>
        <v>0.00987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HYPERLINK("http://141.218.60.56/~jnz1568/getInfo.php?workbook=10_05.xlsx&amp;sheet=U0&amp;row=6248&amp;col=6&amp;number=3.4&amp;sourceID=14","3.4")</f>
        <v>3.4</v>
      </c>
      <c r="G6248" s="4" t="str">
        <f>HYPERLINK("http://141.218.60.56/~jnz1568/getInfo.php?workbook=10_05.xlsx&amp;sheet=U0&amp;row=6248&amp;col=7&amp;number=0.00984&amp;sourceID=14","0.00984")</f>
        <v>0.00984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HYPERLINK("http://141.218.60.56/~jnz1568/getInfo.php?workbook=10_05.xlsx&amp;sheet=U0&amp;row=6249&amp;col=6&amp;number=3.5&amp;sourceID=14","3.5")</f>
        <v>3.5</v>
      </c>
      <c r="G6249" s="4" t="str">
        <f>HYPERLINK("http://141.218.60.56/~jnz1568/getInfo.php?workbook=10_05.xlsx&amp;sheet=U0&amp;row=6249&amp;col=7&amp;number=0.00979&amp;sourceID=14","0.00979")</f>
        <v>0.00979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HYPERLINK("http://141.218.60.56/~jnz1568/getInfo.php?workbook=10_05.xlsx&amp;sheet=U0&amp;row=6250&amp;col=6&amp;number=3.6&amp;sourceID=14","3.6")</f>
        <v>3.6</v>
      </c>
      <c r="G6250" s="4" t="str">
        <f>HYPERLINK("http://141.218.60.56/~jnz1568/getInfo.php?workbook=10_05.xlsx&amp;sheet=U0&amp;row=6250&amp;col=7&amp;number=0.00974&amp;sourceID=14","0.00974")</f>
        <v>0.00974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HYPERLINK("http://141.218.60.56/~jnz1568/getInfo.php?workbook=10_05.xlsx&amp;sheet=U0&amp;row=6251&amp;col=6&amp;number=3.7&amp;sourceID=14","3.7")</f>
        <v>3.7</v>
      </c>
      <c r="G6251" s="4" t="str">
        <f>HYPERLINK("http://141.218.60.56/~jnz1568/getInfo.php?workbook=10_05.xlsx&amp;sheet=U0&amp;row=6251&amp;col=7&amp;number=0.00967&amp;sourceID=14","0.00967")</f>
        <v>0.00967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HYPERLINK("http://141.218.60.56/~jnz1568/getInfo.php?workbook=10_05.xlsx&amp;sheet=U0&amp;row=6252&amp;col=6&amp;number=3.8&amp;sourceID=14","3.8")</f>
        <v>3.8</v>
      </c>
      <c r="G6252" s="4" t="str">
        <f>HYPERLINK("http://141.218.60.56/~jnz1568/getInfo.php?workbook=10_05.xlsx&amp;sheet=U0&amp;row=6252&amp;col=7&amp;number=0.00959&amp;sourceID=14","0.00959")</f>
        <v>0.00959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HYPERLINK("http://141.218.60.56/~jnz1568/getInfo.php?workbook=10_05.xlsx&amp;sheet=U0&amp;row=6253&amp;col=6&amp;number=3.9&amp;sourceID=14","3.9")</f>
        <v>3.9</v>
      </c>
      <c r="G6253" s="4" t="str">
        <f>HYPERLINK("http://141.218.60.56/~jnz1568/getInfo.php?workbook=10_05.xlsx&amp;sheet=U0&amp;row=6253&amp;col=7&amp;number=0.00949&amp;sourceID=14","0.00949")</f>
        <v>0.00949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HYPERLINK("http://141.218.60.56/~jnz1568/getInfo.php?workbook=10_05.xlsx&amp;sheet=U0&amp;row=6254&amp;col=6&amp;number=4&amp;sourceID=14","4")</f>
        <v>4</v>
      </c>
      <c r="G6254" s="4" t="str">
        <f>HYPERLINK("http://141.218.60.56/~jnz1568/getInfo.php?workbook=10_05.xlsx&amp;sheet=U0&amp;row=6254&amp;col=7&amp;number=0.00936&amp;sourceID=14","0.00936")</f>
        <v>0.00936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HYPERLINK("http://141.218.60.56/~jnz1568/getInfo.php?workbook=10_05.xlsx&amp;sheet=U0&amp;row=6255&amp;col=6&amp;number=4.1&amp;sourceID=14","4.1")</f>
        <v>4.1</v>
      </c>
      <c r="G6255" s="4" t="str">
        <f>HYPERLINK("http://141.218.60.56/~jnz1568/getInfo.php?workbook=10_05.xlsx&amp;sheet=U0&amp;row=6255&amp;col=7&amp;number=0.00922&amp;sourceID=14","0.00922")</f>
        <v>0.00922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HYPERLINK("http://141.218.60.56/~jnz1568/getInfo.php?workbook=10_05.xlsx&amp;sheet=U0&amp;row=6256&amp;col=6&amp;number=4.2&amp;sourceID=14","4.2")</f>
        <v>4.2</v>
      </c>
      <c r="G6256" s="4" t="str">
        <f>HYPERLINK("http://141.218.60.56/~jnz1568/getInfo.php?workbook=10_05.xlsx&amp;sheet=U0&amp;row=6256&amp;col=7&amp;number=0.00906&amp;sourceID=14","0.00906")</f>
        <v>0.00906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HYPERLINK("http://141.218.60.56/~jnz1568/getInfo.php?workbook=10_05.xlsx&amp;sheet=U0&amp;row=6257&amp;col=6&amp;number=4.3&amp;sourceID=14","4.3")</f>
        <v>4.3</v>
      </c>
      <c r="G6257" s="4" t="str">
        <f>HYPERLINK("http://141.218.60.56/~jnz1568/getInfo.php?workbook=10_05.xlsx&amp;sheet=U0&amp;row=6257&amp;col=7&amp;number=0.00888&amp;sourceID=14","0.00888")</f>
        <v>0.00888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HYPERLINK("http://141.218.60.56/~jnz1568/getInfo.php?workbook=10_05.xlsx&amp;sheet=U0&amp;row=6258&amp;col=6&amp;number=4.4&amp;sourceID=14","4.4")</f>
        <v>4.4</v>
      </c>
      <c r="G6258" s="4" t="str">
        <f>HYPERLINK("http://141.218.60.56/~jnz1568/getInfo.php?workbook=10_05.xlsx&amp;sheet=U0&amp;row=6258&amp;col=7&amp;number=0.00871&amp;sourceID=14","0.00871")</f>
        <v>0.00871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HYPERLINK("http://141.218.60.56/~jnz1568/getInfo.php?workbook=10_05.xlsx&amp;sheet=U0&amp;row=6259&amp;col=6&amp;number=4.5&amp;sourceID=14","4.5")</f>
        <v>4.5</v>
      </c>
      <c r="G6259" s="4" t="str">
        <f>HYPERLINK("http://141.218.60.56/~jnz1568/getInfo.php?workbook=10_05.xlsx&amp;sheet=U0&amp;row=6259&amp;col=7&amp;number=0.00855&amp;sourceID=14","0.00855")</f>
        <v>0.00855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HYPERLINK("http://141.218.60.56/~jnz1568/getInfo.php?workbook=10_05.xlsx&amp;sheet=U0&amp;row=6260&amp;col=6&amp;number=4.6&amp;sourceID=14","4.6")</f>
        <v>4.6</v>
      </c>
      <c r="G6260" s="4" t="str">
        <f>HYPERLINK("http://141.218.60.56/~jnz1568/getInfo.php?workbook=10_05.xlsx&amp;sheet=U0&amp;row=6260&amp;col=7&amp;number=0.00842&amp;sourceID=14","0.00842")</f>
        <v>0.00842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HYPERLINK("http://141.218.60.56/~jnz1568/getInfo.php?workbook=10_05.xlsx&amp;sheet=U0&amp;row=6261&amp;col=6&amp;number=4.7&amp;sourceID=14","4.7")</f>
        <v>4.7</v>
      </c>
      <c r="G6261" s="4" t="str">
        <f>HYPERLINK("http://141.218.60.56/~jnz1568/getInfo.php?workbook=10_05.xlsx&amp;sheet=U0&amp;row=6261&amp;col=7&amp;number=0.00831&amp;sourceID=14","0.00831")</f>
        <v>0.00831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HYPERLINK("http://141.218.60.56/~jnz1568/getInfo.php?workbook=10_05.xlsx&amp;sheet=U0&amp;row=6262&amp;col=6&amp;number=4.8&amp;sourceID=14","4.8")</f>
        <v>4.8</v>
      </c>
      <c r="G6262" s="4" t="str">
        <f>HYPERLINK("http://141.218.60.56/~jnz1568/getInfo.php?workbook=10_05.xlsx&amp;sheet=U0&amp;row=6262&amp;col=7&amp;number=0.0082&amp;sourceID=14","0.0082")</f>
        <v>0.0082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HYPERLINK("http://141.218.60.56/~jnz1568/getInfo.php?workbook=10_05.xlsx&amp;sheet=U0&amp;row=6263&amp;col=6&amp;number=4.9&amp;sourceID=14","4.9")</f>
        <v>4.9</v>
      </c>
      <c r="G6263" s="4" t="str">
        <f>HYPERLINK("http://141.218.60.56/~jnz1568/getInfo.php?workbook=10_05.xlsx&amp;sheet=U0&amp;row=6263&amp;col=7&amp;number=0.00807&amp;sourceID=14","0.00807")</f>
        <v>0.00807</v>
      </c>
    </row>
    <row r="6264" spans="1:7">
      <c r="A6264" s="3">
        <v>10</v>
      </c>
      <c r="B6264" s="3">
        <v>5</v>
      </c>
      <c r="C6264" s="3">
        <v>2</v>
      </c>
      <c r="D6264" s="3">
        <v>137</v>
      </c>
      <c r="E6264" s="3">
        <v>1</v>
      </c>
      <c r="F6264" s="4" t="str">
        <f>HYPERLINK("http://141.218.60.56/~jnz1568/getInfo.php?workbook=10_05.xlsx&amp;sheet=U0&amp;row=6264&amp;col=6&amp;number=3&amp;sourceID=14","3")</f>
        <v>3</v>
      </c>
      <c r="G6264" s="4" t="str">
        <f>HYPERLINK("http://141.218.60.56/~jnz1568/getInfo.php?workbook=10_05.xlsx&amp;sheet=U0&amp;row=6264&amp;col=7&amp;number=0.0197&amp;sourceID=14","0.0197")</f>
        <v>0.0197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HYPERLINK("http://141.218.60.56/~jnz1568/getInfo.php?workbook=10_05.xlsx&amp;sheet=U0&amp;row=6265&amp;col=6&amp;number=3.1&amp;sourceID=14","3.1")</f>
        <v>3.1</v>
      </c>
      <c r="G6265" s="4" t="str">
        <f>HYPERLINK("http://141.218.60.56/~jnz1568/getInfo.php?workbook=10_05.xlsx&amp;sheet=U0&amp;row=6265&amp;col=7&amp;number=0.0197&amp;sourceID=14","0.0197")</f>
        <v>0.0197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HYPERLINK("http://141.218.60.56/~jnz1568/getInfo.php?workbook=10_05.xlsx&amp;sheet=U0&amp;row=6266&amp;col=6&amp;number=3.2&amp;sourceID=14","3.2")</f>
        <v>3.2</v>
      </c>
      <c r="G6266" s="4" t="str">
        <f>HYPERLINK("http://141.218.60.56/~jnz1568/getInfo.php?workbook=10_05.xlsx&amp;sheet=U0&amp;row=6266&amp;col=7&amp;number=0.0196&amp;sourceID=14","0.0196")</f>
        <v>0.0196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HYPERLINK("http://141.218.60.56/~jnz1568/getInfo.php?workbook=10_05.xlsx&amp;sheet=U0&amp;row=6267&amp;col=6&amp;number=3.3&amp;sourceID=14","3.3")</f>
        <v>3.3</v>
      </c>
      <c r="G6267" s="4" t="str">
        <f>HYPERLINK("http://141.218.60.56/~jnz1568/getInfo.php?workbook=10_05.xlsx&amp;sheet=U0&amp;row=6267&amp;col=7&amp;number=0.0196&amp;sourceID=14","0.0196")</f>
        <v>0.0196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HYPERLINK("http://141.218.60.56/~jnz1568/getInfo.php?workbook=10_05.xlsx&amp;sheet=U0&amp;row=6268&amp;col=6&amp;number=3.4&amp;sourceID=14","3.4")</f>
        <v>3.4</v>
      </c>
      <c r="G6268" s="4" t="str">
        <f>HYPERLINK("http://141.218.60.56/~jnz1568/getInfo.php?workbook=10_05.xlsx&amp;sheet=U0&amp;row=6268&amp;col=7&amp;number=0.0195&amp;sourceID=14","0.0195")</f>
        <v>0.0195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HYPERLINK("http://141.218.60.56/~jnz1568/getInfo.php?workbook=10_05.xlsx&amp;sheet=U0&amp;row=6269&amp;col=6&amp;number=3.5&amp;sourceID=14","3.5")</f>
        <v>3.5</v>
      </c>
      <c r="G6269" s="4" t="str">
        <f>HYPERLINK("http://141.218.60.56/~jnz1568/getInfo.php?workbook=10_05.xlsx&amp;sheet=U0&amp;row=6269&amp;col=7&amp;number=0.0194&amp;sourceID=14","0.0194")</f>
        <v>0.0194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HYPERLINK("http://141.218.60.56/~jnz1568/getInfo.php?workbook=10_05.xlsx&amp;sheet=U0&amp;row=6270&amp;col=6&amp;number=3.6&amp;sourceID=14","3.6")</f>
        <v>3.6</v>
      </c>
      <c r="G6270" s="4" t="str">
        <f>HYPERLINK("http://141.218.60.56/~jnz1568/getInfo.php?workbook=10_05.xlsx&amp;sheet=U0&amp;row=6270&amp;col=7&amp;number=0.0193&amp;sourceID=14","0.0193")</f>
        <v>0.0193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HYPERLINK("http://141.218.60.56/~jnz1568/getInfo.php?workbook=10_05.xlsx&amp;sheet=U0&amp;row=6271&amp;col=6&amp;number=3.7&amp;sourceID=14","3.7")</f>
        <v>3.7</v>
      </c>
      <c r="G6271" s="4" t="str">
        <f>HYPERLINK("http://141.218.60.56/~jnz1568/getInfo.php?workbook=10_05.xlsx&amp;sheet=U0&amp;row=6271&amp;col=7&amp;number=0.0192&amp;sourceID=14","0.0192")</f>
        <v>0.0192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HYPERLINK("http://141.218.60.56/~jnz1568/getInfo.php?workbook=10_05.xlsx&amp;sheet=U0&amp;row=6272&amp;col=6&amp;number=3.8&amp;sourceID=14","3.8")</f>
        <v>3.8</v>
      </c>
      <c r="G6272" s="4" t="str">
        <f>HYPERLINK("http://141.218.60.56/~jnz1568/getInfo.php?workbook=10_05.xlsx&amp;sheet=U0&amp;row=6272&amp;col=7&amp;number=0.0191&amp;sourceID=14","0.0191")</f>
        <v>0.0191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HYPERLINK("http://141.218.60.56/~jnz1568/getInfo.php?workbook=10_05.xlsx&amp;sheet=U0&amp;row=6273&amp;col=6&amp;number=3.9&amp;sourceID=14","3.9")</f>
        <v>3.9</v>
      </c>
      <c r="G6273" s="4" t="str">
        <f>HYPERLINK("http://141.218.60.56/~jnz1568/getInfo.php?workbook=10_05.xlsx&amp;sheet=U0&amp;row=6273&amp;col=7&amp;number=0.0189&amp;sourceID=14","0.0189")</f>
        <v>0.0189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HYPERLINK("http://141.218.60.56/~jnz1568/getInfo.php?workbook=10_05.xlsx&amp;sheet=U0&amp;row=6274&amp;col=6&amp;number=4&amp;sourceID=14","4")</f>
        <v>4</v>
      </c>
      <c r="G6274" s="4" t="str">
        <f>HYPERLINK("http://141.218.60.56/~jnz1568/getInfo.php?workbook=10_05.xlsx&amp;sheet=U0&amp;row=6274&amp;col=7&amp;number=0.0186&amp;sourceID=14","0.0186")</f>
        <v>0.0186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HYPERLINK("http://141.218.60.56/~jnz1568/getInfo.php?workbook=10_05.xlsx&amp;sheet=U0&amp;row=6275&amp;col=6&amp;number=4.1&amp;sourceID=14","4.1")</f>
        <v>4.1</v>
      </c>
      <c r="G6275" s="4" t="str">
        <f>HYPERLINK("http://141.218.60.56/~jnz1568/getInfo.php?workbook=10_05.xlsx&amp;sheet=U0&amp;row=6275&amp;col=7&amp;number=0.0184&amp;sourceID=14","0.0184")</f>
        <v>0.0184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HYPERLINK("http://141.218.60.56/~jnz1568/getInfo.php?workbook=10_05.xlsx&amp;sheet=U0&amp;row=6276&amp;col=6&amp;number=4.2&amp;sourceID=14","4.2")</f>
        <v>4.2</v>
      </c>
      <c r="G6276" s="4" t="str">
        <f>HYPERLINK("http://141.218.60.56/~jnz1568/getInfo.php?workbook=10_05.xlsx&amp;sheet=U0&amp;row=6276&amp;col=7&amp;number=0.0181&amp;sourceID=14","0.0181")</f>
        <v>0.0181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HYPERLINK("http://141.218.60.56/~jnz1568/getInfo.php?workbook=10_05.xlsx&amp;sheet=U0&amp;row=6277&amp;col=6&amp;number=4.3&amp;sourceID=14","4.3")</f>
        <v>4.3</v>
      </c>
      <c r="G6277" s="4" t="str">
        <f>HYPERLINK("http://141.218.60.56/~jnz1568/getInfo.php?workbook=10_05.xlsx&amp;sheet=U0&amp;row=6277&amp;col=7&amp;number=0.0178&amp;sourceID=14","0.0178")</f>
        <v>0.0178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HYPERLINK("http://141.218.60.56/~jnz1568/getInfo.php?workbook=10_05.xlsx&amp;sheet=U0&amp;row=6278&amp;col=6&amp;number=4.4&amp;sourceID=14","4.4")</f>
        <v>4.4</v>
      </c>
      <c r="G6278" s="4" t="str">
        <f>HYPERLINK("http://141.218.60.56/~jnz1568/getInfo.php?workbook=10_05.xlsx&amp;sheet=U0&amp;row=6278&amp;col=7&amp;number=0.0175&amp;sourceID=14","0.0175")</f>
        <v>0.0175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HYPERLINK("http://141.218.60.56/~jnz1568/getInfo.php?workbook=10_05.xlsx&amp;sheet=U0&amp;row=6279&amp;col=6&amp;number=4.5&amp;sourceID=14","4.5")</f>
        <v>4.5</v>
      </c>
      <c r="G6279" s="4" t="str">
        <f>HYPERLINK("http://141.218.60.56/~jnz1568/getInfo.php?workbook=10_05.xlsx&amp;sheet=U0&amp;row=6279&amp;col=7&amp;number=0.0172&amp;sourceID=14","0.0172")</f>
        <v>0.0172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HYPERLINK("http://141.218.60.56/~jnz1568/getInfo.php?workbook=10_05.xlsx&amp;sheet=U0&amp;row=6280&amp;col=6&amp;number=4.6&amp;sourceID=14","4.6")</f>
        <v>4.6</v>
      </c>
      <c r="G6280" s="4" t="str">
        <f>HYPERLINK("http://141.218.60.56/~jnz1568/getInfo.php?workbook=10_05.xlsx&amp;sheet=U0&amp;row=6280&amp;col=7&amp;number=0.017&amp;sourceID=14","0.017")</f>
        <v>0.017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HYPERLINK("http://141.218.60.56/~jnz1568/getInfo.php?workbook=10_05.xlsx&amp;sheet=U0&amp;row=6281&amp;col=6&amp;number=4.7&amp;sourceID=14","4.7")</f>
        <v>4.7</v>
      </c>
      <c r="G6281" s="4" t="str">
        <f>HYPERLINK("http://141.218.60.56/~jnz1568/getInfo.php?workbook=10_05.xlsx&amp;sheet=U0&amp;row=6281&amp;col=7&amp;number=0.0168&amp;sourceID=14","0.0168")</f>
        <v>0.0168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HYPERLINK("http://141.218.60.56/~jnz1568/getInfo.php?workbook=10_05.xlsx&amp;sheet=U0&amp;row=6282&amp;col=6&amp;number=4.8&amp;sourceID=14","4.8")</f>
        <v>4.8</v>
      </c>
      <c r="G6282" s="4" t="str">
        <f>HYPERLINK("http://141.218.60.56/~jnz1568/getInfo.php?workbook=10_05.xlsx&amp;sheet=U0&amp;row=6282&amp;col=7&amp;number=0.0166&amp;sourceID=14","0.0166")</f>
        <v>0.0166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HYPERLINK("http://141.218.60.56/~jnz1568/getInfo.php?workbook=10_05.xlsx&amp;sheet=U0&amp;row=6283&amp;col=6&amp;number=4.9&amp;sourceID=14","4.9")</f>
        <v>4.9</v>
      </c>
      <c r="G6283" s="4" t="str">
        <f>HYPERLINK("http://141.218.60.56/~jnz1568/getInfo.php?workbook=10_05.xlsx&amp;sheet=U0&amp;row=6283&amp;col=7&amp;number=0.0164&amp;sourceID=14","0.0164")</f>
        <v>0.0164</v>
      </c>
    </row>
    <row r="6284" spans="1:7">
      <c r="A6284" s="3">
        <v>10</v>
      </c>
      <c r="B6284" s="3">
        <v>5</v>
      </c>
      <c r="C6284" s="3">
        <v>2</v>
      </c>
      <c r="D6284" s="3">
        <v>138</v>
      </c>
      <c r="E6284" s="3">
        <v>1</v>
      </c>
      <c r="F6284" s="4" t="str">
        <f>HYPERLINK("http://141.218.60.56/~jnz1568/getInfo.php?workbook=10_05.xlsx&amp;sheet=U0&amp;row=6284&amp;col=6&amp;number=3&amp;sourceID=14","3")</f>
        <v>3</v>
      </c>
      <c r="G6284" s="4" t="str">
        <f>HYPERLINK("http://141.218.60.56/~jnz1568/getInfo.php?workbook=10_05.xlsx&amp;sheet=U0&amp;row=6284&amp;col=7&amp;number=0.00295&amp;sourceID=14","0.00295")</f>
        <v>0.00295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HYPERLINK("http://141.218.60.56/~jnz1568/getInfo.php?workbook=10_05.xlsx&amp;sheet=U0&amp;row=6285&amp;col=6&amp;number=3.1&amp;sourceID=14","3.1")</f>
        <v>3.1</v>
      </c>
      <c r="G6285" s="4" t="str">
        <f>HYPERLINK("http://141.218.60.56/~jnz1568/getInfo.php?workbook=10_05.xlsx&amp;sheet=U0&amp;row=6285&amp;col=7&amp;number=0.00294&amp;sourceID=14","0.00294")</f>
        <v>0.00294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HYPERLINK("http://141.218.60.56/~jnz1568/getInfo.php?workbook=10_05.xlsx&amp;sheet=U0&amp;row=6286&amp;col=6&amp;number=3.2&amp;sourceID=14","3.2")</f>
        <v>3.2</v>
      </c>
      <c r="G6286" s="4" t="str">
        <f>HYPERLINK("http://141.218.60.56/~jnz1568/getInfo.php?workbook=10_05.xlsx&amp;sheet=U0&amp;row=6286&amp;col=7&amp;number=0.00292&amp;sourceID=14","0.00292")</f>
        <v>0.00292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HYPERLINK("http://141.218.60.56/~jnz1568/getInfo.php?workbook=10_05.xlsx&amp;sheet=U0&amp;row=6287&amp;col=6&amp;number=3.3&amp;sourceID=14","3.3")</f>
        <v>3.3</v>
      </c>
      <c r="G6287" s="4" t="str">
        <f>HYPERLINK("http://141.218.60.56/~jnz1568/getInfo.php?workbook=10_05.xlsx&amp;sheet=U0&amp;row=6287&amp;col=7&amp;number=0.00291&amp;sourceID=14","0.00291")</f>
        <v>0.00291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HYPERLINK("http://141.218.60.56/~jnz1568/getInfo.php?workbook=10_05.xlsx&amp;sheet=U0&amp;row=6288&amp;col=6&amp;number=3.4&amp;sourceID=14","3.4")</f>
        <v>3.4</v>
      </c>
      <c r="G6288" s="4" t="str">
        <f>HYPERLINK("http://141.218.60.56/~jnz1568/getInfo.php?workbook=10_05.xlsx&amp;sheet=U0&amp;row=6288&amp;col=7&amp;number=0.00288&amp;sourceID=14","0.00288")</f>
        <v>0.00288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HYPERLINK("http://141.218.60.56/~jnz1568/getInfo.php?workbook=10_05.xlsx&amp;sheet=U0&amp;row=6289&amp;col=6&amp;number=3.5&amp;sourceID=14","3.5")</f>
        <v>3.5</v>
      </c>
      <c r="G6289" s="4" t="str">
        <f>HYPERLINK("http://141.218.60.56/~jnz1568/getInfo.php?workbook=10_05.xlsx&amp;sheet=U0&amp;row=6289&amp;col=7&amp;number=0.00286&amp;sourceID=14","0.00286")</f>
        <v>0.00286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HYPERLINK("http://141.218.60.56/~jnz1568/getInfo.php?workbook=10_05.xlsx&amp;sheet=U0&amp;row=6290&amp;col=6&amp;number=3.6&amp;sourceID=14","3.6")</f>
        <v>3.6</v>
      </c>
      <c r="G6290" s="4" t="str">
        <f>HYPERLINK("http://141.218.60.56/~jnz1568/getInfo.php?workbook=10_05.xlsx&amp;sheet=U0&amp;row=6290&amp;col=7&amp;number=0.00283&amp;sourceID=14","0.00283")</f>
        <v>0.00283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HYPERLINK("http://141.218.60.56/~jnz1568/getInfo.php?workbook=10_05.xlsx&amp;sheet=U0&amp;row=6291&amp;col=6&amp;number=3.7&amp;sourceID=14","3.7")</f>
        <v>3.7</v>
      </c>
      <c r="G6291" s="4" t="str">
        <f>HYPERLINK("http://141.218.60.56/~jnz1568/getInfo.php?workbook=10_05.xlsx&amp;sheet=U0&amp;row=6291&amp;col=7&amp;number=0.00279&amp;sourceID=14","0.00279")</f>
        <v>0.00279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HYPERLINK("http://141.218.60.56/~jnz1568/getInfo.php?workbook=10_05.xlsx&amp;sheet=U0&amp;row=6292&amp;col=6&amp;number=3.8&amp;sourceID=14","3.8")</f>
        <v>3.8</v>
      </c>
      <c r="G6292" s="4" t="str">
        <f>HYPERLINK("http://141.218.60.56/~jnz1568/getInfo.php?workbook=10_05.xlsx&amp;sheet=U0&amp;row=6292&amp;col=7&amp;number=0.00274&amp;sourceID=14","0.00274")</f>
        <v>0.00274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HYPERLINK("http://141.218.60.56/~jnz1568/getInfo.php?workbook=10_05.xlsx&amp;sheet=U0&amp;row=6293&amp;col=6&amp;number=3.9&amp;sourceID=14","3.9")</f>
        <v>3.9</v>
      </c>
      <c r="G6293" s="4" t="str">
        <f>HYPERLINK("http://141.218.60.56/~jnz1568/getInfo.php?workbook=10_05.xlsx&amp;sheet=U0&amp;row=6293&amp;col=7&amp;number=0.00269&amp;sourceID=14","0.00269")</f>
        <v>0.00269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HYPERLINK("http://141.218.60.56/~jnz1568/getInfo.php?workbook=10_05.xlsx&amp;sheet=U0&amp;row=6294&amp;col=6&amp;number=4&amp;sourceID=14","4")</f>
        <v>4</v>
      </c>
      <c r="G6294" s="4" t="str">
        <f>HYPERLINK("http://141.218.60.56/~jnz1568/getInfo.php?workbook=10_05.xlsx&amp;sheet=U0&amp;row=6294&amp;col=7&amp;number=0.00262&amp;sourceID=14","0.00262")</f>
        <v>0.00262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HYPERLINK("http://141.218.60.56/~jnz1568/getInfo.php?workbook=10_05.xlsx&amp;sheet=U0&amp;row=6295&amp;col=6&amp;number=4.1&amp;sourceID=14","4.1")</f>
        <v>4.1</v>
      </c>
      <c r="G6295" s="4" t="str">
        <f>HYPERLINK("http://141.218.60.56/~jnz1568/getInfo.php?workbook=10_05.xlsx&amp;sheet=U0&amp;row=6295&amp;col=7&amp;number=0.00255&amp;sourceID=14","0.00255")</f>
        <v>0.00255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HYPERLINK("http://141.218.60.56/~jnz1568/getInfo.php?workbook=10_05.xlsx&amp;sheet=U0&amp;row=6296&amp;col=6&amp;number=4.2&amp;sourceID=14","4.2")</f>
        <v>4.2</v>
      </c>
      <c r="G6296" s="4" t="str">
        <f>HYPERLINK("http://141.218.60.56/~jnz1568/getInfo.php?workbook=10_05.xlsx&amp;sheet=U0&amp;row=6296&amp;col=7&amp;number=0.00248&amp;sourceID=14","0.00248")</f>
        <v>0.00248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HYPERLINK("http://141.218.60.56/~jnz1568/getInfo.php?workbook=10_05.xlsx&amp;sheet=U0&amp;row=6297&amp;col=6&amp;number=4.3&amp;sourceID=14","4.3")</f>
        <v>4.3</v>
      </c>
      <c r="G6297" s="4" t="str">
        <f>HYPERLINK("http://141.218.60.56/~jnz1568/getInfo.php?workbook=10_05.xlsx&amp;sheet=U0&amp;row=6297&amp;col=7&amp;number=0.00242&amp;sourceID=14","0.00242")</f>
        <v>0.00242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HYPERLINK("http://141.218.60.56/~jnz1568/getInfo.php?workbook=10_05.xlsx&amp;sheet=U0&amp;row=6298&amp;col=6&amp;number=4.4&amp;sourceID=14","4.4")</f>
        <v>4.4</v>
      </c>
      <c r="G6298" s="4" t="str">
        <f>HYPERLINK("http://141.218.60.56/~jnz1568/getInfo.php?workbook=10_05.xlsx&amp;sheet=U0&amp;row=6298&amp;col=7&amp;number=0.00237&amp;sourceID=14","0.00237")</f>
        <v>0.00237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HYPERLINK("http://141.218.60.56/~jnz1568/getInfo.php?workbook=10_05.xlsx&amp;sheet=U0&amp;row=6299&amp;col=6&amp;number=4.5&amp;sourceID=14","4.5")</f>
        <v>4.5</v>
      </c>
      <c r="G6299" s="4" t="str">
        <f>HYPERLINK("http://141.218.60.56/~jnz1568/getInfo.php?workbook=10_05.xlsx&amp;sheet=U0&amp;row=6299&amp;col=7&amp;number=0.00233&amp;sourceID=14","0.00233")</f>
        <v>0.00233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HYPERLINK("http://141.218.60.56/~jnz1568/getInfo.php?workbook=10_05.xlsx&amp;sheet=U0&amp;row=6300&amp;col=6&amp;number=4.6&amp;sourceID=14","4.6")</f>
        <v>4.6</v>
      </c>
      <c r="G6300" s="4" t="str">
        <f>HYPERLINK("http://141.218.60.56/~jnz1568/getInfo.php?workbook=10_05.xlsx&amp;sheet=U0&amp;row=6300&amp;col=7&amp;number=0.00229&amp;sourceID=14","0.00229")</f>
        <v>0.00229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HYPERLINK("http://141.218.60.56/~jnz1568/getInfo.php?workbook=10_05.xlsx&amp;sheet=U0&amp;row=6301&amp;col=6&amp;number=4.7&amp;sourceID=14","4.7")</f>
        <v>4.7</v>
      </c>
      <c r="G6301" s="4" t="str">
        <f>HYPERLINK("http://141.218.60.56/~jnz1568/getInfo.php?workbook=10_05.xlsx&amp;sheet=U0&amp;row=6301&amp;col=7&amp;number=0.00223&amp;sourceID=14","0.00223")</f>
        <v>0.00223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HYPERLINK("http://141.218.60.56/~jnz1568/getInfo.php?workbook=10_05.xlsx&amp;sheet=U0&amp;row=6302&amp;col=6&amp;number=4.8&amp;sourceID=14","4.8")</f>
        <v>4.8</v>
      </c>
      <c r="G6302" s="4" t="str">
        <f>HYPERLINK("http://141.218.60.56/~jnz1568/getInfo.php?workbook=10_05.xlsx&amp;sheet=U0&amp;row=6302&amp;col=7&amp;number=0.00215&amp;sourceID=14","0.00215")</f>
        <v>0.00215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HYPERLINK("http://141.218.60.56/~jnz1568/getInfo.php?workbook=10_05.xlsx&amp;sheet=U0&amp;row=6303&amp;col=6&amp;number=4.9&amp;sourceID=14","4.9")</f>
        <v>4.9</v>
      </c>
      <c r="G6303" s="4" t="str">
        <f>HYPERLINK("http://141.218.60.56/~jnz1568/getInfo.php?workbook=10_05.xlsx&amp;sheet=U0&amp;row=6303&amp;col=7&amp;number=0.00207&amp;sourceID=14","0.00207")</f>
        <v>0.00207</v>
      </c>
    </row>
    <row r="6304" spans="1:7">
      <c r="A6304" s="3">
        <v>10</v>
      </c>
      <c r="B6304" s="3">
        <v>5</v>
      </c>
      <c r="C6304" s="3">
        <v>2</v>
      </c>
      <c r="D6304" s="3">
        <v>139</v>
      </c>
      <c r="E6304" s="3">
        <v>1</v>
      </c>
      <c r="F6304" s="4" t="str">
        <f>HYPERLINK("http://141.218.60.56/~jnz1568/getInfo.php?workbook=10_05.xlsx&amp;sheet=U0&amp;row=6304&amp;col=6&amp;number=3&amp;sourceID=14","3")</f>
        <v>3</v>
      </c>
      <c r="G6304" s="4" t="str">
        <f>HYPERLINK("http://141.218.60.56/~jnz1568/getInfo.php?workbook=10_05.xlsx&amp;sheet=U0&amp;row=6304&amp;col=7&amp;number=0.00469&amp;sourceID=14","0.00469")</f>
        <v>0.00469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HYPERLINK("http://141.218.60.56/~jnz1568/getInfo.php?workbook=10_05.xlsx&amp;sheet=U0&amp;row=6305&amp;col=6&amp;number=3.1&amp;sourceID=14","3.1")</f>
        <v>3.1</v>
      </c>
      <c r="G6305" s="4" t="str">
        <f>HYPERLINK("http://141.218.60.56/~jnz1568/getInfo.php?workbook=10_05.xlsx&amp;sheet=U0&amp;row=6305&amp;col=7&amp;number=0.00468&amp;sourceID=14","0.00468")</f>
        <v>0.00468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HYPERLINK("http://141.218.60.56/~jnz1568/getInfo.php?workbook=10_05.xlsx&amp;sheet=U0&amp;row=6306&amp;col=6&amp;number=3.2&amp;sourceID=14","3.2")</f>
        <v>3.2</v>
      </c>
      <c r="G6306" s="4" t="str">
        <f>HYPERLINK("http://141.218.60.56/~jnz1568/getInfo.php?workbook=10_05.xlsx&amp;sheet=U0&amp;row=6306&amp;col=7&amp;number=0.00467&amp;sourceID=14","0.00467")</f>
        <v>0.00467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HYPERLINK("http://141.218.60.56/~jnz1568/getInfo.php?workbook=10_05.xlsx&amp;sheet=U0&amp;row=6307&amp;col=6&amp;number=3.3&amp;sourceID=14","3.3")</f>
        <v>3.3</v>
      </c>
      <c r="G6307" s="4" t="str">
        <f>HYPERLINK("http://141.218.60.56/~jnz1568/getInfo.php?workbook=10_05.xlsx&amp;sheet=U0&amp;row=6307&amp;col=7&amp;number=0.00466&amp;sourceID=14","0.00466")</f>
        <v>0.00466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HYPERLINK("http://141.218.60.56/~jnz1568/getInfo.php?workbook=10_05.xlsx&amp;sheet=U0&amp;row=6308&amp;col=6&amp;number=3.4&amp;sourceID=14","3.4")</f>
        <v>3.4</v>
      </c>
      <c r="G6308" s="4" t="str">
        <f>HYPERLINK("http://141.218.60.56/~jnz1568/getInfo.php?workbook=10_05.xlsx&amp;sheet=U0&amp;row=6308&amp;col=7&amp;number=0.00464&amp;sourceID=14","0.00464")</f>
        <v>0.00464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HYPERLINK("http://141.218.60.56/~jnz1568/getInfo.php?workbook=10_05.xlsx&amp;sheet=U0&amp;row=6309&amp;col=6&amp;number=3.5&amp;sourceID=14","3.5")</f>
        <v>3.5</v>
      </c>
      <c r="G6309" s="4" t="str">
        <f>HYPERLINK("http://141.218.60.56/~jnz1568/getInfo.php?workbook=10_05.xlsx&amp;sheet=U0&amp;row=6309&amp;col=7&amp;number=0.00462&amp;sourceID=14","0.00462")</f>
        <v>0.00462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HYPERLINK("http://141.218.60.56/~jnz1568/getInfo.php?workbook=10_05.xlsx&amp;sheet=U0&amp;row=6310&amp;col=6&amp;number=3.6&amp;sourceID=14","3.6")</f>
        <v>3.6</v>
      </c>
      <c r="G6310" s="4" t="str">
        <f>HYPERLINK("http://141.218.60.56/~jnz1568/getInfo.php?workbook=10_05.xlsx&amp;sheet=U0&amp;row=6310&amp;col=7&amp;number=0.00459&amp;sourceID=14","0.00459")</f>
        <v>0.00459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HYPERLINK("http://141.218.60.56/~jnz1568/getInfo.php?workbook=10_05.xlsx&amp;sheet=U0&amp;row=6311&amp;col=6&amp;number=3.7&amp;sourceID=14","3.7")</f>
        <v>3.7</v>
      </c>
      <c r="G6311" s="4" t="str">
        <f>HYPERLINK("http://141.218.60.56/~jnz1568/getInfo.php?workbook=10_05.xlsx&amp;sheet=U0&amp;row=6311&amp;col=7&amp;number=0.00456&amp;sourceID=14","0.00456")</f>
        <v>0.00456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HYPERLINK("http://141.218.60.56/~jnz1568/getInfo.php?workbook=10_05.xlsx&amp;sheet=U0&amp;row=6312&amp;col=6&amp;number=3.8&amp;sourceID=14","3.8")</f>
        <v>3.8</v>
      </c>
      <c r="G6312" s="4" t="str">
        <f>HYPERLINK("http://141.218.60.56/~jnz1568/getInfo.php?workbook=10_05.xlsx&amp;sheet=U0&amp;row=6312&amp;col=7&amp;number=0.00452&amp;sourceID=14","0.00452")</f>
        <v>0.00452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HYPERLINK("http://141.218.60.56/~jnz1568/getInfo.php?workbook=10_05.xlsx&amp;sheet=U0&amp;row=6313&amp;col=6&amp;number=3.9&amp;sourceID=14","3.9")</f>
        <v>3.9</v>
      </c>
      <c r="G6313" s="4" t="str">
        <f>HYPERLINK("http://141.218.60.56/~jnz1568/getInfo.php?workbook=10_05.xlsx&amp;sheet=U0&amp;row=6313&amp;col=7&amp;number=0.00447&amp;sourceID=14","0.00447")</f>
        <v>0.00447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HYPERLINK("http://141.218.60.56/~jnz1568/getInfo.php?workbook=10_05.xlsx&amp;sheet=U0&amp;row=6314&amp;col=6&amp;number=4&amp;sourceID=14","4")</f>
        <v>4</v>
      </c>
      <c r="G6314" s="4" t="str">
        <f>HYPERLINK("http://141.218.60.56/~jnz1568/getInfo.php?workbook=10_05.xlsx&amp;sheet=U0&amp;row=6314&amp;col=7&amp;number=0.00441&amp;sourceID=14","0.00441")</f>
        <v>0.00441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HYPERLINK("http://141.218.60.56/~jnz1568/getInfo.php?workbook=10_05.xlsx&amp;sheet=U0&amp;row=6315&amp;col=6&amp;number=4.1&amp;sourceID=14","4.1")</f>
        <v>4.1</v>
      </c>
      <c r="G6315" s="4" t="str">
        <f>HYPERLINK("http://141.218.60.56/~jnz1568/getInfo.php?workbook=10_05.xlsx&amp;sheet=U0&amp;row=6315&amp;col=7&amp;number=0.00435&amp;sourceID=14","0.00435")</f>
        <v>0.00435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HYPERLINK("http://141.218.60.56/~jnz1568/getInfo.php?workbook=10_05.xlsx&amp;sheet=U0&amp;row=6316&amp;col=6&amp;number=4.2&amp;sourceID=14","4.2")</f>
        <v>4.2</v>
      </c>
      <c r="G6316" s="4" t="str">
        <f>HYPERLINK("http://141.218.60.56/~jnz1568/getInfo.php?workbook=10_05.xlsx&amp;sheet=U0&amp;row=6316&amp;col=7&amp;number=0.00427&amp;sourceID=14","0.00427")</f>
        <v>0.00427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HYPERLINK("http://141.218.60.56/~jnz1568/getInfo.php?workbook=10_05.xlsx&amp;sheet=U0&amp;row=6317&amp;col=6&amp;number=4.3&amp;sourceID=14","4.3")</f>
        <v>4.3</v>
      </c>
      <c r="G6317" s="4" t="str">
        <f>HYPERLINK("http://141.218.60.56/~jnz1568/getInfo.php?workbook=10_05.xlsx&amp;sheet=U0&amp;row=6317&amp;col=7&amp;number=0.00419&amp;sourceID=14","0.00419")</f>
        <v>0.00419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HYPERLINK("http://141.218.60.56/~jnz1568/getInfo.php?workbook=10_05.xlsx&amp;sheet=U0&amp;row=6318&amp;col=6&amp;number=4.4&amp;sourceID=14","4.4")</f>
        <v>4.4</v>
      </c>
      <c r="G6318" s="4" t="str">
        <f>HYPERLINK("http://141.218.60.56/~jnz1568/getInfo.php?workbook=10_05.xlsx&amp;sheet=U0&amp;row=6318&amp;col=7&amp;number=0.00411&amp;sourceID=14","0.00411")</f>
        <v>0.00411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HYPERLINK("http://141.218.60.56/~jnz1568/getInfo.php?workbook=10_05.xlsx&amp;sheet=U0&amp;row=6319&amp;col=6&amp;number=4.5&amp;sourceID=14","4.5")</f>
        <v>4.5</v>
      </c>
      <c r="G6319" s="4" t="str">
        <f>HYPERLINK("http://141.218.60.56/~jnz1568/getInfo.php?workbook=10_05.xlsx&amp;sheet=U0&amp;row=6319&amp;col=7&amp;number=0.00403&amp;sourceID=14","0.00403")</f>
        <v>0.00403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HYPERLINK("http://141.218.60.56/~jnz1568/getInfo.php?workbook=10_05.xlsx&amp;sheet=U0&amp;row=6320&amp;col=6&amp;number=4.6&amp;sourceID=14","4.6")</f>
        <v>4.6</v>
      </c>
      <c r="G6320" s="4" t="str">
        <f>HYPERLINK("http://141.218.60.56/~jnz1568/getInfo.php?workbook=10_05.xlsx&amp;sheet=U0&amp;row=6320&amp;col=7&amp;number=0.00395&amp;sourceID=14","0.00395")</f>
        <v>0.00395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HYPERLINK("http://141.218.60.56/~jnz1568/getInfo.php?workbook=10_05.xlsx&amp;sheet=U0&amp;row=6321&amp;col=6&amp;number=4.7&amp;sourceID=14","4.7")</f>
        <v>4.7</v>
      </c>
      <c r="G6321" s="4" t="str">
        <f>HYPERLINK("http://141.218.60.56/~jnz1568/getInfo.php?workbook=10_05.xlsx&amp;sheet=U0&amp;row=6321&amp;col=7&amp;number=0.00387&amp;sourceID=14","0.00387")</f>
        <v>0.00387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HYPERLINK("http://141.218.60.56/~jnz1568/getInfo.php?workbook=10_05.xlsx&amp;sheet=U0&amp;row=6322&amp;col=6&amp;number=4.8&amp;sourceID=14","4.8")</f>
        <v>4.8</v>
      </c>
      <c r="G6322" s="4" t="str">
        <f>HYPERLINK("http://141.218.60.56/~jnz1568/getInfo.php?workbook=10_05.xlsx&amp;sheet=U0&amp;row=6322&amp;col=7&amp;number=0.00378&amp;sourceID=14","0.00378")</f>
        <v>0.00378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HYPERLINK("http://141.218.60.56/~jnz1568/getInfo.php?workbook=10_05.xlsx&amp;sheet=U0&amp;row=6323&amp;col=6&amp;number=4.9&amp;sourceID=14","4.9")</f>
        <v>4.9</v>
      </c>
      <c r="G6323" s="4" t="str">
        <f>HYPERLINK("http://141.218.60.56/~jnz1568/getInfo.php?workbook=10_05.xlsx&amp;sheet=U0&amp;row=6323&amp;col=7&amp;number=0.00368&amp;sourceID=14","0.00368")</f>
        <v>0.00368</v>
      </c>
    </row>
    <row r="6324" spans="1:7">
      <c r="A6324" s="3">
        <v>10</v>
      </c>
      <c r="B6324" s="3">
        <v>5</v>
      </c>
      <c r="C6324" s="3">
        <v>2</v>
      </c>
      <c r="D6324" s="3">
        <v>140</v>
      </c>
      <c r="E6324" s="3">
        <v>1</v>
      </c>
      <c r="F6324" s="4" t="str">
        <f>HYPERLINK("http://141.218.60.56/~jnz1568/getInfo.php?workbook=10_05.xlsx&amp;sheet=U0&amp;row=6324&amp;col=6&amp;number=3&amp;sourceID=14","3")</f>
        <v>3</v>
      </c>
      <c r="G6324" s="4" t="str">
        <f>HYPERLINK("http://141.218.60.56/~jnz1568/getInfo.php?workbook=10_05.xlsx&amp;sheet=U0&amp;row=6324&amp;col=7&amp;number=0.0097&amp;sourceID=14","0.0097")</f>
        <v>0.0097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HYPERLINK("http://141.218.60.56/~jnz1568/getInfo.php?workbook=10_05.xlsx&amp;sheet=U0&amp;row=6325&amp;col=6&amp;number=3.1&amp;sourceID=14","3.1")</f>
        <v>3.1</v>
      </c>
      <c r="G6325" s="4" t="str">
        <f>HYPERLINK("http://141.218.60.56/~jnz1568/getInfo.php?workbook=10_05.xlsx&amp;sheet=U0&amp;row=6325&amp;col=7&amp;number=0.00967&amp;sourceID=14","0.00967")</f>
        <v>0.00967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HYPERLINK("http://141.218.60.56/~jnz1568/getInfo.php?workbook=10_05.xlsx&amp;sheet=U0&amp;row=6326&amp;col=6&amp;number=3.2&amp;sourceID=14","3.2")</f>
        <v>3.2</v>
      </c>
      <c r="G6326" s="4" t="str">
        <f>HYPERLINK("http://141.218.60.56/~jnz1568/getInfo.php?workbook=10_05.xlsx&amp;sheet=U0&amp;row=6326&amp;col=7&amp;number=0.00964&amp;sourceID=14","0.00964")</f>
        <v>0.00964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HYPERLINK("http://141.218.60.56/~jnz1568/getInfo.php?workbook=10_05.xlsx&amp;sheet=U0&amp;row=6327&amp;col=6&amp;number=3.3&amp;sourceID=14","3.3")</f>
        <v>3.3</v>
      </c>
      <c r="G6327" s="4" t="str">
        <f>HYPERLINK("http://141.218.60.56/~jnz1568/getInfo.php?workbook=10_05.xlsx&amp;sheet=U0&amp;row=6327&amp;col=7&amp;number=0.00959&amp;sourceID=14","0.00959")</f>
        <v>0.00959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HYPERLINK("http://141.218.60.56/~jnz1568/getInfo.php?workbook=10_05.xlsx&amp;sheet=U0&amp;row=6328&amp;col=6&amp;number=3.4&amp;sourceID=14","3.4")</f>
        <v>3.4</v>
      </c>
      <c r="G6328" s="4" t="str">
        <f>HYPERLINK("http://141.218.60.56/~jnz1568/getInfo.php?workbook=10_05.xlsx&amp;sheet=U0&amp;row=6328&amp;col=7&amp;number=0.00954&amp;sourceID=14","0.00954")</f>
        <v>0.00954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HYPERLINK("http://141.218.60.56/~jnz1568/getInfo.php?workbook=10_05.xlsx&amp;sheet=U0&amp;row=6329&amp;col=6&amp;number=3.5&amp;sourceID=14","3.5")</f>
        <v>3.5</v>
      </c>
      <c r="G6329" s="4" t="str">
        <f>HYPERLINK("http://141.218.60.56/~jnz1568/getInfo.php?workbook=10_05.xlsx&amp;sheet=U0&amp;row=6329&amp;col=7&amp;number=0.00947&amp;sourceID=14","0.00947")</f>
        <v>0.00947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HYPERLINK("http://141.218.60.56/~jnz1568/getInfo.php?workbook=10_05.xlsx&amp;sheet=U0&amp;row=6330&amp;col=6&amp;number=3.6&amp;sourceID=14","3.6")</f>
        <v>3.6</v>
      </c>
      <c r="G6330" s="4" t="str">
        <f>HYPERLINK("http://141.218.60.56/~jnz1568/getInfo.php?workbook=10_05.xlsx&amp;sheet=U0&amp;row=6330&amp;col=7&amp;number=0.00939&amp;sourceID=14","0.00939")</f>
        <v>0.00939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HYPERLINK("http://141.218.60.56/~jnz1568/getInfo.php?workbook=10_05.xlsx&amp;sheet=U0&amp;row=6331&amp;col=6&amp;number=3.7&amp;sourceID=14","3.7")</f>
        <v>3.7</v>
      </c>
      <c r="G6331" s="4" t="str">
        <f>HYPERLINK("http://141.218.60.56/~jnz1568/getInfo.php?workbook=10_05.xlsx&amp;sheet=U0&amp;row=6331&amp;col=7&amp;number=0.00928&amp;sourceID=14","0.00928")</f>
        <v>0.00928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HYPERLINK("http://141.218.60.56/~jnz1568/getInfo.php?workbook=10_05.xlsx&amp;sheet=U0&amp;row=6332&amp;col=6&amp;number=3.8&amp;sourceID=14","3.8")</f>
        <v>3.8</v>
      </c>
      <c r="G6332" s="4" t="str">
        <f>HYPERLINK("http://141.218.60.56/~jnz1568/getInfo.php?workbook=10_05.xlsx&amp;sheet=U0&amp;row=6332&amp;col=7&amp;number=0.00915&amp;sourceID=14","0.00915")</f>
        <v>0.00915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HYPERLINK("http://141.218.60.56/~jnz1568/getInfo.php?workbook=10_05.xlsx&amp;sheet=U0&amp;row=6333&amp;col=6&amp;number=3.9&amp;sourceID=14","3.9")</f>
        <v>3.9</v>
      </c>
      <c r="G6333" s="4" t="str">
        <f>HYPERLINK("http://141.218.60.56/~jnz1568/getInfo.php?workbook=10_05.xlsx&amp;sheet=U0&amp;row=6333&amp;col=7&amp;number=0.00898&amp;sourceID=14","0.00898")</f>
        <v>0.00898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HYPERLINK("http://141.218.60.56/~jnz1568/getInfo.php?workbook=10_05.xlsx&amp;sheet=U0&amp;row=6334&amp;col=6&amp;number=4&amp;sourceID=14","4")</f>
        <v>4</v>
      </c>
      <c r="G6334" s="4" t="str">
        <f>HYPERLINK("http://141.218.60.56/~jnz1568/getInfo.php?workbook=10_05.xlsx&amp;sheet=U0&amp;row=6334&amp;col=7&amp;number=0.00878&amp;sourceID=14","0.00878")</f>
        <v>0.00878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HYPERLINK("http://141.218.60.56/~jnz1568/getInfo.php?workbook=10_05.xlsx&amp;sheet=U0&amp;row=6335&amp;col=6&amp;number=4.1&amp;sourceID=14","4.1")</f>
        <v>4.1</v>
      </c>
      <c r="G6335" s="4" t="str">
        <f>HYPERLINK("http://141.218.60.56/~jnz1568/getInfo.php?workbook=10_05.xlsx&amp;sheet=U0&amp;row=6335&amp;col=7&amp;number=0.00853&amp;sourceID=14","0.00853")</f>
        <v>0.00853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HYPERLINK("http://141.218.60.56/~jnz1568/getInfo.php?workbook=10_05.xlsx&amp;sheet=U0&amp;row=6336&amp;col=6&amp;number=4.2&amp;sourceID=14","4.2")</f>
        <v>4.2</v>
      </c>
      <c r="G6336" s="4" t="str">
        <f>HYPERLINK("http://141.218.60.56/~jnz1568/getInfo.php?workbook=10_05.xlsx&amp;sheet=U0&amp;row=6336&amp;col=7&amp;number=0.00823&amp;sourceID=14","0.00823")</f>
        <v>0.00823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HYPERLINK("http://141.218.60.56/~jnz1568/getInfo.php?workbook=10_05.xlsx&amp;sheet=U0&amp;row=6337&amp;col=6&amp;number=4.3&amp;sourceID=14","4.3")</f>
        <v>4.3</v>
      </c>
      <c r="G6337" s="4" t="str">
        <f>HYPERLINK("http://141.218.60.56/~jnz1568/getInfo.php?workbook=10_05.xlsx&amp;sheet=U0&amp;row=6337&amp;col=7&amp;number=0.00788&amp;sourceID=14","0.00788")</f>
        <v>0.00788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HYPERLINK("http://141.218.60.56/~jnz1568/getInfo.php?workbook=10_05.xlsx&amp;sheet=U0&amp;row=6338&amp;col=6&amp;number=4.4&amp;sourceID=14","4.4")</f>
        <v>4.4</v>
      </c>
      <c r="G6338" s="4" t="str">
        <f>HYPERLINK("http://141.218.60.56/~jnz1568/getInfo.php?workbook=10_05.xlsx&amp;sheet=U0&amp;row=6338&amp;col=7&amp;number=0.00747&amp;sourceID=14","0.00747")</f>
        <v>0.00747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HYPERLINK("http://141.218.60.56/~jnz1568/getInfo.php?workbook=10_05.xlsx&amp;sheet=U0&amp;row=6339&amp;col=6&amp;number=4.5&amp;sourceID=14","4.5")</f>
        <v>4.5</v>
      </c>
      <c r="G6339" s="4" t="str">
        <f>HYPERLINK("http://141.218.60.56/~jnz1568/getInfo.php?workbook=10_05.xlsx&amp;sheet=U0&amp;row=6339&amp;col=7&amp;number=0.00701&amp;sourceID=14","0.00701")</f>
        <v>0.00701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HYPERLINK("http://141.218.60.56/~jnz1568/getInfo.php?workbook=10_05.xlsx&amp;sheet=U0&amp;row=6340&amp;col=6&amp;number=4.6&amp;sourceID=14","4.6")</f>
        <v>4.6</v>
      </c>
      <c r="G6340" s="4" t="str">
        <f>HYPERLINK("http://141.218.60.56/~jnz1568/getInfo.php?workbook=10_05.xlsx&amp;sheet=U0&amp;row=6340&amp;col=7&amp;number=0.00654&amp;sourceID=14","0.00654")</f>
        <v>0.00654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HYPERLINK("http://141.218.60.56/~jnz1568/getInfo.php?workbook=10_05.xlsx&amp;sheet=U0&amp;row=6341&amp;col=6&amp;number=4.7&amp;sourceID=14","4.7")</f>
        <v>4.7</v>
      </c>
      <c r="G6341" s="4" t="str">
        <f>HYPERLINK("http://141.218.60.56/~jnz1568/getInfo.php?workbook=10_05.xlsx&amp;sheet=U0&amp;row=6341&amp;col=7&amp;number=0.0061&amp;sourceID=14","0.0061")</f>
        <v>0.0061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HYPERLINK("http://141.218.60.56/~jnz1568/getInfo.php?workbook=10_05.xlsx&amp;sheet=U0&amp;row=6342&amp;col=6&amp;number=4.8&amp;sourceID=14","4.8")</f>
        <v>4.8</v>
      </c>
      <c r="G6342" s="4" t="str">
        <f>HYPERLINK("http://141.218.60.56/~jnz1568/getInfo.php?workbook=10_05.xlsx&amp;sheet=U0&amp;row=6342&amp;col=7&amp;number=0.00575&amp;sourceID=14","0.00575")</f>
        <v>0.00575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HYPERLINK("http://141.218.60.56/~jnz1568/getInfo.php?workbook=10_05.xlsx&amp;sheet=U0&amp;row=6343&amp;col=6&amp;number=4.9&amp;sourceID=14","4.9")</f>
        <v>4.9</v>
      </c>
      <c r="G6343" s="4" t="str">
        <f>HYPERLINK("http://141.218.60.56/~jnz1568/getInfo.php?workbook=10_05.xlsx&amp;sheet=U0&amp;row=6343&amp;col=7&amp;number=0.00549&amp;sourceID=14","0.00549")</f>
        <v>0.00549</v>
      </c>
    </row>
    <row r="6344" spans="1:7">
      <c r="A6344" s="3">
        <v>10</v>
      </c>
      <c r="B6344" s="3">
        <v>5</v>
      </c>
      <c r="C6344" s="3">
        <v>2</v>
      </c>
      <c r="D6344" s="3">
        <v>141</v>
      </c>
      <c r="E6344" s="3">
        <v>1</v>
      </c>
      <c r="F6344" s="4" t="str">
        <f>HYPERLINK("http://141.218.60.56/~jnz1568/getInfo.php?workbook=10_05.xlsx&amp;sheet=U0&amp;row=6344&amp;col=6&amp;number=3&amp;sourceID=14","3")</f>
        <v>3</v>
      </c>
      <c r="G6344" s="4" t="str">
        <f>HYPERLINK("http://141.218.60.56/~jnz1568/getInfo.php?workbook=10_05.xlsx&amp;sheet=U0&amp;row=6344&amp;col=7&amp;number=0.00183&amp;sourceID=14","0.00183")</f>
        <v>0.00183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HYPERLINK("http://141.218.60.56/~jnz1568/getInfo.php?workbook=10_05.xlsx&amp;sheet=U0&amp;row=6345&amp;col=6&amp;number=3.1&amp;sourceID=14","3.1")</f>
        <v>3.1</v>
      </c>
      <c r="G6345" s="4" t="str">
        <f>HYPERLINK("http://141.218.60.56/~jnz1568/getInfo.php?workbook=10_05.xlsx&amp;sheet=U0&amp;row=6345&amp;col=7&amp;number=0.00183&amp;sourceID=14","0.00183")</f>
        <v>0.00183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HYPERLINK("http://141.218.60.56/~jnz1568/getInfo.php?workbook=10_05.xlsx&amp;sheet=U0&amp;row=6346&amp;col=6&amp;number=3.2&amp;sourceID=14","3.2")</f>
        <v>3.2</v>
      </c>
      <c r="G6346" s="4" t="str">
        <f>HYPERLINK("http://141.218.60.56/~jnz1568/getInfo.php?workbook=10_05.xlsx&amp;sheet=U0&amp;row=6346&amp;col=7&amp;number=0.00182&amp;sourceID=14","0.00182")</f>
        <v>0.00182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HYPERLINK("http://141.218.60.56/~jnz1568/getInfo.php?workbook=10_05.xlsx&amp;sheet=U0&amp;row=6347&amp;col=6&amp;number=3.3&amp;sourceID=14","3.3")</f>
        <v>3.3</v>
      </c>
      <c r="G6347" s="4" t="str">
        <f>HYPERLINK("http://141.218.60.56/~jnz1568/getInfo.php?workbook=10_05.xlsx&amp;sheet=U0&amp;row=6347&amp;col=7&amp;number=0.00182&amp;sourceID=14","0.00182")</f>
        <v>0.00182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HYPERLINK("http://141.218.60.56/~jnz1568/getInfo.php?workbook=10_05.xlsx&amp;sheet=U0&amp;row=6348&amp;col=6&amp;number=3.4&amp;sourceID=14","3.4")</f>
        <v>3.4</v>
      </c>
      <c r="G6348" s="4" t="str">
        <f>HYPERLINK("http://141.218.60.56/~jnz1568/getInfo.php?workbook=10_05.xlsx&amp;sheet=U0&amp;row=6348&amp;col=7&amp;number=0.00181&amp;sourceID=14","0.00181")</f>
        <v>0.00181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HYPERLINK("http://141.218.60.56/~jnz1568/getInfo.php?workbook=10_05.xlsx&amp;sheet=U0&amp;row=6349&amp;col=6&amp;number=3.5&amp;sourceID=14","3.5")</f>
        <v>3.5</v>
      </c>
      <c r="G6349" s="4" t="str">
        <f>HYPERLINK("http://141.218.60.56/~jnz1568/getInfo.php?workbook=10_05.xlsx&amp;sheet=U0&amp;row=6349&amp;col=7&amp;number=0.0018&amp;sourceID=14","0.0018")</f>
        <v>0.0018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HYPERLINK("http://141.218.60.56/~jnz1568/getInfo.php?workbook=10_05.xlsx&amp;sheet=U0&amp;row=6350&amp;col=6&amp;number=3.6&amp;sourceID=14","3.6")</f>
        <v>3.6</v>
      </c>
      <c r="G6350" s="4" t="str">
        <f>HYPERLINK("http://141.218.60.56/~jnz1568/getInfo.php?workbook=10_05.xlsx&amp;sheet=U0&amp;row=6350&amp;col=7&amp;number=0.00179&amp;sourceID=14","0.00179")</f>
        <v>0.00179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HYPERLINK("http://141.218.60.56/~jnz1568/getInfo.php?workbook=10_05.xlsx&amp;sheet=U0&amp;row=6351&amp;col=6&amp;number=3.7&amp;sourceID=14","3.7")</f>
        <v>3.7</v>
      </c>
      <c r="G6351" s="4" t="str">
        <f>HYPERLINK("http://141.218.60.56/~jnz1568/getInfo.php?workbook=10_05.xlsx&amp;sheet=U0&amp;row=6351&amp;col=7&amp;number=0.00178&amp;sourceID=14","0.00178")</f>
        <v>0.00178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HYPERLINK("http://141.218.60.56/~jnz1568/getInfo.php?workbook=10_05.xlsx&amp;sheet=U0&amp;row=6352&amp;col=6&amp;number=3.8&amp;sourceID=14","3.8")</f>
        <v>3.8</v>
      </c>
      <c r="G6352" s="4" t="str">
        <f>HYPERLINK("http://141.218.60.56/~jnz1568/getInfo.php?workbook=10_05.xlsx&amp;sheet=U0&amp;row=6352&amp;col=7&amp;number=0.00176&amp;sourceID=14","0.00176")</f>
        <v>0.00176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HYPERLINK("http://141.218.60.56/~jnz1568/getInfo.php?workbook=10_05.xlsx&amp;sheet=U0&amp;row=6353&amp;col=6&amp;number=3.9&amp;sourceID=14","3.9")</f>
        <v>3.9</v>
      </c>
      <c r="G6353" s="4" t="str">
        <f>HYPERLINK("http://141.218.60.56/~jnz1568/getInfo.php?workbook=10_05.xlsx&amp;sheet=U0&amp;row=6353&amp;col=7&amp;number=0.00174&amp;sourceID=14","0.00174")</f>
        <v>0.00174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HYPERLINK("http://141.218.60.56/~jnz1568/getInfo.php?workbook=10_05.xlsx&amp;sheet=U0&amp;row=6354&amp;col=6&amp;number=4&amp;sourceID=14","4")</f>
        <v>4</v>
      </c>
      <c r="G6354" s="4" t="str">
        <f>HYPERLINK("http://141.218.60.56/~jnz1568/getInfo.php?workbook=10_05.xlsx&amp;sheet=U0&amp;row=6354&amp;col=7&amp;number=0.00172&amp;sourceID=14","0.00172")</f>
        <v>0.00172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HYPERLINK("http://141.218.60.56/~jnz1568/getInfo.php?workbook=10_05.xlsx&amp;sheet=U0&amp;row=6355&amp;col=6&amp;number=4.1&amp;sourceID=14","4.1")</f>
        <v>4.1</v>
      </c>
      <c r="G6355" s="4" t="str">
        <f>HYPERLINK("http://141.218.60.56/~jnz1568/getInfo.php?workbook=10_05.xlsx&amp;sheet=U0&amp;row=6355&amp;col=7&amp;number=0.0017&amp;sourceID=14","0.0017")</f>
        <v>0.0017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HYPERLINK("http://141.218.60.56/~jnz1568/getInfo.php?workbook=10_05.xlsx&amp;sheet=U0&amp;row=6356&amp;col=6&amp;number=4.2&amp;sourceID=14","4.2")</f>
        <v>4.2</v>
      </c>
      <c r="G6356" s="4" t="str">
        <f>HYPERLINK("http://141.218.60.56/~jnz1568/getInfo.php?workbook=10_05.xlsx&amp;sheet=U0&amp;row=6356&amp;col=7&amp;number=0.00168&amp;sourceID=14","0.00168")</f>
        <v>0.00168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HYPERLINK("http://141.218.60.56/~jnz1568/getInfo.php?workbook=10_05.xlsx&amp;sheet=U0&amp;row=6357&amp;col=6&amp;number=4.3&amp;sourceID=14","4.3")</f>
        <v>4.3</v>
      </c>
      <c r="G6357" s="4" t="str">
        <f>HYPERLINK("http://141.218.60.56/~jnz1568/getInfo.php?workbook=10_05.xlsx&amp;sheet=U0&amp;row=6357&amp;col=7&amp;number=0.00166&amp;sourceID=14","0.00166")</f>
        <v>0.00166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HYPERLINK("http://141.218.60.56/~jnz1568/getInfo.php?workbook=10_05.xlsx&amp;sheet=U0&amp;row=6358&amp;col=6&amp;number=4.4&amp;sourceID=14","4.4")</f>
        <v>4.4</v>
      </c>
      <c r="G6358" s="4" t="str">
        <f>HYPERLINK("http://141.218.60.56/~jnz1568/getInfo.php?workbook=10_05.xlsx&amp;sheet=U0&amp;row=6358&amp;col=7&amp;number=0.00165&amp;sourceID=14","0.00165")</f>
        <v>0.00165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HYPERLINK("http://141.218.60.56/~jnz1568/getInfo.php?workbook=10_05.xlsx&amp;sheet=U0&amp;row=6359&amp;col=6&amp;number=4.5&amp;sourceID=14","4.5")</f>
        <v>4.5</v>
      </c>
      <c r="G6359" s="4" t="str">
        <f>HYPERLINK("http://141.218.60.56/~jnz1568/getInfo.php?workbook=10_05.xlsx&amp;sheet=U0&amp;row=6359&amp;col=7&amp;number=0.00164&amp;sourceID=14","0.00164")</f>
        <v>0.00164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HYPERLINK("http://141.218.60.56/~jnz1568/getInfo.php?workbook=10_05.xlsx&amp;sheet=U0&amp;row=6360&amp;col=6&amp;number=4.6&amp;sourceID=14","4.6")</f>
        <v>4.6</v>
      </c>
      <c r="G6360" s="4" t="str">
        <f>HYPERLINK("http://141.218.60.56/~jnz1568/getInfo.php?workbook=10_05.xlsx&amp;sheet=U0&amp;row=6360&amp;col=7&amp;number=0.00163&amp;sourceID=14","0.00163")</f>
        <v>0.00163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HYPERLINK("http://141.218.60.56/~jnz1568/getInfo.php?workbook=10_05.xlsx&amp;sheet=U0&amp;row=6361&amp;col=6&amp;number=4.7&amp;sourceID=14","4.7")</f>
        <v>4.7</v>
      </c>
      <c r="G6361" s="4" t="str">
        <f>HYPERLINK("http://141.218.60.56/~jnz1568/getInfo.php?workbook=10_05.xlsx&amp;sheet=U0&amp;row=6361&amp;col=7&amp;number=0.00161&amp;sourceID=14","0.00161")</f>
        <v>0.00161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HYPERLINK("http://141.218.60.56/~jnz1568/getInfo.php?workbook=10_05.xlsx&amp;sheet=U0&amp;row=6362&amp;col=6&amp;number=4.8&amp;sourceID=14","4.8")</f>
        <v>4.8</v>
      </c>
      <c r="G6362" s="4" t="str">
        <f>HYPERLINK("http://141.218.60.56/~jnz1568/getInfo.php?workbook=10_05.xlsx&amp;sheet=U0&amp;row=6362&amp;col=7&amp;number=0.00159&amp;sourceID=14","0.00159")</f>
        <v>0.00159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HYPERLINK("http://141.218.60.56/~jnz1568/getInfo.php?workbook=10_05.xlsx&amp;sheet=U0&amp;row=6363&amp;col=6&amp;number=4.9&amp;sourceID=14","4.9")</f>
        <v>4.9</v>
      </c>
      <c r="G6363" s="4" t="str">
        <f>HYPERLINK("http://141.218.60.56/~jnz1568/getInfo.php?workbook=10_05.xlsx&amp;sheet=U0&amp;row=6363&amp;col=7&amp;number=0.00157&amp;sourceID=14","0.00157")</f>
        <v>0.00157</v>
      </c>
    </row>
    <row r="6364" spans="1:7">
      <c r="A6364" s="3">
        <v>10</v>
      </c>
      <c r="B6364" s="3">
        <v>5</v>
      </c>
      <c r="C6364" s="3">
        <v>2</v>
      </c>
      <c r="D6364" s="3">
        <v>142</v>
      </c>
      <c r="E6364" s="3">
        <v>1</v>
      </c>
      <c r="F6364" s="4" t="str">
        <f>HYPERLINK("http://141.218.60.56/~jnz1568/getInfo.php?workbook=10_05.xlsx&amp;sheet=U0&amp;row=6364&amp;col=6&amp;number=3&amp;sourceID=14","3")</f>
        <v>3</v>
      </c>
      <c r="G6364" s="4" t="str">
        <f>HYPERLINK("http://141.218.60.56/~jnz1568/getInfo.php?workbook=10_05.xlsx&amp;sheet=U0&amp;row=6364&amp;col=7&amp;number=0.00347&amp;sourceID=14","0.00347")</f>
        <v>0.00347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HYPERLINK("http://141.218.60.56/~jnz1568/getInfo.php?workbook=10_05.xlsx&amp;sheet=U0&amp;row=6365&amp;col=6&amp;number=3.1&amp;sourceID=14","3.1")</f>
        <v>3.1</v>
      </c>
      <c r="G6365" s="4" t="str">
        <f>HYPERLINK("http://141.218.60.56/~jnz1568/getInfo.php?workbook=10_05.xlsx&amp;sheet=U0&amp;row=6365&amp;col=7&amp;number=0.00347&amp;sourceID=14","0.00347")</f>
        <v>0.00347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HYPERLINK("http://141.218.60.56/~jnz1568/getInfo.php?workbook=10_05.xlsx&amp;sheet=U0&amp;row=6366&amp;col=6&amp;number=3.2&amp;sourceID=14","3.2")</f>
        <v>3.2</v>
      </c>
      <c r="G6366" s="4" t="str">
        <f>HYPERLINK("http://141.218.60.56/~jnz1568/getInfo.php?workbook=10_05.xlsx&amp;sheet=U0&amp;row=6366&amp;col=7&amp;number=0.00346&amp;sourceID=14","0.00346")</f>
        <v>0.00346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HYPERLINK("http://141.218.60.56/~jnz1568/getInfo.php?workbook=10_05.xlsx&amp;sheet=U0&amp;row=6367&amp;col=6&amp;number=3.3&amp;sourceID=14","3.3")</f>
        <v>3.3</v>
      </c>
      <c r="G6367" s="4" t="str">
        <f>HYPERLINK("http://141.218.60.56/~jnz1568/getInfo.php?workbook=10_05.xlsx&amp;sheet=U0&amp;row=6367&amp;col=7&amp;number=0.00345&amp;sourceID=14","0.00345")</f>
        <v>0.00345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HYPERLINK("http://141.218.60.56/~jnz1568/getInfo.php?workbook=10_05.xlsx&amp;sheet=U0&amp;row=6368&amp;col=6&amp;number=3.4&amp;sourceID=14","3.4")</f>
        <v>3.4</v>
      </c>
      <c r="G6368" s="4" t="str">
        <f>HYPERLINK("http://141.218.60.56/~jnz1568/getInfo.php?workbook=10_05.xlsx&amp;sheet=U0&amp;row=6368&amp;col=7&amp;number=0.00345&amp;sourceID=14","0.00345")</f>
        <v>0.00345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HYPERLINK("http://141.218.60.56/~jnz1568/getInfo.php?workbook=10_05.xlsx&amp;sheet=U0&amp;row=6369&amp;col=6&amp;number=3.5&amp;sourceID=14","3.5")</f>
        <v>3.5</v>
      </c>
      <c r="G6369" s="4" t="str">
        <f>HYPERLINK("http://141.218.60.56/~jnz1568/getInfo.php?workbook=10_05.xlsx&amp;sheet=U0&amp;row=6369&amp;col=7&amp;number=0.00343&amp;sourceID=14","0.00343")</f>
        <v>0.00343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HYPERLINK("http://141.218.60.56/~jnz1568/getInfo.php?workbook=10_05.xlsx&amp;sheet=U0&amp;row=6370&amp;col=6&amp;number=3.6&amp;sourceID=14","3.6")</f>
        <v>3.6</v>
      </c>
      <c r="G6370" s="4" t="str">
        <f>HYPERLINK("http://141.218.60.56/~jnz1568/getInfo.php?workbook=10_05.xlsx&amp;sheet=U0&amp;row=6370&amp;col=7&amp;number=0.00342&amp;sourceID=14","0.00342")</f>
        <v>0.00342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HYPERLINK("http://141.218.60.56/~jnz1568/getInfo.php?workbook=10_05.xlsx&amp;sheet=U0&amp;row=6371&amp;col=6&amp;number=3.7&amp;sourceID=14","3.7")</f>
        <v>3.7</v>
      </c>
      <c r="G6371" s="4" t="str">
        <f>HYPERLINK("http://141.218.60.56/~jnz1568/getInfo.php?workbook=10_05.xlsx&amp;sheet=U0&amp;row=6371&amp;col=7&amp;number=0.0034&amp;sourceID=14","0.0034")</f>
        <v>0.0034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HYPERLINK("http://141.218.60.56/~jnz1568/getInfo.php?workbook=10_05.xlsx&amp;sheet=U0&amp;row=6372&amp;col=6&amp;number=3.8&amp;sourceID=14","3.8")</f>
        <v>3.8</v>
      </c>
      <c r="G6372" s="4" t="str">
        <f>HYPERLINK("http://141.218.60.56/~jnz1568/getInfo.php?workbook=10_05.xlsx&amp;sheet=U0&amp;row=6372&amp;col=7&amp;number=0.00338&amp;sourceID=14","0.00338")</f>
        <v>0.00338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HYPERLINK("http://141.218.60.56/~jnz1568/getInfo.php?workbook=10_05.xlsx&amp;sheet=U0&amp;row=6373&amp;col=6&amp;number=3.9&amp;sourceID=14","3.9")</f>
        <v>3.9</v>
      </c>
      <c r="G6373" s="4" t="str">
        <f>HYPERLINK("http://141.218.60.56/~jnz1568/getInfo.php?workbook=10_05.xlsx&amp;sheet=U0&amp;row=6373&amp;col=7&amp;number=0.00336&amp;sourceID=14","0.00336")</f>
        <v>0.00336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HYPERLINK("http://141.218.60.56/~jnz1568/getInfo.php?workbook=10_05.xlsx&amp;sheet=U0&amp;row=6374&amp;col=6&amp;number=4&amp;sourceID=14","4")</f>
        <v>4</v>
      </c>
      <c r="G6374" s="4" t="str">
        <f>HYPERLINK("http://141.218.60.56/~jnz1568/getInfo.php?workbook=10_05.xlsx&amp;sheet=U0&amp;row=6374&amp;col=7&amp;number=0.00333&amp;sourceID=14","0.00333")</f>
        <v>0.00333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HYPERLINK("http://141.218.60.56/~jnz1568/getInfo.php?workbook=10_05.xlsx&amp;sheet=U0&amp;row=6375&amp;col=6&amp;number=4.1&amp;sourceID=14","4.1")</f>
        <v>4.1</v>
      </c>
      <c r="G6375" s="4" t="str">
        <f>HYPERLINK("http://141.218.60.56/~jnz1568/getInfo.php?workbook=10_05.xlsx&amp;sheet=U0&amp;row=6375&amp;col=7&amp;number=0.0033&amp;sourceID=14","0.0033")</f>
        <v>0.0033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HYPERLINK("http://141.218.60.56/~jnz1568/getInfo.php?workbook=10_05.xlsx&amp;sheet=U0&amp;row=6376&amp;col=6&amp;number=4.2&amp;sourceID=14","4.2")</f>
        <v>4.2</v>
      </c>
      <c r="G6376" s="4" t="str">
        <f>HYPERLINK("http://141.218.60.56/~jnz1568/getInfo.php?workbook=10_05.xlsx&amp;sheet=U0&amp;row=6376&amp;col=7&amp;number=0.00326&amp;sourceID=14","0.00326")</f>
        <v>0.00326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HYPERLINK("http://141.218.60.56/~jnz1568/getInfo.php?workbook=10_05.xlsx&amp;sheet=U0&amp;row=6377&amp;col=6&amp;number=4.3&amp;sourceID=14","4.3")</f>
        <v>4.3</v>
      </c>
      <c r="G6377" s="4" t="str">
        <f>HYPERLINK("http://141.218.60.56/~jnz1568/getInfo.php?workbook=10_05.xlsx&amp;sheet=U0&amp;row=6377&amp;col=7&amp;number=0.00323&amp;sourceID=14","0.00323")</f>
        <v>0.00323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HYPERLINK("http://141.218.60.56/~jnz1568/getInfo.php?workbook=10_05.xlsx&amp;sheet=U0&amp;row=6378&amp;col=6&amp;number=4.4&amp;sourceID=14","4.4")</f>
        <v>4.4</v>
      </c>
      <c r="G6378" s="4" t="str">
        <f>HYPERLINK("http://141.218.60.56/~jnz1568/getInfo.php?workbook=10_05.xlsx&amp;sheet=U0&amp;row=6378&amp;col=7&amp;number=0.0032&amp;sourceID=14","0.0032")</f>
        <v>0.0032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HYPERLINK("http://141.218.60.56/~jnz1568/getInfo.php?workbook=10_05.xlsx&amp;sheet=U0&amp;row=6379&amp;col=6&amp;number=4.5&amp;sourceID=14","4.5")</f>
        <v>4.5</v>
      </c>
      <c r="G6379" s="4" t="str">
        <f>HYPERLINK("http://141.218.60.56/~jnz1568/getInfo.php?workbook=10_05.xlsx&amp;sheet=U0&amp;row=6379&amp;col=7&amp;number=0.00318&amp;sourceID=14","0.00318")</f>
        <v>0.00318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HYPERLINK("http://141.218.60.56/~jnz1568/getInfo.php?workbook=10_05.xlsx&amp;sheet=U0&amp;row=6380&amp;col=6&amp;number=4.6&amp;sourceID=14","4.6")</f>
        <v>4.6</v>
      </c>
      <c r="G6380" s="4" t="str">
        <f>HYPERLINK("http://141.218.60.56/~jnz1568/getInfo.php?workbook=10_05.xlsx&amp;sheet=U0&amp;row=6380&amp;col=7&amp;number=0.00316&amp;sourceID=14","0.00316")</f>
        <v>0.00316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HYPERLINK("http://141.218.60.56/~jnz1568/getInfo.php?workbook=10_05.xlsx&amp;sheet=U0&amp;row=6381&amp;col=6&amp;number=4.7&amp;sourceID=14","4.7")</f>
        <v>4.7</v>
      </c>
      <c r="G6381" s="4" t="str">
        <f>HYPERLINK("http://141.218.60.56/~jnz1568/getInfo.php?workbook=10_05.xlsx&amp;sheet=U0&amp;row=6381&amp;col=7&amp;number=0.00314&amp;sourceID=14","0.00314")</f>
        <v>0.00314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HYPERLINK("http://141.218.60.56/~jnz1568/getInfo.php?workbook=10_05.xlsx&amp;sheet=U0&amp;row=6382&amp;col=6&amp;number=4.8&amp;sourceID=14","4.8")</f>
        <v>4.8</v>
      </c>
      <c r="G6382" s="4" t="str">
        <f>HYPERLINK("http://141.218.60.56/~jnz1568/getInfo.php?workbook=10_05.xlsx&amp;sheet=U0&amp;row=6382&amp;col=7&amp;number=0.0031&amp;sourceID=14","0.0031")</f>
        <v>0.0031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HYPERLINK("http://141.218.60.56/~jnz1568/getInfo.php?workbook=10_05.xlsx&amp;sheet=U0&amp;row=6383&amp;col=6&amp;number=4.9&amp;sourceID=14","4.9")</f>
        <v>4.9</v>
      </c>
      <c r="G6383" s="4" t="str">
        <f>HYPERLINK("http://141.218.60.56/~jnz1568/getInfo.php?workbook=10_05.xlsx&amp;sheet=U0&amp;row=6383&amp;col=7&amp;number=0.00306&amp;sourceID=14","0.00306")</f>
        <v>0.00306</v>
      </c>
    </row>
    <row r="6384" spans="1:7">
      <c r="A6384" s="3">
        <v>10</v>
      </c>
      <c r="B6384" s="3">
        <v>5</v>
      </c>
      <c r="C6384" s="3">
        <v>2</v>
      </c>
      <c r="D6384" s="3">
        <v>143</v>
      </c>
      <c r="E6384" s="3">
        <v>1</v>
      </c>
      <c r="F6384" s="4" t="str">
        <f>HYPERLINK("http://141.218.60.56/~jnz1568/getInfo.php?workbook=10_05.xlsx&amp;sheet=U0&amp;row=6384&amp;col=6&amp;number=3&amp;sourceID=14","3")</f>
        <v>3</v>
      </c>
      <c r="G6384" s="4" t="str">
        <f>HYPERLINK("http://141.218.60.56/~jnz1568/getInfo.php?workbook=10_05.xlsx&amp;sheet=U0&amp;row=6384&amp;col=7&amp;number=0.0052&amp;sourceID=14","0.0052")</f>
        <v>0.0052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HYPERLINK("http://141.218.60.56/~jnz1568/getInfo.php?workbook=10_05.xlsx&amp;sheet=U0&amp;row=6385&amp;col=6&amp;number=3.1&amp;sourceID=14","3.1")</f>
        <v>3.1</v>
      </c>
      <c r="G6385" s="4" t="str">
        <f>HYPERLINK("http://141.218.60.56/~jnz1568/getInfo.php?workbook=10_05.xlsx&amp;sheet=U0&amp;row=6385&amp;col=7&amp;number=0.00519&amp;sourceID=14","0.00519")</f>
        <v>0.00519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HYPERLINK("http://141.218.60.56/~jnz1568/getInfo.php?workbook=10_05.xlsx&amp;sheet=U0&amp;row=6386&amp;col=6&amp;number=3.2&amp;sourceID=14","3.2")</f>
        <v>3.2</v>
      </c>
      <c r="G6386" s="4" t="str">
        <f>HYPERLINK("http://141.218.60.56/~jnz1568/getInfo.php?workbook=10_05.xlsx&amp;sheet=U0&amp;row=6386&amp;col=7&amp;number=0.00518&amp;sourceID=14","0.00518")</f>
        <v>0.00518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HYPERLINK("http://141.218.60.56/~jnz1568/getInfo.php?workbook=10_05.xlsx&amp;sheet=U0&amp;row=6387&amp;col=6&amp;number=3.3&amp;sourceID=14","3.3")</f>
        <v>3.3</v>
      </c>
      <c r="G6387" s="4" t="str">
        <f>HYPERLINK("http://141.218.60.56/~jnz1568/getInfo.php?workbook=10_05.xlsx&amp;sheet=U0&amp;row=6387&amp;col=7&amp;number=0.00517&amp;sourceID=14","0.00517")</f>
        <v>0.00517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HYPERLINK("http://141.218.60.56/~jnz1568/getInfo.php?workbook=10_05.xlsx&amp;sheet=U0&amp;row=6388&amp;col=6&amp;number=3.4&amp;sourceID=14","3.4")</f>
        <v>3.4</v>
      </c>
      <c r="G6388" s="4" t="str">
        <f>HYPERLINK("http://141.218.60.56/~jnz1568/getInfo.php?workbook=10_05.xlsx&amp;sheet=U0&amp;row=6388&amp;col=7&amp;number=0.00515&amp;sourceID=14","0.00515")</f>
        <v>0.00515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HYPERLINK("http://141.218.60.56/~jnz1568/getInfo.php?workbook=10_05.xlsx&amp;sheet=U0&amp;row=6389&amp;col=6&amp;number=3.5&amp;sourceID=14","3.5")</f>
        <v>3.5</v>
      </c>
      <c r="G6389" s="4" t="str">
        <f>HYPERLINK("http://141.218.60.56/~jnz1568/getInfo.php?workbook=10_05.xlsx&amp;sheet=U0&amp;row=6389&amp;col=7&amp;number=0.00512&amp;sourceID=14","0.00512")</f>
        <v>0.00512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HYPERLINK("http://141.218.60.56/~jnz1568/getInfo.php?workbook=10_05.xlsx&amp;sheet=U0&amp;row=6390&amp;col=6&amp;number=3.6&amp;sourceID=14","3.6")</f>
        <v>3.6</v>
      </c>
      <c r="G6390" s="4" t="str">
        <f>HYPERLINK("http://141.218.60.56/~jnz1568/getInfo.php?workbook=10_05.xlsx&amp;sheet=U0&amp;row=6390&amp;col=7&amp;number=0.00509&amp;sourceID=14","0.00509")</f>
        <v>0.00509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HYPERLINK("http://141.218.60.56/~jnz1568/getInfo.php?workbook=10_05.xlsx&amp;sheet=U0&amp;row=6391&amp;col=6&amp;number=3.7&amp;sourceID=14","3.7")</f>
        <v>3.7</v>
      </c>
      <c r="G6391" s="4" t="str">
        <f>HYPERLINK("http://141.218.60.56/~jnz1568/getInfo.php?workbook=10_05.xlsx&amp;sheet=U0&amp;row=6391&amp;col=7&amp;number=0.00506&amp;sourceID=14","0.00506")</f>
        <v>0.00506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HYPERLINK("http://141.218.60.56/~jnz1568/getInfo.php?workbook=10_05.xlsx&amp;sheet=U0&amp;row=6392&amp;col=6&amp;number=3.8&amp;sourceID=14","3.8")</f>
        <v>3.8</v>
      </c>
      <c r="G6392" s="4" t="str">
        <f>HYPERLINK("http://141.218.60.56/~jnz1568/getInfo.php?workbook=10_05.xlsx&amp;sheet=U0&amp;row=6392&amp;col=7&amp;number=0.00502&amp;sourceID=14","0.00502")</f>
        <v>0.00502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HYPERLINK("http://141.218.60.56/~jnz1568/getInfo.php?workbook=10_05.xlsx&amp;sheet=U0&amp;row=6393&amp;col=6&amp;number=3.9&amp;sourceID=14","3.9")</f>
        <v>3.9</v>
      </c>
      <c r="G6393" s="4" t="str">
        <f>HYPERLINK("http://141.218.60.56/~jnz1568/getInfo.php?workbook=10_05.xlsx&amp;sheet=U0&amp;row=6393&amp;col=7&amp;number=0.00497&amp;sourceID=14","0.00497")</f>
        <v>0.00497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HYPERLINK("http://141.218.60.56/~jnz1568/getInfo.php?workbook=10_05.xlsx&amp;sheet=U0&amp;row=6394&amp;col=6&amp;number=4&amp;sourceID=14","4")</f>
        <v>4</v>
      </c>
      <c r="G6394" s="4" t="str">
        <f>HYPERLINK("http://141.218.60.56/~jnz1568/getInfo.php?workbook=10_05.xlsx&amp;sheet=U0&amp;row=6394&amp;col=7&amp;number=0.00491&amp;sourceID=14","0.00491")</f>
        <v>0.00491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HYPERLINK("http://141.218.60.56/~jnz1568/getInfo.php?workbook=10_05.xlsx&amp;sheet=U0&amp;row=6395&amp;col=6&amp;number=4.1&amp;sourceID=14","4.1")</f>
        <v>4.1</v>
      </c>
      <c r="G6395" s="4" t="str">
        <f>HYPERLINK("http://141.218.60.56/~jnz1568/getInfo.php?workbook=10_05.xlsx&amp;sheet=U0&amp;row=6395&amp;col=7&amp;number=0.00485&amp;sourceID=14","0.00485")</f>
        <v>0.00485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HYPERLINK("http://141.218.60.56/~jnz1568/getInfo.php?workbook=10_05.xlsx&amp;sheet=U0&amp;row=6396&amp;col=6&amp;number=4.2&amp;sourceID=14","4.2")</f>
        <v>4.2</v>
      </c>
      <c r="G6396" s="4" t="str">
        <f>HYPERLINK("http://141.218.60.56/~jnz1568/getInfo.php?workbook=10_05.xlsx&amp;sheet=U0&amp;row=6396&amp;col=7&amp;number=0.00478&amp;sourceID=14","0.00478")</f>
        <v>0.00478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HYPERLINK("http://141.218.60.56/~jnz1568/getInfo.php?workbook=10_05.xlsx&amp;sheet=U0&amp;row=6397&amp;col=6&amp;number=4.3&amp;sourceID=14","4.3")</f>
        <v>4.3</v>
      </c>
      <c r="G6397" s="4" t="str">
        <f>HYPERLINK("http://141.218.60.56/~jnz1568/getInfo.php?workbook=10_05.xlsx&amp;sheet=U0&amp;row=6397&amp;col=7&amp;number=0.00472&amp;sourceID=14","0.00472")</f>
        <v>0.00472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HYPERLINK("http://141.218.60.56/~jnz1568/getInfo.php?workbook=10_05.xlsx&amp;sheet=U0&amp;row=6398&amp;col=6&amp;number=4.4&amp;sourceID=14","4.4")</f>
        <v>4.4</v>
      </c>
      <c r="G6398" s="4" t="str">
        <f>HYPERLINK("http://141.218.60.56/~jnz1568/getInfo.php?workbook=10_05.xlsx&amp;sheet=U0&amp;row=6398&amp;col=7&amp;number=0.00468&amp;sourceID=14","0.00468")</f>
        <v>0.00468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HYPERLINK("http://141.218.60.56/~jnz1568/getInfo.php?workbook=10_05.xlsx&amp;sheet=U0&amp;row=6399&amp;col=6&amp;number=4.5&amp;sourceID=14","4.5")</f>
        <v>4.5</v>
      </c>
      <c r="G6399" s="4" t="str">
        <f>HYPERLINK("http://141.218.60.56/~jnz1568/getInfo.php?workbook=10_05.xlsx&amp;sheet=U0&amp;row=6399&amp;col=7&amp;number=0.00466&amp;sourceID=14","0.00466")</f>
        <v>0.00466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HYPERLINK("http://141.218.60.56/~jnz1568/getInfo.php?workbook=10_05.xlsx&amp;sheet=U0&amp;row=6400&amp;col=6&amp;number=4.6&amp;sourceID=14","4.6")</f>
        <v>4.6</v>
      </c>
      <c r="G6400" s="4" t="str">
        <f>HYPERLINK("http://141.218.60.56/~jnz1568/getInfo.php?workbook=10_05.xlsx&amp;sheet=U0&amp;row=6400&amp;col=7&amp;number=0.00465&amp;sourceID=14","0.00465")</f>
        <v>0.00465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HYPERLINK("http://141.218.60.56/~jnz1568/getInfo.php?workbook=10_05.xlsx&amp;sheet=U0&amp;row=6401&amp;col=6&amp;number=4.7&amp;sourceID=14","4.7")</f>
        <v>4.7</v>
      </c>
      <c r="G6401" s="4" t="str">
        <f>HYPERLINK("http://141.218.60.56/~jnz1568/getInfo.php?workbook=10_05.xlsx&amp;sheet=U0&amp;row=6401&amp;col=7&amp;number=0.00462&amp;sourceID=14","0.00462")</f>
        <v>0.00462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HYPERLINK("http://141.218.60.56/~jnz1568/getInfo.php?workbook=10_05.xlsx&amp;sheet=U0&amp;row=6402&amp;col=6&amp;number=4.8&amp;sourceID=14","4.8")</f>
        <v>4.8</v>
      </c>
      <c r="G6402" s="4" t="str">
        <f>HYPERLINK("http://141.218.60.56/~jnz1568/getInfo.php?workbook=10_05.xlsx&amp;sheet=U0&amp;row=6402&amp;col=7&amp;number=0.00456&amp;sourceID=14","0.00456")</f>
        <v>0.00456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HYPERLINK("http://141.218.60.56/~jnz1568/getInfo.php?workbook=10_05.xlsx&amp;sheet=U0&amp;row=6403&amp;col=6&amp;number=4.9&amp;sourceID=14","4.9")</f>
        <v>4.9</v>
      </c>
      <c r="G6403" s="4" t="str">
        <f>HYPERLINK("http://141.218.60.56/~jnz1568/getInfo.php?workbook=10_05.xlsx&amp;sheet=U0&amp;row=6403&amp;col=7&amp;number=0.00449&amp;sourceID=14","0.00449")</f>
        <v>0.00449</v>
      </c>
    </row>
    <row r="6404" spans="1:7">
      <c r="A6404" s="3">
        <v>10</v>
      </c>
      <c r="B6404" s="3">
        <v>5</v>
      </c>
      <c r="C6404" s="3">
        <v>2</v>
      </c>
      <c r="D6404" s="3">
        <v>144</v>
      </c>
      <c r="E6404" s="3">
        <v>1</v>
      </c>
      <c r="F6404" s="4" t="str">
        <f>HYPERLINK("http://141.218.60.56/~jnz1568/getInfo.php?workbook=10_05.xlsx&amp;sheet=U0&amp;row=6404&amp;col=6&amp;number=3&amp;sourceID=14","3")</f>
        <v>3</v>
      </c>
      <c r="G6404" s="4" t="str">
        <f>HYPERLINK("http://141.218.60.56/~jnz1568/getInfo.php?workbook=10_05.xlsx&amp;sheet=U0&amp;row=6404&amp;col=7&amp;number=0.0121&amp;sourceID=14","0.0121")</f>
        <v>0.0121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HYPERLINK("http://141.218.60.56/~jnz1568/getInfo.php?workbook=10_05.xlsx&amp;sheet=U0&amp;row=6405&amp;col=6&amp;number=3.1&amp;sourceID=14","3.1")</f>
        <v>3.1</v>
      </c>
      <c r="G6405" s="4" t="str">
        <f>HYPERLINK("http://141.218.60.56/~jnz1568/getInfo.php?workbook=10_05.xlsx&amp;sheet=U0&amp;row=6405&amp;col=7&amp;number=0.0121&amp;sourceID=14","0.0121")</f>
        <v>0.0121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HYPERLINK("http://141.218.60.56/~jnz1568/getInfo.php?workbook=10_05.xlsx&amp;sheet=U0&amp;row=6406&amp;col=6&amp;number=3.2&amp;sourceID=14","3.2")</f>
        <v>3.2</v>
      </c>
      <c r="G6406" s="4" t="str">
        <f>HYPERLINK("http://141.218.60.56/~jnz1568/getInfo.php?workbook=10_05.xlsx&amp;sheet=U0&amp;row=6406&amp;col=7&amp;number=0.0121&amp;sourceID=14","0.0121")</f>
        <v>0.0121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HYPERLINK("http://141.218.60.56/~jnz1568/getInfo.php?workbook=10_05.xlsx&amp;sheet=U0&amp;row=6407&amp;col=6&amp;number=3.3&amp;sourceID=14","3.3")</f>
        <v>3.3</v>
      </c>
      <c r="G6407" s="4" t="str">
        <f>HYPERLINK("http://141.218.60.56/~jnz1568/getInfo.php?workbook=10_05.xlsx&amp;sheet=U0&amp;row=6407&amp;col=7&amp;number=0.0121&amp;sourceID=14","0.0121")</f>
        <v>0.0121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HYPERLINK("http://141.218.60.56/~jnz1568/getInfo.php?workbook=10_05.xlsx&amp;sheet=U0&amp;row=6408&amp;col=6&amp;number=3.4&amp;sourceID=14","3.4")</f>
        <v>3.4</v>
      </c>
      <c r="G6408" s="4" t="str">
        <f>HYPERLINK("http://141.218.60.56/~jnz1568/getInfo.php?workbook=10_05.xlsx&amp;sheet=U0&amp;row=6408&amp;col=7&amp;number=0.012&amp;sourceID=14","0.012")</f>
        <v>0.012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HYPERLINK("http://141.218.60.56/~jnz1568/getInfo.php?workbook=10_05.xlsx&amp;sheet=U0&amp;row=6409&amp;col=6&amp;number=3.5&amp;sourceID=14","3.5")</f>
        <v>3.5</v>
      </c>
      <c r="G6409" s="4" t="str">
        <f>HYPERLINK("http://141.218.60.56/~jnz1568/getInfo.php?workbook=10_05.xlsx&amp;sheet=U0&amp;row=6409&amp;col=7&amp;number=0.012&amp;sourceID=14","0.012")</f>
        <v>0.012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HYPERLINK("http://141.218.60.56/~jnz1568/getInfo.php?workbook=10_05.xlsx&amp;sheet=U0&amp;row=6410&amp;col=6&amp;number=3.6&amp;sourceID=14","3.6")</f>
        <v>3.6</v>
      </c>
      <c r="G6410" s="4" t="str">
        <f>HYPERLINK("http://141.218.60.56/~jnz1568/getInfo.php?workbook=10_05.xlsx&amp;sheet=U0&amp;row=6410&amp;col=7&amp;number=0.012&amp;sourceID=14","0.012")</f>
        <v>0.012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HYPERLINK("http://141.218.60.56/~jnz1568/getInfo.php?workbook=10_05.xlsx&amp;sheet=U0&amp;row=6411&amp;col=6&amp;number=3.7&amp;sourceID=14","3.7")</f>
        <v>3.7</v>
      </c>
      <c r="G6411" s="4" t="str">
        <f>HYPERLINK("http://141.218.60.56/~jnz1568/getInfo.php?workbook=10_05.xlsx&amp;sheet=U0&amp;row=6411&amp;col=7&amp;number=0.012&amp;sourceID=14","0.012")</f>
        <v>0.012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HYPERLINK("http://141.218.60.56/~jnz1568/getInfo.php?workbook=10_05.xlsx&amp;sheet=U0&amp;row=6412&amp;col=6&amp;number=3.8&amp;sourceID=14","3.8")</f>
        <v>3.8</v>
      </c>
      <c r="G6412" s="4" t="str">
        <f>HYPERLINK("http://141.218.60.56/~jnz1568/getInfo.php?workbook=10_05.xlsx&amp;sheet=U0&amp;row=6412&amp;col=7&amp;number=0.012&amp;sourceID=14","0.012")</f>
        <v>0.012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HYPERLINK("http://141.218.60.56/~jnz1568/getInfo.php?workbook=10_05.xlsx&amp;sheet=U0&amp;row=6413&amp;col=6&amp;number=3.9&amp;sourceID=14","3.9")</f>
        <v>3.9</v>
      </c>
      <c r="G6413" s="4" t="str">
        <f>HYPERLINK("http://141.218.60.56/~jnz1568/getInfo.php?workbook=10_05.xlsx&amp;sheet=U0&amp;row=6413&amp;col=7&amp;number=0.0119&amp;sourceID=14","0.0119")</f>
        <v>0.0119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HYPERLINK("http://141.218.60.56/~jnz1568/getInfo.php?workbook=10_05.xlsx&amp;sheet=U0&amp;row=6414&amp;col=6&amp;number=4&amp;sourceID=14","4")</f>
        <v>4</v>
      </c>
      <c r="G6414" s="4" t="str">
        <f>HYPERLINK("http://141.218.60.56/~jnz1568/getInfo.php?workbook=10_05.xlsx&amp;sheet=U0&amp;row=6414&amp;col=7&amp;number=0.0119&amp;sourceID=14","0.0119")</f>
        <v>0.0119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HYPERLINK("http://141.218.60.56/~jnz1568/getInfo.php?workbook=10_05.xlsx&amp;sheet=U0&amp;row=6415&amp;col=6&amp;number=4.1&amp;sourceID=14","4.1")</f>
        <v>4.1</v>
      </c>
      <c r="G6415" s="4" t="str">
        <f>HYPERLINK("http://141.218.60.56/~jnz1568/getInfo.php?workbook=10_05.xlsx&amp;sheet=U0&amp;row=6415&amp;col=7&amp;number=0.0118&amp;sourceID=14","0.0118")</f>
        <v>0.0118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HYPERLINK("http://141.218.60.56/~jnz1568/getInfo.php?workbook=10_05.xlsx&amp;sheet=U0&amp;row=6416&amp;col=6&amp;number=4.2&amp;sourceID=14","4.2")</f>
        <v>4.2</v>
      </c>
      <c r="G6416" s="4" t="str">
        <f>HYPERLINK("http://141.218.60.56/~jnz1568/getInfo.php?workbook=10_05.xlsx&amp;sheet=U0&amp;row=6416&amp;col=7&amp;number=0.0118&amp;sourceID=14","0.0118")</f>
        <v>0.0118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HYPERLINK("http://141.218.60.56/~jnz1568/getInfo.php?workbook=10_05.xlsx&amp;sheet=U0&amp;row=6417&amp;col=6&amp;number=4.3&amp;sourceID=14","4.3")</f>
        <v>4.3</v>
      </c>
      <c r="G6417" s="4" t="str">
        <f>HYPERLINK("http://141.218.60.56/~jnz1568/getInfo.php?workbook=10_05.xlsx&amp;sheet=U0&amp;row=6417&amp;col=7&amp;number=0.0117&amp;sourceID=14","0.0117")</f>
        <v>0.0117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HYPERLINK("http://141.218.60.56/~jnz1568/getInfo.php?workbook=10_05.xlsx&amp;sheet=U0&amp;row=6418&amp;col=6&amp;number=4.4&amp;sourceID=14","4.4")</f>
        <v>4.4</v>
      </c>
      <c r="G6418" s="4" t="str">
        <f>HYPERLINK("http://141.218.60.56/~jnz1568/getInfo.php?workbook=10_05.xlsx&amp;sheet=U0&amp;row=6418&amp;col=7&amp;number=0.0116&amp;sourceID=14","0.0116")</f>
        <v>0.0116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HYPERLINK("http://141.218.60.56/~jnz1568/getInfo.php?workbook=10_05.xlsx&amp;sheet=U0&amp;row=6419&amp;col=6&amp;number=4.5&amp;sourceID=14","4.5")</f>
        <v>4.5</v>
      </c>
      <c r="G6419" s="4" t="str">
        <f>HYPERLINK("http://141.218.60.56/~jnz1568/getInfo.php?workbook=10_05.xlsx&amp;sheet=U0&amp;row=6419&amp;col=7&amp;number=0.0115&amp;sourceID=14","0.0115")</f>
        <v>0.0115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HYPERLINK("http://141.218.60.56/~jnz1568/getInfo.php?workbook=10_05.xlsx&amp;sheet=U0&amp;row=6420&amp;col=6&amp;number=4.6&amp;sourceID=14","4.6")</f>
        <v>4.6</v>
      </c>
      <c r="G6420" s="4" t="str">
        <f>HYPERLINK("http://141.218.60.56/~jnz1568/getInfo.php?workbook=10_05.xlsx&amp;sheet=U0&amp;row=6420&amp;col=7&amp;number=0.0115&amp;sourceID=14","0.0115")</f>
        <v>0.0115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HYPERLINK("http://141.218.60.56/~jnz1568/getInfo.php?workbook=10_05.xlsx&amp;sheet=U0&amp;row=6421&amp;col=6&amp;number=4.7&amp;sourceID=14","4.7")</f>
        <v>4.7</v>
      </c>
      <c r="G6421" s="4" t="str">
        <f>HYPERLINK("http://141.218.60.56/~jnz1568/getInfo.php?workbook=10_05.xlsx&amp;sheet=U0&amp;row=6421&amp;col=7&amp;number=0.0114&amp;sourceID=14","0.0114")</f>
        <v>0.0114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HYPERLINK("http://141.218.60.56/~jnz1568/getInfo.php?workbook=10_05.xlsx&amp;sheet=U0&amp;row=6422&amp;col=6&amp;number=4.8&amp;sourceID=14","4.8")</f>
        <v>4.8</v>
      </c>
      <c r="G6422" s="4" t="str">
        <f>HYPERLINK("http://141.218.60.56/~jnz1568/getInfo.php?workbook=10_05.xlsx&amp;sheet=U0&amp;row=6422&amp;col=7&amp;number=0.0113&amp;sourceID=14","0.0113")</f>
        <v>0.0113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HYPERLINK("http://141.218.60.56/~jnz1568/getInfo.php?workbook=10_05.xlsx&amp;sheet=U0&amp;row=6423&amp;col=6&amp;number=4.9&amp;sourceID=14","4.9")</f>
        <v>4.9</v>
      </c>
      <c r="G6423" s="4" t="str">
        <f>HYPERLINK("http://141.218.60.56/~jnz1568/getInfo.php?workbook=10_05.xlsx&amp;sheet=U0&amp;row=6423&amp;col=7&amp;number=0.0112&amp;sourceID=14","0.0112")</f>
        <v>0.0112</v>
      </c>
    </row>
    <row r="6424" spans="1:7">
      <c r="A6424" s="3">
        <v>10</v>
      </c>
      <c r="B6424" s="3">
        <v>5</v>
      </c>
      <c r="C6424" s="3">
        <v>2</v>
      </c>
      <c r="D6424" s="3">
        <v>145</v>
      </c>
      <c r="E6424" s="3">
        <v>1</v>
      </c>
      <c r="F6424" s="4" t="str">
        <f>HYPERLINK("http://141.218.60.56/~jnz1568/getInfo.php?workbook=10_05.xlsx&amp;sheet=U0&amp;row=6424&amp;col=6&amp;number=3&amp;sourceID=14","3")</f>
        <v>3</v>
      </c>
      <c r="G6424" s="4" t="str">
        <f>HYPERLINK("http://141.218.60.56/~jnz1568/getInfo.php?workbook=10_05.xlsx&amp;sheet=U0&amp;row=6424&amp;col=7&amp;number=0.00762&amp;sourceID=14","0.00762")</f>
        <v>0.00762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HYPERLINK("http://141.218.60.56/~jnz1568/getInfo.php?workbook=10_05.xlsx&amp;sheet=U0&amp;row=6425&amp;col=6&amp;number=3.1&amp;sourceID=14","3.1")</f>
        <v>3.1</v>
      </c>
      <c r="G6425" s="4" t="str">
        <f>HYPERLINK("http://141.218.60.56/~jnz1568/getInfo.php?workbook=10_05.xlsx&amp;sheet=U0&amp;row=6425&amp;col=7&amp;number=0.00761&amp;sourceID=14","0.00761")</f>
        <v>0.00761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HYPERLINK("http://141.218.60.56/~jnz1568/getInfo.php?workbook=10_05.xlsx&amp;sheet=U0&amp;row=6426&amp;col=6&amp;number=3.2&amp;sourceID=14","3.2")</f>
        <v>3.2</v>
      </c>
      <c r="G6426" s="4" t="str">
        <f>HYPERLINK("http://141.218.60.56/~jnz1568/getInfo.php?workbook=10_05.xlsx&amp;sheet=U0&amp;row=6426&amp;col=7&amp;number=0.0076&amp;sourceID=14","0.0076")</f>
        <v>0.0076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HYPERLINK("http://141.218.60.56/~jnz1568/getInfo.php?workbook=10_05.xlsx&amp;sheet=U0&amp;row=6427&amp;col=6&amp;number=3.3&amp;sourceID=14","3.3")</f>
        <v>3.3</v>
      </c>
      <c r="G6427" s="4" t="str">
        <f>HYPERLINK("http://141.218.60.56/~jnz1568/getInfo.php?workbook=10_05.xlsx&amp;sheet=U0&amp;row=6427&amp;col=7&amp;number=0.00758&amp;sourceID=14","0.00758")</f>
        <v>0.00758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HYPERLINK("http://141.218.60.56/~jnz1568/getInfo.php?workbook=10_05.xlsx&amp;sheet=U0&amp;row=6428&amp;col=6&amp;number=3.4&amp;sourceID=14","3.4")</f>
        <v>3.4</v>
      </c>
      <c r="G6428" s="4" t="str">
        <f>HYPERLINK("http://141.218.60.56/~jnz1568/getInfo.php?workbook=10_05.xlsx&amp;sheet=U0&amp;row=6428&amp;col=7&amp;number=0.00757&amp;sourceID=14","0.00757")</f>
        <v>0.00757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HYPERLINK("http://141.218.60.56/~jnz1568/getInfo.php?workbook=10_05.xlsx&amp;sheet=U0&amp;row=6429&amp;col=6&amp;number=3.5&amp;sourceID=14","3.5")</f>
        <v>3.5</v>
      </c>
      <c r="G6429" s="4" t="str">
        <f>HYPERLINK("http://141.218.60.56/~jnz1568/getInfo.php?workbook=10_05.xlsx&amp;sheet=U0&amp;row=6429&amp;col=7&amp;number=0.00754&amp;sourceID=14","0.00754")</f>
        <v>0.00754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HYPERLINK("http://141.218.60.56/~jnz1568/getInfo.php?workbook=10_05.xlsx&amp;sheet=U0&amp;row=6430&amp;col=6&amp;number=3.6&amp;sourceID=14","3.6")</f>
        <v>3.6</v>
      </c>
      <c r="G6430" s="4" t="str">
        <f>HYPERLINK("http://141.218.60.56/~jnz1568/getInfo.php?workbook=10_05.xlsx&amp;sheet=U0&amp;row=6430&amp;col=7&amp;number=0.00751&amp;sourceID=14","0.00751")</f>
        <v>0.00751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HYPERLINK("http://141.218.60.56/~jnz1568/getInfo.php?workbook=10_05.xlsx&amp;sheet=U0&amp;row=6431&amp;col=6&amp;number=3.7&amp;sourceID=14","3.7")</f>
        <v>3.7</v>
      </c>
      <c r="G6431" s="4" t="str">
        <f>HYPERLINK("http://141.218.60.56/~jnz1568/getInfo.php?workbook=10_05.xlsx&amp;sheet=U0&amp;row=6431&amp;col=7&amp;number=0.00748&amp;sourceID=14","0.00748")</f>
        <v>0.00748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HYPERLINK("http://141.218.60.56/~jnz1568/getInfo.php?workbook=10_05.xlsx&amp;sheet=U0&amp;row=6432&amp;col=6&amp;number=3.8&amp;sourceID=14","3.8")</f>
        <v>3.8</v>
      </c>
      <c r="G6432" s="4" t="str">
        <f>HYPERLINK("http://141.218.60.56/~jnz1568/getInfo.php?workbook=10_05.xlsx&amp;sheet=U0&amp;row=6432&amp;col=7&amp;number=0.00743&amp;sourceID=14","0.00743")</f>
        <v>0.00743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HYPERLINK("http://141.218.60.56/~jnz1568/getInfo.php?workbook=10_05.xlsx&amp;sheet=U0&amp;row=6433&amp;col=6&amp;number=3.9&amp;sourceID=14","3.9")</f>
        <v>3.9</v>
      </c>
      <c r="G6433" s="4" t="str">
        <f>HYPERLINK("http://141.218.60.56/~jnz1568/getInfo.php?workbook=10_05.xlsx&amp;sheet=U0&amp;row=6433&amp;col=7&amp;number=0.00738&amp;sourceID=14","0.00738")</f>
        <v>0.00738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HYPERLINK("http://141.218.60.56/~jnz1568/getInfo.php?workbook=10_05.xlsx&amp;sheet=U0&amp;row=6434&amp;col=6&amp;number=4&amp;sourceID=14","4")</f>
        <v>4</v>
      </c>
      <c r="G6434" s="4" t="str">
        <f>HYPERLINK("http://141.218.60.56/~jnz1568/getInfo.php?workbook=10_05.xlsx&amp;sheet=U0&amp;row=6434&amp;col=7&amp;number=0.00732&amp;sourceID=14","0.00732")</f>
        <v>0.00732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HYPERLINK("http://141.218.60.56/~jnz1568/getInfo.php?workbook=10_05.xlsx&amp;sheet=U0&amp;row=6435&amp;col=6&amp;number=4.1&amp;sourceID=14","4.1")</f>
        <v>4.1</v>
      </c>
      <c r="G6435" s="4" t="str">
        <f>HYPERLINK("http://141.218.60.56/~jnz1568/getInfo.php?workbook=10_05.xlsx&amp;sheet=U0&amp;row=6435&amp;col=7&amp;number=0.00725&amp;sourceID=14","0.00725")</f>
        <v>0.00725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HYPERLINK("http://141.218.60.56/~jnz1568/getInfo.php?workbook=10_05.xlsx&amp;sheet=U0&amp;row=6436&amp;col=6&amp;number=4.2&amp;sourceID=14","4.2")</f>
        <v>4.2</v>
      </c>
      <c r="G6436" s="4" t="str">
        <f>HYPERLINK("http://141.218.60.56/~jnz1568/getInfo.php?workbook=10_05.xlsx&amp;sheet=U0&amp;row=6436&amp;col=7&amp;number=0.00717&amp;sourceID=14","0.00717")</f>
        <v>0.00717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HYPERLINK("http://141.218.60.56/~jnz1568/getInfo.php?workbook=10_05.xlsx&amp;sheet=U0&amp;row=6437&amp;col=6&amp;number=4.3&amp;sourceID=14","4.3")</f>
        <v>4.3</v>
      </c>
      <c r="G6437" s="4" t="str">
        <f>HYPERLINK("http://141.218.60.56/~jnz1568/getInfo.php?workbook=10_05.xlsx&amp;sheet=U0&amp;row=6437&amp;col=7&amp;number=0.0071&amp;sourceID=14","0.0071")</f>
        <v>0.0071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HYPERLINK("http://141.218.60.56/~jnz1568/getInfo.php?workbook=10_05.xlsx&amp;sheet=U0&amp;row=6438&amp;col=6&amp;number=4.4&amp;sourceID=14","4.4")</f>
        <v>4.4</v>
      </c>
      <c r="G6438" s="4" t="str">
        <f>HYPERLINK("http://141.218.60.56/~jnz1568/getInfo.php?workbook=10_05.xlsx&amp;sheet=U0&amp;row=6438&amp;col=7&amp;number=0.00704&amp;sourceID=14","0.00704")</f>
        <v>0.00704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HYPERLINK("http://141.218.60.56/~jnz1568/getInfo.php?workbook=10_05.xlsx&amp;sheet=U0&amp;row=6439&amp;col=6&amp;number=4.5&amp;sourceID=14","4.5")</f>
        <v>4.5</v>
      </c>
      <c r="G6439" s="4" t="str">
        <f>HYPERLINK("http://141.218.60.56/~jnz1568/getInfo.php?workbook=10_05.xlsx&amp;sheet=U0&amp;row=6439&amp;col=7&amp;number=0.00702&amp;sourceID=14","0.00702")</f>
        <v>0.00702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HYPERLINK("http://141.218.60.56/~jnz1568/getInfo.php?workbook=10_05.xlsx&amp;sheet=U0&amp;row=6440&amp;col=6&amp;number=4.6&amp;sourceID=14","4.6")</f>
        <v>4.6</v>
      </c>
      <c r="G6440" s="4" t="str">
        <f>HYPERLINK("http://141.218.60.56/~jnz1568/getInfo.php?workbook=10_05.xlsx&amp;sheet=U0&amp;row=6440&amp;col=7&amp;number=0.00704&amp;sourceID=14","0.00704")</f>
        <v>0.00704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HYPERLINK("http://141.218.60.56/~jnz1568/getInfo.php?workbook=10_05.xlsx&amp;sheet=U0&amp;row=6441&amp;col=6&amp;number=4.7&amp;sourceID=14","4.7")</f>
        <v>4.7</v>
      </c>
      <c r="G6441" s="4" t="str">
        <f>HYPERLINK("http://141.218.60.56/~jnz1568/getInfo.php?workbook=10_05.xlsx&amp;sheet=U0&amp;row=6441&amp;col=7&amp;number=0.00708&amp;sourceID=14","0.00708")</f>
        <v>0.00708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HYPERLINK("http://141.218.60.56/~jnz1568/getInfo.php?workbook=10_05.xlsx&amp;sheet=U0&amp;row=6442&amp;col=6&amp;number=4.8&amp;sourceID=14","4.8")</f>
        <v>4.8</v>
      </c>
      <c r="G6442" s="4" t="str">
        <f>HYPERLINK("http://141.218.60.56/~jnz1568/getInfo.php?workbook=10_05.xlsx&amp;sheet=U0&amp;row=6442&amp;col=7&amp;number=0.0071&amp;sourceID=14","0.0071")</f>
        <v>0.0071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HYPERLINK("http://141.218.60.56/~jnz1568/getInfo.php?workbook=10_05.xlsx&amp;sheet=U0&amp;row=6443&amp;col=6&amp;number=4.9&amp;sourceID=14","4.9")</f>
        <v>4.9</v>
      </c>
      <c r="G6443" s="4" t="str">
        <f>HYPERLINK("http://141.218.60.56/~jnz1568/getInfo.php?workbook=10_05.xlsx&amp;sheet=U0&amp;row=6443&amp;col=7&amp;number=0.0071&amp;sourceID=14","0.0071")</f>
        <v>0.0071</v>
      </c>
    </row>
    <row r="6444" spans="1:7">
      <c r="A6444" s="3">
        <v>10</v>
      </c>
      <c r="B6444" s="3">
        <v>5</v>
      </c>
      <c r="C6444" s="3">
        <v>2</v>
      </c>
      <c r="D6444" s="3">
        <v>146</v>
      </c>
      <c r="E6444" s="3">
        <v>1</v>
      </c>
      <c r="F6444" s="4" t="str">
        <f>HYPERLINK("http://141.218.60.56/~jnz1568/getInfo.php?workbook=10_05.xlsx&amp;sheet=U0&amp;row=6444&amp;col=6&amp;number=3&amp;sourceID=14","3")</f>
        <v>3</v>
      </c>
      <c r="G6444" s="4" t="str">
        <f>HYPERLINK("http://141.218.60.56/~jnz1568/getInfo.php?workbook=10_05.xlsx&amp;sheet=U0&amp;row=6444&amp;col=7&amp;number=0.0157&amp;sourceID=14","0.0157")</f>
        <v>0.0157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HYPERLINK("http://141.218.60.56/~jnz1568/getInfo.php?workbook=10_05.xlsx&amp;sheet=U0&amp;row=6445&amp;col=6&amp;number=3.1&amp;sourceID=14","3.1")</f>
        <v>3.1</v>
      </c>
      <c r="G6445" s="4" t="str">
        <f>HYPERLINK("http://141.218.60.56/~jnz1568/getInfo.php?workbook=10_05.xlsx&amp;sheet=U0&amp;row=6445&amp;col=7&amp;number=0.0157&amp;sourceID=14","0.0157")</f>
        <v>0.0157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HYPERLINK("http://141.218.60.56/~jnz1568/getInfo.php?workbook=10_05.xlsx&amp;sheet=U0&amp;row=6446&amp;col=6&amp;number=3.2&amp;sourceID=14","3.2")</f>
        <v>3.2</v>
      </c>
      <c r="G6446" s="4" t="str">
        <f>HYPERLINK("http://141.218.60.56/~jnz1568/getInfo.php?workbook=10_05.xlsx&amp;sheet=U0&amp;row=6446&amp;col=7&amp;number=0.0157&amp;sourceID=14","0.0157")</f>
        <v>0.0157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HYPERLINK("http://141.218.60.56/~jnz1568/getInfo.php?workbook=10_05.xlsx&amp;sheet=U0&amp;row=6447&amp;col=6&amp;number=3.3&amp;sourceID=14","3.3")</f>
        <v>3.3</v>
      </c>
      <c r="G6447" s="4" t="str">
        <f>HYPERLINK("http://141.218.60.56/~jnz1568/getInfo.php?workbook=10_05.xlsx&amp;sheet=U0&amp;row=6447&amp;col=7&amp;number=0.0157&amp;sourceID=14","0.0157")</f>
        <v>0.0157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HYPERLINK("http://141.218.60.56/~jnz1568/getInfo.php?workbook=10_05.xlsx&amp;sheet=U0&amp;row=6448&amp;col=6&amp;number=3.4&amp;sourceID=14","3.4")</f>
        <v>3.4</v>
      </c>
      <c r="G6448" s="4" t="str">
        <f>HYPERLINK("http://141.218.60.56/~jnz1568/getInfo.php?workbook=10_05.xlsx&amp;sheet=U0&amp;row=6448&amp;col=7&amp;number=0.0157&amp;sourceID=14","0.0157")</f>
        <v>0.0157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HYPERLINK("http://141.218.60.56/~jnz1568/getInfo.php?workbook=10_05.xlsx&amp;sheet=U0&amp;row=6449&amp;col=6&amp;number=3.5&amp;sourceID=14","3.5")</f>
        <v>3.5</v>
      </c>
      <c r="G6449" s="4" t="str">
        <f>HYPERLINK("http://141.218.60.56/~jnz1568/getInfo.php?workbook=10_05.xlsx&amp;sheet=U0&amp;row=6449&amp;col=7&amp;number=0.0157&amp;sourceID=14","0.0157")</f>
        <v>0.0157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HYPERLINK("http://141.218.60.56/~jnz1568/getInfo.php?workbook=10_05.xlsx&amp;sheet=U0&amp;row=6450&amp;col=6&amp;number=3.6&amp;sourceID=14","3.6")</f>
        <v>3.6</v>
      </c>
      <c r="G6450" s="4" t="str">
        <f>HYPERLINK("http://141.218.60.56/~jnz1568/getInfo.php?workbook=10_05.xlsx&amp;sheet=U0&amp;row=6450&amp;col=7&amp;number=0.0157&amp;sourceID=14","0.0157")</f>
        <v>0.0157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HYPERLINK("http://141.218.60.56/~jnz1568/getInfo.php?workbook=10_05.xlsx&amp;sheet=U0&amp;row=6451&amp;col=6&amp;number=3.7&amp;sourceID=14","3.7")</f>
        <v>3.7</v>
      </c>
      <c r="G6451" s="4" t="str">
        <f>HYPERLINK("http://141.218.60.56/~jnz1568/getInfo.php?workbook=10_05.xlsx&amp;sheet=U0&amp;row=6451&amp;col=7&amp;number=0.0157&amp;sourceID=14","0.0157")</f>
        <v>0.0157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HYPERLINK("http://141.218.60.56/~jnz1568/getInfo.php?workbook=10_05.xlsx&amp;sheet=U0&amp;row=6452&amp;col=6&amp;number=3.8&amp;sourceID=14","3.8")</f>
        <v>3.8</v>
      </c>
      <c r="G6452" s="4" t="str">
        <f>HYPERLINK("http://141.218.60.56/~jnz1568/getInfo.php?workbook=10_05.xlsx&amp;sheet=U0&amp;row=6452&amp;col=7&amp;number=0.0157&amp;sourceID=14","0.0157")</f>
        <v>0.0157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HYPERLINK("http://141.218.60.56/~jnz1568/getInfo.php?workbook=10_05.xlsx&amp;sheet=U0&amp;row=6453&amp;col=6&amp;number=3.9&amp;sourceID=14","3.9")</f>
        <v>3.9</v>
      </c>
      <c r="G6453" s="4" t="str">
        <f>HYPERLINK("http://141.218.60.56/~jnz1568/getInfo.php?workbook=10_05.xlsx&amp;sheet=U0&amp;row=6453&amp;col=7&amp;number=0.0156&amp;sourceID=14","0.0156")</f>
        <v>0.0156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HYPERLINK("http://141.218.60.56/~jnz1568/getInfo.php?workbook=10_05.xlsx&amp;sheet=U0&amp;row=6454&amp;col=6&amp;number=4&amp;sourceID=14","4")</f>
        <v>4</v>
      </c>
      <c r="G6454" s="4" t="str">
        <f>HYPERLINK("http://141.218.60.56/~jnz1568/getInfo.php?workbook=10_05.xlsx&amp;sheet=U0&amp;row=6454&amp;col=7&amp;number=0.0156&amp;sourceID=14","0.0156")</f>
        <v>0.0156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HYPERLINK("http://141.218.60.56/~jnz1568/getInfo.php?workbook=10_05.xlsx&amp;sheet=U0&amp;row=6455&amp;col=6&amp;number=4.1&amp;sourceID=14","4.1")</f>
        <v>4.1</v>
      </c>
      <c r="G6455" s="4" t="str">
        <f>HYPERLINK("http://141.218.60.56/~jnz1568/getInfo.php?workbook=10_05.xlsx&amp;sheet=U0&amp;row=6455&amp;col=7&amp;number=0.0156&amp;sourceID=14","0.0156")</f>
        <v>0.0156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HYPERLINK("http://141.218.60.56/~jnz1568/getInfo.php?workbook=10_05.xlsx&amp;sheet=U0&amp;row=6456&amp;col=6&amp;number=4.2&amp;sourceID=14","4.2")</f>
        <v>4.2</v>
      </c>
      <c r="G6456" s="4" t="str">
        <f>HYPERLINK("http://141.218.60.56/~jnz1568/getInfo.php?workbook=10_05.xlsx&amp;sheet=U0&amp;row=6456&amp;col=7&amp;number=0.0156&amp;sourceID=14","0.0156")</f>
        <v>0.0156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HYPERLINK("http://141.218.60.56/~jnz1568/getInfo.php?workbook=10_05.xlsx&amp;sheet=U0&amp;row=6457&amp;col=6&amp;number=4.3&amp;sourceID=14","4.3")</f>
        <v>4.3</v>
      </c>
      <c r="G6457" s="4" t="str">
        <f>HYPERLINK("http://141.218.60.56/~jnz1568/getInfo.php?workbook=10_05.xlsx&amp;sheet=U0&amp;row=6457&amp;col=7&amp;number=0.0155&amp;sourceID=14","0.0155")</f>
        <v>0.0155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HYPERLINK("http://141.218.60.56/~jnz1568/getInfo.php?workbook=10_05.xlsx&amp;sheet=U0&amp;row=6458&amp;col=6&amp;number=4.4&amp;sourceID=14","4.4")</f>
        <v>4.4</v>
      </c>
      <c r="G6458" s="4" t="str">
        <f>HYPERLINK("http://141.218.60.56/~jnz1568/getInfo.php?workbook=10_05.xlsx&amp;sheet=U0&amp;row=6458&amp;col=7&amp;number=0.0155&amp;sourceID=14","0.0155")</f>
        <v>0.0155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HYPERLINK("http://141.218.60.56/~jnz1568/getInfo.php?workbook=10_05.xlsx&amp;sheet=U0&amp;row=6459&amp;col=6&amp;number=4.5&amp;sourceID=14","4.5")</f>
        <v>4.5</v>
      </c>
      <c r="G6459" s="4" t="str">
        <f>HYPERLINK("http://141.218.60.56/~jnz1568/getInfo.php?workbook=10_05.xlsx&amp;sheet=U0&amp;row=6459&amp;col=7&amp;number=0.0155&amp;sourceID=14","0.0155")</f>
        <v>0.0155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HYPERLINK("http://141.218.60.56/~jnz1568/getInfo.php?workbook=10_05.xlsx&amp;sheet=U0&amp;row=6460&amp;col=6&amp;number=4.6&amp;sourceID=14","4.6")</f>
        <v>4.6</v>
      </c>
      <c r="G6460" s="4" t="str">
        <f>HYPERLINK("http://141.218.60.56/~jnz1568/getInfo.php?workbook=10_05.xlsx&amp;sheet=U0&amp;row=6460&amp;col=7&amp;number=0.0155&amp;sourceID=14","0.0155")</f>
        <v>0.0155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HYPERLINK("http://141.218.60.56/~jnz1568/getInfo.php?workbook=10_05.xlsx&amp;sheet=U0&amp;row=6461&amp;col=6&amp;number=4.7&amp;sourceID=14","4.7")</f>
        <v>4.7</v>
      </c>
      <c r="G6461" s="4" t="str">
        <f>HYPERLINK("http://141.218.60.56/~jnz1568/getInfo.php?workbook=10_05.xlsx&amp;sheet=U0&amp;row=6461&amp;col=7&amp;number=0.0156&amp;sourceID=14","0.0156")</f>
        <v>0.0156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HYPERLINK("http://141.218.60.56/~jnz1568/getInfo.php?workbook=10_05.xlsx&amp;sheet=U0&amp;row=6462&amp;col=6&amp;number=4.8&amp;sourceID=14","4.8")</f>
        <v>4.8</v>
      </c>
      <c r="G6462" s="4" t="str">
        <f>HYPERLINK("http://141.218.60.56/~jnz1568/getInfo.php?workbook=10_05.xlsx&amp;sheet=U0&amp;row=6462&amp;col=7&amp;number=0.0157&amp;sourceID=14","0.0157")</f>
        <v>0.0157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HYPERLINK("http://141.218.60.56/~jnz1568/getInfo.php?workbook=10_05.xlsx&amp;sheet=U0&amp;row=6463&amp;col=6&amp;number=4.9&amp;sourceID=14","4.9")</f>
        <v>4.9</v>
      </c>
      <c r="G6463" s="4" t="str">
        <f>HYPERLINK("http://141.218.60.56/~jnz1568/getInfo.php?workbook=10_05.xlsx&amp;sheet=U0&amp;row=6463&amp;col=7&amp;number=0.0159&amp;sourceID=14","0.0159")</f>
        <v>0.0159</v>
      </c>
    </row>
    <row r="6464" spans="1:7">
      <c r="A6464" s="3">
        <v>10</v>
      </c>
      <c r="B6464" s="3">
        <v>5</v>
      </c>
      <c r="C6464" s="3">
        <v>2</v>
      </c>
      <c r="D6464" s="3">
        <v>147</v>
      </c>
      <c r="E6464" s="3">
        <v>1</v>
      </c>
      <c r="F6464" s="4" t="str">
        <f>HYPERLINK("http://141.218.60.56/~jnz1568/getInfo.php?workbook=10_05.xlsx&amp;sheet=U0&amp;row=6464&amp;col=6&amp;number=3&amp;sourceID=14","3")</f>
        <v>3</v>
      </c>
      <c r="G6464" s="4" t="str">
        <f>HYPERLINK("http://141.218.60.56/~jnz1568/getInfo.php?workbook=10_05.xlsx&amp;sheet=U0&amp;row=6464&amp;col=7&amp;number=0.008&amp;sourceID=14","0.008")</f>
        <v>0.008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HYPERLINK("http://141.218.60.56/~jnz1568/getInfo.php?workbook=10_05.xlsx&amp;sheet=U0&amp;row=6465&amp;col=6&amp;number=3.1&amp;sourceID=14","3.1")</f>
        <v>3.1</v>
      </c>
      <c r="G6465" s="4" t="str">
        <f>HYPERLINK("http://141.218.60.56/~jnz1568/getInfo.php?workbook=10_05.xlsx&amp;sheet=U0&amp;row=6465&amp;col=7&amp;number=0.008&amp;sourceID=14","0.008")</f>
        <v>0.008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HYPERLINK("http://141.218.60.56/~jnz1568/getInfo.php?workbook=10_05.xlsx&amp;sheet=U0&amp;row=6466&amp;col=6&amp;number=3.2&amp;sourceID=14","3.2")</f>
        <v>3.2</v>
      </c>
      <c r="G6466" s="4" t="str">
        <f>HYPERLINK("http://141.218.60.56/~jnz1568/getInfo.php?workbook=10_05.xlsx&amp;sheet=U0&amp;row=6466&amp;col=7&amp;number=0.00801&amp;sourceID=14","0.00801")</f>
        <v>0.00801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HYPERLINK("http://141.218.60.56/~jnz1568/getInfo.php?workbook=10_05.xlsx&amp;sheet=U0&amp;row=6467&amp;col=6&amp;number=3.3&amp;sourceID=14","3.3")</f>
        <v>3.3</v>
      </c>
      <c r="G6467" s="4" t="str">
        <f>HYPERLINK("http://141.218.60.56/~jnz1568/getInfo.php?workbook=10_05.xlsx&amp;sheet=U0&amp;row=6467&amp;col=7&amp;number=0.00801&amp;sourceID=14","0.00801")</f>
        <v>0.00801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HYPERLINK("http://141.218.60.56/~jnz1568/getInfo.php?workbook=10_05.xlsx&amp;sheet=U0&amp;row=6468&amp;col=6&amp;number=3.4&amp;sourceID=14","3.4")</f>
        <v>3.4</v>
      </c>
      <c r="G6468" s="4" t="str">
        <f>HYPERLINK("http://141.218.60.56/~jnz1568/getInfo.php?workbook=10_05.xlsx&amp;sheet=U0&amp;row=6468&amp;col=7&amp;number=0.00801&amp;sourceID=14","0.00801")</f>
        <v>0.00801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HYPERLINK("http://141.218.60.56/~jnz1568/getInfo.php?workbook=10_05.xlsx&amp;sheet=U0&amp;row=6469&amp;col=6&amp;number=3.5&amp;sourceID=14","3.5")</f>
        <v>3.5</v>
      </c>
      <c r="G6469" s="4" t="str">
        <f>HYPERLINK("http://141.218.60.56/~jnz1568/getInfo.php?workbook=10_05.xlsx&amp;sheet=U0&amp;row=6469&amp;col=7&amp;number=0.00801&amp;sourceID=14","0.00801")</f>
        <v>0.00801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HYPERLINK("http://141.218.60.56/~jnz1568/getInfo.php?workbook=10_05.xlsx&amp;sheet=U0&amp;row=6470&amp;col=6&amp;number=3.6&amp;sourceID=14","3.6")</f>
        <v>3.6</v>
      </c>
      <c r="G6470" s="4" t="str">
        <f>HYPERLINK("http://141.218.60.56/~jnz1568/getInfo.php?workbook=10_05.xlsx&amp;sheet=U0&amp;row=6470&amp;col=7&amp;number=0.00802&amp;sourceID=14","0.00802")</f>
        <v>0.00802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HYPERLINK("http://141.218.60.56/~jnz1568/getInfo.php?workbook=10_05.xlsx&amp;sheet=U0&amp;row=6471&amp;col=6&amp;number=3.7&amp;sourceID=14","3.7")</f>
        <v>3.7</v>
      </c>
      <c r="G6471" s="4" t="str">
        <f>HYPERLINK("http://141.218.60.56/~jnz1568/getInfo.php?workbook=10_05.xlsx&amp;sheet=U0&amp;row=6471&amp;col=7&amp;number=0.00802&amp;sourceID=14","0.00802")</f>
        <v>0.00802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HYPERLINK("http://141.218.60.56/~jnz1568/getInfo.php?workbook=10_05.xlsx&amp;sheet=U0&amp;row=6472&amp;col=6&amp;number=3.8&amp;sourceID=14","3.8")</f>
        <v>3.8</v>
      </c>
      <c r="G6472" s="4" t="str">
        <f>HYPERLINK("http://141.218.60.56/~jnz1568/getInfo.php?workbook=10_05.xlsx&amp;sheet=U0&amp;row=6472&amp;col=7&amp;number=0.00803&amp;sourceID=14","0.00803")</f>
        <v>0.00803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HYPERLINK("http://141.218.60.56/~jnz1568/getInfo.php?workbook=10_05.xlsx&amp;sheet=U0&amp;row=6473&amp;col=6&amp;number=3.9&amp;sourceID=14","3.9")</f>
        <v>3.9</v>
      </c>
      <c r="G6473" s="4" t="str">
        <f>HYPERLINK("http://141.218.60.56/~jnz1568/getInfo.php?workbook=10_05.xlsx&amp;sheet=U0&amp;row=6473&amp;col=7&amp;number=0.00804&amp;sourceID=14","0.00804")</f>
        <v>0.00804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HYPERLINK("http://141.218.60.56/~jnz1568/getInfo.php?workbook=10_05.xlsx&amp;sheet=U0&amp;row=6474&amp;col=6&amp;number=4&amp;sourceID=14","4")</f>
        <v>4</v>
      </c>
      <c r="G6474" s="4" t="str">
        <f>HYPERLINK("http://141.218.60.56/~jnz1568/getInfo.php?workbook=10_05.xlsx&amp;sheet=U0&amp;row=6474&amp;col=7&amp;number=0.00805&amp;sourceID=14","0.00805")</f>
        <v>0.00805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HYPERLINK("http://141.218.60.56/~jnz1568/getInfo.php?workbook=10_05.xlsx&amp;sheet=U0&amp;row=6475&amp;col=6&amp;number=4.1&amp;sourceID=14","4.1")</f>
        <v>4.1</v>
      </c>
      <c r="G6475" s="4" t="str">
        <f>HYPERLINK("http://141.218.60.56/~jnz1568/getInfo.php?workbook=10_05.xlsx&amp;sheet=U0&amp;row=6475&amp;col=7&amp;number=0.00805&amp;sourceID=14","0.00805")</f>
        <v>0.00805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HYPERLINK("http://141.218.60.56/~jnz1568/getInfo.php?workbook=10_05.xlsx&amp;sheet=U0&amp;row=6476&amp;col=6&amp;number=4.2&amp;sourceID=14","4.2")</f>
        <v>4.2</v>
      </c>
      <c r="G6476" s="4" t="str">
        <f>HYPERLINK("http://141.218.60.56/~jnz1568/getInfo.php?workbook=10_05.xlsx&amp;sheet=U0&amp;row=6476&amp;col=7&amp;number=0.00806&amp;sourceID=14","0.00806")</f>
        <v>0.00806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HYPERLINK("http://141.218.60.56/~jnz1568/getInfo.php?workbook=10_05.xlsx&amp;sheet=U0&amp;row=6477&amp;col=6&amp;number=4.3&amp;sourceID=14","4.3")</f>
        <v>4.3</v>
      </c>
      <c r="G6477" s="4" t="str">
        <f>HYPERLINK("http://141.218.60.56/~jnz1568/getInfo.php?workbook=10_05.xlsx&amp;sheet=U0&amp;row=6477&amp;col=7&amp;number=0.00807&amp;sourceID=14","0.00807")</f>
        <v>0.00807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HYPERLINK("http://141.218.60.56/~jnz1568/getInfo.php?workbook=10_05.xlsx&amp;sheet=U0&amp;row=6478&amp;col=6&amp;number=4.4&amp;sourceID=14","4.4")</f>
        <v>4.4</v>
      </c>
      <c r="G6478" s="4" t="str">
        <f>HYPERLINK("http://141.218.60.56/~jnz1568/getInfo.php?workbook=10_05.xlsx&amp;sheet=U0&amp;row=6478&amp;col=7&amp;number=0.00807&amp;sourceID=14","0.00807")</f>
        <v>0.00807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HYPERLINK("http://141.218.60.56/~jnz1568/getInfo.php?workbook=10_05.xlsx&amp;sheet=U0&amp;row=6479&amp;col=6&amp;number=4.5&amp;sourceID=14","4.5")</f>
        <v>4.5</v>
      </c>
      <c r="G6479" s="4" t="str">
        <f>HYPERLINK("http://141.218.60.56/~jnz1568/getInfo.php?workbook=10_05.xlsx&amp;sheet=U0&amp;row=6479&amp;col=7&amp;number=0.00806&amp;sourceID=14","0.00806")</f>
        <v>0.00806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HYPERLINK("http://141.218.60.56/~jnz1568/getInfo.php?workbook=10_05.xlsx&amp;sheet=U0&amp;row=6480&amp;col=6&amp;number=4.6&amp;sourceID=14","4.6")</f>
        <v>4.6</v>
      </c>
      <c r="G6480" s="4" t="str">
        <f>HYPERLINK("http://141.218.60.56/~jnz1568/getInfo.php?workbook=10_05.xlsx&amp;sheet=U0&amp;row=6480&amp;col=7&amp;number=0.00805&amp;sourceID=14","0.00805")</f>
        <v>0.00805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HYPERLINK("http://141.218.60.56/~jnz1568/getInfo.php?workbook=10_05.xlsx&amp;sheet=U0&amp;row=6481&amp;col=6&amp;number=4.7&amp;sourceID=14","4.7")</f>
        <v>4.7</v>
      </c>
      <c r="G6481" s="4" t="str">
        <f>HYPERLINK("http://141.218.60.56/~jnz1568/getInfo.php?workbook=10_05.xlsx&amp;sheet=U0&amp;row=6481&amp;col=7&amp;number=0.00805&amp;sourceID=14","0.00805")</f>
        <v>0.00805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HYPERLINK("http://141.218.60.56/~jnz1568/getInfo.php?workbook=10_05.xlsx&amp;sheet=U0&amp;row=6482&amp;col=6&amp;number=4.8&amp;sourceID=14","4.8")</f>
        <v>4.8</v>
      </c>
      <c r="G6482" s="4" t="str">
        <f>HYPERLINK("http://141.218.60.56/~jnz1568/getInfo.php?workbook=10_05.xlsx&amp;sheet=U0&amp;row=6482&amp;col=7&amp;number=0.00804&amp;sourceID=14","0.00804")</f>
        <v>0.00804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HYPERLINK("http://141.218.60.56/~jnz1568/getInfo.php?workbook=10_05.xlsx&amp;sheet=U0&amp;row=6483&amp;col=6&amp;number=4.9&amp;sourceID=14","4.9")</f>
        <v>4.9</v>
      </c>
      <c r="G6483" s="4" t="str">
        <f>HYPERLINK("http://141.218.60.56/~jnz1568/getInfo.php?workbook=10_05.xlsx&amp;sheet=U0&amp;row=6483&amp;col=7&amp;number=0.00803&amp;sourceID=14","0.00803")</f>
        <v>0.00803</v>
      </c>
    </row>
    <row r="6484" spans="1:7">
      <c r="A6484" s="3">
        <v>10</v>
      </c>
      <c r="B6484" s="3">
        <v>5</v>
      </c>
      <c r="C6484" s="3">
        <v>2</v>
      </c>
      <c r="D6484" s="3">
        <v>148</v>
      </c>
      <c r="E6484" s="3">
        <v>1</v>
      </c>
      <c r="F6484" s="4" t="str">
        <f>HYPERLINK("http://141.218.60.56/~jnz1568/getInfo.php?workbook=10_05.xlsx&amp;sheet=U0&amp;row=6484&amp;col=6&amp;number=3&amp;sourceID=14","3")</f>
        <v>3</v>
      </c>
      <c r="G6484" s="4" t="str">
        <f>HYPERLINK("http://141.218.60.56/~jnz1568/getInfo.php?workbook=10_05.xlsx&amp;sheet=U0&amp;row=6484&amp;col=7&amp;number=0.00629&amp;sourceID=14","0.00629")</f>
        <v>0.00629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HYPERLINK("http://141.218.60.56/~jnz1568/getInfo.php?workbook=10_05.xlsx&amp;sheet=U0&amp;row=6485&amp;col=6&amp;number=3.1&amp;sourceID=14","3.1")</f>
        <v>3.1</v>
      </c>
      <c r="G6485" s="4" t="str">
        <f>HYPERLINK("http://141.218.60.56/~jnz1568/getInfo.php?workbook=10_05.xlsx&amp;sheet=U0&amp;row=6485&amp;col=7&amp;number=0.00629&amp;sourceID=14","0.00629")</f>
        <v>0.00629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HYPERLINK("http://141.218.60.56/~jnz1568/getInfo.php?workbook=10_05.xlsx&amp;sheet=U0&amp;row=6486&amp;col=6&amp;number=3.2&amp;sourceID=14","3.2")</f>
        <v>3.2</v>
      </c>
      <c r="G6486" s="4" t="str">
        <f>HYPERLINK("http://141.218.60.56/~jnz1568/getInfo.php?workbook=10_05.xlsx&amp;sheet=U0&amp;row=6486&amp;col=7&amp;number=0.0063&amp;sourceID=14","0.0063")</f>
        <v>0.0063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HYPERLINK("http://141.218.60.56/~jnz1568/getInfo.php?workbook=10_05.xlsx&amp;sheet=U0&amp;row=6487&amp;col=6&amp;number=3.3&amp;sourceID=14","3.3")</f>
        <v>3.3</v>
      </c>
      <c r="G6487" s="4" t="str">
        <f>HYPERLINK("http://141.218.60.56/~jnz1568/getInfo.php?workbook=10_05.xlsx&amp;sheet=U0&amp;row=6487&amp;col=7&amp;number=0.0063&amp;sourceID=14","0.0063")</f>
        <v>0.0063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HYPERLINK("http://141.218.60.56/~jnz1568/getInfo.php?workbook=10_05.xlsx&amp;sheet=U0&amp;row=6488&amp;col=6&amp;number=3.4&amp;sourceID=14","3.4")</f>
        <v>3.4</v>
      </c>
      <c r="G6488" s="4" t="str">
        <f>HYPERLINK("http://141.218.60.56/~jnz1568/getInfo.php?workbook=10_05.xlsx&amp;sheet=U0&amp;row=6488&amp;col=7&amp;number=0.0063&amp;sourceID=14","0.0063")</f>
        <v>0.0063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HYPERLINK("http://141.218.60.56/~jnz1568/getInfo.php?workbook=10_05.xlsx&amp;sheet=U0&amp;row=6489&amp;col=6&amp;number=3.5&amp;sourceID=14","3.5")</f>
        <v>3.5</v>
      </c>
      <c r="G6489" s="4" t="str">
        <f>HYPERLINK("http://141.218.60.56/~jnz1568/getInfo.php?workbook=10_05.xlsx&amp;sheet=U0&amp;row=6489&amp;col=7&amp;number=0.0063&amp;sourceID=14","0.0063")</f>
        <v>0.0063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HYPERLINK("http://141.218.60.56/~jnz1568/getInfo.php?workbook=10_05.xlsx&amp;sheet=U0&amp;row=6490&amp;col=6&amp;number=3.6&amp;sourceID=14","3.6")</f>
        <v>3.6</v>
      </c>
      <c r="G6490" s="4" t="str">
        <f>HYPERLINK("http://141.218.60.56/~jnz1568/getInfo.php?workbook=10_05.xlsx&amp;sheet=U0&amp;row=6490&amp;col=7&amp;number=0.0063&amp;sourceID=14","0.0063")</f>
        <v>0.0063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HYPERLINK("http://141.218.60.56/~jnz1568/getInfo.php?workbook=10_05.xlsx&amp;sheet=U0&amp;row=6491&amp;col=6&amp;number=3.7&amp;sourceID=14","3.7")</f>
        <v>3.7</v>
      </c>
      <c r="G6491" s="4" t="str">
        <f>HYPERLINK("http://141.218.60.56/~jnz1568/getInfo.php?workbook=10_05.xlsx&amp;sheet=U0&amp;row=6491&amp;col=7&amp;number=0.0063&amp;sourceID=14","0.0063")</f>
        <v>0.0063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HYPERLINK("http://141.218.60.56/~jnz1568/getInfo.php?workbook=10_05.xlsx&amp;sheet=U0&amp;row=6492&amp;col=6&amp;number=3.8&amp;sourceID=14","3.8")</f>
        <v>3.8</v>
      </c>
      <c r="G6492" s="4" t="str">
        <f>HYPERLINK("http://141.218.60.56/~jnz1568/getInfo.php?workbook=10_05.xlsx&amp;sheet=U0&amp;row=6492&amp;col=7&amp;number=0.00631&amp;sourceID=14","0.00631")</f>
        <v>0.00631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HYPERLINK("http://141.218.60.56/~jnz1568/getInfo.php?workbook=10_05.xlsx&amp;sheet=U0&amp;row=6493&amp;col=6&amp;number=3.9&amp;sourceID=14","3.9")</f>
        <v>3.9</v>
      </c>
      <c r="G6493" s="4" t="str">
        <f>HYPERLINK("http://141.218.60.56/~jnz1568/getInfo.php?workbook=10_05.xlsx&amp;sheet=U0&amp;row=6493&amp;col=7&amp;number=0.00631&amp;sourceID=14","0.00631")</f>
        <v>0.00631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HYPERLINK("http://141.218.60.56/~jnz1568/getInfo.php?workbook=10_05.xlsx&amp;sheet=U0&amp;row=6494&amp;col=6&amp;number=4&amp;sourceID=14","4")</f>
        <v>4</v>
      </c>
      <c r="G6494" s="4" t="str">
        <f>HYPERLINK("http://141.218.60.56/~jnz1568/getInfo.php?workbook=10_05.xlsx&amp;sheet=U0&amp;row=6494&amp;col=7&amp;number=0.00631&amp;sourceID=14","0.00631")</f>
        <v>0.00631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HYPERLINK("http://141.218.60.56/~jnz1568/getInfo.php?workbook=10_05.xlsx&amp;sheet=U0&amp;row=6495&amp;col=6&amp;number=4.1&amp;sourceID=14","4.1")</f>
        <v>4.1</v>
      </c>
      <c r="G6495" s="4" t="str">
        <f>HYPERLINK("http://141.218.60.56/~jnz1568/getInfo.php?workbook=10_05.xlsx&amp;sheet=U0&amp;row=6495&amp;col=7&amp;number=0.00632&amp;sourceID=14","0.00632")</f>
        <v>0.00632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HYPERLINK("http://141.218.60.56/~jnz1568/getInfo.php?workbook=10_05.xlsx&amp;sheet=U0&amp;row=6496&amp;col=6&amp;number=4.2&amp;sourceID=14","4.2")</f>
        <v>4.2</v>
      </c>
      <c r="G6496" s="4" t="str">
        <f>HYPERLINK("http://141.218.60.56/~jnz1568/getInfo.php?workbook=10_05.xlsx&amp;sheet=U0&amp;row=6496&amp;col=7&amp;number=0.00632&amp;sourceID=14","0.00632")</f>
        <v>0.00632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HYPERLINK("http://141.218.60.56/~jnz1568/getInfo.php?workbook=10_05.xlsx&amp;sheet=U0&amp;row=6497&amp;col=6&amp;number=4.3&amp;sourceID=14","4.3")</f>
        <v>4.3</v>
      </c>
      <c r="G6497" s="4" t="str">
        <f>HYPERLINK("http://141.218.60.56/~jnz1568/getInfo.php?workbook=10_05.xlsx&amp;sheet=U0&amp;row=6497&amp;col=7&amp;number=0.00633&amp;sourceID=14","0.00633")</f>
        <v>0.00633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HYPERLINK("http://141.218.60.56/~jnz1568/getInfo.php?workbook=10_05.xlsx&amp;sheet=U0&amp;row=6498&amp;col=6&amp;number=4.4&amp;sourceID=14","4.4")</f>
        <v>4.4</v>
      </c>
      <c r="G6498" s="4" t="str">
        <f>HYPERLINK("http://141.218.60.56/~jnz1568/getInfo.php?workbook=10_05.xlsx&amp;sheet=U0&amp;row=6498&amp;col=7&amp;number=0.00633&amp;sourceID=14","0.00633")</f>
        <v>0.00633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HYPERLINK("http://141.218.60.56/~jnz1568/getInfo.php?workbook=10_05.xlsx&amp;sheet=U0&amp;row=6499&amp;col=6&amp;number=4.5&amp;sourceID=14","4.5")</f>
        <v>4.5</v>
      </c>
      <c r="G6499" s="4" t="str">
        <f>HYPERLINK("http://141.218.60.56/~jnz1568/getInfo.php?workbook=10_05.xlsx&amp;sheet=U0&amp;row=6499&amp;col=7&amp;number=0.00633&amp;sourceID=14","0.00633")</f>
        <v>0.00633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HYPERLINK("http://141.218.60.56/~jnz1568/getInfo.php?workbook=10_05.xlsx&amp;sheet=U0&amp;row=6500&amp;col=6&amp;number=4.6&amp;sourceID=14","4.6")</f>
        <v>4.6</v>
      </c>
      <c r="G6500" s="4" t="str">
        <f>HYPERLINK("http://141.218.60.56/~jnz1568/getInfo.php?workbook=10_05.xlsx&amp;sheet=U0&amp;row=6500&amp;col=7&amp;number=0.00632&amp;sourceID=14","0.00632")</f>
        <v>0.00632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HYPERLINK("http://141.218.60.56/~jnz1568/getInfo.php?workbook=10_05.xlsx&amp;sheet=U0&amp;row=6501&amp;col=6&amp;number=4.7&amp;sourceID=14","4.7")</f>
        <v>4.7</v>
      </c>
      <c r="G6501" s="4" t="str">
        <f>HYPERLINK("http://141.218.60.56/~jnz1568/getInfo.php?workbook=10_05.xlsx&amp;sheet=U0&amp;row=6501&amp;col=7&amp;number=0.00632&amp;sourceID=14","0.00632")</f>
        <v>0.00632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HYPERLINK("http://141.218.60.56/~jnz1568/getInfo.php?workbook=10_05.xlsx&amp;sheet=U0&amp;row=6502&amp;col=6&amp;number=4.8&amp;sourceID=14","4.8")</f>
        <v>4.8</v>
      </c>
      <c r="G6502" s="4" t="str">
        <f>HYPERLINK("http://141.218.60.56/~jnz1568/getInfo.php?workbook=10_05.xlsx&amp;sheet=U0&amp;row=6502&amp;col=7&amp;number=0.00631&amp;sourceID=14","0.00631")</f>
        <v>0.00631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HYPERLINK("http://141.218.60.56/~jnz1568/getInfo.php?workbook=10_05.xlsx&amp;sheet=U0&amp;row=6503&amp;col=6&amp;number=4.9&amp;sourceID=14","4.9")</f>
        <v>4.9</v>
      </c>
      <c r="G6503" s="4" t="str">
        <f>HYPERLINK("http://141.218.60.56/~jnz1568/getInfo.php?workbook=10_05.xlsx&amp;sheet=U0&amp;row=6503&amp;col=7&amp;number=0.00632&amp;sourceID=14","0.00632")</f>
        <v>0.00632</v>
      </c>
    </row>
    <row r="6504" spans="1:7">
      <c r="A6504" s="3">
        <v>10</v>
      </c>
      <c r="B6504" s="3">
        <v>5</v>
      </c>
      <c r="C6504" s="3">
        <v>2</v>
      </c>
      <c r="D6504" s="3">
        <v>149</v>
      </c>
      <c r="E6504" s="3">
        <v>1</v>
      </c>
      <c r="F6504" s="4" t="str">
        <f>HYPERLINK("http://141.218.60.56/~jnz1568/getInfo.php?workbook=10_05.xlsx&amp;sheet=U0&amp;row=6504&amp;col=6&amp;number=3&amp;sourceID=14","3")</f>
        <v>3</v>
      </c>
      <c r="G6504" s="4" t="str">
        <f>HYPERLINK("http://141.218.60.56/~jnz1568/getInfo.php?workbook=10_05.xlsx&amp;sheet=U0&amp;row=6504&amp;col=7&amp;number=0.00333&amp;sourceID=14","0.00333")</f>
        <v>0.00333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HYPERLINK("http://141.218.60.56/~jnz1568/getInfo.php?workbook=10_05.xlsx&amp;sheet=U0&amp;row=6505&amp;col=6&amp;number=3.1&amp;sourceID=14","3.1")</f>
        <v>3.1</v>
      </c>
      <c r="G6505" s="4" t="str">
        <f>HYPERLINK("http://141.218.60.56/~jnz1568/getInfo.php?workbook=10_05.xlsx&amp;sheet=U0&amp;row=6505&amp;col=7&amp;number=0.00333&amp;sourceID=14","0.00333")</f>
        <v>0.00333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HYPERLINK("http://141.218.60.56/~jnz1568/getInfo.php?workbook=10_05.xlsx&amp;sheet=U0&amp;row=6506&amp;col=6&amp;number=3.2&amp;sourceID=14","3.2")</f>
        <v>3.2</v>
      </c>
      <c r="G6506" s="4" t="str">
        <f>HYPERLINK("http://141.218.60.56/~jnz1568/getInfo.php?workbook=10_05.xlsx&amp;sheet=U0&amp;row=6506&amp;col=7&amp;number=0.00333&amp;sourceID=14","0.00333")</f>
        <v>0.00333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HYPERLINK("http://141.218.60.56/~jnz1568/getInfo.php?workbook=10_05.xlsx&amp;sheet=U0&amp;row=6507&amp;col=6&amp;number=3.3&amp;sourceID=14","3.3")</f>
        <v>3.3</v>
      </c>
      <c r="G6507" s="4" t="str">
        <f>HYPERLINK("http://141.218.60.56/~jnz1568/getInfo.php?workbook=10_05.xlsx&amp;sheet=U0&amp;row=6507&amp;col=7&amp;number=0.00333&amp;sourceID=14","0.00333")</f>
        <v>0.00333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HYPERLINK("http://141.218.60.56/~jnz1568/getInfo.php?workbook=10_05.xlsx&amp;sheet=U0&amp;row=6508&amp;col=6&amp;number=3.4&amp;sourceID=14","3.4")</f>
        <v>3.4</v>
      </c>
      <c r="G6508" s="4" t="str">
        <f>HYPERLINK("http://141.218.60.56/~jnz1568/getInfo.php?workbook=10_05.xlsx&amp;sheet=U0&amp;row=6508&amp;col=7&amp;number=0.00333&amp;sourceID=14","0.00333")</f>
        <v>0.00333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HYPERLINK("http://141.218.60.56/~jnz1568/getInfo.php?workbook=10_05.xlsx&amp;sheet=U0&amp;row=6509&amp;col=6&amp;number=3.5&amp;sourceID=14","3.5")</f>
        <v>3.5</v>
      </c>
      <c r="G6509" s="4" t="str">
        <f>HYPERLINK("http://141.218.60.56/~jnz1568/getInfo.php?workbook=10_05.xlsx&amp;sheet=U0&amp;row=6509&amp;col=7&amp;number=0.00333&amp;sourceID=14","0.00333")</f>
        <v>0.00333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HYPERLINK("http://141.218.60.56/~jnz1568/getInfo.php?workbook=10_05.xlsx&amp;sheet=U0&amp;row=6510&amp;col=6&amp;number=3.6&amp;sourceID=14","3.6")</f>
        <v>3.6</v>
      </c>
      <c r="G6510" s="4" t="str">
        <f>HYPERLINK("http://141.218.60.56/~jnz1568/getInfo.php?workbook=10_05.xlsx&amp;sheet=U0&amp;row=6510&amp;col=7&amp;number=0.00333&amp;sourceID=14","0.00333")</f>
        <v>0.00333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HYPERLINK("http://141.218.60.56/~jnz1568/getInfo.php?workbook=10_05.xlsx&amp;sheet=U0&amp;row=6511&amp;col=6&amp;number=3.7&amp;sourceID=14","3.7")</f>
        <v>3.7</v>
      </c>
      <c r="G6511" s="4" t="str">
        <f>HYPERLINK("http://141.218.60.56/~jnz1568/getInfo.php?workbook=10_05.xlsx&amp;sheet=U0&amp;row=6511&amp;col=7&amp;number=0.00333&amp;sourceID=14","0.00333")</f>
        <v>0.00333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HYPERLINK("http://141.218.60.56/~jnz1568/getInfo.php?workbook=10_05.xlsx&amp;sheet=U0&amp;row=6512&amp;col=6&amp;number=3.8&amp;sourceID=14","3.8")</f>
        <v>3.8</v>
      </c>
      <c r="G6512" s="4" t="str">
        <f>HYPERLINK("http://141.218.60.56/~jnz1568/getInfo.php?workbook=10_05.xlsx&amp;sheet=U0&amp;row=6512&amp;col=7&amp;number=0.00333&amp;sourceID=14","0.00333")</f>
        <v>0.00333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HYPERLINK("http://141.218.60.56/~jnz1568/getInfo.php?workbook=10_05.xlsx&amp;sheet=U0&amp;row=6513&amp;col=6&amp;number=3.9&amp;sourceID=14","3.9")</f>
        <v>3.9</v>
      </c>
      <c r="G6513" s="4" t="str">
        <f>HYPERLINK("http://141.218.60.56/~jnz1568/getInfo.php?workbook=10_05.xlsx&amp;sheet=U0&amp;row=6513&amp;col=7&amp;number=0.00333&amp;sourceID=14","0.00333")</f>
        <v>0.00333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HYPERLINK("http://141.218.60.56/~jnz1568/getInfo.php?workbook=10_05.xlsx&amp;sheet=U0&amp;row=6514&amp;col=6&amp;number=4&amp;sourceID=14","4")</f>
        <v>4</v>
      </c>
      <c r="G6514" s="4" t="str">
        <f>HYPERLINK("http://141.218.60.56/~jnz1568/getInfo.php?workbook=10_05.xlsx&amp;sheet=U0&amp;row=6514&amp;col=7&amp;number=0.00333&amp;sourceID=14","0.00333")</f>
        <v>0.00333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HYPERLINK("http://141.218.60.56/~jnz1568/getInfo.php?workbook=10_05.xlsx&amp;sheet=U0&amp;row=6515&amp;col=6&amp;number=4.1&amp;sourceID=14","4.1")</f>
        <v>4.1</v>
      </c>
      <c r="G6515" s="4" t="str">
        <f>HYPERLINK("http://141.218.60.56/~jnz1568/getInfo.php?workbook=10_05.xlsx&amp;sheet=U0&amp;row=6515&amp;col=7&amp;number=0.00333&amp;sourceID=14","0.00333")</f>
        <v>0.00333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HYPERLINK("http://141.218.60.56/~jnz1568/getInfo.php?workbook=10_05.xlsx&amp;sheet=U0&amp;row=6516&amp;col=6&amp;number=4.2&amp;sourceID=14","4.2")</f>
        <v>4.2</v>
      </c>
      <c r="G6516" s="4" t="str">
        <f>HYPERLINK("http://141.218.60.56/~jnz1568/getInfo.php?workbook=10_05.xlsx&amp;sheet=U0&amp;row=6516&amp;col=7&amp;number=0.00333&amp;sourceID=14","0.00333")</f>
        <v>0.00333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HYPERLINK("http://141.218.60.56/~jnz1568/getInfo.php?workbook=10_05.xlsx&amp;sheet=U0&amp;row=6517&amp;col=6&amp;number=4.3&amp;sourceID=14","4.3")</f>
        <v>4.3</v>
      </c>
      <c r="G6517" s="4" t="str">
        <f>HYPERLINK("http://141.218.60.56/~jnz1568/getInfo.php?workbook=10_05.xlsx&amp;sheet=U0&amp;row=6517&amp;col=7&amp;number=0.00333&amp;sourceID=14","0.00333")</f>
        <v>0.00333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HYPERLINK("http://141.218.60.56/~jnz1568/getInfo.php?workbook=10_05.xlsx&amp;sheet=U0&amp;row=6518&amp;col=6&amp;number=4.4&amp;sourceID=14","4.4")</f>
        <v>4.4</v>
      </c>
      <c r="G6518" s="4" t="str">
        <f>HYPERLINK("http://141.218.60.56/~jnz1568/getInfo.php?workbook=10_05.xlsx&amp;sheet=U0&amp;row=6518&amp;col=7&amp;number=0.00333&amp;sourceID=14","0.00333")</f>
        <v>0.00333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HYPERLINK("http://141.218.60.56/~jnz1568/getInfo.php?workbook=10_05.xlsx&amp;sheet=U0&amp;row=6519&amp;col=6&amp;number=4.5&amp;sourceID=14","4.5")</f>
        <v>4.5</v>
      </c>
      <c r="G6519" s="4" t="str">
        <f>HYPERLINK("http://141.218.60.56/~jnz1568/getInfo.php?workbook=10_05.xlsx&amp;sheet=U0&amp;row=6519&amp;col=7&amp;number=0.00332&amp;sourceID=14","0.00332")</f>
        <v>0.00332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HYPERLINK("http://141.218.60.56/~jnz1568/getInfo.php?workbook=10_05.xlsx&amp;sheet=U0&amp;row=6520&amp;col=6&amp;number=4.6&amp;sourceID=14","4.6")</f>
        <v>4.6</v>
      </c>
      <c r="G6520" s="4" t="str">
        <f>HYPERLINK("http://141.218.60.56/~jnz1568/getInfo.php?workbook=10_05.xlsx&amp;sheet=U0&amp;row=6520&amp;col=7&amp;number=0.00332&amp;sourceID=14","0.00332")</f>
        <v>0.00332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HYPERLINK("http://141.218.60.56/~jnz1568/getInfo.php?workbook=10_05.xlsx&amp;sheet=U0&amp;row=6521&amp;col=6&amp;number=4.7&amp;sourceID=14","4.7")</f>
        <v>4.7</v>
      </c>
      <c r="G6521" s="4" t="str">
        <f>HYPERLINK("http://141.218.60.56/~jnz1568/getInfo.php?workbook=10_05.xlsx&amp;sheet=U0&amp;row=6521&amp;col=7&amp;number=0.00331&amp;sourceID=14","0.00331")</f>
        <v>0.00331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HYPERLINK("http://141.218.60.56/~jnz1568/getInfo.php?workbook=10_05.xlsx&amp;sheet=U0&amp;row=6522&amp;col=6&amp;number=4.8&amp;sourceID=14","4.8")</f>
        <v>4.8</v>
      </c>
      <c r="G6522" s="4" t="str">
        <f>HYPERLINK("http://141.218.60.56/~jnz1568/getInfo.php?workbook=10_05.xlsx&amp;sheet=U0&amp;row=6522&amp;col=7&amp;number=0.0033&amp;sourceID=14","0.0033")</f>
        <v>0.0033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HYPERLINK("http://141.218.60.56/~jnz1568/getInfo.php?workbook=10_05.xlsx&amp;sheet=U0&amp;row=6523&amp;col=6&amp;number=4.9&amp;sourceID=14","4.9")</f>
        <v>4.9</v>
      </c>
      <c r="G6523" s="4" t="str">
        <f>HYPERLINK("http://141.218.60.56/~jnz1568/getInfo.php?workbook=10_05.xlsx&amp;sheet=U0&amp;row=6523&amp;col=7&amp;number=0.00328&amp;sourceID=14","0.00328")</f>
        <v>0.00328</v>
      </c>
    </row>
    <row r="6524" spans="1:7">
      <c r="A6524" s="3">
        <v>10</v>
      </c>
      <c r="B6524" s="3">
        <v>5</v>
      </c>
      <c r="C6524" s="3">
        <v>2</v>
      </c>
      <c r="D6524" s="3">
        <v>150</v>
      </c>
      <c r="E6524" s="3">
        <v>1</v>
      </c>
      <c r="F6524" s="4" t="str">
        <f>HYPERLINK("http://141.218.60.56/~jnz1568/getInfo.php?workbook=10_05.xlsx&amp;sheet=U0&amp;row=6524&amp;col=6&amp;number=3&amp;sourceID=14","3")</f>
        <v>3</v>
      </c>
      <c r="G6524" s="4" t="str">
        <f>HYPERLINK("http://141.218.60.56/~jnz1568/getInfo.php?workbook=10_05.xlsx&amp;sheet=U0&amp;row=6524&amp;col=7&amp;number=0.00129&amp;sourceID=14","0.00129")</f>
        <v>0.00129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HYPERLINK("http://141.218.60.56/~jnz1568/getInfo.php?workbook=10_05.xlsx&amp;sheet=U0&amp;row=6525&amp;col=6&amp;number=3.1&amp;sourceID=14","3.1")</f>
        <v>3.1</v>
      </c>
      <c r="G6525" s="4" t="str">
        <f>HYPERLINK("http://141.218.60.56/~jnz1568/getInfo.php?workbook=10_05.xlsx&amp;sheet=U0&amp;row=6525&amp;col=7&amp;number=0.00129&amp;sourceID=14","0.00129")</f>
        <v>0.00129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HYPERLINK("http://141.218.60.56/~jnz1568/getInfo.php?workbook=10_05.xlsx&amp;sheet=U0&amp;row=6526&amp;col=6&amp;number=3.2&amp;sourceID=14","3.2")</f>
        <v>3.2</v>
      </c>
      <c r="G6526" s="4" t="str">
        <f>HYPERLINK("http://141.218.60.56/~jnz1568/getInfo.php?workbook=10_05.xlsx&amp;sheet=U0&amp;row=6526&amp;col=7&amp;number=0.00128&amp;sourceID=14","0.00128")</f>
        <v>0.00128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HYPERLINK("http://141.218.60.56/~jnz1568/getInfo.php?workbook=10_05.xlsx&amp;sheet=U0&amp;row=6527&amp;col=6&amp;number=3.3&amp;sourceID=14","3.3")</f>
        <v>3.3</v>
      </c>
      <c r="G6527" s="4" t="str">
        <f>HYPERLINK("http://141.218.60.56/~jnz1568/getInfo.php?workbook=10_05.xlsx&amp;sheet=U0&amp;row=6527&amp;col=7&amp;number=0.00127&amp;sourceID=14","0.00127")</f>
        <v>0.00127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HYPERLINK("http://141.218.60.56/~jnz1568/getInfo.php?workbook=10_05.xlsx&amp;sheet=U0&amp;row=6528&amp;col=6&amp;number=3.4&amp;sourceID=14","3.4")</f>
        <v>3.4</v>
      </c>
      <c r="G6528" s="4" t="str">
        <f>HYPERLINK("http://141.218.60.56/~jnz1568/getInfo.php?workbook=10_05.xlsx&amp;sheet=U0&amp;row=6528&amp;col=7&amp;number=0.00126&amp;sourceID=14","0.00126")</f>
        <v>0.00126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HYPERLINK("http://141.218.60.56/~jnz1568/getInfo.php?workbook=10_05.xlsx&amp;sheet=U0&amp;row=6529&amp;col=6&amp;number=3.5&amp;sourceID=14","3.5")</f>
        <v>3.5</v>
      </c>
      <c r="G6529" s="4" t="str">
        <f>HYPERLINK("http://141.218.60.56/~jnz1568/getInfo.php?workbook=10_05.xlsx&amp;sheet=U0&amp;row=6529&amp;col=7&amp;number=0.00124&amp;sourceID=14","0.00124")</f>
        <v>0.00124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HYPERLINK("http://141.218.60.56/~jnz1568/getInfo.php?workbook=10_05.xlsx&amp;sheet=U0&amp;row=6530&amp;col=6&amp;number=3.6&amp;sourceID=14","3.6")</f>
        <v>3.6</v>
      </c>
      <c r="G6530" s="4" t="str">
        <f>HYPERLINK("http://141.218.60.56/~jnz1568/getInfo.php?workbook=10_05.xlsx&amp;sheet=U0&amp;row=6530&amp;col=7&amp;number=0.00122&amp;sourceID=14","0.00122")</f>
        <v>0.00122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HYPERLINK("http://141.218.60.56/~jnz1568/getInfo.php?workbook=10_05.xlsx&amp;sheet=U0&amp;row=6531&amp;col=6&amp;number=3.7&amp;sourceID=14","3.7")</f>
        <v>3.7</v>
      </c>
      <c r="G6531" s="4" t="str">
        <f>HYPERLINK("http://141.218.60.56/~jnz1568/getInfo.php?workbook=10_05.xlsx&amp;sheet=U0&amp;row=6531&amp;col=7&amp;number=0.0012&amp;sourceID=14","0.0012")</f>
        <v>0.0012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HYPERLINK("http://141.218.60.56/~jnz1568/getInfo.php?workbook=10_05.xlsx&amp;sheet=U0&amp;row=6532&amp;col=6&amp;number=3.8&amp;sourceID=14","3.8")</f>
        <v>3.8</v>
      </c>
      <c r="G6532" s="4" t="str">
        <f>HYPERLINK("http://141.218.60.56/~jnz1568/getInfo.php?workbook=10_05.xlsx&amp;sheet=U0&amp;row=6532&amp;col=7&amp;number=0.00117&amp;sourceID=14","0.00117")</f>
        <v>0.00117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HYPERLINK("http://141.218.60.56/~jnz1568/getInfo.php?workbook=10_05.xlsx&amp;sheet=U0&amp;row=6533&amp;col=6&amp;number=3.9&amp;sourceID=14","3.9")</f>
        <v>3.9</v>
      </c>
      <c r="G6533" s="4" t="str">
        <f>HYPERLINK("http://141.218.60.56/~jnz1568/getInfo.php?workbook=10_05.xlsx&amp;sheet=U0&amp;row=6533&amp;col=7&amp;number=0.00114&amp;sourceID=14","0.00114")</f>
        <v>0.00114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HYPERLINK("http://141.218.60.56/~jnz1568/getInfo.php?workbook=10_05.xlsx&amp;sheet=U0&amp;row=6534&amp;col=6&amp;number=4&amp;sourceID=14","4")</f>
        <v>4</v>
      </c>
      <c r="G6534" s="4" t="str">
        <f>HYPERLINK("http://141.218.60.56/~jnz1568/getInfo.php?workbook=10_05.xlsx&amp;sheet=U0&amp;row=6534&amp;col=7&amp;number=0.0011&amp;sourceID=14","0.0011")</f>
        <v>0.0011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HYPERLINK("http://141.218.60.56/~jnz1568/getInfo.php?workbook=10_05.xlsx&amp;sheet=U0&amp;row=6535&amp;col=6&amp;number=4.1&amp;sourceID=14","4.1")</f>
        <v>4.1</v>
      </c>
      <c r="G6535" s="4" t="str">
        <f>HYPERLINK("http://141.218.60.56/~jnz1568/getInfo.php?workbook=10_05.xlsx&amp;sheet=U0&amp;row=6535&amp;col=7&amp;number=0.00107&amp;sourceID=14","0.00107")</f>
        <v>0.00107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HYPERLINK("http://141.218.60.56/~jnz1568/getInfo.php?workbook=10_05.xlsx&amp;sheet=U0&amp;row=6536&amp;col=6&amp;number=4.2&amp;sourceID=14","4.2")</f>
        <v>4.2</v>
      </c>
      <c r="G6536" s="4" t="str">
        <f>HYPERLINK("http://141.218.60.56/~jnz1568/getInfo.php?workbook=10_05.xlsx&amp;sheet=U0&amp;row=6536&amp;col=7&amp;number=0.00105&amp;sourceID=14","0.00105")</f>
        <v>0.00105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HYPERLINK("http://141.218.60.56/~jnz1568/getInfo.php?workbook=10_05.xlsx&amp;sheet=U0&amp;row=6537&amp;col=6&amp;number=4.3&amp;sourceID=14","4.3")</f>
        <v>4.3</v>
      </c>
      <c r="G6537" s="4" t="str">
        <f>HYPERLINK("http://141.218.60.56/~jnz1568/getInfo.php?workbook=10_05.xlsx&amp;sheet=U0&amp;row=6537&amp;col=7&amp;number=0.00103&amp;sourceID=14","0.00103")</f>
        <v>0.00103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HYPERLINK("http://141.218.60.56/~jnz1568/getInfo.php?workbook=10_05.xlsx&amp;sheet=U0&amp;row=6538&amp;col=6&amp;number=4.4&amp;sourceID=14","4.4")</f>
        <v>4.4</v>
      </c>
      <c r="G6538" s="4" t="str">
        <f>HYPERLINK("http://141.218.60.56/~jnz1568/getInfo.php?workbook=10_05.xlsx&amp;sheet=U0&amp;row=6538&amp;col=7&amp;number=0.00101&amp;sourceID=14","0.00101")</f>
        <v>0.00101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HYPERLINK("http://141.218.60.56/~jnz1568/getInfo.php?workbook=10_05.xlsx&amp;sheet=U0&amp;row=6539&amp;col=6&amp;number=4.5&amp;sourceID=14","4.5")</f>
        <v>4.5</v>
      </c>
      <c r="G6539" s="4" t="str">
        <f>HYPERLINK("http://141.218.60.56/~jnz1568/getInfo.php?workbook=10_05.xlsx&amp;sheet=U0&amp;row=6539&amp;col=7&amp;number=0.00099&amp;sourceID=14","0.00099")</f>
        <v>0.00099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HYPERLINK("http://141.218.60.56/~jnz1568/getInfo.php?workbook=10_05.xlsx&amp;sheet=U0&amp;row=6540&amp;col=6&amp;number=4.6&amp;sourceID=14","4.6")</f>
        <v>4.6</v>
      </c>
      <c r="G6540" s="4" t="str">
        <f>HYPERLINK("http://141.218.60.56/~jnz1568/getInfo.php?workbook=10_05.xlsx&amp;sheet=U0&amp;row=6540&amp;col=7&amp;number=0.00096&amp;sourceID=14","0.00096")</f>
        <v>0.00096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HYPERLINK("http://141.218.60.56/~jnz1568/getInfo.php?workbook=10_05.xlsx&amp;sheet=U0&amp;row=6541&amp;col=6&amp;number=4.7&amp;sourceID=14","4.7")</f>
        <v>4.7</v>
      </c>
      <c r="G6541" s="4" t="str">
        <f>HYPERLINK("http://141.218.60.56/~jnz1568/getInfo.php?workbook=10_05.xlsx&amp;sheet=U0&amp;row=6541&amp;col=7&amp;number=0.000925&amp;sourceID=14","0.000925")</f>
        <v>0.000925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HYPERLINK("http://141.218.60.56/~jnz1568/getInfo.php?workbook=10_05.xlsx&amp;sheet=U0&amp;row=6542&amp;col=6&amp;number=4.8&amp;sourceID=14","4.8")</f>
        <v>4.8</v>
      </c>
      <c r="G6542" s="4" t="str">
        <f>HYPERLINK("http://141.218.60.56/~jnz1568/getInfo.php?workbook=10_05.xlsx&amp;sheet=U0&amp;row=6542&amp;col=7&amp;number=0.00089&amp;sourceID=14","0.00089")</f>
        <v>0.00089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HYPERLINK("http://141.218.60.56/~jnz1568/getInfo.php?workbook=10_05.xlsx&amp;sheet=U0&amp;row=6543&amp;col=6&amp;number=4.9&amp;sourceID=14","4.9")</f>
        <v>4.9</v>
      </c>
      <c r="G6543" s="4" t="str">
        <f>HYPERLINK("http://141.218.60.56/~jnz1568/getInfo.php?workbook=10_05.xlsx&amp;sheet=U0&amp;row=6543&amp;col=7&amp;number=0.000858&amp;sourceID=14","0.000858")</f>
        <v>0.000858</v>
      </c>
    </row>
    <row r="6544" spans="1:7">
      <c r="A6544" s="3">
        <v>10</v>
      </c>
      <c r="B6544" s="3">
        <v>5</v>
      </c>
      <c r="C6544" s="3">
        <v>2</v>
      </c>
      <c r="D6544" s="3">
        <v>151</v>
      </c>
      <c r="E6544" s="3">
        <v>1</v>
      </c>
      <c r="F6544" s="4" t="str">
        <f>HYPERLINK("http://141.218.60.56/~jnz1568/getInfo.php?workbook=10_05.xlsx&amp;sheet=U0&amp;row=6544&amp;col=6&amp;number=3&amp;sourceID=14","3")</f>
        <v>3</v>
      </c>
      <c r="G6544" s="4" t="str">
        <f>HYPERLINK("http://141.218.60.56/~jnz1568/getInfo.php?workbook=10_05.xlsx&amp;sheet=U0&amp;row=6544&amp;col=7&amp;number=0.0023&amp;sourceID=14","0.0023")</f>
        <v>0.0023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HYPERLINK("http://141.218.60.56/~jnz1568/getInfo.php?workbook=10_05.xlsx&amp;sheet=U0&amp;row=6545&amp;col=6&amp;number=3.1&amp;sourceID=14","3.1")</f>
        <v>3.1</v>
      </c>
      <c r="G6545" s="4" t="str">
        <f>HYPERLINK("http://141.218.60.56/~jnz1568/getInfo.php?workbook=10_05.xlsx&amp;sheet=U0&amp;row=6545&amp;col=7&amp;number=0.00229&amp;sourceID=14","0.00229")</f>
        <v>0.00229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HYPERLINK("http://141.218.60.56/~jnz1568/getInfo.php?workbook=10_05.xlsx&amp;sheet=U0&amp;row=6546&amp;col=6&amp;number=3.2&amp;sourceID=14","3.2")</f>
        <v>3.2</v>
      </c>
      <c r="G6546" s="4" t="str">
        <f>HYPERLINK("http://141.218.60.56/~jnz1568/getInfo.php?workbook=10_05.xlsx&amp;sheet=U0&amp;row=6546&amp;col=7&amp;number=0.00229&amp;sourceID=14","0.00229")</f>
        <v>0.00229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HYPERLINK("http://141.218.60.56/~jnz1568/getInfo.php?workbook=10_05.xlsx&amp;sheet=U0&amp;row=6547&amp;col=6&amp;number=3.3&amp;sourceID=14","3.3")</f>
        <v>3.3</v>
      </c>
      <c r="G6547" s="4" t="str">
        <f>HYPERLINK("http://141.218.60.56/~jnz1568/getInfo.php?workbook=10_05.xlsx&amp;sheet=U0&amp;row=6547&amp;col=7&amp;number=0.00228&amp;sourceID=14","0.00228")</f>
        <v>0.00228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HYPERLINK("http://141.218.60.56/~jnz1568/getInfo.php?workbook=10_05.xlsx&amp;sheet=U0&amp;row=6548&amp;col=6&amp;number=3.4&amp;sourceID=14","3.4")</f>
        <v>3.4</v>
      </c>
      <c r="G6548" s="4" t="str">
        <f>HYPERLINK("http://141.218.60.56/~jnz1568/getInfo.php?workbook=10_05.xlsx&amp;sheet=U0&amp;row=6548&amp;col=7&amp;number=0.00227&amp;sourceID=14","0.00227")</f>
        <v>0.00227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HYPERLINK("http://141.218.60.56/~jnz1568/getInfo.php?workbook=10_05.xlsx&amp;sheet=U0&amp;row=6549&amp;col=6&amp;number=3.5&amp;sourceID=14","3.5")</f>
        <v>3.5</v>
      </c>
      <c r="G6549" s="4" t="str">
        <f>HYPERLINK("http://141.218.60.56/~jnz1568/getInfo.php?workbook=10_05.xlsx&amp;sheet=U0&amp;row=6549&amp;col=7&amp;number=0.00226&amp;sourceID=14","0.00226")</f>
        <v>0.00226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HYPERLINK("http://141.218.60.56/~jnz1568/getInfo.php?workbook=10_05.xlsx&amp;sheet=U0&amp;row=6550&amp;col=6&amp;number=3.6&amp;sourceID=14","3.6")</f>
        <v>3.6</v>
      </c>
      <c r="G6550" s="4" t="str">
        <f>HYPERLINK("http://141.218.60.56/~jnz1568/getInfo.php?workbook=10_05.xlsx&amp;sheet=U0&amp;row=6550&amp;col=7&amp;number=0.00224&amp;sourceID=14","0.00224")</f>
        <v>0.00224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HYPERLINK("http://141.218.60.56/~jnz1568/getInfo.php?workbook=10_05.xlsx&amp;sheet=U0&amp;row=6551&amp;col=6&amp;number=3.7&amp;sourceID=14","3.7")</f>
        <v>3.7</v>
      </c>
      <c r="G6551" s="4" t="str">
        <f>HYPERLINK("http://141.218.60.56/~jnz1568/getInfo.php?workbook=10_05.xlsx&amp;sheet=U0&amp;row=6551&amp;col=7&amp;number=0.00222&amp;sourceID=14","0.00222")</f>
        <v>0.00222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HYPERLINK("http://141.218.60.56/~jnz1568/getInfo.php?workbook=10_05.xlsx&amp;sheet=U0&amp;row=6552&amp;col=6&amp;number=3.8&amp;sourceID=14","3.8")</f>
        <v>3.8</v>
      </c>
      <c r="G6552" s="4" t="str">
        <f>HYPERLINK("http://141.218.60.56/~jnz1568/getInfo.php?workbook=10_05.xlsx&amp;sheet=U0&amp;row=6552&amp;col=7&amp;number=0.0022&amp;sourceID=14","0.0022")</f>
        <v>0.0022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HYPERLINK("http://141.218.60.56/~jnz1568/getInfo.php?workbook=10_05.xlsx&amp;sheet=U0&amp;row=6553&amp;col=6&amp;number=3.9&amp;sourceID=14","3.9")</f>
        <v>3.9</v>
      </c>
      <c r="G6553" s="4" t="str">
        <f>HYPERLINK("http://141.218.60.56/~jnz1568/getInfo.php?workbook=10_05.xlsx&amp;sheet=U0&amp;row=6553&amp;col=7&amp;number=0.00217&amp;sourceID=14","0.00217")</f>
        <v>0.00217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HYPERLINK("http://141.218.60.56/~jnz1568/getInfo.php?workbook=10_05.xlsx&amp;sheet=U0&amp;row=6554&amp;col=6&amp;number=4&amp;sourceID=14","4")</f>
        <v>4</v>
      </c>
      <c r="G6554" s="4" t="str">
        <f>HYPERLINK("http://141.218.60.56/~jnz1568/getInfo.php?workbook=10_05.xlsx&amp;sheet=U0&amp;row=6554&amp;col=7&amp;number=0.00214&amp;sourceID=14","0.00214")</f>
        <v>0.00214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HYPERLINK("http://141.218.60.56/~jnz1568/getInfo.php?workbook=10_05.xlsx&amp;sheet=U0&amp;row=6555&amp;col=6&amp;number=4.1&amp;sourceID=14","4.1")</f>
        <v>4.1</v>
      </c>
      <c r="G6555" s="4" t="str">
        <f>HYPERLINK("http://141.218.60.56/~jnz1568/getInfo.php?workbook=10_05.xlsx&amp;sheet=U0&amp;row=6555&amp;col=7&amp;number=0.00211&amp;sourceID=14","0.00211")</f>
        <v>0.00211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HYPERLINK("http://141.218.60.56/~jnz1568/getInfo.php?workbook=10_05.xlsx&amp;sheet=U0&amp;row=6556&amp;col=6&amp;number=4.2&amp;sourceID=14","4.2")</f>
        <v>4.2</v>
      </c>
      <c r="G6556" s="4" t="str">
        <f>HYPERLINK("http://141.218.60.56/~jnz1568/getInfo.php?workbook=10_05.xlsx&amp;sheet=U0&amp;row=6556&amp;col=7&amp;number=0.00207&amp;sourceID=14","0.00207")</f>
        <v>0.00207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HYPERLINK("http://141.218.60.56/~jnz1568/getInfo.php?workbook=10_05.xlsx&amp;sheet=U0&amp;row=6557&amp;col=6&amp;number=4.3&amp;sourceID=14","4.3")</f>
        <v>4.3</v>
      </c>
      <c r="G6557" s="4" t="str">
        <f>HYPERLINK("http://141.218.60.56/~jnz1568/getInfo.php?workbook=10_05.xlsx&amp;sheet=U0&amp;row=6557&amp;col=7&amp;number=0.00203&amp;sourceID=14","0.00203")</f>
        <v>0.00203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HYPERLINK("http://141.218.60.56/~jnz1568/getInfo.php?workbook=10_05.xlsx&amp;sheet=U0&amp;row=6558&amp;col=6&amp;number=4.4&amp;sourceID=14","4.4")</f>
        <v>4.4</v>
      </c>
      <c r="G6558" s="4" t="str">
        <f>HYPERLINK("http://141.218.60.56/~jnz1568/getInfo.php?workbook=10_05.xlsx&amp;sheet=U0&amp;row=6558&amp;col=7&amp;number=0.002&amp;sourceID=14","0.002")</f>
        <v>0.002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HYPERLINK("http://141.218.60.56/~jnz1568/getInfo.php?workbook=10_05.xlsx&amp;sheet=U0&amp;row=6559&amp;col=6&amp;number=4.5&amp;sourceID=14","4.5")</f>
        <v>4.5</v>
      </c>
      <c r="G6559" s="4" t="str">
        <f>HYPERLINK("http://141.218.60.56/~jnz1568/getInfo.php?workbook=10_05.xlsx&amp;sheet=U0&amp;row=6559&amp;col=7&amp;number=0.00198&amp;sourceID=14","0.00198")</f>
        <v>0.00198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HYPERLINK("http://141.218.60.56/~jnz1568/getInfo.php?workbook=10_05.xlsx&amp;sheet=U0&amp;row=6560&amp;col=6&amp;number=4.6&amp;sourceID=14","4.6")</f>
        <v>4.6</v>
      </c>
      <c r="G6560" s="4" t="str">
        <f>HYPERLINK("http://141.218.60.56/~jnz1568/getInfo.php?workbook=10_05.xlsx&amp;sheet=U0&amp;row=6560&amp;col=7&amp;number=0.00196&amp;sourceID=14","0.00196")</f>
        <v>0.00196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HYPERLINK("http://141.218.60.56/~jnz1568/getInfo.php?workbook=10_05.xlsx&amp;sheet=U0&amp;row=6561&amp;col=6&amp;number=4.7&amp;sourceID=14","4.7")</f>
        <v>4.7</v>
      </c>
      <c r="G6561" s="4" t="str">
        <f>HYPERLINK("http://141.218.60.56/~jnz1568/getInfo.php?workbook=10_05.xlsx&amp;sheet=U0&amp;row=6561&amp;col=7&amp;number=0.00194&amp;sourceID=14","0.00194")</f>
        <v>0.00194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HYPERLINK("http://141.218.60.56/~jnz1568/getInfo.php?workbook=10_05.xlsx&amp;sheet=U0&amp;row=6562&amp;col=6&amp;number=4.8&amp;sourceID=14","4.8")</f>
        <v>4.8</v>
      </c>
      <c r="G6562" s="4" t="str">
        <f>HYPERLINK("http://141.218.60.56/~jnz1568/getInfo.php?workbook=10_05.xlsx&amp;sheet=U0&amp;row=6562&amp;col=7&amp;number=0.00191&amp;sourceID=14","0.00191")</f>
        <v>0.00191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HYPERLINK("http://141.218.60.56/~jnz1568/getInfo.php?workbook=10_05.xlsx&amp;sheet=U0&amp;row=6563&amp;col=6&amp;number=4.9&amp;sourceID=14","4.9")</f>
        <v>4.9</v>
      </c>
      <c r="G6563" s="4" t="str">
        <f>HYPERLINK("http://141.218.60.56/~jnz1568/getInfo.php?workbook=10_05.xlsx&amp;sheet=U0&amp;row=6563&amp;col=7&amp;number=0.00187&amp;sourceID=14","0.00187")</f>
        <v>0.00187</v>
      </c>
    </row>
    <row r="6564" spans="1:7">
      <c r="A6564" s="3">
        <v>10</v>
      </c>
      <c r="B6564" s="3">
        <v>5</v>
      </c>
      <c r="C6564" s="3">
        <v>2</v>
      </c>
      <c r="D6564" s="3">
        <v>152</v>
      </c>
      <c r="E6564" s="3">
        <v>1</v>
      </c>
      <c r="F6564" s="4" t="str">
        <f>HYPERLINK("http://141.218.60.56/~jnz1568/getInfo.php?workbook=10_05.xlsx&amp;sheet=U0&amp;row=6564&amp;col=6&amp;number=3&amp;sourceID=14","3")</f>
        <v>3</v>
      </c>
      <c r="G6564" s="4" t="str">
        <f>HYPERLINK("http://141.218.60.56/~jnz1568/getInfo.php?workbook=10_05.xlsx&amp;sheet=U0&amp;row=6564&amp;col=7&amp;number=0.00776&amp;sourceID=14","0.00776")</f>
        <v>0.00776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HYPERLINK("http://141.218.60.56/~jnz1568/getInfo.php?workbook=10_05.xlsx&amp;sheet=U0&amp;row=6565&amp;col=6&amp;number=3.1&amp;sourceID=14","3.1")</f>
        <v>3.1</v>
      </c>
      <c r="G6565" s="4" t="str">
        <f>HYPERLINK("http://141.218.60.56/~jnz1568/getInfo.php?workbook=10_05.xlsx&amp;sheet=U0&amp;row=6565&amp;col=7&amp;number=0.00776&amp;sourceID=14","0.00776")</f>
        <v>0.00776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HYPERLINK("http://141.218.60.56/~jnz1568/getInfo.php?workbook=10_05.xlsx&amp;sheet=U0&amp;row=6566&amp;col=6&amp;number=3.2&amp;sourceID=14","3.2")</f>
        <v>3.2</v>
      </c>
      <c r="G6566" s="4" t="str">
        <f>HYPERLINK("http://141.218.60.56/~jnz1568/getInfo.php?workbook=10_05.xlsx&amp;sheet=U0&amp;row=6566&amp;col=7&amp;number=0.00776&amp;sourceID=14","0.00776")</f>
        <v>0.00776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HYPERLINK("http://141.218.60.56/~jnz1568/getInfo.php?workbook=10_05.xlsx&amp;sheet=U0&amp;row=6567&amp;col=6&amp;number=3.3&amp;sourceID=14","3.3")</f>
        <v>3.3</v>
      </c>
      <c r="G6567" s="4" t="str">
        <f>HYPERLINK("http://141.218.60.56/~jnz1568/getInfo.php?workbook=10_05.xlsx&amp;sheet=U0&amp;row=6567&amp;col=7&amp;number=0.00776&amp;sourceID=14","0.00776")</f>
        <v>0.00776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HYPERLINK("http://141.218.60.56/~jnz1568/getInfo.php?workbook=10_05.xlsx&amp;sheet=U0&amp;row=6568&amp;col=6&amp;number=3.4&amp;sourceID=14","3.4")</f>
        <v>3.4</v>
      </c>
      <c r="G6568" s="4" t="str">
        <f>HYPERLINK("http://141.218.60.56/~jnz1568/getInfo.php?workbook=10_05.xlsx&amp;sheet=U0&amp;row=6568&amp;col=7&amp;number=0.00776&amp;sourceID=14","0.00776")</f>
        <v>0.00776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HYPERLINK("http://141.218.60.56/~jnz1568/getInfo.php?workbook=10_05.xlsx&amp;sheet=U0&amp;row=6569&amp;col=6&amp;number=3.5&amp;sourceID=14","3.5")</f>
        <v>3.5</v>
      </c>
      <c r="G6569" s="4" t="str">
        <f>HYPERLINK("http://141.218.60.56/~jnz1568/getInfo.php?workbook=10_05.xlsx&amp;sheet=U0&amp;row=6569&amp;col=7&amp;number=0.00777&amp;sourceID=14","0.00777")</f>
        <v>0.00777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HYPERLINK("http://141.218.60.56/~jnz1568/getInfo.php?workbook=10_05.xlsx&amp;sheet=U0&amp;row=6570&amp;col=6&amp;number=3.6&amp;sourceID=14","3.6")</f>
        <v>3.6</v>
      </c>
      <c r="G6570" s="4" t="str">
        <f>HYPERLINK("http://141.218.60.56/~jnz1568/getInfo.php?workbook=10_05.xlsx&amp;sheet=U0&amp;row=6570&amp;col=7&amp;number=0.00777&amp;sourceID=14","0.00777")</f>
        <v>0.00777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HYPERLINK("http://141.218.60.56/~jnz1568/getInfo.php?workbook=10_05.xlsx&amp;sheet=U0&amp;row=6571&amp;col=6&amp;number=3.7&amp;sourceID=14","3.7")</f>
        <v>3.7</v>
      </c>
      <c r="G6571" s="4" t="str">
        <f>HYPERLINK("http://141.218.60.56/~jnz1568/getInfo.php?workbook=10_05.xlsx&amp;sheet=U0&amp;row=6571&amp;col=7&amp;number=0.00778&amp;sourceID=14","0.00778")</f>
        <v>0.00778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HYPERLINK("http://141.218.60.56/~jnz1568/getInfo.php?workbook=10_05.xlsx&amp;sheet=U0&amp;row=6572&amp;col=6&amp;number=3.8&amp;sourceID=14","3.8")</f>
        <v>3.8</v>
      </c>
      <c r="G6572" s="4" t="str">
        <f>HYPERLINK("http://141.218.60.56/~jnz1568/getInfo.php?workbook=10_05.xlsx&amp;sheet=U0&amp;row=6572&amp;col=7&amp;number=0.00778&amp;sourceID=14","0.00778")</f>
        <v>0.00778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HYPERLINK("http://141.218.60.56/~jnz1568/getInfo.php?workbook=10_05.xlsx&amp;sheet=U0&amp;row=6573&amp;col=6&amp;number=3.9&amp;sourceID=14","3.9")</f>
        <v>3.9</v>
      </c>
      <c r="G6573" s="4" t="str">
        <f>HYPERLINK("http://141.218.60.56/~jnz1568/getInfo.php?workbook=10_05.xlsx&amp;sheet=U0&amp;row=6573&amp;col=7&amp;number=0.00779&amp;sourceID=14","0.00779")</f>
        <v>0.00779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HYPERLINK("http://141.218.60.56/~jnz1568/getInfo.php?workbook=10_05.xlsx&amp;sheet=U0&amp;row=6574&amp;col=6&amp;number=4&amp;sourceID=14","4")</f>
        <v>4</v>
      </c>
      <c r="G6574" s="4" t="str">
        <f>HYPERLINK("http://141.218.60.56/~jnz1568/getInfo.php?workbook=10_05.xlsx&amp;sheet=U0&amp;row=6574&amp;col=7&amp;number=0.0078&amp;sourceID=14","0.0078")</f>
        <v>0.0078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HYPERLINK("http://141.218.60.56/~jnz1568/getInfo.php?workbook=10_05.xlsx&amp;sheet=U0&amp;row=6575&amp;col=6&amp;number=4.1&amp;sourceID=14","4.1")</f>
        <v>4.1</v>
      </c>
      <c r="G6575" s="4" t="str">
        <f>HYPERLINK("http://141.218.60.56/~jnz1568/getInfo.php?workbook=10_05.xlsx&amp;sheet=U0&amp;row=6575&amp;col=7&amp;number=0.00781&amp;sourceID=14","0.00781")</f>
        <v>0.00781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HYPERLINK("http://141.218.60.56/~jnz1568/getInfo.php?workbook=10_05.xlsx&amp;sheet=U0&amp;row=6576&amp;col=6&amp;number=4.2&amp;sourceID=14","4.2")</f>
        <v>4.2</v>
      </c>
      <c r="G6576" s="4" t="str">
        <f>HYPERLINK("http://141.218.60.56/~jnz1568/getInfo.php?workbook=10_05.xlsx&amp;sheet=U0&amp;row=6576&amp;col=7&amp;number=0.00783&amp;sourceID=14","0.00783")</f>
        <v>0.00783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HYPERLINK("http://141.218.60.56/~jnz1568/getInfo.php?workbook=10_05.xlsx&amp;sheet=U0&amp;row=6577&amp;col=6&amp;number=4.3&amp;sourceID=14","4.3")</f>
        <v>4.3</v>
      </c>
      <c r="G6577" s="4" t="str">
        <f>HYPERLINK("http://141.218.60.56/~jnz1568/getInfo.php?workbook=10_05.xlsx&amp;sheet=U0&amp;row=6577&amp;col=7&amp;number=0.00784&amp;sourceID=14","0.00784")</f>
        <v>0.00784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HYPERLINK("http://141.218.60.56/~jnz1568/getInfo.php?workbook=10_05.xlsx&amp;sheet=U0&amp;row=6578&amp;col=6&amp;number=4.4&amp;sourceID=14","4.4")</f>
        <v>4.4</v>
      </c>
      <c r="G6578" s="4" t="str">
        <f>HYPERLINK("http://141.218.60.56/~jnz1568/getInfo.php?workbook=10_05.xlsx&amp;sheet=U0&amp;row=6578&amp;col=7&amp;number=0.00786&amp;sourceID=14","0.00786")</f>
        <v>0.00786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HYPERLINK("http://141.218.60.56/~jnz1568/getInfo.php?workbook=10_05.xlsx&amp;sheet=U0&amp;row=6579&amp;col=6&amp;number=4.5&amp;sourceID=14","4.5")</f>
        <v>4.5</v>
      </c>
      <c r="G6579" s="4" t="str">
        <f>HYPERLINK("http://141.218.60.56/~jnz1568/getInfo.php?workbook=10_05.xlsx&amp;sheet=U0&amp;row=6579&amp;col=7&amp;number=0.00788&amp;sourceID=14","0.00788")</f>
        <v>0.00788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HYPERLINK("http://141.218.60.56/~jnz1568/getInfo.php?workbook=10_05.xlsx&amp;sheet=U0&amp;row=6580&amp;col=6&amp;number=4.6&amp;sourceID=14","4.6")</f>
        <v>4.6</v>
      </c>
      <c r="G6580" s="4" t="str">
        <f>HYPERLINK("http://141.218.60.56/~jnz1568/getInfo.php?workbook=10_05.xlsx&amp;sheet=U0&amp;row=6580&amp;col=7&amp;number=0.00791&amp;sourceID=14","0.00791")</f>
        <v>0.00791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HYPERLINK("http://141.218.60.56/~jnz1568/getInfo.php?workbook=10_05.xlsx&amp;sheet=U0&amp;row=6581&amp;col=6&amp;number=4.7&amp;sourceID=14","4.7")</f>
        <v>4.7</v>
      </c>
      <c r="G6581" s="4" t="str">
        <f>HYPERLINK("http://141.218.60.56/~jnz1568/getInfo.php?workbook=10_05.xlsx&amp;sheet=U0&amp;row=6581&amp;col=7&amp;number=0.00792&amp;sourceID=14","0.00792")</f>
        <v>0.00792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HYPERLINK("http://141.218.60.56/~jnz1568/getInfo.php?workbook=10_05.xlsx&amp;sheet=U0&amp;row=6582&amp;col=6&amp;number=4.8&amp;sourceID=14","4.8")</f>
        <v>4.8</v>
      </c>
      <c r="G6582" s="4" t="str">
        <f>HYPERLINK("http://141.218.60.56/~jnz1568/getInfo.php?workbook=10_05.xlsx&amp;sheet=U0&amp;row=6582&amp;col=7&amp;number=0.00793&amp;sourceID=14","0.00793")</f>
        <v>0.00793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HYPERLINK("http://141.218.60.56/~jnz1568/getInfo.php?workbook=10_05.xlsx&amp;sheet=U0&amp;row=6583&amp;col=6&amp;number=4.9&amp;sourceID=14","4.9")</f>
        <v>4.9</v>
      </c>
      <c r="G6583" s="4" t="str">
        <f>HYPERLINK("http://141.218.60.56/~jnz1568/getInfo.php?workbook=10_05.xlsx&amp;sheet=U0&amp;row=6583&amp;col=7&amp;number=0.00794&amp;sourceID=14","0.00794")</f>
        <v>0.00794</v>
      </c>
    </row>
    <row r="6584" spans="1:7">
      <c r="A6584" s="3">
        <v>10</v>
      </c>
      <c r="B6584" s="3">
        <v>5</v>
      </c>
      <c r="C6584" s="3">
        <v>2</v>
      </c>
      <c r="D6584" s="3">
        <v>153</v>
      </c>
      <c r="E6584" s="3">
        <v>1</v>
      </c>
      <c r="F6584" s="4" t="str">
        <f>HYPERLINK("http://141.218.60.56/~jnz1568/getInfo.php?workbook=10_05.xlsx&amp;sheet=U0&amp;row=6584&amp;col=6&amp;number=3&amp;sourceID=14","3")</f>
        <v>3</v>
      </c>
      <c r="G6584" s="4" t="str">
        <f>HYPERLINK("http://141.218.60.56/~jnz1568/getInfo.php?workbook=10_05.xlsx&amp;sheet=U0&amp;row=6584&amp;col=7&amp;number=0.0227&amp;sourceID=14","0.0227")</f>
        <v>0.0227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HYPERLINK("http://141.218.60.56/~jnz1568/getInfo.php?workbook=10_05.xlsx&amp;sheet=U0&amp;row=6585&amp;col=6&amp;number=3.1&amp;sourceID=14","3.1")</f>
        <v>3.1</v>
      </c>
      <c r="G6585" s="4" t="str">
        <f>HYPERLINK("http://141.218.60.56/~jnz1568/getInfo.php?workbook=10_05.xlsx&amp;sheet=U0&amp;row=6585&amp;col=7&amp;number=0.0228&amp;sourceID=14","0.0228")</f>
        <v>0.0228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HYPERLINK("http://141.218.60.56/~jnz1568/getInfo.php?workbook=10_05.xlsx&amp;sheet=U0&amp;row=6586&amp;col=6&amp;number=3.2&amp;sourceID=14","3.2")</f>
        <v>3.2</v>
      </c>
      <c r="G6586" s="4" t="str">
        <f>HYPERLINK("http://141.218.60.56/~jnz1568/getInfo.php?workbook=10_05.xlsx&amp;sheet=U0&amp;row=6586&amp;col=7&amp;number=0.0228&amp;sourceID=14","0.0228")</f>
        <v>0.0228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HYPERLINK("http://141.218.60.56/~jnz1568/getInfo.php?workbook=10_05.xlsx&amp;sheet=U0&amp;row=6587&amp;col=6&amp;number=3.3&amp;sourceID=14","3.3")</f>
        <v>3.3</v>
      </c>
      <c r="G6587" s="4" t="str">
        <f>HYPERLINK("http://141.218.60.56/~jnz1568/getInfo.php?workbook=10_05.xlsx&amp;sheet=U0&amp;row=6587&amp;col=7&amp;number=0.0229&amp;sourceID=14","0.0229")</f>
        <v>0.0229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HYPERLINK("http://141.218.60.56/~jnz1568/getInfo.php?workbook=10_05.xlsx&amp;sheet=U0&amp;row=6588&amp;col=6&amp;number=3.4&amp;sourceID=14","3.4")</f>
        <v>3.4</v>
      </c>
      <c r="G6588" s="4" t="str">
        <f>HYPERLINK("http://141.218.60.56/~jnz1568/getInfo.php?workbook=10_05.xlsx&amp;sheet=U0&amp;row=6588&amp;col=7&amp;number=0.0229&amp;sourceID=14","0.0229")</f>
        <v>0.0229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HYPERLINK("http://141.218.60.56/~jnz1568/getInfo.php?workbook=10_05.xlsx&amp;sheet=U0&amp;row=6589&amp;col=6&amp;number=3.5&amp;sourceID=14","3.5")</f>
        <v>3.5</v>
      </c>
      <c r="G6589" s="4" t="str">
        <f>HYPERLINK("http://141.218.60.56/~jnz1568/getInfo.php?workbook=10_05.xlsx&amp;sheet=U0&amp;row=6589&amp;col=7&amp;number=0.023&amp;sourceID=14","0.023")</f>
        <v>0.023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HYPERLINK("http://141.218.60.56/~jnz1568/getInfo.php?workbook=10_05.xlsx&amp;sheet=U0&amp;row=6590&amp;col=6&amp;number=3.6&amp;sourceID=14","3.6")</f>
        <v>3.6</v>
      </c>
      <c r="G6590" s="4" t="str">
        <f>HYPERLINK("http://141.218.60.56/~jnz1568/getInfo.php?workbook=10_05.xlsx&amp;sheet=U0&amp;row=6590&amp;col=7&amp;number=0.0231&amp;sourceID=14","0.0231")</f>
        <v>0.0231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HYPERLINK("http://141.218.60.56/~jnz1568/getInfo.php?workbook=10_05.xlsx&amp;sheet=U0&amp;row=6591&amp;col=6&amp;number=3.7&amp;sourceID=14","3.7")</f>
        <v>3.7</v>
      </c>
      <c r="G6591" s="4" t="str">
        <f>HYPERLINK("http://141.218.60.56/~jnz1568/getInfo.php?workbook=10_05.xlsx&amp;sheet=U0&amp;row=6591&amp;col=7&amp;number=0.0233&amp;sourceID=14","0.0233")</f>
        <v>0.0233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HYPERLINK("http://141.218.60.56/~jnz1568/getInfo.php?workbook=10_05.xlsx&amp;sheet=U0&amp;row=6592&amp;col=6&amp;number=3.8&amp;sourceID=14","3.8")</f>
        <v>3.8</v>
      </c>
      <c r="G6592" s="4" t="str">
        <f>HYPERLINK("http://141.218.60.56/~jnz1568/getInfo.php?workbook=10_05.xlsx&amp;sheet=U0&amp;row=6592&amp;col=7&amp;number=0.0234&amp;sourceID=14","0.0234")</f>
        <v>0.0234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HYPERLINK("http://141.218.60.56/~jnz1568/getInfo.php?workbook=10_05.xlsx&amp;sheet=U0&amp;row=6593&amp;col=6&amp;number=3.9&amp;sourceID=14","3.9")</f>
        <v>3.9</v>
      </c>
      <c r="G6593" s="4" t="str">
        <f>HYPERLINK("http://141.218.60.56/~jnz1568/getInfo.php?workbook=10_05.xlsx&amp;sheet=U0&amp;row=6593&amp;col=7&amp;number=0.0236&amp;sourceID=14","0.0236")</f>
        <v>0.0236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HYPERLINK("http://141.218.60.56/~jnz1568/getInfo.php?workbook=10_05.xlsx&amp;sheet=U0&amp;row=6594&amp;col=6&amp;number=4&amp;sourceID=14","4")</f>
        <v>4</v>
      </c>
      <c r="G6594" s="4" t="str">
        <f>HYPERLINK("http://141.218.60.56/~jnz1568/getInfo.php?workbook=10_05.xlsx&amp;sheet=U0&amp;row=6594&amp;col=7&amp;number=0.0239&amp;sourceID=14","0.0239")</f>
        <v>0.0239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HYPERLINK("http://141.218.60.56/~jnz1568/getInfo.php?workbook=10_05.xlsx&amp;sheet=U0&amp;row=6595&amp;col=6&amp;number=4.1&amp;sourceID=14","4.1")</f>
        <v>4.1</v>
      </c>
      <c r="G6595" s="4" t="str">
        <f>HYPERLINK("http://141.218.60.56/~jnz1568/getInfo.php?workbook=10_05.xlsx&amp;sheet=U0&amp;row=6595&amp;col=7&amp;number=0.0241&amp;sourceID=14","0.0241")</f>
        <v>0.0241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HYPERLINK("http://141.218.60.56/~jnz1568/getInfo.php?workbook=10_05.xlsx&amp;sheet=U0&amp;row=6596&amp;col=6&amp;number=4.2&amp;sourceID=14","4.2")</f>
        <v>4.2</v>
      </c>
      <c r="G6596" s="4" t="str">
        <f>HYPERLINK("http://141.218.60.56/~jnz1568/getInfo.php?workbook=10_05.xlsx&amp;sheet=U0&amp;row=6596&amp;col=7&amp;number=0.0244&amp;sourceID=14","0.0244")</f>
        <v>0.0244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HYPERLINK("http://141.218.60.56/~jnz1568/getInfo.php?workbook=10_05.xlsx&amp;sheet=U0&amp;row=6597&amp;col=6&amp;number=4.3&amp;sourceID=14","4.3")</f>
        <v>4.3</v>
      </c>
      <c r="G6597" s="4" t="str">
        <f>HYPERLINK("http://141.218.60.56/~jnz1568/getInfo.php?workbook=10_05.xlsx&amp;sheet=U0&amp;row=6597&amp;col=7&amp;number=0.0247&amp;sourceID=14","0.0247")</f>
        <v>0.0247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HYPERLINK("http://141.218.60.56/~jnz1568/getInfo.php?workbook=10_05.xlsx&amp;sheet=U0&amp;row=6598&amp;col=6&amp;number=4.4&amp;sourceID=14","4.4")</f>
        <v>4.4</v>
      </c>
      <c r="G6598" s="4" t="str">
        <f>HYPERLINK("http://141.218.60.56/~jnz1568/getInfo.php?workbook=10_05.xlsx&amp;sheet=U0&amp;row=6598&amp;col=7&amp;number=0.025&amp;sourceID=14","0.025")</f>
        <v>0.025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HYPERLINK("http://141.218.60.56/~jnz1568/getInfo.php?workbook=10_05.xlsx&amp;sheet=U0&amp;row=6599&amp;col=6&amp;number=4.5&amp;sourceID=14","4.5")</f>
        <v>4.5</v>
      </c>
      <c r="G6599" s="4" t="str">
        <f>HYPERLINK("http://141.218.60.56/~jnz1568/getInfo.php?workbook=10_05.xlsx&amp;sheet=U0&amp;row=6599&amp;col=7&amp;number=0.0253&amp;sourceID=14","0.0253")</f>
        <v>0.0253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HYPERLINK("http://141.218.60.56/~jnz1568/getInfo.php?workbook=10_05.xlsx&amp;sheet=U0&amp;row=6600&amp;col=6&amp;number=4.6&amp;sourceID=14","4.6")</f>
        <v>4.6</v>
      </c>
      <c r="G6600" s="4" t="str">
        <f>HYPERLINK("http://141.218.60.56/~jnz1568/getInfo.php?workbook=10_05.xlsx&amp;sheet=U0&amp;row=6600&amp;col=7&amp;number=0.0255&amp;sourceID=14","0.0255")</f>
        <v>0.0255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HYPERLINK("http://141.218.60.56/~jnz1568/getInfo.php?workbook=10_05.xlsx&amp;sheet=U0&amp;row=6601&amp;col=6&amp;number=4.7&amp;sourceID=14","4.7")</f>
        <v>4.7</v>
      </c>
      <c r="G6601" s="4" t="str">
        <f>HYPERLINK("http://141.218.60.56/~jnz1568/getInfo.php?workbook=10_05.xlsx&amp;sheet=U0&amp;row=6601&amp;col=7&amp;number=0.0256&amp;sourceID=14","0.0256")</f>
        <v>0.0256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HYPERLINK("http://141.218.60.56/~jnz1568/getInfo.php?workbook=10_05.xlsx&amp;sheet=U0&amp;row=6602&amp;col=6&amp;number=4.8&amp;sourceID=14","4.8")</f>
        <v>4.8</v>
      </c>
      <c r="G6602" s="4" t="str">
        <f>HYPERLINK("http://141.218.60.56/~jnz1568/getInfo.php?workbook=10_05.xlsx&amp;sheet=U0&amp;row=6602&amp;col=7&amp;number=0.0259&amp;sourceID=14","0.0259")</f>
        <v>0.0259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HYPERLINK("http://141.218.60.56/~jnz1568/getInfo.php?workbook=10_05.xlsx&amp;sheet=U0&amp;row=6603&amp;col=6&amp;number=4.9&amp;sourceID=14","4.9")</f>
        <v>4.9</v>
      </c>
      <c r="G6603" s="4" t="str">
        <f>HYPERLINK("http://141.218.60.56/~jnz1568/getInfo.php?workbook=10_05.xlsx&amp;sheet=U0&amp;row=6603&amp;col=7&amp;number=0.0263&amp;sourceID=14","0.0263")</f>
        <v>0.0263</v>
      </c>
    </row>
    <row r="6604" spans="1:7">
      <c r="A6604" s="3">
        <v>10</v>
      </c>
      <c r="B6604" s="3">
        <v>5</v>
      </c>
      <c r="C6604" s="3">
        <v>2</v>
      </c>
      <c r="D6604" s="3">
        <v>154</v>
      </c>
      <c r="E6604" s="3">
        <v>1</v>
      </c>
      <c r="F6604" s="4" t="str">
        <f>HYPERLINK("http://141.218.60.56/~jnz1568/getInfo.php?workbook=10_05.xlsx&amp;sheet=U0&amp;row=6604&amp;col=6&amp;number=3&amp;sourceID=14","3")</f>
        <v>3</v>
      </c>
      <c r="G6604" s="4" t="str">
        <f>HYPERLINK("http://141.218.60.56/~jnz1568/getInfo.php?workbook=10_05.xlsx&amp;sheet=U0&amp;row=6604&amp;col=7&amp;number=0.00198&amp;sourceID=14","0.00198")</f>
        <v>0.00198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HYPERLINK("http://141.218.60.56/~jnz1568/getInfo.php?workbook=10_05.xlsx&amp;sheet=U0&amp;row=6605&amp;col=6&amp;number=3.1&amp;sourceID=14","3.1")</f>
        <v>3.1</v>
      </c>
      <c r="G6605" s="4" t="str">
        <f>HYPERLINK("http://141.218.60.56/~jnz1568/getInfo.php?workbook=10_05.xlsx&amp;sheet=U0&amp;row=6605&amp;col=7&amp;number=0.00198&amp;sourceID=14","0.00198")</f>
        <v>0.00198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HYPERLINK("http://141.218.60.56/~jnz1568/getInfo.php?workbook=10_05.xlsx&amp;sheet=U0&amp;row=6606&amp;col=6&amp;number=3.2&amp;sourceID=14","3.2")</f>
        <v>3.2</v>
      </c>
      <c r="G6606" s="4" t="str">
        <f>HYPERLINK("http://141.218.60.56/~jnz1568/getInfo.php?workbook=10_05.xlsx&amp;sheet=U0&amp;row=6606&amp;col=7&amp;number=0.00198&amp;sourceID=14","0.00198")</f>
        <v>0.00198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HYPERLINK("http://141.218.60.56/~jnz1568/getInfo.php?workbook=10_05.xlsx&amp;sheet=U0&amp;row=6607&amp;col=6&amp;number=3.3&amp;sourceID=14","3.3")</f>
        <v>3.3</v>
      </c>
      <c r="G6607" s="4" t="str">
        <f>HYPERLINK("http://141.218.60.56/~jnz1568/getInfo.php?workbook=10_05.xlsx&amp;sheet=U0&amp;row=6607&amp;col=7&amp;number=0.00198&amp;sourceID=14","0.00198")</f>
        <v>0.00198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HYPERLINK("http://141.218.60.56/~jnz1568/getInfo.php?workbook=10_05.xlsx&amp;sheet=U0&amp;row=6608&amp;col=6&amp;number=3.4&amp;sourceID=14","3.4")</f>
        <v>3.4</v>
      </c>
      <c r="G6608" s="4" t="str">
        <f>HYPERLINK("http://141.218.60.56/~jnz1568/getInfo.php?workbook=10_05.xlsx&amp;sheet=U0&amp;row=6608&amp;col=7&amp;number=0.00199&amp;sourceID=14","0.00199")</f>
        <v>0.00199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HYPERLINK("http://141.218.60.56/~jnz1568/getInfo.php?workbook=10_05.xlsx&amp;sheet=U0&amp;row=6609&amp;col=6&amp;number=3.5&amp;sourceID=14","3.5")</f>
        <v>3.5</v>
      </c>
      <c r="G6609" s="4" t="str">
        <f>HYPERLINK("http://141.218.60.56/~jnz1568/getInfo.php?workbook=10_05.xlsx&amp;sheet=U0&amp;row=6609&amp;col=7&amp;number=0.00199&amp;sourceID=14","0.00199")</f>
        <v>0.00199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HYPERLINK("http://141.218.60.56/~jnz1568/getInfo.php?workbook=10_05.xlsx&amp;sheet=U0&amp;row=6610&amp;col=6&amp;number=3.6&amp;sourceID=14","3.6")</f>
        <v>3.6</v>
      </c>
      <c r="G6610" s="4" t="str">
        <f>HYPERLINK("http://141.218.60.56/~jnz1568/getInfo.php?workbook=10_05.xlsx&amp;sheet=U0&amp;row=6610&amp;col=7&amp;number=0.00199&amp;sourceID=14","0.00199")</f>
        <v>0.00199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HYPERLINK("http://141.218.60.56/~jnz1568/getInfo.php?workbook=10_05.xlsx&amp;sheet=U0&amp;row=6611&amp;col=6&amp;number=3.7&amp;sourceID=14","3.7")</f>
        <v>3.7</v>
      </c>
      <c r="G6611" s="4" t="str">
        <f>HYPERLINK("http://141.218.60.56/~jnz1568/getInfo.php?workbook=10_05.xlsx&amp;sheet=U0&amp;row=6611&amp;col=7&amp;number=0.002&amp;sourceID=14","0.002")</f>
        <v>0.002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HYPERLINK("http://141.218.60.56/~jnz1568/getInfo.php?workbook=10_05.xlsx&amp;sheet=U0&amp;row=6612&amp;col=6&amp;number=3.8&amp;sourceID=14","3.8")</f>
        <v>3.8</v>
      </c>
      <c r="G6612" s="4" t="str">
        <f>HYPERLINK("http://141.218.60.56/~jnz1568/getInfo.php?workbook=10_05.xlsx&amp;sheet=U0&amp;row=6612&amp;col=7&amp;number=0.002&amp;sourceID=14","0.002")</f>
        <v>0.002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HYPERLINK("http://141.218.60.56/~jnz1568/getInfo.php?workbook=10_05.xlsx&amp;sheet=U0&amp;row=6613&amp;col=6&amp;number=3.9&amp;sourceID=14","3.9")</f>
        <v>3.9</v>
      </c>
      <c r="G6613" s="4" t="str">
        <f>HYPERLINK("http://141.218.60.56/~jnz1568/getInfo.php?workbook=10_05.xlsx&amp;sheet=U0&amp;row=6613&amp;col=7&amp;number=0.002&amp;sourceID=14","0.002")</f>
        <v>0.002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HYPERLINK("http://141.218.60.56/~jnz1568/getInfo.php?workbook=10_05.xlsx&amp;sheet=U0&amp;row=6614&amp;col=6&amp;number=4&amp;sourceID=14","4")</f>
        <v>4</v>
      </c>
      <c r="G6614" s="4" t="str">
        <f>HYPERLINK("http://141.218.60.56/~jnz1568/getInfo.php?workbook=10_05.xlsx&amp;sheet=U0&amp;row=6614&amp;col=7&amp;number=0.00201&amp;sourceID=14","0.00201")</f>
        <v>0.00201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HYPERLINK("http://141.218.60.56/~jnz1568/getInfo.php?workbook=10_05.xlsx&amp;sheet=U0&amp;row=6615&amp;col=6&amp;number=4.1&amp;sourceID=14","4.1")</f>
        <v>4.1</v>
      </c>
      <c r="G6615" s="4" t="str">
        <f>HYPERLINK("http://141.218.60.56/~jnz1568/getInfo.php?workbook=10_05.xlsx&amp;sheet=U0&amp;row=6615&amp;col=7&amp;number=0.00201&amp;sourceID=14","0.00201")</f>
        <v>0.00201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HYPERLINK("http://141.218.60.56/~jnz1568/getInfo.php?workbook=10_05.xlsx&amp;sheet=U0&amp;row=6616&amp;col=6&amp;number=4.2&amp;sourceID=14","4.2")</f>
        <v>4.2</v>
      </c>
      <c r="G6616" s="4" t="str">
        <f>HYPERLINK("http://141.218.60.56/~jnz1568/getInfo.php?workbook=10_05.xlsx&amp;sheet=U0&amp;row=6616&amp;col=7&amp;number=0.00202&amp;sourceID=14","0.00202")</f>
        <v>0.00202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HYPERLINK("http://141.218.60.56/~jnz1568/getInfo.php?workbook=10_05.xlsx&amp;sheet=U0&amp;row=6617&amp;col=6&amp;number=4.3&amp;sourceID=14","4.3")</f>
        <v>4.3</v>
      </c>
      <c r="G6617" s="4" t="str">
        <f>HYPERLINK("http://141.218.60.56/~jnz1568/getInfo.php?workbook=10_05.xlsx&amp;sheet=U0&amp;row=6617&amp;col=7&amp;number=0.00201&amp;sourceID=14","0.00201")</f>
        <v>0.00201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HYPERLINK("http://141.218.60.56/~jnz1568/getInfo.php?workbook=10_05.xlsx&amp;sheet=U0&amp;row=6618&amp;col=6&amp;number=4.4&amp;sourceID=14","4.4")</f>
        <v>4.4</v>
      </c>
      <c r="G6618" s="4" t="str">
        <f>HYPERLINK("http://141.218.60.56/~jnz1568/getInfo.php?workbook=10_05.xlsx&amp;sheet=U0&amp;row=6618&amp;col=7&amp;number=0.002&amp;sourceID=14","0.002")</f>
        <v>0.002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HYPERLINK("http://141.218.60.56/~jnz1568/getInfo.php?workbook=10_05.xlsx&amp;sheet=U0&amp;row=6619&amp;col=6&amp;number=4.5&amp;sourceID=14","4.5")</f>
        <v>4.5</v>
      </c>
      <c r="G6619" s="4" t="str">
        <f>HYPERLINK("http://141.218.60.56/~jnz1568/getInfo.php?workbook=10_05.xlsx&amp;sheet=U0&amp;row=6619&amp;col=7&amp;number=0.00197&amp;sourceID=14","0.00197")</f>
        <v>0.00197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HYPERLINK("http://141.218.60.56/~jnz1568/getInfo.php?workbook=10_05.xlsx&amp;sheet=U0&amp;row=6620&amp;col=6&amp;number=4.6&amp;sourceID=14","4.6")</f>
        <v>4.6</v>
      </c>
      <c r="G6620" s="4" t="str">
        <f>HYPERLINK("http://141.218.60.56/~jnz1568/getInfo.php?workbook=10_05.xlsx&amp;sheet=U0&amp;row=6620&amp;col=7&amp;number=0.00194&amp;sourceID=14","0.00194")</f>
        <v>0.00194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HYPERLINK("http://141.218.60.56/~jnz1568/getInfo.php?workbook=10_05.xlsx&amp;sheet=U0&amp;row=6621&amp;col=6&amp;number=4.7&amp;sourceID=14","4.7")</f>
        <v>4.7</v>
      </c>
      <c r="G6621" s="4" t="str">
        <f>HYPERLINK("http://141.218.60.56/~jnz1568/getInfo.php?workbook=10_05.xlsx&amp;sheet=U0&amp;row=6621&amp;col=7&amp;number=0.00191&amp;sourceID=14","0.00191")</f>
        <v>0.00191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HYPERLINK("http://141.218.60.56/~jnz1568/getInfo.php?workbook=10_05.xlsx&amp;sheet=U0&amp;row=6622&amp;col=6&amp;number=4.8&amp;sourceID=14","4.8")</f>
        <v>4.8</v>
      </c>
      <c r="G6622" s="4" t="str">
        <f>HYPERLINK("http://141.218.60.56/~jnz1568/getInfo.php?workbook=10_05.xlsx&amp;sheet=U0&amp;row=6622&amp;col=7&amp;number=0.00189&amp;sourceID=14","0.00189")</f>
        <v>0.00189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HYPERLINK("http://141.218.60.56/~jnz1568/getInfo.php?workbook=10_05.xlsx&amp;sheet=U0&amp;row=6623&amp;col=6&amp;number=4.9&amp;sourceID=14","4.9")</f>
        <v>4.9</v>
      </c>
      <c r="G6623" s="4" t="str">
        <f>HYPERLINK("http://141.218.60.56/~jnz1568/getInfo.php?workbook=10_05.xlsx&amp;sheet=U0&amp;row=6623&amp;col=7&amp;number=0.00187&amp;sourceID=14","0.00187")</f>
        <v>0.00187</v>
      </c>
    </row>
    <row r="6624" spans="1:7">
      <c r="A6624" s="3">
        <v>10</v>
      </c>
      <c r="B6624" s="3">
        <v>5</v>
      </c>
      <c r="C6624" s="3">
        <v>2</v>
      </c>
      <c r="D6624" s="3">
        <v>155</v>
      </c>
      <c r="E6624" s="3">
        <v>1</v>
      </c>
      <c r="F6624" s="4" t="str">
        <f>HYPERLINK("http://141.218.60.56/~jnz1568/getInfo.php?workbook=10_05.xlsx&amp;sheet=U0&amp;row=6624&amp;col=6&amp;number=3&amp;sourceID=14","3")</f>
        <v>3</v>
      </c>
      <c r="G6624" s="4" t="str">
        <f>HYPERLINK("http://141.218.60.56/~jnz1568/getInfo.php?workbook=10_05.xlsx&amp;sheet=U0&amp;row=6624&amp;col=7&amp;number=0.00259&amp;sourceID=14","0.00259")</f>
        <v>0.00259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HYPERLINK("http://141.218.60.56/~jnz1568/getInfo.php?workbook=10_05.xlsx&amp;sheet=U0&amp;row=6625&amp;col=6&amp;number=3.1&amp;sourceID=14","3.1")</f>
        <v>3.1</v>
      </c>
      <c r="G6625" s="4" t="str">
        <f>HYPERLINK("http://141.218.60.56/~jnz1568/getInfo.php?workbook=10_05.xlsx&amp;sheet=U0&amp;row=6625&amp;col=7&amp;number=0.00259&amp;sourceID=14","0.00259")</f>
        <v>0.00259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HYPERLINK("http://141.218.60.56/~jnz1568/getInfo.php?workbook=10_05.xlsx&amp;sheet=U0&amp;row=6626&amp;col=6&amp;number=3.2&amp;sourceID=14","3.2")</f>
        <v>3.2</v>
      </c>
      <c r="G6626" s="4" t="str">
        <f>HYPERLINK("http://141.218.60.56/~jnz1568/getInfo.php?workbook=10_05.xlsx&amp;sheet=U0&amp;row=6626&amp;col=7&amp;number=0.00259&amp;sourceID=14","0.00259")</f>
        <v>0.00259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HYPERLINK("http://141.218.60.56/~jnz1568/getInfo.php?workbook=10_05.xlsx&amp;sheet=U0&amp;row=6627&amp;col=6&amp;number=3.3&amp;sourceID=14","3.3")</f>
        <v>3.3</v>
      </c>
      <c r="G6627" s="4" t="str">
        <f>HYPERLINK("http://141.218.60.56/~jnz1568/getInfo.php?workbook=10_05.xlsx&amp;sheet=U0&amp;row=6627&amp;col=7&amp;number=0.00259&amp;sourceID=14","0.00259")</f>
        <v>0.00259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HYPERLINK("http://141.218.60.56/~jnz1568/getInfo.php?workbook=10_05.xlsx&amp;sheet=U0&amp;row=6628&amp;col=6&amp;number=3.4&amp;sourceID=14","3.4")</f>
        <v>3.4</v>
      </c>
      <c r="G6628" s="4" t="str">
        <f>HYPERLINK("http://141.218.60.56/~jnz1568/getInfo.php?workbook=10_05.xlsx&amp;sheet=U0&amp;row=6628&amp;col=7&amp;number=0.00258&amp;sourceID=14","0.00258")</f>
        <v>0.00258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HYPERLINK("http://141.218.60.56/~jnz1568/getInfo.php?workbook=10_05.xlsx&amp;sheet=U0&amp;row=6629&amp;col=6&amp;number=3.5&amp;sourceID=14","3.5")</f>
        <v>3.5</v>
      </c>
      <c r="G6629" s="4" t="str">
        <f>HYPERLINK("http://141.218.60.56/~jnz1568/getInfo.php?workbook=10_05.xlsx&amp;sheet=U0&amp;row=6629&amp;col=7&amp;number=0.00258&amp;sourceID=14","0.00258")</f>
        <v>0.00258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HYPERLINK("http://141.218.60.56/~jnz1568/getInfo.php?workbook=10_05.xlsx&amp;sheet=U0&amp;row=6630&amp;col=6&amp;number=3.6&amp;sourceID=14","3.6")</f>
        <v>3.6</v>
      </c>
      <c r="G6630" s="4" t="str">
        <f>HYPERLINK("http://141.218.60.56/~jnz1568/getInfo.php?workbook=10_05.xlsx&amp;sheet=U0&amp;row=6630&amp;col=7&amp;number=0.00258&amp;sourceID=14","0.00258")</f>
        <v>0.00258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HYPERLINK("http://141.218.60.56/~jnz1568/getInfo.php?workbook=10_05.xlsx&amp;sheet=U0&amp;row=6631&amp;col=6&amp;number=3.7&amp;sourceID=14","3.7")</f>
        <v>3.7</v>
      </c>
      <c r="G6631" s="4" t="str">
        <f>HYPERLINK("http://141.218.60.56/~jnz1568/getInfo.php?workbook=10_05.xlsx&amp;sheet=U0&amp;row=6631&amp;col=7&amp;number=0.00257&amp;sourceID=14","0.00257")</f>
        <v>0.00257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HYPERLINK("http://141.218.60.56/~jnz1568/getInfo.php?workbook=10_05.xlsx&amp;sheet=U0&amp;row=6632&amp;col=6&amp;number=3.8&amp;sourceID=14","3.8")</f>
        <v>3.8</v>
      </c>
      <c r="G6632" s="4" t="str">
        <f>HYPERLINK("http://141.218.60.56/~jnz1568/getInfo.php?workbook=10_05.xlsx&amp;sheet=U0&amp;row=6632&amp;col=7&amp;number=0.00257&amp;sourceID=14","0.00257")</f>
        <v>0.00257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HYPERLINK("http://141.218.60.56/~jnz1568/getInfo.php?workbook=10_05.xlsx&amp;sheet=U0&amp;row=6633&amp;col=6&amp;number=3.9&amp;sourceID=14","3.9")</f>
        <v>3.9</v>
      </c>
      <c r="G6633" s="4" t="str">
        <f>HYPERLINK("http://141.218.60.56/~jnz1568/getInfo.php?workbook=10_05.xlsx&amp;sheet=U0&amp;row=6633&amp;col=7&amp;number=0.00256&amp;sourceID=14","0.00256")</f>
        <v>0.00256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HYPERLINK("http://141.218.60.56/~jnz1568/getInfo.php?workbook=10_05.xlsx&amp;sheet=U0&amp;row=6634&amp;col=6&amp;number=4&amp;sourceID=14","4")</f>
        <v>4</v>
      </c>
      <c r="G6634" s="4" t="str">
        <f>HYPERLINK("http://141.218.60.56/~jnz1568/getInfo.php?workbook=10_05.xlsx&amp;sheet=U0&amp;row=6634&amp;col=7&amp;number=0.00256&amp;sourceID=14","0.00256")</f>
        <v>0.00256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HYPERLINK("http://141.218.60.56/~jnz1568/getInfo.php?workbook=10_05.xlsx&amp;sheet=U0&amp;row=6635&amp;col=6&amp;number=4.1&amp;sourceID=14","4.1")</f>
        <v>4.1</v>
      </c>
      <c r="G6635" s="4" t="str">
        <f>HYPERLINK("http://141.218.60.56/~jnz1568/getInfo.php?workbook=10_05.xlsx&amp;sheet=U0&amp;row=6635&amp;col=7&amp;number=0.00255&amp;sourceID=14","0.00255")</f>
        <v>0.00255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HYPERLINK("http://141.218.60.56/~jnz1568/getInfo.php?workbook=10_05.xlsx&amp;sheet=U0&amp;row=6636&amp;col=6&amp;number=4.2&amp;sourceID=14","4.2")</f>
        <v>4.2</v>
      </c>
      <c r="G6636" s="4" t="str">
        <f>HYPERLINK("http://141.218.60.56/~jnz1568/getInfo.php?workbook=10_05.xlsx&amp;sheet=U0&amp;row=6636&amp;col=7&amp;number=0.00254&amp;sourceID=14","0.00254")</f>
        <v>0.00254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HYPERLINK("http://141.218.60.56/~jnz1568/getInfo.php?workbook=10_05.xlsx&amp;sheet=U0&amp;row=6637&amp;col=6&amp;number=4.3&amp;sourceID=14","4.3")</f>
        <v>4.3</v>
      </c>
      <c r="G6637" s="4" t="str">
        <f>HYPERLINK("http://141.218.60.56/~jnz1568/getInfo.php?workbook=10_05.xlsx&amp;sheet=U0&amp;row=6637&amp;col=7&amp;number=0.00253&amp;sourceID=14","0.00253")</f>
        <v>0.00253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HYPERLINK("http://141.218.60.56/~jnz1568/getInfo.php?workbook=10_05.xlsx&amp;sheet=U0&amp;row=6638&amp;col=6&amp;number=4.4&amp;sourceID=14","4.4")</f>
        <v>4.4</v>
      </c>
      <c r="G6638" s="4" t="str">
        <f>HYPERLINK("http://141.218.60.56/~jnz1568/getInfo.php?workbook=10_05.xlsx&amp;sheet=U0&amp;row=6638&amp;col=7&amp;number=0.00252&amp;sourceID=14","0.00252")</f>
        <v>0.00252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HYPERLINK("http://141.218.60.56/~jnz1568/getInfo.php?workbook=10_05.xlsx&amp;sheet=U0&amp;row=6639&amp;col=6&amp;number=4.5&amp;sourceID=14","4.5")</f>
        <v>4.5</v>
      </c>
      <c r="G6639" s="4" t="str">
        <f>HYPERLINK("http://141.218.60.56/~jnz1568/getInfo.php?workbook=10_05.xlsx&amp;sheet=U0&amp;row=6639&amp;col=7&amp;number=0.00251&amp;sourceID=14","0.00251")</f>
        <v>0.00251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HYPERLINK("http://141.218.60.56/~jnz1568/getInfo.php?workbook=10_05.xlsx&amp;sheet=U0&amp;row=6640&amp;col=6&amp;number=4.6&amp;sourceID=14","4.6")</f>
        <v>4.6</v>
      </c>
      <c r="G6640" s="4" t="str">
        <f>HYPERLINK("http://141.218.60.56/~jnz1568/getInfo.php?workbook=10_05.xlsx&amp;sheet=U0&amp;row=6640&amp;col=7&amp;number=0.0025&amp;sourceID=14","0.0025")</f>
        <v>0.0025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HYPERLINK("http://141.218.60.56/~jnz1568/getInfo.php?workbook=10_05.xlsx&amp;sheet=U0&amp;row=6641&amp;col=6&amp;number=4.7&amp;sourceID=14","4.7")</f>
        <v>4.7</v>
      </c>
      <c r="G6641" s="4" t="str">
        <f>HYPERLINK("http://141.218.60.56/~jnz1568/getInfo.php?workbook=10_05.xlsx&amp;sheet=U0&amp;row=6641&amp;col=7&amp;number=0.00248&amp;sourceID=14","0.00248")</f>
        <v>0.00248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HYPERLINK("http://141.218.60.56/~jnz1568/getInfo.php?workbook=10_05.xlsx&amp;sheet=U0&amp;row=6642&amp;col=6&amp;number=4.8&amp;sourceID=14","4.8")</f>
        <v>4.8</v>
      </c>
      <c r="G6642" s="4" t="str">
        <f>HYPERLINK("http://141.218.60.56/~jnz1568/getInfo.php?workbook=10_05.xlsx&amp;sheet=U0&amp;row=6642&amp;col=7&amp;number=0.00246&amp;sourceID=14","0.00246")</f>
        <v>0.00246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HYPERLINK("http://141.218.60.56/~jnz1568/getInfo.php?workbook=10_05.xlsx&amp;sheet=U0&amp;row=6643&amp;col=6&amp;number=4.9&amp;sourceID=14","4.9")</f>
        <v>4.9</v>
      </c>
      <c r="G6643" s="4" t="str">
        <f>HYPERLINK("http://141.218.60.56/~jnz1568/getInfo.php?workbook=10_05.xlsx&amp;sheet=U0&amp;row=6643&amp;col=7&amp;number=0.00244&amp;sourceID=14","0.00244")</f>
        <v>0.00244</v>
      </c>
    </row>
    <row r="6644" spans="1:7">
      <c r="A6644" s="3">
        <v>10</v>
      </c>
      <c r="B6644" s="3">
        <v>5</v>
      </c>
      <c r="C6644" s="3">
        <v>2</v>
      </c>
      <c r="D6644" s="3">
        <v>156</v>
      </c>
      <c r="E6644" s="3">
        <v>1</v>
      </c>
      <c r="F6644" s="4" t="str">
        <f>HYPERLINK("http://141.218.60.56/~jnz1568/getInfo.php?workbook=10_05.xlsx&amp;sheet=U0&amp;row=6644&amp;col=6&amp;number=3&amp;sourceID=14","3")</f>
        <v>3</v>
      </c>
      <c r="G6644" s="4" t="str">
        <f>HYPERLINK("http://141.218.60.56/~jnz1568/getInfo.php?workbook=10_05.xlsx&amp;sheet=U0&amp;row=6644&amp;col=7&amp;number=0.00163&amp;sourceID=14","0.00163")</f>
        <v>0.00163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HYPERLINK("http://141.218.60.56/~jnz1568/getInfo.php?workbook=10_05.xlsx&amp;sheet=U0&amp;row=6645&amp;col=6&amp;number=3.1&amp;sourceID=14","3.1")</f>
        <v>3.1</v>
      </c>
      <c r="G6645" s="4" t="str">
        <f>HYPERLINK("http://141.218.60.56/~jnz1568/getInfo.php?workbook=10_05.xlsx&amp;sheet=U0&amp;row=6645&amp;col=7&amp;number=0.00163&amp;sourceID=14","0.00163")</f>
        <v>0.00163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HYPERLINK("http://141.218.60.56/~jnz1568/getInfo.php?workbook=10_05.xlsx&amp;sheet=U0&amp;row=6646&amp;col=6&amp;number=3.2&amp;sourceID=14","3.2")</f>
        <v>3.2</v>
      </c>
      <c r="G6646" s="4" t="str">
        <f>HYPERLINK("http://141.218.60.56/~jnz1568/getInfo.php?workbook=10_05.xlsx&amp;sheet=U0&amp;row=6646&amp;col=7&amp;number=0.00163&amp;sourceID=14","0.00163")</f>
        <v>0.00163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HYPERLINK("http://141.218.60.56/~jnz1568/getInfo.php?workbook=10_05.xlsx&amp;sheet=U0&amp;row=6647&amp;col=6&amp;number=3.3&amp;sourceID=14","3.3")</f>
        <v>3.3</v>
      </c>
      <c r="G6647" s="4" t="str">
        <f>HYPERLINK("http://141.218.60.56/~jnz1568/getInfo.php?workbook=10_05.xlsx&amp;sheet=U0&amp;row=6647&amp;col=7&amp;number=0.00162&amp;sourceID=14","0.00162")</f>
        <v>0.00162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HYPERLINK("http://141.218.60.56/~jnz1568/getInfo.php?workbook=10_05.xlsx&amp;sheet=U0&amp;row=6648&amp;col=6&amp;number=3.4&amp;sourceID=14","3.4")</f>
        <v>3.4</v>
      </c>
      <c r="G6648" s="4" t="str">
        <f>HYPERLINK("http://141.218.60.56/~jnz1568/getInfo.php?workbook=10_05.xlsx&amp;sheet=U0&amp;row=6648&amp;col=7&amp;number=0.00162&amp;sourceID=14","0.00162")</f>
        <v>0.00162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HYPERLINK("http://141.218.60.56/~jnz1568/getInfo.php?workbook=10_05.xlsx&amp;sheet=U0&amp;row=6649&amp;col=6&amp;number=3.5&amp;sourceID=14","3.5")</f>
        <v>3.5</v>
      </c>
      <c r="G6649" s="4" t="str">
        <f>HYPERLINK("http://141.218.60.56/~jnz1568/getInfo.php?workbook=10_05.xlsx&amp;sheet=U0&amp;row=6649&amp;col=7&amp;number=0.00162&amp;sourceID=14","0.00162")</f>
        <v>0.00162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HYPERLINK("http://141.218.60.56/~jnz1568/getInfo.php?workbook=10_05.xlsx&amp;sheet=U0&amp;row=6650&amp;col=6&amp;number=3.6&amp;sourceID=14","3.6")</f>
        <v>3.6</v>
      </c>
      <c r="G6650" s="4" t="str">
        <f>HYPERLINK("http://141.218.60.56/~jnz1568/getInfo.php?workbook=10_05.xlsx&amp;sheet=U0&amp;row=6650&amp;col=7&amp;number=0.00162&amp;sourceID=14","0.00162")</f>
        <v>0.00162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HYPERLINK("http://141.218.60.56/~jnz1568/getInfo.php?workbook=10_05.xlsx&amp;sheet=U0&amp;row=6651&amp;col=6&amp;number=3.7&amp;sourceID=14","3.7")</f>
        <v>3.7</v>
      </c>
      <c r="G6651" s="4" t="str">
        <f>HYPERLINK("http://141.218.60.56/~jnz1568/getInfo.php?workbook=10_05.xlsx&amp;sheet=U0&amp;row=6651&amp;col=7&amp;number=0.00161&amp;sourceID=14","0.00161")</f>
        <v>0.00161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HYPERLINK("http://141.218.60.56/~jnz1568/getInfo.php?workbook=10_05.xlsx&amp;sheet=U0&amp;row=6652&amp;col=6&amp;number=3.8&amp;sourceID=14","3.8")</f>
        <v>3.8</v>
      </c>
      <c r="G6652" s="4" t="str">
        <f>HYPERLINK("http://141.218.60.56/~jnz1568/getInfo.php?workbook=10_05.xlsx&amp;sheet=U0&amp;row=6652&amp;col=7&amp;number=0.00161&amp;sourceID=14","0.00161")</f>
        <v>0.00161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HYPERLINK("http://141.218.60.56/~jnz1568/getInfo.php?workbook=10_05.xlsx&amp;sheet=U0&amp;row=6653&amp;col=6&amp;number=3.9&amp;sourceID=14","3.9")</f>
        <v>3.9</v>
      </c>
      <c r="G6653" s="4" t="str">
        <f>HYPERLINK("http://141.218.60.56/~jnz1568/getInfo.php?workbook=10_05.xlsx&amp;sheet=U0&amp;row=6653&amp;col=7&amp;number=0.0016&amp;sourceID=14","0.0016")</f>
        <v>0.0016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HYPERLINK("http://141.218.60.56/~jnz1568/getInfo.php?workbook=10_05.xlsx&amp;sheet=U0&amp;row=6654&amp;col=6&amp;number=4&amp;sourceID=14","4")</f>
        <v>4</v>
      </c>
      <c r="G6654" s="4" t="str">
        <f>HYPERLINK("http://141.218.60.56/~jnz1568/getInfo.php?workbook=10_05.xlsx&amp;sheet=U0&amp;row=6654&amp;col=7&amp;number=0.00159&amp;sourceID=14","0.00159")</f>
        <v>0.00159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HYPERLINK("http://141.218.60.56/~jnz1568/getInfo.php?workbook=10_05.xlsx&amp;sheet=U0&amp;row=6655&amp;col=6&amp;number=4.1&amp;sourceID=14","4.1")</f>
        <v>4.1</v>
      </c>
      <c r="G6655" s="4" t="str">
        <f>HYPERLINK("http://141.218.60.56/~jnz1568/getInfo.php?workbook=10_05.xlsx&amp;sheet=U0&amp;row=6655&amp;col=7&amp;number=0.00158&amp;sourceID=14","0.00158")</f>
        <v>0.00158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HYPERLINK("http://141.218.60.56/~jnz1568/getInfo.php?workbook=10_05.xlsx&amp;sheet=U0&amp;row=6656&amp;col=6&amp;number=4.2&amp;sourceID=14","4.2")</f>
        <v>4.2</v>
      </c>
      <c r="G6656" s="4" t="str">
        <f>HYPERLINK("http://141.218.60.56/~jnz1568/getInfo.php?workbook=10_05.xlsx&amp;sheet=U0&amp;row=6656&amp;col=7&amp;number=0.00157&amp;sourceID=14","0.00157")</f>
        <v>0.00157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HYPERLINK("http://141.218.60.56/~jnz1568/getInfo.php?workbook=10_05.xlsx&amp;sheet=U0&amp;row=6657&amp;col=6&amp;number=4.3&amp;sourceID=14","4.3")</f>
        <v>4.3</v>
      </c>
      <c r="G6657" s="4" t="str">
        <f>HYPERLINK("http://141.218.60.56/~jnz1568/getInfo.php?workbook=10_05.xlsx&amp;sheet=U0&amp;row=6657&amp;col=7&amp;number=0.00156&amp;sourceID=14","0.00156")</f>
        <v>0.00156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HYPERLINK("http://141.218.60.56/~jnz1568/getInfo.php?workbook=10_05.xlsx&amp;sheet=U0&amp;row=6658&amp;col=6&amp;number=4.4&amp;sourceID=14","4.4")</f>
        <v>4.4</v>
      </c>
      <c r="G6658" s="4" t="str">
        <f>HYPERLINK("http://141.218.60.56/~jnz1568/getInfo.php?workbook=10_05.xlsx&amp;sheet=U0&amp;row=6658&amp;col=7&amp;number=0.00154&amp;sourceID=14","0.00154")</f>
        <v>0.00154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HYPERLINK("http://141.218.60.56/~jnz1568/getInfo.php?workbook=10_05.xlsx&amp;sheet=U0&amp;row=6659&amp;col=6&amp;number=4.5&amp;sourceID=14","4.5")</f>
        <v>4.5</v>
      </c>
      <c r="G6659" s="4" t="str">
        <f>HYPERLINK("http://141.218.60.56/~jnz1568/getInfo.php?workbook=10_05.xlsx&amp;sheet=U0&amp;row=6659&amp;col=7&amp;number=0.00152&amp;sourceID=14","0.00152")</f>
        <v>0.00152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HYPERLINK("http://141.218.60.56/~jnz1568/getInfo.php?workbook=10_05.xlsx&amp;sheet=U0&amp;row=6660&amp;col=6&amp;number=4.6&amp;sourceID=14","4.6")</f>
        <v>4.6</v>
      </c>
      <c r="G6660" s="4" t="str">
        <f>HYPERLINK("http://141.218.60.56/~jnz1568/getInfo.php?workbook=10_05.xlsx&amp;sheet=U0&amp;row=6660&amp;col=7&amp;number=0.0015&amp;sourceID=14","0.0015")</f>
        <v>0.0015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HYPERLINK("http://141.218.60.56/~jnz1568/getInfo.php?workbook=10_05.xlsx&amp;sheet=U0&amp;row=6661&amp;col=6&amp;number=4.7&amp;sourceID=14","4.7")</f>
        <v>4.7</v>
      </c>
      <c r="G6661" s="4" t="str">
        <f>HYPERLINK("http://141.218.60.56/~jnz1568/getInfo.php?workbook=10_05.xlsx&amp;sheet=U0&amp;row=6661&amp;col=7&amp;number=0.00147&amp;sourceID=14","0.00147")</f>
        <v>0.00147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HYPERLINK("http://141.218.60.56/~jnz1568/getInfo.php?workbook=10_05.xlsx&amp;sheet=U0&amp;row=6662&amp;col=6&amp;number=4.8&amp;sourceID=14","4.8")</f>
        <v>4.8</v>
      </c>
      <c r="G6662" s="4" t="str">
        <f>HYPERLINK("http://141.218.60.56/~jnz1568/getInfo.php?workbook=10_05.xlsx&amp;sheet=U0&amp;row=6662&amp;col=7&amp;number=0.00144&amp;sourceID=14","0.00144")</f>
        <v>0.00144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HYPERLINK("http://141.218.60.56/~jnz1568/getInfo.php?workbook=10_05.xlsx&amp;sheet=U0&amp;row=6663&amp;col=6&amp;number=4.9&amp;sourceID=14","4.9")</f>
        <v>4.9</v>
      </c>
      <c r="G6663" s="4" t="str">
        <f>HYPERLINK("http://141.218.60.56/~jnz1568/getInfo.php?workbook=10_05.xlsx&amp;sheet=U0&amp;row=6663&amp;col=7&amp;number=0.00141&amp;sourceID=14","0.00141")</f>
        <v>0.00141</v>
      </c>
    </row>
    <row r="6664" spans="1:7">
      <c r="A6664" s="3">
        <v>10</v>
      </c>
      <c r="B6664" s="3">
        <v>5</v>
      </c>
      <c r="C6664" s="3">
        <v>2</v>
      </c>
      <c r="D6664" s="3">
        <v>157</v>
      </c>
      <c r="E6664" s="3">
        <v>1</v>
      </c>
      <c r="F6664" s="4" t="str">
        <f>HYPERLINK("http://141.218.60.56/~jnz1568/getInfo.php?workbook=10_05.xlsx&amp;sheet=U0&amp;row=6664&amp;col=6&amp;number=3&amp;sourceID=14","3")</f>
        <v>3</v>
      </c>
      <c r="G6664" s="4" t="str">
        <f>HYPERLINK("http://141.218.60.56/~jnz1568/getInfo.php?workbook=10_05.xlsx&amp;sheet=U0&amp;row=6664&amp;col=7&amp;number=0.00309&amp;sourceID=14","0.00309")</f>
        <v>0.00309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HYPERLINK("http://141.218.60.56/~jnz1568/getInfo.php?workbook=10_05.xlsx&amp;sheet=U0&amp;row=6665&amp;col=6&amp;number=3.1&amp;sourceID=14","3.1")</f>
        <v>3.1</v>
      </c>
      <c r="G6665" s="4" t="str">
        <f>HYPERLINK("http://141.218.60.56/~jnz1568/getInfo.php?workbook=10_05.xlsx&amp;sheet=U0&amp;row=6665&amp;col=7&amp;number=0.00309&amp;sourceID=14","0.00309")</f>
        <v>0.00309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HYPERLINK("http://141.218.60.56/~jnz1568/getInfo.php?workbook=10_05.xlsx&amp;sheet=U0&amp;row=6666&amp;col=6&amp;number=3.2&amp;sourceID=14","3.2")</f>
        <v>3.2</v>
      </c>
      <c r="G6666" s="4" t="str">
        <f>HYPERLINK("http://141.218.60.56/~jnz1568/getInfo.php?workbook=10_05.xlsx&amp;sheet=U0&amp;row=6666&amp;col=7&amp;number=0.00309&amp;sourceID=14","0.00309")</f>
        <v>0.00309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HYPERLINK("http://141.218.60.56/~jnz1568/getInfo.php?workbook=10_05.xlsx&amp;sheet=U0&amp;row=6667&amp;col=6&amp;number=3.3&amp;sourceID=14","3.3")</f>
        <v>3.3</v>
      </c>
      <c r="G6667" s="4" t="str">
        <f>HYPERLINK("http://141.218.60.56/~jnz1568/getInfo.php?workbook=10_05.xlsx&amp;sheet=U0&amp;row=6667&amp;col=7&amp;number=0.00309&amp;sourceID=14","0.00309")</f>
        <v>0.00309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HYPERLINK("http://141.218.60.56/~jnz1568/getInfo.php?workbook=10_05.xlsx&amp;sheet=U0&amp;row=6668&amp;col=6&amp;number=3.4&amp;sourceID=14","3.4")</f>
        <v>3.4</v>
      </c>
      <c r="G6668" s="4" t="str">
        <f>HYPERLINK("http://141.218.60.56/~jnz1568/getInfo.php?workbook=10_05.xlsx&amp;sheet=U0&amp;row=6668&amp;col=7&amp;number=0.00309&amp;sourceID=14","0.00309")</f>
        <v>0.00309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HYPERLINK("http://141.218.60.56/~jnz1568/getInfo.php?workbook=10_05.xlsx&amp;sheet=U0&amp;row=6669&amp;col=6&amp;number=3.5&amp;sourceID=14","3.5")</f>
        <v>3.5</v>
      </c>
      <c r="G6669" s="4" t="str">
        <f>HYPERLINK("http://141.218.60.56/~jnz1568/getInfo.php?workbook=10_05.xlsx&amp;sheet=U0&amp;row=6669&amp;col=7&amp;number=0.00308&amp;sourceID=14","0.00308")</f>
        <v>0.00308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HYPERLINK("http://141.218.60.56/~jnz1568/getInfo.php?workbook=10_05.xlsx&amp;sheet=U0&amp;row=6670&amp;col=6&amp;number=3.6&amp;sourceID=14","3.6")</f>
        <v>3.6</v>
      </c>
      <c r="G6670" s="4" t="str">
        <f>HYPERLINK("http://141.218.60.56/~jnz1568/getInfo.php?workbook=10_05.xlsx&amp;sheet=U0&amp;row=6670&amp;col=7&amp;number=0.00308&amp;sourceID=14","0.00308")</f>
        <v>0.00308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HYPERLINK("http://141.218.60.56/~jnz1568/getInfo.php?workbook=10_05.xlsx&amp;sheet=U0&amp;row=6671&amp;col=6&amp;number=3.7&amp;sourceID=14","3.7")</f>
        <v>3.7</v>
      </c>
      <c r="G6671" s="4" t="str">
        <f>HYPERLINK("http://141.218.60.56/~jnz1568/getInfo.php?workbook=10_05.xlsx&amp;sheet=U0&amp;row=6671&amp;col=7&amp;number=0.00308&amp;sourceID=14","0.00308")</f>
        <v>0.00308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HYPERLINK("http://141.218.60.56/~jnz1568/getInfo.php?workbook=10_05.xlsx&amp;sheet=U0&amp;row=6672&amp;col=6&amp;number=3.8&amp;sourceID=14","3.8")</f>
        <v>3.8</v>
      </c>
      <c r="G6672" s="4" t="str">
        <f>HYPERLINK("http://141.218.60.56/~jnz1568/getInfo.php?workbook=10_05.xlsx&amp;sheet=U0&amp;row=6672&amp;col=7&amp;number=0.00307&amp;sourceID=14","0.00307")</f>
        <v>0.00307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HYPERLINK("http://141.218.60.56/~jnz1568/getInfo.php?workbook=10_05.xlsx&amp;sheet=U0&amp;row=6673&amp;col=6&amp;number=3.9&amp;sourceID=14","3.9")</f>
        <v>3.9</v>
      </c>
      <c r="G6673" s="4" t="str">
        <f>HYPERLINK("http://141.218.60.56/~jnz1568/getInfo.php?workbook=10_05.xlsx&amp;sheet=U0&amp;row=6673&amp;col=7&amp;number=0.00307&amp;sourceID=14","0.00307")</f>
        <v>0.00307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HYPERLINK("http://141.218.60.56/~jnz1568/getInfo.php?workbook=10_05.xlsx&amp;sheet=U0&amp;row=6674&amp;col=6&amp;number=4&amp;sourceID=14","4")</f>
        <v>4</v>
      </c>
      <c r="G6674" s="4" t="str">
        <f>HYPERLINK("http://141.218.60.56/~jnz1568/getInfo.php?workbook=10_05.xlsx&amp;sheet=U0&amp;row=6674&amp;col=7&amp;number=0.00307&amp;sourceID=14","0.00307")</f>
        <v>0.00307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HYPERLINK("http://141.218.60.56/~jnz1568/getInfo.php?workbook=10_05.xlsx&amp;sheet=U0&amp;row=6675&amp;col=6&amp;number=4.1&amp;sourceID=14","4.1")</f>
        <v>4.1</v>
      </c>
      <c r="G6675" s="4" t="str">
        <f>HYPERLINK("http://141.218.60.56/~jnz1568/getInfo.php?workbook=10_05.xlsx&amp;sheet=U0&amp;row=6675&amp;col=7&amp;number=0.00306&amp;sourceID=14","0.00306")</f>
        <v>0.00306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HYPERLINK("http://141.218.60.56/~jnz1568/getInfo.php?workbook=10_05.xlsx&amp;sheet=U0&amp;row=6676&amp;col=6&amp;number=4.2&amp;sourceID=14","4.2")</f>
        <v>4.2</v>
      </c>
      <c r="G6676" s="4" t="str">
        <f>HYPERLINK("http://141.218.60.56/~jnz1568/getInfo.php?workbook=10_05.xlsx&amp;sheet=U0&amp;row=6676&amp;col=7&amp;number=0.00305&amp;sourceID=14","0.00305")</f>
        <v>0.00305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HYPERLINK("http://141.218.60.56/~jnz1568/getInfo.php?workbook=10_05.xlsx&amp;sheet=U0&amp;row=6677&amp;col=6&amp;number=4.3&amp;sourceID=14","4.3")</f>
        <v>4.3</v>
      </c>
      <c r="G6677" s="4" t="str">
        <f>HYPERLINK("http://141.218.60.56/~jnz1568/getInfo.php?workbook=10_05.xlsx&amp;sheet=U0&amp;row=6677&amp;col=7&amp;number=0.00304&amp;sourceID=14","0.00304")</f>
        <v>0.00304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HYPERLINK("http://141.218.60.56/~jnz1568/getInfo.php?workbook=10_05.xlsx&amp;sheet=U0&amp;row=6678&amp;col=6&amp;number=4.4&amp;sourceID=14","4.4")</f>
        <v>4.4</v>
      </c>
      <c r="G6678" s="4" t="str">
        <f>HYPERLINK("http://141.218.60.56/~jnz1568/getInfo.php?workbook=10_05.xlsx&amp;sheet=U0&amp;row=6678&amp;col=7&amp;number=0.00302&amp;sourceID=14","0.00302")</f>
        <v>0.00302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HYPERLINK("http://141.218.60.56/~jnz1568/getInfo.php?workbook=10_05.xlsx&amp;sheet=U0&amp;row=6679&amp;col=6&amp;number=4.5&amp;sourceID=14","4.5")</f>
        <v>4.5</v>
      </c>
      <c r="G6679" s="4" t="str">
        <f>HYPERLINK("http://141.218.60.56/~jnz1568/getInfo.php?workbook=10_05.xlsx&amp;sheet=U0&amp;row=6679&amp;col=7&amp;number=0.003&amp;sourceID=14","0.003")</f>
        <v>0.003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HYPERLINK("http://141.218.60.56/~jnz1568/getInfo.php?workbook=10_05.xlsx&amp;sheet=U0&amp;row=6680&amp;col=6&amp;number=4.6&amp;sourceID=14","4.6")</f>
        <v>4.6</v>
      </c>
      <c r="G6680" s="4" t="str">
        <f>HYPERLINK("http://141.218.60.56/~jnz1568/getInfo.php?workbook=10_05.xlsx&amp;sheet=U0&amp;row=6680&amp;col=7&amp;number=0.00298&amp;sourceID=14","0.00298")</f>
        <v>0.00298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HYPERLINK("http://141.218.60.56/~jnz1568/getInfo.php?workbook=10_05.xlsx&amp;sheet=U0&amp;row=6681&amp;col=6&amp;number=4.7&amp;sourceID=14","4.7")</f>
        <v>4.7</v>
      </c>
      <c r="G6681" s="4" t="str">
        <f>HYPERLINK("http://141.218.60.56/~jnz1568/getInfo.php?workbook=10_05.xlsx&amp;sheet=U0&amp;row=6681&amp;col=7&amp;number=0.00294&amp;sourceID=14","0.00294")</f>
        <v>0.00294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HYPERLINK("http://141.218.60.56/~jnz1568/getInfo.php?workbook=10_05.xlsx&amp;sheet=U0&amp;row=6682&amp;col=6&amp;number=4.8&amp;sourceID=14","4.8")</f>
        <v>4.8</v>
      </c>
      <c r="G6682" s="4" t="str">
        <f>HYPERLINK("http://141.218.60.56/~jnz1568/getInfo.php?workbook=10_05.xlsx&amp;sheet=U0&amp;row=6682&amp;col=7&amp;number=0.0029&amp;sourceID=14","0.0029")</f>
        <v>0.0029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HYPERLINK("http://141.218.60.56/~jnz1568/getInfo.php?workbook=10_05.xlsx&amp;sheet=U0&amp;row=6683&amp;col=6&amp;number=4.9&amp;sourceID=14","4.9")</f>
        <v>4.9</v>
      </c>
      <c r="G6683" s="4" t="str">
        <f>HYPERLINK("http://141.218.60.56/~jnz1568/getInfo.php?workbook=10_05.xlsx&amp;sheet=U0&amp;row=6683&amp;col=7&amp;number=0.00285&amp;sourceID=14","0.00285")</f>
        <v>0.00285</v>
      </c>
    </row>
    <row r="6684" spans="1:7">
      <c r="A6684" s="3">
        <v>10</v>
      </c>
      <c r="B6684" s="3">
        <v>5</v>
      </c>
      <c r="C6684" s="3">
        <v>2</v>
      </c>
      <c r="D6684" s="3">
        <v>158</v>
      </c>
      <c r="E6684" s="3">
        <v>1</v>
      </c>
      <c r="F6684" s="4" t="str">
        <f>HYPERLINK("http://141.218.60.56/~jnz1568/getInfo.php?workbook=10_05.xlsx&amp;sheet=U0&amp;row=6684&amp;col=6&amp;number=3&amp;sourceID=14","3")</f>
        <v>3</v>
      </c>
      <c r="G6684" s="4" t="str">
        <f>HYPERLINK("http://141.218.60.56/~jnz1568/getInfo.php?workbook=10_05.xlsx&amp;sheet=U0&amp;row=6684&amp;col=7&amp;number=0.00894&amp;sourceID=14","0.00894")</f>
        <v>0.00894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HYPERLINK("http://141.218.60.56/~jnz1568/getInfo.php?workbook=10_05.xlsx&amp;sheet=U0&amp;row=6685&amp;col=6&amp;number=3.1&amp;sourceID=14","3.1")</f>
        <v>3.1</v>
      </c>
      <c r="G6685" s="4" t="str">
        <f>HYPERLINK("http://141.218.60.56/~jnz1568/getInfo.php?workbook=10_05.xlsx&amp;sheet=U0&amp;row=6685&amp;col=7&amp;number=0.00895&amp;sourceID=14","0.00895")</f>
        <v>0.00895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HYPERLINK("http://141.218.60.56/~jnz1568/getInfo.php?workbook=10_05.xlsx&amp;sheet=U0&amp;row=6686&amp;col=6&amp;number=3.2&amp;sourceID=14","3.2")</f>
        <v>3.2</v>
      </c>
      <c r="G6686" s="4" t="str">
        <f>HYPERLINK("http://141.218.60.56/~jnz1568/getInfo.php?workbook=10_05.xlsx&amp;sheet=U0&amp;row=6686&amp;col=7&amp;number=0.00896&amp;sourceID=14","0.00896")</f>
        <v>0.00896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HYPERLINK("http://141.218.60.56/~jnz1568/getInfo.php?workbook=10_05.xlsx&amp;sheet=U0&amp;row=6687&amp;col=6&amp;number=3.3&amp;sourceID=14","3.3")</f>
        <v>3.3</v>
      </c>
      <c r="G6687" s="4" t="str">
        <f>HYPERLINK("http://141.218.60.56/~jnz1568/getInfo.php?workbook=10_05.xlsx&amp;sheet=U0&amp;row=6687&amp;col=7&amp;number=0.00897&amp;sourceID=14","0.00897")</f>
        <v>0.00897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HYPERLINK("http://141.218.60.56/~jnz1568/getInfo.php?workbook=10_05.xlsx&amp;sheet=U0&amp;row=6688&amp;col=6&amp;number=3.4&amp;sourceID=14","3.4")</f>
        <v>3.4</v>
      </c>
      <c r="G6688" s="4" t="str">
        <f>HYPERLINK("http://141.218.60.56/~jnz1568/getInfo.php?workbook=10_05.xlsx&amp;sheet=U0&amp;row=6688&amp;col=7&amp;number=0.00899&amp;sourceID=14","0.00899")</f>
        <v>0.00899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HYPERLINK("http://141.218.60.56/~jnz1568/getInfo.php?workbook=10_05.xlsx&amp;sheet=U0&amp;row=6689&amp;col=6&amp;number=3.5&amp;sourceID=14","3.5")</f>
        <v>3.5</v>
      </c>
      <c r="G6689" s="4" t="str">
        <f>HYPERLINK("http://141.218.60.56/~jnz1568/getInfo.php?workbook=10_05.xlsx&amp;sheet=U0&amp;row=6689&amp;col=7&amp;number=0.00901&amp;sourceID=14","0.00901")</f>
        <v>0.00901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HYPERLINK("http://141.218.60.56/~jnz1568/getInfo.php?workbook=10_05.xlsx&amp;sheet=U0&amp;row=6690&amp;col=6&amp;number=3.6&amp;sourceID=14","3.6")</f>
        <v>3.6</v>
      </c>
      <c r="G6690" s="4" t="str">
        <f>HYPERLINK("http://141.218.60.56/~jnz1568/getInfo.php?workbook=10_05.xlsx&amp;sheet=U0&amp;row=6690&amp;col=7&amp;number=0.00903&amp;sourceID=14","0.00903")</f>
        <v>0.00903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HYPERLINK("http://141.218.60.56/~jnz1568/getInfo.php?workbook=10_05.xlsx&amp;sheet=U0&amp;row=6691&amp;col=6&amp;number=3.7&amp;sourceID=14","3.7")</f>
        <v>3.7</v>
      </c>
      <c r="G6691" s="4" t="str">
        <f>HYPERLINK("http://141.218.60.56/~jnz1568/getInfo.php?workbook=10_05.xlsx&amp;sheet=U0&amp;row=6691&amp;col=7&amp;number=0.00906&amp;sourceID=14","0.00906")</f>
        <v>0.00906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HYPERLINK("http://141.218.60.56/~jnz1568/getInfo.php?workbook=10_05.xlsx&amp;sheet=U0&amp;row=6692&amp;col=6&amp;number=3.8&amp;sourceID=14","3.8")</f>
        <v>3.8</v>
      </c>
      <c r="G6692" s="4" t="str">
        <f>HYPERLINK("http://141.218.60.56/~jnz1568/getInfo.php?workbook=10_05.xlsx&amp;sheet=U0&amp;row=6692&amp;col=7&amp;number=0.00909&amp;sourceID=14","0.00909")</f>
        <v>0.00909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HYPERLINK("http://141.218.60.56/~jnz1568/getInfo.php?workbook=10_05.xlsx&amp;sheet=U0&amp;row=6693&amp;col=6&amp;number=3.9&amp;sourceID=14","3.9")</f>
        <v>3.9</v>
      </c>
      <c r="G6693" s="4" t="str">
        <f>HYPERLINK("http://141.218.60.56/~jnz1568/getInfo.php?workbook=10_05.xlsx&amp;sheet=U0&amp;row=6693&amp;col=7&amp;number=0.00913&amp;sourceID=14","0.00913")</f>
        <v>0.00913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HYPERLINK("http://141.218.60.56/~jnz1568/getInfo.php?workbook=10_05.xlsx&amp;sheet=U0&amp;row=6694&amp;col=6&amp;number=4&amp;sourceID=14","4")</f>
        <v>4</v>
      </c>
      <c r="G6694" s="4" t="str">
        <f>HYPERLINK("http://141.218.60.56/~jnz1568/getInfo.php?workbook=10_05.xlsx&amp;sheet=U0&amp;row=6694&amp;col=7&amp;number=0.00918&amp;sourceID=14","0.00918")</f>
        <v>0.00918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HYPERLINK("http://141.218.60.56/~jnz1568/getInfo.php?workbook=10_05.xlsx&amp;sheet=U0&amp;row=6695&amp;col=6&amp;number=4.1&amp;sourceID=14","4.1")</f>
        <v>4.1</v>
      </c>
      <c r="G6695" s="4" t="str">
        <f>HYPERLINK("http://141.218.60.56/~jnz1568/getInfo.php?workbook=10_05.xlsx&amp;sheet=U0&amp;row=6695&amp;col=7&amp;number=0.00924&amp;sourceID=14","0.00924")</f>
        <v>0.00924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HYPERLINK("http://141.218.60.56/~jnz1568/getInfo.php?workbook=10_05.xlsx&amp;sheet=U0&amp;row=6696&amp;col=6&amp;number=4.2&amp;sourceID=14","4.2")</f>
        <v>4.2</v>
      </c>
      <c r="G6696" s="4" t="str">
        <f>HYPERLINK("http://141.218.60.56/~jnz1568/getInfo.php?workbook=10_05.xlsx&amp;sheet=U0&amp;row=6696&amp;col=7&amp;number=0.0093&amp;sourceID=14","0.0093")</f>
        <v>0.0093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HYPERLINK("http://141.218.60.56/~jnz1568/getInfo.php?workbook=10_05.xlsx&amp;sheet=U0&amp;row=6697&amp;col=6&amp;number=4.3&amp;sourceID=14","4.3")</f>
        <v>4.3</v>
      </c>
      <c r="G6697" s="4" t="str">
        <f>HYPERLINK("http://141.218.60.56/~jnz1568/getInfo.php?workbook=10_05.xlsx&amp;sheet=U0&amp;row=6697&amp;col=7&amp;number=0.00935&amp;sourceID=14","0.00935")</f>
        <v>0.00935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HYPERLINK("http://141.218.60.56/~jnz1568/getInfo.php?workbook=10_05.xlsx&amp;sheet=U0&amp;row=6698&amp;col=6&amp;number=4.4&amp;sourceID=14","4.4")</f>
        <v>4.4</v>
      </c>
      <c r="G6698" s="4" t="str">
        <f>HYPERLINK("http://141.218.60.56/~jnz1568/getInfo.php?workbook=10_05.xlsx&amp;sheet=U0&amp;row=6698&amp;col=7&amp;number=0.0094&amp;sourceID=14","0.0094")</f>
        <v>0.0094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HYPERLINK("http://141.218.60.56/~jnz1568/getInfo.php?workbook=10_05.xlsx&amp;sheet=U0&amp;row=6699&amp;col=6&amp;number=4.5&amp;sourceID=14","4.5")</f>
        <v>4.5</v>
      </c>
      <c r="G6699" s="4" t="str">
        <f>HYPERLINK("http://141.218.60.56/~jnz1568/getInfo.php?workbook=10_05.xlsx&amp;sheet=U0&amp;row=6699&amp;col=7&amp;number=0.00942&amp;sourceID=14","0.00942")</f>
        <v>0.00942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HYPERLINK("http://141.218.60.56/~jnz1568/getInfo.php?workbook=10_05.xlsx&amp;sheet=U0&amp;row=6700&amp;col=6&amp;number=4.6&amp;sourceID=14","4.6")</f>
        <v>4.6</v>
      </c>
      <c r="G6700" s="4" t="str">
        <f>HYPERLINK("http://141.218.60.56/~jnz1568/getInfo.php?workbook=10_05.xlsx&amp;sheet=U0&amp;row=6700&amp;col=7&amp;number=0.00942&amp;sourceID=14","0.00942")</f>
        <v>0.00942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HYPERLINK("http://141.218.60.56/~jnz1568/getInfo.php?workbook=10_05.xlsx&amp;sheet=U0&amp;row=6701&amp;col=6&amp;number=4.7&amp;sourceID=14","4.7")</f>
        <v>4.7</v>
      </c>
      <c r="G6701" s="4" t="str">
        <f>HYPERLINK("http://141.218.60.56/~jnz1568/getInfo.php?workbook=10_05.xlsx&amp;sheet=U0&amp;row=6701&amp;col=7&amp;number=0.00941&amp;sourceID=14","0.00941")</f>
        <v>0.00941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HYPERLINK("http://141.218.60.56/~jnz1568/getInfo.php?workbook=10_05.xlsx&amp;sheet=U0&amp;row=6702&amp;col=6&amp;number=4.8&amp;sourceID=14","4.8")</f>
        <v>4.8</v>
      </c>
      <c r="G6702" s="4" t="str">
        <f>HYPERLINK("http://141.218.60.56/~jnz1568/getInfo.php?workbook=10_05.xlsx&amp;sheet=U0&amp;row=6702&amp;col=7&amp;number=0.00942&amp;sourceID=14","0.00942")</f>
        <v>0.00942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HYPERLINK("http://141.218.60.56/~jnz1568/getInfo.php?workbook=10_05.xlsx&amp;sheet=U0&amp;row=6703&amp;col=6&amp;number=4.9&amp;sourceID=14","4.9")</f>
        <v>4.9</v>
      </c>
      <c r="G6703" s="4" t="str">
        <f>HYPERLINK("http://141.218.60.56/~jnz1568/getInfo.php?workbook=10_05.xlsx&amp;sheet=U0&amp;row=6703&amp;col=7&amp;number=0.00948&amp;sourceID=14","0.00948")</f>
        <v>0.00948</v>
      </c>
    </row>
    <row r="6704" spans="1:7">
      <c r="A6704" s="3">
        <v>10</v>
      </c>
      <c r="B6704" s="3">
        <v>5</v>
      </c>
      <c r="C6704" s="3">
        <v>2</v>
      </c>
      <c r="D6704" s="3">
        <v>159</v>
      </c>
      <c r="E6704" s="3">
        <v>1</v>
      </c>
      <c r="F6704" s="4" t="str">
        <f>HYPERLINK("http://141.218.60.56/~jnz1568/getInfo.php?workbook=10_05.xlsx&amp;sheet=U0&amp;row=6704&amp;col=6&amp;number=3&amp;sourceID=14","3")</f>
        <v>3</v>
      </c>
      <c r="G6704" s="4" t="str">
        <f>HYPERLINK("http://141.218.60.56/~jnz1568/getInfo.php?workbook=10_05.xlsx&amp;sheet=U0&amp;row=6704&amp;col=7&amp;number=0.00693&amp;sourceID=14","0.00693")</f>
        <v>0.00693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HYPERLINK("http://141.218.60.56/~jnz1568/getInfo.php?workbook=10_05.xlsx&amp;sheet=U0&amp;row=6705&amp;col=6&amp;number=3.1&amp;sourceID=14","3.1")</f>
        <v>3.1</v>
      </c>
      <c r="G6705" s="4" t="str">
        <f>HYPERLINK("http://141.218.60.56/~jnz1568/getInfo.php?workbook=10_05.xlsx&amp;sheet=U0&amp;row=6705&amp;col=7&amp;number=0.00694&amp;sourceID=14","0.00694")</f>
        <v>0.00694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HYPERLINK("http://141.218.60.56/~jnz1568/getInfo.php?workbook=10_05.xlsx&amp;sheet=U0&amp;row=6706&amp;col=6&amp;number=3.2&amp;sourceID=14","3.2")</f>
        <v>3.2</v>
      </c>
      <c r="G6706" s="4" t="str">
        <f>HYPERLINK("http://141.218.60.56/~jnz1568/getInfo.php?workbook=10_05.xlsx&amp;sheet=U0&amp;row=6706&amp;col=7&amp;number=0.00695&amp;sourceID=14","0.00695")</f>
        <v>0.00695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HYPERLINK("http://141.218.60.56/~jnz1568/getInfo.php?workbook=10_05.xlsx&amp;sheet=U0&amp;row=6707&amp;col=6&amp;number=3.3&amp;sourceID=14","3.3")</f>
        <v>3.3</v>
      </c>
      <c r="G6707" s="4" t="str">
        <f>HYPERLINK("http://141.218.60.56/~jnz1568/getInfo.php?workbook=10_05.xlsx&amp;sheet=U0&amp;row=6707&amp;col=7&amp;number=0.00696&amp;sourceID=14","0.00696")</f>
        <v>0.00696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HYPERLINK("http://141.218.60.56/~jnz1568/getInfo.php?workbook=10_05.xlsx&amp;sheet=U0&amp;row=6708&amp;col=6&amp;number=3.4&amp;sourceID=14","3.4")</f>
        <v>3.4</v>
      </c>
      <c r="G6708" s="4" t="str">
        <f>HYPERLINK("http://141.218.60.56/~jnz1568/getInfo.php?workbook=10_05.xlsx&amp;sheet=U0&amp;row=6708&amp;col=7&amp;number=0.00697&amp;sourceID=14","0.00697")</f>
        <v>0.00697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HYPERLINK("http://141.218.60.56/~jnz1568/getInfo.php?workbook=10_05.xlsx&amp;sheet=U0&amp;row=6709&amp;col=6&amp;number=3.5&amp;sourceID=14","3.5")</f>
        <v>3.5</v>
      </c>
      <c r="G6709" s="4" t="str">
        <f>HYPERLINK("http://141.218.60.56/~jnz1568/getInfo.php?workbook=10_05.xlsx&amp;sheet=U0&amp;row=6709&amp;col=7&amp;number=0.00698&amp;sourceID=14","0.00698")</f>
        <v>0.00698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HYPERLINK("http://141.218.60.56/~jnz1568/getInfo.php?workbook=10_05.xlsx&amp;sheet=U0&amp;row=6710&amp;col=6&amp;number=3.6&amp;sourceID=14","3.6")</f>
        <v>3.6</v>
      </c>
      <c r="G6710" s="4" t="str">
        <f>HYPERLINK("http://141.218.60.56/~jnz1568/getInfo.php?workbook=10_05.xlsx&amp;sheet=U0&amp;row=6710&amp;col=7&amp;number=0.007&amp;sourceID=14","0.007")</f>
        <v>0.007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HYPERLINK("http://141.218.60.56/~jnz1568/getInfo.php?workbook=10_05.xlsx&amp;sheet=U0&amp;row=6711&amp;col=6&amp;number=3.7&amp;sourceID=14","3.7")</f>
        <v>3.7</v>
      </c>
      <c r="G6711" s="4" t="str">
        <f>HYPERLINK("http://141.218.60.56/~jnz1568/getInfo.php?workbook=10_05.xlsx&amp;sheet=U0&amp;row=6711&amp;col=7&amp;number=0.00703&amp;sourceID=14","0.00703")</f>
        <v>0.00703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HYPERLINK("http://141.218.60.56/~jnz1568/getInfo.php?workbook=10_05.xlsx&amp;sheet=U0&amp;row=6712&amp;col=6&amp;number=3.8&amp;sourceID=14","3.8")</f>
        <v>3.8</v>
      </c>
      <c r="G6712" s="4" t="str">
        <f>HYPERLINK("http://141.218.60.56/~jnz1568/getInfo.php?workbook=10_05.xlsx&amp;sheet=U0&amp;row=6712&amp;col=7&amp;number=0.00706&amp;sourceID=14","0.00706")</f>
        <v>0.00706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HYPERLINK("http://141.218.60.56/~jnz1568/getInfo.php?workbook=10_05.xlsx&amp;sheet=U0&amp;row=6713&amp;col=6&amp;number=3.9&amp;sourceID=14","3.9")</f>
        <v>3.9</v>
      </c>
      <c r="G6713" s="4" t="str">
        <f>HYPERLINK("http://141.218.60.56/~jnz1568/getInfo.php?workbook=10_05.xlsx&amp;sheet=U0&amp;row=6713&amp;col=7&amp;number=0.00709&amp;sourceID=14","0.00709")</f>
        <v>0.00709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HYPERLINK("http://141.218.60.56/~jnz1568/getInfo.php?workbook=10_05.xlsx&amp;sheet=U0&amp;row=6714&amp;col=6&amp;number=4&amp;sourceID=14","4")</f>
        <v>4</v>
      </c>
      <c r="G6714" s="4" t="str">
        <f>HYPERLINK("http://141.218.60.56/~jnz1568/getInfo.php?workbook=10_05.xlsx&amp;sheet=U0&amp;row=6714&amp;col=7&amp;number=0.00713&amp;sourceID=14","0.00713")</f>
        <v>0.00713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HYPERLINK("http://141.218.60.56/~jnz1568/getInfo.php?workbook=10_05.xlsx&amp;sheet=U0&amp;row=6715&amp;col=6&amp;number=4.1&amp;sourceID=14","4.1")</f>
        <v>4.1</v>
      </c>
      <c r="G6715" s="4" t="str">
        <f>HYPERLINK("http://141.218.60.56/~jnz1568/getInfo.php?workbook=10_05.xlsx&amp;sheet=U0&amp;row=6715&amp;col=7&amp;number=0.00718&amp;sourceID=14","0.00718")</f>
        <v>0.00718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HYPERLINK("http://141.218.60.56/~jnz1568/getInfo.php?workbook=10_05.xlsx&amp;sheet=U0&amp;row=6716&amp;col=6&amp;number=4.2&amp;sourceID=14","4.2")</f>
        <v>4.2</v>
      </c>
      <c r="G6716" s="4" t="str">
        <f>HYPERLINK("http://141.218.60.56/~jnz1568/getInfo.php?workbook=10_05.xlsx&amp;sheet=U0&amp;row=6716&amp;col=7&amp;number=0.00723&amp;sourceID=14","0.00723")</f>
        <v>0.00723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HYPERLINK("http://141.218.60.56/~jnz1568/getInfo.php?workbook=10_05.xlsx&amp;sheet=U0&amp;row=6717&amp;col=6&amp;number=4.3&amp;sourceID=14","4.3")</f>
        <v>4.3</v>
      </c>
      <c r="G6717" s="4" t="str">
        <f>HYPERLINK("http://141.218.60.56/~jnz1568/getInfo.php?workbook=10_05.xlsx&amp;sheet=U0&amp;row=6717&amp;col=7&amp;number=0.00729&amp;sourceID=14","0.00729")</f>
        <v>0.00729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HYPERLINK("http://141.218.60.56/~jnz1568/getInfo.php?workbook=10_05.xlsx&amp;sheet=U0&amp;row=6718&amp;col=6&amp;number=4.4&amp;sourceID=14","4.4")</f>
        <v>4.4</v>
      </c>
      <c r="G6718" s="4" t="str">
        <f>HYPERLINK("http://141.218.60.56/~jnz1568/getInfo.php?workbook=10_05.xlsx&amp;sheet=U0&amp;row=6718&amp;col=7&amp;number=0.00734&amp;sourceID=14","0.00734")</f>
        <v>0.00734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HYPERLINK("http://141.218.60.56/~jnz1568/getInfo.php?workbook=10_05.xlsx&amp;sheet=U0&amp;row=6719&amp;col=6&amp;number=4.5&amp;sourceID=14","4.5")</f>
        <v>4.5</v>
      </c>
      <c r="G6719" s="4" t="str">
        <f>HYPERLINK("http://141.218.60.56/~jnz1568/getInfo.php?workbook=10_05.xlsx&amp;sheet=U0&amp;row=6719&amp;col=7&amp;number=0.00739&amp;sourceID=14","0.00739")</f>
        <v>0.00739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HYPERLINK("http://141.218.60.56/~jnz1568/getInfo.php?workbook=10_05.xlsx&amp;sheet=U0&amp;row=6720&amp;col=6&amp;number=4.6&amp;sourceID=14","4.6")</f>
        <v>4.6</v>
      </c>
      <c r="G6720" s="4" t="str">
        <f>HYPERLINK("http://141.218.60.56/~jnz1568/getInfo.php?workbook=10_05.xlsx&amp;sheet=U0&amp;row=6720&amp;col=7&amp;number=0.00742&amp;sourceID=14","0.00742")</f>
        <v>0.00742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HYPERLINK("http://141.218.60.56/~jnz1568/getInfo.php?workbook=10_05.xlsx&amp;sheet=U0&amp;row=6721&amp;col=6&amp;number=4.7&amp;sourceID=14","4.7")</f>
        <v>4.7</v>
      </c>
      <c r="G6721" s="4" t="str">
        <f>HYPERLINK("http://141.218.60.56/~jnz1568/getInfo.php?workbook=10_05.xlsx&amp;sheet=U0&amp;row=6721&amp;col=7&amp;number=0.00746&amp;sourceID=14","0.00746")</f>
        <v>0.00746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HYPERLINK("http://141.218.60.56/~jnz1568/getInfo.php?workbook=10_05.xlsx&amp;sheet=U0&amp;row=6722&amp;col=6&amp;number=4.8&amp;sourceID=14","4.8")</f>
        <v>4.8</v>
      </c>
      <c r="G6722" s="4" t="str">
        <f>HYPERLINK("http://141.218.60.56/~jnz1568/getInfo.php?workbook=10_05.xlsx&amp;sheet=U0&amp;row=6722&amp;col=7&amp;number=0.00752&amp;sourceID=14","0.00752")</f>
        <v>0.00752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HYPERLINK("http://141.218.60.56/~jnz1568/getInfo.php?workbook=10_05.xlsx&amp;sheet=U0&amp;row=6723&amp;col=6&amp;number=4.9&amp;sourceID=14","4.9")</f>
        <v>4.9</v>
      </c>
      <c r="G6723" s="4" t="str">
        <f>HYPERLINK("http://141.218.60.56/~jnz1568/getInfo.php?workbook=10_05.xlsx&amp;sheet=U0&amp;row=6723&amp;col=7&amp;number=0.00762&amp;sourceID=14","0.00762")</f>
        <v>0.00762</v>
      </c>
    </row>
    <row r="6724" spans="1:7">
      <c r="A6724" s="3">
        <v>10</v>
      </c>
      <c r="B6724" s="3">
        <v>5</v>
      </c>
      <c r="C6724" s="3">
        <v>2</v>
      </c>
      <c r="D6724" s="3">
        <v>160</v>
      </c>
      <c r="E6724" s="3">
        <v>1</v>
      </c>
      <c r="F6724" s="4" t="str">
        <f>HYPERLINK("http://141.218.60.56/~jnz1568/getInfo.php?workbook=10_05.xlsx&amp;sheet=U0&amp;row=6724&amp;col=6&amp;number=3&amp;sourceID=14","3")</f>
        <v>3</v>
      </c>
      <c r="G6724" s="4" t="str">
        <f>HYPERLINK("http://141.218.60.56/~jnz1568/getInfo.php?workbook=10_05.xlsx&amp;sheet=U0&amp;row=6724&amp;col=7&amp;number=0.00704&amp;sourceID=14","0.00704")</f>
        <v>0.00704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HYPERLINK("http://141.218.60.56/~jnz1568/getInfo.php?workbook=10_05.xlsx&amp;sheet=U0&amp;row=6725&amp;col=6&amp;number=3.1&amp;sourceID=14","3.1")</f>
        <v>3.1</v>
      </c>
      <c r="G6725" s="4" t="str">
        <f>HYPERLINK("http://141.218.60.56/~jnz1568/getInfo.php?workbook=10_05.xlsx&amp;sheet=U0&amp;row=6725&amp;col=7&amp;number=0.00703&amp;sourceID=14","0.00703")</f>
        <v>0.00703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HYPERLINK("http://141.218.60.56/~jnz1568/getInfo.php?workbook=10_05.xlsx&amp;sheet=U0&amp;row=6726&amp;col=6&amp;number=3.2&amp;sourceID=14","3.2")</f>
        <v>3.2</v>
      </c>
      <c r="G6726" s="4" t="str">
        <f>HYPERLINK("http://141.218.60.56/~jnz1568/getInfo.php?workbook=10_05.xlsx&amp;sheet=U0&amp;row=6726&amp;col=7&amp;number=0.00701&amp;sourceID=14","0.00701")</f>
        <v>0.00701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HYPERLINK("http://141.218.60.56/~jnz1568/getInfo.php?workbook=10_05.xlsx&amp;sheet=U0&amp;row=6727&amp;col=6&amp;number=3.3&amp;sourceID=14","3.3")</f>
        <v>3.3</v>
      </c>
      <c r="G6727" s="4" t="str">
        <f>HYPERLINK("http://141.218.60.56/~jnz1568/getInfo.php?workbook=10_05.xlsx&amp;sheet=U0&amp;row=6727&amp;col=7&amp;number=0.00698&amp;sourceID=14","0.00698")</f>
        <v>0.00698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HYPERLINK("http://141.218.60.56/~jnz1568/getInfo.php?workbook=10_05.xlsx&amp;sheet=U0&amp;row=6728&amp;col=6&amp;number=3.4&amp;sourceID=14","3.4")</f>
        <v>3.4</v>
      </c>
      <c r="G6728" s="4" t="str">
        <f>HYPERLINK("http://141.218.60.56/~jnz1568/getInfo.php?workbook=10_05.xlsx&amp;sheet=U0&amp;row=6728&amp;col=7&amp;number=0.00696&amp;sourceID=14","0.00696")</f>
        <v>0.00696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HYPERLINK("http://141.218.60.56/~jnz1568/getInfo.php?workbook=10_05.xlsx&amp;sheet=U0&amp;row=6729&amp;col=6&amp;number=3.5&amp;sourceID=14","3.5")</f>
        <v>3.5</v>
      </c>
      <c r="G6729" s="4" t="str">
        <f>HYPERLINK("http://141.218.60.56/~jnz1568/getInfo.php?workbook=10_05.xlsx&amp;sheet=U0&amp;row=6729&amp;col=7&amp;number=0.00692&amp;sourceID=14","0.00692")</f>
        <v>0.00692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HYPERLINK("http://141.218.60.56/~jnz1568/getInfo.php?workbook=10_05.xlsx&amp;sheet=U0&amp;row=6730&amp;col=6&amp;number=3.6&amp;sourceID=14","3.6")</f>
        <v>3.6</v>
      </c>
      <c r="G6730" s="4" t="str">
        <f>HYPERLINK("http://141.218.60.56/~jnz1568/getInfo.php?workbook=10_05.xlsx&amp;sheet=U0&amp;row=6730&amp;col=7&amp;number=0.00687&amp;sourceID=14","0.00687")</f>
        <v>0.00687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HYPERLINK("http://141.218.60.56/~jnz1568/getInfo.php?workbook=10_05.xlsx&amp;sheet=U0&amp;row=6731&amp;col=6&amp;number=3.7&amp;sourceID=14","3.7")</f>
        <v>3.7</v>
      </c>
      <c r="G6731" s="4" t="str">
        <f>HYPERLINK("http://141.218.60.56/~jnz1568/getInfo.php?workbook=10_05.xlsx&amp;sheet=U0&amp;row=6731&amp;col=7&amp;number=0.00681&amp;sourceID=14","0.00681")</f>
        <v>0.00681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HYPERLINK("http://141.218.60.56/~jnz1568/getInfo.php?workbook=10_05.xlsx&amp;sheet=U0&amp;row=6732&amp;col=6&amp;number=3.8&amp;sourceID=14","3.8")</f>
        <v>3.8</v>
      </c>
      <c r="G6732" s="4" t="str">
        <f>HYPERLINK("http://141.218.60.56/~jnz1568/getInfo.php?workbook=10_05.xlsx&amp;sheet=U0&amp;row=6732&amp;col=7&amp;number=0.00674&amp;sourceID=14","0.00674")</f>
        <v>0.00674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HYPERLINK("http://141.218.60.56/~jnz1568/getInfo.php?workbook=10_05.xlsx&amp;sheet=U0&amp;row=6733&amp;col=6&amp;number=3.9&amp;sourceID=14","3.9")</f>
        <v>3.9</v>
      </c>
      <c r="G6733" s="4" t="str">
        <f>HYPERLINK("http://141.218.60.56/~jnz1568/getInfo.php?workbook=10_05.xlsx&amp;sheet=U0&amp;row=6733&amp;col=7&amp;number=0.00665&amp;sourceID=14","0.00665")</f>
        <v>0.00665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HYPERLINK("http://141.218.60.56/~jnz1568/getInfo.php?workbook=10_05.xlsx&amp;sheet=U0&amp;row=6734&amp;col=6&amp;number=4&amp;sourceID=14","4")</f>
        <v>4</v>
      </c>
      <c r="G6734" s="4" t="str">
        <f>HYPERLINK("http://141.218.60.56/~jnz1568/getInfo.php?workbook=10_05.xlsx&amp;sheet=U0&amp;row=6734&amp;col=7&amp;number=0.00654&amp;sourceID=14","0.00654")</f>
        <v>0.00654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HYPERLINK("http://141.218.60.56/~jnz1568/getInfo.php?workbook=10_05.xlsx&amp;sheet=U0&amp;row=6735&amp;col=6&amp;number=4.1&amp;sourceID=14","4.1")</f>
        <v>4.1</v>
      </c>
      <c r="G6735" s="4" t="str">
        <f>HYPERLINK("http://141.218.60.56/~jnz1568/getInfo.php?workbook=10_05.xlsx&amp;sheet=U0&amp;row=6735&amp;col=7&amp;number=0.00641&amp;sourceID=14","0.00641")</f>
        <v>0.00641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HYPERLINK("http://141.218.60.56/~jnz1568/getInfo.php?workbook=10_05.xlsx&amp;sheet=U0&amp;row=6736&amp;col=6&amp;number=4.2&amp;sourceID=14","4.2")</f>
        <v>4.2</v>
      </c>
      <c r="G6736" s="4" t="str">
        <f>HYPERLINK("http://141.218.60.56/~jnz1568/getInfo.php?workbook=10_05.xlsx&amp;sheet=U0&amp;row=6736&amp;col=7&amp;number=0.00625&amp;sourceID=14","0.00625")</f>
        <v>0.00625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HYPERLINK("http://141.218.60.56/~jnz1568/getInfo.php?workbook=10_05.xlsx&amp;sheet=U0&amp;row=6737&amp;col=6&amp;number=4.3&amp;sourceID=14","4.3")</f>
        <v>4.3</v>
      </c>
      <c r="G6737" s="4" t="str">
        <f>HYPERLINK("http://141.218.60.56/~jnz1568/getInfo.php?workbook=10_05.xlsx&amp;sheet=U0&amp;row=6737&amp;col=7&amp;number=0.00605&amp;sourceID=14","0.00605")</f>
        <v>0.00605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HYPERLINK("http://141.218.60.56/~jnz1568/getInfo.php?workbook=10_05.xlsx&amp;sheet=U0&amp;row=6738&amp;col=6&amp;number=4.4&amp;sourceID=14","4.4")</f>
        <v>4.4</v>
      </c>
      <c r="G6738" s="4" t="str">
        <f>HYPERLINK("http://141.218.60.56/~jnz1568/getInfo.php?workbook=10_05.xlsx&amp;sheet=U0&amp;row=6738&amp;col=7&amp;number=0.00582&amp;sourceID=14","0.00582")</f>
        <v>0.00582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HYPERLINK("http://141.218.60.56/~jnz1568/getInfo.php?workbook=10_05.xlsx&amp;sheet=U0&amp;row=6739&amp;col=6&amp;number=4.5&amp;sourceID=14","4.5")</f>
        <v>4.5</v>
      </c>
      <c r="G6739" s="4" t="str">
        <f>HYPERLINK("http://141.218.60.56/~jnz1568/getInfo.php?workbook=10_05.xlsx&amp;sheet=U0&amp;row=6739&amp;col=7&amp;number=0.00556&amp;sourceID=14","0.00556")</f>
        <v>0.00556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HYPERLINK("http://141.218.60.56/~jnz1568/getInfo.php?workbook=10_05.xlsx&amp;sheet=U0&amp;row=6740&amp;col=6&amp;number=4.6&amp;sourceID=14","4.6")</f>
        <v>4.6</v>
      </c>
      <c r="G6740" s="4" t="str">
        <f>HYPERLINK("http://141.218.60.56/~jnz1568/getInfo.php?workbook=10_05.xlsx&amp;sheet=U0&amp;row=6740&amp;col=7&amp;number=0.00527&amp;sourceID=14","0.00527")</f>
        <v>0.00527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HYPERLINK("http://141.218.60.56/~jnz1568/getInfo.php?workbook=10_05.xlsx&amp;sheet=U0&amp;row=6741&amp;col=6&amp;number=4.7&amp;sourceID=14","4.7")</f>
        <v>4.7</v>
      </c>
      <c r="G6741" s="4" t="str">
        <f>HYPERLINK("http://141.218.60.56/~jnz1568/getInfo.php?workbook=10_05.xlsx&amp;sheet=U0&amp;row=6741&amp;col=7&amp;number=0.00497&amp;sourceID=14","0.00497")</f>
        <v>0.00497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HYPERLINK("http://141.218.60.56/~jnz1568/getInfo.php?workbook=10_05.xlsx&amp;sheet=U0&amp;row=6742&amp;col=6&amp;number=4.8&amp;sourceID=14","4.8")</f>
        <v>4.8</v>
      </c>
      <c r="G6742" s="4" t="str">
        <f>HYPERLINK("http://141.218.60.56/~jnz1568/getInfo.php?workbook=10_05.xlsx&amp;sheet=U0&amp;row=6742&amp;col=7&amp;number=0.00466&amp;sourceID=14","0.00466")</f>
        <v>0.00466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HYPERLINK("http://141.218.60.56/~jnz1568/getInfo.php?workbook=10_05.xlsx&amp;sheet=U0&amp;row=6743&amp;col=6&amp;number=4.9&amp;sourceID=14","4.9")</f>
        <v>4.9</v>
      </c>
      <c r="G6743" s="4" t="str">
        <f>HYPERLINK("http://141.218.60.56/~jnz1568/getInfo.php?workbook=10_05.xlsx&amp;sheet=U0&amp;row=6743&amp;col=7&amp;number=0.00437&amp;sourceID=14","0.00437")</f>
        <v>0.00437</v>
      </c>
    </row>
    <row r="6744" spans="1:7">
      <c r="A6744" s="3">
        <v>10</v>
      </c>
      <c r="B6744" s="3">
        <v>5</v>
      </c>
      <c r="C6744" s="3">
        <v>2</v>
      </c>
      <c r="D6744" s="3">
        <v>161</v>
      </c>
      <c r="E6744" s="3">
        <v>1</v>
      </c>
      <c r="F6744" s="4" t="str">
        <f>HYPERLINK("http://141.218.60.56/~jnz1568/getInfo.php?workbook=10_05.xlsx&amp;sheet=U0&amp;row=6744&amp;col=6&amp;number=3&amp;sourceID=14","3")</f>
        <v>3</v>
      </c>
      <c r="G6744" s="4" t="str">
        <f>HYPERLINK("http://141.218.60.56/~jnz1568/getInfo.php?workbook=10_05.xlsx&amp;sheet=U0&amp;row=6744&amp;col=7&amp;number=0.000782&amp;sourceID=14","0.000782")</f>
        <v>0.000782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HYPERLINK("http://141.218.60.56/~jnz1568/getInfo.php?workbook=10_05.xlsx&amp;sheet=U0&amp;row=6745&amp;col=6&amp;number=3.1&amp;sourceID=14","3.1")</f>
        <v>3.1</v>
      </c>
      <c r="G6745" s="4" t="str">
        <f>HYPERLINK("http://141.218.60.56/~jnz1568/getInfo.php?workbook=10_05.xlsx&amp;sheet=U0&amp;row=6745&amp;col=7&amp;number=0.000783&amp;sourceID=14","0.000783")</f>
        <v>0.000783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HYPERLINK("http://141.218.60.56/~jnz1568/getInfo.php?workbook=10_05.xlsx&amp;sheet=U0&amp;row=6746&amp;col=6&amp;number=3.2&amp;sourceID=14","3.2")</f>
        <v>3.2</v>
      </c>
      <c r="G6746" s="4" t="str">
        <f>HYPERLINK("http://141.218.60.56/~jnz1568/getInfo.php?workbook=10_05.xlsx&amp;sheet=U0&amp;row=6746&amp;col=7&amp;number=0.000784&amp;sourceID=14","0.000784")</f>
        <v>0.000784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HYPERLINK("http://141.218.60.56/~jnz1568/getInfo.php?workbook=10_05.xlsx&amp;sheet=U0&amp;row=6747&amp;col=6&amp;number=3.3&amp;sourceID=14","3.3")</f>
        <v>3.3</v>
      </c>
      <c r="G6747" s="4" t="str">
        <f>HYPERLINK("http://141.218.60.56/~jnz1568/getInfo.php?workbook=10_05.xlsx&amp;sheet=U0&amp;row=6747&amp;col=7&amp;number=0.000786&amp;sourceID=14","0.000786")</f>
        <v>0.000786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HYPERLINK("http://141.218.60.56/~jnz1568/getInfo.php?workbook=10_05.xlsx&amp;sheet=U0&amp;row=6748&amp;col=6&amp;number=3.4&amp;sourceID=14","3.4")</f>
        <v>3.4</v>
      </c>
      <c r="G6748" s="4" t="str">
        <f>HYPERLINK("http://141.218.60.56/~jnz1568/getInfo.php?workbook=10_05.xlsx&amp;sheet=U0&amp;row=6748&amp;col=7&amp;number=0.000788&amp;sourceID=14","0.000788")</f>
        <v>0.000788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HYPERLINK("http://141.218.60.56/~jnz1568/getInfo.php?workbook=10_05.xlsx&amp;sheet=U0&amp;row=6749&amp;col=6&amp;number=3.5&amp;sourceID=14","3.5")</f>
        <v>3.5</v>
      </c>
      <c r="G6749" s="4" t="str">
        <f>HYPERLINK("http://141.218.60.56/~jnz1568/getInfo.php?workbook=10_05.xlsx&amp;sheet=U0&amp;row=6749&amp;col=7&amp;number=0.000791&amp;sourceID=14","0.000791")</f>
        <v>0.000791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HYPERLINK("http://141.218.60.56/~jnz1568/getInfo.php?workbook=10_05.xlsx&amp;sheet=U0&amp;row=6750&amp;col=6&amp;number=3.6&amp;sourceID=14","3.6")</f>
        <v>3.6</v>
      </c>
      <c r="G6750" s="4" t="str">
        <f>HYPERLINK("http://141.218.60.56/~jnz1568/getInfo.php?workbook=10_05.xlsx&amp;sheet=U0&amp;row=6750&amp;col=7&amp;number=0.000795&amp;sourceID=14","0.000795")</f>
        <v>0.000795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HYPERLINK("http://141.218.60.56/~jnz1568/getInfo.php?workbook=10_05.xlsx&amp;sheet=U0&amp;row=6751&amp;col=6&amp;number=3.7&amp;sourceID=14","3.7")</f>
        <v>3.7</v>
      </c>
      <c r="G6751" s="4" t="str">
        <f>HYPERLINK("http://141.218.60.56/~jnz1568/getInfo.php?workbook=10_05.xlsx&amp;sheet=U0&amp;row=6751&amp;col=7&amp;number=0.000799&amp;sourceID=14","0.000799")</f>
        <v>0.000799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HYPERLINK("http://141.218.60.56/~jnz1568/getInfo.php?workbook=10_05.xlsx&amp;sheet=U0&amp;row=6752&amp;col=6&amp;number=3.8&amp;sourceID=14","3.8")</f>
        <v>3.8</v>
      </c>
      <c r="G6752" s="4" t="str">
        <f>HYPERLINK("http://141.218.60.56/~jnz1568/getInfo.php?workbook=10_05.xlsx&amp;sheet=U0&amp;row=6752&amp;col=7&amp;number=0.000805&amp;sourceID=14","0.000805")</f>
        <v>0.000805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HYPERLINK("http://141.218.60.56/~jnz1568/getInfo.php?workbook=10_05.xlsx&amp;sheet=U0&amp;row=6753&amp;col=6&amp;number=3.9&amp;sourceID=14","3.9")</f>
        <v>3.9</v>
      </c>
      <c r="G6753" s="4" t="str">
        <f>HYPERLINK("http://141.218.60.56/~jnz1568/getInfo.php?workbook=10_05.xlsx&amp;sheet=U0&amp;row=6753&amp;col=7&amp;number=0.000812&amp;sourceID=14","0.000812")</f>
        <v>0.000812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HYPERLINK("http://141.218.60.56/~jnz1568/getInfo.php?workbook=10_05.xlsx&amp;sheet=U0&amp;row=6754&amp;col=6&amp;number=4&amp;sourceID=14","4")</f>
        <v>4</v>
      </c>
      <c r="G6754" s="4" t="str">
        <f>HYPERLINK("http://141.218.60.56/~jnz1568/getInfo.php?workbook=10_05.xlsx&amp;sheet=U0&amp;row=6754&amp;col=7&amp;number=0.00082&amp;sourceID=14","0.00082")</f>
        <v>0.00082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HYPERLINK("http://141.218.60.56/~jnz1568/getInfo.php?workbook=10_05.xlsx&amp;sheet=U0&amp;row=6755&amp;col=6&amp;number=4.1&amp;sourceID=14","4.1")</f>
        <v>4.1</v>
      </c>
      <c r="G6755" s="4" t="str">
        <f>HYPERLINK("http://141.218.60.56/~jnz1568/getInfo.php?workbook=10_05.xlsx&amp;sheet=U0&amp;row=6755&amp;col=7&amp;number=0.00083&amp;sourceID=14","0.00083")</f>
        <v>0.00083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HYPERLINK("http://141.218.60.56/~jnz1568/getInfo.php?workbook=10_05.xlsx&amp;sheet=U0&amp;row=6756&amp;col=6&amp;number=4.2&amp;sourceID=14","4.2")</f>
        <v>4.2</v>
      </c>
      <c r="G6756" s="4" t="str">
        <f>HYPERLINK("http://141.218.60.56/~jnz1568/getInfo.php?workbook=10_05.xlsx&amp;sheet=U0&amp;row=6756&amp;col=7&amp;number=0.000842&amp;sourceID=14","0.000842")</f>
        <v>0.000842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HYPERLINK("http://141.218.60.56/~jnz1568/getInfo.php?workbook=10_05.xlsx&amp;sheet=U0&amp;row=6757&amp;col=6&amp;number=4.3&amp;sourceID=14","4.3")</f>
        <v>4.3</v>
      </c>
      <c r="G6757" s="4" t="str">
        <f>HYPERLINK("http://141.218.60.56/~jnz1568/getInfo.php?workbook=10_05.xlsx&amp;sheet=U0&amp;row=6757&amp;col=7&amp;number=0.000855&amp;sourceID=14","0.000855")</f>
        <v>0.000855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HYPERLINK("http://141.218.60.56/~jnz1568/getInfo.php?workbook=10_05.xlsx&amp;sheet=U0&amp;row=6758&amp;col=6&amp;number=4.4&amp;sourceID=14","4.4")</f>
        <v>4.4</v>
      </c>
      <c r="G6758" s="4" t="str">
        <f>HYPERLINK("http://141.218.60.56/~jnz1568/getInfo.php?workbook=10_05.xlsx&amp;sheet=U0&amp;row=6758&amp;col=7&amp;number=0.000869&amp;sourceID=14","0.000869")</f>
        <v>0.000869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HYPERLINK("http://141.218.60.56/~jnz1568/getInfo.php?workbook=10_05.xlsx&amp;sheet=U0&amp;row=6759&amp;col=6&amp;number=4.5&amp;sourceID=14","4.5")</f>
        <v>4.5</v>
      </c>
      <c r="G6759" s="4" t="str">
        <f>HYPERLINK("http://141.218.60.56/~jnz1568/getInfo.php?workbook=10_05.xlsx&amp;sheet=U0&amp;row=6759&amp;col=7&amp;number=0.000881&amp;sourceID=14","0.000881")</f>
        <v>0.000881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HYPERLINK("http://141.218.60.56/~jnz1568/getInfo.php?workbook=10_05.xlsx&amp;sheet=U0&amp;row=6760&amp;col=6&amp;number=4.6&amp;sourceID=14","4.6")</f>
        <v>4.6</v>
      </c>
      <c r="G6760" s="4" t="str">
        <f>HYPERLINK("http://141.218.60.56/~jnz1568/getInfo.php?workbook=10_05.xlsx&amp;sheet=U0&amp;row=6760&amp;col=7&amp;number=0.000888&amp;sourceID=14","0.000888")</f>
        <v>0.000888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HYPERLINK("http://141.218.60.56/~jnz1568/getInfo.php?workbook=10_05.xlsx&amp;sheet=U0&amp;row=6761&amp;col=6&amp;number=4.7&amp;sourceID=14","4.7")</f>
        <v>4.7</v>
      </c>
      <c r="G6761" s="4" t="str">
        <f>HYPERLINK("http://141.218.60.56/~jnz1568/getInfo.php?workbook=10_05.xlsx&amp;sheet=U0&amp;row=6761&amp;col=7&amp;number=0.000886&amp;sourceID=14","0.000886")</f>
        <v>0.000886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HYPERLINK("http://141.218.60.56/~jnz1568/getInfo.php?workbook=10_05.xlsx&amp;sheet=U0&amp;row=6762&amp;col=6&amp;number=4.8&amp;sourceID=14","4.8")</f>
        <v>4.8</v>
      </c>
      <c r="G6762" s="4" t="str">
        <f>HYPERLINK("http://141.218.60.56/~jnz1568/getInfo.php?workbook=10_05.xlsx&amp;sheet=U0&amp;row=6762&amp;col=7&amp;number=0.000874&amp;sourceID=14","0.000874")</f>
        <v>0.000874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HYPERLINK("http://141.218.60.56/~jnz1568/getInfo.php?workbook=10_05.xlsx&amp;sheet=U0&amp;row=6763&amp;col=6&amp;number=4.9&amp;sourceID=14","4.9")</f>
        <v>4.9</v>
      </c>
      <c r="G6763" s="4" t="str">
        <f>HYPERLINK("http://141.218.60.56/~jnz1568/getInfo.php?workbook=10_05.xlsx&amp;sheet=U0&amp;row=6763&amp;col=7&amp;number=0.000853&amp;sourceID=14","0.000853")</f>
        <v>0.000853</v>
      </c>
    </row>
    <row r="6764" spans="1:7">
      <c r="A6764" s="3">
        <v>10</v>
      </c>
      <c r="B6764" s="3">
        <v>5</v>
      </c>
      <c r="C6764" s="3">
        <v>2</v>
      </c>
      <c r="D6764" s="3">
        <v>162</v>
      </c>
      <c r="E6764" s="3">
        <v>1</v>
      </c>
      <c r="F6764" s="4" t="str">
        <f>HYPERLINK("http://141.218.60.56/~jnz1568/getInfo.php?workbook=10_05.xlsx&amp;sheet=U0&amp;row=6764&amp;col=6&amp;number=3&amp;sourceID=14","3")</f>
        <v>3</v>
      </c>
      <c r="G6764" s="4" t="str">
        <f>HYPERLINK("http://141.218.60.56/~jnz1568/getInfo.php?workbook=10_05.xlsx&amp;sheet=U0&amp;row=6764&amp;col=7&amp;number=0.0025&amp;sourceID=14","0.0025")</f>
        <v>0.0025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HYPERLINK("http://141.218.60.56/~jnz1568/getInfo.php?workbook=10_05.xlsx&amp;sheet=U0&amp;row=6765&amp;col=6&amp;number=3.1&amp;sourceID=14","3.1")</f>
        <v>3.1</v>
      </c>
      <c r="G6765" s="4" t="str">
        <f>HYPERLINK("http://141.218.60.56/~jnz1568/getInfo.php?workbook=10_05.xlsx&amp;sheet=U0&amp;row=6765&amp;col=7&amp;number=0.00251&amp;sourceID=14","0.00251")</f>
        <v>0.00251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HYPERLINK("http://141.218.60.56/~jnz1568/getInfo.php?workbook=10_05.xlsx&amp;sheet=U0&amp;row=6766&amp;col=6&amp;number=3.2&amp;sourceID=14","3.2")</f>
        <v>3.2</v>
      </c>
      <c r="G6766" s="4" t="str">
        <f>HYPERLINK("http://141.218.60.56/~jnz1568/getInfo.php?workbook=10_05.xlsx&amp;sheet=U0&amp;row=6766&amp;col=7&amp;number=0.00251&amp;sourceID=14","0.00251")</f>
        <v>0.00251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HYPERLINK("http://141.218.60.56/~jnz1568/getInfo.php?workbook=10_05.xlsx&amp;sheet=U0&amp;row=6767&amp;col=6&amp;number=3.3&amp;sourceID=14","3.3")</f>
        <v>3.3</v>
      </c>
      <c r="G6767" s="4" t="str">
        <f>HYPERLINK("http://141.218.60.56/~jnz1568/getInfo.php?workbook=10_05.xlsx&amp;sheet=U0&amp;row=6767&amp;col=7&amp;number=0.00252&amp;sourceID=14","0.00252")</f>
        <v>0.00252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HYPERLINK("http://141.218.60.56/~jnz1568/getInfo.php?workbook=10_05.xlsx&amp;sheet=U0&amp;row=6768&amp;col=6&amp;number=3.4&amp;sourceID=14","3.4")</f>
        <v>3.4</v>
      </c>
      <c r="G6768" s="4" t="str">
        <f>HYPERLINK("http://141.218.60.56/~jnz1568/getInfo.php?workbook=10_05.xlsx&amp;sheet=U0&amp;row=6768&amp;col=7&amp;number=0.00252&amp;sourceID=14","0.00252")</f>
        <v>0.00252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HYPERLINK("http://141.218.60.56/~jnz1568/getInfo.php?workbook=10_05.xlsx&amp;sheet=U0&amp;row=6769&amp;col=6&amp;number=3.5&amp;sourceID=14","3.5")</f>
        <v>3.5</v>
      </c>
      <c r="G6769" s="4" t="str">
        <f>HYPERLINK("http://141.218.60.56/~jnz1568/getInfo.php?workbook=10_05.xlsx&amp;sheet=U0&amp;row=6769&amp;col=7&amp;number=0.00253&amp;sourceID=14","0.00253")</f>
        <v>0.00253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HYPERLINK("http://141.218.60.56/~jnz1568/getInfo.php?workbook=10_05.xlsx&amp;sheet=U0&amp;row=6770&amp;col=6&amp;number=3.6&amp;sourceID=14","3.6")</f>
        <v>3.6</v>
      </c>
      <c r="G6770" s="4" t="str">
        <f>HYPERLINK("http://141.218.60.56/~jnz1568/getInfo.php?workbook=10_05.xlsx&amp;sheet=U0&amp;row=6770&amp;col=7&amp;number=0.00254&amp;sourceID=14","0.00254")</f>
        <v>0.00254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HYPERLINK("http://141.218.60.56/~jnz1568/getInfo.php?workbook=10_05.xlsx&amp;sheet=U0&amp;row=6771&amp;col=6&amp;number=3.7&amp;sourceID=14","3.7")</f>
        <v>3.7</v>
      </c>
      <c r="G6771" s="4" t="str">
        <f>HYPERLINK("http://141.218.60.56/~jnz1568/getInfo.php?workbook=10_05.xlsx&amp;sheet=U0&amp;row=6771&amp;col=7&amp;number=0.00255&amp;sourceID=14","0.00255")</f>
        <v>0.00255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HYPERLINK("http://141.218.60.56/~jnz1568/getInfo.php?workbook=10_05.xlsx&amp;sheet=U0&amp;row=6772&amp;col=6&amp;number=3.8&amp;sourceID=14","3.8")</f>
        <v>3.8</v>
      </c>
      <c r="G6772" s="4" t="str">
        <f>HYPERLINK("http://141.218.60.56/~jnz1568/getInfo.php?workbook=10_05.xlsx&amp;sheet=U0&amp;row=6772&amp;col=7&amp;number=0.00256&amp;sourceID=14","0.00256")</f>
        <v>0.00256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HYPERLINK("http://141.218.60.56/~jnz1568/getInfo.php?workbook=10_05.xlsx&amp;sheet=U0&amp;row=6773&amp;col=6&amp;number=3.9&amp;sourceID=14","3.9")</f>
        <v>3.9</v>
      </c>
      <c r="G6773" s="4" t="str">
        <f>HYPERLINK("http://141.218.60.56/~jnz1568/getInfo.php?workbook=10_05.xlsx&amp;sheet=U0&amp;row=6773&amp;col=7&amp;number=0.00258&amp;sourceID=14","0.00258")</f>
        <v>0.00258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HYPERLINK("http://141.218.60.56/~jnz1568/getInfo.php?workbook=10_05.xlsx&amp;sheet=U0&amp;row=6774&amp;col=6&amp;number=4&amp;sourceID=14","4")</f>
        <v>4</v>
      </c>
      <c r="G6774" s="4" t="str">
        <f>HYPERLINK("http://141.218.60.56/~jnz1568/getInfo.php?workbook=10_05.xlsx&amp;sheet=U0&amp;row=6774&amp;col=7&amp;number=0.0026&amp;sourceID=14","0.0026")</f>
        <v>0.0026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HYPERLINK("http://141.218.60.56/~jnz1568/getInfo.php?workbook=10_05.xlsx&amp;sheet=U0&amp;row=6775&amp;col=6&amp;number=4.1&amp;sourceID=14","4.1")</f>
        <v>4.1</v>
      </c>
      <c r="G6775" s="4" t="str">
        <f>HYPERLINK("http://141.218.60.56/~jnz1568/getInfo.php?workbook=10_05.xlsx&amp;sheet=U0&amp;row=6775&amp;col=7&amp;number=0.00263&amp;sourceID=14","0.00263")</f>
        <v>0.00263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HYPERLINK("http://141.218.60.56/~jnz1568/getInfo.php?workbook=10_05.xlsx&amp;sheet=U0&amp;row=6776&amp;col=6&amp;number=4.2&amp;sourceID=14","4.2")</f>
        <v>4.2</v>
      </c>
      <c r="G6776" s="4" t="str">
        <f>HYPERLINK("http://141.218.60.56/~jnz1568/getInfo.php?workbook=10_05.xlsx&amp;sheet=U0&amp;row=6776&amp;col=7&amp;number=0.00266&amp;sourceID=14","0.00266")</f>
        <v>0.00266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HYPERLINK("http://141.218.60.56/~jnz1568/getInfo.php?workbook=10_05.xlsx&amp;sheet=U0&amp;row=6777&amp;col=6&amp;number=4.3&amp;sourceID=14","4.3")</f>
        <v>4.3</v>
      </c>
      <c r="G6777" s="4" t="str">
        <f>HYPERLINK("http://141.218.60.56/~jnz1568/getInfo.php?workbook=10_05.xlsx&amp;sheet=U0&amp;row=6777&amp;col=7&amp;number=0.00269&amp;sourceID=14","0.00269")</f>
        <v>0.00269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HYPERLINK("http://141.218.60.56/~jnz1568/getInfo.php?workbook=10_05.xlsx&amp;sheet=U0&amp;row=6778&amp;col=6&amp;number=4.4&amp;sourceID=14","4.4")</f>
        <v>4.4</v>
      </c>
      <c r="G6778" s="4" t="str">
        <f>HYPERLINK("http://141.218.60.56/~jnz1568/getInfo.php?workbook=10_05.xlsx&amp;sheet=U0&amp;row=6778&amp;col=7&amp;number=0.00273&amp;sourceID=14","0.00273")</f>
        <v>0.00273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HYPERLINK("http://141.218.60.56/~jnz1568/getInfo.php?workbook=10_05.xlsx&amp;sheet=U0&amp;row=6779&amp;col=6&amp;number=4.5&amp;sourceID=14","4.5")</f>
        <v>4.5</v>
      </c>
      <c r="G6779" s="4" t="str">
        <f>HYPERLINK("http://141.218.60.56/~jnz1568/getInfo.php?workbook=10_05.xlsx&amp;sheet=U0&amp;row=6779&amp;col=7&amp;number=0.00277&amp;sourceID=14","0.00277")</f>
        <v>0.00277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HYPERLINK("http://141.218.60.56/~jnz1568/getInfo.php?workbook=10_05.xlsx&amp;sheet=U0&amp;row=6780&amp;col=6&amp;number=4.6&amp;sourceID=14","4.6")</f>
        <v>4.6</v>
      </c>
      <c r="G6780" s="4" t="str">
        <f>HYPERLINK("http://141.218.60.56/~jnz1568/getInfo.php?workbook=10_05.xlsx&amp;sheet=U0&amp;row=6780&amp;col=7&amp;number=0.0028&amp;sourceID=14","0.0028")</f>
        <v>0.0028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HYPERLINK("http://141.218.60.56/~jnz1568/getInfo.php?workbook=10_05.xlsx&amp;sheet=U0&amp;row=6781&amp;col=6&amp;number=4.7&amp;sourceID=14","4.7")</f>
        <v>4.7</v>
      </c>
      <c r="G6781" s="4" t="str">
        <f>HYPERLINK("http://141.218.60.56/~jnz1568/getInfo.php?workbook=10_05.xlsx&amp;sheet=U0&amp;row=6781&amp;col=7&amp;number=0.00281&amp;sourceID=14","0.00281")</f>
        <v>0.00281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HYPERLINK("http://141.218.60.56/~jnz1568/getInfo.php?workbook=10_05.xlsx&amp;sheet=U0&amp;row=6782&amp;col=6&amp;number=4.8&amp;sourceID=14","4.8")</f>
        <v>4.8</v>
      </c>
      <c r="G6782" s="4" t="str">
        <f>HYPERLINK("http://141.218.60.56/~jnz1568/getInfo.php?workbook=10_05.xlsx&amp;sheet=U0&amp;row=6782&amp;col=7&amp;number=0.0028&amp;sourceID=14","0.0028")</f>
        <v>0.0028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HYPERLINK("http://141.218.60.56/~jnz1568/getInfo.php?workbook=10_05.xlsx&amp;sheet=U0&amp;row=6783&amp;col=6&amp;number=4.9&amp;sourceID=14","4.9")</f>
        <v>4.9</v>
      </c>
      <c r="G6783" s="4" t="str">
        <f>HYPERLINK("http://141.218.60.56/~jnz1568/getInfo.php?workbook=10_05.xlsx&amp;sheet=U0&amp;row=6783&amp;col=7&amp;number=0.00278&amp;sourceID=14","0.00278")</f>
        <v>0.00278</v>
      </c>
    </row>
    <row r="6784" spans="1:7">
      <c r="A6784" s="3">
        <v>10</v>
      </c>
      <c r="B6784" s="3">
        <v>5</v>
      </c>
      <c r="C6784" s="3">
        <v>2</v>
      </c>
      <c r="D6784" s="3">
        <v>163</v>
      </c>
      <c r="E6784" s="3">
        <v>1</v>
      </c>
      <c r="F6784" s="4" t="str">
        <f>HYPERLINK("http://141.218.60.56/~jnz1568/getInfo.php?workbook=10_05.xlsx&amp;sheet=U0&amp;row=6784&amp;col=6&amp;number=3&amp;sourceID=14","3")</f>
        <v>3</v>
      </c>
      <c r="G6784" s="4" t="str">
        <f>HYPERLINK("http://141.218.60.56/~jnz1568/getInfo.php?workbook=10_05.xlsx&amp;sheet=U0&amp;row=6784&amp;col=7&amp;number=0.00271&amp;sourceID=14","0.00271")</f>
        <v>0.00271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HYPERLINK("http://141.218.60.56/~jnz1568/getInfo.php?workbook=10_05.xlsx&amp;sheet=U0&amp;row=6785&amp;col=6&amp;number=3.1&amp;sourceID=14","3.1")</f>
        <v>3.1</v>
      </c>
      <c r="G6785" s="4" t="str">
        <f>HYPERLINK("http://141.218.60.56/~jnz1568/getInfo.php?workbook=10_05.xlsx&amp;sheet=U0&amp;row=6785&amp;col=7&amp;number=0.00271&amp;sourceID=14","0.00271")</f>
        <v>0.00271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HYPERLINK("http://141.218.60.56/~jnz1568/getInfo.php?workbook=10_05.xlsx&amp;sheet=U0&amp;row=6786&amp;col=6&amp;number=3.2&amp;sourceID=14","3.2")</f>
        <v>3.2</v>
      </c>
      <c r="G6786" s="4" t="str">
        <f>HYPERLINK("http://141.218.60.56/~jnz1568/getInfo.php?workbook=10_05.xlsx&amp;sheet=U0&amp;row=6786&amp;col=7&amp;number=0.00272&amp;sourceID=14","0.00272")</f>
        <v>0.00272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HYPERLINK("http://141.218.60.56/~jnz1568/getInfo.php?workbook=10_05.xlsx&amp;sheet=U0&amp;row=6787&amp;col=6&amp;number=3.3&amp;sourceID=14","3.3")</f>
        <v>3.3</v>
      </c>
      <c r="G6787" s="4" t="str">
        <f>HYPERLINK("http://141.218.60.56/~jnz1568/getInfo.php?workbook=10_05.xlsx&amp;sheet=U0&amp;row=6787&amp;col=7&amp;number=0.00272&amp;sourceID=14","0.00272")</f>
        <v>0.00272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HYPERLINK("http://141.218.60.56/~jnz1568/getInfo.php?workbook=10_05.xlsx&amp;sheet=U0&amp;row=6788&amp;col=6&amp;number=3.4&amp;sourceID=14","3.4")</f>
        <v>3.4</v>
      </c>
      <c r="G6788" s="4" t="str">
        <f>HYPERLINK("http://141.218.60.56/~jnz1568/getInfo.php?workbook=10_05.xlsx&amp;sheet=U0&amp;row=6788&amp;col=7&amp;number=0.00273&amp;sourceID=14","0.00273")</f>
        <v>0.00273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HYPERLINK("http://141.218.60.56/~jnz1568/getInfo.php?workbook=10_05.xlsx&amp;sheet=U0&amp;row=6789&amp;col=6&amp;number=3.5&amp;sourceID=14","3.5")</f>
        <v>3.5</v>
      </c>
      <c r="G6789" s="4" t="str">
        <f>HYPERLINK("http://141.218.60.56/~jnz1568/getInfo.php?workbook=10_05.xlsx&amp;sheet=U0&amp;row=6789&amp;col=7&amp;number=0.00273&amp;sourceID=14","0.00273")</f>
        <v>0.00273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HYPERLINK("http://141.218.60.56/~jnz1568/getInfo.php?workbook=10_05.xlsx&amp;sheet=U0&amp;row=6790&amp;col=6&amp;number=3.6&amp;sourceID=14","3.6")</f>
        <v>3.6</v>
      </c>
      <c r="G6790" s="4" t="str">
        <f>HYPERLINK("http://141.218.60.56/~jnz1568/getInfo.php?workbook=10_05.xlsx&amp;sheet=U0&amp;row=6790&amp;col=7&amp;number=0.00274&amp;sourceID=14","0.00274")</f>
        <v>0.00274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HYPERLINK("http://141.218.60.56/~jnz1568/getInfo.php?workbook=10_05.xlsx&amp;sheet=U0&amp;row=6791&amp;col=6&amp;number=3.7&amp;sourceID=14","3.7")</f>
        <v>3.7</v>
      </c>
      <c r="G6791" s="4" t="str">
        <f>HYPERLINK("http://141.218.60.56/~jnz1568/getInfo.php?workbook=10_05.xlsx&amp;sheet=U0&amp;row=6791&amp;col=7&amp;number=0.00275&amp;sourceID=14","0.00275")</f>
        <v>0.00275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HYPERLINK("http://141.218.60.56/~jnz1568/getInfo.php?workbook=10_05.xlsx&amp;sheet=U0&amp;row=6792&amp;col=6&amp;number=3.8&amp;sourceID=14","3.8")</f>
        <v>3.8</v>
      </c>
      <c r="G6792" s="4" t="str">
        <f>HYPERLINK("http://141.218.60.56/~jnz1568/getInfo.php?workbook=10_05.xlsx&amp;sheet=U0&amp;row=6792&amp;col=7&amp;number=0.00277&amp;sourceID=14","0.00277")</f>
        <v>0.00277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HYPERLINK("http://141.218.60.56/~jnz1568/getInfo.php?workbook=10_05.xlsx&amp;sheet=U0&amp;row=6793&amp;col=6&amp;number=3.9&amp;sourceID=14","3.9")</f>
        <v>3.9</v>
      </c>
      <c r="G6793" s="4" t="str">
        <f>HYPERLINK("http://141.218.60.56/~jnz1568/getInfo.php?workbook=10_05.xlsx&amp;sheet=U0&amp;row=6793&amp;col=7&amp;number=0.00278&amp;sourceID=14","0.00278")</f>
        <v>0.00278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HYPERLINK("http://141.218.60.56/~jnz1568/getInfo.php?workbook=10_05.xlsx&amp;sheet=U0&amp;row=6794&amp;col=6&amp;number=4&amp;sourceID=14","4")</f>
        <v>4</v>
      </c>
      <c r="G6794" s="4" t="str">
        <f>HYPERLINK("http://141.218.60.56/~jnz1568/getInfo.php?workbook=10_05.xlsx&amp;sheet=U0&amp;row=6794&amp;col=7&amp;number=0.0028&amp;sourceID=14","0.0028")</f>
        <v>0.0028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HYPERLINK("http://141.218.60.56/~jnz1568/getInfo.php?workbook=10_05.xlsx&amp;sheet=U0&amp;row=6795&amp;col=6&amp;number=4.1&amp;sourceID=14","4.1")</f>
        <v>4.1</v>
      </c>
      <c r="G6795" s="4" t="str">
        <f>HYPERLINK("http://141.218.60.56/~jnz1568/getInfo.php?workbook=10_05.xlsx&amp;sheet=U0&amp;row=6795&amp;col=7&amp;number=0.00282&amp;sourceID=14","0.00282")</f>
        <v>0.00282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HYPERLINK("http://141.218.60.56/~jnz1568/getInfo.php?workbook=10_05.xlsx&amp;sheet=U0&amp;row=6796&amp;col=6&amp;number=4.2&amp;sourceID=14","4.2")</f>
        <v>4.2</v>
      </c>
      <c r="G6796" s="4" t="str">
        <f>HYPERLINK("http://141.218.60.56/~jnz1568/getInfo.php?workbook=10_05.xlsx&amp;sheet=U0&amp;row=6796&amp;col=7&amp;number=0.00284&amp;sourceID=14","0.00284")</f>
        <v>0.00284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HYPERLINK("http://141.218.60.56/~jnz1568/getInfo.php?workbook=10_05.xlsx&amp;sheet=U0&amp;row=6797&amp;col=6&amp;number=4.3&amp;sourceID=14","4.3")</f>
        <v>4.3</v>
      </c>
      <c r="G6797" s="4" t="str">
        <f>HYPERLINK("http://141.218.60.56/~jnz1568/getInfo.php?workbook=10_05.xlsx&amp;sheet=U0&amp;row=6797&amp;col=7&amp;number=0.00284&amp;sourceID=14","0.00284")</f>
        <v>0.00284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HYPERLINK("http://141.218.60.56/~jnz1568/getInfo.php?workbook=10_05.xlsx&amp;sheet=U0&amp;row=6798&amp;col=6&amp;number=4.4&amp;sourceID=14","4.4")</f>
        <v>4.4</v>
      </c>
      <c r="G6798" s="4" t="str">
        <f>HYPERLINK("http://141.218.60.56/~jnz1568/getInfo.php?workbook=10_05.xlsx&amp;sheet=U0&amp;row=6798&amp;col=7&amp;number=0.00284&amp;sourceID=14","0.00284")</f>
        <v>0.00284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HYPERLINK("http://141.218.60.56/~jnz1568/getInfo.php?workbook=10_05.xlsx&amp;sheet=U0&amp;row=6799&amp;col=6&amp;number=4.5&amp;sourceID=14","4.5")</f>
        <v>4.5</v>
      </c>
      <c r="G6799" s="4" t="str">
        <f>HYPERLINK("http://141.218.60.56/~jnz1568/getInfo.php?workbook=10_05.xlsx&amp;sheet=U0&amp;row=6799&amp;col=7&amp;number=0.00279&amp;sourceID=14","0.00279")</f>
        <v>0.00279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HYPERLINK("http://141.218.60.56/~jnz1568/getInfo.php?workbook=10_05.xlsx&amp;sheet=U0&amp;row=6800&amp;col=6&amp;number=4.6&amp;sourceID=14","4.6")</f>
        <v>4.6</v>
      </c>
      <c r="G6800" s="4" t="str">
        <f>HYPERLINK("http://141.218.60.56/~jnz1568/getInfo.php?workbook=10_05.xlsx&amp;sheet=U0&amp;row=6800&amp;col=7&amp;number=0.00271&amp;sourceID=14","0.00271")</f>
        <v>0.00271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HYPERLINK("http://141.218.60.56/~jnz1568/getInfo.php?workbook=10_05.xlsx&amp;sheet=U0&amp;row=6801&amp;col=6&amp;number=4.7&amp;sourceID=14","4.7")</f>
        <v>4.7</v>
      </c>
      <c r="G6801" s="4" t="str">
        <f>HYPERLINK("http://141.218.60.56/~jnz1568/getInfo.php?workbook=10_05.xlsx&amp;sheet=U0&amp;row=6801&amp;col=7&amp;number=0.00259&amp;sourceID=14","0.00259")</f>
        <v>0.00259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HYPERLINK("http://141.218.60.56/~jnz1568/getInfo.php?workbook=10_05.xlsx&amp;sheet=U0&amp;row=6802&amp;col=6&amp;number=4.8&amp;sourceID=14","4.8")</f>
        <v>4.8</v>
      </c>
      <c r="G6802" s="4" t="str">
        <f>HYPERLINK("http://141.218.60.56/~jnz1568/getInfo.php?workbook=10_05.xlsx&amp;sheet=U0&amp;row=6802&amp;col=7&amp;number=0.00246&amp;sourceID=14","0.00246")</f>
        <v>0.00246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HYPERLINK("http://141.218.60.56/~jnz1568/getInfo.php?workbook=10_05.xlsx&amp;sheet=U0&amp;row=6803&amp;col=6&amp;number=4.9&amp;sourceID=14","4.9")</f>
        <v>4.9</v>
      </c>
      <c r="G6803" s="4" t="str">
        <f>HYPERLINK("http://141.218.60.56/~jnz1568/getInfo.php?workbook=10_05.xlsx&amp;sheet=U0&amp;row=6803&amp;col=7&amp;number=0.00233&amp;sourceID=14","0.00233")</f>
        <v>0.00233</v>
      </c>
    </row>
    <row r="6804" spans="1:7">
      <c r="A6804" s="3">
        <v>10</v>
      </c>
      <c r="B6804" s="3">
        <v>5</v>
      </c>
      <c r="C6804" s="3">
        <v>2</v>
      </c>
      <c r="D6804" s="3">
        <v>164</v>
      </c>
      <c r="E6804" s="3">
        <v>1</v>
      </c>
      <c r="F6804" s="4" t="str">
        <f>HYPERLINK("http://141.218.60.56/~jnz1568/getInfo.php?workbook=10_05.xlsx&amp;sheet=U0&amp;row=6804&amp;col=6&amp;number=3&amp;sourceID=14","3")</f>
        <v>3</v>
      </c>
      <c r="G6804" s="4" t="str">
        <f>HYPERLINK("http://141.218.60.56/~jnz1568/getInfo.php?workbook=10_05.xlsx&amp;sheet=U0&amp;row=6804&amp;col=7&amp;number=0.00525&amp;sourceID=14","0.00525")</f>
        <v>0.00525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HYPERLINK("http://141.218.60.56/~jnz1568/getInfo.php?workbook=10_05.xlsx&amp;sheet=U0&amp;row=6805&amp;col=6&amp;number=3.1&amp;sourceID=14","3.1")</f>
        <v>3.1</v>
      </c>
      <c r="G6805" s="4" t="str">
        <f>HYPERLINK("http://141.218.60.56/~jnz1568/getInfo.php?workbook=10_05.xlsx&amp;sheet=U0&amp;row=6805&amp;col=7&amp;number=0.00522&amp;sourceID=14","0.00522")</f>
        <v>0.00522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HYPERLINK("http://141.218.60.56/~jnz1568/getInfo.php?workbook=10_05.xlsx&amp;sheet=U0&amp;row=6806&amp;col=6&amp;number=3.2&amp;sourceID=14","3.2")</f>
        <v>3.2</v>
      </c>
      <c r="G6806" s="4" t="str">
        <f>HYPERLINK("http://141.218.60.56/~jnz1568/getInfo.php?workbook=10_05.xlsx&amp;sheet=U0&amp;row=6806&amp;col=7&amp;number=0.00518&amp;sourceID=14","0.00518")</f>
        <v>0.00518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HYPERLINK("http://141.218.60.56/~jnz1568/getInfo.php?workbook=10_05.xlsx&amp;sheet=U0&amp;row=6807&amp;col=6&amp;number=3.3&amp;sourceID=14","3.3")</f>
        <v>3.3</v>
      </c>
      <c r="G6807" s="4" t="str">
        <f>HYPERLINK("http://141.218.60.56/~jnz1568/getInfo.php?workbook=10_05.xlsx&amp;sheet=U0&amp;row=6807&amp;col=7&amp;number=0.00513&amp;sourceID=14","0.00513")</f>
        <v>0.00513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HYPERLINK("http://141.218.60.56/~jnz1568/getInfo.php?workbook=10_05.xlsx&amp;sheet=U0&amp;row=6808&amp;col=6&amp;number=3.4&amp;sourceID=14","3.4")</f>
        <v>3.4</v>
      </c>
      <c r="G6808" s="4" t="str">
        <f>HYPERLINK("http://141.218.60.56/~jnz1568/getInfo.php?workbook=10_05.xlsx&amp;sheet=U0&amp;row=6808&amp;col=7&amp;number=0.00506&amp;sourceID=14","0.00506")</f>
        <v>0.00506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HYPERLINK("http://141.218.60.56/~jnz1568/getInfo.php?workbook=10_05.xlsx&amp;sheet=U0&amp;row=6809&amp;col=6&amp;number=3.5&amp;sourceID=14","3.5")</f>
        <v>3.5</v>
      </c>
      <c r="G6809" s="4" t="str">
        <f>HYPERLINK("http://141.218.60.56/~jnz1568/getInfo.php?workbook=10_05.xlsx&amp;sheet=U0&amp;row=6809&amp;col=7&amp;number=0.00498&amp;sourceID=14","0.00498")</f>
        <v>0.00498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HYPERLINK("http://141.218.60.56/~jnz1568/getInfo.php?workbook=10_05.xlsx&amp;sheet=U0&amp;row=6810&amp;col=6&amp;number=3.6&amp;sourceID=14","3.6")</f>
        <v>3.6</v>
      </c>
      <c r="G6810" s="4" t="str">
        <f>HYPERLINK("http://141.218.60.56/~jnz1568/getInfo.php?workbook=10_05.xlsx&amp;sheet=U0&amp;row=6810&amp;col=7&amp;number=0.00488&amp;sourceID=14","0.00488")</f>
        <v>0.00488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HYPERLINK("http://141.218.60.56/~jnz1568/getInfo.php?workbook=10_05.xlsx&amp;sheet=U0&amp;row=6811&amp;col=6&amp;number=3.7&amp;sourceID=14","3.7")</f>
        <v>3.7</v>
      </c>
      <c r="G6811" s="4" t="str">
        <f>HYPERLINK("http://141.218.60.56/~jnz1568/getInfo.php?workbook=10_05.xlsx&amp;sheet=U0&amp;row=6811&amp;col=7&amp;number=0.00476&amp;sourceID=14","0.00476")</f>
        <v>0.00476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HYPERLINK("http://141.218.60.56/~jnz1568/getInfo.php?workbook=10_05.xlsx&amp;sheet=U0&amp;row=6812&amp;col=6&amp;number=3.8&amp;sourceID=14","3.8")</f>
        <v>3.8</v>
      </c>
      <c r="G6812" s="4" t="str">
        <f>HYPERLINK("http://141.218.60.56/~jnz1568/getInfo.php?workbook=10_05.xlsx&amp;sheet=U0&amp;row=6812&amp;col=7&amp;number=0.00462&amp;sourceID=14","0.00462")</f>
        <v>0.00462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HYPERLINK("http://141.218.60.56/~jnz1568/getInfo.php?workbook=10_05.xlsx&amp;sheet=U0&amp;row=6813&amp;col=6&amp;number=3.9&amp;sourceID=14","3.9")</f>
        <v>3.9</v>
      </c>
      <c r="G6813" s="4" t="str">
        <f>HYPERLINK("http://141.218.60.56/~jnz1568/getInfo.php?workbook=10_05.xlsx&amp;sheet=U0&amp;row=6813&amp;col=7&amp;number=0.00446&amp;sourceID=14","0.00446")</f>
        <v>0.00446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HYPERLINK("http://141.218.60.56/~jnz1568/getInfo.php?workbook=10_05.xlsx&amp;sheet=U0&amp;row=6814&amp;col=6&amp;number=4&amp;sourceID=14","4")</f>
        <v>4</v>
      </c>
      <c r="G6814" s="4" t="str">
        <f>HYPERLINK("http://141.218.60.56/~jnz1568/getInfo.php?workbook=10_05.xlsx&amp;sheet=U0&amp;row=6814&amp;col=7&amp;number=0.00428&amp;sourceID=14","0.00428")</f>
        <v>0.00428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HYPERLINK("http://141.218.60.56/~jnz1568/getInfo.php?workbook=10_05.xlsx&amp;sheet=U0&amp;row=6815&amp;col=6&amp;number=4.1&amp;sourceID=14","4.1")</f>
        <v>4.1</v>
      </c>
      <c r="G6815" s="4" t="str">
        <f>HYPERLINK("http://141.218.60.56/~jnz1568/getInfo.php?workbook=10_05.xlsx&amp;sheet=U0&amp;row=6815&amp;col=7&amp;number=0.00409&amp;sourceID=14","0.00409")</f>
        <v>0.00409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HYPERLINK("http://141.218.60.56/~jnz1568/getInfo.php?workbook=10_05.xlsx&amp;sheet=U0&amp;row=6816&amp;col=6&amp;number=4.2&amp;sourceID=14","4.2")</f>
        <v>4.2</v>
      </c>
      <c r="G6816" s="4" t="str">
        <f>HYPERLINK("http://141.218.60.56/~jnz1568/getInfo.php?workbook=10_05.xlsx&amp;sheet=U0&amp;row=6816&amp;col=7&amp;number=0.00391&amp;sourceID=14","0.00391")</f>
        <v>0.00391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HYPERLINK("http://141.218.60.56/~jnz1568/getInfo.php?workbook=10_05.xlsx&amp;sheet=U0&amp;row=6817&amp;col=6&amp;number=4.3&amp;sourceID=14","4.3")</f>
        <v>4.3</v>
      </c>
      <c r="G6817" s="4" t="str">
        <f>HYPERLINK("http://141.218.60.56/~jnz1568/getInfo.php?workbook=10_05.xlsx&amp;sheet=U0&amp;row=6817&amp;col=7&amp;number=0.00374&amp;sourceID=14","0.00374")</f>
        <v>0.00374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HYPERLINK("http://141.218.60.56/~jnz1568/getInfo.php?workbook=10_05.xlsx&amp;sheet=U0&amp;row=6818&amp;col=6&amp;number=4.4&amp;sourceID=14","4.4")</f>
        <v>4.4</v>
      </c>
      <c r="G6818" s="4" t="str">
        <f>HYPERLINK("http://141.218.60.56/~jnz1568/getInfo.php?workbook=10_05.xlsx&amp;sheet=U0&amp;row=6818&amp;col=7&amp;number=0.00356&amp;sourceID=14","0.00356")</f>
        <v>0.00356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HYPERLINK("http://141.218.60.56/~jnz1568/getInfo.php?workbook=10_05.xlsx&amp;sheet=U0&amp;row=6819&amp;col=6&amp;number=4.5&amp;sourceID=14","4.5")</f>
        <v>4.5</v>
      </c>
      <c r="G6819" s="4" t="str">
        <f>HYPERLINK("http://141.218.60.56/~jnz1568/getInfo.php?workbook=10_05.xlsx&amp;sheet=U0&amp;row=6819&amp;col=7&amp;number=0.00334&amp;sourceID=14","0.00334")</f>
        <v>0.00334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HYPERLINK("http://141.218.60.56/~jnz1568/getInfo.php?workbook=10_05.xlsx&amp;sheet=U0&amp;row=6820&amp;col=6&amp;number=4.6&amp;sourceID=14","4.6")</f>
        <v>4.6</v>
      </c>
      <c r="G6820" s="4" t="str">
        <f>HYPERLINK("http://141.218.60.56/~jnz1568/getInfo.php?workbook=10_05.xlsx&amp;sheet=U0&amp;row=6820&amp;col=7&amp;number=0.00307&amp;sourceID=14","0.00307")</f>
        <v>0.00307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HYPERLINK("http://141.218.60.56/~jnz1568/getInfo.php?workbook=10_05.xlsx&amp;sheet=U0&amp;row=6821&amp;col=6&amp;number=4.7&amp;sourceID=14","4.7")</f>
        <v>4.7</v>
      </c>
      <c r="G6821" s="4" t="str">
        <f>HYPERLINK("http://141.218.60.56/~jnz1568/getInfo.php?workbook=10_05.xlsx&amp;sheet=U0&amp;row=6821&amp;col=7&amp;number=0.00276&amp;sourceID=14","0.00276")</f>
        <v>0.00276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HYPERLINK("http://141.218.60.56/~jnz1568/getInfo.php?workbook=10_05.xlsx&amp;sheet=U0&amp;row=6822&amp;col=6&amp;number=4.8&amp;sourceID=14","4.8")</f>
        <v>4.8</v>
      </c>
      <c r="G6822" s="4" t="str">
        <f>HYPERLINK("http://141.218.60.56/~jnz1568/getInfo.php?workbook=10_05.xlsx&amp;sheet=U0&amp;row=6822&amp;col=7&amp;number=0.00247&amp;sourceID=14","0.00247")</f>
        <v>0.00247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HYPERLINK("http://141.218.60.56/~jnz1568/getInfo.php?workbook=10_05.xlsx&amp;sheet=U0&amp;row=6823&amp;col=6&amp;number=4.9&amp;sourceID=14","4.9")</f>
        <v>4.9</v>
      </c>
      <c r="G6823" s="4" t="str">
        <f>HYPERLINK("http://141.218.60.56/~jnz1568/getInfo.php?workbook=10_05.xlsx&amp;sheet=U0&amp;row=6823&amp;col=7&amp;number=0.00222&amp;sourceID=14","0.00222")</f>
        <v>0.00222</v>
      </c>
    </row>
    <row r="6824" spans="1:7">
      <c r="A6824" s="3">
        <v>10</v>
      </c>
      <c r="B6824" s="3">
        <v>5</v>
      </c>
      <c r="C6824" s="3">
        <v>2</v>
      </c>
      <c r="D6824" s="3">
        <v>165</v>
      </c>
      <c r="E6824" s="3">
        <v>1</v>
      </c>
      <c r="F6824" s="4" t="str">
        <f>HYPERLINK("http://141.218.60.56/~jnz1568/getInfo.php?workbook=10_05.xlsx&amp;sheet=U0&amp;row=6824&amp;col=6&amp;number=3&amp;sourceID=14","3")</f>
        <v>3</v>
      </c>
      <c r="G6824" s="4" t="str">
        <f>HYPERLINK("http://141.218.60.56/~jnz1568/getInfo.php?workbook=10_05.xlsx&amp;sheet=U0&amp;row=6824&amp;col=7&amp;number=0.0163&amp;sourceID=14","0.0163")</f>
        <v>0.0163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HYPERLINK("http://141.218.60.56/~jnz1568/getInfo.php?workbook=10_05.xlsx&amp;sheet=U0&amp;row=6825&amp;col=6&amp;number=3.1&amp;sourceID=14","3.1")</f>
        <v>3.1</v>
      </c>
      <c r="G6825" s="4" t="str">
        <f>HYPERLINK("http://141.218.60.56/~jnz1568/getInfo.php?workbook=10_05.xlsx&amp;sheet=U0&amp;row=6825&amp;col=7&amp;number=0.0162&amp;sourceID=14","0.0162")</f>
        <v>0.0162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HYPERLINK("http://141.218.60.56/~jnz1568/getInfo.php?workbook=10_05.xlsx&amp;sheet=U0&amp;row=6826&amp;col=6&amp;number=3.2&amp;sourceID=14","3.2")</f>
        <v>3.2</v>
      </c>
      <c r="G6826" s="4" t="str">
        <f>HYPERLINK("http://141.218.60.56/~jnz1568/getInfo.php?workbook=10_05.xlsx&amp;sheet=U0&amp;row=6826&amp;col=7&amp;number=0.016&amp;sourceID=14","0.016")</f>
        <v>0.016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HYPERLINK("http://141.218.60.56/~jnz1568/getInfo.php?workbook=10_05.xlsx&amp;sheet=U0&amp;row=6827&amp;col=6&amp;number=3.3&amp;sourceID=14","3.3")</f>
        <v>3.3</v>
      </c>
      <c r="G6827" s="4" t="str">
        <f>HYPERLINK("http://141.218.60.56/~jnz1568/getInfo.php?workbook=10_05.xlsx&amp;sheet=U0&amp;row=6827&amp;col=7&amp;number=0.0159&amp;sourceID=14","0.0159")</f>
        <v>0.0159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HYPERLINK("http://141.218.60.56/~jnz1568/getInfo.php?workbook=10_05.xlsx&amp;sheet=U0&amp;row=6828&amp;col=6&amp;number=3.4&amp;sourceID=14","3.4")</f>
        <v>3.4</v>
      </c>
      <c r="G6828" s="4" t="str">
        <f>HYPERLINK("http://141.218.60.56/~jnz1568/getInfo.php?workbook=10_05.xlsx&amp;sheet=U0&amp;row=6828&amp;col=7&amp;number=0.0157&amp;sourceID=14","0.0157")</f>
        <v>0.0157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HYPERLINK("http://141.218.60.56/~jnz1568/getInfo.php?workbook=10_05.xlsx&amp;sheet=U0&amp;row=6829&amp;col=6&amp;number=3.5&amp;sourceID=14","3.5")</f>
        <v>3.5</v>
      </c>
      <c r="G6829" s="4" t="str">
        <f>HYPERLINK("http://141.218.60.56/~jnz1568/getInfo.php?workbook=10_05.xlsx&amp;sheet=U0&amp;row=6829&amp;col=7&amp;number=0.0154&amp;sourceID=14","0.0154")</f>
        <v>0.0154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HYPERLINK("http://141.218.60.56/~jnz1568/getInfo.php?workbook=10_05.xlsx&amp;sheet=U0&amp;row=6830&amp;col=6&amp;number=3.6&amp;sourceID=14","3.6")</f>
        <v>3.6</v>
      </c>
      <c r="G6830" s="4" t="str">
        <f>HYPERLINK("http://141.218.60.56/~jnz1568/getInfo.php?workbook=10_05.xlsx&amp;sheet=U0&amp;row=6830&amp;col=7&amp;number=0.0151&amp;sourceID=14","0.0151")</f>
        <v>0.0151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HYPERLINK("http://141.218.60.56/~jnz1568/getInfo.php?workbook=10_05.xlsx&amp;sheet=U0&amp;row=6831&amp;col=6&amp;number=3.7&amp;sourceID=14","3.7")</f>
        <v>3.7</v>
      </c>
      <c r="G6831" s="4" t="str">
        <f>HYPERLINK("http://141.218.60.56/~jnz1568/getInfo.php?workbook=10_05.xlsx&amp;sheet=U0&amp;row=6831&amp;col=7&amp;number=0.0147&amp;sourceID=14","0.0147")</f>
        <v>0.0147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HYPERLINK("http://141.218.60.56/~jnz1568/getInfo.php?workbook=10_05.xlsx&amp;sheet=U0&amp;row=6832&amp;col=6&amp;number=3.8&amp;sourceID=14","3.8")</f>
        <v>3.8</v>
      </c>
      <c r="G6832" s="4" t="str">
        <f>HYPERLINK("http://141.218.60.56/~jnz1568/getInfo.php?workbook=10_05.xlsx&amp;sheet=U0&amp;row=6832&amp;col=7&amp;number=0.0143&amp;sourceID=14","0.0143")</f>
        <v>0.0143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HYPERLINK("http://141.218.60.56/~jnz1568/getInfo.php?workbook=10_05.xlsx&amp;sheet=U0&amp;row=6833&amp;col=6&amp;number=3.9&amp;sourceID=14","3.9")</f>
        <v>3.9</v>
      </c>
      <c r="G6833" s="4" t="str">
        <f>HYPERLINK("http://141.218.60.56/~jnz1568/getInfo.php?workbook=10_05.xlsx&amp;sheet=U0&amp;row=6833&amp;col=7&amp;number=0.0138&amp;sourceID=14","0.0138")</f>
        <v>0.0138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HYPERLINK("http://141.218.60.56/~jnz1568/getInfo.php?workbook=10_05.xlsx&amp;sheet=U0&amp;row=6834&amp;col=6&amp;number=4&amp;sourceID=14","4")</f>
        <v>4</v>
      </c>
      <c r="G6834" s="4" t="str">
        <f>HYPERLINK("http://141.218.60.56/~jnz1568/getInfo.php?workbook=10_05.xlsx&amp;sheet=U0&amp;row=6834&amp;col=7&amp;number=0.0132&amp;sourceID=14","0.0132")</f>
        <v>0.0132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HYPERLINK("http://141.218.60.56/~jnz1568/getInfo.php?workbook=10_05.xlsx&amp;sheet=U0&amp;row=6835&amp;col=6&amp;number=4.1&amp;sourceID=14","4.1")</f>
        <v>4.1</v>
      </c>
      <c r="G6835" s="4" t="str">
        <f>HYPERLINK("http://141.218.60.56/~jnz1568/getInfo.php?workbook=10_05.xlsx&amp;sheet=U0&amp;row=6835&amp;col=7&amp;number=0.0126&amp;sourceID=14","0.0126")</f>
        <v>0.0126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HYPERLINK("http://141.218.60.56/~jnz1568/getInfo.php?workbook=10_05.xlsx&amp;sheet=U0&amp;row=6836&amp;col=6&amp;number=4.2&amp;sourceID=14","4.2")</f>
        <v>4.2</v>
      </c>
      <c r="G6836" s="4" t="str">
        <f>HYPERLINK("http://141.218.60.56/~jnz1568/getInfo.php?workbook=10_05.xlsx&amp;sheet=U0&amp;row=6836&amp;col=7&amp;number=0.012&amp;sourceID=14","0.012")</f>
        <v>0.012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HYPERLINK("http://141.218.60.56/~jnz1568/getInfo.php?workbook=10_05.xlsx&amp;sheet=U0&amp;row=6837&amp;col=6&amp;number=4.3&amp;sourceID=14","4.3")</f>
        <v>4.3</v>
      </c>
      <c r="G6837" s="4" t="str">
        <f>HYPERLINK("http://141.218.60.56/~jnz1568/getInfo.php?workbook=10_05.xlsx&amp;sheet=U0&amp;row=6837&amp;col=7&amp;number=0.0115&amp;sourceID=14","0.0115")</f>
        <v>0.0115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HYPERLINK("http://141.218.60.56/~jnz1568/getInfo.php?workbook=10_05.xlsx&amp;sheet=U0&amp;row=6838&amp;col=6&amp;number=4.4&amp;sourceID=14","4.4")</f>
        <v>4.4</v>
      </c>
      <c r="G6838" s="4" t="str">
        <f>HYPERLINK("http://141.218.60.56/~jnz1568/getInfo.php?workbook=10_05.xlsx&amp;sheet=U0&amp;row=6838&amp;col=7&amp;number=0.011&amp;sourceID=14","0.011")</f>
        <v>0.011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HYPERLINK("http://141.218.60.56/~jnz1568/getInfo.php?workbook=10_05.xlsx&amp;sheet=U0&amp;row=6839&amp;col=6&amp;number=4.5&amp;sourceID=14","4.5")</f>
        <v>4.5</v>
      </c>
      <c r="G6839" s="4" t="str">
        <f>HYPERLINK("http://141.218.60.56/~jnz1568/getInfo.php?workbook=10_05.xlsx&amp;sheet=U0&amp;row=6839&amp;col=7&amp;number=0.0104&amp;sourceID=14","0.0104")</f>
        <v>0.0104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HYPERLINK("http://141.218.60.56/~jnz1568/getInfo.php?workbook=10_05.xlsx&amp;sheet=U0&amp;row=6840&amp;col=6&amp;number=4.6&amp;sourceID=14","4.6")</f>
        <v>4.6</v>
      </c>
      <c r="G6840" s="4" t="str">
        <f>HYPERLINK("http://141.218.60.56/~jnz1568/getInfo.php?workbook=10_05.xlsx&amp;sheet=U0&amp;row=6840&amp;col=7&amp;number=0.00963&amp;sourceID=14","0.00963")</f>
        <v>0.00963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HYPERLINK("http://141.218.60.56/~jnz1568/getInfo.php?workbook=10_05.xlsx&amp;sheet=U0&amp;row=6841&amp;col=6&amp;number=4.7&amp;sourceID=14","4.7")</f>
        <v>4.7</v>
      </c>
      <c r="G6841" s="4" t="str">
        <f>HYPERLINK("http://141.218.60.56/~jnz1568/getInfo.php?workbook=10_05.xlsx&amp;sheet=U0&amp;row=6841&amp;col=7&amp;number=0.00884&amp;sourceID=14","0.00884")</f>
        <v>0.00884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HYPERLINK("http://141.218.60.56/~jnz1568/getInfo.php?workbook=10_05.xlsx&amp;sheet=U0&amp;row=6842&amp;col=6&amp;number=4.8&amp;sourceID=14","4.8")</f>
        <v>4.8</v>
      </c>
      <c r="G6842" s="4" t="str">
        <f>HYPERLINK("http://141.218.60.56/~jnz1568/getInfo.php?workbook=10_05.xlsx&amp;sheet=U0&amp;row=6842&amp;col=7&amp;number=0.00811&amp;sourceID=14","0.00811")</f>
        <v>0.00811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HYPERLINK("http://141.218.60.56/~jnz1568/getInfo.php?workbook=10_05.xlsx&amp;sheet=U0&amp;row=6843&amp;col=6&amp;number=4.9&amp;sourceID=14","4.9")</f>
        <v>4.9</v>
      </c>
      <c r="G6843" s="4" t="str">
        <f>HYPERLINK("http://141.218.60.56/~jnz1568/getInfo.php?workbook=10_05.xlsx&amp;sheet=U0&amp;row=6843&amp;col=7&amp;number=0.00747&amp;sourceID=14","0.00747")</f>
        <v>0.00747</v>
      </c>
    </row>
    <row r="6844" spans="1:7">
      <c r="A6844" s="3">
        <v>10</v>
      </c>
      <c r="B6844" s="3">
        <v>5</v>
      </c>
      <c r="C6844" s="3">
        <v>2</v>
      </c>
      <c r="D6844" s="3">
        <v>166</v>
      </c>
      <c r="E6844" s="3">
        <v>1</v>
      </c>
      <c r="F6844" s="4" t="str">
        <f>HYPERLINK("http://141.218.60.56/~jnz1568/getInfo.php?workbook=10_05.xlsx&amp;sheet=U0&amp;row=6844&amp;col=6&amp;number=3&amp;sourceID=14","3")</f>
        <v>3</v>
      </c>
      <c r="G6844" s="4" t="str">
        <f>HYPERLINK("http://141.218.60.56/~jnz1568/getInfo.php?workbook=10_05.xlsx&amp;sheet=U0&amp;row=6844&amp;col=7&amp;number=0.00713&amp;sourceID=14","0.00713")</f>
        <v>0.00713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HYPERLINK("http://141.218.60.56/~jnz1568/getInfo.php?workbook=10_05.xlsx&amp;sheet=U0&amp;row=6845&amp;col=6&amp;number=3.1&amp;sourceID=14","3.1")</f>
        <v>3.1</v>
      </c>
      <c r="G6845" s="4" t="str">
        <f>HYPERLINK("http://141.218.60.56/~jnz1568/getInfo.php?workbook=10_05.xlsx&amp;sheet=U0&amp;row=6845&amp;col=7&amp;number=0.0071&amp;sourceID=14","0.0071")</f>
        <v>0.0071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HYPERLINK("http://141.218.60.56/~jnz1568/getInfo.php?workbook=10_05.xlsx&amp;sheet=U0&amp;row=6846&amp;col=6&amp;number=3.2&amp;sourceID=14","3.2")</f>
        <v>3.2</v>
      </c>
      <c r="G6846" s="4" t="str">
        <f>HYPERLINK("http://141.218.60.56/~jnz1568/getInfo.php?workbook=10_05.xlsx&amp;sheet=U0&amp;row=6846&amp;col=7&amp;number=0.00707&amp;sourceID=14","0.00707")</f>
        <v>0.00707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HYPERLINK("http://141.218.60.56/~jnz1568/getInfo.php?workbook=10_05.xlsx&amp;sheet=U0&amp;row=6847&amp;col=6&amp;number=3.3&amp;sourceID=14","3.3")</f>
        <v>3.3</v>
      </c>
      <c r="G6847" s="4" t="str">
        <f>HYPERLINK("http://141.218.60.56/~jnz1568/getInfo.php?workbook=10_05.xlsx&amp;sheet=U0&amp;row=6847&amp;col=7&amp;number=0.00703&amp;sourceID=14","0.00703")</f>
        <v>0.00703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HYPERLINK("http://141.218.60.56/~jnz1568/getInfo.php?workbook=10_05.xlsx&amp;sheet=U0&amp;row=6848&amp;col=6&amp;number=3.4&amp;sourceID=14","3.4")</f>
        <v>3.4</v>
      </c>
      <c r="G6848" s="4" t="str">
        <f>HYPERLINK("http://141.218.60.56/~jnz1568/getInfo.php?workbook=10_05.xlsx&amp;sheet=U0&amp;row=6848&amp;col=7&amp;number=0.00698&amp;sourceID=14","0.00698")</f>
        <v>0.00698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HYPERLINK("http://141.218.60.56/~jnz1568/getInfo.php?workbook=10_05.xlsx&amp;sheet=U0&amp;row=6849&amp;col=6&amp;number=3.5&amp;sourceID=14","3.5")</f>
        <v>3.5</v>
      </c>
      <c r="G6849" s="4" t="str">
        <f>HYPERLINK("http://141.218.60.56/~jnz1568/getInfo.php?workbook=10_05.xlsx&amp;sheet=U0&amp;row=6849&amp;col=7&amp;number=0.00692&amp;sourceID=14","0.00692")</f>
        <v>0.00692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HYPERLINK("http://141.218.60.56/~jnz1568/getInfo.php?workbook=10_05.xlsx&amp;sheet=U0&amp;row=6850&amp;col=6&amp;number=3.6&amp;sourceID=14","3.6")</f>
        <v>3.6</v>
      </c>
      <c r="G6850" s="4" t="str">
        <f>HYPERLINK("http://141.218.60.56/~jnz1568/getInfo.php?workbook=10_05.xlsx&amp;sheet=U0&amp;row=6850&amp;col=7&amp;number=0.00684&amp;sourceID=14","0.00684")</f>
        <v>0.00684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HYPERLINK("http://141.218.60.56/~jnz1568/getInfo.php?workbook=10_05.xlsx&amp;sheet=U0&amp;row=6851&amp;col=6&amp;number=3.7&amp;sourceID=14","3.7")</f>
        <v>3.7</v>
      </c>
      <c r="G6851" s="4" t="str">
        <f>HYPERLINK("http://141.218.60.56/~jnz1568/getInfo.php?workbook=10_05.xlsx&amp;sheet=U0&amp;row=6851&amp;col=7&amp;number=0.00675&amp;sourceID=14","0.00675")</f>
        <v>0.00675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HYPERLINK("http://141.218.60.56/~jnz1568/getInfo.php?workbook=10_05.xlsx&amp;sheet=U0&amp;row=6852&amp;col=6&amp;number=3.8&amp;sourceID=14","3.8")</f>
        <v>3.8</v>
      </c>
      <c r="G6852" s="4" t="str">
        <f>HYPERLINK("http://141.218.60.56/~jnz1568/getInfo.php?workbook=10_05.xlsx&amp;sheet=U0&amp;row=6852&amp;col=7&amp;number=0.00663&amp;sourceID=14","0.00663")</f>
        <v>0.00663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HYPERLINK("http://141.218.60.56/~jnz1568/getInfo.php?workbook=10_05.xlsx&amp;sheet=U0&amp;row=6853&amp;col=6&amp;number=3.9&amp;sourceID=14","3.9")</f>
        <v>3.9</v>
      </c>
      <c r="G6853" s="4" t="str">
        <f>HYPERLINK("http://141.218.60.56/~jnz1568/getInfo.php?workbook=10_05.xlsx&amp;sheet=U0&amp;row=6853&amp;col=7&amp;number=0.00648&amp;sourceID=14","0.00648")</f>
        <v>0.00648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HYPERLINK("http://141.218.60.56/~jnz1568/getInfo.php?workbook=10_05.xlsx&amp;sheet=U0&amp;row=6854&amp;col=6&amp;number=4&amp;sourceID=14","4")</f>
        <v>4</v>
      </c>
      <c r="G6854" s="4" t="str">
        <f>HYPERLINK("http://141.218.60.56/~jnz1568/getInfo.php?workbook=10_05.xlsx&amp;sheet=U0&amp;row=6854&amp;col=7&amp;number=0.0063&amp;sourceID=14","0.0063")</f>
        <v>0.0063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HYPERLINK("http://141.218.60.56/~jnz1568/getInfo.php?workbook=10_05.xlsx&amp;sheet=U0&amp;row=6855&amp;col=6&amp;number=4.1&amp;sourceID=14","4.1")</f>
        <v>4.1</v>
      </c>
      <c r="G6855" s="4" t="str">
        <f>HYPERLINK("http://141.218.60.56/~jnz1568/getInfo.php?workbook=10_05.xlsx&amp;sheet=U0&amp;row=6855&amp;col=7&amp;number=0.00609&amp;sourceID=14","0.00609")</f>
        <v>0.00609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HYPERLINK("http://141.218.60.56/~jnz1568/getInfo.php?workbook=10_05.xlsx&amp;sheet=U0&amp;row=6856&amp;col=6&amp;number=4.2&amp;sourceID=14","4.2")</f>
        <v>4.2</v>
      </c>
      <c r="G6856" s="4" t="str">
        <f>HYPERLINK("http://141.218.60.56/~jnz1568/getInfo.php?workbook=10_05.xlsx&amp;sheet=U0&amp;row=6856&amp;col=7&amp;number=0.00583&amp;sourceID=14","0.00583")</f>
        <v>0.00583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HYPERLINK("http://141.218.60.56/~jnz1568/getInfo.php?workbook=10_05.xlsx&amp;sheet=U0&amp;row=6857&amp;col=6&amp;number=4.3&amp;sourceID=14","4.3")</f>
        <v>4.3</v>
      </c>
      <c r="G6857" s="4" t="str">
        <f>HYPERLINK("http://141.218.60.56/~jnz1568/getInfo.php?workbook=10_05.xlsx&amp;sheet=U0&amp;row=6857&amp;col=7&amp;number=0.00552&amp;sourceID=14","0.00552")</f>
        <v>0.00552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HYPERLINK("http://141.218.60.56/~jnz1568/getInfo.php?workbook=10_05.xlsx&amp;sheet=U0&amp;row=6858&amp;col=6&amp;number=4.4&amp;sourceID=14","4.4")</f>
        <v>4.4</v>
      </c>
      <c r="G6858" s="4" t="str">
        <f>HYPERLINK("http://141.218.60.56/~jnz1568/getInfo.php?workbook=10_05.xlsx&amp;sheet=U0&amp;row=6858&amp;col=7&amp;number=0.00518&amp;sourceID=14","0.00518")</f>
        <v>0.00518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HYPERLINK("http://141.218.60.56/~jnz1568/getInfo.php?workbook=10_05.xlsx&amp;sheet=U0&amp;row=6859&amp;col=6&amp;number=4.5&amp;sourceID=14","4.5")</f>
        <v>4.5</v>
      </c>
      <c r="G6859" s="4" t="str">
        <f>HYPERLINK("http://141.218.60.56/~jnz1568/getInfo.php?workbook=10_05.xlsx&amp;sheet=U0&amp;row=6859&amp;col=7&amp;number=0.00479&amp;sourceID=14","0.00479")</f>
        <v>0.00479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HYPERLINK("http://141.218.60.56/~jnz1568/getInfo.php?workbook=10_05.xlsx&amp;sheet=U0&amp;row=6860&amp;col=6&amp;number=4.6&amp;sourceID=14","4.6")</f>
        <v>4.6</v>
      </c>
      <c r="G6860" s="4" t="str">
        <f>HYPERLINK("http://141.218.60.56/~jnz1568/getInfo.php?workbook=10_05.xlsx&amp;sheet=U0&amp;row=6860&amp;col=7&amp;number=0.00439&amp;sourceID=14","0.00439")</f>
        <v>0.00439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HYPERLINK("http://141.218.60.56/~jnz1568/getInfo.php?workbook=10_05.xlsx&amp;sheet=U0&amp;row=6861&amp;col=6&amp;number=4.7&amp;sourceID=14","4.7")</f>
        <v>4.7</v>
      </c>
      <c r="G6861" s="4" t="str">
        <f>HYPERLINK("http://141.218.60.56/~jnz1568/getInfo.php?workbook=10_05.xlsx&amp;sheet=U0&amp;row=6861&amp;col=7&amp;number=0.00398&amp;sourceID=14","0.00398")</f>
        <v>0.00398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HYPERLINK("http://141.218.60.56/~jnz1568/getInfo.php?workbook=10_05.xlsx&amp;sheet=U0&amp;row=6862&amp;col=6&amp;number=4.8&amp;sourceID=14","4.8")</f>
        <v>4.8</v>
      </c>
      <c r="G6862" s="4" t="str">
        <f>HYPERLINK("http://141.218.60.56/~jnz1568/getInfo.php?workbook=10_05.xlsx&amp;sheet=U0&amp;row=6862&amp;col=7&amp;number=0.0036&amp;sourceID=14","0.0036")</f>
        <v>0.0036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HYPERLINK("http://141.218.60.56/~jnz1568/getInfo.php?workbook=10_05.xlsx&amp;sheet=U0&amp;row=6863&amp;col=6&amp;number=4.9&amp;sourceID=14","4.9")</f>
        <v>4.9</v>
      </c>
      <c r="G6863" s="4" t="str">
        <f>HYPERLINK("http://141.218.60.56/~jnz1568/getInfo.php?workbook=10_05.xlsx&amp;sheet=U0&amp;row=6863&amp;col=7&amp;number=0.00328&amp;sourceID=14","0.00328")</f>
        <v>0.00328</v>
      </c>
    </row>
    <row r="6864" spans="1:7">
      <c r="A6864" s="3">
        <v>10</v>
      </c>
      <c r="B6864" s="3">
        <v>5</v>
      </c>
      <c r="C6864" s="3">
        <v>2</v>
      </c>
      <c r="D6864" s="3">
        <v>167</v>
      </c>
      <c r="E6864" s="3">
        <v>1</v>
      </c>
      <c r="F6864" s="4" t="str">
        <f>HYPERLINK("http://141.218.60.56/~jnz1568/getInfo.php?workbook=10_05.xlsx&amp;sheet=U0&amp;row=6864&amp;col=6&amp;number=3&amp;sourceID=14","3")</f>
        <v>3</v>
      </c>
      <c r="G6864" s="4" t="str">
        <f>HYPERLINK("http://141.218.60.56/~jnz1568/getInfo.php?workbook=10_05.xlsx&amp;sheet=U0&amp;row=6864&amp;col=7&amp;number=0.0301&amp;sourceID=14","0.0301")</f>
        <v>0.0301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HYPERLINK("http://141.218.60.56/~jnz1568/getInfo.php?workbook=10_05.xlsx&amp;sheet=U0&amp;row=6865&amp;col=6&amp;number=3.1&amp;sourceID=14","3.1")</f>
        <v>3.1</v>
      </c>
      <c r="G6865" s="4" t="str">
        <f>HYPERLINK("http://141.218.60.56/~jnz1568/getInfo.php?workbook=10_05.xlsx&amp;sheet=U0&amp;row=6865&amp;col=7&amp;number=0.03&amp;sourceID=14","0.03")</f>
        <v>0.03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HYPERLINK("http://141.218.60.56/~jnz1568/getInfo.php?workbook=10_05.xlsx&amp;sheet=U0&amp;row=6866&amp;col=6&amp;number=3.2&amp;sourceID=14","3.2")</f>
        <v>3.2</v>
      </c>
      <c r="G6866" s="4" t="str">
        <f>HYPERLINK("http://141.218.60.56/~jnz1568/getInfo.php?workbook=10_05.xlsx&amp;sheet=U0&amp;row=6866&amp;col=7&amp;number=0.03&amp;sourceID=14","0.03")</f>
        <v>0.03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HYPERLINK("http://141.218.60.56/~jnz1568/getInfo.php?workbook=10_05.xlsx&amp;sheet=U0&amp;row=6867&amp;col=6&amp;number=3.3&amp;sourceID=14","3.3")</f>
        <v>3.3</v>
      </c>
      <c r="G6867" s="4" t="str">
        <f>HYPERLINK("http://141.218.60.56/~jnz1568/getInfo.php?workbook=10_05.xlsx&amp;sheet=U0&amp;row=6867&amp;col=7&amp;number=0.0299&amp;sourceID=14","0.0299")</f>
        <v>0.0299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HYPERLINK("http://141.218.60.56/~jnz1568/getInfo.php?workbook=10_05.xlsx&amp;sheet=U0&amp;row=6868&amp;col=6&amp;number=3.4&amp;sourceID=14","3.4")</f>
        <v>3.4</v>
      </c>
      <c r="G6868" s="4" t="str">
        <f>HYPERLINK("http://141.218.60.56/~jnz1568/getInfo.php?workbook=10_05.xlsx&amp;sheet=U0&amp;row=6868&amp;col=7&amp;number=0.0298&amp;sourceID=14","0.0298")</f>
        <v>0.0298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HYPERLINK("http://141.218.60.56/~jnz1568/getInfo.php?workbook=10_05.xlsx&amp;sheet=U0&amp;row=6869&amp;col=6&amp;number=3.5&amp;sourceID=14","3.5")</f>
        <v>3.5</v>
      </c>
      <c r="G6869" s="4" t="str">
        <f>HYPERLINK("http://141.218.60.56/~jnz1568/getInfo.php?workbook=10_05.xlsx&amp;sheet=U0&amp;row=6869&amp;col=7&amp;number=0.0296&amp;sourceID=14","0.0296")</f>
        <v>0.0296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HYPERLINK("http://141.218.60.56/~jnz1568/getInfo.php?workbook=10_05.xlsx&amp;sheet=U0&amp;row=6870&amp;col=6&amp;number=3.6&amp;sourceID=14","3.6")</f>
        <v>3.6</v>
      </c>
      <c r="G6870" s="4" t="str">
        <f>HYPERLINK("http://141.218.60.56/~jnz1568/getInfo.php?workbook=10_05.xlsx&amp;sheet=U0&amp;row=6870&amp;col=7&amp;number=0.0295&amp;sourceID=14","0.0295")</f>
        <v>0.0295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HYPERLINK("http://141.218.60.56/~jnz1568/getInfo.php?workbook=10_05.xlsx&amp;sheet=U0&amp;row=6871&amp;col=6&amp;number=3.7&amp;sourceID=14","3.7")</f>
        <v>3.7</v>
      </c>
      <c r="G6871" s="4" t="str">
        <f>HYPERLINK("http://141.218.60.56/~jnz1568/getInfo.php?workbook=10_05.xlsx&amp;sheet=U0&amp;row=6871&amp;col=7&amp;number=0.0292&amp;sourceID=14","0.0292")</f>
        <v>0.0292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HYPERLINK("http://141.218.60.56/~jnz1568/getInfo.php?workbook=10_05.xlsx&amp;sheet=U0&amp;row=6872&amp;col=6&amp;number=3.8&amp;sourceID=14","3.8")</f>
        <v>3.8</v>
      </c>
      <c r="G6872" s="4" t="str">
        <f>HYPERLINK("http://141.218.60.56/~jnz1568/getInfo.php?workbook=10_05.xlsx&amp;sheet=U0&amp;row=6872&amp;col=7&amp;number=0.029&amp;sourceID=14","0.029")</f>
        <v>0.029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HYPERLINK("http://141.218.60.56/~jnz1568/getInfo.php?workbook=10_05.xlsx&amp;sheet=U0&amp;row=6873&amp;col=6&amp;number=3.9&amp;sourceID=14","3.9")</f>
        <v>3.9</v>
      </c>
      <c r="G6873" s="4" t="str">
        <f>HYPERLINK("http://141.218.60.56/~jnz1568/getInfo.php?workbook=10_05.xlsx&amp;sheet=U0&amp;row=6873&amp;col=7&amp;number=0.0287&amp;sourceID=14","0.0287")</f>
        <v>0.0287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HYPERLINK("http://141.218.60.56/~jnz1568/getInfo.php?workbook=10_05.xlsx&amp;sheet=U0&amp;row=6874&amp;col=6&amp;number=4&amp;sourceID=14","4")</f>
        <v>4</v>
      </c>
      <c r="G6874" s="4" t="str">
        <f>HYPERLINK("http://141.218.60.56/~jnz1568/getInfo.php?workbook=10_05.xlsx&amp;sheet=U0&amp;row=6874&amp;col=7&amp;number=0.0283&amp;sourceID=14","0.0283")</f>
        <v>0.0283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HYPERLINK("http://141.218.60.56/~jnz1568/getInfo.php?workbook=10_05.xlsx&amp;sheet=U0&amp;row=6875&amp;col=6&amp;number=4.1&amp;sourceID=14","4.1")</f>
        <v>4.1</v>
      </c>
      <c r="G6875" s="4" t="str">
        <f>HYPERLINK("http://141.218.60.56/~jnz1568/getInfo.php?workbook=10_05.xlsx&amp;sheet=U0&amp;row=6875&amp;col=7&amp;number=0.0278&amp;sourceID=14","0.0278")</f>
        <v>0.0278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HYPERLINK("http://141.218.60.56/~jnz1568/getInfo.php?workbook=10_05.xlsx&amp;sheet=U0&amp;row=6876&amp;col=6&amp;number=4.2&amp;sourceID=14","4.2")</f>
        <v>4.2</v>
      </c>
      <c r="G6876" s="4" t="str">
        <f>HYPERLINK("http://141.218.60.56/~jnz1568/getInfo.php?workbook=10_05.xlsx&amp;sheet=U0&amp;row=6876&amp;col=7&amp;number=0.0272&amp;sourceID=14","0.0272")</f>
        <v>0.0272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HYPERLINK("http://141.218.60.56/~jnz1568/getInfo.php?workbook=10_05.xlsx&amp;sheet=U0&amp;row=6877&amp;col=6&amp;number=4.3&amp;sourceID=14","4.3")</f>
        <v>4.3</v>
      </c>
      <c r="G6877" s="4" t="str">
        <f>HYPERLINK("http://141.218.60.56/~jnz1568/getInfo.php?workbook=10_05.xlsx&amp;sheet=U0&amp;row=6877&amp;col=7&amp;number=0.0265&amp;sourceID=14","0.0265")</f>
        <v>0.0265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HYPERLINK("http://141.218.60.56/~jnz1568/getInfo.php?workbook=10_05.xlsx&amp;sheet=U0&amp;row=6878&amp;col=6&amp;number=4.4&amp;sourceID=14","4.4")</f>
        <v>4.4</v>
      </c>
      <c r="G6878" s="4" t="str">
        <f>HYPERLINK("http://141.218.60.56/~jnz1568/getInfo.php?workbook=10_05.xlsx&amp;sheet=U0&amp;row=6878&amp;col=7&amp;number=0.0257&amp;sourceID=14","0.0257")</f>
        <v>0.0257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HYPERLINK("http://141.218.60.56/~jnz1568/getInfo.php?workbook=10_05.xlsx&amp;sheet=U0&amp;row=6879&amp;col=6&amp;number=4.5&amp;sourceID=14","4.5")</f>
        <v>4.5</v>
      </c>
      <c r="G6879" s="4" t="str">
        <f>HYPERLINK("http://141.218.60.56/~jnz1568/getInfo.php?workbook=10_05.xlsx&amp;sheet=U0&amp;row=6879&amp;col=7&amp;number=0.0249&amp;sourceID=14","0.0249")</f>
        <v>0.0249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HYPERLINK("http://141.218.60.56/~jnz1568/getInfo.php?workbook=10_05.xlsx&amp;sheet=U0&amp;row=6880&amp;col=6&amp;number=4.6&amp;sourceID=14","4.6")</f>
        <v>4.6</v>
      </c>
      <c r="G6880" s="4" t="str">
        <f>HYPERLINK("http://141.218.60.56/~jnz1568/getInfo.php?workbook=10_05.xlsx&amp;sheet=U0&amp;row=6880&amp;col=7&amp;number=0.024&amp;sourceID=14","0.024")</f>
        <v>0.024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HYPERLINK("http://141.218.60.56/~jnz1568/getInfo.php?workbook=10_05.xlsx&amp;sheet=U0&amp;row=6881&amp;col=6&amp;number=4.7&amp;sourceID=14","4.7")</f>
        <v>4.7</v>
      </c>
      <c r="G6881" s="4" t="str">
        <f>HYPERLINK("http://141.218.60.56/~jnz1568/getInfo.php?workbook=10_05.xlsx&amp;sheet=U0&amp;row=6881&amp;col=7&amp;number=0.0231&amp;sourceID=14","0.0231")</f>
        <v>0.0231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HYPERLINK("http://141.218.60.56/~jnz1568/getInfo.php?workbook=10_05.xlsx&amp;sheet=U0&amp;row=6882&amp;col=6&amp;number=4.8&amp;sourceID=14","4.8")</f>
        <v>4.8</v>
      </c>
      <c r="G6882" s="4" t="str">
        <f>HYPERLINK("http://141.218.60.56/~jnz1568/getInfo.php?workbook=10_05.xlsx&amp;sheet=U0&amp;row=6882&amp;col=7&amp;number=0.0223&amp;sourceID=14","0.0223")</f>
        <v>0.0223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HYPERLINK("http://141.218.60.56/~jnz1568/getInfo.php?workbook=10_05.xlsx&amp;sheet=U0&amp;row=6883&amp;col=6&amp;number=4.9&amp;sourceID=14","4.9")</f>
        <v>4.9</v>
      </c>
      <c r="G6883" s="4" t="str">
        <f>HYPERLINK("http://141.218.60.56/~jnz1568/getInfo.php?workbook=10_05.xlsx&amp;sheet=U0&amp;row=6883&amp;col=7&amp;number=0.0216&amp;sourceID=14","0.0216")</f>
        <v>0.0216</v>
      </c>
    </row>
    <row r="6884" spans="1:7">
      <c r="A6884" s="3">
        <v>10</v>
      </c>
      <c r="B6884" s="3">
        <v>5</v>
      </c>
      <c r="C6884" s="3">
        <v>2</v>
      </c>
      <c r="D6884" s="3">
        <v>168</v>
      </c>
      <c r="E6884" s="3">
        <v>1</v>
      </c>
      <c r="F6884" s="4" t="str">
        <f>HYPERLINK("http://141.218.60.56/~jnz1568/getInfo.php?workbook=10_05.xlsx&amp;sheet=U0&amp;row=6884&amp;col=6&amp;number=3&amp;sourceID=14","3")</f>
        <v>3</v>
      </c>
      <c r="G6884" s="4" t="str">
        <f>HYPERLINK("http://141.218.60.56/~jnz1568/getInfo.php?workbook=10_05.xlsx&amp;sheet=U0&amp;row=6884&amp;col=7&amp;number=0.012&amp;sourceID=14","0.012")</f>
        <v>0.012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HYPERLINK("http://141.218.60.56/~jnz1568/getInfo.php?workbook=10_05.xlsx&amp;sheet=U0&amp;row=6885&amp;col=6&amp;number=3.1&amp;sourceID=14","3.1")</f>
        <v>3.1</v>
      </c>
      <c r="G6885" s="4" t="str">
        <f>HYPERLINK("http://141.218.60.56/~jnz1568/getInfo.php?workbook=10_05.xlsx&amp;sheet=U0&amp;row=6885&amp;col=7&amp;number=0.012&amp;sourceID=14","0.012")</f>
        <v>0.012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HYPERLINK("http://141.218.60.56/~jnz1568/getInfo.php?workbook=10_05.xlsx&amp;sheet=U0&amp;row=6886&amp;col=6&amp;number=3.2&amp;sourceID=14","3.2")</f>
        <v>3.2</v>
      </c>
      <c r="G6886" s="4" t="str">
        <f>HYPERLINK("http://141.218.60.56/~jnz1568/getInfo.php?workbook=10_05.xlsx&amp;sheet=U0&amp;row=6886&amp;col=7&amp;number=0.012&amp;sourceID=14","0.012")</f>
        <v>0.012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HYPERLINK("http://141.218.60.56/~jnz1568/getInfo.php?workbook=10_05.xlsx&amp;sheet=U0&amp;row=6887&amp;col=6&amp;number=3.3&amp;sourceID=14","3.3")</f>
        <v>3.3</v>
      </c>
      <c r="G6887" s="4" t="str">
        <f>HYPERLINK("http://141.218.60.56/~jnz1568/getInfo.php?workbook=10_05.xlsx&amp;sheet=U0&amp;row=6887&amp;col=7&amp;number=0.0119&amp;sourceID=14","0.0119")</f>
        <v>0.0119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HYPERLINK("http://141.218.60.56/~jnz1568/getInfo.php?workbook=10_05.xlsx&amp;sheet=U0&amp;row=6888&amp;col=6&amp;number=3.4&amp;sourceID=14","3.4")</f>
        <v>3.4</v>
      </c>
      <c r="G6888" s="4" t="str">
        <f>HYPERLINK("http://141.218.60.56/~jnz1568/getInfo.php?workbook=10_05.xlsx&amp;sheet=U0&amp;row=6888&amp;col=7&amp;number=0.0118&amp;sourceID=14","0.0118")</f>
        <v>0.0118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HYPERLINK("http://141.218.60.56/~jnz1568/getInfo.php?workbook=10_05.xlsx&amp;sheet=U0&amp;row=6889&amp;col=6&amp;number=3.5&amp;sourceID=14","3.5")</f>
        <v>3.5</v>
      </c>
      <c r="G6889" s="4" t="str">
        <f>HYPERLINK("http://141.218.60.56/~jnz1568/getInfo.php?workbook=10_05.xlsx&amp;sheet=U0&amp;row=6889&amp;col=7&amp;number=0.0117&amp;sourceID=14","0.0117")</f>
        <v>0.0117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HYPERLINK("http://141.218.60.56/~jnz1568/getInfo.php?workbook=10_05.xlsx&amp;sheet=U0&amp;row=6890&amp;col=6&amp;number=3.6&amp;sourceID=14","3.6")</f>
        <v>3.6</v>
      </c>
      <c r="G6890" s="4" t="str">
        <f>HYPERLINK("http://141.218.60.56/~jnz1568/getInfo.php?workbook=10_05.xlsx&amp;sheet=U0&amp;row=6890&amp;col=7&amp;number=0.0116&amp;sourceID=14","0.0116")</f>
        <v>0.0116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HYPERLINK("http://141.218.60.56/~jnz1568/getInfo.php?workbook=10_05.xlsx&amp;sheet=U0&amp;row=6891&amp;col=6&amp;number=3.7&amp;sourceID=14","3.7")</f>
        <v>3.7</v>
      </c>
      <c r="G6891" s="4" t="str">
        <f>HYPERLINK("http://141.218.60.56/~jnz1568/getInfo.php?workbook=10_05.xlsx&amp;sheet=U0&amp;row=6891&amp;col=7&amp;number=0.0115&amp;sourceID=14","0.0115")</f>
        <v>0.0115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HYPERLINK("http://141.218.60.56/~jnz1568/getInfo.php?workbook=10_05.xlsx&amp;sheet=U0&amp;row=6892&amp;col=6&amp;number=3.8&amp;sourceID=14","3.8")</f>
        <v>3.8</v>
      </c>
      <c r="G6892" s="4" t="str">
        <f>HYPERLINK("http://141.218.60.56/~jnz1568/getInfo.php?workbook=10_05.xlsx&amp;sheet=U0&amp;row=6892&amp;col=7&amp;number=0.0113&amp;sourceID=14","0.0113")</f>
        <v>0.0113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HYPERLINK("http://141.218.60.56/~jnz1568/getInfo.php?workbook=10_05.xlsx&amp;sheet=U0&amp;row=6893&amp;col=6&amp;number=3.9&amp;sourceID=14","3.9")</f>
        <v>3.9</v>
      </c>
      <c r="G6893" s="4" t="str">
        <f>HYPERLINK("http://141.218.60.56/~jnz1568/getInfo.php?workbook=10_05.xlsx&amp;sheet=U0&amp;row=6893&amp;col=7&amp;number=0.0111&amp;sourceID=14","0.0111")</f>
        <v>0.0111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HYPERLINK("http://141.218.60.56/~jnz1568/getInfo.php?workbook=10_05.xlsx&amp;sheet=U0&amp;row=6894&amp;col=6&amp;number=4&amp;sourceID=14","4")</f>
        <v>4</v>
      </c>
      <c r="G6894" s="4" t="str">
        <f>HYPERLINK("http://141.218.60.56/~jnz1568/getInfo.php?workbook=10_05.xlsx&amp;sheet=U0&amp;row=6894&amp;col=7&amp;number=0.0109&amp;sourceID=14","0.0109")</f>
        <v>0.0109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HYPERLINK("http://141.218.60.56/~jnz1568/getInfo.php?workbook=10_05.xlsx&amp;sheet=U0&amp;row=6895&amp;col=6&amp;number=4.1&amp;sourceID=14","4.1")</f>
        <v>4.1</v>
      </c>
      <c r="G6895" s="4" t="str">
        <f>HYPERLINK("http://141.218.60.56/~jnz1568/getInfo.php?workbook=10_05.xlsx&amp;sheet=U0&amp;row=6895&amp;col=7&amp;number=0.0105&amp;sourceID=14","0.0105")</f>
        <v>0.0105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HYPERLINK("http://141.218.60.56/~jnz1568/getInfo.php?workbook=10_05.xlsx&amp;sheet=U0&amp;row=6896&amp;col=6&amp;number=4.2&amp;sourceID=14","4.2")</f>
        <v>4.2</v>
      </c>
      <c r="G6896" s="4" t="str">
        <f>HYPERLINK("http://141.218.60.56/~jnz1568/getInfo.php?workbook=10_05.xlsx&amp;sheet=U0&amp;row=6896&amp;col=7&amp;number=0.0102&amp;sourceID=14","0.0102")</f>
        <v>0.0102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HYPERLINK("http://141.218.60.56/~jnz1568/getInfo.php?workbook=10_05.xlsx&amp;sheet=U0&amp;row=6897&amp;col=6&amp;number=4.3&amp;sourceID=14","4.3")</f>
        <v>4.3</v>
      </c>
      <c r="G6897" s="4" t="str">
        <f>HYPERLINK("http://141.218.60.56/~jnz1568/getInfo.php?workbook=10_05.xlsx&amp;sheet=U0&amp;row=6897&amp;col=7&amp;number=0.00971&amp;sourceID=14","0.00971")</f>
        <v>0.00971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HYPERLINK("http://141.218.60.56/~jnz1568/getInfo.php?workbook=10_05.xlsx&amp;sheet=U0&amp;row=6898&amp;col=6&amp;number=4.4&amp;sourceID=14","4.4")</f>
        <v>4.4</v>
      </c>
      <c r="G6898" s="4" t="str">
        <f>HYPERLINK("http://141.218.60.56/~jnz1568/getInfo.php?workbook=10_05.xlsx&amp;sheet=U0&amp;row=6898&amp;col=7&amp;number=0.0092&amp;sourceID=14","0.0092")</f>
        <v>0.0092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HYPERLINK("http://141.218.60.56/~jnz1568/getInfo.php?workbook=10_05.xlsx&amp;sheet=U0&amp;row=6899&amp;col=6&amp;number=4.5&amp;sourceID=14","4.5")</f>
        <v>4.5</v>
      </c>
      <c r="G6899" s="4" t="str">
        <f>HYPERLINK("http://141.218.60.56/~jnz1568/getInfo.php?workbook=10_05.xlsx&amp;sheet=U0&amp;row=6899&amp;col=7&amp;number=0.00865&amp;sourceID=14","0.00865")</f>
        <v>0.00865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HYPERLINK("http://141.218.60.56/~jnz1568/getInfo.php?workbook=10_05.xlsx&amp;sheet=U0&amp;row=6900&amp;col=6&amp;number=4.6&amp;sourceID=14","4.6")</f>
        <v>4.6</v>
      </c>
      <c r="G6900" s="4" t="str">
        <f>HYPERLINK("http://141.218.60.56/~jnz1568/getInfo.php?workbook=10_05.xlsx&amp;sheet=U0&amp;row=6900&amp;col=7&amp;number=0.0081&amp;sourceID=14","0.0081")</f>
        <v>0.0081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HYPERLINK("http://141.218.60.56/~jnz1568/getInfo.php?workbook=10_05.xlsx&amp;sheet=U0&amp;row=6901&amp;col=6&amp;number=4.7&amp;sourceID=14","4.7")</f>
        <v>4.7</v>
      </c>
      <c r="G6901" s="4" t="str">
        <f>HYPERLINK("http://141.218.60.56/~jnz1568/getInfo.php?workbook=10_05.xlsx&amp;sheet=U0&amp;row=6901&amp;col=7&amp;number=0.00763&amp;sourceID=14","0.00763")</f>
        <v>0.00763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HYPERLINK("http://141.218.60.56/~jnz1568/getInfo.php?workbook=10_05.xlsx&amp;sheet=U0&amp;row=6902&amp;col=6&amp;number=4.8&amp;sourceID=14","4.8")</f>
        <v>4.8</v>
      </c>
      <c r="G6902" s="4" t="str">
        <f>HYPERLINK("http://141.218.60.56/~jnz1568/getInfo.php?workbook=10_05.xlsx&amp;sheet=U0&amp;row=6902&amp;col=7&amp;number=0.00729&amp;sourceID=14","0.00729")</f>
        <v>0.00729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HYPERLINK("http://141.218.60.56/~jnz1568/getInfo.php?workbook=10_05.xlsx&amp;sheet=U0&amp;row=6903&amp;col=6&amp;number=4.9&amp;sourceID=14","4.9")</f>
        <v>4.9</v>
      </c>
      <c r="G6903" s="4" t="str">
        <f>HYPERLINK("http://141.218.60.56/~jnz1568/getInfo.php?workbook=10_05.xlsx&amp;sheet=U0&amp;row=6903&amp;col=7&amp;number=0.00707&amp;sourceID=14","0.00707")</f>
        <v>0.00707</v>
      </c>
    </row>
    <row r="6904" spans="1:7">
      <c r="A6904" s="3">
        <v>10</v>
      </c>
      <c r="B6904" s="3">
        <v>5</v>
      </c>
      <c r="C6904" s="3">
        <v>2</v>
      </c>
      <c r="D6904" s="3">
        <v>169</v>
      </c>
      <c r="E6904" s="3">
        <v>1</v>
      </c>
      <c r="F6904" s="4" t="str">
        <f>HYPERLINK("http://141.218.60.56/~jnz1568/getInfo.php?workbook=10_05.xlsx&amp;sheet=U0&amp;row=6904&amp;col=6&amp;number=3&amp;sourceID=14","3")</f>
        <v>3</v>
      </c>
      <c r="G6904" s="4" t="str">
        <f>HYPERLINK("http://141.218.60.56/~jnz1568/getInfo.php?workbook=10_05.xlsx&amp;sheet=U0&amp;row=6904&amp;col=7&amp;number=0.00628&amp;sourceID=14","0.00628")</f>
        <v>0.00628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HYPERLINK("http://141.218.60.56/~jnz1568/getInfo.php?workbook=10_05.xlsx&amp;sheet=U0&amp;row=6905&amp;col=6&amp;number=3.1&amp;sourceID=14","3.1")</f>
        <v>3.1</v>
      </c>
      <c r="G6905" s="4" t="str">
        <f>HYPERLINK("http://141.218.60.56/~jnz1568/getInfo.php?workbook=10_05.xlsx&amp;sheet=U0&amp;row=6905&amp;col=7&amp;number=0.00626&amp;sourceID=14","0.00626")</f>
        <v>0.00626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HYPERLINK("http://141.218.60.56/~jnz1568/getInfo.php?workbook=10_05.xlsx&amp;sheet=U0&amp;row=6906&amp;col=6&amp;number=3.2&amp;sourceID=14","3.2")</f>
        <v>3.2</v>
      </c>
      <c r="G6906" s="4" t="str">
        <f>HYPERLINK("http://141.218.60.56/~jnz1568/getInfo.php?workbook=10_05.xlsx&amp;sheet=U0&amp;row=6906&amp;col=7&amp;number=0.00623&amp;sourceID=14","0.00623")</f>
        <v>0.00623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HYPERLINK("http://141.218.60.56/~jnz1568/getInfo.php?workbook=10_05.xlsx&amp;sheet=U0&amp;row=6907&amp;col=6&amp;number=3.3&amp;sourceID=14","3.3")</f>
        <v>3.3</v>
      </c>
      <c r="G6907" s="4" t="str">
        <f>HYPERLINK("http://141.218.60.56/~jnz1568/getInfo.php?workbook=10_05.xlsx&amp;sheet=U0&amp;row=6907&amp;col=7&amp;number=0.0062&amp;sourceID=14","0.0062")</f>
        <v>0.0062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HYPERLINK("http://141.218.60.56/~jnz1568/getInfo.php?workbook=10_05.xlsx&amp;sheet=U0&amp;row=6908&amp;col=6&amp;number=3.4&amp;sourceID=14","3.4")</f>
        <v>3.4</v>
      </c>
      <c r="G6908" s="4" t="str">
        <f>HYPERLINK("http://141.218.60.56/~jnz1568/getInfo.php?workbook=10_05.xlsx&amp;sheet=U0&amp;row=6908&amp;col=7&amp;number=0.00615&amp;sourceID=14","0.00615")</f>
        <v>0.00615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HYPERLINK("http://141.218.60.56/~jnz1568/getInfo.php?workbook=10_05.xlsx&amp;sheet=U0&amp;row=6909&amp;col=6&amp;number=3.5&amp;sourceID=14","3.5")</f>
        <v>3.5</v>
      </c>
      <c r="G6909" s="4" t="str">
        <f>HYPERLINK("http://141.218.60.56/~jnz1568/getInfo.php?workbook=10_05.xlsx&amp;sheet=U0&amp;row=6909&amp;col=7&amp;number=0.0061&amp;sourceID=14","0.0061")</f>
        <v>0.0061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HYPERLINK("http://141.218.60.56/~jnz1568/getInfo.php?workbook=10_05.xlsx&amp;sheet=U0&amp;row=6910&amp;col=6&amp;number=3.6&amp;sourceID=14","3.6")</f>
        <v>3.6</v>
      </c>
      <c r="G6910" s="4" t="str">
        <f>HYPERLINK("http://141.218.60.56/~jnz1568/getInfo.php?workbook=10_05.xlsx&amp;sheet=U0&amp;row=6910&amp;col=7&amp;number=0.00603&amp;sourceID=14","0.00603")</f>
        <v>0.00603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HYPERLINK("http://141.218.60.56/~jnz1568/getInfo.php?workbook=10_05.xlsx&amp;sheet=U0&amp;row=6911&amp;col=6&amp;number=3.7&amp;sourceID=14","3.7")</f>
        <v>3.7</v>
      </c>
      <c r="G6911" s="4" t="str">
        <f>HYPERLINK("http://141.218.60.56/~jnz1568/getInfo.php?workbook=10_05.xlsx&amp;sheet=U0&amp;row=6911&amp;col=7&amp;number=0.00594&amp;sourceID=14","0.00594")</f>
        <v>0.00594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HYPERLINK("http://141.218.60.56/~jnz1568/getInfo.php?workbook=10_05.xlsx&amp;sheet=U0&amp;row=6912&amp;col=6&amp;number=3.8&amp;sourceID=14","3.8")</f>
        <v>3.8</v>
      </c>
      <c r="G6912" s="4" t="str">
        <f>HYPERLINK("http://141.218.60.56/~jnz1568/getInfo.php?workbook=10_05.xlsx&amp;sheet=U0&amp;row=6912&amp;col=7&amp;number=0.00584&amp;sourceID=14","0.00584")</f>
        <v>0.00584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HYPERLINK("http://141.218.60.56/~jnz1568/getInfo.php?workbook=10_05.xlsx&amp;sheet=U0&amp;row=6913&amp;col=6&amp;number=3.9&amp;sourceID=14","3.9")</f>
        <v>3.9</v>
      </c>
      <c r="G6913" s="4" t="str">
        <f>HYPERLINK("http://141.218.60.56/~jnz1568/getInfo.php?workbook=10_05.xlsx&amp;sheet=U0&amp;row=6913&amp;col=7&amp;number=0.00571&amp;sourceID=14","0.00571")</f>
        <v>0.00571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HYPERLINK("http://141.218.60.56/~jnz1568/getInfo.php?workbook=10_05.xlsx&amp;sheet=U0&amp;row=6914&amp;col=6&amp;number=4&amp;sourceID=14","4")</f>
        <v>4</v>
      </c>
      <c r="G6914" s="4" t="str">
        <f>HYPERLINK("http://141.218.60.56/~jnz1568/getInfo.php?workbook=10_05.xlsx&amp;sheet=U0&amp;row=6914&amp;col=7&amp;number=0.00555&amp;sourceID=14","0.00555")</f>
        <v>0.00555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HYPERLINK("http://141.218.60.56/~jnz1568/getInfo.php?workbook=10_05.xlsx&amp;sheet=U0&amp;row=6915&amp;col=6&amp;number=4.1&amp;sourceID=14","4.1")</f>
        <v>4.1</v>
      </c>
      <c r="G6915" s="4" t="str">
        <f>HYPERLINK("http://141.218.60.56/~jnz1568/getInfo.php?workbook=10_05.xlsx&amp;sheet=U0&amp;row=6915&amp;col=7&amp;number=0.00536&amp;sourceID=14","0.00536")</f>
        <v>0.00536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HYPERLINK("http://141.218.60.56/~jnz1568/getInfo.php?workbook=10_05.xlsx&amp;sheet=U0&amp;row=6916&amp;col=6&amp;number=4.2&amp;sourceID=14","4.2")</f>
        <v>4.2</v>
      </c>
      <c r="G6916" s="4" t="str">
        <f>HYPERLINK("http://141.218.60.56/~jnz1568/getInfo.php?workbook=10_05.xlsx&amp;sheet=U0&amp;row=6916&amp;col=7&amp;number=0.00514&amp;sourceID=14","0.00514")</f>
        <v>0.00514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HYPERLINK("http://141.218.60.56/~jnz1568/getInfo.php?workbook=10_05.xlsx&amp;sheet=U0&amp;row=6917&amp;col=6&amp;number=4.3&amp;sourceID=14","4.3")</f>
        <v>4.3</v>
      </c>
      <c r="G6917" s="4" t="str">
        <f>HYPERLINK("http://141.218.60.56/~jnz1568/getInfo.php?workbook=10_05.xlsx&amp;sheet=U0&amp;row=6917&amp;col=7&amp;number=0.00489&amp;sourceID=14","0.00489")</f>
        <v>0.00489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HYPERLINK("http://141.218.60.56/~jnz1568/getInfo.php?workbook=10_05.xlsx&amp;sheet=U0&amp;row=6918&amp;col=6&amp;number=4.4&amp;sourceID=14","4.4")</f>
        <v>4.4</v>
      </c>
      <c r="G6918" s="4" t="str">
        <f>HYPERLINK("http://141.218.60.56/~jnz1568/getInfo.php?workbook=10_05.xlsx&amp;sheet=U0&amp;row=6918&amp;col=7&amp;number=0.00461&amp;sourceID=14","0.00461")</f>
        <v>0.00461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HYPERLINK("http://141.218.60.56/~jnz1568/getInfo.php?workbook=10_05.xlsx&amp;sheet=U0&amp;row=6919&amp;col=6&amp;number=4.5&amp;sourceID=14","4.5")</f>
        <v>4.5</v>
      </c>
      <c r="G6919" s="4" t="str">
        <f>HYPERLINK("http://141.218.60.56/~jnz1568/getInfo.php?workbook=10_05.xlsx&amp;sheet=U0&amp;row=6919&amp;col=7&amp;number=0.00432&amp;sourceID=14","0.00432")</f>
        <v>0.00432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HYPERLINK("http://141.218.60.56/~jnz1568/getInfo.php?workbook=10_05.xlsx&amp;sheet=U0&amp;row=6920&amp;col=6&amp;number=4.6&amp;sourceID=14","4.6")</f>
        <v>4.6</v>
      </c>
      <c r="G6920" s="4" t="str">
        <f>HYPERLINK("http://141.218.60.56/~jnz1568/getInfo.php?workbook=10_05.xlsx&amp;sheet=U0&amp;row=6920&amp;col=7&amp;number=0.00404&amp;sourceID=14","0.00404")</f>
        <v>0.00404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HYPERLINK("http://141.218.60.56/~jnz1568/getInfo.php?workbook=10_05.xlsx&amp;sheet=U0&amp;row=6921&amp;col=6&amp;number=4.7&amp;sourceID=14","4.7")</f>
        <v>4.7</v>
      </c>
      <c r="G6921" s="4" t="str">
        <f>HYPERLINK("http://141.218.60.56/~jnz1568/getInfo.php?workbook=10_05.xlsx&amp;sheet=U0&amp;row=6921&amp;col=7&amp;number=0.00378&amp;sourceID=14","0.00378")</f>
        <v>0.00378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HYPERLINK("http://141.218.60.56/~jnz1568/getInfo.php?workbook=10_05.xlsx&amp;sheet=U0&amp;row=6922&amp;col=6&amp;number=4.8&amp;sourceID=14","4.8")</f>
        <v>4.8</v>
      </c>
      <c r="G6922" s="4" t="str">
        <f>HYPERLINK("http://141.218.60.56/~jnz1568/getInfo.php?workbook=10_05.xlsx&amp;sheet=U0&amp;row=6922&amp;col=7&amp;number=0.00355&amp;sourceID=14","0.00355")</f>
        <v>0.00355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HYPERLINK("http://141.218.60.56/~jnz1568/getInfo.php?workbook=10_05.xlsx&amp;sheet=U0&amp;row=6923&amp;col=6&amp;number=4.9&amp;sourceID=14","4.9")</f>
        <v>4.9</v>
      </c>
      <c r="G6923" s="4" t="str">
        <f>HYPERLINK("http://141.218.60.56/~jnz1568/getInfo.php?workbook=10_05.xlsx&amp;sheet=U0&amp;row=6923&amp;col=7&amp;number=0.00334&amp;sourceID=14","0.00334")</f>
        <v>0.00334</v>
      </c>
    </row>
    <row r="6924" spans="1:7">
      <c r="A6924" s="3">
        <v>10</v>
      </c>
      <c r="B6924" s="3">
        <v>5</v>
      </c>
      <c r="C6924" s="3">
        <v>2</v>
      </c>
      <c r="D6924" s="3">
        <v>170</v>
      </c>
      <c r="E6924" s="3">
        <v>1</v>
      </c>
      <c r="F6924" s="4" t="str">
        <f>HYPERLINK("http://141.218.60.56/~jnz1568/getInfo.php?workbook=10_05.xlsx&amp;sheet=U0&amp;row=6924&amp;col=6&amp;number=3&amp;sourceID=14","3")</f>
        <v>3</v>
      </c>
      <c r="G6924" s="4" t="str">
        <f>HYPERLINK("http://141.218.60.56/~jnz1568/getInfo.php?workbook=10_05.xlsx&amp;sheet=U0&amp;row=6924&amp;col=7&amp;number=0.00466&amp;sourceID=14","0.00466")</f>
        <v>0.00466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HYPERLINK("http://141.218.60.56/~jnz1568/getInfo.php?workbook=10_05.xlsx&amp;sheet=U0&amp;row=6925&amp;col=6&amp;number=3.1&amp;sourceID=14","3.1")</f>
        <v>3.1</v>
      </c>
      <c r="G6925" s="4" t="str">
        <f>HYPERLINK("http://141.218.60.56/~jnz1568/getInfo.php?workbook=10_05.xlsx&amp;sheet=U0&amp;row=6925&amp;col=7&amp;number=0.00465&amp;sourceID=14","0.00465")</f>
        <v>0.00465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HYPERLINK("http://141.218.60.56/~jnz1568/getInfo.php?workbook=10_05.xlsx&amp;sheet=U0&amp;row=6926&amp;col=6&amp;number=3.2&amp;sourceID=14","3.2")</f>
        <v>3.2</v>
      </c>
      <c r="G6926" s="4" t="str">
        <f>HYPERLINK("http://141.218.60.56/~jnz1568/getInfo.php?workbook=10_05.xlsx&amp;sheet=U0&amp;row=6926&amp;col=7&amp;number=0.00463&amp;sourceID=14","0.00463")</f>
        <v>0.00463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HYPERLINK("http://141.218.60.56/~jnz1568/getInfo.php?workbook=10_05.xlsx&amp;sheet=U0&amp;row=6927&amp;col=6&amp;number=3.3&amp;sourceID=14","3.3")</f>
        <v>3.3</v>
      </c>
      <c r="G6927" s="4" t="str">
        <f>HYPERLINK("http://141.218.60.56/~jnz1568/getInfo.php?workbook=10_05.xlsx&amp;sheet=U0&amp;row=6927&amp;col=7&amp;number=0.00462&amp;sourceID=14","0.00462")</f>
        <v>0.00462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HYPERLINK("http://141.218.60.56/~jnz1568/getInfo.php?workbook=10_05.xlsx&amp;sheet=U0&amp;row=6928&amp;col=6&amp;number=3.4&amp;sourceID=14","3.4")</f>
        <v>3.4</v>
      </c>
      <c r="G6928" s="4" t="str">
        <f>HYPERLINK("http://141.218.60.56/~jnz1568/getInfo.php?workbook=10_05.xlsx&amp;sheet=U0&amp;row=6928&amp;col=7&amp;number=0.00459&amp;sourceID=14","0.00459")</f>
        <v>0.00459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HYPERLINK("http://141.218.60.56/~jnz1568/getInfo.php?workbook=10_05.xlsx&amp;sheet=U0&amp;row=6929&amp;col=6&amp;number=3.5&amp;sourceID=14","3.5")</f>
        <v>3.5</v>
      </c>
      <c r="G6929" s="4" t="str">
        <f>HYPERLINK("http://141.218.60.56/~jnz1568/getInfo.php?workbook=10_05.xlsx&amp;sheet=U0&amp;row=6929&amp;col=7&amp;number=0.00456&amp;sourceID=14","0.00456")</f>
        <v>0.00456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HYPERLINK("http://141.218.60.56/~jnz1568/getInfo.php?workbook=10_05.xlsx&amp;sheet=U0&amp;row=6930&amp;col=6&amp;number=3.6&amp;sourceID=14","3.6")</f>
        <v>3.6</v>
      </c>
      <c r="G6930" s="4" t="str">
        <f>HYPERLINK("http://141.218.60.56/~jnz1568/getInfo.php?workbook=10_05.xlsx&amp;sheet=U0&amp;row=6930&amp;col=7&amp;number=0.00453&amp;sourceID=14","0.00453")</f>
        <v>0.00453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HYPERLINK("http://141.218.60.56/~jnz1568/getInfo.php?workbook=10_05.xlsx&amp;sheet=U0&amp;row=6931&amp;col=6&amp;number=3.7&amp;sourceID=14","3.7")</f>
        <v>3.7</v>
      </c>
      <c r="G6931" s="4" t="str">
        <f>HYPERLINK("http://141.218.60.56/~jnz1568/getInfo.php?workbook=10_05.xlsx&amp;sheet=U0&amp;row=6931&amp;col=7&amp;number=0.00448&amp;sourceID=14","0.00448")</f>
        <v>0.00448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HYPERLINK("http://141.218.60.56/~jnz1568/getInfo.php?workbook=10_05.xlsx&amp;sheet=U0&amp;row=6932&amp;col=6&amp;number=3.8&amp;sourceID=14","3.8")</f>
        <v>3.8</v>
      </c>
      <c r="G6932" s="4" t="str">
        <f>HYPERLINK("http://141.218.60.56/~jnz1568/getInfo.php?workbook=10_05.xlsx&amp;sheet=U0&amp;row=6932&amp;col=7&amp;number=0.00443&amp;sourceID=14","0.00443")</f>
        <v>0.00443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HYPERLINK("http://141.218.60.56/~jnz1568/getInfo.php?workbook=10_05.xlsx&amp;sheet=U0&amp;row=6933&amp;col=6&amp;number=3.9&amp;sourceID=14","3.9")</f>
        <v>3.9</v>
      </c>
      <c r="G6933" s="4" t="str">
        <f>HYPERLINK("http://141.218.60.56/~jnz1568/getInfo.php?workbook=10_05.xlsx&amp;sheet=U0&amp;row=6933&amp;col=7&amp;number=0.00436&amp;sourceID=14","0.00436")</f>
        <v>0.00436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HYPERLINK("http://141.218.60.56/~jnz1568/getInfo.php?workbook=10_05.xlsx&amp;sheet=U0&amp;row=6934&amp;col=6&amp;number=4&amp;sourceID=14","4")</f>
        <v>4</v>
      </c>
      <c r="G6934" s="4" t="str">
        <f>HYPERLINK("http://141.218.60.56/~jnz1568/getInfo.php?workbook=10_05.xlsx&amp;sheet=U0&amp;row=6934&amp;col=7&amp;number=0.00427&amp;sourceID=14","0.00427")</f>
        <v>0.00427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HYPERLINK("http://141.218.60.56/~jnz1568/getInfo.php?workbook=10_05.xlsx&amp;sheet=U0&amp;row=6935&amp;col=6&amp;number=4.1&amp;sourceID=14","4.1")</f>
        <v>4.1</v>
      </c>
      <c r="G6935" s="4" t="str">
        <f>HYPERLINK("http://141.218.60.56/~jnz1568/getInfo.php?workbook=10_05.xlsx&amp;sheet=U0&amp;row=6935&amp;col=7&amp;number=0.00417&amp;sourceID=14","0.00417")</f>
        <v>0.00417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HYPERLINK("http://141.218.60.56/~jnz1568/getInfo.php?workbook=10_05.xlsx&amp;sheet=U0&amp;row=6936&amp;col=6&amp;number=4.2&amp;sourceID=14","4.2")</f>
        <v>4.2</v>
      </c>
      <c r="G6936" s="4" t="str">
        <f>HYPERLINK("http://141.218.60.56/~jnz1568/getInfo.php?workbook=10_05.xlsx&amp;sheet=U0&amp;row=6936&amp;col=7&amp;number=0.00404&amp;sourceID=14","0.00404")</f>
        <v>0.00404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HYPERLINK("http://141.218.60.56/~jnz1568/getInfo.php?workbook=10_05.xlsx&amp;sheet=U0&amp;row=6937&amp;col=6&amp;number=4.3&amp;sourceID=14","4.3")</f>
        <v>4.3</v>
      </c>
      <c r="G6937" s="4" t="str">
        <f>HYPERLINK("http://141.218.60.56/~jnz1568/getInfo.php?workbook=10_05.xlsx&amp;sheet=U0&amp;row=6937&amp;col=7&amp;number=0.00389&amp;sourceID=14","0.00389")</f>
        <v>0.00389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HYPERLINK("http://141.218.60.56/~jnz1568/getInfo.php?workbook=10_05.xlsx&amp;sheet=U0&amp;row=6938&amp;col=6&amp;number=4.4&amp;sourceID=14","4.4")</f>
        <v>4.4</v>
      </c>
      <c r="G6938" s="4" t="str">
        <f>HYPERLINK("http://141.218.60.56/~jnz1568/getInfo.php?workbook=10_05.xlsx&amp;sheet=U0&amp;row=6938&amp;col=7&amp;number=0.00372&amp;sourceID=14","0.00372")</f>
        <v>0.00372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HYPERLINK("http://141.218.60.56/~jnz1568/getInfo.php?workbook=10_05.xlsx&amp;sheet=U0&amp;row=6939&amp;col=6&amp;number=4.5&amp;sourceID=14","4.5")</f>
        <v>4.5</v>
      </c>
      <c r="G6939" s="4" t="str">
        <f>HYPERLINK("http://141.218.60.56/~jnz1568/getInfo.php?workbook=10_05.xlsx&amp;sheet=U0&amp;row=6939&amp;col=7&amp;number=0.00354&amp;sourceID=14","0.00354")</f>
        <v>0.00354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HYPERLINK("http://141.218.60.56/~jnz1568/getInfo.php?workbook=10_05.xlsx&amp;sheet=U0&amp;row=6940&amp;col=6&amp;number=4.6&amp;sourceID=14","4.6")</f>
        <v>4.6</v>
      </c>
      <c r="G6940" s="4" t="str">
        <f>HYPERLINK("http://141.218.60.56/~jnz1568/getInfo.php?workbook=10_05.xlsx&amp;sheet=U0&amp;row=6940&amp;col=7&amp;number=0.00335&amp;sourceID=14","0.00335")</f>
        <v>0.00335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HYPERLINK("http://141.218.60.56/~jnz1568/getInfo.php?workbook=10_05.xlsx&amp;sheet=U0&amp;row=6941&amp;col=6&amp;number=4.7&amp;sourceID=14","4.7")</f>
        <v>4.7</v>
      </c>
      <c r="G6941" s="4" t="str">
        <f>HYPERLINK("http://141.218.60.56/~jnz1568/getInfo.php?workbook=10_05.xlsx&amp;sheet=U0&amp;row=6941&amp;col=7&amp;number=0.00319&amp;sourceID=14","0.00319")</f>
        <v>0.00319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HYPERLINK("http://141.218.60.56/~jnz1568/getInfo.php?workbook=10_05.xlsx&amp;sheet=U0&amp;row=6942&amp;col=6&amp;number=4.8&amp;sourceID=14","4.8")</f>
        <v>4.8</v>
      </c>
      <c r="G6942" s="4" t="str">
        <f>HYPERLINK("http://141.218.60.56/~jnz1568/getInfo.php?workbook=10_05.xlsx&amp;sheet=U0&amp;row=6942&amp;col=7&amp;number=0.00307&amp;sourceID=14","0.00307")</f>
        <v>0.00307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HYPERLINK("http://141.218.60.56/~jnz1568/getInfo.php?workbook=10_05.xlsx&amp;sheet=U0&amp;row=6943&amp;col=6&amp;number=4.9&amp;sourceID=14","4.9")</f>
        <v>4.9</v>
      </c>
      <c r="G6943" s="4" t="str">
        <f>HYPERLINK("http://141.218.60.56/~jnz1568/getInfo.php?workbook=10_05.xlsx&amp;sheet=U0&amp;row=6943&amp;col=7&amp;number=0.00299&amp;sourceID=14","0.00299")</f>
        <v>0.00299</v>
      </c>
    </row>
    <row r="6944" spans="1:7">
      <c r="A6944" s="3">
        <v>10</v>
      </c>
      <c r="B6944" s="3">
        <v>5</v>
      </c>
      <c r="C6944" s="3">
        <v>2</v>
      </c>
      <c r="D6944" s="3">
        <v>171</v>
      </c>
      <c r="E6944" s="3">
        <v>1</v>
      </c>
      <c r="F6944" s="4" t="str">
        <f>HYPERLINK("http://141.218.60.56/~jnz1568/getInfo.php?workbook=10_05.xlsx&amp;sheet=U0&amp;row=6944&amp;col=6&amp;number=3&amp;sourceID=14","3")</f>
        <v>3</v>
      </c>
      <c r="G6944" s="4" t="str">
        <f>HYPERLINK("http://141.218.60.56/~jnz1568/getInfo.php?workbook=10_05.xlsx&amp;sheet=U0&amp;row=6944&amp;col=7&amp;number=0.0117&amp;sourceID=14","0.0117")</f>
        <v>0.0117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HYPERLINK("http://141.218.60.56/~jnz1568/getInfo.php?workbook=10_05.xlsx&amp;sheet=U0&amp;row=6945&amp;col=6&amp;number=3.1&amp;sourceID=14","3.1")</f>
        <v>3.1</v>
      </c>
      <c r="G6945" s="4" t="str">
        <f>HYPERLINK("http://141.218.60.56/~jnz1568/getInfo.php?workbook=10_05.xlsx&amp;sheet=U0&amp;row=6945&amp;col=7&amp;number=0.0117&amp;sourceID=14","0.0117")</f>
        <v>0.0117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HYPERLINK("http://141.218.60.56/~jnz1568/getInfo.php?workbook=10_05.xlsx&amp;sheet=U0&amp;row=6946&amp;col=6&amp;number=3.2&amp;sourceID=14","3.2")</f>
        <v>3.2</v>
      </c>
      <c r="G6946" s="4" t="str">
        <f>HYPERLINK("http://141.218.60.56/~jnz1568/getInfo.php?workbook=10_05.xlsx&amp;sheet=U0&amp;row=6946&amp;col=7&amp;number=0.0116&amp;sourceID=14","0.0116")</f>
        <v>0.0116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HYPERLINK("http://141.218.60.56/~jnz1568/getInfo.php?workbook=10_05.xlsx&amp;sheet=U0&amp;row=6947&amp;col=6&amp;number=3.3&amp;sourceID=14","3.3")</f>
        <v>3.3</v>
      </c>
      <c r="G6947" s="4" t="str">
        <f>HYPERLINK("http://141.218.60.56/~jnz1568/getInfo.php?workbook=10_05.xlsx&amp;sheet=U0&amp;row=6947&amp;col=7&amp;number=0.0116&amp;sourceID=14","0.0116")</f>
        <v>0.0116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HYPERLINK("http://141.218.60.56/~jnz1568/getInfo.php?workbook=10_05.xlsx&amp;sheet=U0&amp;row=6948&amp;col=6&amp;number=3.4&amp;sourceID=14","3.4")</f>
        <v>3.4</v>
      </c>
      <c r="G6948" s="4" t="str">
        <f>HYPERLINK("http://141.218.60.56/~jnz1568/getInfo.php?workbook=10_05.xlsx&amp;sheet=U0&amp;row=6948&amp;col=7&amp;number=0.0115&amp;sourceID=14","0.0115")</f>
        <v>0.0115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HYPERLINK("http://141.218.60.56/~jnz1568/getInfo.php?workbook=10_05.xlsx&amp;sheet=U0&amp;row=6949&amp;col=6&amp;number=3.5&amp;sourceID=14","3.5")</f>
        <v>3.5</v>
      </c>
      <c r="G6949" s="4" t="str">
        <f>HYPERLINK("http://141.218.60.56/~jnz1568/getInfo.php?workbook=10_05.xlsx&amp;sheet=U0&amp;row=6949&amp;col=7&amp;number=0.0115&amp;sourceID=14","0.0115")</f>
        <v>0.0115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HYPERLINK("http://141.218.60.56/~jnz1568/getInfo.php?workbook=10_05.xlsx&amp;sheet=U0&amp;row=6950&amp;col=6&amp;number=3.6&amp;sourceID=14","3.6")</f>
        <v>3.6</v>
      </c>
      <c r="G6950" s="4" t="str">
        <f>HYPERLINK("http://141.218.60.56/~jnz1568/getInfo.php?workbook=10_05.xlsx&amp;sheet=U0&amp;row=6950&amp;col=7&amp;number=0.0114&amp;sourceID=14","0.0114")</f>
        <v>0.0114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HYPERLINK("http://141.218.60.56/~jnz1568/getInfo.php?workbook=10_05.xlsx&amp;sheet=U0&amp;row=6951&amp;col=6&amp;number=3.7&amp;sourceID=14","3.7")</f>
        <v>3.7</v>
      </c>
      <c r="G6951" s="4" t="str">
        <f>HYPERLINK("http://141.218.60.56/~jnz1568/getInfo.php?workbook=10_05.xlsx&amp;sheet=U0&amp;row=6951&amp;col=7&amp;number=0.0113&amp;sourceID=14","0.0113")</f>
        <v>0.0113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HYPERLINK("http://141.218.60.56/~jnz1568/getInfo.php?workbook=10_05.xlsx&amp;sheet=U0&amp;row=6952&amp;col=6&amp;number=3.8&amp;sourceID=14","3.8")</f>
        <v>3.8</v>
      </c>
      <c r="G6952" s="4" t="str">
        <f>HYPERLINK("http://141.218.60.56/~jnz1568/getInfo.php?workbook=10_05.xlsx&amp;sheet=U0&amp;row=6952&amp;col=7&amp;number=0.0111&amp;sourceID=14","0.0111")</f>
        <v>0.0111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HYPERLINK("http://141.218.60.56/~jnz1568/getInfo.php?workbook=10_05.xlsx&amp;sheet=U0&amp;row=6953&amp;col=6&amp;number=3.9&amp;sourceID=14","3.9")</f>
        <v>3.9</v>
      </c>
      <c r="G6953" s="4" t="str">
        <f>HYPERLINK("http://141.218.60.56/~jnz1568/getInfo.php?workbook=10_05.xlsx&amp;sheet=U0&amp;row=6953&amp;col=7&amp;number=0.011&amp;sourceID=14","0.011")</f>
        <v>0.011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HYPERLINK("http://141.218.60.56/~jnz1568/getInfo.php?workbook=10_05.xlsx&amp;sheet=U0&amp;row=6954&amp;col=6&amp;number=4&amp;sourceID=14","4")</f>
        <v>4</v>
      </c>
      <c r="G6954" s="4" t="str">
        <f>HYPERLINK("http://141.218.60.56/~jnz1568/getInfo.php?workbook=10_05.xlsx&amp;sheet=U0&amp;row=6954&amp;col=7&amp;number=0.0107&amp;sourceID=14","0.0107")</f>
        <v>0.0107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HYPERLINK("http://141.218.60.56/~jnz1568/getInfo.php?workbook=10_05.xlsx&amp;sheet=U0&amp;row=6955&amp;col=6&amp;number=4.1&amp;sourceID=14","4.1")</f>
        <v>4.1</v>
      </c>
      <c r="G6955" s="4" t="str">
        <f>HYPERLINK("http://141.218.60.56/~jnz1568/getInfo.php?workbook=10_05.xlsx&amp;sheet=U0&amp;row=6955&amp;col=7&amp;number=0.0105&amp;sourceID=14","0.0105")</f>
        <v>0.0105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HYPERLINK("http://141.218.60.56/~jnz1568/getInfo.php?workbook=10_05.xlsx&amp;sheet=U0&amp;row=6956&amp;col=6&amp;number=4.2&amp;sourceID=14","4.2")</f>
        <v>4.2</v>
      </c>
      <c r="G6956" s="4" t="str">
        <f>HYPERLINK("http://141.218.60.56/~jnz1568/getInfo.php?workbook=10_05.xlsx&amp;sheet=U0&amp;row=6956&amp;col=7&amp;number=0.0102&amp;sourceID=14","0.0102")</f>
        <v>0.0102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HYPERLINK("http://141.218.60.56/~jnz1568/getInfo.php?workbook=10_05.xlsx&amp;sheet=U0&amp;row=6957&amp;col=6&amp;number=4.3&amp;sourceID=14","4.3")</f>
        <v>4.3</v>
      </c>
      <c r="G6957" s="4" t="str">
        <f>HYPERLINK("http://141.218.60.56/~jnz1568/getInfo.php?workbook=10_05.xlsx&amp;sheet=U0&amp;row=6957&amp;col=7&amp;number=0.00981&amp;sourceID=14","0.00981")</f>
        <v>0.00981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HYPERLINK("http://141.218.60.56/~jnz1568/getInfo.php?workbook=10_05.xlsx&amp;sheet=U0&amp;row=6958&amp;col=6&amp;number=4.4&amp;sourceID=14","4.4")</f>
        <v>4.4</v>
      </c>
      <c r="G6958" s="4" t="str">
        <f>HYPERLINK("http://141.218.60.56/~jnz1568/getInfo.php?workbook=10_05.xlsx&amp;sheet=U0&amp;row=6958&amp;col=7&amp;number=0.00939&amp;sourceID=14","0.00939")</f>
        <v>0.00939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HYPERLINK("http://141.218.60.56/~jnz1568/getInfo.php?workbook=10_05.xlsx&amp;sheet=U0&amp;row=6959&amp;col=6&amp;number=4.5&amp;sourceID=14","4.5")</f>
        <v>4.5</v>
      </c>
      <c r="G6959" s="4" t="str">
        <f>HYPERLINK("http://141.218.60.56/~jnz1568/getInfo.php?workbook=10_05.xlsx&amp;sheet=U0&amp;row=6959&amp;col=7&amp;number=0.00894&amp;sourceID=14","0.00894")</f>
        <v>0.00894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HYPERLINK("http://141.218.60.56/~jnz1568/getInfo.php?workbook=10_05.xlsx&amp;sheet=U0&amp;row=6960&amp;col=6&amp;number=4.6&amp;sourceID=14","4.6")</f>
        <v>4.6</v>
      </c>
      <c r="G6960" s="4" t="str">
        <f>HYPERLINK("http://141.218.60.56/~jnz1568/getInfo.php?workbook=10_05.xlsx&amp;sheet=U0&amp;row=6960&amp;col=7&amp;number=0.00849&amp;sourceID=14","0.00849")</f>
        <v>0.00849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HYPERLINK("http://141.218.60.56/~jnz1568/getInfo.php?workbook=10_05.xlsx&amp;sheet=U0&amp;row=6961&amp;col=6&amp;number=4.7&amp;sourceID=14","4.7")</f>
        <v>4.7</v>
      </c>
      <c r="G6961" s="4" t="str">
        <f>HYPERLINK("http://141.218.60.56/~jnz1568/getInfo.php?workbook=10_05.xlsx&amp;sheet=U0&amp;row=6961&amp;col=7&amp;number=0.0081&amp;sourceID=14","0.0081")</f>
        <v>0.0081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HYPERLINK("http://141.218.60.56/~jnz1568/getInfo.php?workbook=10_05.xlsx&amp;sheet=U0&amp;row=6962&amp;col=6&amp;number=4.8&amp;sourceID=14","4.8")</f>
        <v>4.8</v>
      </c>
      <c r="G6962" s="4" t="str">
        <f>HYPERLINK("http://141.218.60.56/~jnz1568/getInfo.php?workbook=10_05.xlsx&amp;sheet=U0&amp;row=6962&amp;col=7&amp;number=0.00782&amp;sourceID=14","0.00782")</f>
        <v>0.00782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HYPERLINK("http://141.218.60.56/~jnz1568/getInfo.php?workbook=10_05.xlsx&amp;sheet=U0&amp;row=6963&amp;col=6&amp;number=4.9&amp;sourceID=14","4.9")</f>
        <v>4.9</v>
      </c>
      <c r="G6963" s="4" t="str">
        <f>HYPERLINK("http://141.218.60.56/~jnz1568/getInfo.php?workbook=10_05.xlsx&amp;sheet=U0&amp;row=6963&amp;col=7&amp;number=0.00763&amp;sourceID=14","0.00763")</f>
        <v>0.00763</v>
      </c>
    </row>
    <row r="6964" spans="1:7">
      <c r="A6964" s="3">
        <v>10</v>
      </c>
      <c r="B6964" s="3">
        <v>5</v>
      </c>
      <c r="C6964" s="3">
        <v>2</v>
      </c>
      <c r="D6964" s="3">
        <v>172</v>
      </c>
      <c r="E6964" s="3">
        <v>1</v>
      </c>
      <c r="F6964" s="4" t="str">
        <f>HYPERLINK("http://141.218.60.56/~jnz1568/getInfo.php?workbook=10_05.xlsx&amp;sheet=U0&amp;row=6964&amp;col=6&amp;number=3&amp;sourceID=14","3")</f>
        <v>3</v>
      </c>
      <c r="G6964" s="4" t="str">
        <f>HYPERLINK("http://141.218.60.56/~jnz1568/getInfo.php?workbook=10_05.xlsx&amp;sheet=U0&amp;row=6964&amp;col=7&amp;number=0.00683&amp;sourceID=14","0.00683")</f>
        <v>0.00683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HYPERLINK("http://141.218.60.56/~jnz1568/getInfo.php?workbook=10_05.xlsx&amp;sheet=U0&amp;row=6965&amp;col=6&amp;number=3.1&amp;sourceID=14","3.1")</f>
        <v>3.1</v>
      </c>
      <c r="G6965" s="4" t="str">
        <f>HYPERLINK("http://141.218.60.56/~jnz1568/getInfo.php?workbook=10_05.xlsx&amp;sheet=U0&amp;row=6965&amp;col=7&amp;number=0.00681&amp;sourceID=14","0.00681")</f>
        <v>0.00681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HYPERLINK("http://141.218.60.56/~jnz1568/getInfo.php?workbook=10_05.xlsx&amp;sheet=U0&amp;row=6966&amp;col=6&amp;number=3.2&amp;sourceID=14","3.2")</f>
        <v>3.2</v>
      </c>
      <c r="G6966" s="4" t="str">
        <f>HYPERLINK("http://141.218.60.56/~jnz1568/getInfo.php?workbook=10_05.xlsx&amp;sheet=U0&amp;row=6966&amp;col=7&amp;number=0.00677&amp;sourceID=14","0.00677")</f>
        <v>0.00677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HYPERLINK("http://141.218.60.56/~jnz1568/getInfo.php?workbook=10_05.xlsx&amp;sheet=U0&amp;row=6967&amp;col=6&amp;number=3.3&amp;sourceID=14","3.3")</f>
        <v>3.3</v>
      </c>
      <c r="G6967" s="4" t="str">
        <f>HYPERLINK("http://141.218.60.56/~jnz1568/getInfo.php?workbook=10_05.xlsx&amp;sheet=U0&amp;row=6967&amp;col=7&amp;number=0.00673&amp;sourceID=14","0.00673")</f>
        <v>0.00673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HYPERLINK("http://141.218.60.56/~jnz1568/getInfo.php?workbook=10_05.xlsx&amp;sheet=U0&amp;row=6968&amp;col=6&amp;number=3.4&amp;sourceID=14","3.4")</f>
        <v>3.4</v>
      </c>
      <c r="G6968" s="4" t="str">
        <f>HYPERLINK("http://141.218.60.56/~jnz1568/getInfo.php?workbook=10_05.xlsx&amp;sheet=U0&amp;row=6968&amp;col=7&amp;number=0.00668&amp;sourceID=14","0.00668")</f>
        <v>0.00668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HYPERLINK("http://141.218.60.56/~jnz1568/getInfo.php?workbook=10_05.xlsx&amp;sheet=U0&amp;row=6969&amp;col=6&amp;number=3.5&amp;sourceID=14","3.5")</f>
        <v>3.5</v>
      </c>
      <c r="G6969" s="4" t="str">
        <f>HYPERLINK("http://141.218.60.56/~jnz1568/getInfo.php?workbook=10_05.xlsx&amp;sheet=U0&amp;row=6969&amp;col=7&amp;number=0.00661&amp;sourceID=14","0.00661")</f>
        <v>0.00661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HYPERLINK("http://141.218.60.56/~jnz1568/getInfo.php?workbook=10_05.xlsx&amp;sheet=U0&amp;row=6970&amp;col=6&amp;number=3.6&amp;sourceID=14","3.6")</f>
        <v>3.6</v>
      </c>
      <c r="G6970" s="4" t="str">
        <f>HYPERLINK("http://141.218.60.56/~jnz1568/getInfo.php?workbook=10_05.xlsx&amp;sheet=U0&amp;row=6970&amp;col=7&amp;number=0.00653&amp;sourceID=14","0.00653")</f>
        <v>0.00653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HYPERLINK("http://141.218.60.56/~jnz1568/getInfo.php?workbook=10_05.xlsx&amp;sheet=U0&amp;row=6971&amp;col=6&amp;number=3.7&amp;sourceID=14","3.7")</f>
        <v>3.7</v>
      </c>
      <c r="G6971" s="4" t="str">
        <f>HYPERLINK("http://141.218.60.56/~jnz1568/getInfo.php?workbook=10_05.xlsx&amp;sheet=U0&amp;row=6971&amp;col=7&amp;number=0.00643&amp;sourceID=14","0.00643")</f>
        <v>0.00643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HYPERLINK("http://141.218.60.56/~jnz1568/getInfo.php?workbook=10_05.xlsx&amp;sheet=U0&amp;row=6972&amp;col=6&amp;number=3.8&amp;sourceID=14","3.8")</f>
        <v>3.8</v>
      </c>
      <c r="G6972" s="4" t="str">
        <f>HYPERLINK("http://141.218.60.56/~jnz1568/getInfo.php?workbook=10_05.xlsx&amp;sheet=U0&amp;row=6972&amp;col=7&amp;number=0.0063&amp;sourceID=14","0.0063")</f>
        <v>0.0063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HYPERLINK("http://141.218.60.56/~jnz1568/getInfo.php?workbook=10_05.xlsx&amp;sheet=U0&amp;row=6973&amp;col=6&amp;number=3.9&amp;sourceID=14","3.9")</f>
        <v>3.9</v>
      </c>
      <c r="G6973" s="4" t="str">
        <f>HYPERLINK("http://141.218.60.56/~jnz1568/getInfo.php?workbook=10_05.xlsx&amp;sheet=U0&amp;row=6973&amp;col=7&amp;number=0.00615&amp;sourceID=14","0.00615")</f>
        <v>0.00615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HYPERLINK("http://141.218.60.56/~jnz1568/getInfo.php?workbook=10_05.xlsx&amp;sheet=U0&amp;row=6974&amp;col=6&amp;number=4&amp;sourceID=14","4")</f>
        <v>4</v>
      </c>
      <c r="G6974" s="4" t="str">
        <f>HYPERLINK("http://141.218.60.56/~jnz1568/getInfo.php?workbook=10_05.xlsx&amp;sheet=U0&amp;row=6974&amp;col=7&amp;number=0.00596&amp;sourceID=14","0.00596")</f>
        <v>0.00596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HYPERLINK("http://141.218.60.56/~jnz1568/getInfo.php?workbook=10_05.xlsx&amp;sheet=U0&amp;row=6975&amp;col=6&amp;number=4.1&amp;sourceID=14","4.1")</f>
        <v>4.1</v>
      </c>
      <c r="G6975" s="4" t="str">
        <f>HYPERLINK("http://141.218.60.56/~jnz1568/getInfo.php?workbook=10_05.xlsx&amp;sheet=U0&amp;row=6975&amp;col=7&amp;number=0.00574&amp;sourceID=14","0.00574")</f>
        <v>0.00574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HYPERLINK("http://141.218.60.56/~jnz1568/getInfo.php?workbook=10_05.xlsx&amp;sheet=U0&amp;row=6976&amp;col=6&amp;number=4.2&amp;sourceID=14","4.2")</f>
        <v>4.2</v>
      </c>
      <c r="G6976" s="4" t="str">
        <f>HYPERLINK("http://141.218.60.56/~jnz1568/getInfo.php?workbook=10_05.xlsx&amp;sheet=U0&amp;row=6976&amp;col=7&amp;number=0.00549&amp;sourceID=14","0.00549")</f>
        <v>0.00549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HYPERLINK("http://141.218.60.56/~jnz1568/getInfo.php?workbook=10_05.xlsx&amp;sheet=U0&amp;row=6977&amp;col=6&amp;number=4.3&amp;sourceID=14","4.3")</f>
        <v>4.3</v>
      </c>
      <c r="G6977" s="4" t="str">
        <f>HYPERLINK("http://141.218.60.56/~jnz1568/getInfo.php?workbook=10_05.xlsx&amp;sheet=U0&amp;row=6977&amp;col=7&amp;number=0.0052&amp;sourceID=14","0.0052")</f>
        <v>0.0052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HYPERLINK("http://141.218.60.56/~jnz1568/getInfo.php?workbook=10_05.xlsx&amp;sheet=U0&amp;row=6978&amp;col=6&amp;number=4.4&amp;sourceID=14","4.4")</f>
        <v>4.4</v>
      </c>
      <c r="G6978" s="4" t="str">
        <f>HYPERLINK("http://141.218.60.56/~jnz1568/getInfo.php?workbook=10_05.xlsx&amp;sheet=U0&amp;row=6978&amp;col=7&amp;number=0.00489&amp;sourceID=14","0.00489")</f>
        <v>0.00489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HYPERLINK("http://141.218.60.56/~jnz1568/getInfo.php?workbook=10_05.xlsx&amp;sheet=U0&amp;row=6979&amp;col=6&amp;number=4.5&amp;sourceID=14","4.5")</f>
        <v>4.5</v>
      </c>
      <c r="G6979" s="4" t="str">
        <f>HYPERLINK("http://141.218.60.56/~jnz1568/getInfo.php?workbook=10_05.xlsx&amp;sheet=U0&amp;row=6979&amp;col=7&amp;number=0.0046&amp;sourceID=14","0.0046")</f>
        <v>0.0046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HYPERLINK("http://141.218.60.56/~jnz1568/getInfo.php?workbook=10_05.xlsx&amp;sheet=U0&amp;row=6980&amp;col=6&amp;number=4.6&amp;sourceID=14","4.6")</f>
        <v>4.6</v>
      </c>
      <c r="G6980" s="4" t="str">
        <f>HYPERLINK("http://141.218.60.56/~jnz1568/getInfo.php?workbook=10_05.xlsx&amp;sheet=U0&amp;row=6980&amp;col=7&amp;number=0.00435&amp;sourceID=14","0.00435")</f>
        <v>0.00435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HYPERLINK("http://141.218.60.56/~jnz1568/getInfo.php?workbook=10_05.xlsx&amp;sheet=U0&amp;row=6981&amp;col=6&amp;number=4.7&amp;sourceID=14","4.7")</f>
        <v>4.7</v>
      </c>
      <c r="G6981" s="4" t="str">
        <f>HYPERLINK("http://141.218.60.56/~jnz1568/getInfo.php?workbook=10_05.xlsx&amp;sheet=U0&amp;row=6981&amp;col=7&amp;number=0.00414&amp;sourceID=14","0.00414")</f>
        <v>0.00414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HYPERLINK("http://141.218.60.56/~jnz1568/getInfo.php?workbook=10_05.xlsx&amp;sheet=U0&amp;row=6982&amp;col=6&amp;number=4.8&amp;sourceID=14","4.8")</f>
        <v>4.8</v>
      </c>
      <c r="G6982" s="4" t="str">
        <f>HYPERLINK("http://141.218.60.56/~jnz1568/getInfo.php?workbook=10_05.xlsx&amp;sheet=U0&amp;row=6982&amp;col=7&amp;number=0.00395&amp;sourceID=14","0.00395")</f>
        <v>0.00395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HYPERLINK("http://141.218.60.56/~jnz1568/getInfo.php?workbook=10_05.xlsx&amp;sheet=U0&amp;row=6983&amp;col=6&amp;number=4.9&amp;sourceID=14","4.9")</f>
        <v>4.9</v>
      </c>
      <c r="G6983" s="4" t="str">
        <f>HYPERLINK("http://141.218.60.56/~jnz1568/getInfo.php?workbook=10_05.xlsx&amp;sheet=U0&amp;row=6983&amp;col=7&amp;number=0.00375&amp;sourceID=14","0.00375")</f>
        <v>0.00375</v>
      </c>
    </row>
    <row r="6984" spans="1:7">
      <c r="A6984" s="3">
        <v>10</v>
      </c>
      <c r="B6984" s="3">
        <v>5</v>
      </c>
      <c r="C6984" s="3">
        <v>2</v>
      </c>
      <c r="D6984" s="3">
        <v>173</v>
      </c>
      <c r="E6984" s="3">
        <v>1</v>
      </c>
      <c r="F6984" s="4" t="str">
        <f>HYPERLINK("http://141.218.60.56/~jnz1568/getInfo.php?workbook=10_05.xlsx&amp;sheet=U0&amp;row=6984&amp;col=6&amp;number=3&amp;sourceID=14","3")</f>
        <v>3</v>
      </c>
      <c r="G6984" s="4" t="str">
        <f>HYPERLINK("http://141.218.60.56/~jnz1568/getInfo.php?workbook=10_05.xlsx&amp;sheet=U0&amp;row=6984&amp;col=7&amp;number=0.0117&amp;sourceID=14","0.0117")</f>
        <v>0.0117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HYPERLINK("http://141.218.60.56/~jnz1568/getInfo.php?workbook=10_05.xlsx&amp;sheet=U0&amp;row=6985&amp;col=6&amp;number=3.1&amp;sourceID=14","3.1")</f>
        <v>3.1</v>
      </c>
      <c r="G6985" s="4" t="str">
        <f>HYPERLINK("http://141.218.60.56/~jnz1568/getInfo.php?workbook=10_05.xlsx&amp;sheet=U0&amp;row=6985&amp;col=7&amp;number=0.0117&amp;sourceID=14","0.0117")</f>
        <v>0.0117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HYPERLINK("http://141.218.60.56/~jnz1568/getInfo.php?workbook=10_05.xlsx&amp;sheet=U0&amp;row=6986&amp;col=6&amp;number=3.2&amp;sourceID=14","3.2")</f>
        <v>3.2</v>
      </c>
      <c r="G6986" s="4" t="str">
        <f>HYPERLINK("http://141.218.60.56/~jnz1568/getInfo.php?workbook=10_05.xlsx&amp;sheet=U0&amp;row=6986&amp;col=7&amp;number=0.0116&amp;sourceID=14","0.0116")</f>
        <v>0.0116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HYPERLINK("http://141.218.60.56/~jnz1568/getInfo.php?workbook=10_05.xlsx&amp;sheet=U0&amp;row=6987&amp;col=6&amp;number=3.3&amp;sourceID=14","3.3")</f>
        <v>3.3</v>
      </c>
      <c r="G6987" s="4" t="str">
        <f>HYPERLINK("http://141.218.60.56/~jnz1568/getInfo.php?workbook=10_05.xlsx&amp;sheet=U0&amp;row=6987&amp;col=7&amp;number=0.0116&amp;sourceID=14","0.0116")</f>
        <v>0.0116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HYPERLINK("http://141.218.60.56/~jnz1568/getInfo.php?workbook=10_05.xlsx&amp;sheet=U0&amp;row=6988&amp;col=6&amp;number=3.4&amp;sourceID=14","3.4")</f>
        <v>3.4</v>
      </c>
      <c r="G6988" s="4" t="str">
        <f>HYPERLINK("http://141.218.60.56/~jnz1568/getInfo.php?workbook=10_05.xlsx&amp;sheet=U0&amp;row=6988&amp;col=7&amp;number=0.0115&amp;sourceID=14","0.0115")</f>
        <v>0.0115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HYPERLINK("http://141.218.60.56/~jnz1568/getInfo.php?workbook=10_05.xlsx&amp;sheet=U0&amp;row=6989&amp;col=6&amp;number=3.5&amp;sourceID=14","3.5")</f>
        <v>3.5</v>
      </c>
      <c r="G6989" s="4" t="str">
        <f>HYPERLINK("http://141.218.60.56/~jnz1568/getInfo.php?workbook=10_05.xlsx&amp;sheet=U0&amp;row=6989&amp;col=7&amp;number=0.0114&amp;sourceID=14","0.0114")</f>
        <v>0.0114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HYPERLINK("http://141.218.60.56/~jnz1568/getInfo.php?workbook=10_05.xlsx&amp;sheet=U0&amp;row=6990&amp;col=6&amp;number=3.6&amp;sourceID=14","3.6")</f>
        <v>3.6</v>
      </c>
      <c r="G6990" s="4" t="str">
        <f>HYPERLINK("http://141.218.60.56/~jnz1568/getInfo.php?workbook=10_05.xlsx&amp;sheet=U0&amp;row=6990&amp;col=7&amp;number=0.0112&amp;sourceID=14","0.0112")</f>
        <v>0.0112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HYPERLINK("http://141.218.60.56/~jnz1568/getInfo.php?workbook=10_05.xlsx&amp;sheet=U0&amp;row=6991&amp;col=6&amp;number=3.7&amp;sourceID=14","3.7")</f>
        <v>3.7</v>
      </c>
      <c r="G6991" s="4" t="str">
        <f>HYPERLINK("http://141.218.60.56/~jnz1568/getInfo.php?workbook=10_05.xlsx&amp;sheet=U0&amp;row=6991&amp;col=7&amp;number=0.0111&amp;sourceID=14","0.0111")</f>
        <v>0.0111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HYPERLINK("http://141.218.60.56/~jnz1568/getInfo.php?workbook=10_05.xlsx&amp;sheet=U0&amp;row=6992&amp;col=6&amp;number=3.8&amp;sourceID=14","3.8")</f>
        <v>3.8</v>
      </c>
      <c r="G6992" s="4" t="str">
        <f>HYPERLINK("http://141.218.60.56/~jnz1568/getInfo.php?workbook=10_05.xlsx&amp;sheet=U0&amp;row=6992&amp;col=7&amp;number=0.0108&amp;sourceID=14","0.0108")</f>
        <v>0.0108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HYPERLINK("http://141.218.60.56/~jnz1568/getInfo.php?workbook=10_05.xlsx&amp;sheet=U0&amp;row=6993&amp;col=6&amp;number=3.9&amp;sourceID=14","3.9")</f>
        <v>3.9</v>
      </c>
      <c r="G6993" s="4" t="str">
        <f>HYPERLINK("http://141.218.60.56/~jnz1568/getInfo.php?workbook=10_05.xlsx&amp;sheet=U0&amp;row=6993&amp;col=7&amp;number=0.0106&amp;sourceID=14","0.0106")</f>
        <v>0.0106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HYPERLINK("http://141.218.60.56/~jnz1568/getInfo.php?workbook=10_05.xlsx&amp;sheet=U0&amp;row=6994&amp;col=6&amp;number=4&amp;sourceID=14","4")</f>
        <v>4</v>
      </c>
      <c r="G6994" s="4" t="str">
        <f>HYPERLINK("http://141.218.60.56/~jnz1568/getInfo.php?workbook=10_05.xlsx&amp;sheet=U0&amp;row=6994&amp;col=7&amp;number=0.0103&amp;sourceID=14","0.0103")</f>
        <v>0.0103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HYPERLINK("http://141.218.60.56/~jnz1568/getInfo.php?workbook=10_05.xlsx&amp;sheet=U0&amp;row=6995&amp;col=6&amp;number=4.1&amp;sourceID=14","4.1")</f>
        <v>4.1</v>
      </c>
      <c r="G6995" s="4" t="str">
        <f>HYPERLINK("http://141.218.60.56/~jnz1568/getInfo.php?workbook=10_05.xlsx&amp;sheet=U0&amp;row=6995&amp;col=7&amp;number=0.00989&amp;sourceID=14","0.00989")</f>
        <v>0.00989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HYPERLINK("http://141.218.60.56/~jnz1568/getInfo.php?workbook=10_05.xlsx&amp;sheet=U0&amp;row=6996&amp;col=6&amp;number=4.2&amp;sourceID=14","4.2")</f>
        <v>4.2</v>
      </c>
      <c r="G6996" s="4" t="str">
        <f>HYPERLINK("http://141.218.60.56/~jnz1568/getInfo.php?workbook=10_05.xlsx&amp;sheet=U0&amp;row=6996&amp;col=7&amp;number=0.00946&amp;sourceID=14","0.00946")</f>
        <v>0.00946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HYPERLINK("http://141.218.60.56/~jnz1568/getInfo.php?workbook=10_05.xlsx&amp;sheet=U0&amp;row=6997&amp;col=6&amp;number=4.3&amp;sourceID=14","4.3")</f>
        <v>4.3</v>
      </c>
      <c r="G6997" s="4" t="str">
        <f>HYPERLINK("http://141.218.60.56/~jnz1568/getInfo.php?workbook=10_05.xlsx&amp;sheet=U0&amp;row=6997&amp;col=7&amp;number=0.00897&amp;sourceID=14","0.00897")</f>
        <v>0.00897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HYPERLINK("http://141.218.60.56/~jnz1568/getInfo.php?workbook=10_05.xlsx&amp;sheet=U0&amp;row=6998&amp;col=6&amp;number=4.4&amp;sourceID=14","4.4")</f>
        <v>4.4</v>
      </c>
      <c r="G6998" s="4" t="str">
        <f>HYPERLINK("http://141.218.60.56/~jnz1568/getInfo.php?workbook=10_05.xlsx&amp;sheet=U0&amp;row=6998&amp;col=7&amp;number=0.00846&amp;sourceID=14","0.00846")</f>
        <v>0.00846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HYPERLINK("http://141.218.60.56/~jnz1568/getInfo.php?workbook=10_05.xlsx&amp;sheet=U0&amp;row=6999&amp;col=6&amp;number=4.5&amp;sourceID=14","4.5")</f>
        <v>4.5</v>
      </c>
      <c r="G6999" s="4" t="str">
        <f>HYPERLINK("http://141.218.60.56/~jnz1568/getInfo.php?workbook=10_05.xlsx&amp;sheet=U0&amp;row=6999&amp;col=7&amp;number=0.00799&amp;sourceID=14","0.00799")</f>
        <v>0.00799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HYPERLINK("http://141.218.60.56/~jnz1568/getInfo.php?workbook=10_05.xlsx&amp;sheet=U0&amp;row=7000&amp;col=6&amp;number=4.6&amp;sourceID=14","4.6")</f>
        <v>4.6</v>
      </c>
      <c r="G7000" s="4" t="str">
        <f>HYPERLINK("http://141.218.60.56/~jnz1568/getInfo.php?workbook=10_05.xlsx&amp;sheet=U0&amp;row=7000&amp;col=7&amp;number=0.00759&amp;sourceID=14","0.00759")</f>
        <v>0.00759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HYPERLINK("http://141.218.60.56/~jnz1568/getInfo.php?workbook=10_05.xlsx&amp;sheet=U0&amp;row=7001&amp;col=6&amp;number=4.7&amp;sourceID=14","4.7")</f>
        <v>4.7</v>
      </c>
      <c r="G7001" s="4" t="str">
        <f>HYPERLINK("http://141.218.60.56/~jnz1568/getInfo.php?workbook=10_05.xlsx&amp;sheet=U0&amp;row=7001&amp;col=7&amp;number=0.00727&amp;sourceID=14","0.00727")</f>
        <v>0.00727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HYPERLINK("http://141.218.60.56/~jnz1568/getInfo.php?workbook=10_05.xlsx&amp;sheet=U0&amp;row=7002&amp;col=6&amp;number=4.8&amp;sourceID=14","4.8")</f>
        <v>4.8</v>
      </c>
      <c r="G7002" s="4" t="str">
        <f>HYPERLINK("http://141.218.60.56/~jnz1568/getInfo.php?workbook=10_05.xlsx&amp;sheet=U0&amp;row=7002&amp;col=7&amp;number=0.007&amp;sourceID=14","0.007")</f>
        <v>0.007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HYPERLINK("http://141.218.60.56/~jnz1568/getInfo.php?workbook=10_05.xlsx&amp;sheet=U0&amp;row=7003&amp;col=6&amp;number=4.9&amp;sourceID=14","4.9")</f>
        <v>4.9</v>
      </c>
      <c r="G7003" s="4" t="str">
        <f>HYPERLINK("http://141.218.60.56/~jnz1568/getInfo.php?workbook=10_05.xlsx&amp;sheet=U0&amp;row=7003&amp;col=7&amp;number=0.00669&amp;sourceID=14","0.00669")</f>
        <v>0.00669</v>
      </c>
    </row>
    <row r="7004" spans="1:7">
      <c r="A7004" s="3">
        <v>10</v>
      </c>
      <c r="B7004" s="3">
        <v>5</v>
      </c>
      <c r="C7004" s="3">
        <v>2</v>
      </c>
      <c r="D7004" s="3">
        <v>174</v>
      </c>
      <c r="E7004" s="3">
        <v>1</v>
      </c>
      <c r="F7004" s="4" t="str">
        <f>HYPERLINK("http://141.218.60.56/~jnz1568/getInfo.php?workbook=10_05.xlsx&amp;sheet=U0&amp;row=7004&amp;col=6&amp;number=3&amp;sourceID=14","3")</f>
        <v>3</v>
      </c>
      <c r="G7004" s="4" t="str">
        <f>HYPERLINK("http://141.218.60.56/~jnz1568/getInfo.php?workbook=10_05.xlsx&amp;sheet=U0&amp;row=7004&amp;col=7&amp;number=0.00481&amp;sourceID=14","0.00481")</f>
        <v>0.00481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HYPERLINK("http://141.218.60.56/~jnz1568/getInfo.php?workbook=10_05.xlsx&amp;sheet=U0&amp;row=7005&amp;col=6&amp;number=3.1&amp;sourceID=14","3.1")</f>
        <v>3.1</v>
      </c>
      <c r="G7005" s="4" t="str">
        <f>HYPERLINK("http://141.218.60.56/~jnz1568/getInfo.php?workbook=10_05.xlsx&amp;sheet=U0&amp;row=7005&amp;col=7&amp;number=0.0048&amp;sourceID=14","0.0048")</f>
        <v>0.0048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HYPERLINK("http://141.218.60.56/~jnz1568/getInfo.php?workbook=10_05.xlsx&amp;sheet=U0&amp;row=7006&amp;col=6&amp;number=3.2&amp;sourceID=14","3.2")</f>
        <v>3.2</v>
      </c>
      <c r="G7006" s="4" t="str">
        <f>HYPERLINK("http://141.218.60.56/~jnz1568/getInfo.php?workbook=10_05.xlsx&amp;sheet=U0&amp;row=7006&amp;col=7&amp;number=0.00479&amp;sourceID=14","0.00479")</f>
        <v>0.00479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HYPERLINK("http://141.218.60.56/~jnz1568/getInfo.php?workbook=10_05.xlsx&amp;sheet=U0&amp;row=7007&amp;col=6&amp;number=3.3&amp;sourceID=14","3.3")</f>
        <v>3.3</v>
      </c>
      <c r="G7007" s="4" t="str">
        <f>HYPERLINK("http://141.218.60.56/~jnz1568/getInfo.php?workbook=10_05.xlsx&amp;sheet=U0&amp;row=7007&amp;col=7&amp;number=0.00477&amp;sourceID=14","0.00477")</f>
        <v>0.00477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HYPERLINK("http://141.218.60.56/~jnz1568/getInfo.php?workbook=10_05.xlsx&amp;sheet=U0&amp;row=7008&amp;col=6&amp;number=3.4&amp;sourceID=14","3.4")</f>
        <v>3.4</v>
      </c>
      <c r="G7008" s="4" t="str">
        <f>HYPERLINK("http://141.218.60.56/~jnz1568/getInfo.php?workbook=10_05.xlsx&amp;sheet=U0&amp;row=7008&amp;col=7&amp;number=0.00474&amp;sourceID=14","0.00474")</f>
        <v>0.00474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HYPERLINK("http://141.218.60.56/~jnz1568/getInfo.php?workbook=10_05.xlsx&amp;sheet=U0&amp;row=7009&amp;col=6&amp;number=3.5&amp;sourceID=14","3.5")</f>
        <v>3.5</v>
      </c>
      <c r="G7009" s="4" t="str">
        <f>HYPERLINK("http://141.218.60.56/~jnz1568/getInfo.php?workbook=10_05.xlsx&amp;sheet=U0&amp;row=7009&amp;col=7&amp;number=0.00471&amp;sourceID=14","0.00471")</f>
        <v>0.00471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HYPERLINK("http://141.218.60.56/~jnz1568/getInfo.php?workbook=10_05.xlsx&amp;sheet=U0&amp;row=7010&amp;col=6&amp;number=3.6&amp;sourceID=14","3.6")</f>
        <v>3.6</v>
      </c>
      <c r="G7010" s="4" t="str">
        <f>HYPERLINK("http://141.218.60.56/~jnz1568/getInfo.php?workbook=10_05.xlsx&amp;sheet=U0&amp;row=7010&amp;col=7&amp;number=0.00468&amp;sourceID=14","0.00468")</f>
        <v>0.00468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HYPERLINK("http://141.218.60.56/~jnz1568/getInfo.php?workbook=10_05.xlsx&amp;sheet=U0&amp;row=7011&amp;col=6&amp;number=3.7&amp;sourceID=14","3.7")</f>
        <v>3.7</v>
      </c>
      <c r="G7011" s="4" t="str">
        <f>HYPERLINK("http://141.218.60.56/~jnz1568/getInfo.php?workbook=10_05.xlsx&amp;sheet=U0&amp;row=7011&amp;col=7&amp;number=0.00463&amp;sourceID=14","0.00463")</f>
        <v>0.00463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HYPERLINK("http://141.218.60.56/~jnz1568/getInfo.php?workbook=10_05.xlsx&amp;sheet=U0&amp;row=7012&amp;col=6&amp;number=3.8&amp;sourceID=14","3.8")</f>
        <v>3.8</v>
      </c>
      <c r="G7012" s="4" t="str">
        <f>HYPERLINK("http://141.218.60.56/~jnz1568/getInfo.php?workbook=10_05.xlsx&amp;sheet=U0&amp;row=7012&amp;col=7&amp;number=0.00457&amp;sourceID=14","0.00457")</f>
        <v>0.00457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HYPERLINK("http://141.218.60.56/~jnz1568/getInfo.php?workbook=10_05.xlsx&amp;sheet=U0&amp;row=7013&amp;col=6&amp;number=3.9&amp;sourceID=14","3.9")</f>
        <v>3.9</v>
      </c>
      <c r="G7013" s="4" t="str">
        <f>HYPERLINK("http://141.218.60.56/~jnz1568/getInfo.php?workbook=10_05.xlsx&amp;sheet=U0&amp;row=7013&amp;col=7&amp;number=0.0045&amp;sourceID=14","0.0045")</f>
        <v>0.0045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HYPERLINK("http://141.218.60.56/~jnz1568/getInfo.php?workbook=10_05.xlsx&amp;sheet=U0&amp;row=7014&amp;col=6&amp;number=4&amp;sourceID=14","4")</f>
        <v>4</v>
      </c>
      <c r="G7014" s="4" t="str">
        <f>HYPERLINK("http://141.218.60.56/~jnz1568/getInfo.php?workbook=10_05.xlsx&amp;sheet=U0&amp;row=7014&amp;col=7&amp;number=0.00441&amp;sourceID=14","0.00441")</f>
        <v>0.00441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HYPERLINK("http://141.218.60.56/~jnz1568/getInfo.php?workbook=10_05.xlsx&amp;sheet=U0&amp;row=7015&amp;col=6&amp;number=4.1&amp;sourceID=14","4.1")</f>
        <v>4.1</v>
      </c>
      <c r="G7015" s="4" t="str">
        <f>HYPERLINK("http://141.218.60.56/~jnz1568/getInfo.php?workbook=10_05.xlsx&amp;sheet=U0&amp;row=7015&amp;col=7&amp;number=0.0043&amp;sourceID=14","0.0043")</f>
        <v>0.0043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HYPERLINK("http://141.218.60.56/~jnz1568/getInfo.php?workbook=10_05.xlsx&amp;sheet=U0&amp;row=7016&amp;col=6&amp;number=4.2&amp;sourceID=14","4.2")</f>
        <v>4.2</v>
      </c>
      <c r="G7016" s="4" t="str">
        <f>HYPERLINK("http://141.218.60.56/~jnz1568/getInfo.php?workbook=10_05.xlsx&amp;sheet=U0&amp;row=7016&amp;col=7&amp;number=0.00417&amp;sourceID=14","0.00417")</f>
        <v>0.00417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HYPERLINK("http://141.218.60.56/~jnz1568/getInfo.php?workbook=10_05.xlsx&amp;sheet=U0&amp;row=7017&amp;col=6&amp;number=4.3&amp;sourceID=14","4.3")</f>
        <v>4.3</v>
      </c>
      <c r="G7017" s="4" t="str">
        <f>HYPERLINK("http://141.218.60.56/~jnz1568/getInfo.php?workbook=10_05.xlsx&amp;sheet=U0&amp;row=7017&amp;col=7&amp;number=0.00402&amp;sourceID=14","0.00402")</f>
        <v>0.00402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HYPERLINK("http://141.218.60.56/~jnz1568/getInfo.php?workbook=10_05.xlsx&amp;sheet=U0&amp;row=7018&amp;col=6&amp;number=4.4&amp;sourceID=14","4.4")</f>
        <v>4.4</v>
      </c>
      <c r="G7018" s="4" t="str">
        <f>HYPERLINK("http://141.218.60.56/~jnz1568/getInfo.php?workbook=10_05.xlsx&amp;sheet=U0&amp;row=7018&amp;col=7&amp;number=0.00385&amp;sourceID=14","0.00385")</f>
        <v>0.00385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HYPERLINK("http://141.218.60.56/~jnz1568/getInfo.php?workbook=10_05.xlsx&amp;sheet=U0&amp;row=7019&amp;col=6&amp;number=4.5&amp;sourceID=14","4.5")</f>
        <v>4.5</v>
      </c>
      <c r="G7019" s="4" t="str">
        <f>HYPERLINK("http://141.218.60.56/~jnz1568/getInfo.php?workbook=10_05.xlsx&amp;sheet=U0&amp;row=7019&amp;col=7&amp;number=0.00366&amp;sourceID=14","0.00366")</f>
        <v>0.00366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HYPERLINK("http://141.218.60.56/~jnz1568/getInfo.php?workbook=10_05.xlsx&amp;sheet=U0&amp;row=7020&amp;col=6&amp;number=4.6&amp;sourceID=14","4.6")</f>
        <v>4.6</v>
      </c>
      <c r="G7020" s="4" t="str">
        <f>HYPERLINK("http://141.218.60.56/~jnz1568/getInfo.php?workbook=10_05.xlsx&amp;sheet=U0&amp;row=7020&amp;col=7&amp;number=0.00348&amp;sourceID=14","0.00348")</f>
        <v>0.00348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HYPERLINK("http://141.218.60.56/~jnz1568/getInfo.php?workbook=10_05.xlsx&amp;sheet=U0&amp;row=7021&amp;col=6&amp;number=4.7&amp;sourceID=14","4.7")</f>
        <v>4.7</v>
      </c>
      <c r="G7021" s="4" t="str">
        <f>HYPERLINK("http://141.218.60.56/~jnz1568/getInfo.php?workbook=10_05.xlsx&amp;sheet=U0&amp;row=7021&amp;col=7&amp;number=0.00332&amp;sourceID=14","0.00332")</f>
        <v>0.00332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HYPERLINK("http://141.218.60.56/~jnz1568/getInfo.php?workbook=10_05.xlsx&amp;sheet=U0&amp;row=7022&amp;col=6&amp;number=4.8&amp;sourceID=14","4.8")</f>
        <v>4.8</v>
      </c>
      <c r="G7022" s="4" t="str">
        <f>HYPERLINK("http://141.218.60.56/~jnz1568/getInfo.php?workbook=10_05.xlsx&amp;sheet=U0&amp;row=7022&amp;col=7&amp;number=0.00322&amp;sourceID=14","0.00322")</f>
        <v>0.00322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HYPERLINK("http://141.218.60.56/~jnz1568/getInfo.php?workbook=10_05.xlsx&amp;sheet=U0&amp;row=7023&amp;col=6&amp;number=4.9&amp;sourceID=14","4.9")</f>
        <v>4.9</v>
      </c>
      <c r="G7023" s="4" t="str">
        <f>HYPERLINK("http://141.218.60.56/~jnz1568/getInfo.php?workbook=10_05.xlsx&amp;sheet=U0&amp;row=7023&amp;col=7&amp;number=0.00315&amp;sourceID=14","0.00315")</f>
        <v>0.00315</v>
      </c>
    </row>
    <row r="7024" spans="1:7">
      <c r="A7024" s="3">
        <v>10</v>
      </c>
      <c r="B7024" s="3">
        <v>5</v>
      </c>
      <c r="C7024" s="3">
        <v>2</v>
      </c>
      <c r="D7024" s="3">
        <v>175</v>
      </c>
      <c r="E7024" s="3">
        <v>1</v>
      </c>
      <c r="F7024" s="4" t="str">
        <f>HYPERLINK("http://141.218.60.56/~jnz1568/getInfo.php?workbook=10_05.xlsx&amp;sheet=U0&amp;row=7024&amp;col=6&amp;number=3&amp;sourceID=14","3")</f>
        <v>3</v>
      </c>
      <c r="G7024" s="4" t="str">
        <f>HYPERLINK("http://141.218.60.56/~jnz1568/getInfo.php?workbook=10_05.xlsx&amp;sheet=U0&amp;row=7024&amp;col=7&amp;number=0.0149&amp;sourceID=14","0.0149")</f>
        <v>0.0149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HYPERLINK("http://141.218.60.56/~jnz1568/getInfo.php?workbook=10_05.xlsx&amp;sheet=U0&amp;row=7025&amp;col=6&amp;number=3.1&amp;sourceID=14","3.1")</f>
        <v>3.1</v>
      </c>
      <c r="G7025" s="4" t="str">
        <f>HYPERLINK("http://141.218.60.56/~jnz1568/getInfo.php?workbook=10_05.xlsx&amp;sheet=U0&amp;row=7025&amp;col=7&amp;number=0.0149&amp;sourceID=14","0.0149")</f>
        <v>0.0149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HYPERLINK("http://141.218.60.56/~jnz1568/getInfo.php?workbook=10_05.xlsx&amp;sheet=U0&amp;row=7026&amp;col=6&amp;number=3.2&amp;sourceID=14","3.2")</f>
        <v>3.2</v>
      </c>
      <c r="G7026" s="4" t="str">
        <f>HYPERLINK("http://141.218.60.56/~jnz1568/getInfo.php?workbook=10_05.xlsx&amp;sheet=U0&amp;row=7026&amp;col=7&amp;number=0.0149&amp;sourceID=14","0.0149")</f>
        <v>0.0149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HYPERLINK("http://141.218.60.56/~jnz1568/getInfo.php?workbook=10_05.xlsx&amp;sheet=U0&amp;row=7027&amp;col=6&amp;number=3.3&amp;sourceID=14","3.3")</f>
        <v>3.3</v>
      </c>
      <c r="G7027" s="4" t="str">
        <f>HYPERLINK("http://141.218.60.56/~jnz1568/getInfo.php?workbook=10_05.xlsx&amp;sheet=U0&amp;row=7027&amp;col=7&amp;number=0.0149&amp;sourceID=14","0.0149")</f>
        <v>0.0149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HYPERLINK("http://141.218.60.56/~jnz1568/getInfo.php?workbook=10_05.xlsx&amp;sheet=U0&amp;row=7028&amp;col=6&amp;number=3.4&amp;sourceID=14","3.4")</f>
        <v>3.4</v>
      </c>
      <c r="G7028" s="4" t="str">
        <f>HYPERLINK("http://141.218.60.56/~jnz1568/getInfo.php?workbook=10_05.xlsx&amp;sheet=U0&amp;row=7028&amp;col=7&amp;number=0.0149&amp;sourceID=14","0.0149")</f>
        <v>0.0149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HYPERLINK("http://141.218.60.56/~jnz1568/getInfo.php?workbook=10_05.xlsx&amp;sheet=U0&amp;row=7029&amp;col=6&amp;number=3.5&amp;sourceID=14","3.5")</f>
        <v>3.5</v>
      </c>
      <c r="G7029" s="4" t="str">
        <f>HYPERLINK("http://141.218.60.56/~jnz1568/getInfo.php?workbook=10_05.xlsx&amp;sheet=U0&amp;row=7029&amp;col=7&amp;number=0.0149&amp;sourceID=14","0.0149")</f>
        <v>0.0149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HYPERLINK("http://141.218.60.56/~jnz1568/getInfo.php?workbook=10_05.xlsx&amp;sheet=U0&amp;row=7030&amp;col=6&amp;number=3.6&amp;sourceID=14","3.6")</f>
        <v>3.6</v>
      </c>
      <c r="G7030" s="4" t="str">
        <f>HYPERLINK("http://141.218.60.56/~jnz1568/getInfo.php?workbook=10_05.xlsx&amp;sheet=U0&amp;row=7030&amp;col=7&amp;number=0.0148&amp;sourceID=14","0.0148")</f>
        <v>0.0148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HYPERLINK("http://141.218.60.56/~jnz1568/getInfo.php?workbook=10_05.xlsx&amp;sheet=U0&amp;row=7031&amp;col=6&amp;number=3.7&amp;sourceID=14","3.7")</f>
        <v>3.7</v>
      </c>
      <c r="G7031" s="4" t="str">
        <f>HYPERLINK("http://141.218.60.56/~jnz1568/getInfo.php?workbook=10_05.xlsx&amp;sheet=U0&amp;row=7031&amp;col=7&amp;number=0.0148&amp;sourceID=14","0.0148")</f>
        <v>0.0148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HYPERLINK("http://141.218.60.56/~jnz1568/getInfo.php?workbook=10_05.xlsx&amp;sheet=U0&amp;row=7032&amp;col=6&amp;number=3.8&amp;sourceID=14","3.8")</f>
        <v>3.8</v>
      </c>
      <c r="G7032" s="4" t="str">
        <f>HYPERLINK("http://141.218.60.56/~jnz1568/getInfo.php?workbook=10_05.xlsx&amp;sheet=U0&amp;row=7032&amp;col=7&amp;number=0.0148&amp;sourceID=14","0.0148")</f>
        <v>0.0148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HYPERLINK("http://141.218.60.56/~jnz1568/getInfo.php?workbook=10_05.xlsx&amp;sheet=U0&amp;row=7033&amp;col=6&amp;number=3.9&amp;sourceID=14","3.9")</f>
        <v>3.9</v>
      </c>
      <c r="G7033" s="4" t="str">
        <f>HYPERLINK("http://141.218.60.56/~jnz1568/getInfo.php?workbook=10_05.xlsx&amp;sheet=U0&amp;row=7033&amp;col=7&amp;number=0.0147&amp;sourceID=14","0.0147")</f>
        <v>0.0147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HYPERLINK("http://141.218.60.56/~jnz1568/getInfo.php?workbook=10_05.xlsx&amp;sheet=U0&amp;row=7034&amp;col=6&amp;number=4&amp;sourceID=14","4")</f>
        <v>4</v>
      </c>
      <c r="G7034" s="4" t="str">
        <f>HYPERLINK("http://141.218.60.56/~jnz1568/getInfo.php?workbook=10_05.xlsx&amp;sheet=U0&amp;row=7034&amp;col=7&amp;number=0.0147&amp;sourceID=14","0.0147")</f>
        <v>0.0147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HYPERLINK("http://141.218.60.56/~jnz1568/getInfo.php?workbook=10_05.xlsx&amp;sheet=U0&amp;row=7035&amp;col=6&amp;number=4.1&amp;sourceID=14","4.1")</f>
        <v>4.1</v>
      </c>
      <c r="G7035" s="4" t="str">
        <f>HYPERLINK("http://141.218.60.56/~jnz1568/getInfo.php?workbook=10_05.xlsx&amp;sheet=U0&amp;row=7035&amp;col=7&amp;number=0.0146&amp;sourceID=14","0.0146")</f>
        <v>0.0146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HYPERLINK("http://141.218.60.56/~jnz1568/getInfo.php?workbook=10_05.xlsx&amp;sheet=U0&amp;row=7036&amp;col=6&amp;number=4.2&amp;sourceID=14","4.2")</f>
        <v>4.2</v>
      </c>
      <c r="G7036" s="4" t="str">
        <f>HYPERLINK("http://141.218.60.56/~jnz1568/getInfo.php?workbook=10_05.xlsx&amp;sheet=U0&amp;row=7036&amp;col=7&amp;number=0.0146&amp;sourceID=14","0.0146")</f>
        <v>0.0146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HYPERLINK("http://141.218.60.56/~jnz1568/getInfo.php?workbook=10_05.xlsx&amp;sheet=U0&amp;row=7037&amp;col=6&amp;number=4.3&amp;sourceID=14","4.3")</f>
        <v>4.3</v>
      </c>
      <c r="G7037" s="4" t="str">
        <f>HYPERLINK("http://141.218.60.56/~jnz1568/getInfo.php?workbook=10_05.xlsx&amp;sheet=U0&amp;row=7037&amp;col=7&amp;number=0.0145&amp;sourceID=14","0.0145")</f>
        <v>0.0145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HYPERLINK("http://141.218.60.56/~jnz1568/getInfo.php?workbook=10_05.xlsx&amp;sheet=U0&amp;row=7038&amp;col=6&amp;number=4.4&amp;sourceID=14","4.4")</f>
        <v>4.4</v>
      </c>
      <c r="G7038" s="4" t="str">
        <f>HYPERLINK("http://141.218.60.56/~jnz1568/getInfo.php?workbook=10_05.xlsx&amp;sheet=U0&amp;row=7038&amp;col=7&amp;number=0.0145&amp;sourceID=14","0.0145")</f>
        <v>0.0145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HYPERLINK("http://141.218.60.56/~jnz1568/getInfo.php?workbook=10_05.xlsx&amp;sheet=U0&amp;row=7039&amp;col=6&amp;number=4.5&amp;sourceID=14","4.5")</f>
        <v>4.5</v>
      </c>
      <c r="G7039" s="4" t="str">
        <f>HYPERLINK("http://141.218.60.56/~jnz1568/getInfo.php?workbook=10_05.xlsx&amp;sheet=U0&amp;row=7039&amp;col=7&amp;number=0.0145&amp;sourceID=14","0.0145")</f>
        <v>0.0145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HYPERLINK("http://141.218.60.56/~jnz1568/getInfo.php?workbook=10_05.xlsx&amp;sheet=U0&amp;row=7040&amp;col=6&amp;number=4.6&amp;sourceID=14","4.6")</f>
        <v>4.6</v>
      </c>
      <c r="G7040" s="4" t="str">
        <f>HYPERLINK("http://141.218.60.56/~jnz1568/getInfo.php?workbook=10_05.xlsx&amp;sheet=U0&amp;row=7040&amp;col=7&amp;number=0.0145&amp;sourceID=14","0.0145")</f>
        <v>0.0145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HYPERLINK("http://141.218.60.56/~jnz1568/getInfo.php?workbook=10_05.xlsx&amp;sheet=U0&amp;row=7041&amp;col=6&amp;number=4.7&amp;sourceID=14","4.7")</f>
        <v>4.7</v>
      </c>
      <c r="G7041" s="4" t="str">
        <f>HYPERLINK("http://141.218.60.56/~jnz1568/getInfo.php?workbook=10_05.xlsx&amp;sheet=U0&amp;row=7041&amp;col=7&amp;number=0.0146&amp;sourceID=14","0.0146")</f>
        <v>0.0146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HYPERLINK("http://141.218.60.56/~jnz1568/getInfo.php?workbook=10_05.xlsx&amp;sheet=U0&amp;row=7042&amp;col=6&amp;number=4.8&amp;sourceID=14","4.8")</f>
        <v>4.8</v>
      </c>
      <c r="G7042" s="4" t="str">
        <f>HYPERLINK("http://141.218.60.56/~jnz1568/getInfo.php?workbook=10_05.xlsx&amp;sheet=U0&amp;row=7042&amp;col=7&amp;number=0.0147&amp;sourceID=14","0.0147")</f>
        <v>0.0147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HYPERLINK("http://141.218.60.56/~jnz1568/getInfo.php?workbook=10_05.xlsx&amp;sheet=U0&amp;row=7043&amp;col=6&amp;number=4.9&amp;sourceID=14","4.9")</f>
        <v>4.9</v>
      </c>
      <c r="G7043" s="4" t="str">
        <f>HYPERLINK("http://141.218.60.56/~jnz1568/getInfo.php?workbook=10_05.xlsx&amp;sheet=U0&amp;row=7043&amp;col=7&amp;number=0.0148&amp;sourceID=14","0.0148")</f>
        <v>0.0148</v>
      </c>
    </row>
    <row r="7044" spans="1:7">
      <c r="A7044" s="3">
        <v>10</v>
      </c>
      <c r="B7044" s="3">
        <v>5</v>
      </c>
      <c r="C7044" s="3">
        <v>2</v>
      </c>
      <c r="D7044" s="3">
        <v>176</v>
      </c>
      <c r="E7044" s="3">
        <v>1</v>
      </c>
      <c r="F7044" s="4" t="str">
        <f>HYPERLINK("http://141.218.60.56/~jnz1568/getInfo.php?workbook=10_05.xlsx&amp;sheet=U0&amp;row=7044&amp;col=6&amp;number=3&amp;sourceID=14","3")</f>
        <v>3</v>
      </c>
      <c r="G7044" s="4" t="str">
        <f>HYPERLINK("http://141.218.60.56/~jnz1568/getInfo.php?workbook=10_05.xlsx&amp;sheet=U0&amp;row=7044&amp;col=7&amp;number=0.00755&amp;sourceID=14","0.00755")</f>
        <v>0.00755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HYPERLINK("http://141.218.60.56/~jnz1568/getInfo.php?workbook=10_05.xlsx&amp;sheet=U0&amp;row=7045&amp;col=6&amp;number=3.1&amp;sourceID=14","3.1")</f>
        <v>3.1</v>
      </c>
      <c r="G7045" s="4" t="str">
        <f>HYPERLINK("http://141.218.60.56/~jnz1568/getInfo.php?workbook=10_05.xlsx&amp;sheet=U0&amp;row=7045&amp;col=7&amp;number=0.00755&amp;sourceID=14","0.00755")</f>
        <v>0.00755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HYPERLINK("http://141.218.60.56/~jnz1568/getInfo.php?workbook=10_05.xlsx&amp;sheet=U0&amp;row=7046&amp;col=6&amp;number=3.2&amp;sourceID=14","3.2")</f>
        <v>3.2</v>
      </c>
      <c r="G7046" s="4" t="str">
        <f>HYPERLINK("http://141.218.60.56/~jnz1568/getInfo.php?workbook=10_05.xlsx&amp;sheet=U0&amp;row=7046&amp;col=7&amp;number=0.00754&amp;sourceID=14","0.00754")</f>
        <v>0.00754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HYPERLINK("http://141.218.60.56/~jnz1568/getInfo.php?workbook=10_05.xlsx&amp;sheet=U0&amp;row=7047&amp;col=6&amp;number=3.3&amp;sourceID=14","3.3")</f>
        <v>3.3</v>
      </c>
      <c r="G7047" s="4" t="str">
        <f>HYPERLINK("http://141.218.60.56/~jnz1568/getInfo.php?workbook=10_05.xlsx&amp;sheet=U0&amp;row=7047&amp;col=7&amp;number=0.00754&amp;sourceID=14","0.00754")</f>
        <v>0.00754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HYPERLINK("http://141.218.60.56/~jnz1568/getInfo.php?workbook=10_05.xlsx&amp;sheet=U0&amp;row=7048&amp;col=6&amp;number=3.4&amp;sourceID=14","3.4")</f>
        <v>3.4</v>
      </c>
      <c r="G7048" s="4" t="str">
        <f>HYPERLINK("http://141.218.60.56/~jnz1568/getInfo.php?workbook=10_05.xlsx&amp;sheet=U0&amp;row=7048&amp;col=7&amp;number=0.00753&amp;sourceID=14","0.00753")</f>
        <v>0.00753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HYPERLINK("http://141.218.60.56/~jnz1568/getInfo.php?workbook=10_05.xlsx&amp;sheet=U0&amp;row=7049&amp;col=6&amp;number=3.5&amp;sourceID=14","3.5")</f>
        <v>3.5</v>
      </c>
      <c r="G7049" s="4" t="str">
        <f>HYPERLINK("http://141.218.60.56/~jnz1568/getInfo.php?workbook=10_05.xlsx&amp;sheet=U0&amp;row=7049&amp;col=7&amp;number=0.00752&amp;sourceID=14","0.00752")</f>
        <v>0.00752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HYPERLINK("http://141.218.60.56/~jnz1568/getInfo.php?workbook=10_05.xlsx&amp;sheet=U0&amp;row=7050&amp;col=6&amp;number=3.6&amp;sourceID=14","3.6")</f>
        <v>3.6</v>
      </c>
      <c r="G7050" s="4" t="str">
        <f>HYPERLINK("http://141.218.60.56/~jnz1568/getInfo.php?workbook=10_05.xlsx&amp;sheet=U0&amp;row=7050&amp;col=7&amp;number=0.0075&amp;sourceID=14","0.0075")</f>
        <v>0.0075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HYPERLINK("http://141.218.60.56/~jnz1568/getInfo.php?workbook=10_05.xlsx&amp;sheet=U0&amp;row=7051&amp;col=6&amp;number=3.7&amp;sourceID=14","3.7")</f>
        <v>3.7</v>
      </c>
      <c r="G7051" s="4" t="str">
        <f>HYPERLINK("http://141.218.60.56/~jnz1568/getInfo.php?workbook=10_05.xlsx&amp;sheet=U0&amp;row=7051&amp;col=7&amp;number=0.00749&amp;sourceID=14","0.00749")</f>
        <v>0.00749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HYPERLINK("http://141.218.60.56/~jnz1568/getInfo.php?workbook=10_05.xlsx&amp;sheet=U0&amp;row=7052&amp;col=6&amp;number=3.8&amp;sourceID=14","3.8")</f>
        <v>3.8</v>
      </c>
      <c r="G7052" s="4" t="str">
        <f>HYPERLINK("http://141.218.60.56/~jnz1568/getInfo.php?workbook=10_05.xlsx&amp;sheet=U0&amp;row=7052&amp;col=7&amp;number=0.00747&amp;sourceID=14","0.00747")</f>
        <v>0.00747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HYPERLINK("http://141.218.60.56/~jnz1568/getInfo.php?workbook=10_05.xlsx&amp;sheet=U0&amp;row=7053&amp;col=6&amp;number=3.9&amp;sourceID=14","3.9")</f>
        <v>3.9</v>
      </c>
      <c r="G7053" s="4" t="str">
        <f>HYPERLINK("http://141.218.60.56/~jnz1568/getInfo.php?workbook=10_05.xlsx&amp;sheet=U0&amp;row=7053&amp;col=7&amp;number=0.00744&amp;sourceID=14","0.00744")</f>
        <v>0.00744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HYPERLINK("http://141.218.60.56/~jnz1568/getInfo.php?workbook=10_05.xlsx&amp;sheet=U0&amp;row=7054&amp;col=6&amp;number=4&amp;sourceID=14","4")</f>
        <v>4</v>
      </c>
      <c r="G7054" s="4" t="str">
        <f>HYPERLINK("http://141.218.60.56/~jnz1568/getInfo.php?workbook=10_05.xlsx&amp;sheet=U0&amp;row=7054&amp;col=7&amp;number=0.00741&amp;sourceID=14","0.00741")</f>
        <v>0.00741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HYPERLINK("http://141.218.60.56/~jnz1568/getInfo.php?workbook=10_05.xlsx&amp;sheet=U0&amp;row=7055&amp;col=6&amp;number=4.1&amp;sourceID=14","4.1")</f>
        <v>4.1</v>
      </c>
      <c r="G7055" s="4" t="str">
        <f>HYPERLINK("http://141.218.60.56/~jnz1568/getInfo.php?workbook=10_05.xlsx&amp;sheet=U0&amp;row=7055&amp;col=7&amp;number=0.00738&amp;sourceID=14","0.00738")</f>
        <v>0.00738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HYPERLINK("http://141.218.60.56/~jnz1568/getInfo.php?workbook=10_05.xlsx&amp;sheet=U0&amp;row=7056&amp;col=6&amp;number=4.2&amp;sourceID=14","4.2")</f>
        <v>4.2</v>
      </c>
      <c r="G7056" s="4" t="str">
        <f>HYPERLINK("http://141.218.60.56/~jnz1568/getInfo.php?workbook=10_05.xlsx&amp;sheet=U0&amp;row=7056&amp;col=7&amp;number=0.00734&amp;sourceID=14","0.00734")</f>
        <v>0.00734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HYPERLINK("http://141.218.60.56/~jnz1568/getInfo.php?workbook=10_05.xlsx&amp;sheet=U0&amp;row=7057&amp;col=6&amp;number=4.3&amp;sourceID=14","4.3")</f>
        <v>4.3</v>
      </c>
      <c r="G7057" s="4" t="str">
        <f>HYPERLINK("http://141.218.60.56/~jnz1568/getInfo.php?workbook=10_05.xlsx&amp;sheet=U0&amp;row=7057&amp;col=7&amp;number=0.0073&amp;sourceID=14","0.0073")</f>
        <v>0.0073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HYPERLINK("http://141.218.60.56/~jnz1568/getInfo.php?workbook=10_05.xlsx&amp;sheet=U0&amp;row=7058&amp;col=6&amp;number=4.4&amp;sourceID=14","4.4")</f>
        <v>4.4</v>
      </c>
      <c r="G7058" s="4" t="str">
        <f>HYPERLINK("http://141.218.60.56/~jnz1568/getInfo.php?workbook=10_05.xlsx&amp;sheet=U0&amp;row=7058&amp;col=7&amp;number=0.00727&amp;sourceID=14","0.00727")</f>
        <v>0.00727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HYPERLINK("http://141.218.60.56/~jnz1568/getInfo.php?workbook=10_05.xlsx&amp;sheet=U0&amp;row=7059&amp;col=6&amp;number=4.5&amp;sourceID=14","4.5")</f>
        <v>4.5</v>
      </c>
      <c r="G7059" s="4" t="str">
        <f>HYPERLINK("http://141.218.60.56/~jnz1568/getInfo.php?workbook=10_05.xlsx&amp;sheet=U0&amp;row=7059&amp;col=7&amp;number=0.00724&amp;sourceID=14","0.00724")</f>
        <v>0.00724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HYPERLINK("http://141.218.60.56/~jnz1568/getInfo.php?workbook=10_05.xlsx&amp;sheet=U0&amp;row=7060&amp;col=6&amp;number=4.6&amp;sourceID=14","4.6")</f>
        <v>4.6</v>
      </c>
      <c r="G7060" s="4" t="str">
        <f>HYPERLINK("http://141.218.60.56/~jnz1568/getInfo.php?workbook=10_05.xlsx&amp;sheet=U0&amp;row=7060&amp;col=7&amp;number=0.00723&amp;sourceID=14","0.00723")</f>
        <v>0.00723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HYPERLINK("http://141.218.60.56/~jnz1568/getInfo.php?workbook=10_05.xlsx&amp;sheet=U0&amp;row=7061&amp;col=6&amp;number=4.7&amp;sourceID=14","4.7")</f>
        <v>4.7</v>
      </c>
      <c r="G7061" s="4" t="str">
        <f>HYPERLINK("http://141.218.60.56/~jnz1568/getInfo.php?workbook=10_05.xlsx&amp;sheet=U0&amp;row=7061&amp;col=7&amp;number=0.00723&amp;sourceID=14","0.00723")</f>
        <v>0.00723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HYPERLINK("http://141.218.60.56/~jnz1568/getInfo.php?workbook=10_05.xlsx&amp;sheet=U0&amp;row=7062&amp;col=6&amp;number=4.8&amp;sourceID=14","4.8")</f>
        <v>4.8</v>
      </c>
      <c r="G7062" s="4" t="str">
        <f>HYPERLINK("http://141.218.60.56/~jnz1568/getInfo.php?workbook=10_05.xlsx&amp;sheet=U0&amp;row=7062&amp;col=7&amp;number=0.00723&amp;sourceID=14","0.00723")</f>
        <v>0.00723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HYPERLINK("http://141.218.60.56/~jnz1568/getInfo.php?workbook=10_05.xlsx&amp;sheet=U0&amp;row=7063&amp;col=6&amp;number=4.9&amp;sourceID=14","4.9")</f>
        <v>4.9</v>
      </c>
      <c r="G7063" s="4" t="str">
        <f>HYPERLINK("http://141.218.60.56/~jnz1568/getInfo.php?workbook=10_05.xlsx&amp;sheet=U0&amp;row=7063&amp;col=7&amp;number=0.00719&amp;sourceID=14","0.00719")</f>
        <v>0.00719</v>
      </c>
    </row>
    <row r="7064" spans="1:7">
      <c r="A7064" s="3">
        <v>10</v>
      </c>
      <c r="B7064" s="3">
        <v>5</v>
      </c>
      <c r="C7064" s="3">
        <v>2</v>
      </c>
      <c r="D7064" s="3">
        <v>177</v>
      </c>
      <c r="E7064" s="3">
        <v>1</v>
      </c>
      <c r="F7064" s="4" t="str">
        <f>HYPERLINK("http://141.218.60.56/~jnz1568/getInfo.php?workbook=10_05.xlsx&amp;sheet=U0&amp;row=7064&amp;col=6&amp;number=3&amp;sourceID=14","3")</f>
        <v>3</v>
      </c>
      <c r="G7064" s="4" t="str">
        <f>HYPERLINK("http://141.218.60.56/~jnz1568/getInfo.php?workbook=10_05.xlsx&amp;sheet=U0&amp;row=7064&amp;col=7&amp;number=0.00536&amp;sourceID=14","0.00536")</f>
        <v>0.00536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HYPERLINK("http://141.218.60.56/~jnz1568/getInfo.php?workbook=10_05.xlsx&amp;sheet=U0&amp;row=7065&amp;col=6&amp;number=3.1&amp;sourceID=14","3.1")</f>
        <v>3.1</v>
      </c>
      <c r="G7065" s="4" t="str">
        <f>HYPERLINK("http://141.218.60.56/~jnz1568/getInfo.php?workbook=10_05.xlsx&amp;sheet=U0&amp;row=7065&amp;col=7&amp;number=0.00536&amp;sourceID=14","0.00536")</f>
        <v>0.00536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HYPERLINK("http://141.218.60.56/~jnz1568/getInfo.php?workbook=10_05.xlsx&amp;sheet=U0&amp;row=7066&amp;col=6&amp;number=3.2&amp;sourceID=14","3.2")</f>
        <v>3.2</v>
      </c>
      <c r="G7066" s="4" t="str">
        <f>HYPERLINK("http://141.218.60.56/~jnz1568/getInfo.php?workbook=10_05.xlsx&amp;sheet=U0&amp;row=7066&amp;col=7&amp;number=0.00536&amp;sourceID=14","0.00536")</f>
        <v>0.00536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HYPERLINK("http://141.218.60.56/~jnz1568/getInfo.php?workbook=10_05.xlsx&amp;sheet=U0&amp;row=7067&amp;col=6&amp;number=3.3&amp;sourceID=14","3.3")</f>
        <v>3.3</v>
      </c>
      <c r="G7067" s="4" t="str">
        <f>HYPERLINK("http://141.218.60.56/~jnz1568/getInfo.php?workbook=10_05.xlsx&amp;sheet=U0&amp;row=7067&amp;col=7&amp;number=0.00536&amp;sourceID=14","0.00536")</f>
        <v>0.00536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HYPERLINK("http://141.218.60.56/~jnz1568/getInfo.php?workbook=10_05.xlsx&amp;sheet=U0&amp;row=7068&amp;col=6&amp;number=3.4&amp;sourceID=14","3.4")</f>
        <v>3.4</v>
      </c>
      <c r="G7068" s="4" t="str">
        <f>HYPERLINK("http://141.218.60.56/~jnz1568/getInfo.php?workbook=10_05.xlsx&amp;sheet=U0&amp;row=7068&amp;col=7&amp;number=0.00536&amp;sourceID=14","0.00536")</f>
        <v>0.00536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HYPERLINK("http://141.218.60.56/~jnz1568/getInfo.php?workbook=10_05.xlsx&amp;sheet=U0&amp;row=7069&amp;col=6&amp;number=3.5&amp;sourceID=14","3.5")</f>
        <v>3.5</v>
      </c>
      <c r="G7069" s="4" t="str">
        <f>HYPERLINK("http://141.218.60.56/~jnz1568/getInfo.php?workbook=10_05.xlsx&amp;sheet=U0&amp;row=7069&amp;col=7&amp;number=0.00536&amp;sourceID=14","0.00536")</f>
        <v>0.00536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HYPERLINK("http://141.218.60.56/~jnz1568/getInfo.php?workbook=10_05.xlsx&amp;sheet=U0&amp;row=7070&amp;col=6&amp;number=3.6&amp;sourceID=14","3.6")</f>
        <v>3.6</v>
      </c>
      <c r="G7070" s="4" t="str">
        <f>HYPERLINK("http://141.218.60.56/~jnz1568/getInfo.php?workbook=10_05.xlsx&amp;sheet=U0&amp;row=7070&amp;col=7&amp;number=0.00536&amp;sourceID=14","0.00536")</f>
        <v>0.00536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HYPERLINK("http://141.218.60.56/~jnz1568/getInfo.php?workbook=10_05.xlsx&amp;sheet=U0&amp;row=7071&amp;col=6&amp;number=3.7&amp;sourceID=14","3.7")</f>
        <v>3.7</v>
      </c>
      <c r="G7071" s="4" t="str">
        <f>HYPERLINK("http://141.218.60.56/~jnz1568/getInfo.php?workbook=10_05.xlsx&amp;sheet=U0&amp;row=7071&amp;col=7&amp;number=0.00536&amp;sourceID=14","0.00536")</f>
        <v>0.00536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HYPERLINK("http://141.218.60.56/~jnz1568/getInfo.php?workbook=10_05.xlsx&amp;sheet=U0&amp;row=7072&amp;col=6&amp;number=3.8&amp;sourceID=14","3.8")</f>
        <v>3.8</v>
      </c>
      <c r="G7072" s="4" t="str">
        <f>HYPERLINK("http://141.218.60.56/~jnz1568/getInfo.php?workbook=10_05.xlsx&amp;sheet=U0&amp;row=7072&amp;col=7&amp;number=0.00537&amp;sourceID=14","0.00537")</f>
        <v>0.00537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HYPERLINK("http://141.218.60.56/~jnz1568/getInfo.php?workbook=10_05.xlsx&amp;sheet=U0&amp;row=7073&amp;col=6&amp;number=3.9&amp;sourceID=14","3.9")</f>
        <v>3.9</v>
      </c>
      <c r="G7073" s="4" t="str">
        <f>HYPERLINK("http://141.218.60.56/~jnz1568/getInfo.php?workbook=10_05.xlsx&amp;sheet=U0&amp;row=7073&amp;col=7&amp;number=0.00537&amp;sourceID=14","0.00537")</f>
        <v>0.00537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HYPERLINK("http://141.218.60.56/~jnz1568/getInfo.php?workbook=10_05.xlsx&amp;sheet=U0&amp;row=7074&amp;col=6&amp;number=4&amp;sourceID=14","4")</f>
        <v>4</v>
      </c>
      <c r="G7074" s="4" t="str">
        <f>HYPERLINK("http://141.218.60.56/~jnz1568/getInfo.php?workbook=10_05.xlsx&amp;sheet=U0&amp;row=7074&amp;col=7&amp;number=0.00537&amp;sourceID=14","0.00537")</f>
        <v>0.00537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HYPERLINK("http://141.218.60.56/~jnz1568/getInfo.php?workbook=10_05.xlsx&amp;sheet=U0&amp;row=7075&amp;col=6&amp;number=4.1&amp;sourceID=14","4.1")</f>
        <v>4.1</v>
      </c>
      <c r="G7075" s="4" t="str">
        <f>HYPERLINK("http://141.218.60.56/~jnz1568/getInfo.php?workbook=10_05.xlsx&amp;sheet=U0&amp;row=7075&amp;col=7&amp;number=0.00537&amp;sourceID=14","0.00537")</f>
        <v>0.00537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HYPERLINK("http://141.218.60.56/~jnz1568/getInfo.php?workbook=10_05.xlsx&amp;sheet=U0&amp;row=7076&amp;col=6&amp;number=4.2&amp;sourceID=14","4.2")</f>
        <v>4.2</v>
      </c>
      <c r="G7076" s="4" t="str">
        <f>HYPERLINK("http://141.218.60.56/~jnz1568/getInfo.php?workbook=10_05.xlsx&amp;sheet=U0&amp;row=7076&amp;col=7&amp;number=0.00538&amp;sourceID=14","0.00538")</f>
        <v>0.00538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HYPERLINK("http://141.218.60.56/~jnz1568/getInfo.php?workbook=10_05.xlsx&amp;sheet=U0&amp;row=7077&amp;col=6&amp;number=4.3&amp;sourceID=14","4.3")</f>
        <v>4.3</v>
      </c>
      <c r="G7077" s="4" t="str">
        <f>HYPERLINK("http://141.218.60.56/~jnz1568/getInfo.php?workbook=10_05.xlsx&amp;sheet=U0&amp;row=7077&amp;col=7&amp;number=0.00538&amp;sourceID=14","0.00538")</f>
        <v>0.00538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HYPERLINK("http://141.218.60.56/~jnz1568/getInfo.php?workbook=10_05.xlsx&amp;sheet=U0&amp;row=7078&amp;col=6&amp;number=4.4&amp;sourceID=14","4.4")</f>
        <v>4.4</v>
      </c>
      <c r="G7078" s="4" t="str">
        <f>HYPERLINK("http://141.218.60.56/~jnz1568/getInfo.php?workbook=10_05.xlsx&amp;sheet=U0&amp;row=7078&amp;col=7&amp;number=0.00539&amp;sourceID=14","0.00539")</f>
        <v>0.00539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HYPERLINK("http://141.218.60.56/~jnz1568/getInfo.php?workbook=10_05.xlsx&amp;sheet=U0&amp;row=7079&amp;col=6&amp;number=4.5&amp;sourceID=14","4.5")</f>
        <v>4.5</v>
      </c>
      <c r="G7079" s="4" t="str">
        <f>HYPERLINK("http://141.218.60.56/~jnz1568/getInfo.php?workbook=10_05.xlsx&amp;sheet=U0&amp;row=7079&amp;col=7&amp;number=0.0054&amp;sourceID=14","0.0054")</f>
        <v>0.0054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HYPERLINK("http://141.218.60.56/~jnz1568/getInfo.php?workbook=10_05.xlsx&amp;sheet=U0&amp;row=7080&amp;col=6&amp;number=4.6&amp;sourceID=14","4.6")</f>
        <v>4.6</v>
      </c>
      <c r="G7080" s="4" t="str">
        <f>HYPERLINK("http://141.218.60.56/~jnz1568/getInfo.php?workbook=10_05.xlsx&amp;sheet=U0&amp;row=7080&amp;col=7&amp;number=0.00541&amp;sourceID=14","0.00541")</f>
        <v>0.00541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HYPERLINK("http://141.218.60.56/~jnz1568/getInfo.php?workbook=10_05.xlsx&amp;sheet=U0&amp;row=7081&amp;col=6&amp;number=4.7&amp;sourceID=14","4.7")</f>
        <v>4.7</v>
      </c>
      <c r="G7081" s="4" t="str">
        <f>HYPERLINK("http://141.218.60.56/~jnz1568/getInfo.php?workbook=10_05.xlsx&amp;sheet=U0&amp;row=7081&amp;col=7&amp;number=0.00542&amp;sourceID=14","0.00542")</f>
        <v>0.00542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HYPERLINK("http://141.218.60.56/~jnz1568/getInfo.php?workbook=10_05.xlsx&amp;sheet=U0&amp;row=7082&amp;col=6&amp;number=4.8&amp;sourceID=14","4.8")</f>
        <v>4.8</v>
      </c>
      <c r="G7082" s="4" t="str">
        <f>HYPERLINK("http://141.218.60.56/~jnz1568/getInfo.php?workbook=10_05.xlsx&amp;sheet=U0&amp;row=7082&amp;col=7&amp;number=0.00544&amp;sourceID=14","0.00544")</f>
        <v>0.00544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HYPERLINK("http://141.218.60.56/~jnz1568/getInfo.php?workbook=10_05.xlsx&amp;sheet=U0&amp;row=7083&amp;col=6&amp;number=4.9&amp;sourceID=14","4.9")</f>
        <v>4.9</v>
      </c>
      <c r="G7083" s="4" t="str">
        <f>HYPERLINK("http://141.218.60.56/~jnz1568/getInfo.php?workbook=10_05.xlsx&amp;sheet=U0&amp;row=7083&amp;col=7&amp;number=0.00546&amp;sourceID=14","0.00546")</f>
        <v>0.00546</v>
      </c>
    </row>
    <row r="7084" spans="1:7">
      <c r="A7084" s="3">
        <v>10</v>
      </c>
      <c r="B7084" s="3">
        <v>5</v>
      </c>
      <c r="C7084" s="3">
        <v>2</v>
      </c>
      <c r="D7084" s="3">
        <v>178</v>
      </c>
      <c r="E7084" s="3">
        <v>1</v>
      </c>
      <c r="F7084" s="4" t="str">
        <f>HYPERLINK("http://141.218.60.56/~jnz1568/getInfo.php?workbook=10_05.xlsx&amp;sheet=U0&amp;row=7084&amp;col=6&amp;number=3&amp;sourceID=14","3")</f>
        <v>3</v>
      </c>
      <c r="G7084" s="4" t="str">
        <f>HYPERLINK("http://141.218.60.56/~jnz1568/getInfo.php?workbook=10_05.xlsx&amp;sheet=U0&amp;row=7084&amp;col=7&amp;number=0.00956&amp;sourceID=14","0.00956")</f>
        <v>0.00956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HYPERLINK("http://141.218.60.56/~jnz1568/getInfo.php?workbook=10_05.xlsx&amp;sheet=U0&amp;row=7085&amp;col=6&amp;number=3.1&amp;sourceID=14","3.1")</f>
        <v>3.1</v>
      </c>
      <c r="G7085" s="4" t="str">
        <f>HYPERLINK("http://141.218.60.56/~jnz1568/getInfo.php?workbook=10_05.xlsx&amp;sheet=U0&amp;row=7085&amp;col=7&amp;number=0.00956&amp;sourceID=14","0.00956")</f>
        <v>0.00956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HYPERLINK("http://141.218.60.56/~jnz1568/getInfo.php?workbook=10_05.xlsx&amp;sheet=U0&amp;row=7086&amp;col=6&amp;number=3.2&amp;sourceID=14","3.2")</f>
        <v>3.2</v>
      </c>
      <c r="G7086" s="4" t="str">
        <f>HYPERLINK("http://141.218.60.56/~jnz1568/getInfo.php?workbook=10_05.xlsx&amp;sheet=U0&amp;row=7086&amp;col=7&amp;number=0.00956&amp;sourceID=14","0.00956")</f>
        <v>0.00956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HYPERLINK("http://141.218.60.56/~jnz1568/getInfo.php?workbook=10_05.xlsx&amp;sheet=U0&amp;row=7087&amp;col=6&amp;number=3.3&amp;sourceID=14","3.3")</f>
        <v>3.3</v>
      </c>
      <c r="G7087" s="4" t="str">
        <f>HYPERLINK("http://141.218.60.56/~jnz1568/getInfo.php?workbook=10_05.xlsx&amp;sheet=U0&amp;row=7087&amp;col=7&amp;number=0.00956&amp;sourceID=14","0.00956")</f>
        <v>0.00956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HYPERLINK("http://141.218.60.56/~jnz1568/getInfo.php?workbook=10_05.xlsx&amp;sheet=U0&amp;row=7088&amp;col=6&amp;number=3.4&amp;sourceID=14","3.4")</f>
        <v>3.4</v>
      </c>
      <c r="G7088" s="4" t="str">
        <f>HYPERLINK("http://141.218.60.56/~jnz1568/getInfo.php?workbook=10_05.xlsx&amp;sheet=U0&amp;row=7088&amp;col=7&amp;number=0.00955&amp;sourceID=14","0.00955")</f>
        <v>0.00955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HYPERLINK("http://141.218.60.56/~jnz1568/getInfo.php?workbook=10_05.xlsx&amp;sheet=U0&amp;row=7089&amp;col=6&amp;number=3.5&amp;sourceID=14","3.5")</f>
        <v>3.5</v>
      </c>
      <c r="G7089" s="4" t="str">
        <f>HYPERLINK("http://141.218.60.56/~jnz1568/getInfo.php?workbook=10_05.xlsx&amp;sheet=U0&amp;row=7089&amp;col=7&amp;number=0.00955&amp;sourceID=14","0.00955")</f>
        <v>0.00955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HYPERLINK("http://141.218.60.56/~jnz1568/getInfo.php?workbook=10_05.xlsx&amp;sheet=U0&amp;row=7090&amp;col=6&amp;number=3.6&amp;sourceID=14","3.6")</f>
        <v>3.6</v>
      </c>
      <c r="G7090" s="4" t="str">
        <f>HYPERLINK("http://141.218.60.56/~jnz1568/getInfo.php?workbook=10_05.xlsx&amp;sheet=U0&amp;row=7090&amp;col=7&amp;number=0.00955&amp;sourceID=14","0.00955")</f>
        <v>0.00955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HYPERLINK("http://141.218.60.56/~jnz1568/getInfo.php?workbook=10_05.xlsx&amp;sheet=U0&amp;row=7091&amp;col=6&amp;number=3.7&amp;sourceID=14","3.7")</f>
        <v>3.7</v>
      </c>
      <c r="G7091" s="4" t="str">
        <f>HYPERLINK("http://141.218.60.56/~jnz1568/getInfo.php?workbook=10_05.xlsx&amp;sheet=U0&amp;row=7091&amp;col=7&amp;number=0.00954&amp;sourceID=14","0.00954")</f>
        <v>0.00954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HYPERLINK("http://141.218.60.56/~jnz1568/getInfo.php?workbook=10_05.xlsx&amp;sheet=U0&amp;row=7092&amp;col=6&amp;number=3.8&amp;sourceID=14","3.8")</f>
        <v>3.8</v>
      </c>
      <c r="G7092" s="4" t="str">
        <f>HYPERLINK("http://141.218.60.56/~jnz1568/getInfo.php?workbook=10_05.xlsx&amp;sheet=U0&amp;row=7092&amp;col=7&amp;number=0.00953&amp;sourceID=14","0.00953")</f>
        <v>0.00953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HYPERLINK("http://141.218.60.56/~jnz1568/getInfo.php?workbook=10_05.xlsx&amp;sheet=U0&amp;row=7093&amp;col=6&amp;number=3.9&amp;sourceID=14","3.9")</f>
        <v>3.9</v>
      </c>
      <c r="G7093" s="4" t="str">
        <f>HYPERLINK("http://141.218.60.56/~jnz1568/getInfo.php?workbook=10_05.xlsx&amp;sheet=U0&amp;row=7093&amp;col=7&amp;number=0.00952&amp;sourceID=14","0.00952")</f>
        <v>0.00952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HYPERLINK("http://141.218.60.56/~jnz1568/getInfo.php?workbook=10_05.xlsx&amp;sheet=U0&amp;row=7094&amp;col=6&amp;number=4&amp;sourceID=14","4")</f>
        <v>4</v>
      </c>
      <c r="G7094" s="4" t="str">
        <f>HYPERLINK("http://141.218.60.56/~jnz1568/getInfo.php?workbook=10_05.xlsx&amp;sheet=U0&amp;row=7094&amp;col=7&amp;number=0.00951&amp;sourceID=14","0.00951")</f>
        <v>0.00951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HYPERLINK("http://141.218.60.56/~jnz1568/getInfo.php?workbook=10_05.xlsx&amp;sheet=U0&amp;row=7095&amp;col=6&amp;number=4.1&amp;sourceID=14","4.1")</f>
        <v>4.1</v>
      </c>
      <c r="G7095" s="4" t="str">
        <f>HYPERLINK("http://141.218.60.56/~jnz1568/getInfo.php?workbook=10_05.xlsx&amp;sheet=U0&amp;row=7095&amp;col=7&amp;number=0.0095&amp;sourceID=14","0.0095")</f>
        <v>0.0095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HYPERLINK("http://141.218.60.56/~jnz1568/getInfo.php?workbook=10_05.xlsx&amp;sheet=U0&amp;row=7096&amp;col=6&amp;number=4.2&amp;sourceID=14","4.2")</f>
        <v>4.2</v>
      </c>
      <c r="G7096" s="4" t="str">
        <f>HYPERLINK("http://141.218.60.56/~jnz1568/getInfo.php?workbook=10_05.xlsx&amp;sheet=U0&amp;row=7096&amp;col=7&amp;number=0.00949&amp;sourceID=14","0.00949")</f>
        <v>0.00949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HYPERLINK("http://141.218.60.56/~jnz1568/getInfo.php?workbook=10_05.xlsx&amp;sheet=U0&amp;row=7097&amp;col=6&amp;number=4.3&amp;sourceID=14","4.3")</f>
        <v>4.3</v>
      </c>
      <c r="G7097" s="4" t="str">
        <f>HYPERLINK("http://141.218.60.56/~jnz1568/getInfo.php?workbook=10_05.xlsx&amp;sheet=U0&amp;row=7097&amp;col=7&amp;number=0.00948&amp;sourceID=14","0.00948")</f>
        <v>0.00948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HYPERLINK("http://141.218.60.56/~jnz1568/getInfo.php?workbook=10_05.xlsx&amp;sheet=U0&amp;row=7098&amp;col=6&amp;number=4.4&amp;sourceID=14","4.4")</f>
        <v>4.4</v>
      </c>
      <c r="G7098" s="4" t="str">
        <f>HYPERLINK("http://141.218.60.56/~jnz1568/getInfo.php?workbook=10_05.xlsx&amp;sheet=U0&amp;row=7098&amp;col=7&amp;number=0.00948&amp;sourceID=14","0.00948")</f>
        <v>0.00948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HYPERLINK("http://141.218.60.56/~jnz1568/getInfo.php?workbook=10_05.xlsx&amp;sheet=U0&amp;row=7099&amp;col=6&amp;number=4.5&amp;sourceID=14","4.5")</f>
        <v>4.5</v>
      </c>
      <c r="G7099" s="4" t="str">
        <f>HYPERLINK("http://141.218.60.56/~jnz1568/getInfo.php?workbook=10_05.xlsx&amp;sheet=U0&amp;row=7099&amp;col=7&amp;number=0.0095&amp;sourceID=14","0.0095")</f>
        <v>0.0095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HYPERLINK("http://141.218.60.56/~jnz1568/getInfo.php?workbook=10_05.xlsx&amp;sheet=U0&amp;row=7100&amp;col=6&amp;number=4.6&amp;sourceID=14","4.6")</f>
        <v>4.6</v>
      </c>
      <c r="G7100" s="4" t="str">
        <f>HYPERLINK("http://141.218.60.56/~jnz1568/getInfo.php?workbook=10_05.xlsx&amp;sheet=U0&amp;row=7100&amp;col=7&amp;number=0.00953&amp;sourceID=14","0.00953")</f>
        <v>0.00953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HYPERLINK("http://141.218.60.56/~jnz1568/getInfo.php?workbook=10_05.xlsx&amp;sheet=U0&amp;row=7101&amp;col=6&amp;number=4.7&amp;sourceID=14","4.7")</f>
        <v>4.7</v>
      </c>
      <c r="G7101" s="4" t="str">
        <f>HYPERLINK("http://141.218.60.56/~jnz1568/getInfo.php?workbook=10_05.xlsx&amp;sheet=U0&amp;row=7101&amp;col=7&amp;number=0.00957&amp;sourceID=14","0.00957")</f>
        <v>0.00957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HYPERLINK("http://141.218.60.56/~jnz1568/getInfo.php?workbook=10_05.xlsx&amp;sheet=U0&amp;row=7102&amp;col=6&amp;number=4.8&amp;sourceID=14","4.8")</f>
        <v>4.8</v>
      </c>
      <c r="G7102" s="4" t="str">
        <f>HYPERLINK("http://141.218.60.56/~jnz1568/getInfo.php?workbook=10_05.xlsx&amp;sheet=U0&amp;row=7102&amp;col=7&amp;number=0.00963&amp;sourceID=14","0.00963")</f>
        <v>0.00963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HYPERLINK("http://141.218.60.56/~jnz1568/getInfo.php?workbook=10_05.xlsx&amp;sheet=U0&amp;row=7103&amp;col=6&amp;number=4.9&amp;sourceID=14","4.9")</f>
        <v>4.9</v>
      </c>
      <c r="G7103" s="4" t="str">
        <f>HYPERLINK("http://141.218.60.56/~jnz1568/getInfo.php?workbook=10_05.xlsx&amp;sheet=U0&amp;row=7103&amp;col=7&amp;number=0.00968&amp;sourceID=14","0.00968")</f>
        <v>0.00968</v>
      </c>
    </row>
    <row r="7104" spans="1:7">
      <c r="A7104" s="3">
        <v>10</v>
      </c>
      <c r="B7104" s="3">
        <v>5</v>
      </c>
      <c r="C7104" s="3">
        <v>2</v>
      </c>
      <c r="D7104" s="3">
        <v>179</v>
      </c>
      <c r="E7104" s="3">
        <v>1</v>
      </c>
      <c r="F7104" s="4" t="str">
        <f>HYPERLINK("http://141.218.60.56/~jnz1568/getInfo.php?workbook=10_05.xlsx&amp;sheet=U0&amp;row=7104&amp;col=6&amp;number=3&amp;sourceID=14","3")</f>
        <v>3</v>
      </c>
      <c r="G7104" s="4" t="str">
        <f>HYPERLINK("http://141.218.60.56/~jnz1568/getInfo.php?workbook=10_05.xlsx&amp;sheet=U0&amp;row=7104&amp;col=7&amp;number=0.0026&amp;sourceID=14","0.0026")</f>
        <v>0.0026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HYPERLINK("http://141.218.60.56/~jnz1568/getInfo.php?workbook=10_05.xlsx&amp;sheet=U0&amp;row=7105&amp;col=6&amp;number=3.1&amp;sourceID=14","3.1")</f>
        <v>3.1</v>
      </c>
      <c r="G7105" s="4" t="str">
        <f>HYPERLINK("http://141.218.60.56/~jnz1568/getInfo.php?workbook=10_05.xlsx&amp;sheet=U0&amp;row=7105&amp;col=7&amp;number=0.0026&amp;sourceID=14","0.0026")</f>
        <v>0.0026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HYPERLINK("http://141.218.60.56/~jnz1568/getInfo.php?workbook=10_05.xlsx&amp;sheet=U0&amp;row=7106&amp;col=6&amp;number=3.2&amp;sourceID=14","3.2")</f>
        <v>3.2</v>
      </c>
      <c r="G7106" s="4" t="str">
        <f>HYPERLINK("http://141.218.60.56/~jnz1568/getInfo.php?workbook=10_05.xlsx&amp;sheet=U0&amp;row=7106&amp;col=7&amp;number=0.0026&amp;sourceID=14","0.0026")</f>
        <v>0.0026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HYPERLINK("http://141.218.60.56/~jnz1568/getInfo.php?workbook=10_05.xlsx&amp;sheet=U0&amp;row=7107&amp;col=6&amp;number=3.3&amp;sourceID=14","3.3")</f>
        <v>3.3</v>
      </c>
      <c r="G7107" s="4" t="str">
        <f>HYPERLINK("http://141.218.60.56/~jnz1568/getInfo.php?workbook=10_05.xlsx&amp;sheet=U0&amp;row=7107&amp;col=7&amp;number=0.0026&amp;sourceID=14","0.0026")</f>
        <v>0.0026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HYPERLINK("http://141.218.60.56/~jnz1568/getInfo.php?workbook=10_05.xlsx&amp;sheet=U0&amp;row=7108&amp;col=6&amp;number=3.4&amp;sourceID=14","3.4")</f>
        <v>3.4</v>
      </c>
      <c r="G7108" s="4" t="str">
        <f>HYPERLINK("http://141.218.60.56/~jnz1568/getInfo.php?workbook=10_05.xlsx&amp;sheet=U0&amp;row=7108&amp;col=7&amp;number=0.0026&amp;sourceID=14","0.0026")</f>
        <v>0.0026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HYPERLINK("http://141.218.60.56/~jnz1568/getInfo.php?workbook=10_05.xlsx&amp;sheet=U0&amp;row=7109&amp;col=6&amp;number=3.5&amp;sourceID=14","3.5")</f>
        <v>3.5</v>
      </c>
      <c r="G7109" s="4" t="str">
        <f>HYPERLINK("http://141.218.60.56/~jnz1568/getInfo.php?workbook=10_05.xlsx&amp;sheet=U0&amp;row=7109&amp;col=7&amp;number=0.0026&amp;sourceID=14","0.0026")</f>
        <v>0.0026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HYPERLINK("http://141.218.60.56/~jnz1568/getInfo.php?workbook=10_05.xlsx&amp;sheet=U0&amp;row=7110&amp;col=6&amp;number=3.6&amp;sourceID=14","3.6")</f>
        <v>3.6</v>
      </c>
      <c r="G7110" s="4" t="str">
        <f>HYPERLINK("http://141.218.60.56/~jnz1568/getInfo.php?workbook=10_05.xlsx&amp;sheet=U0&amp;row=7110&amp;col=7&amp;number=0.00261&amp;sourceID=14","0.00261")</f>
        <v>0.00261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HYPERLINK("http://141.218.60.56/~jnz1568/getInfo.php?workbook=10_05.xlsx&amp;sheet=U0&amp;row=7111&amp;col=6&amp;number=3.7&amp;sourceID=14","3.7")</f>
        <v>3.7</v>
      </c>
      <c r="G7111" s="4" t="str">
        <f>HYPERLINK("http://141.218.60.56/~jnz1568/getInfo.php?workbook=10_05.xlsx&amp;sheet=U0&amp;row=7111&amp;col=7&amp;number=0.00261&amp;sourceID=14","0.00261")</f>
        <v>0.00261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HYPERLINK("http://141.218.60.56/~jnz1568/getInfo.php?workbook=10_05.xlsx&amp;sheet=U0&amp;row=7112&amp;col=6&amp;number=3.8&amp;sourceID=14","3.8")</f>
        <v>3.8</v>
      </c>
      <c r="G7112" s="4" t="str">
        <f>HYPERLINK("http://141.218.60.56/~jnz1568/getInfo.php?workbook=10_05.xlsx&amp;sheet=U0&amp;row=7112&amp;col=7&amp;number=0.00261&amp;sourceID=14","0.00261")</f>
        <v>0.00261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HYPERLINK("http://141.218.60.56/~jnz1568/getInfo.php?workbook=10_05.xlsx&amp;sheet=U0&amp;row=7113&amp;col=6&amp;number=3.9&amp;sourceID=14","3.9")</f>
        <v>3.9</v>
      </c>
      <c r="G7113" s="4" t="str">
        <f>HYPERLINK("http://141.218.60.56/~jnz1568/getInfo.php?workbook=10_05.xlsx&amp;sheet=U0&amp;row=7113&amp;col=7&amp;number=0.00262&amp;sourceID=14","0.00262")</f>
        <v>0.00262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HYPERLINK("http://141.218.60.56/~jnz1568/getInfo.php?workbook=10_05.xlsx&amp;sheet=U0&amp;row=7114&amp;col=6&amp;number=4&amp;sourceID=14","4")</f>
        <v>4</v>
      </c>
      <c r="G7114" s="4" t="str">
        <f>HYPERLINK("http://141.218.60.56/~jnz1568/getInfo.php?workbook=10_05.xlsx&amp;sheet=U0&amp;row=7114&amp;col=7&amp;number=0.00262&amp;sourceID=14","0.00262")</f>
        <v>0.00262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HYPERLINK("http://141.218.60.56/~jnz1568/getInfo.php?workbook=10_05.xlsx&amp;sheet=U0&amp;row=7115&amp;col=6&amp;number=4.1&amp;sourceID=14","4.1")</f>
        <v>4.1</v>
      </c>
      <c r="G7115" s="4" t="str">
        <f>HYPERLINK("http://141.218.60.56/~jnz1568/getInfo.php?workbook=10_05.xlsx&amp;sheet=U0&amp;row=7115&amp;col=7&amp;number=0.00263&amp;sourceID=14","0.00263")</f>
        <v>0.00263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HYPERLINK("http://141.218.60.56/~jnz1568/getInfo.php?workbook=10_05.xlsx&amp;sheet=U0&amp;row=7116&amp;col=6&amp;number=4.2&amp;sourceID=14","4.2")</f>
        <v>4.2</v>
      </c>
      <c r="G7116" s="4" t="str">
        <f>HYPERLINK("http://141.218.60.56/~jnz1568/getInfo.php?workbook=10_05.xlsx&amp;sheet=U0&amp;row=7116&amp;col=7&amp;number=0.00264&amp;sourceID=14","0.00264")</f>
        <v>0.00264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HYPERLINK("http://141.218.60.56/~jnz1568/getInfo.php?workbook=10_05.xlsx&amp;sheet=U0&amp;row=7117&amp;col=6&amp;number=4.3&amp;sourceID=14","4.3")</f>
        <v>4.3</v>
      </c>
      <c r="G7117" s="4" t="str">
        <f>HYPERLINK("http://141.218.60.56/~jnz1568/getInfo.php?workbook=10_05.xlsx&amp;sheet=U0&amp;row=7117&amp;col=7&amp;number=0.00265&amp;sourceID=14","0.00265")</f>
        <v>0.00265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HYPERLINK("http://141.218.60.56/~jnz1568/getInfo.php?workbook=10_05.xlsx&amp;sheet=U0&amp;row=7118&amp;col=6&amp;number=4.4&amp;sourceID=14","4.4")</f>
        <v>4.4</v>
      </c>
      <c r="G7118" s="4" t="str">
        <f>HYPERLINK("http://141.218.60.56/~jnz1568/getInfo.php?workbook=10_05.xlsx&amp;sheet=U0&amp;row=7118&amp;col=7&amp;number=0.00266&amp;sourceID=14","0.00266")</f>
        <v>0.00266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HYPERLINK("http://141.218.60.56/~jnz1568/getInfo.php?workbook=10_05.xlsx&amp;sheet=U0&amp;row=7119&amp;col=6&amp;number=4.5&amp;sourceID=14","4.5")</f>
        <v>4.5</v>
      </c>
      <c r="G7119" s="4" t="str">
        <f>HYPERLINK("http://141.218.60.56/~jnz1568/getInfo.php?workbook=10_05.xlsx&amp;sheet=U0&amp;row=7119&amp;col=7&amp;number=0.00268&amp;sourceID=14","0.00268")</f>
        <v>0.00268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HYPERLINK("http://141.218.60.56/~jnz1568/getInfo.php?workbook=10_05.xlsx&amp;sheet=U0&amp;row=7120&amp;col=6&amp;number=4.6&amp;sourceID=14","4.6")</f>
        <v>4.6</v>
      </c>
      <c r="G7120" s="4" t="str">
        <f>HYPERLINK("http://141.218.60.56/~jnz1568/getInfo.php?workbook=10_05.xlsx&amp;sheet=U0&amp;row=7120&amp;col=7&amp;number=0.00269&amp;sourceID=14","0.00269")</f>
        <v>0.00269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HYPERLINK("http://141.218.60.56/~jnz1568/getInfo.php?workbook=10_05.xlsx&amp;sheet=U0&amp;row=7121&amp;col=6&amp;number=4.7&amp;sourceID=14","4.7")</f>
        <v>4.7</v>
      </c>
      <c r="G7121" s="4" t="str">
        <f>HYPERLINK("http://141.218.60.56/~jnz1568/getInfo.php?workbook=10_05.xlsx&amp;sheet=U0&amp;row=7121&amp;col=7&amp;number=0.00271&amp;sourceID=14","0.00271")</f>
        <v>0.00271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HYPERLINK("http://141.218.60.56/~jnz1568/getInfo.php?workbook=10_05.xlsx&amp;sheet=U0&amp;row=7122&amp;col=6&amp;number=4.8&amp;sourceID=14","4.8")</f>
        <v>4.8</v>
      </c>
      <c r="G7122" s="4" t="str">
        <f>HYPERLINK("http://141.218.60.56/~jnz1568/getInfo.php?workbook=10_05.xlsx&amp;sheet=U0&amp;row=7122&amp;col=7&amp;number=0.00273&amp;sourceID=14","0.00273")</f>
        <v>0.00273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HYPERLINK("http://141.218.60.56/~jnz1568/getInfo.php?workbook=10_05.xlsx&amp;sheet=U0&amp;row=7123&amp;col=6&amp;number=4.9&amp;sourceID=14","4.9")</f>
        <v>4.9</v>
      </c>
      <c r="G7123" s="4" t="str">
        <f>HYPERLINK("http://141.218.60.56/~jnz1568/getInfo.php?workbook=10_05.xlsx&amp;sheet=U0&amp;row=7123&amp;col=7&amp;number=0.00276&amp;sourceID=14","0.00276")</f>
        <v>0.00276</v>
      </c>
    </row>
    <row r="7124" spans="1:7">
      <c r="A7124" s="3">
        <v>10</v>
      </c>
      <c r="B7124" s="3">
        <v>5</v>
      </c>
      <c r="C7124" s="3">
        <v>2</v>
      </c>
      <c r="D7124" s="3">
        <v>180</v>
      </c>
      <c r="E7124" s="3">
        <v>1</v>
      </c>
      <c r="F7124" s="4" t="str">
        <f>HYPERLINK("http://141.218.60.56/~jnz1568/getInfo.php?workbook=10_05.xlsx&amp;sheet=U0&amp;row=7124&amp;col=6&amp;number=3&amp;sourceID=14","3")</f>
        <v>3</v>
      </c>
      <c r="G7124" s="4" t="str">
        <f>HYPERLINK("http://141.218.60.56/~jnz1568/getInfo.php?workbook=10_05.xlsx&amp;sheet=U0&amp;row=7124&amp;col=7&amp;number=0.005&amp;sourceID=14","0.005")</f>
        <v>0.005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HYPERLINK("http://141.218.60.56/~jnz1568/getInfo.php?workbook=10_05.xlsx&amp;sheet=U0&amp;row=7125&amp;col=6&amp;number=3.1&amp;sourceID=14","3.1")</f>
        <v>3.1</v>
      </c>
      <c r="G7125" s="4" t="str">
        <f>HYPERLINK("http://141.218.60.56/~jnz1568/getInfo.php?workbook=10_05.xlsx&amp;sheet=U0&amp;row=7125&amp;col=7&amp;number=0.005&amp;sourceID=14","0.005")</f>
        <v>0.005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HYPERLINK("http://141.218.60.56/~jnz1568/getInfo.php?workbook=10_05.xlsx&amp;sheet=U0&amp;row=7126&amp;col=6&amp;number=3.2&amp;sourceID=14","3.2")</f>
        <v>3.2</v>
      </c>
      <c r="G7126" s="4" t="str">
        <f>HYPERLINK("http://141.218.60.56/~jnz1568/getInfo.php?workbook=10_05.xlsx&amp;sheet=U0&amp;row=7126&amp;col=7&amp;number=0.005&amp;sourceID=14","0.005")</f>
        <v>0.005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HYPERLINK("http://141.218.60.56/~jnz1568/getInfo.php?workbook=10_05.xlsx&amp;sheet=U0&amp;row=7127&amp;col=6&amp;number=3.3&amp;sourceID=14","3.3")</f>
        <v>3.3</v>
      </c>
      <c r="G7127" s="4" t="str">
        <f>HYPERLINK("http://141.218.60.56/~jnz1568/getInfo.php?workbook=10_05.xlsx&amp;sheet=U0&amp;row=7127&amp;col=7&amp;number=0.005&amp;sourceID=14","0.005")</f>
        <v>0.005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HYPERLINK("http://141.218.60.56/~jnz1568/getInfo.php?workbook=10_05.xlsx&amp;sheet=U0&amp;row=7128&amp;col=6&amp;number=3.4&amp;sourceID=14","3.4")</f>
        <v>3.4</v>
      </c>
      <c r="G7128" s="4" t="str">
        <f>HYPERLINK("http://141.218.60.56/~jnz1568/getInfo.php?workbook=10_05.xlsx&amp;sheet=U0&amp;row=7128&amp;col=7&amp;number=0.00501&amp;sourceID=14","0.00501")</f>
        <v>0.00501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HYPERLINK("http://141.218.60.56/~jnz1568/getInfo.php?workbook=10_05.xlsx&amp;sheet=U0&amp;row=7129&amp;col=6&amp;number=3.5&amp;sourceID=14","3.5")</f>
        <v>3.5</v>
      </c>
      <c r="G7129" s="4" t="str">
        <f>HYPERLINK("http://141.218.60.56/~jnz1568/getInfo.php?workbook=10_05.xlsx&amp;sheet=U0&amp;row=7129&amp;col=7&amp;number=0.00501&amp;sourceID=14","0.00501")</f>
        <v>0.00501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HYPERLINK("http://141.218.60.56/~jnz1568/getInfo.php?workbook=10_05.xlsx&amp;sheet=U0&amp;row=7130&amp;col=6&amp;number=3.6&amp;sourceID=14","3.6")</f>
        <v>3.6</v>
      </c>
      <c r="G7130" s="4" t="str">
        <f>HYPERLINK("http://141.218.60.56/~jnz1568/getInfo.php?workbook=10_05.xlsx&amp;sheet=U0&amp;row=7130&amp;col=7&amp;number=0.00501&amp;sourceID=14","0.00501")</f>
        <v>0.00501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HYPERLINK("http://141.218.60.56/~jnz1568/getInfo.php?workbook=10_05.xlsx&amp;sheet=U0&amp;row=7131&amp;col=6&amp;number=3.7&amp;sourceID=14","3.7")</f>
        <v>3.7</v>
      </c>
      <c r="G7131" s="4" t="str">
        <f>HYPERLINK("http://141.218.60.56/~jnz1568/getInfo.php?workbook=10_05.xlsx&amp;sheet=U0&amp;row=7131&amp;col=7&amp;number=0.00501&amp;sourceID=14","0.00501")</f>
        <v>0.00501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HYPERLINK("http://141.218.60.56/~jnz1568/getInfo.php?workbook=10_05.xlsx&amp;sheet=U0&amp;row=7132&amp;col=6&amp;number=3.8&amp;sourceID=14","3.8")</f>
        <v>3.8</v>
      </c>
      <c r="G7132" s="4" t="str">
        <f>HYPERLINK("http://141.218.60.56/~jnz1568/getInfo.php?workbook=10_05.xlsx&amp;sheet=U0&amp;row=7132&amp;col=7&amp;number=0.00501&amp;sourceID=14","0.00501")</f>
        <v>0.00501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HYPERLINK("http://141.218.60.56/~jnz1568/getInfo.php?workbook=10_05.xlsx&amp;sheet=U0&amp;row=7133&amp;col=6&amp;number=3.9&amp;sourceID=14","3.9")</f>
        <v>3.9</v>
      </c>
      <c r="G7133" s="4" t="str">
        <f>HYPERLINK("http://141.218.60.56/~jnz1568/getInfo.php?workbook=10_05.xlsx&amp;sheet=U0&amp;row=7133&amp;col=7&amp;number=0.00502&amp;sourceID=14","0.00502")</f>
        <v>0.00502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HYPERLINK("http://141.218.60.56/~jnz1568/getInfo.php?workbook=10_05.xlsx&amp;sheet=U0&amp;row=7134&amp;col=6&amp;number=4&amp;sourceID=14","4")</f>
        <v>4</v>
      </c>
      <c r="G7134" s="4" t="str">
        <f>HYPERLINK("http://141.218.60.56/~jnz1568/getInfo.php?workbook=10_05.xlsx&amp;sheet=U0&amp;row=7134&amp;col=7&amp;number=0.00502&amp;sourceID=14","0.00502")</f>
        <v>0.00502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HYPERLINK("http://141.218.60.56/~jnz1568/getInfo.php?workbook=10_05.xlsx&amp;sheet=U0&amp;row=7135&amp;col=6&amp;number=4.1&amp;sourceID=14","4.1")</f>
        <v>4.1</v>
      </c>
      <c r="G7135" s="4" t="str">
        <f>HYPERLINK("http://141.218.60.56/~jnz1568/getInfo.php?workbook=10_05.xlsx&amp;sheet=U0&amp;row=7135&amp;col=7&amp;number=0.00503&amp;sourceID=14","0.00503")</f>
        <v>0.00503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HYPERLINK("http://141.218.60.56/~jnz1568/getInfo.php?workbook=10_05.xlsx&amp;sheet=U0&amp;row=7136&amp;col=6&amp;number=4.2&amp;sourceID=14","4.2")</f>
        <v>4.2</v>
      </c>
      <c r="G7136" s="4" t="str">
        <f>HYPERLINK("http://141.218.60.56/~jnz1568/getInfo.php?workbook=10_05.xlsx&amp;sheet=U0&amp;row=7136&amp;col=7&amp;number=0.00503&amp;sourceID=14","0.00503")</f>
        <v>0.00503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HYPERLINK("http://141.218.60.56/~jnz1568/getInfo.php?workbook=10_05.xlsx&amp;sheet=U0&amp;row=7137&amp;col=6&amp;number=4.3&amp;sourceID=14","4.3")</f>
        <v>4.3</v>
      </c>
      <c r="G7137" s="4" t="str">
        <f>HYPERLINK("http://141.218.60.56/~jnz1568/getInfo.php?workbook=10_05.xlsx&amp;sheet=U0&amp;row=7137&amp;col=7&amp;number=0.00504&amp;sourceID=14","0.00504")</f>
        <v>0.00504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HYPERLINK("http://141.218.60.56/~jnz1568/getInfo.php?workbook=10_05.xlsx&amp;sheet=U0&amp;row=7138&amp;col=6&amp;number=4.4&amp;sourceID=14","4.4")</f>
        <v>4.4</v>
      </c>
      <c r="G7138" s="4" t="str">
        <f>HYPERLINK("http://141.218.60.56/~jnz1568/getInfo.php?workbook=10_05.xlsx&amp;sheet=U0&amp;row=7138&amp;col=7&amp;number=0.00505&amp;sourceID=14","0.00505")</f>
        <v>0.00505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HYPERLINK("http://141.218.60.56/~jnz1568/getInfo.php?workbook=10_05.xlsx&amp;sheet=U0&amp;row=7139&amp;col=6&amp;number=4.5&amp;sourceID=14","4.5")</f>
        <v>4.5</v>
      </c>
      <c r="G7139" s="4" t="str">
        <f>HYPERLINK("http://141.218.60.56/~jnz1568/getInfo.php?workbook=10_05.xlsx&amp;sheet=U0&amp;row=7139&amp;col=7&amp;number=0.00506&amp;sourceID=14","0.00506")</f>
        <v>0.00506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HYPERLINK("http://141.218.60.56/~jnz1568/getInfo.php?workbook=10_05.xlsx&amp;sheet=U0&amp;row=7140&amp;col=6&amp;number=4.6&amp;sourceID=14","4.6")</f>
        <v>4.6</v>
      </c>
      <c r="G7140" s="4" t="str">
        <f>HYPERLINK("http://141.218.60.56/~jnz1568/getInfo.php?workbook=10_05.xlsx&amp;sheet=U0&amp;row=7140&amp;col=7&amp;number=0.00507&amp;sourceID=14","0.00507")</f>
        <v>0.00507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HYPERLINK("http://141.218.60.56/~jnz1568/getInfo.php?workbook=10_05.xlsx&amp;sheet=U0&amp;row=7141&amp;col=6&amp;number=4.7&amp;sourceID=14","4.7")</f>
        <v>4.7</v>
      </c>
      <c r="G7141" s="4" t="str">
        <f>HYPERLINK("http://141.218.60.56/~jnz1568/getInfo.php?workbook=10_05.xlsx&amp;sheet=U0&amp;row=7141&amp;col=7&amp;number=0.00508&amp;sourceID=14","0.00508")</f>
        <v>0.00508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HYPERLINK("http://141.218.60.56/~jnz1568/getInfo.php?workbook=10_05.xlsx&amp;sheet=U0&amp;row=7142&amp;col=6&amp;number=4.8&amp;sourceID=14","4.8")</f>
        <v>4.8</v>
      </c>
      <c r="G7142" s="4" t="str">
        <f>HYPERLINK("http://141.218.60.56/~jnz1568/getInfo.php?workbook=10_05.xlsx&amp;sheet=U0&amp;row=7142&amp;col=7&amp;number=0.0051&amp;sourceID=14","0.0051")</f>
        <v>0.0051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HYPERLINK("http://141.218.60.56/~jnz1568/getInfo.php?workbook=10_05.xlsx&amp;sheet=U0&amp;row=7143&amp;col=6&amp;number=4.9&amp;sourceID=14","4.9")</f>
        <v>4.9</v>
      </c>
      <c r="G7143" s="4" t="str">
        <f>HYPERLINK("http://141.218.60.56/~jnz1568/getInfo.php?workbook=10_05.xlsx&amp;sheet=U0&amp;row=7143&amp;col=7&amp;number=0.00511&amp;sourceID=14","0.00511")</f>
        <v>0.00511</v>
      </c>
    </row>
    <row r="7144" spans="1:7">
      <c r="A7144" s="3">
        <v>10</v>
      </c>
      <c r="B7144" s="3">
        <v>5</v>
      </c>
      <c r="C7144" s="3">
        <v>3</v>
      </c>
      <c r="D7144" s="3">
        <v>4</v>
      </c>
      <c r="E7144" s="3">
        <v>1</v>
      </c>
      <c r="F7144" s="4" t="str">
        <f>HYPERLINK("http://141.218.60.56/~jnz1568/getInfo.php?workbook=10_05.xlsx&amp;sheet=U0&amp;row=7144&amp;col=6&amp;number=3&amp;sourceID=14","3")</f>
        <v>3</v>
      </c>
      <c r="G7144" s="4" t="str">
        <f>HYPERLINK("http://141.218.60.56/~jnz1568/getInfo.php?workbook=10_05.xlsx&amp;sheet=U0&amp;row=7144&amp;col=7&amp;number=0.448&amp;sourceID=14","0.448")</f>
        <v>0.448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HYPERLINK("http://141.218.60.56/~jnz1568/getInfo.php?workbook=10_05.xlsx&amp;sheet=U0&amp;row=7145&amp;col=6&amp;number=3.1&amp;sourceID=14","3.1")</f>
        <v>3.1</v>
      </c>
      <c r="G7145" s="4" t="str">
        <f>HYPERLINK("http://141.218.60.56/~jnz1568/getInfo.php?workbook=10_05.xlsx&amp;sheet=U0&amp;row=7145&amp;col=7&amp;number=0.449&amp;sourceID=14","0.449")</f>
        <v>0.449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HYPERLINK("http://141.218.60.56/~jnz1568/getInfo.php?workbook=10_05.xlsx&amp;sheet=U0&amp;row=7146&amp;col=6&amp;number=3.2&amp;sourceID=14","3.2")</f>
        <v>3.2</v>
      </c>
      <c r="G7146" s="4" t="str">
        <f>HYPERLINK("http://141.218.60.56/~jnz1568/getInfo.php?workbook=10_05.xlsx&amp;sheet=U0&amp;row=7146&amp;col=7&amp;number=0.451&amp;sourceID=14","0.451")</f>
        <v>0.451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HYPERLINK("http://141.218.60.56/~jnz1568/getInfo.php?workbook=10_05.xlsx&amp;sheet=U0&amp;row=7147&amp;col=6&amp;number=3.3&amp;sourceID=14","3.3")</f>
        <v>3.3</v>
      </c>
      <c r="G7147" s="4" t="str">
        <f>HYPERLINK("http://141.218.60.56/~jnz1568/getInfo.php?workbook=10_05.xlsx&amp;sheet=U0&amp;row=7147&amp;col=7&amp;number=0.454&amp;sourceID=14","0.454")</f>
        <v>0.454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HYPERLINK("http://141.218.60.56/~jnz1568/getInfo.php?workbook=10_05.xlsx&amp;sheet=U0&amp;row=7148&amp;col=6&amp;number=3.4&amp;sourceID=14","3.4")</f>
        <v>3.4</v>
      </c>
      <c r="G7148" s="4" t="str">
        <f>HYPERLINK("http://141.218.60.56/~jnz1568/getInfo.php?workbook=10_05.xlsx&amp;sheet=U0&amp;row=7148&amp;col=7&amp;number=0.457&amp;sourceID=14","0.457")</f>
        <v>0.457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HYPERLINK("http://141.218.60.56/~jnz1568/getInfo.php?workbook=10_05.xlsx&amp;sheet=U0&amp;row=7149&amp;col=6&amp;number=3.5&amp;sourceID=14","3.5")</f>
        <v>3.5</v>
      </c>
      <c r="G7149" s="4" t="str">
        <f>HYPERLINK("http://141.218.60.56/~jnz1568/getInfo.php?workbook=10_05.xlsx&amp;sheet=U0&amp;row=7149&amp;col=7&amp;number=0.46&amp;sourceID=14","0.46")</f>
        <v>0.46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HYPERLINK("http://141.218.60.56/~jnz1568/getInfo.php?workbook=10_05.xlsx&amp;sheet=U0&amp;row=7150&amp;col=6&amp;number=3.6&amp;sourceID=14","3.6")</f>
        <v>3.6</v>
      </c>
      <c r="G7150" s="4" t="str">
        <f>HYPERLINK("http://141.218.60.56/~jnz1568/getInfo.php?workbook=10_05.xlsx&amp;sheet=U0&amp;row=7150&amp;col=7&amp;number=0.465&amp;sourceID=14","0.465")</f>
        <v>0.465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HYPERLINK("http://141.218.60.56/~jnz1568/getInfo.php?workbook=10_05.xlsx&amp;sheet=U0&amp;row=7151&amp;col=6&amp;number=3.7&amp;sourceID=14","3.7")</f>
        <v>3.7</v>
      </c>
      <c r="G7151" s="4" t="str">
        <f>HYPERLINK("http://141.218.60.56/~jnz1568/getInfo.php?workbook=10_05.xlsx&amp;sheet=U0&amp;row=7151&amp;col=7&amp;number=0.471&amp;sourceID=14","0.471")</f>
        <v>0.471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HYPERLINK("http://141.218.60.56/~jnz1568/getInfo.php?workbook=10_05.xlsx&amp;sheet=U0&amp;row=7152&amp;col=6&amp;number=3.8&amp;sourceID=14","3.8")</f>
        <v>3.8</v>
      </c>
      <c r="G7152" s="4" t="str">
        <f>HYPERLINK("http://141.218.60.56/~jnz1568/getInfo.php?workbook=10_05.xlsx&amp;sheet=U0&amp;row=7152&amp;col=7&amp;number=0.478&amp;sourceID=14","0.478")</f>
        <v>0.478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HYPERLINK("http://141.218.60.56/~jnz1568/getInfo.php?workbook=10_05.xlsx&amp;sheet=U0&amp;row=7153&amp;col=6&amp;number=3.9&amp;sourceID=14","3.9")</f>
        <v>3.9</v>
      </c>
      <c r="G7153" s="4" t="str">
        <f>HYPERLINK("http://141.218.60.56/~jnz1568/getInfo.php?workbook=10_05.xlsx&amp;sheet=U0&amp;row=7153&amp;col=7&amp;number=0.487&amp;sourceID=14","0.487")</f>
        <v>0.487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HYPERLINK("http://141.218.60.56/~jnz1568/getInfo.php?workbook=10_05.xlsx&amp;sheet=U0&amp;row=7154&amp;col=6&amp;number=4&amp;sourceID=14","4")</f>
        <v>4</v>
      </c>
      <c r="G7154" s="4" t="str">
        <f>HYPERLINK("http://141.218.60.56/~jnz1568/getInfo.php?workbook=10_05.xlsx&amp;sheet=U0&amp;row=7154&amp;col=7&amp;number=0.498&amp;sourceID=14","0.498")</f>
        <v>0.498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HYPERLINK("http://141.218.60.56/~jnz1568/getInfo.php?workbook=10_05.xlsx&amp;sheet=U0&amp;row=7155&amp;col=6&amp;number=4.1&amp;sourceID=14","4.1")</f>
        <v>4.1</v>
      </c>
      <c r="G7155" s="4" t="str">
        <f>HYPERLINK("http://141.218.60.56/~jnz1568/getInfo.php?workbook=10_05.xlsx&amp;sheet=U0&amp;row=7155&amp;col=7&amp;number=0.511&amp;sourceID=14","0.511")</f>
        <v>0.511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HYPERLINK("http://141.218.60.56/~jnz1568/getInfo.php?workbook=10_05.xlsx&amp;sheet=U0&amp;row=7156&amp;col=6&amp;number=4.2&amp;sourceID=14","4.2")</f>
        <v>4.2</v>
      </c>
      <c r="G7156" s="4" t="str">
        <f>HYPERLINK("http://141.218.60.56/~jnz1568/getInfo.php?workbook=10_05.xlsx&amp;sheet=U0&amp;row=7156&amp;col=7&amp;number=0.528&amp;sourceID=14","0.528")</f>
        <v>0.528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HYPERLINK("http://141.218.60.56/~jnz1568/getInfo.php?workbook=10_05.xlsx&amp;sheet=U0&amp;row=7157&amp;col=6&amp;number=4.3&amp;sourceID=14","4.3")</f>
        <v>4.3</v>
      </c>
      <c r="G7157" s="4" t="str">
        <f>HYPERLINK("http://141.218.60.56/~jnz1568/getInfo.php?workbook=10_05.xlsx&amp;sheet=U0&amp;row=7157&amp;col=7&amp;number=0.547&amp;sourceID=14","0.547")</f>
        <v>0.547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HYPERLINK("http://141.218.60.56/~jnz1568/getInfo.php?workbook=10_05.xlsx&amp;sheet=U0&amp;row=7158&amp;col=6&amp;number=4.4&amp;sourceID=14","4.4")</f>
        <v>4.4</v>
      </c>
      <c r="G7158" s="4" t="str">
        <f>HYPERLINK("http://141.218.60.56/~jnz1568/getInfo.php?workbook=10_05.xlsx&amp;sheet=U0&amp;row=7158&amp;col=7&amp;number=0.569&amp;sourceID=14","0.569")</f>
        <v>0.569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HYPERLINK("http://141.218.60.56/~jnz1568/getInfo.php?workbook=10_05.xlsx&amp;sheet=U0&amp;row=7159&amp;col=6&amp;number=4.5&amp;sourceID=14","4.5")</f>
        <v>4.5</v>
      </c>
      <c r="G7159" s="4" t="str">
        <f>HYPERLINK("http://141.218.60.56/~jnz1568/getInfo.php?workbook=10_05.xlsx&amp;sheet=U0&amp;row=7159&amp;col=7&amp;number=0.594&amp;sourceID=14","0.594")</f>
        <v>0.594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HYPERLINK("http://141.218.60.56/~jnz1568/getInfo.php?workbook=10_05.xlsx&amp;sheet=U0&amp;row=7160&amp;col=6&amp;number=4.6&amp;sourceID=14","4.6")</f>
        <v>4.6</v>
      </c>
      <c r="G7160" s="4" t="str">
        <f>HYPERLINK("http://141.218.60.56/~jnz1568/getInfo.php?workbook=10_05.xlsx&amp;sheet=U0&amp;row=7160&amp;col=7&amp;number=0.62&amp;sourceID=14","0.62")</f>
        <v>0.62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HYPERLINK("http://141.218.60.56/~jnz1568/getInfo.php?workbook=10_05.xlsx&amp;sheet=U0&amp;row=7161&amp;col=6&amp;number=4.7&amp;sourceID=14","4.7")</f>
        <v>4.7</v>
      </c>
      <c r="G7161" s="4" t="str">
        <f>HYPERLINK("http://141.218.60.56/~jnz1568/getInfo.php?workbook=10_05.xlsx&amp;sheet=U0&amp;row=7161&amp;col=7&amp;number=0.645&amp;sourceID=14","0.645")</f>
        <v>0.645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HYPERLINK("http://141.218.60.56/~jnz1568/getInfo.php?workbook=10_05.xlsx&amp;sheet=U0&amp;row=7162&amp;col=6&amp;number=4.8&amp;sourceID=14","4.8")</f>
        <v>4.8</v>
      </c>
      <c r="G7162" s="4" t="str">
        <f>HYPERLINK("http://141.218.60.56/~jnz1568/getInfo.php?workbook=10_05.xlsx&amp;sheet=U0&amp;row=7162&amp;col=7&amp;number=0.663&amp;sourceID=14","0.663")</f>
        <v>0.663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HYPERLINK("http://141.218.60.56/~jnz1568/getInfo.php?workbook=10_05.xlsx&amp;sheet=U0&amp;row=7163&amp;col=6&amp;number=4.9&amp;sourceID=14","4.9")</f>
        <v>4.9</v>
      </c>
      <c r="G7163" s="4" t="str">
        <f>HYPERLINK("http://141.218.60.56/~jnz1568/getInfo.php?workbook=10_05.xlsx&amp;sheet=U0&amp;row=7163&amp;col=7&amp;number=0.667&amp;sourceID=14","0.667")</f>
        <v>0.667</v>
      </c>
    </row>
    <row r="7164" spans="1:7">
      <c r="A7164" s="3">
        <v>10</v>
      </c>
      <c r="B7164" s="3">
        <v>5</v>
      </c>
      <c r="C7164" s="3">
        <v>3</v>
      </c>
      <c r="D7164" s="3">
        <v>5</v>
      </c>
      <c r="E7164" s="3">
        <v>1</v>
      </c>
      <c r="F7164" s="4" t="str">
        <f>HYPERLINK("http://141.218.60.56/~jnz1568/getInfo.php?workbook=10_05.xlsx&amp;sheet=U0&amp;row=7164&amp;col=6&amp;number=3&amp;sourceID=14","3")</f>
        <v>3</v>
      </c>
      <c r="G7164" s="4" t="str">
        <f>HYPERLINK("http://141.218.60.56/~jnz1568/getInfo.php?workbook=10_05.xlsx&amp;sheet=U0&amp;row=7164&amp;col=7&amp;number=0.253&amp;sourceID=14","0.253")</f>
        <v>0.253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HYPERLINK("http://141.218.60.56/~jnz1568/getInfo.php?workbook=10_05.xlsx&amp;sheet=U0&amp;row=7165&amp;col=6&amp;number=3.1&amp;sourceID=14","3.1")</f>
        <v>3.1</v>
      </c>
      <c r="G7165" s="4" t="str">
        <f>HYPERLINK("http://141.218.60.56/~jnz1568/getInfo.php?workbook=10_05.xlsx&amp;sheet=U0&amp;row=7165&amp;col=7&amp;number=0.254&amp;sourceID=14","0.254")</f>
        <v>0.254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HYPERLINK("http://141.218.60.56/~jnz1568/getInfo.php?workbook=10_05.xlsx&amp;sheet=U0&amp;row=7166&amp;col=6&amp;number=3.2&amp;sourceID=14","3.2")</f>
        <v>3.2</v>
      </c>
      <c r="G7166" s="4" t="str">
        <f>HYPERLINK("http://141.218.60.56/~jnz1568/getInfo.php?workbook=10_05.xlsx&amp;sheet=U0&amp;row=7166&amp;col=7&amp;number=0.255&amp;sourceID=14","0.255")</f>
        <v>0.255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HYPERLINK("http://141.218.60.56/~jnz1568/getInfo.php?workbook=10_05.xlsx&amp;sheet=U0&amp;row=7167&amp;col=6&amp;number=3.3&amp;sourceID=14","3.3")</f>
        <v>3.3</v>
      </c>
      <c r="G7167" s="4" t="str">
        <f>HYPERLINK("http://141.218.60.56/~jnz1568/getInfo.php?workbook=10_05.xlsx&amp;sheet=U0&amp;row=7167&amp;col=7&amp;number=0.257&amp;sourceID=14","0.257")</f>
        <v>0.257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HYPERLINK("http://141.218.60.56/~jnz1568/getInfo.php?workbook=10_05.xlsx&amp;sheet=U0&amp;row=7168&amp;col=6&amp;number=3.4&amp;sourceID=14","3.4")</f>
        <v>3.4</v>
      </c>
      <c r="G7168" s="4" t="str">
        <f>HYPERLINK("http://141.218.60.56/~jnz1568/getInfo.php?workbook=10_05.xlsx&amp;sheet=U0&amp;row=7168&amp;col=7&amp;number=0.259&amp;sourceID=14","0.259")</f>
        <v>0.259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HYPERLINK("http://141.218.60.56/~jnz1568/getInfo.php?workbook=10_05.xlsx&amp;sheet=U0&amp;row=7169&amp;col=6&amp;number=3.5&amp;sourceID=14","3.5")</f>
        <v>3.5</v>
      </c>
      <c r="G7169" s="4" t="str">
        <f>HYPERLINK("http://141.218.60.56/~jnz1568/getInfo.php?workbook=10_05.xlsx&amp;sheet=U0&amp;row=7169&amp;col=7&amp;number=0.261&amp;sourceID=14","0.261")</f>
        <v>0.261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HYPERLINK("http://141.218.60.56/~jnz1568/getInfo.php?workbook=10_05.xlsx&amp;sheet=U0&amp;row=7170&amp;col=6&amp;number=3.6&amp;sourceID=14","3.6")</f>
        <v>3.6</v>
      </c>
      <c r="G7170" s="4" t="str">
        <f>HYPERLINK("http://141.218.60.56/~jnz1568/getInfo.php?workbook=10_05.xlsx&amp;sheet=U0&amp;row=7170&amp;col=7&amp;number=0.265&amp;sourceID=14","0.265")</f>
        <v>0.265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HYPERLINK("http://141.218.60.56/~jnz1568/getInfo.php?workbook=10_05.xlsx&amp;sheet=U0&amp;row=7171&amp;col=6&amp;number=3.7&amp;sourceID=14","3.7")</f>
        <v>3.7</v>
      </c>
      <c r="G7171" s="4" t="str">
        <f>HYPERLINK("http://141.218.60.56/~jnz1568/getInfo.php?workbook=10_05.xlsx&amp;sheet=U0&amp;row=7171&amp;col=7&amp;number=0.269&amp;sourceID=14","0.269")</f>
        <v>0.269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HYPERLINK("http://141.218.60.56/~jnz1568/getInfo.php?workbook=10_05.xlsx&amp;sheet=U0&amp;row=7172&amp;col=6&amp;number=3.8&amp;sourceID=14","3.8")</f>
        <v>3.8</v>
      </c>
      <c r="G7172" s="4" t="str">
        <f>HYPERLINK("http://141.218.60.56/~jnz1568/getInfo.php?workbook=10_05.xlsx&amp;sheet=U0&amp;row=7172&amp;col=7&amp;number=0.275&amp;sourceID=14","0.275")</f>
        <v>0.275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HYPERLINK("http://141.218.60.56/~jnz1568/getInfo.php?workbook=10_05.xlsx&amp;sheet=U0&amp;row=7173&amp;col=6&amp;number=3.9&amp;sourceID=14","3.9")</f>
        <v>3.9</v>
      </c>
      <c r="G7173" s="4" t="str">
        <f>HYPERLINK("http://141.218.60.56/~jnz1568/getInfo.php?workbook=10_05.xlsx&amp;sheet=U0&amp;row=7173&amp;col=7&amp;number=0.284&amp;sourceID=14","0.284")</f>
        <v>0.284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HYPERLINK("http://141.218.60.56/~jnz1568/getInfo.php?workbook=10_05.xlsx&amp;sheet=U0&amp;row=7174&amp;col=6&amp;number=4&amp;sourceID=14","4")</f>
        <v>4</v>
      </c>
      <c r="G7174" s="4" t="str">
        <f>HYPERLINK("http://141.218.60.56/~jnz1568/getInfo.php?workbook=10_05.xlsx&amp;sheet=U0&amp;row=7174&amp;col=7&amp;number=0.296&amp;sourceID=14","0.296")</f>
        <v>0.296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HYPERLINK("http://141.218.60.56/~jnz1568/getInfo.php?workbook=10_05.xlsx&amp;sheet=U0&amp;row=7175&amp;col=6&amp;number=4.1&amp;sourceID=14","4.1")</f>
        <v>4.1</v>
      </c>
      <c r="G7175" s="4" t="str">
        <f>HYPERLINK("http://141.218.60.56/~jnz1568/getInfo.php?workbook=10_05.xlsx&amp;sheet=U0&amp;row=7175&amp;col=7&amp;number=0.314&amp;sourceID=14","0.314")</f>
        <v>0.314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HYPERLINK("http://141.218.60.56/~jnz1568/getInfo.php?workbook=10_05.xlsx&amp;sheet=U0&amp;row=7176&amp;col=6&amp;number=4.2&amp;sourceID=14","4.2")</f>
        <v>4.2</v>
      </c>
      <c r="G7176" s="4" t="str">
        <f>HYPERLINK("http://141.218.60.56/~jnz1568/getInfo.php?workbook=10_05.xlsx&amp;sheet=U0&amp;row=7176&amp;col=7&amp;number=0.338&amp;sourceID=14","0.338")</f>
        <v>0.338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HYPERLINK("http://141.218.60.56/~jnz1568/getInfo.php?workbook=10_05.xlsx&amp;sheet=U0&amp;row=7177&amp;col=6&amp;number=4.3&amp;sourceID=14","4.3")</f>
        <v>4.3</v>
      </c>
      <c r="G7177" s="4" t="str">
        <f>HYPERLINK("http://141.218.60.56/~jnz1568/getInfo.php?workbook=10_05.xlsx&amp;sheet=U0&amp;row=7177&amp;col=7&amp;number=0.369&amp;sourceID=14","0.369")</f>
        <v>0.369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HYPERLINK("http://141.218.60.56/~jnz1568/getInfo.php?workbook=10_05.xlsx&amp;sheet=U0&amp;row=7178&amp;col=6&amp;number=4.4&amp;sourceID=14","4.4")</f>
        <v>4.4</v>
      </c>
      <c r="G7178" s="4" t="str">
        <f>HYPERLINK("http://141.218.60.56/~jnz1568/getInfo.php?workbook=10_05.xlsx&amp;sheet=U0&amp;row=7178&amp;col=7&amp;number=0.402&amp;sourceID=14","0.402")</f>
        <v>0.402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HYPERLINK("http://141.218.60.56/~jnz1568/getInfo.php?workbook=10_05.xlsx&amp;sheet=U0&amp;row=7179&amp;col=6&amp;number=4.5&amp;sourceID=14","4.5")</f>
        <v>4.5</v>
      </c>
      <c r="G7179" s="4" t="str">
        <f>HYPERLINK("http://141.218.60.56/~jnz1568/getInfo.php?workbook=10_05.xlsx&amp;sheet=U0&amp;row=7179&amp;col=7&amp;number=0.432&amp;sourceID=14","0.432")</f>
        <v>0.432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HYPERLINK("http://141.218.60.56/~jnz1568/getInfo.php?workbook=10_05.xlsx&amp;sheet=U0&amp;row=7180&amp;col=6&amp;number=4.6&amp;sourceID=14","4.6")</f>
        <v>4.6</v>
      </c>
      <c r="G7180" s="4" t="str">
        <f>HYPERLINK("http://141.218.60.56/~jnz1568/getInfo.php?workbook=10_05.xlsx&amp;sheet=U0&amp;row=7180&amp;col=7&amp;number=0.456&amp;sourceID=14","0.456")</f>
        <v>0.456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HYPERLINK("http://141.218.60.56/~jnz1568/getInfo.php?workbook=10_05.xlsx&amp;sheet=U0&amp;row=7181&amp;col=6&amp;number=4.7&amp;sourceID=14","4.7")</f>
        <v>4.7</v>
      </c>
      <c r="G7181" s="4" t="str">
        <f>HYPERLINK("http://141.218.60.56/~jnz1568/getInfo.php?workbook=10_05.xlsx&amp;sheet=U0&amp;row=7181&amp;col=7&amp;number=0.473&amp;sourceID=14","0.473")</f>
        <v>0.473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HYPERLINK("http://141.218.60.56/~jnz1568/getInfo.php?workbook=10_05.xlsx&amp;sheet=U0&amp;row=7182&amp;col=6&amp;number=4.8&amp;sourceID=14","4.8")</f>
        <v>4.8</v>
      </c>
      <c r="G7182" s="4" t="str">
        <f>HYPERLINK("http://141.218.60.56/~jnz1568/getInfo.php?workbook=10_05.xlsx&amp;sheet=U0&amp;row=7182&amp;col=7&amp;number=0.484&amp;sourceID=14","0.484")</f>
        <v>0.484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HYPERLINK("http://141.218.60.56/~jnz1568/getInfo.php?workbook=10_05.xlsx&amp;sheet=U0&amp;row=7183&amp;col=6&amp;number=4.9&amp;sourceID=14","4.9")</f>
        <v>4.9</v>
      </c>
      <c r="G7183" s="4" t="str">
        <f>HYPERLINK("http://141.218.60.56/~jnz1568/getInfo.php?workbook=10_05.xlsx&amp;sheet=U0&amp;row=7183&amp;col=7&amp;number=0.487&amp;sourceID=14","0.487")</f>
        <v>0.487</v>
      </c>
    </row>
    <row r="7184" spans="1:7">
      <c r="A7184" s="3">
        <v>10</v>
      </c>
      <c r="B7184" s="3">
        <v>5</v>
      </c>
      <c r="C7184" s="3">
        <v>3</v>
      </c>
      <c r="D7184" s="3">
        <v>6</v>
      </c>
      <c r="E7184" s="3">
        <v>1</v>
      </c>
      <c r="F7184" s="4" t="str">
        <f>HYPERLINK("http://141.218.60.56/~jnz1568/getInfo.php?workbook=10_05.xlsx&amp;sheet=U0&amp;row=7184&amp;col=6&amp;number=3&amp;sourceID=14","3")</f>
        <v>3</v>
      </c>
      <c r="G7184" s="4" t="str">
        <f>HYPERLINK("http://141.218.60.56/~jnz1568/getInfo.php?workbook=10_05.xlsx&amp;sheet=U0&amp;row=7184&amp;col=7&amp;number=0.12&amp;sourceID=14","0.12")</f>
        <v>0.12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HYPERLINK("http://141.218.60.56/~jnz1568/getInfo.php?workbook=10_05.xlsx&amp;sheet=U0&amp;row=7185&amp;col=6&amp;number=3.1&amp;sourceID=14","3.1")</f>
        <v>3.1</v>
      </c>
      <c r="G7185" s="4" t="str">
        <f>HYPERLINK("http://141.218.60.56/~jnz1568/getInfo.php?workbook=10_05.xlsx&amp;sheet=U0&amp;row=7185&amp;col=7&amp;number=0.12&amp;sourceID=14","0.12")</f>
        <v>0.12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HYPERLINK("http://141.218.60.56/~jnz1568/getInfo.php?workbook=10_05.xlsx&amp;sheet=U0&amp;row=7186&amp;col=6&amp;number=3.2&amp;sourceID=14","3.2")</f>
        <v>3.2</v>
      </c>
      <c r="G7186" s="4" t="str">
        <f>HYPERLINK("http://141.218.60.56/~jnz1568/getInfo.php?workbook=10_05.xlsx&amp;sheet=U0&amp;row=7186&amp;col=7&amp;number=0.12&amp;sourceID=14","0.12")</f>
        <v>0.12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HYPERLINK("http://141.218.60.56/~jnz1568/getInfo.php?workbook=10_05.xlsx&amp;sheet=U0&amp;row=7187&amp;col=6&amp;number=3.3&amp;sourceID=14","3.3")</f>
        <v>3.3</v>
      </c>
      <c r="G7187" s="4" t="str">
        <f>HYPERLINK("http://141.218.60.56/~jnz1568/getInfo.php?workbook=10_05.xlsx&amp;sheet=U0&amp;row=7187&amp;col=7&amp;number=0.12&amp;sourceID=14","0.12")</f>
        <v>0.12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HYPERLINK("http://141.218.60.56/~jnz1568/getInfo.php?workbook=10_05.xlsx&amp;sheet=U0&amp;row=7188&amp;col=6&amp;number=3.4&amp;sourceID=14","3.4")</f>
        <v>3.4</v>
      </c>
      <c r="G7188" s="4" t="str">
        <f>HYPERLINK("http://141.218.60.56/~jnz1568/getInfo.php?workbook=10_05.xlsx&amp;sheet=U0&amp;row=7188&amp;col=7&amp;number=0.12&amp;sourceID=14","0.12")</f>
        <v>0.12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HYPERLINK("http://141.218.60.56/~jnz1568/getInfo.php?workbook=10_05.xlsx&amp;sheet=U0&amp;row=7189&amp;col=6&amp;number=3.5&amp;sourceID=14","3.5")</f>
        <v>3.5</v>
      </c>
      <c r="G7189" s="4" t="str">
        <f>HYPERLINK("http://141.218.60.56/~jnz1568/getInfo.php?workbook=10_05.xlsx&amp;sheet=U0&amp;row=7189&amp;col=7&amp;number=0.12&amp;sourceID=14","0.12")</f>
        <v>0.12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HYPERLINK("http://141.218.60.56/~jnz1568/getInfo.php?workbook=10_05.xlsx&amp;sheet=U0&amp;row=7190&amp;col=6&amp;number=3.6&amp;sourceID=14","3.6")</f>
        <v>3.6</v>
      </c>
      <c r="G7190" s="4" t="str">
        <f>HYPERLINK("http://141.218.60.56/~jnz1568/getInfo.php?workbook=10_05.xlsx&amp;sheet=U0&amp;row=7190&amp;col=7&amp;number=0.12&amp;sourceID=14","0.12")</f>
        <v>0.12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HYPERLINK("http://141.218.60.56/~jnz1568/getInfo.php?workbook=10_05.xlsx&amp;sheet=U0&amp;row=7191&amp;col=6&amp;number=3.7&amp;sourceID=14","3.7")</f>
        <v>3.7</v>
      </c>
      <c r="G7191" s="4" t="str">
        <f>HYPERLINK("http://141.218.60.56/~jnz1568/getInfo.php?workbook=10_05.xlsx&amp;sheet=U0&amp;row=7191&amp;col=7&amp;number=0.12&amp;sourceID=14","0.12")</f>
        <v>0.12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HYPERLINK("http://141.218.60.56/~jnz1568/getInfo.php?workbook=10_05.xlsx&amp;sheet=U0&amp;row=7192&amp;col=6&amp;number=3.8&amp;sourceID=14","3.8")</f>
        <v>3.8</v>
      </c>
      <c r="G7192" s="4" t="str">
        <f>HYPERLINK("http://141.218.60.56/~jnz1568/getInfo.php?workbook=10_05.xlsx&amp;sheet=U0&amp;row=7192&amp;col=7&amp;number=0.12&amp;sourceID=14","0.12")</f>
        <v>0.12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HYPERLINK("http://141.218.60.56/~jnz1568/getInfo.php?workbook=10_05.xlsx&amp;sheet=U0&amp;row=7193&amp;col=6&amp;number=3.9&amp;sourceID=14","3.9")</f>
        <v>3.9</v>
      </c>
      <c r="G7193" s="4" t="str">
        <f>HYPERLINK("http://141.218.60.56/~jnz1568/getInfo.php?workbook=10_05.xlsx&amp;sheet=U0&amp;row=7193&amp;col=7&amp;number=0.12&amp;sourceID=14","0.12")</f>
        <v>0.12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HYPERLINK("http://141.218.60.56/~jnz1568/getInfo.php?workbook=10_05.xlsx&amp;sheet=U0&amp;row=7194&amp;col=6&amp;number=4&amp;sourceID=14","4")</f>
        <v>4</v>
      </c>
      <c r="G7194" s="4" t="str">
        <f>HYPERLINK("http://141.218.60.56/~jnz1568/getInfo.php?workbook=10_05.xlsx&amp;sheet=U0&amp;row=7194&amp;col=7&amp;number=0.12&amp;sourceID=14","0.12")</f>
        <v>0.12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HYPERLINK("http://141.218.60.56/~jnz1568/getInfo.php?workbook=10_05.xlsx&amp;sheet=U0&amp;row=7195&amp;col=6&amp;number=4.1&amp;sourceID=14","4.1")</f>
        <v>4.1</v>
      </c>
      <c r="G7195" s="4" t="str">
        <f>HYPERLINK("http://141.218.60.56/~jnz1568/getInfo.php?workbook=10_05.xlsx&amp;sheet=U0&amp;row=7195&amp;col=7&amp;number=0.119&amp;sourceID=14","0.119")</f>
        <v>0.119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HYPERLINK("http://141.218.60.56/~jnz1568/getInfo.php?workbook=10_05.xlsx&amp;sheet=U0&amp;row=7196&amp;col=6&amp;number=4.2&amp;sourceID=14","4.2")</f>
        <v>4.2</v>
      </c>
      <c r="G7196" s="4" t="str">
        <f>HYPERLINK("http://141.218.60.56/~jnz1568/getInfo.php?workbook=10_05.xlsx&amp;sheet=U0&amp;row=7196&amp;col=7&amp;number=0.119&amp;sourceID=14","0.119")</f>
        <v>0.119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HYPERLINK("http://141.218.60.56/~jnz1568/getInfo.php?workbook=10_05.xlsx&amp;sheet=U0&amp;row=7197&amp;col=6&amp;number=4.3&amp;sourceID=14","4.3")</f>
        <v>4.3</v>
      </c>
      <c r="G7197" s="4" t="str">
        <f>HYPERLINK("http://141.218.60.56/~jnz1568/getInfo.php?workbook=10_05.xlsx&amp;sheet=U0&amp;row=7197&amp;col=7&amp;number=0.119&amp;sourceID=14","0.119")</f>
        <v>0.119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HYPERLINK("http://141.218.60.56/~jnz1568/getInfo.php?workbook=10_05.xlsx&amp;sheet=U0&amp;row=7198&amp;col=6&amp;number=4.4&amp;sourceID=14","4.4")</f>
        <v>4.4</v>
      </c>
      <c r="G7198" s="4" t="str">
        <f>HYPERLINK("http://141.218.60.56/~jnz1568/getInfo.php?workbook=10_05.xlsx&amp;sheet=U0&amp;row=7198&amp;col=7&amp;number=0.118&amp;sourceID=14","0.118")</f>
        <v>0.118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HYPERLINK("http://141.218.60.56/~jnz1568/getInfo.php?workbook=10_05.xlsx&amp;sheet=U0&amp;row=7199&amp;col=6&amp;number=4.5&amp;sourceID=14","4.5")</f>
        <v>4.5</v>
      </c>
      <c r="G7199" s="4" t="str">
        <f>HYPERLINK("http://141.218.60.56/~jnz1568/getInfo.php?workbook=10_05.xlsx&amp;sheet=U0&amp;row=7199&amp;col=7&amp;number=0.117&amp;sourceID=14","0.117")</f>
        <v>0.117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HYPERLINK("http://141.218.60.56/~jnz1568/getInfo.php?workbook=10_05.xlsx&amp;sheet=U0&amp;row=7200&amp;col=6&amp;number=4.6&amp;sourceID=14","4.6")</f>
        <v>4.6</v>
      </c>
      <c r="G7200" s="4" t="str">
        <f>HYPERLINK("http://141.218.60.56/~jnz1568/getInfo.php?workbook=10_05.xlsx&amp;sheet=U0&amp;row=7200&amp;col=7&amp;number=0.116&amp;sourceID=14","0.116")</f>
        <v>0.116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HYPERLINK("http://141.218.60.56/~jnz1568/getInfo.php?workbook=10_05.xlsx&amp;sheet=U0&amp;row=7201&amp;col=6&amp;number=4.7&amp;sourceID=14","4.7")</f>
        <v>4.7</v>
      </c>
      <c r="G7201" s="4" t="str">
        <f>HYPERLINK("http://141.218.60.56/~jnz1568/getInfo.php?workbook=10_05.xlsx&amp;sheet=U0&amp;row=7201&amp;col=7&amp;number=0.115&amp;sourceID=14","0.115")</f>
        <v>0.115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HYPERLINK("http://141.218.60.56/~jnz1568/getInfo.php?workbook=10_05.xlsx&amp;sheet=U0&amp;row=7202&amp;col=6&amp;number=4.8&amp;sourceID=14","4.8")</f>
        <v>4.8</v>
      </c>
      <c r="G7202" s="4" t="str">
        <f>HYPERLINK("http://141.218.60.56/~jnz1568/getInfo.php?workbook=10_05.xlsx&amp;sheet=U0&amp;row=7202&amp;col=7&amp;number=0.113&amp;sourceID=14","0.113")</f>
        <v>0.113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HYPERLINK("http://141.218.60.56/~jnz1568/getInfo.php?workbook=10_05.xlsx&amp;sheet=U0&amp;row=7203&amp;col=6&amp;number=4.9&amp;sourceID=14","4.9")</f>
        <v>4.9</v>
      </c>
      <c r="G7203" s="4" t="str">
        <f>HYPERLINK("http://141.218.60.56/~jnz1568/getInfo.php?workbook=10_05.xlsx&amp;sheet=U0&amp;row=7203&amp;col=7&amp;number=0.111&amp;sourceID=14","0.111")</f>
        <v>0.111</v>
      </c>
    </row>
    <row r="7204" spans="1:7">
      <c r="A7204" s="3">
        <v>10</v>
      </c>
      <c r="B7204" s="3">
        <v>5</v>
      </c>
      <c r="C7204" s="3">
        <v>3</v>
      </c>
      <c r="D7204" s="3">
        <v>7</v>
      </c>
      <c r="E7204" s="3">
        <v>1</v>
      </c>
      <c r="F7204" s="4" t="str">
        <f>HYPERLINK("http://141.218.60.56/~jnz1568/getInfo.php?workbook=10_05.xlsx&amp;sheet=U0&amp;row=7204&amp;col=6&amp;number=3&amp;sourceID=14","3")</f>
        <v>3</v>
      </c>
      <c r="G7204" s="4" t="str">
        <f>HYPERLINK("http://141.218.60.56/~jnz1568/getInfo.php?workbook=10_05.xlsx&amp;sheet=U0&amp;row=7204&amp;col=7&amp;number=0.24&amp;sourceID=14","0.24")</f>
        <v>0.24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HYPERLINK("http://141.218.60.56/~jnz1568/getInfo.php?workbook=10_05.xlsx&amp;sheet=U0&amp;row=7205&amp;col=6&amp;number=3.1&amp;sourceID=14","3.1")</f>
        <v>3.1</v>
      </c>
      <c r="G7205" s="4" t="str">
        <f>HYPERLINK("http://141.218.60.56/~jnz1568/getInfo.php?workbook=10_05.xlsx&amp;sheet=U0&amp;row=7205&amp;col=7&amp;number=0.239&amp;sourceID=14","0.239")</f>
        <v>0.239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HYPERLINK("http://141.218.60.56/~jnz1568/getInfo.php?workbook=10_05.xlsx&amp;sheet=U0&amp;row=7206&amp;col=6&amp;number=3.2&amp;sourceID=14","3.2")</f>
        <v>3.2</v>
      </c>
      <c r="G7206" s="4" t="str">
        <f>HYPERLINK("http://141.218.60.56/~jnz1568/getInfo.php?workbook=10_05.xlsx&amp;sheet=U0&amp;row=7206&amp;col=7&amp;number=0.239&amp;sourceID=14","0.239")</f>
        <v>0.239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HYPERLINK("http://141.218.60.56/~jnz1568/getInfo.php?workbook=10_05.xlsx&amp;sheet=U0&amp;row=7207&amp;col=6&amp;number=3.3&amp;sourceID=14","3.3")</f>
        <v>3.3</v>
      </c>
      <c r="G7207" s="4" t="str">
        <f>HYPERLINK("http://141.218.60.56/~jnz1568/getInfo.php?workbook=10_05.xlsx&amp;sheet=U0&amp;row=7207&amp;col=7&amp;number=0.238&amp;sourceID=14","0.238")</f>
        <v>0.238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HYPERLINK("http://141.218.60.56/~jnz1568/getInfo.php?workbook=10_05.xlsx&amp;sheet=U0&amp;row=7208&amp;col=6&amp;number=3.4&amp;sourceID=14","3.4")</f>
        <v>3.4</v>
      </c>
      <c r="G7208" s="4" t="str">
        <f>HYPERLINK("http://141.218.60.56/~jnz1568/getInfo.php?workbook=10_05.xlsx&amp;sheet=U0&amp;row=7208&amp;col=7&amp;number=0.237&amp;sourceID=14","0.237")</f>
        <v>0.237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HYPERLINK("http://141.218.60.56/~jnz1568/getInfo.php?workbook=10_05.xlsx&amp;sheet=U0&amp;row=7209&amp;col=6&amp;number=3.5&amp;sourceID=14","3.5")</f>
        <v>3.5</v>
      </c>
      <c r="G7209" s="4" t="str">
        <f>HYPERLINK("http://141.218.60.56/~jnz1568/getInfo.php?workbook=10_05.xlsx&amp;sheet=U0&amp;row=7209&amp;col=7&amp;number=0.236&amp;sourceID=14","0.236")</f>
        <v>0.236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HYPERLINK("http://141.218.60.56/~jnz1568/getInfo.php?workbook=10_05.xlsx&amp;sheet=U0&amp;row=7210&amp;col=6&amp;number=3.6&amp;sourceID=14","3.6")</f>
        <v>3.6</v>
      </c>
      <c r="G7210" s="4" t="str">
        <f>HYPERLINK("http://141.218.60.56/~jnz1568/getInfo.php?workbook=10_05.xlsx&amp;sheet=U0&amp;row=7210&amp;col=7&amp;number=0.235&amp;sourceID=14","0.235")</f>
        <v>0.235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HYPERLINK("http://141.218.60.56/~jnz1568/getInfo.php?workbook=10_05.xlsx&amp;sheet=U0&amp;row=7211&amp;col=6&amp;number=3.7&amp;sourceID=14","3.7")</f>
        <v>3.7</v>
      </c>
      <c r="G7211" s="4" t="str">
        <f>HYPERLINK("http://141.218.60.56/~jnz1568/getInfo.php?workbook=10_05.xlsx&amp;sheet=U0&amp;row=7211&amp;col=7&amp;number=0.233&amp;sourceID=14","0.233")</f>
        <v>0.233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HYPERLINK("http://141.218.60.56/~jnz1568/getInfo.php?workbook=10_05.xlsx&amp;sheet=U0&amp;row=7212&amp;col=6&amp;number=3.8&amp;sourceID=14","3.8")</f>
        <v>3.8</v>
      </c>
      <c r="G7212" s="4" t="str">
        <f>HYPERLINK("http://141.218.60.56/~jnz1568/getInfo.php?workbook=10_05.xlsx&amp;sheet=U0&amp;row=7212&amp;col=7&amp;number=0.231&amp;sourceID=14","0.231")</f>
        <v>0.231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HYPERLINK("http://141.218.60.56/~jnz1568/getInfo.php?workbook=10_05.xlsx&amp;sheet=U0&amp;row=7213&amp;col=6&amp;number=3.9&amp;sourceID=14","3.9")</f>
        <v>3.9</v>
      </c>
      <c r="G7213" s="4" t="str">
        <f>HYPERLINK("http://141.218.60.56/~jnz1568/getInfo.php?workbook=10_05.xlsx&amp;sheet=U0&amp;row=7213&amp;col=7&amp;number=0.228&amp;sourceID=14","0.228")</f>
        <v>0.228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HYPERLINK("http://141.218.60.56/~jnz1568/getInfo.php?workbook=10_05.xlsx&amp;sheet=U0&amp;row=7214&amp;col=6&amp;number=4&amp;sourceID=14","4")</f>
        <v>4</v>
      </c>
      <c r="G7214" s="4" t="str">
        <f>HYPERLINK("http://141.218.60.56/~jnz1568/getInfo.php?workbook=10_05.xlsx&amp;sheet=U0&amp;row=7214&amp;col=7&amp;number=0.225&amp;sourceID=14","0.225")</f>
        <v>0.225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HYPERLINK("http://141.218.60.56/~jnz1568/getInfo.php?workbook=10_05.xlsx&amp;sheet=U0&amp;row=7215&amp;col=6&amp;number=4.1&amp;sourceID=14","4.1")</f>
        <v>4.1</v>
      </c>
      <c r="G7215" s="4" t="str">
        <f>HYPERLINK("http://141.218.60.56/~jnz1568/getInfo.php?workbook=10_05.xlsx&amp;sheet=U0&amp;row=7215&amp;col=7&amp;number=0.221&amp;sourceID=14","0.221")</f>
        <v>0.221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HYPERLINK("http://141.218.60.56/~jnz1568/getInfo.php?workbook=10_05.xlsx&amp;sheet=U0&amp;row=7216&amp;col=6&amp;number=4.2&amp;sourceID=14","4.2")</f>
        <v>4.2</v>
      </c>
      <c r="G7216" s="4" t="str">
        <f>HYPERLINK("http://141.218.60.56/~jnz1568/getInfo.php?workbook=10_05.xlsx&amp;sheet=U0&amp;row=7216&amp;col=7&amp;number=0.216&amp;sourceID=14","0.216")</f>
        <v>0.216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HYPERLINK("http://141.218.60.56/~jnz1568/getInfo.php?workbook=10_05.xlsx&amp;sheet=U0&amp;row=7217&amp;col=6&amp;number=4.3&amp;sourceID=14","4.3")</f>
        <v>4.3</v>
      </c>
      <c r="G7217" s="4" t="str">
        <f>HYPERLINK("http://141.218.60.56/~jnz1568/getInfo.php?workbook=10_05.xlsx&amp;sheet=U0&amp;row=7217&amp;col=7&amp;number=0.211&amp;sourceID=14","0.211")</f>
        <v>0.211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HYPERLINK("http://141.218.60.56/~jnz1568/getInfo.php?workbook=10_05.xlsx&amp;sheet=U0&amp;row=7218&amp;col=6&amp;number=4.4&amp;sourceID=14","4.4")</f>
        <v>4.4</v>
      </c>
      <c r="G7218" s="4" t="str">
        <f>HYPERLINK("http://141.218.60.56/~jnz1568/getInfo.php?workbook=10_05.xlsx&amp;sheet=U0&amp;row=7218&amp;col=7&amp;number=0.206&amp;sourceID=14","0.206")</f>
        <v>0.206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HYPERLINK("http://141.218.60.56/~jnz1568/getInfo.php?workbook=10_05.xlsx&amp;sheet=U0&amp;row=7219&amp;col=6&amp;number=4.5&amp;sourceID=14","4.5")</f>
        <v>4.5</v>
      </c>
      <c r="G7219" s="4" t="str">
        <f>HYPERLINK("http://141.218.60.56/~jnz1568/getInfo.php?workbook=10_05.xlsx&amp;sheet=U0&amp;row=7219&amp;col=7&amp;number=0.201&amp;sourceID=14","0.201")</f>
        <v>0.201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HYPERLINK("http://141.218.60.56/~jnz1568/getInfo.php?workbook=10_05.xlsx&amp;sheet=U0&amp;row=7220&amp;col=6&amp;number=4.6&amp;sourceID=14","4.6")</f>
        <v>4.6</v>
      </c>
      <c r="G7220" s="4" t="str">
        <f>HYPERLINK("http://141.218.60.56/~jnz1568/getInfo.php?workbook=10_05.xlsx&amp;sheet=U0&amp;row=7220&amp;col=7&amp;number=0.196&amp;sourceID=14","0.196")</f>
        <v>0.196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HYPERLINK("http://141.218.60.56/~jnz1568/getInfo.php?workbook=10_05.xlsx&amp;sheet=U0&amp;row=7221&amp;col=6&amp;number=4.7&amp;sourceID=14","4.7")</f>
        <v>4.7</v>
      </c>
      <c r="G7221" s="4" t="str">
        <f>HYPERLINK("http://141.218.60.56/~jnz1568/getInfo.php?workbook=10_05.xlsx&amp;sheet=U0&amp;row=7221&amp;col=7&amp;number=0.191&amp;sourceID=14","0.191")</f>
        <v>0.191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HYPERLINK("http://141.218.60.56/~jnz1568/getInfo.php?workbook=10_05.xlsx&amp;sheet=U0&amp;row=7222&amp;col=6&amp;number=4.8&amp;sourceID=14","4.8")</f>
        <v>4.8</v>
      </c>
      <c r="G7222" s="4" t="str">
        <f>HYPERLINK("http://141.218.60.56/~jnz1568/getInfo.php?workbook=10_05.xlsx&amp;sheet=U0&amp;row=7222&amp;col=7&amp;number=0.186&amp;sourceID=14","0.186")</f>
        <v>0.186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HYPERLINK("http://141.218.60.56/~jnz1568/getInfo.php?workbook=10_05.xlsx&amp;sheet=U0&amp;row=7223&amp;col=6&amp;number=4.9&amp;sourceID=14","4.9")</f>
        <v>4.9</v>
      </c>
      <c r="G7223" s="4" t="str">
        <f>HYPERLINK("http://141.218.60.56/~jnz1568/getInfo.php?workbook=10_05.xlsx&amp;sheet=U0&amp;row=7223&amp;col=7&amp;number=0.18&amp;sourceID=14","0.18")</f>
        <v>0.18</v>
      </c>
    </row>
    <row r="7224" spans="1:7">
      <c r="A7224" s="3">
        <v>10</v>
      </c>
      <c r="B7224" s="3">
        <v>5</v>
      </c>
      <c r="C7224" s="3">
        <v>3</v>
      </c>
      <c r="D7224" s="3">
        <v>8</v>
      </c>
      <c r="E7224" s="3">
        <v>1</v>
      </c>
      <c r="F7224" s="4" t="str">
        <f>HYPERLINK("http://141.218.60.56/~jnz1568/getInfo.php?workbook=10_05.xlsx&amp;sheet=U0&amp;row=7224&amp;col=6&amp;number=3&amp;sourceID=14","3")</f>
        <v>3</v>
      </c>
      <c r="G7224" s="4" t="str">
        <f>HYPERLINK("http://141.218.60.56/~jnz1568/getInfo.php?workbook=10_05.xlsx&amp;sheet=U0&amp;row=7224&amp;col=7&amp;number=0.0513&amp;sourceID=14","0.0513")</f>
        <v>0.0513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HYPERLINK("http://141.218.60.56/~jnz1568/getInfo.php?workbook=10_05.xlsx&amp;sheet=U0&amp;row=7225&amp;col=6&amp;number=3.1&amp;sourceID=14","3.1")</f>
        <v>3.1</v>
      </c>
      <c r="G7225" s="4" t="str">
        <f>HYPERLINK("http://141.218.60.56/~jnz1568/getInfo.php?workbook=10_05.xlsx&amp;sheet=U0&amp;row=7225&amp;col=7&amp;number=0.0512&amp;sourceID=14","0.0512")</f>
        <v>0.0512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HYPERLINK("http://141.218.60.56/~jnz1568/getInfo.php?workbook=10_05.xlsx&amp;sheet=U0&amp;row=7226&amp;col=6&amp;number=3.2&amp;sourceID=14","3.2")</f>
        <v>3.2</v>
      </c>
      <c r="G7226" s="4" t="str">
        <f>HYPERLINK("http://141.218.60.56/~jnz1568/getInfo.php?workbook=10_05.xlsx&amp;sheet=U0&amp;row=7226&amp;col=7&amp;number=0.0511&amp;sourceID=14","0.0511")</f>
        <v>0.0511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HYPERLINK("http://141.218.60.56/~jnz1568/getInfo.php?workbook=10_05.xlsx&amp;sheet=U0&amp;row=7227&amp;col=6&amp;number=3.3&amp;sourceID=14","3.3")</f>
        <v>3.3</v>
      </c>
      <c r="G7227" s="4" t="str">
        <f>HYPERLINK("http://141.218.60.56/~jnz1568/getInfo.php?workbook=10_05.xlsx&amp;sheet=U0&amp;row=7227&amp;col=7&amp;number=0.0509&amp;sourceID=14","0.0509")</f>
        <v>0.0509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HYPERLINK("http://141.218.60.56/~jnz1568/getInfo.php?workbook=10_05.xlsx&amp;sheet=U0&amp;row=7228&amp;col=6&amp;number=3.4&amp;sourceID=14","3.4")</f>
        <v>3.4</v>
      </c>
      <c r="G7228" s="4" t="str">
        <f>HYPERLINK("http://141.218.60.56/~jnz1568/getInfo.php?workbook=10_05.xlsx&amp;sheet=U0&amp;row=7228&amp;col=7&amp;number=0.0507&amp;sourceID=14","0.0507")</f>
        <v>0.0507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HYPERLINK("http://141.218.60.56/~jnz1568/getInfo.php?workbook=10_05.xlsx&amp;sheet=U0&amp;row=7229&amp;col=6&amp;number=3.5&amp;sourceID=14","3.5")</f>
        <v>3.5</v>
      </c>
      <c r="G7229" s="4" t="str">
        <f>HYPERLINK("http://141.218.60.56/~jnz1568/getInfo.php?workbook=10_05.xlsx&amp;sheet=U0&amp;row=7229&amp;col=7&amp;number=0.0505&amp;sourceID=14","0.0505")</f>
        <v>0.0505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HYPERLINK("http://141.218.60.56/~jnz1568/getInfo.php?workbook=10_05.xlsx&amp;sheet=U0&amp;row=7230&amp;col=6&amp;number=3.6&amp;sourceID=14","3.6")</f>
        <v>3.6</v>
      </c>
      <c r="G7230" s="4" t="str">
        <f>HYPERLINK("http://141.218.60.56/~jnz1568/getInfo.php?workbook=10_05.xlsx&amp;sheet=U0&amp;row=7230&amp;col=7&amp;number=0.0502&amp;sourceID=14","0.0502")</f>
        <v>0.0502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HYPERLINK("http://141.218.60.56/~jnz1568/getInfo.php?workbook=10_05.xlsx&amp;sheet=U0&amp;row=7231&amp;col=6&amp;number=3.7&amp;sourceID=14","3.7")</f>
        <v>3.7</v>
      </c>
      <c r="G7231" s="4" t="str">
        <f>HYPERLINK("http://141.218.60.56/~jnz1568/getInfo.php?workbook=10_05.xlsx&amp;sheet=U0&amp;row=7231&amp;col=7&amp;number=0.0498&amp;sourceID=14","0.0498")</f>
        <v>0.0498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HYPERLINK("http://141.218.60.56/~jnz1568/getInfo.php?workbook=10_05.xlsx&amp;sheet=U0&amp;row=7232&amp;col=6&amp;number=3.8&amp;sourceID=14","3.8")</f>
        <v>3.8</v>
      </c>
      <c r="G7232" s="4" t="str">
        <f>HYPERLINK("http://141.218.60.56/~jnz1568/getInfo.php?workbook=10_05.xlsx&amp;sheet=U0&amp;row=7232&amp;col=7&amp;number=0.0493&amp;sourceID=14","0.0493")</f>
        <v>0.0493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HYPERLINK("http://141.218.60.56/~jnz1568/getInfo.php?workbook=10_05.xlsx&amp;sheet=U0&amp;row=7233&amp;col=6&amp;number=3.9&amp;sourceID=14","3.9")</f>
        <v>3.9</v>
      </c>
      <c r="G7233" s="4" t="str">
        <f>HYPERLINK("http://141.218.60.56/~jnz1568/getInfo.php?workbook=10_05.xlsx&amp;sheet=U0&amp;row=7233&amp;col=7&amp;number=0.0487&amp;sourceID=14","0.0487")</f>
        <v>0.0487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HYPERLINK("http://141.218.60.56/~jnz1568/getInfo.php?workbook=10_05.xlsx&amp;sheet=U0&amp;row=7234&amp;col=6&amp;number=4&amp;sourceID=14","4")</f>
        <v>4</v>
      </c>
      <c r="G7234" s="4" t="str">
        <f>HYPERLINK("http://141.218.60.56/~jnz1568/getInfo.php?workbook=10_05.xlsx&amp;sheet=U0&amp;row=7234&amp;col=7&amp;number=0.048&amp;sourceID=14","0.048")</f>
        <v>0.048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HYPERLINK("http://141.218.60.56/~jnz1568/getInfo.php?workbook=10_05.xlsx&amp;sheet=U0&amp;row=7235&amp;col=6&amp;number=4.1&amp;sourceID=14","4.1")</f>
        <v>4.1</v>
      </c>
      <c r="G7235" s="4" t="str">
        <f>HYPERLINK("http://141.218.60.56/~jnz1568/getInfo.php?workbook=10_05.xlsx&amp;sheet=U0&amp;row=7235&amp;col=7&amp;number=0.0471&amp;sourceID=14","0.0471")</f>
        <v>0.0471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HYPERLINK("http://141.218.60.56/~jnz1568/getInfo.php?workbook=10_05.xlsx&amp;sheet=U0&amp;row=7236&amp;col=6&amp;number=4.2&amp;sourceID=14","4.2")</f>
        <v>4.2</v>
      </c>
      <c r="G7236" s="4" t="str">
        <f>HYPERLINK("http://141.218.60.56/~jnz1568/getInfo.php?workbook=10_05.xlsx&amp;sheet=U0&amp;row=7236&amp;col=7&amp;number=0.0461&amp;sourceID=14","0.0461")</f>
        <v>0.0461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HYPERLINK("http://141.218.60.56/~jnz1568/getInfo.php?workbook=10_05.xlsx&amp;sheet=U0&amp;row=7237&amp;col=6&amp;number=4.3&amp;sourceID=14","4.3")</f>
        <v>4.3</v>
      </c>
      <c r="G7237" s="4" t="str">
        <f>HYPERLINK("http://141.218.60.56/~jnz1568/getInfo.php?workbook=10_05.xlsx&amp;sheet=U0&amp;row=7237&amp;col=7&amp;number=0.0449&amp;sourceID=14","0.0449")</f>
        <v>0.0449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HYPERLINK("http://141.218.60.56/~jnz1568/getInfo.php?workbook=10_05.xlsx&amp;sheet=U0&amp;row=7238&amp;col=6&amp;number=4.4&amp;sourceID=14","4.4")</f>
        <v>4.4</v>
      </c>
      <c r="G7238" s="4" t="str">
        <f>HYPERLINK("http://141.218.60.56/~jnz1568/getInfo.php?workbook=10_05.xlsx&amp;sheet=U0&amp;row=7238&amp;col=7&amp;number=0.0436&amp;sourceID=14","0.0436")</f>
        <v>0.0436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HYPERLINK("http://141.218.60.56/~jnz1568/getInfo.php?workbook=10_05.xlsx&amp;sheet=U0&amp;row=7239&amp;col=6&amp;number=4.5&amp;sourceID=14","4.5")</f>
        <v>4.5</v>
      </c>
      <c r="G7239" s="4" t="str">
        <f>HYPERLINK("http://141.218.60.56/~jnz1568/getInfo.php?workbook=10_05.xlsx&amp;sheet=U0&amp;row=7239&amp;col=7&amp;number=0.0422&amp;sourceID=14","0.0422")</f>
        <v>0.0422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HYPERLINK("http://141.218.60.56/~jnz1568/getInfo.php?workbook=10_05.xlsx&amp;sheet=U0&amp;row=7240&amp;col=6&amp;number=4.6&amp;sourceID=14","4.6")</f>
        <v>4.6</v>
      </c>
      <c r="G7240" s="4" t="str">
        <f>HYPERLINK("http://141.218.60.56/~jnz1568/getInfo.php?workbook=10_05.xlsx&amp;sheet=U0&amp;row=7240&amp;col=7&amp;number=0.0407&amp;sourceID=14","0.0407")</f>
        <v>0.0407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HYPERLINK("http://141.218.60.56/~jnz1568/getInfo.php?workbook=10_05.xlsx&amp;sheet=U0&amp;row=7241&amp;col=6&amp;number=4.7&amp;sourceID=14","4.7")</f>
        <v>4.7</v>
      </c>
      <c r="G7241" s="4" t="str">
        <f>HYPERLINK("http://141.218.60.56/~jnz1568/getInfo.php?workbook=10_05.xlsx&amp;sheet=U0&amp;row=7241&amp;col=7&amp;number=0.0393&amp;sourceID=14","0.0393")</f>
        <v>0.0393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HYPERLINK("http://141.218.60.56/~jnz1568/getInfo.php?workbook=10_05.xlsx&amp;sheet=U0&amp;row=7242&amp;col=6&amp;number=4.8&amp;sourceID=14","4.8")</f>
        <v>4.8</v>
      </c>
      <c r="G7242" s="4" t="str">
        <f>HYPERLINK("http://141.218.60.56/~jnz1568/getInfo.php?workbook=10_05.xlsx&amp;sheet=U0&amp;row=7242&amp;col=7&amp;number=0.0381&amp;sourceID=14","0.0381")</f>
        <v>0.0381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HYPERLINK("http://141.218.60.56/~jnz1568/getInfo.php?workbook=10_05.xlsx&amp;sheet=U0&amp;row=7243&amp;col=6&amp;number=4.9&amp;sourceID=14","4.9")</f>
        <v>4.9</v>
      </c>
      <c r="G7243" s="4" t="str">
        <f>HYPERLINK("http://141.218.60.56/~jnz1568/getInfo.php?workbook=10_05.xlsx&amp;sheet=U0&amp;row=7243&amp;col=7&amp;number=0.037&amp;sourceID=14","0.037")</f>
        <v>0.037</v>
      </c>
    </row>
    <row r="7244" spans="1:7">
      <c r="A7244" s="3">
        <v>10</v>
      </c>
      <c r="B7244" s="3">
        <v>5</v>
      </c>
      <c r="C7244" s="3">
        <v>3</v>
      </c>
      <c r="D7244" s="3">
        <v>9</v>
      </c>
      <c r="E7244" s="3">
        <v>1</v>
      </c>
      <c r="F7244" s="4" t="str">
        <f>HYPERLINK("http://141.218.60.56/~jnz1568/getInfo.php?workbook=10_05.xlsx&amp;sheet=U0&amp;row=7244&amp;col=6&amp;number=3&amp;sourceID=14","3")</f>
        <v>3</v>
      </c>
      <c r="G7244" s="4" t="str">
        <f>HYPERLINK("http://141.218.60.56/~jnz1568/getInfo.php?workbook=10_05.xlsx&amp;sheet=U0&amp;row=7244&amp;col=7&amp;number=0.0191&amp;sourceID=14","0.0191")</f>
        <v>0.0191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HYPERLINK("http://141.218.60.56/~jnz1568/getInfo.php?workbook=10_05.xlsx&amp;sheet=U0&amp;row=7245&amp;col=6&amp;number=3.1&amp;sourceID=14","3.1")</f>
        <v>3.1</v>
      </c>
      <c r="G7245" s="4" t="str">
        <f>HYPERLINK("http://141.218.60.56/~jnz1568/getInfo.php?workbook=10_05.xlsx&amp;sheet=U0&amp;row=7245&amp;col=7&amp;number=0.0194&amp;sourceID=14","0.0194")</f>
        <v>0.0194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HYPERLINK("http://141.218.60.56/~jnz1568/getInfo.php?workbook=10_05.xlsx&amp;sheet=U0&amp;row=7246&amp;col=6&amp;number=3.2&amp;sourceID=14","3.2")</f>
        <v>3.2</v>
      </c>
      <c r="G7246" s="4" t="str">
        <f>HYPERLINK("http://141.218.60.56/~jnz1568/getInfo.php?workbook=10_05.xlsx&amp;sheet=U0&amp;row=7246&amp;col=7&amp;number=0.0197&amp;sourceID=14","0.0197")</f>
        <v>0.0197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HYPERLINK("http://141.218.60.56/~jnz1568/getInfo.php?workbook=10_05.xlsx&amp;sheet=U0&amp;row=7247&amp;col=6&amp;number=3.3&amp;sourceID=14","3.3")</f>
        <v>3.3</v>
      </c>
      <c r="G7247" s="4" t="str">
        <f>HYPERLINK("http://141.218.60.56/~jnz1568/getInfo.php?workbook=10_05.xlsx&amp;sheet=U0&amp;row=7247&amp;col=7&amp;number=0.0201&amp;sourceID=14","0.0201")</f>
        <v>0.0201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HYPERLINK("http://141.218.60.56/~jnz1568/getInfo.php?workbook=10_05.xlsx&amp;sheet=U0&amp;row=7248&amp;col=6&amp;number=3.4&amp;sourceID=14","3.4")</f>
        <v>3.4</v>
      </c>
      <c r="G7248" s="4" t="str">
        <f>HYPERLINK("http://141.218.60.56/~jnz1568/getInfo.php?workbook=10_05.xlsx&amp;sheet=U0&amp;row=7248&amp;col=7&amp;number=0.0206&amp;sourceID=14","0.0206")</f>
        <v>0.0206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HYPERLINK("http://141.218.60.56/~jnz1568/getInfo.php?workbook=10_05.xlsx&amp;sheet=U0&amp;row=7249&amp;col=6&amp;number=3.5&amp;sourceID=14","3.5")</f>
        <v>3.5</v>
      </c>
      <c r="G7249" s="4" t="str">
        <f>HYPERLINK("http://141.218.60.56/~jnz1568/getInfo.php?workbook=10_05.xlsx&amp;sheet=U0&amp;row=7249&amp;col=7&amp;number=0.0213&amp;sourceID=14","0.0213")</f>
        <v>0.0213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HYPERLINK("http://141.218.60.56/~jnz1568/getInfo.php?workbook=10_05.xlsx&amp;sheet=U0&amp;row=7250&amp;col=6&amp;number=3.6&amp;sourceID=14","3.6")</f>
        <v>3.6</v>
      </c>
      <c r="G7250" s="4" t="str">
        <f>HYPERLINK("http://141.218.60.56/~jnz1568/getInfo.php?workbook=10_05.xlsx&amp;sheet=U0&amp;row=7250&amp;col=7&amp;number=0.0221&amp;sourceID=14","0.0221")</f>
        <v>0.0221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HYPERLINK("http://141.218.60.56/~jnz1568/getInfo.php?workbook=10_05.xlsx&amp;sheet=U0&amp;row=7251&amp;col=6&amp;number=3.7&amp;sourceID=14","3.7")</f>
        <v>3.7</v>
      </c>
      <c r="G7251" s="4" t="str">
        <f>HYPERLINK("http://141.218.60.56/~jnz1568/getInfo.php?workbook=10_05.xlsx&amp;sheet=U0&amp;row=7251&amp;col=7&amp;number=0.0231&amp;sourceID=14","0.0231")</f>
        <v>0.0231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HYPERLINK("http://141.218.60.56/~jnz1568/getInfo.php?workbook=10_05.xlsx&amp;sheet=U0&amp;row=7252&amp;col=6&amp;number=3.8&amp;sourceID=14","3.8")</f>
        <v>3.8</v>
      </c>
      <c r="G7252" s="4" t="str">
        <f>HYPERLINK("http://141.218.60.56/~jnz1568/getInfo.php?workbook=10_05.xlsx&amp;sheet=U0&amp;row=7252&amp;col=7&amp;number=0.0243&amp;sourceID=14","0.0243")</f>
        <v>0.0243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HYPERLINK("http://141.218.60.56/~jnz1568/getInfo.php?workbook=10_05.xlsx&amp;sheet=U0&amp;row=7253&amp;col=6&amp;number=3.9&amp;sourceID=14","3.9")</f>
        <v>3.9</v>
      </c>
      <c r="G7253" s="4" t="str">
        <f>HYPERLINK("http://141.218.60.56/~jnz1568/getInfo.php?workbook=10_05.xlsx&amp;sheet=U0&amp;row=7253&amp;col=7&amp;number=0.0258&amp;sourceID=14","0.0258")</f>
        <v>0.0258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HYPERLINK("http://141.218.60.56/~jnz1568/getInfo.php?workbook=10_05.xlsx&amp;sheet=U0&amp;row=7254&amp;col=6&amp;number=4&amp;sourceID=14","4")</f>
        <v>4</v>
      </c>
      <c r="G7254" s="4" t="str">
        <f>HYPERLINK("http://141.218.60.56/~jnz1568/getInfo.php?workbook=10_05.xlsx&amp;sheet=U0&amp;row=7254&amp;col=7&amp;number=0.0276&amp;sourceID=14","0.0276")</f>
        <v>0.0276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HYPERLINK("http://141.218.60.56/~jnz1568/getInfo.php?workbook=10_05.xlsx&amp;sheet=U0&amp;row=7255&amp;col=6&amp;number=4.1&amp;sourceID=14","4.1")</f>
        <v>4.1</v>
      </c>
      <c r="G7255" s="4" t="str">
        <f>HYPERLINK("http://141.218.60.56/~jnz1568/getInfo.php?workbook=10_05.xlsx&amp;sheet=U0&amp;row=7255&amp;col=7&amp;number=0.0297&amp;sourceID=14","0.0297")</f>
        <v>0.0297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HYPERLINK("http://141.218.60.56/~jnz1568/getInfo.php?workbook=10_05.xlsx&amp;sheet=U0&amp;row=7256&amp;col=6&amp;number=4.2&amp;sourceID=14","4.2")</f>
        <v>4.2</v>
      </c>
      <c r="G7256" s="4" t="str">
        <f>HYPERLINK("http://141.218.60.56/~jnz1568/getInfo.php?workbook=10_05.xlsx&amp;sheet=U0&amp;row=7256&amp;col=7&amp;number=0.0323&amp;sourceID=14","0.0323")</f>
        <v>0.0323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HYPERLINK("http://141.218.60.56/~jnz1568/getInfo.php?workbook=10_05.xlsx&amp;sheet=U0&amp;row=7257&amp;col=6&amp;number=4.3&amp;sourceID=14","4.3")</f>
        <v>4.3</v>
      </c>
      <c r="G7257" s="4" t="str">
        <f>HYPERLINK("http://141.218.60.56/~jnz1568/getInfo.php?workbook=10_05.xlsx&amp;sheet=U0&amp;row=7257&amp;col=7&amp;number=0.0353&amp;sourceID=14","0.0353")</f>
        <v>0.0353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HYPERLINK("http://141.218.60.56/~jnz1568/getInfo.php?workbook=10_05.xlsx&amp;sheet=U0&amp;row=7258&amp;col=6&amp;number=4.4&amp;sourceID=14","4.4")</f>
        <v>4.4</v>
      </c>
      <c r="G7258" s="4" t="str">
        <f>HYPERLINK("http://141.218.60.56/~jnz1568/getInfo.php?workbook=10_05.xlsx&amp;sheet=U0&amp;row=7258&amp;col=7&amp;number=0.0385&amp;sourceID=14","0.0385")</f>
        <v>0.0385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HYPERLINK("http://141.218.60.56/~jnz1568/getInfo.php?workbook=10_05.xlsx&amp;sheet=U0&amp;row=7259&amp;col=6&amp;number=4.5&amp;sourceID=14","4.5")</f>
        <v>4.5</v>
      </c>
      <c r="G7259" s="4" t="str">
        <f>HYPERLINK("http://141.218.60.56/~jnz1568/getInfo.php?workbook=10_05.xlsx&amp;sheet=U0&amp;row=7259&amp;col=7&amp;number=0.0418&amp;sourceID=14","0.0418")</f>
        <v>0.0418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HYPERLINK("http://141.218.60.56/~jnz1568/getInfo.php?workbook=10_05.xlsx&amp;sheet=U0&amp;row=7260&amp;col=6&amp;number=4.6&amp;sourceID=14","4.6")</f>
        <v>4.6</v>
      </c>
      <c r="G7260" s="4" t="str">
        <f>HYPERLINK("http://141.218.60.56/~jnz1568/getInfo.php?workbook=10_05.xlsx&amp;sheet=U0&amp;row=7260&amp;col=7&amp;number=0.0444&amp;sourceID=14","0.0444")</f>
        <v>0.0444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HYPERLINK("http://141.218.60.56/~jnz1568/getInfo.php?workbook=10_05.xlsx&amp;sheet=U0&amp;row=7261&amp;col=6&amp;number=4.7&amp;sourceID=14","4.7")</f>
        <v>4.7</v>
      </c>
      <c r="G7261" s="4" t="str">
        <f>HYPERLINK("http://141.218.60.56/~jnz1568/getInfo.php?workbook=10_05.xlsx&amp;sheet=U0&amp;row=7261&amp;col=7&amp;number=0.0453&amp;sourceID=14","0.0453")</f>
        <v>0.0453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HYPERLINK("http://141.218.60.56/~jnz1568/getInfo.php?workbook=10_05.xlsx&amp;sheet=U0&amp;row=7262&amp;col=6&amp;number=4.8&amp;sourceID=14","4.8")</f>
        <v>4.8</v>
      </c>
      <c r="G7262" s="4" t="str">
        <f>HYPERLINK("http://141.218.60.56/~jnz1568/getInfo.php?workbook=10_05.xlsx&amp;sheet=U0&amp;row=7262&amp;col=7&amp;number=0.0444&amp;sourceID=14","0.0444")</f>
        <v>0.0444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HYPERLINK("http://141.218.60.56/~jnz1568/getInfo.php?workbook=10_05.xlsx&amp;sheet=U0&amp;row=7263&amp;col=6&amp;number=4.9&amp;sourceID=14","4.9")</f>
        <v>4.9</v>
      </c>
      <c r="G7263" s="4" t="str">
        <f>HYPERLINK("http://141.218.60.56/~jnz1568/getInfo.php?workbook=10_05.xlsx&amp;sheet=U0&amp;row=7263&amp;col=7&amp;number=0.0427&amp;sourceID=14","0.0427")</f>
        <v>0.0427</v>
      </c>
    </row>
    <row r="7264" spans="1:7">
      <c r="A7264" s="3">
        <v>10</v>
      </c>
      <c r="B7264" s="3">
        <v>5</v>
      </c>
      <c r="C7264" s="3">
        <v>3</v>
      </c>
      <c r="D7264" s="3">
        <v>10</v>
      </c>
      <c r="E7264" s="3">
        <v>1</v>
      </c>
      <c r="F7264" s="4" t="str">
        <f>HYPERLINK("http://141.218.60.56/~jnz1568/getInfo.php?workbook=10_05.xlsx&amp;sheet=U0&amp;row=7264&amp;col=6&amp;number=3&amp;sourceID=14","3")</f>
        <v>3</v>
      </c>
      <c r="G7264" s="4" t="str">
        <f>HYPERLINK("http://141.218.60.56/~jnz1568/getInfo.php?workbook=10_05.xlsx&amp;sheet=U0&amp;row=7264&amp;col=7&amp;number=0.0253&amp;sourceID=14","0.0253")</f>
        <v>0.0253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HYPERLINK("http://141.218.60.56/~jnz1568/getInfo.php?workbook=10_05.xlsx&amp;sheet=U0&amp;row=7265&amp;col=6&amp;number=3.1&amp;sourceID=14","3.1")</f>
        <v>3.1</v>
      </c>
      <c r="G7265" s="4" t="str">
        <f>HYPERLINK("http://141.218.60.56/~jnz1568/getInfo.php?workbook=10_05.xlsx&amp;sheet=U0&amp;row=7265&amp;col=7&amp;number=0.0257&amp;sourceID=14","0.0257")</f>
        <v>0.0257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HYPERLINK("http://141.218.60.56/~jnz1568/getInfo.php?workbook=10_05.xlsx&amp;sheet=U0&amp;row=7266&amp;col=6&amp;number=3.2&amp;sourceID=14","3.2")</f>
        <v>3.2</v>
      </c>
      <c r="G7266" s="4" t="str">
        <f>HYPERLINK("http://141.218.60.56/~jnz1568/getInfo.php?workbook=10_05.xlsx&amp;sheet=U0&amp;row=7266&amp;col=7&amp;number=0.0261&amp;sourceID=14","0.0261")</f>
        <v>0.0261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HYPERLINK("http://141.218.60.56/~jnz1568/getInfo.php?workbook=10_05.xlsx&amp;sheet=U0&amp;row=7267&amp;col=6&amp;number=3.3&amp;sourceID=14","3.3")</f>
        <v>3.3</v>
      </c>
      <c r="G7267" s="4" t="str">
        <f>HYPERLINK("http://141.218.60.56/~jnz1568/getInfo.php?workbook=10_05.xlsx&amp;sheet=U0&amp;row=7267&amp;col=7&amp;number=0.0266&amp;sourceID=14","0.0266")</f>
        <v>0.0266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HYPERLINK("http://141.218.60.56/~jnz1568/getInfo.php?workbook=10_05.xlsx&amp;sheet=U0&amp;row=7268&amp;col=6&amp;number=3.4&amp;sourceID=14","3.4")</f>
        <v>3.4</v>
      </c>
      <c r="G7268" s="4" t="str">
        <f>HYPERLINK("http://141.218.60.56/~jnz1568/getInfo.php?workbook=10_05.xlsx&amp;sheet=U0&amp;row=7268&amp;col=7&amp;number=0.0272&amp;sourceID=14","0.0272")</f>
        <v>0.0272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HYPERLINK("http://141.218.60.56/~jnz1568/getInfo.php?workbook=10_05.xlsx&amp;sheet=U0&amp;row=7269&amp;col=6&amp;number=3.5&amp;sourceID=14","3.5")</f>
        <v>3.5</v>
      </c>
      <c r="G7269" s="4" t="str">
        <f>HYPERLINK("http://141.218.60.56/~jnz1568/getInfo.php?workbook=10_05.xlsx&amp;sheet=U0&amp;row=7269&amp;col=7&amp;number=0.028&amp;sourceID=14","0.028")</f>
        <v>0.028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HYPERLINK("http://141.218.60.56/~jnz1568/getInfo.php?workbook=10_05.xlsx&amp;sheet=U0&amp;row=7270&amp;col=6&amp;number=3.6&amp;sourceID=14","3.6")</f>
        <v>3.6</v>
      </c>
      <c r="G7270" s="4" t="str">
        <f>HYPERLINK("http://141.218.60.56/~jnz1568/getInfo.php?workbook=10_05.xlsx&amp;sheet=U0&amp;row=7270&amp;col=7&amp;number=0.0289&amp;sourceID=14","0.0289")</f>
        <v>0.0289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HYPERLINK("http://141.218.60.56/~jnz1568/getInfo.php?workbook=10_05.xlsx&amp;sheet=U0&amp;row=7271&amp;col=6&amp;number=3.7&amp;sourceID=14","3.7")</f>
        <v>3.7</v>
      </c>
      <c r="G7271" s="4" t="str">
        <f>HYPERLINK("http://141.218.60.56/~jnz1568/getInfo.php?workbook=10_05.xlsx&amp;sheet=U0&amp;row=7271&amp;col=7&amp;number=0.0301&amp;sourceID=14","0.0301")</f>
        <v>0.0301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HYPERLINK("http://141.218.60.56/~jnz1568/getInfo.php?workbook=10_05.xlsx&amp;sheet=U0&amp;row=7272&amp;col=6&amp;number=3.8&amp;sourceID=14","3.8")</f>
        <v>3.8</v>
      </c>
      <c r="G7272" s="4" t="str">
        <f>HYPERLINK("http://141.218.60.56/~jnz1568/getInfo.php?workbook=10_05.xlsx&amp;sheet=U0&amp;row=7272&amp;col=7&amp;number=0.0316&amp;sourceID=14","0.0316")</f>
        <v>0.0316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HYPERLINK("http://141.218.60.56/~jnz1568/getInfo.php?workbook=10_05.xlsx&amp;sheet=U0&amp;row=7273&amp;col=6&amp;number=3.9&amp;sourceID=14","3.9")</f>
        <v>3.9</v>
      </c>
      <c r="G7273" s="4" t="str">
        <f>HYPERLINK("http://141.218.60.56/~jnz1568/getInfo.php?workbook=10_05.xlsx&amp;sheet=U0&amp;row=7273&amp;col=7&amp;number=0.0333&amp;sourceID=14","0.0333")</f>
        <v>0.0333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HYPERLINK("http://141.218.60.56/~jnz1568/getInfo.php?workbook=10_05.xlsx&amp;sheet=U0&amp;row=7274&amp;col=6&amp;number=4&amp;sourceID=14","4")</f>
        <v>4</v>
      </c>
      <c r="G7274" s="4" t="str">
        <f>HYPERLINK("http://141.218.60.56/~jnz1568/getInfo.php?workbook=10_05.xlsx&amp;sheet=U0&amp;row=7274&amp;col=7&amp;number=0.0354&amp;sourceID=14","0.0354")</f>
        <v>0.0354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HYPERLINK("http://141.218.60.56/~jnz1568/getInfo.php?workbook=10_05.xlsx&amp;sheet=U0&amp;row=7275&amp;col=6&amp;number=4.1&amp;sourceID=14","4.1")</f>
        <v>4.1</v>
      </c>
      <c r="G7275" s="4" t="str">
        <f>HYPERLINK("http://141.218.60.56/~jnz1568/getInfo.php?workbook=10_05.xlsx&amp;sheet=U0&amp;row=7275&amp;col=7&amp;number=0.0378&amp;sourceID=14","0.0378")</f>
        <v>0.0378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HYPERLINK("http://141.218.60.56/~jnz1568/getInfo.php?workbook=10_05.xlsx&amp;sheet=U0&amp;row=7276&amp;col=6&amp;number=4.2&amp;sourceID=14","4.2")</f>
        <v>4.2</v>
      </c>
      <c r="G7276" s="4" t="str">
        <f>HYPERLINK("http://141.218.60.56/~jnz1568/getInfo.php?workbook=10_05.xlsx&amp;sheet=U0&amp;row=7276&amp;col=7&amp;number=0.0406&amp;sourceID=14","0.0406")</f>
        <v>0.0406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HYPERLINK("http://141.218.60.56/~jnz1568/getInfo.php?workbook=10_05.xlsx&amp;sheet=U0&amp;row=7277&amp;col=6&amp;number=4.3&amp;sourceID=14","4.3")</f>
        <v>4.3</v>
      </c>
      <c r="G7277" s="4" t="str">
        <f>HYPERLINK("http://141.218.60.56/~jnz1568/getInfo.php?workbook=10_05.xlsx&amp;sheet=U0&amp;row=7277&amp;col=7&amp;number=0.0435&amp;sourceID=14","0.0435")</f>
        <v>0.0435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HYPERLINK("http://141.218.60.56/~jnz1568/getInfo.php?workbook=10_05.xlsx&amp;sheet=U0&amp;row=7278&amp;col=6&amp;number=4.4&amp;sourceID=14","4.4")</f>
        <v>4.4</v>
      </c>
      <c r="G7278" s="4" t="str">
        <f>HYPERLINK("http://141.218.60.56/~jnz1568/getInfo.php?workbook=10_05.xlsx&amp;sheet=U0&amp;row=7278&amp;col=7&amp;number=0.0465&amp;sourceID=14","0.0465")</f>
        <v>0.0465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HYPERLINK("http://141.218.60.56/~jnz1568/getInfo.php?workbook=10_05.xlsx&amp;sheet=U0&amp;row=7279&amp;col=6&amp;number=4.5&amp;sourceID=14","4.5")</f>
        <v>4.5</v>
      </c>
      <c r="G7279" s="4" t="str">
        <f>HYPERLINK("http://141.218.60.56/~jnz1568/getInfo.php?workbook=10_05.xlsx&amp;sheet=U0&amp;row=7279&amp;col=7&amp;number=0.0491&amp;sourceID=14","0.0491")</f>
        <v>0.0491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HYPERLINK("http://141.218.60.56/~jnz1568/getInfo.php?workbook=10_05.xlsx&amp;sheet=U0&amp;row=7280&amp;col=6&amp;number=4.6&amp;sourceID=14","4.6")</f>
        <v>4.6</v>
      </c>
      <c r="G7280" s="4" t="str">
        <f>HYPERLINK("http://141.218.60.56/~jnz1568/getInfo.php?workbook=10_05.xlsx&amp;sheet=U0&amp;row=7280&amp;col=7&amp;number=0.051&amp;sourceID=14","0.051")</f>
        <v>0.051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HYPERLINK("http://141.218.60.56/~jnz1568/getInfo.php?workbook=10_05.xlsx&amp;sheet=U0&amp;row=7281&amp;col=6&amp;number=4.7&amp;sourceID=14","4.7")</f>
        <v>4.7</v>
      </c>
      <c r="G7281" s="4" t="str">
        <f>HYPERLINK("http://141.218.60.56/~jnz1568/getInfo.php?workbook=10_05.xlsx&amp;sheet=U0&amp;row=7281&amp;col=7&amp;number=0.0517&amp;sourceID=14","0.0517")</f>
        <v>0.0517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HYPERLINK("http://141.218.60.56/~jnz1568/getInfo.php?workbook=10_05.xlsx&amp;sheet=U0&amp;row=7282&amp;col=6&amp;number=4.8&amp;sourceID=14","4.8")</f>
        <v>4.8</v>
      </c>
      <c r="G7282" s="4" t="str">
        <f>HYPERLINK("http://141.218.60.56/~jnz1568/getInfo.php?workbook=10_05.xlsx&amp;sheet=U0&amp;row=7282&amp;col=7&amp;number=0.051&amp;sourceID=14","0.051")</f>
        <v>0.051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HYPERLINK("http://141.218.60.56/~jnz1568/getInfo.php?workbook=10_05.xlsx&amp;sheet=U0&amp;row=7283&amp;col=6&amp;number=4.9&amp;sourceID=14","4.9")</f>
        <v>4.9</v>
      </c>
      <c r="G7283" s="4" t="str">
        <f>HYPERLINK("http://141.218.60.56/~jnz1568/getInfo.php?workbook=10_05.xlsx&amp;sheet=U0&amp;row=7283&amp;col=7&amp;number=0.0496&amp;sourceID=14","0.0496")</f>
        <v>0.0496</v>
      </c>
    </row>
    <row r="7284" spans="1:7">
      <c r="A7284" s="3">
        <v>10</v>
      </c>
      <c r="B7284" s="3">
        <v>5</v>
      </c>
      <c r="C7284" s="3">
        <v>3</v>
      </c>
      <c r="D7284" s="3">
        <v>11</v>
      </c>
      <c r="E7284" s="3">
        <v>1</v>
      </c>
      <c r="F7284" s="4" t="str">
        <f>HYPERLINK("http://141.218.60.56/~jnz1568/getInfo.php?workbook=10_05.xlsx&amp;sheet=U0&amp;row=7284&amp;col=6&amp;number=3&amp;sourceID=14","3")</f>
        <v>3</v>
      </c>
      <c r="G7284" s="4" t="str">
        <f>HYPERLINK("http://141.218.60.56/~jnz1568/getInfo.php?workbook=10_05.xlsx&amp;sheet=U0&amp;row=7284&amp;col=7&amp;number=0.795&amp;sourceID=14","0.795")</f>
        <v>0.795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HYPERLINK("http://141.218.60.56/~jnz1568/getInfo.php?workbook=10_05.xlsx&amp;sheet=U0&amp;row=7285&amp;col=6&amp;number=3.1&amp;sourceID=14","3.1")</f>
        <v>3.1</v>
      </c>
      <c r="G7285" s="4" t="str">
        <f>HYPERLINK("http://141.218.60.56/~jnz1568/getInfo.php?workbook=10_05.xlsx&amp;sheet=U0&amp;row=7285&amp;col=7&amp;number=0.796&amp;sourceID=14","0.796")</f>
        <v>0.796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HYPERLINK("http://141.218.60.56/~jnz1568/getInfo.php?workbook=10_05.xlsx&amp;sheet=U0&amp;row=7286&amp;col=6&amp;number=3.2&amp;sourceID=14","3.2")</f>
        <v>3.2</v>
      </c>
      <c r="G7286" s="4" t="str">
        <f>HYPERLINK("http://141.218.60.56/~jnz1568/getInfo.php?workbook=10_05.xlsx&amp;sheet=U0&amp;row=7286&amp;col=7&amp;number=0.798&amp;sourceID=14","0.798")</f>
        <v>0.798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HYPERLINK("http://141.218.60.56/~jnz1568/getInfo.php?workbook=10_05.xlsx&amp;sheet=U0&amp;row=7287&amp;col=6&amp;number=3.3&amp;sourceID=14","3.3")</f>
        <v>3.3</v>
      </c>
      <c r="G7287" s="4" t="str">
        <f>HYPERLINK("http://141.218.60.56/~jnz1568/getInfo.php?workbook=10_05.xlsx&amp;sheet=U0&amp;row=7287&amp;col=7&amp;number=0.799&amp;sourceID=14","0.799")</f>
        <v>0.799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HYPERLINK("http://141.218.60.56/~jnz1568/getInfo.php?workbook=10_05.xlsx&amp;sheet=U0&amp;row=7288&amp;col=6&amp;number=3.4&amp;sourceID=14","3.4")</f>
        <v>3.4</v>
      </c>
      <c r="G7288" s="4" t="str">
        <f>HYPERLINK("http://141.218.60.56/~jnz1568/getInfo.php?workbook=10_05.xlsx&amp;sheet=U0&amp;row=7288&amp;col=7&amp;number=0.801&amp;sourceID=14","0.801")</f>
        <v>0.801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HYPERLINK("http://141.218.60.56/~jnz1568/getInfo.php?workbook=10_05.xlsx&amp;sheet=U0&amp;row=7289&amp;col=6&amp;number=3.5&amp;sourceID=14","3.5")</f>
        <v>3.5</v>
      </c>
      <c r="G7289" s="4" t="str">
        <f>HYPERLINK("http://141.218.60.56/~jnz1568/getInfo.php?workbook=10_05.xlsx&amp;sheet=U0&amp;row=7289&amp;col=7&amp;number=0.803&amp;sourceID=14","0.803")</f>
        <v>0.803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HYPERLINK("http://141.218.60.56/~jnz1568/getInfo.php?workbook=10_05.xlsx&amp;sheet=U0&amp;row=7290&amp;col=6&amp;number=3.6&amp;sourceID=14","3.6")</f>
        <v>3.6</v>
      </c>
      <c r="G7290" s="4" t="str">
        <f>HYPERLINK("http://141.218.60.56/~jnz1568/getInfo.php?workbook=10_05.xlsx&amp;sheet=U0&amp;row=7290&amp;col=7&amp;number=0.806&amp;sourceID=14","0.806")</f>
        <v>0.806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HYPERLINK("http://141.218.60.56/~jnz1568/getInfo.php?workbook=10_05.xlsx&amp;sheet=U0&amp;row=7291&amp;col=6&amp;number=3.7&amp;sourceID=14","3.7")</f>
        <v>3.7</v>
      </c>
      <c r="G7291" s="4" t="str">
        <f>HYPERLINK("http://141.218.60.56/~jnz1568/getInfo.php?workbook=10_05.xlsx&amp;sheet=U0&amp;row=7291&amp;col=7&amp;number=0.809&amp;sourceID=14","0.809")</f>
        <v>0.809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HYPERLINK("http://141.218.60.56/~jnz1568/getInfo.php?workbook=10_05.xlsx&amp;sheet=U0&amp;row=7292&amp;col=6&amp;number=3.8&amp;sourceID=14","3.8")</f>
        <v>3.8</v>
      </c>
      <c r="G7292" s="4" t="str">
        <f>HYPERLINK("http://141.218.60.56/~jnz1568/getInfo.php?workbook=10_05.xlsx&amp;sheet=U0&amp;row=7292&amp;col=7&amp;number=0.812&amp;sourceID=14","0.812")</f>
        <v>0.812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HYPERLINK("http://141.218.60.56/~jnz1568/getInfo.php?workbook=10_05.xlsx&amp;sheet=U0&amp;row=7293&amp;col=6&amp;number=3.9&amp;sourceID=14","3.9")</f>
        <v>3.9</v>
      </c>
      <c r="G7293" s="4" t="str">
        <f>HYPERLINK("http://141.218.60.56/~jnz1568/getInfo.php?workbook=10_05.xlsx&amp;sheet=U0&amp;row=7293&amp;col=7&amp;number=0.816&amp;sourceID=14","0.816")</f>
        <v>0.816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HYPERLINK("http://141.218.60.56/~jnz1568/getInfo.php?workbook=10_05.xlsx&amp;sheet=U0&amp;row=7294&amp;col=6&amp;number=4&amp;sourceID=14","4")</f>
        <v>4</v>
      </c>
      <c r="G7294" s="4" t="str">
        <f>HYPERLINK("http://141.218.60.56/~jnz1568/getInfo.php?workbook=10_05.xlsx&amp;sheet=U0&amp;row=7294&amp;col=7&amp;number=0.821&amp;sourceID=14","0.821")</f>
        <v>0.821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HYPERLINK("http://141.218.60.56/~jnz1568/getInfo.php?workbook=10_05.xlsx&amp;sheet=U0&amp;row=7295&amp;col=6&amp;number=4.1&amp;sourceID=14","4.1")</f>
        <v>4.1</v>
      </c>
      <c r="G7295" s="4" t="str">
        <f>HYPERLINK("http://141.218.60.56/~jnz1568/getInfo.php?workbook=10_05.xlsx&amp;sheet=U0&amp;row=7295&amp;col=7&amp;number=0.824&amp;sourceID=14","0.824")</f>
        <v>0.824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HYPERLINK("http://141.218.60.56/~jnz1568/getInfo.php?workbook=10_05.xlsx&amp;sheet=U0&amp;row=7296&amp;col=6&amp;number=4.2&amp;sourceID=14","4.2")</f>
        <v>4.2</v>
      </c>
      <c r="G7296" s="4" t="str">
        <f>HYPERLINK("http://141.218.60.56/~jnz1568/getInfo.php?workbook=10_05.xlsx&amp;sheet=U0&amp;row=7296&amp;col=7&amp;number=0.828&amp;sourceID=14","0.828")</f>
        <v>0.828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HYPERLINK("http://141.218.60.56/~jnz1568/getInfo.php?workbook=10_05.xlsx&amp;sheet=U0&amp;row=7297&amp;col=6&amp;number=4.3&amp;sourceID=14","4.3")</f>
        <v>4.3</v>
      </c>
      <c r="G7297" s="4" t="str">
        <f>HYPERLINK("http://141.218.60.56/~jnz1568/getInfo.php?workbook=10_05.xlsx&amp;sheet=U0&amp;row=7297&amp;col=7&amp;number=0.83&amp;sourceID=14","0.83")</f>
        <v>0.83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HYPERLINK("http://141.218.60.56/~jnz1568/getInfo.php?workbook=10_05.xlsx&amp;sheet=U0&amp;row=7298&amp;col=6&amp;number=4.4&amp;sourceID=14","4.4")</f>
        <v>4.4</v>
      </c>
      <c r="G7298" s="4" t="str">
        <f>HYPERLINK("http://141.218.60.56/~jnz1568/getInfo.php?workbook=10_05.xlsx&amp;sheet=U0&amp;row=7298&amp;col=7&amp;number=0.833&amp;sourceID=14","0.833")</f>
        <v>0.833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HYPERLINK("http://141.218.60.56/~jnz1568/getInfo.php?workbook=10_05.xlsx&amp;sheet=U0&amp;row=7299&amp;col=6&amp;number=4.5&amp;sourceID=14","4.5")</f>
        <v>4.5</v>
      </c>
      <c r="G7299" s="4" t="str">
        <f>HYPERLINK("http://141.218.60.56/~jnz1568/getInfo.php?workbook=10_05.xlsx&amp;sheet=U0&amp;row=7299&amp;col=7&amp;number=0.838&amp;sourceID=14","0.838")</f>
        <v>0.838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HYPERLINK("http://141.218.60.56/~jnz1568/getInfo.php?workbook=10_05.xlsx&amp;sheet=U0&amp;row=7300&amp;col=6&amp;number=4.6&amp;sourceID=14","4.6")</f>
        <v>4.6</v>
      </c>
      <c r="G7300" s="4" t="str">
        <f>HYPERLINK("http://141.218.60.56/~jnz1568/getInfo.php?workbook=10_05.xlsx&amp;sheet=U0&amp;row=7300&amp;col=7&amp;number=0.843&amp;sourceID=14","0.843")</f>
        <v>0.843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HYPERLINK("http://141.218.60.56/~jnz1568/getInfo.php?workbook=10_05.xlsx&amp;sheet=U0&amp;row=7301&amp;col=6&amp;number=4.7&amp;sourceID=14","4.7")</f>
        <v>4.7</v>
      </c>
      <c r="G7301" s="4" t="str">
        <f>HYPERLINK("http://141.218.60.56/~jnz1568/getInfo.php?workbook=10_05.xlsx&amp;sheet=U0&amp;row=7301&amp;col=7&amp;number=0.847&amp;sourceID=14","0.847")</f>
        <v>0.847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HYPERLINK("http://141.218.60.56/~jnz1568/getInfo.php?workbook=10_05.xlsx&amp;sheet=U0&amp;row=7302&amp;col=6&amp;number=4.8&amp;sourceID=14","4.8")</f>
        <v>4.8</v>
      </c>
      <c r="G7302" s="4" t="str">
        <f>HYPERLINK("http://141.218.60.56/~jnz1568/getInfo.php?workbook=10_05.xlsx&amp;sheet=U0&amp;row=7302&amp;col=7&amp;number=0.852&amp;sourceID=14","0.852")</f>
        <v>0.852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HYPERLINK("http://141.218.60.56/~jnz1568/getInfo.php?workbook=10_05.xlsx&amp;sheet=U0&amp;row=7303&amp;col=6&amp;number=4.9&amp;sourceID=14","4.9")</f>
        <v>4.9</v>
      </c>
      <c r="G7303" s="4" t="str">
        <f>HYPERLINK("http://141.218.60.56/~jnz1568/getInfo.php?workbook=10_05.xlsx&amp;sheet=U0&amp;row=7303&amp;col=7&amp;number=0.859&amp;sourceID=14","0.859")</f>
        <v>0.859</v>
      </c>
    </row>
    <row r="7304" spans="1:7">
      <c r="A7304" s="3">
        <v>10</v>
      </c>
      <c r="B7304" s="3">
        <v>5</v>
      </c>
      <c r="C7304" s="3">
        <v>3</v>
      </c>
      <c r="D7304" s="3">
        <v>12</v>
      </c>
      <c r="E7304" s="3">
        <v>1</v>
      </c>
      <c r="F7304" s="4" t="str">
        <f>HYPERLINK("http://141.218.60.56/~jnz1568/getInfo.php?workbook=10_05.xlsx&amp;sheet=U0&amp;row=7304&amp;col=6&amp;number=3&amp;sourceID=14","3")</f>
        <v>3</v>
      </c>
      <c r="G7304" s="4" t="str">
        <f>HYPERLINK("http://141.218.60.56/~jnz1568/getInfo.php?workbook=10_05.xlsx&amp;sheet=U0&amp;row=7304&amp;col=7&amp;number=0.0506&amp;sourceID=14","0.0506")</f>
        <v>0.0506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HYPERLINK("http://141.218.60.56/~jnz1568/getInfo.php?workbook=10_05.xlsx&amp;sheet=U0&amp;row=7305&amp;col=6&amp;number=3.1&amp;sourceID=14","3.1")</f>
        <v>3.1</v>
      </c>
      <c r="G7305" s="4" t="str">
        <f>HYPERLINK("http://141.218.60.56/~jnz1568/getInfo.php?workbook=10_05.xlsx&amp;sheet=U0&amp;row=7305&amp;col=7&amp;number=0.0506&amp;sourceID=14","0.0506")</f>
        <v>0.0506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HYPERLINK("http://141.218.60.56/~jnz1568/getInfo.php?workbook=10_05.xlsx&amp;sheet=U0&amp;row=7306&amp;col=6&amp;number=3.2&amp;sourceID=14","3.2")</f>
        <v>3.2</v>
      </c>
      <c r="G7306" s="4" t="str">
        <f>HYPERLINK("http://141.218.60.56/~jnz1568/getInfo.php?workbook=10_05.xlsx&amp;sheet=U0&amp;row=7306&amp;col=7&amp;number=0.0507&amp;sourceID=14","0.0507")</f>
        <v>0.0507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HYPERLINK("http://141.218.60.56/~jnz1568/getInfo.php?workbook=10_05.xlsx&amp;sheet=U0&amp;row=7307&amp;col=6&amp;number=3.3&amp;sourceID=14","3.3")</f>
        <v>3.3</v>
      </c>
      <c r="G7307" s="4" t="str">
        <f>HYPERLINK("http://141.218.60.56/~jnz1568/getInfo.php?workbook=10_05.xlsx&amp;sheet=U0&amp;row=7307&amp;col=7&amp;number=0.0507&amp;sourceID=14","0.0507")</f>
        <v>0.0507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HYPERLINK("http://141.218.60.56/~jnz1568/getInfo.php?workbook=10_05.xlsx&amp;sheet=U0&amp;row=7308&amp;col=6&amp;number=3.4&amp;sourceID=14","3.4")</f>
        <v>3.4</v>
      </c>
      <c r="G7308" s="4" t="str">
        <f>HYPERLINK("http://141.218.60.56/~jnz1568/getInfo.php?workbook=10_05.xlsx&amp;sheet=U0&amp;row=7308&amp;col=7&amp;number=0.0508&amp;sourceID=14","0.0508")</f>
        <v>0.0508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HYPERLINK("http://141.218.60.56/~jnz1568/getInfo.php?workbook=10_05.xlsx&amp;sheet=U0&amp;row=7309&amp;col=6&amp;number=3.5&amp;sourceID=14","3.5")</f>
        <v>3.5</v>
      </c>
      <c r="G7309" s="4" t="str">
        <f>HYPERLINK("http://141.218.60.56/~jnz1568/getInfo.php?workbook=10_05.xlsx&amp;sheet=U0&amp;row=7309&amp;col=7&amp;number=0.051&amp;sourceID=14","0.051")</f>
        <v>0.051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HYPERLINK("http://141.218.60.56/~jnz1568/getInfo.php?workbook=10_05.xlsx&amp;sheet=U0&amp;row=7310&amp;col=6&amp;number=3.6&amp;sourceID=14","3.6")</f>
        <v>3.6</v>
      </c>
      <c r="G7310" s="4" t="str">
        <f>HYPERLINK("http://141.218.60.56/~jnz1568/getInfo.php?workbook=10_05.xlsx&amp;sheet=U0&amp;row=7310&amp;col=7&amp;number=0.0511&amp;sourceID=14","0.0511")</f>
        <v>0.0511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HYPERLINK("http://141.218.60.56/~jnz1568/getInfo.php?workbook=10_05.xlsx&amp;sheet=U0&amp;row=7311&amp;col=6&amp;number=3.7&amp;sourceID=14","3.7")</f>
        <v>3.7</v>
      </c>
      <c r="G7311" s="4" t="str">
        <f>HYPERLINK("http://141.218.60.56/~jnz1568/getInfo.php?workbook=10_05.xlsx&amp;sheet=U0&amp;row=7311&amp;col=7&amp;number=0.0513&amp;sourceID=14","0.0513")</f>
        <v>0.0513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HYPERLINK("http://141.218.60.56/~jnz1568/getInfo.php?workbook=10_05.xlsx&amp;sheet=U0&amp;row=7312&amp;col=6&amp;number=3.8&amp;sourceID=14","3.8")</f>
        <v>3.8</v>
      </c>
      <c r="G7312" s="4" t="str">
        <f>HYPERLINK("http://141.218.60.56/~jnz1568/getInfo.php?workbook=10_05.xlsx&amp;sheet=U0&amp;row=7312&amp;col=7&amp;number=0.0515&amp;sourceID=14","0.0515")</f>
        <v>0.0515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HYPERLINK("http://141.218.60.56/~jnz1568/getInfo.php?workbook=10_05.xlsx&amp;sheet=U0&amp;row=7313&amp;col=6&amp;number=3.9&amp;sourceID=14","3.9")</f>
        <v>3.9</v>
      </c>
      <c r="G7313" s="4" t="str">
        <f>HYPERLINK("http://141.218.60.56/~jnz1568/getInfo.php?workbook=10_05.xlsx&amp;sheet=U0&amp;row=7313&amp;col=7&amp;number=0.0517&amp;sourceID=14","0.0517")</f>
        <v>0.0517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HYPERLINK("http://141.218.60.56/~jnz1568/getInfo.php?workbook=10_05.xlsx&amp;sheet=U0&amp;row=7314&amp;col=6&amp;number=4&amp;sourceID=14","4")</f>
        <v>4</v>
      </c>
      <c r="G7314" s="4" t="str">
        <f>HYPERLINK("http://141.218.60.56/~jnz1568/getInfo.php?workbook=10_05.xlsx&amp;sheet=U0&amp;row=7314&amp;col=7&amp;number=0.052&amp;sourceID=14","0.052")</f>
        <v>0.052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HYPERLINK("http://141.218.60.56/~jnz1568/getInfo.php?workbook=10_05.xlsx&amp;sheet=U0&amp;row=7315&amp;col=6&amp;number=4.1&amp;sourceID=14","4.1")</f>
        <v>4.1</v>
      </c>
      <c r="G7315" s="4" t="str">
        <f>HYPERLINK("http://141.218.60.56/~jnz1568/getInfo.php?workbook=10_05.xlsx&amp;sheet=U0&amp;row=7315&amp;col=7&amp;number=0.0522&amp;sourceID=14","0.0522")</f>
        <v>0.0522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HYPERLINK("http://141.218.60.56/~jnz1568/getInfo.php?workbook=10_05.xlsx&amp;sheet=U0&amp;row=7316&amp;col=6&amp;number=4.2&amp;sourceID=14","4.2")</f>
        <v>4.2</v>
      </c>
      <c r="G7316" s="4" t="str">
        <f>HYPERLINK("http://141.218.60.56/~jnz1568/getInfo.php?workbook=10_05.xlsx&amp;sheet=U0&amp;row=7316&amp;col=7&amp;number=0.0524&amp;sourceID=14","0.0524")</f>
        <v>0.0524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HYPERLINK("http://141.218.60.56/~jnz1568/getInfo.php?workbook=10_05.xlsx&amp;sheet=U0&amp;row=7317&amp;col=6&amp;number=4.3&amp;sourceID=14","4.3")</f>
        <v>4.3</v>
      </c>
      <c r="G7317" s="4" t="str">
        <f>HYPERLINK("http://141.218.60.56/~jnz1568/getInfo.php?workbook=10_05.xlsx&amp;sheet=U0&amp;row=7317&amp;col=7&amp;number=0.0524&amp;sourceID=14","0.0524")</f>
        <v>0.0524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HYPERLINK("http://141.218.60.56/~jnz1568/getInfo.php?workbook=10_05.xlsx&amp;sheet=U0&amp;row=7318&amp;col=6&amp;number=4.4&amp;sourceID=14","4.4")</f>
        <v>4.4</v>
      </c>
      <c r="G7318" s="4" t="str">
        <f>HYPERLINK("http://141.218.60.56/~jnz1568/getInfo.php?workbook=10_05.xlsx&amp;sheet=U0&amp;row=7318&amp;col=7&amp;number=0.0522&amp;sourceID=14","0.0522")</f>
        <v>0.0522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HYPERLINK("http://141.218.60.56/~jnz1568/getInfo.php?workbook=10_05.xlsx&amp;sheet=U0&amp;row=7319&amp;col=6&amp;number=4.5&amp;sourceID=14","4.5")</f>
        <v>4.5</v>
      </c>
      <c r="G7319" s="4" t="str">
        <f>HYPERLINK("http://141.218.60.56/~jnz1568/getInfo.php?workbook=10_05.xlsx&amp;sheet=U0&amp;row=7319&amp;col=7&amp;number=0.0519&amp;sourceID=14","0.0519")</f>
        <v>0.0519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HYPERLINK("http://141.218.60.56/~jnz1568/getInfo.php?workbook=10_05.xlsx&amp;sheet=U0&amp;row=7320&amp;col=6&amp;number=4.6&amp;sourceID=14","4.6")</f>
        <v>4.6</v>
      </c>
      <c r="G7320" s="4" t="str">
        <f>HYPERLINK("http://141.218.60.56/~jnz1568/getInfo.php?workbook=10_05.xlsx&amp;sheet=U0&amp;row=7320&amp;col=7&amp;number=0.0516&amp;sourceID=14","0.0516")</f>
        <v>0.0516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HYPERLINK("http://141.218.60.56/~jnz1568/getInfo.php?workbook=10_05.xlsx&amp;sheet=U0&amp;row=7321&amp;col=6&amp;number=4.7&amp;sourceID=14","4.7")</f>
        <v>4.7</v>
      </c>
      <c r="G7321" s="4" t="str">
        <f>HYPERLINK("http://141.218.60.56/~jnz1568/getInfo.php?workbook=10_05.xlsx&amp;sheet=U0&amp;row=7321&amp;col=7&amp;number=0.0514&amp;sourceID=14","0.0514")</f>
        <v>0.0514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HYPERLINK("http://141.218.60.56/~jnz1568/getInfo.php?workbook=10_05.xlsx&amp;sheet=U0&amp;row=7322&amp;col=6&amp;number=4.8&amp;sourceID=14","4.8")</f>
        <v>4.8</v>
      </c>
      <c r="G7322" s="4" t="str">
        <f>HYPERLINK("http://141.218.60.56/~jnz1568/getInfo.php?workbook=10_05.xlsx&amp;sheet=U0&amp;row=7322&amp;col=7&amp;number=0.0513&amp;sourceID=14","0.0513")</f>
        <v>0.0513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HYPERLINK("http://141.218.60.56/~jnz1568/getInfo.php?workbook=10_05.xlsx&amp;sheet=U0&amp;row=7323&amp;col=6&amp;number=4.9&amp;sourceID=14","4.9")</f>
        <v>4.9</v>
      </c>
      <c r="G7323" s="4" t="str">
        <f>HYPERLINK("http://141.218.60.56/~jnz1568/getInfo.php?workbook=10_05.xlsx&amp;sheet=U0&amp;row=7323&amp;col=7&amp;number=0.0512&amp;sourceID=14","0.0512")</f>
        <v>0.0512</v>
      </c>
    </row>
    <row r="7324" spans="1:7">
      <c r="A7324" s="3">
        <v>10</v>
      </c>
      <c r="B7324" s="3">
        <v>5</v>
      </c>
      <c r="C7324" s="3">
        <v>3</v>
      </c>
      <c r="D7324" s="3">
        <v>13</v>
      </c>
      <c r="E7324" s="3">
        <v>1</v>
      </c>
      <c r="F7324" s="4" t="str">
        <f>HYPERLINK("http://141.218.60.56/~jnz1568/getInfo.php?workbook=10_05.xlsx&amp;sheet=U0&amp;row=7324&amp;col=6&amp;number=3&amp;sourceID=14","3")</f>
        <v>3</v>
      </c>
      <c r="G7324" s="4" t="str">
        <f>HYPERLINK("http://141.218.60.56/~jnz1568/getInfo.php?workbook=10_05.xlsx&amp;sheet=U0&amp;row=7324&amp;col=7&amp;number=0.0101&amp;sourceID=14","0.0101")</f>
        <v>0.0101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HYPERLINK("http://141.218.60.56/~jnz1568/getInfo.php?workbook=10_05.xlsx&amp;sheet=U0&amp;row=7325&amp;col=6&amp;number=3.1&amp;sourceID=14","3.1")</f>
        <v>3.1</v>
      </c>
      <c r="G7325" s="4" t="str">
        <f>HYPERLINK("http://141.218.60.56/~jnz1568/getInfo.php?workbook=10_05.xlsx&amp;sheet=U0&amp;row=7325&amp;col=7&amp;number=0.0101&amp;sourceID=14","0.0101")</f>
        <v>0.0101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HYPERLINK("http://141.218.60.56/~jnz1568/getInfo.php?workbook=10_05.xlsx&amp;sheet=U0&amp;row=7326&amp;col=6&amp;number=3.2&amp;sourceID=14","3.2")</f>
        <v>3.2</v>
      </c>
      <c r="G7326" s="4" t="str">
        <f>HYPERLINK("http://141.218.60.56/~jnz1568/getInfo.php?workbook=10_05.xlsx&amp;sheet=U0&amp;row=7326&amp;col=7&amp;number=0.0101&amp;sourceID=14","0.0101")</f>
        <v>0.0101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HYPERLINK("http://141.218.60.56/~jnz1568/getInfo.php?workbook=10_05.xlsx&amp;sheet=U0&amp;row=7327&amp;col=6&amp;number=3.3&amp;sourceID=14","3.3")</f>
        <v>3.3</v>
      </c>
      <c r="G7327" s="4" t="str">
        <f>HYPERLINK("http://141.218.60.56/~jnz1568/getInfo.php?workbook=10_05.xlsx&amp;sheet=U0&amp;row=7327&amp;col=7&amp;number=0.0101&amp;sourceID=14","0.0101")</f>
        <v>0.0101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HYPERLINK("http://141.218.60.56/~jnz1568/getInfo.php?workbook=10_05.xlsx&amp;sheet=U0&amp;row=7328&amp;col=6&amp;number=3.4&amp;sourceID=14","3.4")</f>
        <v>3.4</v>
      </c>
      <c r="G7328" s="4" t="str">
        <f>HYPERLINK("http://141.218.60.56/~jnz1568/getInfo.php?workbook=10_05.xlsx&amp;sheet=U0&amp;row=7328&amp;col=7&amp;number=0.0101&amp;sourceID=14","0.0101")</f>
        <v>0.0101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HYPERLINK("http://141.218.60.56/~jnz1568/getInfo.php?workbook=10_05.xlsx&amp;sheet=U0&amp;row=7329&amp;col=6&amp;number=3.5&amp;sourceID=14","3.5")</f>
        <v>3.5</v>
      </c>
      <c r="G7329" s="4" t="str">
        <f>HYPERLINK("http://141.218.60.56/~jnz1568/getInfo.php?workbook=10_05.xlsx&amp;sheet=U0&amp;row=7329&amp;col=7&amp;number=0.01&amp;sourceID=14","0.01")</f>
        <v>0.01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HYPERLINK("http://141.218.60.56/~jnz1568/getInfo.php?workbook=10_05.xlsx&amp;sheet=U0&amp;row=7330&amp;col=6&amp;number=3.6&amp;sourceID=14","3.6")</f>
        <v>3.6</v>
      </c>
      <c r="G7330" s="4" t="str">
        <f>HYPERLINK("http://141.218.60.56/~jnz1568/getInfo.php?workbook=10_05.xlsx&amp;sheet=U0&amp;row=7330&amp;col=7&amp;number=0.01&amp;sourceID=14","0.01")</f>
        <v>0.01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HYPERLINK("http://141.218.60.56/~jnz1568/getInfo.php?workbook=10_05.xlsx&amp;sheet=U0&amp;row=7331&amp;col=6&amp;number=3.7&amp;sourceID=14","3.7")</f>
        <v>3.7</v>
      </c>
      <c r="G7331" s="4" t="str">
        <f>HYPERLINK("http://141.218.60.56/~jnz1568/getInfo.php?workbook=10_05.xlsx&amp;sheet=U0&amp;row=7331&amp;col=7&amp;number=0.01&amp;sourceID=14","0.01")</f>
        <v>0.01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HYPERLINK("http://141.218.60.56/~jnz1568/getInfo.php?workbook=10_05.xlsx&amp;sheet=U0&amp;row=7332&amp;col=6&amp;number=3.8&amp;sourceID=14","3.8")</f>
        <v>3.8</v>
      </c>
      <c r="G7332" s="4" t="str">
        <f>HYPERLINK("http://141.218.60.56/~jnz1568/getInfo.php?workbook=10_05.xlsx&amp;sheet=U0&amp;row=7332&amp;col=7&amp;number=0.01&amp;sourceID=14","0.01")</f>
        <v>0.01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HYPERLINK("http://141.218.60.56/~jnz1568/getInfo.php?workbook=10_05.xlsx&amp;sheet=U0&amp;row=7333&amp;col=6&amp;number=3.9&amp;sourceID=14","3.9")</f>
        <v>3.9</v>
      </c>
      <c r="G7333" s="4" t="str">
        <f>HYPERLINK("http://141.218.60.56/~jnz1568/getInfo.php?workbook=10_05.xlsx&amp;sheet=U0&amp;row=7333&amp;col=7&amp;number=0.01&amp;sourceID=14","0.01")</f>
        <v>0.01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HYPERLINK("http://141.218.60.56/~jnz1568/getInfo.php?workbook=10_05.xlsx&amp;sheet=U0&amp;row=7334&amp;col=6&amp;number=4&amp;sourceID=14","4")</f>
        <v>4</v>
      </c>
      <c r="G7334" s="4" t="str">
        <f>HYPERLINK("http://141.218.60.56/~jnz1568/getInfo.php?workbook=10_05.xlsx&amp;sheet=U0&amp;row=7334&amp;col=7&amp;number=0.01&amp;sourceID=14","0.01")</f>
        <v>0.01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HYPERLINK("http://141.218.60.56/~jnz1568/getInfo.php?workbook=10_05.xlsx&amp;sheet=U0&amp;row=7335&amp;col=6&amp;number=4.1&amp;sourceID=14","4.1")</f>
        <v>4.1</v>
      </c>
      <c r="G7335" s="4" t="str">
        <f>HYPERLINK("http://141.218.60.56/~jnz1568/getInfo.php?workbook=10_05.xlsx&amp;sheet=U0&amp;row=7335&amp;col=7&amp;number=0.01&amp;sourceID=14","0.01")</f>
        <v>0.01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HYPERLINK("http://141.218.60.56/~jnz1568/getInfo.php?workbook=10_05.xlsx&amp;sheet=U0&amp;row=7336&amp;col=6&amp;number=4.2&amp;sourceID=14","4.2")</f>
        <v>4.2</v>
      </c>
      <c r="G7336" s="4" t="str">
        <f>HYPERLINK("http://141.218.60.56/~jnz1568/getInfo.php?workbook=10_05.xlsx&amp;sheet=U0&amp;row=7336&amp;col=7&amp;number=0.00997&amp;sourceID=14","0.00997")</f>
        <v>0.00997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HYPERLINK("http://141.218.60.56/~jnz1568/getInfo.php?workbook=10_05.xlsx&amp;sheet=U0&amp;row=7337&amp;col=6&amp;number=4.3&amp;sourceID=14","4.3")</f>
        <v>4.3</v>
      </c>
      <c r="G7337" s="4" t="str">
        <f>HYPERLINK("http://141.218.60.56/~jnz1568/getInfo.php?workbook=10_05.xlsx&amp;sheet=U0&amp;row=7337&amp;col=7&amp;number=0.00993&amp;sourceID=14","0.00993")</f>
        <v>0.00993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HYPERLINK("http://141.218.60.56/~jnz1568/getInfo.php?workbook=10_05.xlsx&amp;sheet=U0&amp;row=7338&amp;col=6&amp;number=4.4&amp;sourceID=14","4.4")</f>
        <v>4.4</v>
      </c>
      <c r="G7338" s="4" t="str">
        <f>HYPERLINK("http://141.218.60.56/~jnz1568/getInfo.php?workbook=10_05.xlsx&amp;sheet=U0&amp;row=7338&amp;col=7&amp;number=0.00986&amp;sourceID=14","0.00986")</f>
        <v>0.00986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HYPERLINK("http://141.218.60.56/~jnz1568/getInfo.php?workbook=10_05.xlsx&amp;sheet=U0&amp;row=7339&amp;col=6&amp;number=4.5&amp;sourceID=14","4.5")</f>
        <v>4.5</v>
      </c>
      <c r="G7339" s="4" t="str">
        <f>HYPERLINK("http://141.218.60.56/~jnz1568/getInfo.php?workbook=10_05.xlsx&amp;sheet=U0&amp;row=7339&amp;col=7&amp;number=0.00976&amp;sourceID=14","0.00976")</f>
        <v>0.00976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HYPERLINK("http://141.218.60.56/~jnz1568/getInfo.php?workbook=10_05.xlsx&amp;sheet=U0&amp;row=7340&amp;col=6&amp;number=4.6&amp;sourceID=14","4.6")</f>
        <v>4.6</v>
      </c>
      <c r="G7340" s="4" t="str">
        <f>HYPERLINK("http://141.218.60.56/~jnz1568/getInfo.php?workbook=10_05.xlsx&amp;sheet=U0&amp;row=7340&amp;col=7&amp;number=0.00963&amp;sourceID=14","0.00963")</f>
        <v>0.00963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HYPERLINK("http://141.218.60.56/~jnz1568/getInfo.php?workbook=10_05.xlsx&amp;sheet=U0&amp;row=7341&amp;col=6&amp;number=4.7&amp;sourceID=14","4.7")</f>
        <v>4.7</v>
      </c>
      <c r="G7341" s="4" t="str">
        <f>HYPERLINK("http://141.218.60.56/~jnz1568/getInfo.php?workbook=10_05.xlsx&amp;sheet=U0&amp;row=7341&amp;col=7&amp;number=0.00948&amp;sourceID=14","0.00948")</f>
        <v>0.00948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HYPERLINK("http://141.218.60.56/~jnz1568/getInfo.php?workbook=10_05.xlsx&amp;sheet=U0&amp;row=7342&amp;col=6&amp;number=4.8&amp;sourceID=14","4.8")</f>
        <v>4.8</v>
      </c>
      <c r="G7342" s="4" t="str">
        <f>HYPERLINK("http://141.218.60.56/~jnz1568/getInfo.php?workbook=10_05.xlsx&amp;sheet=U0&amp;row=7342&amp;col=7&amp;number=0.00936&amp;sourceID=14","0.00936")</f>
        <v>0.00936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HYPERLINK("http://141.218.60.56/~jnz1568/getInfo.php?workbook=10_05.xlsx&amp;sheet=U0&amp;row=7343&amp;col=6&amp;number=4.9&amp;sourceID=14","4.9")</f>
        <v>4.9</v>
      </c>
      <c r="G7343" s="4" t="str">
        <f>HYPERLINK("http://141.218.60.56/~jnz1568/getInfo.php?workbook=10_05.xlsx&amp;sheet=U0&amp;row=7343&amp;col=7&amp;number=0.00935&amp;sourceID=14","0.00935")</f>
        <v>0.00935</v>
      </c>
    </row>
    <row r="7344" spans="1:7">
      <c r="A7344" s="3">
        <v>10</v>
      </c>
      <c r="B7344" s="3">
        <v>5</v>
      </c>
      <c r="C7344" s="3">
        <v>3</v>
      </c>
      <c r="D7344" s="3">
        <v>14</v>
      </c>
      <c r="E7344" s="3">
        <v>1</v>
      </c>
      <c r="F7344" s="4" t="str">
        <f>HYPERLINK("http://141.218.60.56/~jnz1568/getInfo.php?workbook=10_05.xlsx&amp;sheet=U0&amp;row=7344&amp;col=6&amp;number=3&amp;sourceID=14","3")</f>
        <v>3</v>
      </c>
      <c r="G7344" s="4" t="str">
        <f>HYPERLINK("http://141.218.60.56/~jnz1568/getInfo.php?workbook=10_05.xlsx&amp;sheet=U0&amp;row=7344&amp;col=7&amp;number=0.0131&amp;sourceID=14","0.0131")</f>
        <v>0.0131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HYPERLINK("http://141.218.60.56/~jnz1568/getInfo.php?workbook=10_05.xlsx&amp;sheet=U0&amp;row=7345&amp;col=6&amp;number=3.1&amp;sourceID=14","3.1")</f>
        <v>3.1</v>
      </c>
      <c r="G7345" s="4" t="str">
        <f>HYPERLINK("http://141.218.60.56/~jnz1568/getInfo.php?workbook=10_05.xlsx&amp;sheet=U0&amp;row=7345&amp;col=7&amp;number=0.0132&amp;sourceID=14","0.0132")</f>
        <v>0.0132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HYPERLINK("http://141.218.60.56/~jnz1568/getInfo.php?workbook=10_05.xlsx&amp;sheet=U0&amp;row=7346&amp;col=6&amp;number=3.2&amp;sourceID=14","3.2")</f>
        <v>3.2</v>
      </c>
      <c r="G7346" s="4" t="str">
        <f>HYPERLINK("http://141.218.60.56/~jnz1568/getInfo.php?workbook=10_05.xlsx&amp;sheet=U0&amp;row=7346&amp;col=7&amp;number=0.0132&amp;sourceID=14","0.0132")</f>
        <v>0.0132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HYPERLINK("http://141.218.60.56/~jnz1568/getInfo.php?workbook=10_05.xlsx&amp;sheet=U0&amp;row=7347&amp;col=6&amp;number=3.3&amp;sourceID=14","3.3")</f>
        <v>3.3</v>
      </c>
      <c r="G7347" s="4" t="str">
        <f>HYPERLINK("http://141.218.60.56/~jnz1568/getInfo.php?workbook=10_05.xlsx&amp;sheet=U0&amp;row=7347&amp;col=7&amp;number=0.0132&amp;sourceID=14","0.0132")</f>
        <v>0.0132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HYPERLINK("http://141.218.60.56/~jnz1568/getInfo.php?workbook=10_05.xlsx&amp;sheet=U0&amp;row=7348&amp;col=6&amp;number=3.4&amp;sourceID=14","3.4")</f>
        <v>3.4</v>
      </c>
      <c r="G7348" s="4" t="str">
        <f>HYPERLINK("http://141.218.60.56/~jnz1568/getInfo.php?workbook=10_05.xlsx&amp;sheet=U0&amp;row=7348&amp;col=7&amp;number=0.0132&amp;sourceID=14","0.0132")</f>
        <v>0.0132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HYPERLINK("http://141.218.60.56/~jnz1568/getInfo.php?workbook=10_05.xlsx&amp;sheet=U0&amp;row=7349&amp;col=6&amp;number=3.5&amp;sourceID=14","3.5")</f>
        <v>3.5</v>
      </c>
      <c r="G7349" s="4" t="str">
        <f>HYPERLINK("http://141.218.60.56/~jnz1568/getInfo.php?workbook=10_05.xlsx&amp;sheet=U0&amp;row=7349&amp;col=7&amp;number=0.0132&amp;sourceID=14","0.0132")</f>
        <v>0.0132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HYPERLINK("http://141.218.60.56/~jnz1568/getInfo.php?workbook=10_05.xlsx&amp;sheet=U0&amp;row=7350&amp;col=6&amp;number=3.6&amp;sourceID=14","3.6")</f>
        <v>3.6</v>
      </c>
      <c r="G7350" s="4" t="str">
        <f>HYPERLINK("http://141.218.60.56/~jnz1568/getInfo.php?workbook=10_05.xlsx&amp;sheet=U0&amp;row=7350&amp;col=7&amp;number=0.0132&amp;sourceID=14","0.0132")</f>
        <v>0.0132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HYPERLINK("http://141.218.60.56/~jnz1568/getInfo.php?workbook=10_05.xlsx&amp;sheet=U0&amp;row=7351&amp;col=6&amp;number=3.7&amp;sourceID=14","3.7")</f>
        <v>3.7</v>
      </c>
      <c r="G7351" s="4" t="str">
        <f>HYPERLINK("http://141.218.60.56/~jnz1568/getInfo.php?workbook=10_05.xlsx&amp;sheet=U0&amp;row=7351&amp;col=7&amp;number=0.0133&amp;sourceID=14","0.0133")</f>
        <v>0.0133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HYPERLINK("http://141.218.60.56/~jnz1568/getInfo.php?workbook=10_05.xlsx&amp;sheet=U0&amp;row=7352&amp;col=6&amp;number=3.8&amp;sourceID=14","3.8")</f>
        <v>3.8</v>
      </c>
      <c r="G7352" s="4" t="str">
        <f>HYPERLINK("http://141.218.60.56/~jnz1568/getInfo.php?workbook=10_05.xlsx&amp;sheet=U0&amp;row=7352&amp;col=7&amp;number=0.0133&amp;sourceID=14","0.0133")</f>
        <v>0.0133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HYPERLINK("http://141.218.60.56/~jnz1568/getInfo.php?workbook=10_05.xlsx&amp;sheet=U0&amp;row=7353&amp;col=6&amp;number=3.9&amp;sourceID=14","3.9")</f>
        <v>3.9</v>
      </c>
      <c r="G7353" s="4" t="str">
        <f>HYPERLINK("http://141.218.60.56/~jnz1568/getInfo.php?workbook=10_05.xlsx&amp;sheet=U0&amp;row=7353&amp;col=7&amp;number=0.0133&amp;sourceID=14","0.0133")</f>
        <v>0.0133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HYPERLINK("http://141.218.60.56/~jnz1568/getInfo.php?workbook=10_05.xlsx&amp;sheet=U0&amp;row=7354&amp;col=6&amp;number=4&amp;sourceID=14","4")</f>
        <v>4</v>
      </c>
      <c r="G7354" s="4" t="str">
        <f>HYPERLINK("http://141.218.60.56/~jnz1568/getInfo.php?workbook=10_05.xlsx&amp;sheet=U0&amp;row=7354&amp;col=7&amp;number=0.0134&amp;sourceID=14","0.0134")</f>
        <v>0.0134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HYPERLINK("http://141.218.60.56/~jnz1568/getInfo.php?workbook=10_05.xlsx&amp;sheet=U0&amp;row=7355&amp;col=6&amp;number=4.1&amp;sourceID=14","4.1")</f>
        <v>4.1</v>
      </c>
      <c r="G7355" s="4" t="str">
        <f>HYPERLINK("http://141.218.60.56/~jnz1568/getInfo.php?workbook=10_05.xlsx&amp;sheet=U0&amp;row=7355&amp;col=7&amp;number=0.0134&amp;sourceID=14","0.0134")</f>
        <v>0.0134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HYPERLINK("http://141.218.60.56/~jnz1568/getInfo.php?workbook=10_05.xlsx&amp;sheet=U0&amp;row=7356&amp;col=6&amp;number=4.2&amp;sourceID=14","4.2")</f>
        <v>4.2</v>
      </c>
      <c r="G7356" s="4" t="str">
        <f>HYPERLINK("http://141.218.60.56/~jnz1568/getInfo.php?workbook=10_05.xlsx&amp;sheet=U0&amp;row=7356&amp;col=7&amp;number=0.0135&amp;sourceID=14","0.0135")</f>
        <v>0.0135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HYPERLINK("http://141.218.60.56/~jnz1568/getInfo.php?workbook=10_05.xlsx&amp;sheet=U0&amp;row=7357&amp;col=6&amp;number=4.3&amp;sourceID=14","4.3")</f>
        <v>4.3</v>
      </c>
      <c r="G7357" s="4" t="str">
        <f>HYPERLINK("http://141.218.60.56/~jnz1568/getInfo.php?workbook=10_05.xlsx&amp;sheet=U0&amp;row=7357&amp;col=7&amp;number=0.0135&amp;sourceID=14","0.0135")</f>
        <v>0.0135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HYPERLINK("http://141.218.60.56/~jnz1568/getInfo.php?workbook=10_05.xlsx&amp;sheet=U0&amp;row=7358&amp;col=6&amp;number=4.4&amp;sourceID=14","4.4")</f>
        <v>4.4</v>
      </c>
      <c r="G7358" s="4" t="str">
        <f>HYPERLINK("http://141.218.60.56/~jnz1568/getInfo.php?workbook=10_05.xlsx&amp;sheet=U0&amp;row=7358&amp;col=7&amp;number=0.0135&amp;sourceID=14","0.0135")</f>
        <v>0.0135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HYPERLINK("http://141.218.60.56/~jnz1568/getInfo.php?workbook=10_05.xlsx&amp;sheet=U0&amp;row=7359&amp;col=6&amp;number=4.5&amp;sourceID=14","4.5")</f>
        <v>4.5</v>
      </c>
      <c r="G7359" s="4" t="str">
        <f>HYPERLINK("http://141.218.60.56/~jnz1568/getInfo.php?workbook=10_05.xlsx&amp;sheet=U0&amp;row=7359&amp;col=7&amp;number=0.0135&amp;sourceID=14","0.0135")</f>
        <v>0.0135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HYPERLINK("http://141.218.60.56/~jnz1568/getInfo.php?workbook=10_05.xlsx&amp;sheet=U0&amp;row=7360&amp;col=6&amp;number=4.6&amp;sourceID=14","4.6")</f>
        <v>4.6</v>
      </c>
      <c r="G7360" s="4" t="str">
        <f>HYPERLINK("http://141.218.60.56/~jnz1568/getInfo.php?workbook=10_05.xlsx&amp;sheet=U0&amp;row=7360&amp;col=7&amp;number=0.0135&amp;sourceID=14","0.0135")</f>
        <v>0.0135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HYPERLINK("http://141.218.60.56/~jnz1568/getInfo.php?workbook=10_05.xlsx&amp;sheet=U0&amp;row=7361&amp;col=6&amp;number=4.7&amp;sourceID=14","4.7")</f>
        <v>4.7</v>
      </c>
      <c r="G7361" s="4" t="str">
        <f>HYPERLINK("http://141.218.60.56/~jnz1568/getInfo.php?workbook=10_05.xlsx&amp;sheet=U0&amp;row=7361&amp;col=7&amp;number=0.0136&amp;sourceID=14","0.0136")</f>
        <v>0.0136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HYPERLINK("http://141.218.60.56/~jnz1568/getInfo.php?workbook=10_05.xlsx&amp;sheet=U0&amp;row=7362&amp;col=6&amp;number=4.8&amp;sourceID=14","4.8")</f>
        <v>4.8</v>
      </c>
      <c r="G7362" s="4" t="str">
        <f>HYPERLINK("http://141.218.60.56/~jnz1568/getInfo.php?workbook=10_05.xlsx&amp;sheet=U0&amp;row=7362&amp;col=7&amp;number=0.0137&amp;sourceID=14","0.0137")</f>
        <v>0.0137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HYPERLINK("http://141.218.60.56/~jnz1568/getInfo.php?workbook=10_05.xlsx&amp;sheet=U0&amp;row=7363&amp;col=6&amp;number=4.9&amp;sourceID=14","4.9")</f>
        <v>4.9</v>
      </c>
      <c r="G7363" s="4" t="str">
        <f>HYPERLINK("http://141.218.60.56/~jnz1568/getInfo.php?workbook=10_05.xlsx&amp;sheet=U0&amp;row=7363&amp;col=7&amp;number=0.0138&amp;sourceID=14","0.0138")</f>
        <v>0.0138</v>
      </c>
    </row>
    <row r="7364" spans="1:7">
      <c r="A7364" s="3">
        <v>10</v>
      </c>
      <c r="B7364" s="3">
        <v>5</v>
      </c>
      <c r="C7364" s="3">
        <v>3</v>
      </c>
      <c r="D7364" s="3">
        <v>15</v>
      </c>
      <c r="E7364" s="3">
        <v>1</v>
      </c>
      <c r="F7364" s="4" t="str">
        <f>HYPERLINK("http://141.218.60.56/~jnz1568/getInfo.php?workbook=10_05.xlsx&amp;sheet=U0&amp;row=7364&amp;col=6&amp;number=3&amp;sourceID=14","3")</f>
        <v>3</v>
      </c>
      <c r="G7364" s="4" t="str">
        <f>HYPERLINK("http://141.218.60.56/~jnz1568/getInfo.php?workbook=10_05.xlsx&amp;sheet=U0&amp;row=7364&amp;col=7&amp;number=0.00848&amp;sourceID=14","0.00848")</f>
        <v>0.00848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HYPERLINK("http://141.218.60.56/~jnz1568/getInfo.php?workbook=10_05.xlsx&amp;sheet=U0&amp;row=7365&amp;col=6&amp;number=3.1&amp;sourceID=14","3.1")</f>
        <v>3.1</v>
      </c>
      <c r="G7365" s="4" t="str">
        <f>HYPERLINK("http://141.218.60.56/~jnz1568/getInfo.php?workbook=10_05.xlsx&amp;sheet=U0&amp;row=7365&amp;col=7&amp;number=0.00849&amp;sourceID=14","0.00849")</f>
        <v>0.00849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HYPERLINK("http://141.218.60.56/~jnz1568/getInfo.php?workbook=10_05.xlsx&amp;sheet=U0&amp;row=7366&amp;col=6&amp;number=3.2&amp;sourceID=14","3.2")</f>
        <v>3.2</v>
      </c>
      <c r="G7366" s="4" t="str">
        <f>HYPERLINK("http://141.218.60.56/~jnz1568/getInfo.php?workbook=10_05.xlsx&amp;sheet=U0&amp;row=7366&amp;col=7&amp;number=0.0085&amp;sourceID=14","0.0085")</f>
        <v>0.0085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HYPERLINK("http://141.218.60.56/~jnz1568/getInfo.php?workbook=10_05.xlsx&amp;sheet=U0&amp;row=7367&amp;col=6&amp;number=3.3&amp;sourceID=14","3.3")</f>
        <v>3.3</v>
      </c>
      <c r="G7367" s="4" t="str">
        <f>HYPERLINK("http://141.218.60.56/~jnz1568/getInfo.php?workbook=10_05.xlsx&amp;sheet=U0&amp;row=7367&amp;col=7&amp;number=0.00851&amp;sourceID=14","0.00851")</f>
        <v>0.00851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HYPERLINK("http://141.218.60.56/~jnz1568/getInfo.php?workbook=10_05.xlsx&amp;sheet=U0&amp;row=7368&amp;col=6&amp;number=3.4&amp;sourceID=14","3.4")</f>
        <v>3.4</v>
      </c>
      <c r="G7368" s="4" t="str">
        <f>HYPERLINK("http://141.218.60.56/~jnz1568/getInfo.php?workbook=10_05.xlsx&amp;sheet=U0&amp;row=7368&amp;col=7&amp;number=0.00853&amp;sourceID=14","0.00853")</f>
        <v>0.00853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HYPERLINK("http://141.218.60.56/~jnz1568/getInfo.php?workbook=10_05.xlsx&amp;sheet=U0&amp;row=7369&amp;col=6&amp;number=3.5&amp;sourceID=14","3.5")</f>
        <v>3.5</v>
      </c>
      <c r="G7369" s="4" t="str">
        <f>HYPERLINK("http://141.218.60.56/~jnz1568/getInfo.php?workbook=10_05.xlsx&amp;sheet=U0&amp;row=7369&amp;col=7&amp;number=0.00855&amp;sourceID=14","0.00855")</f>
        <v>0.00855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HYPERLINK("http://141.218.60.56/~jnz1568/getInfo.php?workbook=10_05.xlsx&amp;sheet=U0&amp;row=7370&amp;col=6&amp;number=3.6&amp;sourceID=14","3.6")</f>
        <v>3.6</v>
      </c>
      <c r="G7370" s="4" t="str">
        <f>HYPERLINK("http://141.218.60.56/~jnz1568/getInfo.php?workbook=10_05.xlsx&amp;sheet=U0&amp;row=7370&amp;col=7&amp;number=0.00858&amp;sourceID=14","0.00858")</f>
        <v>0.00858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HYPERLINK("http://141.218.60.56/~jnz1568/getInfo.php?workbook=10_05.xlsx&amp;sheet=U0&amp;row=7371&amp;col=6&amp;number=3.7&amp;sourceID=14","3.7")</f>
        <v>3.7</v>
      </c>
      <c r="G7371" s="4" t="str">
        <f>HYPERLINK("http://141.218.60.56/~jnz1568/getInfo.php?workbook=10_05.xlsx&amp;sheet=U0&amp;row=7371&amp;col=7&amp;number=0.00861&amp;sourceID=14","0.00861")</f>
        <v>0.00861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HYPERLINK("http://141.218.60.56/~jnz1568/getInfo.php?workbook=10_05.xlsx&amp;sheet=U0&amp;row=7372&amp;col=6&amp;number=3.8&amp;sourceID=14","3.8")</f>
        <v>3.8</v>
      </c>
      <c r="G7372" s="4" t="str">
        <f>HYPERLINK("http://141.218.60.56/~jnz1568/getInfo.php?workbook=10_05.xlsx&amp;sheet=U0&amp;row=7372&amp;col=7&amp;number=0.00865&amp;sourceID=14","0.00865")</f>
        <v>0.00865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HYPERLINK("http://141.218.60.56/~jnz1568/getInfo.php?workbook=10_05.xlsx&amp;sheet=U0&amp;row=7373&amp;col=6&amp;number=3.9&amp;sourceID=14","3.9")</f>
        <v>3.9</v>
      </c>
      <c r="G7373" s="4" t="str">
        <f>HYPERLINK("http://141.218.60.56/~jnz1568/getInfo.php?workbook=10_05.xlsx&amp;sheet=U0&amp;row=7373&amp;col=7&amp;number=0.0087&amp;sourceID=14","0.0087")</f>
        <v>0.0087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HYPERLINK("http://141.218.60.56/~jnz1568/getInfo.php?workbook=10_05.xlsx&amp;sheet=U0&amp;row=7374&amp;col=6&amp;number=4&amp;sourceID=14","4")</f>
        <v>4</v>
      </c>
      <c r="G7374" s="4" t="str">
        <f>HYPERLINK("http://141.218.60.56/~jnz1568/getInfo.php?workbook=10_05.xlsx&amp;sheet=U0&amp;row=7374&amp;col=7&amp;number=0.00875&amp;sourceID=14","0.00875")</f>
        <v>0.00875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HYPERLINK("http://141.218.60.56/~jnz1568/getInfo.php?workbook=10_05.xlsx&amp;sheet=U0&amp;row=7375&amp;col=6&amp;number=4.1&amp;sourceID=14","4.1")</f>
        <v>4.1</v>
      </c>
      <c r="G7375" s="4" t="str">
        <f>HYPERLINK("http://141.218.60.56/~jnz1568/getInfo.php?workbook=10_05.xlsx&amp;sheet=U0&amp;row=7375&amp;col=7&amp;number=0.00881&amp;sourceID=14","0.00881")</f>
        <v>0.00881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HYPERLINK("http://141.218.60.56/~jnz1568/getInfo.php?workbook=10_05.xlsx&amp;sheet=U0&amp;row=7376&amp;col=6&amp;number=4.2&amp;sourceID=14","4.2")</f>
        <v>4.2</v>
      </c>
      <c r="G7376" s="4" t="str">
        <f>HYPERLINK("http://141.218.60.56/~jnz1568/getInfo.php?workbook=10_05.xlsx&amp;sheet=U0&amp;row=7376&amp;col=7&amp;number=0.00887&amp;sourceID=14","0.00887")</f>
        <v>0.00887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HYPERLINK("http://141.218.60.56/~jnz1568/getInfo.php?workbook=10_05.xlsx&amp;sheet=U0&amp;row=7377&amp;col=6&amp;number=4.3&amp;sourceID=14","4.3")</f>
        <v>4.3</v>
      </c>
      <c r="G7377" s="4" t="str">
        <f>HYPERLINK("http://141.218.60.56/~jnz1568/getInfo.php?workbook=10_05.xlsx&amp;sheet=U0&amp;row=7377&amp;col=7&amp;number=0.00892&amp;sourceID=14","0.00892")</f>
        <v>0.00892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HYPERLINK("http://141.218.60.56/~jnz1568/getInfo.php?workbook=10_05.xlsx&amp;sheet=U0&amp;row=7378&amp;col=6&amp;number=4.4&amp;sourceID=14","4.4")</f>
        <v>4.4</v>
      </c>
      <c r="G7378" s="4" t="str">
        <f>HYPERLINK("http://141.218.60.56/~jnz1568/getInfo.php?workbook=10_05.xlsx&amp;sheet=U0&amp;row=7378&amp;col=7&amp;number=0.00894&amp;sourceID=14","0.00894")</f>
        <v>0.00894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HYPERLINK("http://141.218.60.56/~jnz1568/getInfo.php?workbook=10_05.xlsx&amp;sheet=U0&amp;row=7379&amp;col=6&amp;number=4.5&amp;sourceID=14","4.5")</f>
        <v>4.5</v>
      </c>
      <c r="G7379" s="4" t="str">
        <f>HYPERLINK("http://141.218.60.56/~jnz1568/getInfo.php?workbook=10_05.xlsx&amp;sheet=U0&amp;row=7379&amp;col=7&amp;number=0.00895&amp;sourceID=14","0.00895")</f>
        <v>0.00895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HYPERLINK("http://141.218.60.56/~jnz1568/getInfo.php?workbook=10_05.xlsx&amp;sheet=U0&amp;row=7380&amp;col=6&amp;number=4.6&amp;sourceID=14","4.6")</f>
        <v>4.6</v>
      </c>
      <c r="G7380" s="4" t="str">
        <f>HYPERLINK("http://141.218.60.56/~jnz1568/getInfo.php?workbook=10_05.xlsx&amp;sheet=U0&amp;row=7380&amp;col=7&amp;number=0.00897&amp;sourceID=14","0.00897")</f>
        <v>0.00897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HYPERLINK("http://141.218.60.56/~jnz1568/getInfo.php?workbook=10_05.xlsx&amp;sheet=U0&amp;row=7381&amp;col=6&amp;number=4.7&amp;sourceID=14","4.7")</f>
        <v>4.7</v>
      </c>
      <c r="G7381" s="4" t="str">
        <f>HYPERLINK("http://141.218.60.56/~jnz1568/getInfo.php?workbook=10_05.xlsx&amp;sheet=U0&amp;row=7381&amp;col=7&amp;number=0.00902&amp;sourceID=14","0.00902")</f>
        <v>0.00902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HYPERLINK("http://141.218.60.56/~jnz1568/getInfo.php?workbook=10_05.xlsx&amp;sheet=U0&amp;row=7382&amp;col=6&amp;number=4.8&amp;sourceID=14","4.8")</f>
        <v>4.8</v>
      </c>
      <c r="G7382" s="4" t="str">
        <f>HYPERLINK("http://141.218.60.56/~jnz1568/getInfo.php?workbook=10_05.xlsx&amp;sheet=U0&amp;row=7382&amp;col=7&amp;number=0.00917&amp;sourceID=14","0.00917")</f>
        <v>0.00917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HYPERLINK("http://141.218.60.56/~jnz1568/getInfo.php?workbook=10_05.xlsx&amp;sheet=U0&amp;row=7383&amp;col=6&amp;number=4.9&amp;sourceID=14","4.9")</f>
        <v>4.9</v>
      </c>
      <c r="G7383" s="4" t="str">
        <f>HYPERLINK("http://141.218.60.56/~jnz1568/getInfo.php?workbook=10_05.xlsx&amp;sheet=U0&amp;row=7383&amp;col=7&amp;number=0.00944&amp;sourceID=14","0.00944")</f>
        <v>0.00944</v>
      </c>
    </row>
    <row r="7384" spans="1:7">
      <c r="A7384" s="3">
        <v>10</v>
      </c>
      <c r="B7384" s="3">
        <v>5</v>
      </c>
      <c r="C7384" s="3">
        <v>3</v>
      </c>
      <c r="D7384" s="3">
        <v>16</v>
      </c>
      <c r="E7384" s="3">
        <v>1</v>
      </c>
      <c r="F7384" s="4" t="str">
        <f>HYPERLINK("http://141.218.60.56/~jnz1568/getInfo.php?workbook=10_05.xlsx&amp;sheet=U0&amp;row=7384&amp;col=6&amp;number=3&amp;sourceID=14","3")</f>
        <v>3</v>
      </c>
      <c r="G7384" s="4" t="str">
        <f>HYPERLINK("http://141.218.60.56/~jnz1568/getInfo.php?workbook=10_05.xlsx&amp;sheet=U0&amp;row=7384&amp;col=7&amp;number=0.00824&amp;sourceID=14","0.00824")</f>
        <v>0.00824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HYPERLINK("http://141.218.60.56/~jnz1568/getInfo.php?workbook=10_05.xlsx&amp;sheet=U0&amp;row=7385&amp;col=6&amp;number=3.1&amp;sourceID=14","3.1")</f>
        <v>3.1</v>
      </c>
      <c r="G7385" s="4" t="str">
        <f>HYPERLINK("http://141.218.60.56/~jnz1568/getInfo.php?workbook=10_05.xlsx&amp;sheet=U0&amp;row=7385&amp;col=7&amp;number=0.00858&amp;sourceID=14","0.00858")</f>
        <v>0.00858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HYPERLINK("http://141.218.60.56/~jnz1568/getInfo.php?workbook=10_05.xlsx&amp;sheet=U0&amp;row=7386&amp;col=6&amp;number=3.2&amp;sourceID=14","3.2")</f>
        <v>3.2</v>
      </c>
      <c r="G7386" s="4" t="str">
        <f>HYPERLINK("http://141.218.60.56/~jnz1568/getInfo.php?workbook=10_05.xlsx&amp;sheet=U0&amp;row=7386&amp;col=7&amp;number=0.00901&amp;sourceID=14","0.00901")</f>
        <v>0.00901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HYPERLINK("http://141.218.60.56/~jnz1568/getInfo.php?workbook=10_05.xlsx&amp;sheet=U0&amp;row=7387&amp;col=6&amp;number=3.3&amp;sourceID=14","3.3")</f>
        <v>3.3</v>
      </c>
      <c r="G7387" s="4" t="str">
        <f>HYPERLINK("http://141.218.60.56/~jnz1568/getInfo.php?workbook=10_05.xlsx&amp;sheet=U0&amp;row=7387&amp;col=7&amp;number=0.00954&amp;sourceID=14","0.00954")</f>
        <v>0.00954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HYPERLINK("http://141.218.60.56/~jnz1568/getInfo.php?workbook=10_05.xlsx&amp;sheet=U0&amp;row=7388&amp;col=6&amp;number=3.4&amp;sourceID=14","3.4")</f>
        <v>3.4</v>
      </c>
      <c r="G7388" s="4" t="str">
        <f>HYPERLINK("http://141.218.60.56/~jnz1568/getInfo.php?workbook=10_05.xlsx&amp;sheet=U0&amp;row=7388&amp;col=7&amp;number=0.0102&amp;sourceID=14","0.0102")</f>
        <v>0.0102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HYPERLINK("http://141.218.60.56/~jnz1568/getInfo.php?workbook=10_05.xlsx&amp;sheet=U0&amp;row=7389&amp;col=6&amp;number=3.5&amp;sourceID=14","3.5")</f>
        <v>3.5</v>
      </c>
      <c r="G7389" s="4" t="str">
        <f>HYPERLINK("http://141.218.60.56/~jnz1568/getInfo.php?workbook=10_05.xlsx&amp;sheet=U0&amp;row=7389&amp;col=7&amp;number=0.011&amp;sourceID=14","0.011")</f>
        <v>0.011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HYPERLINK("http://141.218.60.56/~jnz1568/getInfo.php?workbook=10_05.xlsx&amp;sheet=U0&amp;row=7390&amp;col=6&amp;number=3.6&amp;sourceID=14","3.6")</f>
        <v>3.6</v>
      </c>
      <c r="G7390" s="4" t="str">
        <f>HYPERLINK("http://141.218.60.56/~jnz1568/getInfo.php?workbook=10_05.xlsx&amp;sheet=U0&amp;row=7390&amp;col=7&amp;number=0.0121&amp;sourceID=14","0.0121")</f>
        <v>0.0121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HYPERLINK("http://141.218.60.56/~jnz1568/getInfo.php?workbook=10_05.xlsx&amp;sheet=U0&amp;row=7391&amp;col=6&amp;number=3.7&amp;sourceID=14","3.7")</f>
        <v>3.7</v>
      </c>
      <c r="G7391" s="4" t="str">
        <f>HYPERLINK("http://141.218.60.56/~jnz1568/getInfo.php?workbook=10_05.xlsx&amp;sheet=U0&amp;row=7391&amp;col=7&amp;number=0.0134&amp;sourceID=14","0.0134")</f>
        <v>0.0134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HYPERLINK("http://141.218.60.56/~jnz1568/getInfo.php?workbook=10_05.xlsx&amp;sheet=U0&amp;row=7392&amp;col=6&amp;number=3.8&amp;sourceID=14","3.8")</f>
        <v>3.8</v>
      </c>
      <c r="G7392" s="4" t="str">
        <f>HYPERLINK("http://141.218.60.56/~jnz1568/getInfo.php?workbook=10_05.xlsx&amp;sheet=U0&amp;row=7392&amp;col=7&amp;number=0.015&amp;sourceID=14","0.015")</f>
        <v>0.015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HYPERLINK("http://141.218.60.56/~jnz1568/getInfo.php?workbook=10_05.xlsx&amp;sheet=U0&amp;row=7393&amp;col=6&amp;number=3.9&amp;sourceID=14","3.9")</f>
        <v>3.9</v>
      </c>
      <c r="G7393" s="4" t="str">
        <f>HYPERLINK("http://141.218.60.56/~jnz1568/getInfo.php?workbook=10_05.xlsx&amp;sheet=U0&amp;row=7393&amp;col=7&amp;number=0.0171&amp;sourceID=14","0.0171")</f>
        <v>0.0171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HYPERLINK("http://141.218.60.56/~jnz1568/getInfo.php?workbook=10_05.xlsx&amp;sheet=U0&amp;row=7394&amp;col=6&amp;number=4&amp;sourceID=14","4")</f>
        <v>4</v>
      </c>
      <c r="G7394" s="4" t="str">
        <f>HYPERLINK("http://141.218.60.56/~jnz1568/getInfo.php?workbook=10_05.xlsx&amp;sheet=U0&amp;row=7394&amp;col=7&amp;number=0.0197&amp;sourceID=14","0.0197")</f>
        <v>0.0197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HYPERLINK("http://141.218.60.56/~jnz1568/getInfo.php?workbook=10_05.xlsx&amp;sheet=U0&amp;row=7395&amp;col=6&amp;number=4.1&amp;sourceID=14","4.1")</f>
        <v>4.1</v>
      </c>
      <c r="G7395" s="4" t="str">
        <f>HYPERLINK("http://141.218.60.56/~jnz1568/getInfo.php?workbook=10_05.xlsx&amp;sheet=U0&amp;row=7395&amp;col=7&amp;number=0.0231&amp;sourceID=14","0.0231")</f>
        <v>0.0231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HYPERLINK("http://141.218.60.56/~jnz1568/getInfo.php?workbook=10_05.xlsx&amp;sheet=U0&amp;row=7396&amp;col=6&amp;number=4.2&amp;sourceID=14","4.2")</f>
        <v>4.2</v>
      </c>
      <c r="G7396" s="4" t="str">
        <f>HYPERLINK("http://141.218.60.56/~jnz1568/getInfo.php?workbook=10_05.xlsx&amp;sheet=U0&amp;row=7396&amp;col=7&amp;number=0.0274&amp;sourceID=14","0.0274")</f>
        <v>0.0274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HYPERLINK("http://141.218.60.56/~jnz1568/getInfo.php?workbook=10_05.xlsx&amp;sheet=U0&amp;row=7397&amp;col=6&amp;number=4.3&amp;sourceID=14","4.3")</f>
        <v>4.3</v>
      </c>
      <c r="G7397" s="4" t="str">
        <f>HYPERLINK("http://141.218.60.56/~jnz1568/getInfo.php?workbook=10_05.xlsx&amp;sheet=U0&amp;row=7397&amp;col=7&amp;number=0.0325&amp;sourceID=14","0.0325")</f>
        <v>0.0325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HYPERLINK("http://141.218.60.56/~jnz1568/getInfo.php?workbook=10_05.xlsx&amp;sheet=U0&amp;row=7398&amp;col=6&amp;number=4.4&amp;sourceID=14","4.4")</f>
        <v>4.4</v>
      </c>
      <c r="G7398" s="4" t="str">
        <f>HYPERLINK("http://141.218.60.56/~jnz1568/getInfo.php?workbook=10_05.xlsx&amp;sheet=U0&amp;row=7398&amp;col=7&amp;number=0.038&amp;sourceID=14","0.038")</f>
        <v>0.038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HYPERLINK("http://141.218.60.56/~jnz1568/getInfo.php?workbook=10_05.xlsx&amp;sheet=U0&amp;row=7399&amp;col=6&amp;number=4.5&amp;sourceID=14","4.5")</f>
        <v>4.5</v>
      </c>
      <c r="G7399" s="4" t="str">
        <f>HYPERLINK("http://141.218.60.56/~jnz1568/getInfo.php?workbook=10_05.xlsx&amp;sheet=U0&amp;row=7399&amp;col=7&amp;number=0.0429&amp;sourceID=14","0.0429")</f>
        <v>0.0429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HYPERLINK("http://141.218.60.56/~jnz1568/getInfo.php?workbook=10_05.xlsx&amp;sheet=U0&amp;row=7400&amp;col=6&amp;number=4.6&amp;sourceID=14","4.6")</f>
        <v>4.6</v>
      </c>
      <c r="G7400" s="4" t="str">
        <f>HYPERLINK("http://141.218.60.56/~jnz1568/getInfo.php?workbook=10_05.xlsx&amp;sheet=U0&amp;row=7400&amp;col=7&amp;number=0.0459&amp;sourceID=14","0.0459")</f>
        <v>0.0459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HYPERLINK("http://141.218.60.56/~jnz1568/getInfo.php?workbook=10_05.xlsx&amp;sheet=U0&amp;row=7401&amp;col=6&amp;number=4.7&amp;sourceID=14","4.7")</f>
        <v>4.7</v>
      </c>
      <c r="G7401" s="4" t="str">
        <f>HYPERLINK("http://141.218.60.56/~jnz1568/getInfo.php?workbook=10_05.xlsx&amp;sheet=U0&amp;row=7401&amp;col=7&amp;number=0.047&amp;sourceID=14","0.047")</f>
        <v>0.047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HYPERLINK("http://141.218.60.56/~jnz1568/getInfo.php?workbook=10_05.xlsx&amp;sheet=U0&amp;row=7402&amp;col=6&amp;number=4.8&amp;sourceID=14","4.8")</f>
        <v>4.8</v>
      </c>
      <c r="G7402" s="4" t="str">
        <f>HYPERLINK("http://141.218.60.56/~jnz1568/getInfo.php?workbook=10_05.xlsx&amp;sheet=U0&amp;row=7402&amp;col=7&amp;number=0.0466&amp;sourceID=14","0.0466")</f>
        <v>0.0466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HYPERLINK("http://141.218.60.56/~jnz1568/getInfo.php?workbook=10_05.xlsx&amp;sheet=U0&amp;row=7403&amp;col=6&amp;number=4.9&amp;sourceID=14","4.9")</f>
        <v>4.9</v>
      </c>
      <c r="G7403" s="4" t="str">
        <f>HYPERLINK("http://141.218.60.56/~jnz1568/getInfo.php?workbook=10_05.xlsx&amp;sheet=U0&amp;row=7403&amp;col=7&amp;number=0.045&amp;sourceID=14","0.045")</f>
        <v>0.045</v>
      </c>
    </row>
    <row r="7404" spans="1:7">
      <c r="A7404" s="3">
        <v>10</v>
      </c>
      <c r="B7404" s="3">
        <v>5</v>
      </c>
      <c r="C7404" s="3">
        <v>3</v>
      </c>
      <c r="D7404" s="3">
        <v>17</v>
      </c>
      <c r="E7404" s="3">
        <v>1</v>
      </c>
      <c r="F7404" s="4" t="str">
        <f>HYPERLINK("http://141.218.60.56/~jnz1568/getInfo.php?workbook=10_05.xlsx&amp;sheet=U0&amp;row=7404&amp;col=6&amp;number=3&amp;sourceID=14","3")</f>
        <v>3</v>
      </c>
      <c r="G7404" s="4" t="str">
        <f>HYPERLINK("http://141.218.60.56/~jnz1568/getInfo.php?workbook=10_05.xlsx&amp;sheet=U0&amp;row=7404&amp;col=7&amp;number=0.0394&amp;sourceID=14","0.0394")</f>
        <v>0.0394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HYPERLINK("http://141.218.60.56/~jnz1568/getInfo.php?workbook=10_05.xlsx&amp;sheet=U0&amp;row=7405&amp;col=6&amp;number=3.1&amp;sourceID=14","3.1")</f>
        <v>3.1</v>
      </c>
      <c r="G7405" s="4" t="str">
        <f>HYPERLINK("http://141.218.60.56/~jnz1568/getInfo.php?workbook=10_05.xlsx&amp;sheet=U0&amp;row=7405&amp;col=7&amp;number=0.0387&amp;sourceID=14","0.0387")</f>
        <v>0.0387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HYPERLINK("http://141.218.60.56/~jnz1568/getInfo.php?workbook=10_05.xlsx&amp;sheet=U0&amp;row=7406&amp;col=6&amp;number=3.2&amp;sourceID=14","3.2")</f>
        <v>3.2</v>
      </c>
      <c r="G7406" s="4" t="str">
        <f>HYPERLINK("http://141.218.60.56/~jnz1568/getInfo.php?workbook=10_05.xlsx&amp;sheet=U0&amp;row=7406&amp;col=7&amp;number=0.0379&amp;sourceID=14","0.0379")</f>
        <v>0.0379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HYPERLINK("http://141.218.60.56/~jnz1568/getInfo.php?workbook=10_05.xlsx&amp;sheet=U0&amp;row=7407&amp;col=6&amp;number=3.3&amp;sourceID=14","3.3")</f>
        <v>3.3</v>
      </c>
      <c r="G7407" s="4" t="str">
        <f>HYPERLINK("http://141.218.60.56/~jnz1568/getInfo.php?workbook=10_05.xlsx&amp;sheet=U0&amp;row=7407&amp;col=7&amp;number=0.0369&amp;sourceID=14","0.0369")</f>
        <v>0.0369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HYPERLINK("http://141.218.60.56/~jnz1568/getInfo.php?workbook=10_05.xlsx&amp;sheet=U0&amp;row=7408&amp;col=6&amp;number=3.4&amp;sourceID=14","3.4")</f>
        <v>3.4</v>
      </c>
      <c r="G7408" s="4" t="str">
        <f>HYPERLINK("http://141.218.60.56/~jnz1568/getInfo.php?workbook=10_05.xlsx&amp;sheet=U0&amp;row=7408&amp;col=7&amp;number=0.0358&amp;sourceID=14","0.0358")</f>
        <v>0.0358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HYPERLINK("http://141.218.60.56/~jnz1568/getInfo.php?workbook=10_05.xlsx&amp;sheet=U0&amp;row=7409&amp;col=6&amp;number=3.5&amp;sourceID=14","3.5")</f>
        <v>3.5</v>
      </c>
      <c r="G7409" s="4" t="str">
        <f>HYPERLINK("http://141.218.60.56/~jnz1568/getInfo.php?workbook=10_05.xlsx&amp;sheet=U0&amp;row=7409&amp;col=7&amp;number=0.0344&amp;sourceID=14","0.0344")</f>
        <v>0.0344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HYPERLINK("http://141.218.60.56/~jnz1568/getInfo.php?workbook=10_05.xlsx&amp;sheet=U0&amp;row=7410&amp;col=6&amp;number=3.6&amp;sourceID=14","3.6")</f>
        <v>3.6</v>
      </c>
      <c r="G7410" s="4" t="str">
        <f>HYPERLINK("http://141.218.60.56/~jnz1568/getInfo.php?workbook=10_05.xlsx&amp;sheet=U0&amp;row=7410&amp;col=7&amp;number=0.0327&amp;sourceID=14","0.0327")</f>
        <v>0.0327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HYPERLINK("http://141.218.60.56/~jnz1568/getInfo.php?workbook=10_05.xlsx&amp;sheet=U0&amp;row=7411&amp;col=6&amp;number=3.7&amp;sourceID=14","3.7")</f>
        <v>3.7</v>
      </c>
      <c r="G7411" s="4" t="str">
        <f>HYPERLINK("http://141.218.60.56/~jnz1568/getInfo.php?workbook=10_05.xlsx&amp;sheet=U0&amp;row=7411&amp;col=7&amp;number=0.0309&amp;sourceID=14","0.0309")</f>
        <v>0.0309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HYPERLINK("http://141.218.60.56/~jnz1568/getInfo.php?workbook=10_05.xlsx&amp;sheet=U0&amp;row=7412&amp;col=6&amp;number=3.8&amp;sourceID=14","3.8")</f>
        <v>3.8</v>
      </c>
      <c r="G7412" s="4" t="str">
        <f>HYPERLINK("http://141.218.60.56/~jnz1568/getInfo.php?workbook=10_05.xlsx&amp;sheet=U0&amp;row=7412&amp;col=7&amp;number=0.029&amp;sourceID=14","0.029")</f>
        <v>0.029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HYPERLINK("http://141.218.60.56/~jnz1568/getInfo.php?workbook=10_05.xlsx&amp;sheet=U0&amp;row=7413&amp;col=6&amp;number=3.9&amp;sourceID=14","3.9")</f>
        <v>3.9</v>
      </c>
      <c r="G7413" s="4" t="str">
        <f>HYPERLINK("http://141.218.60.56/~jnz1568/getInfo.php?workbook=10_05.xlsx&amp;sheet=U0&amp;row=7413&amp;col=7&amp;number=0.0272&amp;sourceID=14","0.0272")</f>
        <v>0.0272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HYPERLINK("http://141.218.60.56/~jnz1568/getInfo.php?workbook=10_05.xlsx&amp;sheet=U0&amp;row=7414&amp;col=6&amp;number=4&amp;sourceID=14","4")</f>
        <v>4</v>
      </c>
      <c r="G7414" s="4" t="str">
        <f>HYPERLINK("http://141.218.60.56/~jnz1568/getInfo.php?workbook=10_05.xlsx&amp;sheet=U0&amp;row=7414&amp;col=7&amp;number=0.0261&amp;sourceID=14","0.0261")</f>
        <v>0.0261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HYPERLINK("http://141.218.60.56/~jnz1568/getInfo.php?workbook=10_05.xlsx&amp;sheet=U0&amp;row=7415&amp;col=6&amp;number=4.1&amp;sourceID=14","4.1")</f>
        <v>4.1</v>
      </c>
      <c r="G7415" s="4" t="str">
        <f>HYPERLINK("http://141.218.60.56/~jnz1568/getInfo.php?workbook=10_05.xlsx&amp;sheet=U0&amp;row=7415&amp;col=7&amp;number=0.0258&amp;sourceID=14","0.0258")</f>
        <v>0.0258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HYPERLINK("http://141.218.60.56/~jnz1568/getInfo.php?workbook=10_05.xlsx&amp;sheet=U0&amp;row=7416&amp;col=6&amp;number=4.2&amp;sourceID=14","4.2")</f>
        <v>4.2</v>
      </c>
      <c r="G7416" s="4" t="str">
        <f>HYPERLINK("http://141.218.60.56/~jnz1568/getInfo.php?workbook=10_05.xlsx&amp;sheet=U0&amp;row=7416&amp;col=7&amp;number=0.0265&amp;sourceID=14","0.0265")</f>
        <v>0.0265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HYPERLINK("http://141.218.60.56/~jnz1568/getInfo.php?workbook=10_05.xlsx&amp;sheet=U0&amp;row=7417&amp;col=6&amp;number=4.3&amp;sourceID=14","4.3")</f>
        <v>4.3</v>
      </c>
      <c r="G7417" s="4" t="str">
        <f>HYPERLINK("http://141.218.60.56/~jnz1568/getInfo.php?workbook=10_05.xlsx&amp;sheet=U0&amp;row=7417&amp;col=7&amp;number=0.0277&amp;sourceID=14","0.0277")</f>
        <v>0.0277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HYPERLINK("http://141.218.60.56/~jnz1568/getInfo.php?workbook=10_05.xlsx&amp;sheet=U0&amp;row=7418&amp;col=6&amp;number=4.4&amp;sourceID=14","4.4")</f>
        <v>4.4</v>
      </c>
      <c r="G7418" s="4" t="str">
        <f>HYPERLINK("http://141.218.60.56/~jnz1568/getInfo.php?workbook=10_05.xlsx&amp;sheet=U0&amp;row=7418&amp;col=7&amp;number=0.0287&amp;sourceID=14","0.0287")</f>
        <v>0.0287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HYPERLINK("http://141.218.60.56/~jnz1568/getInfo.php?workbook=10_05.xlsx&amp;sheet=U0&amp;row=7419&amp;col=6&amp;number=4.5&amp;sourceID=14","4.5")</f>
        <v>4.5</v>
      </c>
      <c r="G7419" s="4" t="str">
        <f>HYPERLINK("http://141.218.60.56/~jnz1568/getInfo.php?workbook=10_05.xlsx&amp;sheet=U0&amp;row=7419&amp;col=7&amp;number=0.0294&amp;sourceID=14","0.0294")</f>
        <v>0.0294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HYPERLINK("http://141.218.60.56/~jnz1568/getInfo.php?workbook=10_05.xlsx&amp;sheet=U0&amp;row=7420&amp;col=6&amp;number=4.6&amp;sourceID=14","4.6")</f>
        <v>4.6</v>
      </c>
      <c r="G7420" s="4" t="str">
        <f>HYPERLINK("http://141.218.60.56/~jnz1568/getInfo.php?workbook=10_05.xlsx&amp;sheet=U0&amp;row=7420&amp;col=7&amp;number=0.0298&amp;sourceID=14","0.0298")</f>
        <v>0.0298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HYPERLINK("http://141.218.60.56/~jnz1568/getInfo.php?workbook=10_05.xlsx&amp;sheet=U0&amp;row=7421&amp;col=6&amp;number=4.7&amp;sourceID=14","4.7")</f>
        <v>4.7</v>
      </c>
      <c r="G7421" s="4" t="str">
        <f>HYPERLINK("http://141.218.60.56/~jnz1568/getInfo.php?workbook=10_05.xlsx&amp;sheet=U0&amp;row=7421&amp;col=7&amp;number=0.0297&amp;sourceID=14","0.0297")</f>
        <v>0.0297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HYPERLINK("http://141.218.60.56/~jnz1568/getInfo.php?workbook=10_05.xlsx&amp;sheet=U0&amp;row=7422&amp;col=6&amp;number=4.8&amp;sourceID=14","4.8")</f>
        <v>4.8</v>
      </c>
      <c r="G7422" s="4" t="str">
        <f>HYPERLINK("http://141.218.60.56/~jnz1568/getInfo.php?workbook=10_05.xlsx&amp;sheet=U0&amp;row=7422&amp;col=7&amp;number=0.029&amp;sourceID=14","0.029")</f>
        <v>0.029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HYPERLINK("http://141.218.60.56/~jnz1568/getInfo.php?workbook=10_05.xlsx&amp;sheet=U0&amp;row=7423&amp;col=6&amp;number=4.9&amp;sourceID=14","4.9")</f>
        <v>4.9</v>
      </c>
      <c r="G7423" s="4" t="str">
        <f>HYPERLINK("http://141.218.60.56/~jnz1568/getInfo.php?workbook=10_05.xlsx&amp;sheet=U0&amp;row=7423&amp;col=7&amp;number=0.0274&amp;sourceID=14","0.0274")</f>
        <v>0.0274</v>
      </c>
    </row>
    <row r="7424" spans="1:7">
      <c r="A7424" s="3">
        <v>10</v>
      </c>
      <c r="B7424" s="3">
        <v>5</v>
      </c>
      <c r="C7424" s="3">
        <v>3</v>
      </c>
      <c r="D7424" s="3">
        <v>18</v>
      </c>
      <c r="E7424" s="3">
        <v>1</v>
      </c>
      <c r="F7424" s="4" t="str">
        <f>HYPERLINK("http://141.218.60.56/~jnz1568/getInfo.php?workbook=10_05.xlsx&amp;sheet=U0&amp;row=7424&amp;col=6&amp;number=3&amp;sourceID=14","3")</f>
        <v>3</v>
      </c>
      <c r="G7424" s="4" t="str">
        <f>HYPERLINK("http://141.218.60.56/~jnz1568/getInfo.php?workbook=10_05.xlsx&amp;sheet=U0&amp;row=7424&amp;col=7&amp;number=0.0566&amp;sourceID=14","0.0566")</f>
        <v>0.0566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HYPERLINK("http://141.218.60.56/~jnz1568/getInfo.php?workbook=10_05.xlsx&amp;sheet=U0&amp;row=7425&amp;col=6&amp;number=3.1&amp;sourceID=14","3.1")</f>
        <v>3.1</v>
      </c>
      <c r="G7425" s="4" t="str">
        <f>HYPERLINK("http://141.218.60.56/~jnz1568/getInfo.php?workbook=10_05.xlsx&amp;sheet=U0&amp;row=7425&amp;col=7&amp;number=0.0557&amp;sourceID=14","0.0557")</f>
        <v>0.0557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HYPERLINK("http://141.218.60.56/~jnz1568/getInfo.php?workbook=10_05.xlsx&amp;sheet=U0&amp;row=7426&amp;col=6&amp;number=3.2&amp;sourceID=14","3.2")</f>
        <v>3.2</v>
      </c>
      <c r="G7426" s="4" t="str">
        <f>HYPERLINK("http://141.218.60.56/~jnz1568/getInfo.php?workbook=10_05.xlsx&amp;sheet=U0&amp;row=7426&amp;col=7&amp;number=0.0545&amp;sourceID=14","0.0545")</f>
        <v>0.0545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HYPERLINK("http://141.218.60.56/~jnz1568/getInfo.php?workbook=10_05.xlsx&amp;sheet=U0&amp;row=7427&amp;col=6&amp;number=3.3&amp;sourceID=14","3.3")</f>
        <v>3.3</v>
      </c>
      <c r="G7427" s="4" t="str">
        <f>HYPERLINK("http://141.218.60.56/~jnz1568/getInfo.php?workbook=10_05.xlsx&amp;sheet=U0&amp;row=7427&amp;col=7&amp;number=0.0531&amp;sourceID=14","0.0531")</f>
        <v>0.0531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HYPERLINK("http://141.218.60.56/~jnz1568/getInfo.php?workbook=10_05.xlsx&amp;sheet=U0&amp;row=7428&amp;col=6&amp;number=3.4&amp;sourceID=14","3.4")</f>
        <v>3.4</v>
      </c>
      <c r="G7428" s="4" t="str">
        <f>HYPERLINK("http://141.218.60.56/~jnz1568/getInfo.php?workbook=10_05.xlsx&amp;sheet=U0&amp;row=7428&amp;col=7&amp;number=0.0513&amp;sourceID=14","0.0513")</f>
        <v>0.0513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HYPERLINK("http://141.218.60.56/~jnz1568/getInfo.php?workbook=10_05.xlsx&amp;sheet=U0&amp;row=7429&amp;col=6&amp;number=3.5&amp;sourceID=14","3.5")</f>
        <v>3.5</v>
      </c>
      <c r="G7429" s="4" t="str">
        <f>HYPERLINK("http://141.218.60.56/~jnz1568/getInfo.php?workbook=10_05.xlsx&amp;sheet=U0&amp;row=7429&amp;col=7&amp;number=0.0493&amp;sourceID=14","0.0493")</f>
        <v>0.0493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HYPERLINK("http://141.218.60.56/~jnz1568/getInfo.php?workbook=10_05.xlsx&amp;sheet=U0&amp;row=7430&amp;col=6&amp;number=3.6&amp;sourceID=14","3.6")</f>
        <v>3.6</v>
      </c>
      <c r="G7430" s="4" t="str">
        <f>HYPERLINK("http://141.218.60.56/~jnz1568/getInfo.php?workbook=10_05.xlsx&amp;sheet=U0&amp;row=7430&amp;col=7&amp;number=0.0469&amp;sourceID=14","0.0469")</f>
        <v>0.0469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HYPERLINK("http://141.218.60.56/~jnz1568/getInfo.php?workbook=10_05.xlsx&amp;sheet=U0&amp;row=7431&amp;col=6&amp;number=3.7&amp;sourceID=14","3.7")</f>
        <v>3.7</v>
      </c>
      <c r="G7431" s="4" t="str">
        <f>HYPERLINK("http://141.218.60.56/~jnz1568/getInfo.php?workbook=10_05.xlsx&amp;sheet=U0&amp;row=7431&amp;col=7&amp;number=0.0443&amp;sourceID=14","0.0443")</f>
        <v>0.0443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HYPERLINK("http://141.218.60.56/~jnz1568/getInfo.php?workbook=10_05.xlsx&amp;sheet=U0&amp;row=7432&amp;col=6&amp;number=3.8&amp;sourceID=14","3.8")</f>
        <v>3.8</v>
      </c>
      <c r="G7432" s="4" t="str">
        <f>HYPERLINK("http://141.218.60.56/~jnz1568/getInfo.php?workbook=10_05.xlsx&amp;sheet=U0&amp;row=7432&amp;col=7&amp;number=0.0416&amp;sourceID=14","0.0416")</f>
        <v>0.0416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HYPERLINK("http://141.218.60.56/~jnz1568/getInfo.php?workbook=10_05.xlsx&amp;sheet=U0&amp;row=7433&amp;col=6&amp;number=3.9&amp;sourceID=14","3.9")</f>
        <v>3.9</v>
      </c>
      <c r="G7433" s="4" t="str">
        <f>HYPERLINK("http://141.218.60.56/~jnz1568/getInfo.php?workbook=10_05.xlsx&amp;sheet=U0&amp;row=7433&amp;col=7&amp;number=0.0392&amp;sourceID=14","0.0392")</f>
        <v>0.0392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HYPERLINK("http://141.218.60.56/~jnz1568/getInfo.php?workbook=10_05.xlsx&amp;sheet=U0&amp;row=7434&amp;col=6&amp;number=4&amp;sourceID=14","4")</f>
        <v>4</v>
      </c>
      <c r="G7434" s="4" t="str">
        <f>HYPERLINK("http://141.218.60.56/~jnz1568/getInfo.php?workbook=10_05.xlsx&amp;sheet=U0&amp;row=7434&amp;col=7&amp;number=0.038&amp;sourceID=14","0.038")</f>
        <v>0.038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HYPERLINK("http://141.218.60.56/~jnz1568/getInfo.php?workbook=10_05.xlsx&amp;sheet=U0&amp;row=7435&amp;col=6&amp;number=4.1&amp;sourceID=14","4.1")</f>
        <v>4.1</v>
      </c>
      <c r="G7435" s="4" t="str">
        <f>HYPERLINK("http://141.218.60.56/~jnz1568/getInfo.php?workbook=10_05.xlsx&amp;sheet=U0&amp;row=7435&amp;col=7&amp;number=0.0382&amp;sourceID=14","0.0382")</f>
        <v>0.0382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HYPERLINK("http://141.218.60.56/~jnz1568/getInfo.php?workbook=10_05.xlsx&amp;sheet=U0&amp;row=7436&amp;col=6&amp;number=4.2&amp;sourceID=14","4.2")</f>
        <v>4.2</v>
      </c>
      <c r="G7436" s="4" t="str">
        <f>HYPERLINK("http://141.218.60.56/~jnz1568/getInfo.php?workbook=10_05.xlsx&amp;sheet=U0&amp;row=7436&amp;col=7&amp;number=0.0399&amp;sourceID=14","0.0399")</f>
        <v>0.0399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HYPERLINK("http://141.218.60.56/~jnz1568/getInfo.php?workbook=10_05.xlsx&amp;sheet=U0&amp;row=7437&amp;col=6&amp;number=4.3&amp;sourceID=14","4.3")</f>
        <v>4.3</v>
      </c>
      <c r="G7437" s="4" t="str">
        <f>HYPERLINK("http://141.218.60.56/~jnz1568/getInfo.php?workbook=10_05.xlsx&amp;sheet=U0&amp;row=7437&amp;col=7&amp;number=0.0423&amp;sourceID=14","0.0423")</f>
        <v>0.0423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HYPERLINK("http://141.218.60.56/~jnz1568/getInfo.php?workbook=10_05.xlsx&amp;sheet=U0&amp;row=7438&amp;col=6&amp;number=4.4&amp;sourceID=14","4.4")</f>
        <v>4.4</v>
      </c>
      <c r="G7438" s="4" t="str">
        <f>HYPERLINK("http://141.218.60.56/~jnz1568/getInfo.php?workbook=10_05.xlsx&amp;sheet=U0&amp;row=7438&amp;col=7&amp;number=0.0444&amp;sourceID=14","0.0444")</f>
        <v>0.0444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HYPERLINK("http://141.218.60.56/~jnz1568/getInfo.php?workbook=10_05.xlsx&amp;sheet=U0&amp;row=7439&amp;col=6&amp;number=4.5&amp;sourceID=14","4.5")</f>
        <v>4.5</v>
      </c>
      <c r="G7439" s="4" t="str">
        <f>HYPERLINK("http://141.218.60.56/~jnz1568/getInfo.php?workbook=10_05.xlsx&amp;sheet=U0&amp;row=7439&amp;col=7&amp;number=0.0457&amp;sourceID=14","0.0457")</f>
        <v>0.0457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HYPERLINK("http://141.218.60.56/~jnz1568/getInfo.php?workbook=10_05.xlsx&amp;sheet=U0&amp;row=7440&amp;col=6&amp;number=4.6&amp;sourceID=14","4.6")</f>
        <v>4.6</v>
      </c>
      <c r="G7440" s="4" t="str">
        <f>HYPERLINK("http://141.218.60.56/~jnz1568/getInfo.php?workbook=10_05.xlsx&amp;sheet=U0&amp;row=7440&amp;col=7&amp;number=0.0466&amp;sourceID=14","0.0466")</f>
        <v>0.0466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HYPERLINK("http://141.218.60.56/~jnz1568/getInfo.php?workbook=10_05.xlsx&amp;sheet=U0&amp;row=7441&amp;col=6&amp;number=4.7&amp;sourceID=14","4.7")</f>
        <v>4.7</v>
      </c>
      <c r="G7441" s="4" t="str">
        <f>HYPERLINK("http://141.218.60.56/~jnz1568/getInfo.php?workbook=10_05.xlsx&amp;sheet=U0&amp;row=7441&amp;col=7&amp;number=0.0468&amp;sourceID=14","0.0468")</f>
        <v>0.0468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HYPERLINK("http://141.218.60.56/~jnz1568/getInfo.php?workbook=10_05.xlsx&amp;sheet=U0&amp;row=7442&amp;col=6&amp;number=4.8&amp;sourceID=14","4.8")</f>
        <v>4.8</v>
      </c>
      <c r="G7442" s="4" t="str">
        <f>HYPERLINK("http://141.218.60.56/~jnz1568/getInfo.php?workbook=10_05.xlsx&amp;sheet=U0&amp;row=7442&amp;col=7&amp;number=0.0457&amp;sourceID=14","0.0457")</f>
        <v>0.0457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HYPERLINK("http://141.218.60.56/~jnz1568/getInfo.php?workbook=10_05.xlsx&amp;sheet=U0&amp;row=7443&amp;col=6&amp;number=4.9&amp;sourceID=14","4.9")</f>
        <v>4.9</v>
      </c>
      <c r="G7443" s="4" t="str">
        <f>HYPERLINK("http://141.218.60.56/~jnz1568/getInfo.php?workbook=10_05.xlsx&amp;sheet=U0&amp;row=7443&amp;col=7&amp;number=0.0432&amp;sourceID=14","0.0432")</f>
        <v>0.0432</v>
      </c>
    </row>
    <row r="7444" spans="1:7">
      <c r="A7444" s="3">
        <v>10</v>
      </c>
      <c r="B7444" s="3">
        <v>5</v>
      </c>
      <c r="C7444" s="3">
        <v>3</v>
      </c>
      <c r="D7444" s="3">
        <v>19</v>
      </c>
      <c r="E7444" s="3">
        <v>1</v>
      </c>
      <c r="F7444" s="4" t="str">
        <f>HYPERLINK("http://141.218.60.56/~jnz1568/getInfo.php?workbook=10_05.xlsx&amp;sheet=U0&amp;row=7444&amp;col=6&amp;number=3&amp;sourceID=14","3")</f>
        <v>3</v>
      </c>
      <c r="G7444" s="4" t="str">
        <f>HYPERLINK("http://141.218.60.56/~jnz1568/getInfo.php?workbook=10_05.xlsx&amp;sheet=U0&amp;row=7444&amp;col=7&amp;number=0.0742&amp;sourceID=14","0.0742")</f>
        <v>0.0742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HYPERLINK("http://141.218.60.56/~jnz1568/getInfo.php?workbook=10_05.xlsx&amp;sheet=U0&amp;row=7445&amp;col=6&amp;number=3.1&amp;sourceID=14","3.1")</f>
        <v>3.1</v>
      </c>
      <c r="G7445" s="4" t="str">
        <f>HYPERLINK("http://141.218.60.56/~jnz1568/getInfo.php?workbook=10_05.xlsx&amp;sheet=U0&amp;row=7445&amp;col=7&amp;number=0.0733&amp;sourceID=14","0.0733")</f>
        <v>0.0733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HYPERLINK("http://141.218.60.56/~jnz1568/getInfo.php?workbook=10_05.xlsx&amp;sheet=U0&amp;row=7446&amp;col=6&amp;number=3.2&amp;sourceID=14","3.2")</f>
        <v>3.2</v>
      </c>
      <c r="G7446" s="4" t="str">
        <f>HYPERLINK("http://141.218.60.56/~jnz1568/getInfo.php?workbook=10_05.xlsx&amp;sheet=U0&amp;row=7446&amp;col=7&amp;number=0.0722&amp;sourceID=14","0.0722")</f>
        <v>0.0722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HYPERLINK("http://141.218.60.56/~jnz1568/getInfo.php?workbook=10_05.xlsx&amp;sheet=U0&amp;row=7447&amp;col=6&amp;number=3.3&amp;sourceID=14","3.3")</f>
        <v>3.3</v>
      </c>
      <c r="G7447" s="4" t="str">
        <f>HYPERLINK("http://141.218.60.56/~jnz1568/getInfo.php?workbook=10_05.xlsx&amp;sheet=U0&amp;row=7447&amp;col=7&amp;number=0.0708&amp;sourceID=14","0.0708")</f>
        <v>0.0708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HYPERLINK("http://141.218.60.56/~jnz1568/getInfo.php?workbook=10_05.xlsx&amp;sheet=U0&amp;row=7448&amp;col=6&amp;number=3.4&amp;sourceID=14","3.4")</f>
        <v>3.4</v>
      </c>
      <c r="G7448" s="4" t="str">
        <f>HYPERLINK("http://141.218.60.56/~jnz1568/getInfo.php?workbook=10_05.xlsx&amp;sheet=U0&amp;row=7448&amp;col=7&amp;number=0.0691&amp;sourceID=14","0.0691")</f>
        <v>0.0691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HYPERLINK("http://141.218.60.56/~jnz1568/getInfo.php?workbook=10_05.xlsx&amp;sheet=U0&amp;row=7449&amp;col=6&amp;number=3.5&amp;sourceID=14","3.5")</f>
        <v>3.5</v>
      </c>
      <c r="G7449" s="4" t="str">
        <f>HYPERLINK("http://141.218.60.56/~jnz1568/getInfo.php?workbook=10_05.xlsx&amp;sheet=U0&amp;row=7449&amp;col=7&amp;number=0.0671&amp;sourceID=14","0.0671")</f>
        <v>0.0671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HYPERLINK("http://141.218.60.56/~jnz1568/getInfo.php?workbook=10_05.xlsx&amp;sheet=U0&amp;row=7450&amp;col=6&amp;number=3.6&amp;sourceID=14","3.6")</f>
        <v>3.6</v>
      </c>
      <c r="G7450" s="4" t="str">
        <f>HYPERLINK("http://141.218.60.56/~jnz1568/getInfo.php?workbook=10_05.xlsx&amp;sheet=U0&amp;row=7450&amp;col=7&amp;number=0.0648&amp;sourceID=14","0.0648")</f>
        <v>0.0648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HYPERLINK("http://141.218.60.56/~jnz1568/getInfo.php?workbook=10_05.xlsx&amp;sheet=U0&amp;row=7451&amp;col=6&amp;number=3.7&amp;sourceID=14","3.7")</f>
        <v>3.7</v>
      </c>
      <c r="G7451" s="4" t="str">
        <f>HYPERLINK("http://141.218.60.56/~jnz1568/getInfo.php?workbook=10_05.xlsx&amp;sheet=U0&amp;row=7451&amp;col=7&amp;number=0.0621&amp;sourceID=14","0.0621")</f>
        <v>0.0621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HYPERLINK("http://141.218.60.56/~jnz1568/getInfo.php?workbook=10_05.xlsx&amp;sheet=U0&amp;row=7452&amp;col=6&amp;number=3.8&amp;sourceID=14","3.8")</f>
        <v>3.8</v>
      </c>
      <c r="G7452" s="4" t="str">
        <f>HYPERLINK("http://141.218.60.56/~jnz1568/getInfo.php?workbook=10_05.xlsx&amp;sheet=U0&amp;row=7452&amp;col=7&amp;number=0.0592&amp;sourceID=14","0.0592")</f>
        <v>0.0592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HYPERLINK("http://141.218.60.56/~jnz1568/getInfo.php?workbook=10_05.xlsx&amp;sheet=U0&amp;row=7453&amp;col=6&amp;number=3.9&amp;sourceID=14","3.9")</f>
        <v>3.9</v>
      </c>
      <c r="G7453" s="4" t="str">
        <f>HYPERLINK("http://141.218.60.56/~jnz1568/getInfo.php?workbook=10_05.xlsx&amp;sheet=U0&amp;row=7453&amp;col=7&amp;number=0.0563&amp;sourceID=14","0.0563")</f>
        <v>0.0563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HYPERLINK("http://141.218.60.56/~jnz1568/getInfo.php?workbook=10_05.xlsx&amp;sheet=U0&amp;row=7454&amp;col=6&amp;number=4&amp;sourceID=14","4")</f>
        <v>4</v>
      </c>
      <c r="G7454" s="4" t="str">
        <f>HYPERLINK("http://141.218.60.56/~jnz1568/getInfo.php?workbook=10_05.xlsx&amp;sheet=U0&amp;row=7454&amp;col=7&amp;number=0.0537&amp;sourceID=14","0.0537")</f>
        <v>0.0537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HYPERLINK("http://141.218.60.56/~jnz1568/getInfo.php?workbook=10_05.xlsx&amp;sheet=U0&amp;row=7455&amp;col=6&amp;number=4.1&amp;sourceID=14","4.1")</f>
        <v>4.1</v>
      </c>
      <c r="G7455" s="4" t="str">
        <f>HYPERLINK("http://141.218.60.56/~jnz1568/getInfo.php?workbook=10_05.xlsx&amp;sheet=U0&amp;row=7455&amp;col=7&amp;number=0.0515&amp;sourceID=14","0.0515")</f>
        <v>0.0515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HYPERLINK("http://141.218.60.56/~jnz1568/getInfo.php?workbook=10_05.xlsx&amp;sheet=U0&amp;row=7456&amp;col=6&amp;number=4.2&amp;sourceID=14","4.2")</f>
        <v>4.2</v>
      </c>
      <c r="G7456" s="4" t="str">
        <f>HYPERLINK("http://141.218.60.56/~jnz1568/getInfo.php?workbook=10_05.xlsx&amp;sheet=U0&amp;row=7456&amp;col=7&amp;number=0.0496&amp;sourceID=14","0.0496")</f>
        <v>0.0496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HYPERLINK("http://141.218.60.56/~jnz1568/getInfo.php?workbook=10_05.xlsx&amp;sheet=U0&amp;row=7457&amp;col=6&amp;number=4.3&amp;sourceID=14","4.3")</f>
        <v>4.3</v>
      </c>
      <c r="G7457" s="4" t="str">
        <f>HYPERLINK("http://141.218.60.56/~jnz1568/getInfo.php?workbook=10_05.xlsx&amp;sheet=U0&amp;row=7457&amp;col=7&amp;number=0.0477&amp;sourceID=14","0.0477")</f>
        <v>0.0477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HYPERLINK("http://141.218.60.56/~jnz1568/getInfo.php?workbook=10_05.xlsx&amp;sheet=U0&amp;row=7458&amp;col=6&amp;number=4.4&amp;sourceID=14","4.4")</f>
        <v>4.4</v>
      </c>
      <c r="G7458" s="4" t="str">
        <f>HYPERLINK("http://141.218.60.56/~jnz1568/getInfo.php?workbook=10_05.xlsx&amp;sheet=U0&amp;row=7458&amp;col=7&amp;number=0.0455&amp;sourceID=14","0.0455")</f>
        <v>0.0455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HYPERLINK("http://141.218.60.56/~jnz1568/getInfo.php?workbook=10_05.xlsx&amp;sheet=U0&amp;row=7459&amp;col=6&amp;number=4.5&amp;sourceID=14","4.5")</f>
        <v>4.5</v>
      </c>
      <c r="G7459" s="4" t="str">
        <f>HYPERLINK("http://141.218.60.56/~jnz1568/getInfo.php?workbook=10_05.xlsx&amp;sheet=U0&amp;row=7459&amp;col=7&amp;number=0.043&amp;sourceID=14","0.043")</f>
        <v>0.043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HYPERLINK("http://141.218.60.56/~jnz1568/getInfo.php?workbook=10_05.xlsx&amp;sheet=U0&amp;row=7460&amp;col=6&amp;number=4.6&amp;sourceID=14","4.6")</f>
        <v>4.6</v>
      </c>
      <c r="G7460" s="4" t="str">
        <f>HYPERLINK("http://141.218.60.56/~jnz1568/getInfo.php?workbook=10_05.xlsx&amp;sheet=U0&amp;row=7460&amp;col=7&amp;number=0.0406&amp;sourceID=14","0.0406")</f>
        <v>0.0406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HYPERLINK("http://141.218.60.56/~jnz1568/getInfo.php?workbook=10_05.xlsx&amp;sheet=U0&amp;row=7461&amp;col=6&amp;number=4.7&amp;sourceID=14","4.7")</f>
        <v>4.7</v>
      </c>
      <c r="G7461" s="4" t="str">
        <f>HYPERLINK("http://141.218.60.56/~jnz1568/getInfo.php?workbook=10_05.xlsx&amp;sheet=U0&amp;row=7461&amp;col=7&amp;number=0.038&amp;sourceID=14","0.038")</f>
        <v>0.038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HYPERLINK("http://141.218.60.56/~jnz1568/getInfo.php?workbook=10_05.xlsx&amp;sheet=U0&amp;row=7462&amp;col=6&amp;number=4.8&amp;sourceID=14","4.8")</f>
        <v>4.8</v>
      </c>
      <c r="G7462" s="4" t="str">
        <f>HYPERLINK("http://141.218.60.56/~jnz1568/getInfo.php?workbook=10_05.xlsx&amp;sheet=U0&amp;row=7462&amp;col=7&amp;number=0.0353&amp;sourceID=14","0.0353")</f>
        <v>0.0353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HYPERLINK("http://141.218.60.56/~jnz1568/getInfo.php?workbook=10_05.xlsx&amp;sheet=U0&amp;row=7463&amp;col=6&amp;number=4.9&amp;sourceID=14","4.9")</f>
        <v>4.9</v>
      </c>
      <c r="G7463" s="4" t="str">
        <f>HYPERLINK("http://141.218.60.56/~jnz1568/getInfo.php?workbook=10_05.xlsx&amp;sheet=U0&amp;row=7463&amp;col=7&amp;number=0.0322&amp;sourceID=14","0.0322")</f>
        <v>0.0322</v>
      </c>
    </row>
    <row r="7464" spans="1:7">
      <c r="A7464" s="3">
        <v>10</v>
      </c>
      <c r="B7464" s="3">
        <v>5</v>
      </c>
      <c r="C7464" s="3">
        <v>3</v>
      </c>
      <c r="D7464" s="3">
        <v>20</v>
      </c>
      <c r="E7464" s="3">
        <v>1</v>
      </c>
      <c r="F7464" s="4" t="str">
        <f>HYPERLINK("http://141.218.60.56/~jnz1568/getInfo.php?workbook=10_05.xlsx&amp;sheet=U0&amp;row=7464&amp;col=6&amp;number=3&amp;sourceID=14","3")</f>
        <v>3</v>
      </c>
      <c r="G7464" s="4" t="str">
        <f>HYPERLINK("http://141.218.60.56/~jnz1568/getInfo.php?workbook=10_05.xlsx&amp;sheet=U0&amp;row=7464&amp;col=7&amp;number=0.139&amp;sourceID=14","0.139")</f>
        <v>0.139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HYPERLINK("http://141.218.60.56/~jnz1568/getInfo.php?workbook=10_05.xlsx&amp;sheet=U0&amp;row=7465&amp;col=6&amp;number=3.1&amp;sourceID=14","3.1")</f>
        <v>3.1</v>
      </c>
      <c r="G7465" s="4" t="str">
        <f>HYPERLINK("http://141.218.60.56/~jnz1568/getInfo.php?workbook=10_05.xlsx&amp;sheet=U0&amp;row=7465&amp;col=7&amp;number=0.135&amp;sourceID=14","0.135")</f>
        <v>0.135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HYPERLINK("http://141.218.60.56/~jnz1568/getInfo.php?workbook=10_05.xlsx&amp;sheet=U0&amp;row=7466&amp;col=6&amp;number=3.2&amp;sourceID=14","3.2")</f>
        <v>3.2</v>
      </c>
      <c r="G7466" s="4" t="str">
        <f>HYPERLINK("http://141.218.60.56/~jnz1568/getInfo.php?workbook=10_05.xlsx&amp;sheet=U0&amp;row=7466&amp;col=7&amp;number=0.13&amp;sourceID=14","0.13")</f>
        <v>0.13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HYPERLINK("http://141.218.60.56/~jnz1568/getInfo.php?workbook=10_05.xlsx&amp;sheet=U0&amp;row=7467&amp;col=6&amp;number=3.3&amp;sourceID=14","3.3")</f>
        <v>3.3</v>
      </c>
      <c r="G7467" s="4" t="str">
        <f>HYPERLINK("http://141.218.60.56/~jnz1568/getInfo.php?workbook=10_05.xlsx&amp;sheet=U0&amp;row=7467&amp;col=7&amp;number=0.124&amp;sourceID=14","0.124")</f>
        <v>0.124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HYPERLINK("http://141.218.60.56/~jnz1568/getInfo.php?workbook=10_05.xlsx&amp;sheet=U0&amp;row=7468&amp;col=6&amp;number=3.4&amp;sourceID=14","3.4")</f>
        <v>3.4</v>
      </c>
      <c r="G7468" s="4" t="str">
        <f>HYPERLINK("http://141.218.60.56/~jnz1568/getInfo.php?workbook=10_05.xlsx&amp;sheet=U0&amp;row=7468&amp;col=7&amp;number=0.117&amp;sourceID=14","0.117")</f>
        <v>0.117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HYPERLINK("http://141.218.60.56/~jnz1568/getInfo.php?workbook=10_05.xlsx&amp;sheet=U0&amp;row=7469&amp;col=6&amp;number=3.5&amp;sourceID=14","3.5")</f>
        <v>3.5</v>
      </c>
      <c r="G7469" s="4" t="str">
        <f>HYPERLINK("http://141.218.60.56/~jnz1568/getInfo.php?workbook=10_05.xlsx&amp;sheet=U0&amp;row=7469&amp;col=7&amp;number=0.109&amp;sourceID=14","0.109")</f>
        <v>0.109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HYPERLINK("http://141.218.60.56/~jnz1568/getInfo.php?workbook=10_05.xlsx&amp;sheet=U0&amp;row=7470&amp;col=6&amp;number=3.6&amp;sourceID=14","3.6")</f>
        <v>3.6</v>
      </c>
      <c r="G7470" s="4" t="str">
        <f>HYPERLINK("http://141.218.60.56/~jnz1568/getInfo.php?workbook=10_05.xlsx&amp;sheet=U0&amp;row=7470&amp;col=7&amp;number=0.0998&amp;sourceID=14","0.0998")</f>
        <v>0.0998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HYPERLINK("http://141.218.60.56/~jnz1568/getInfo.php?workbook=10_05.xlsx&amp;sheet=U0&amp;row=7471&amp;col=6&amp;number=3.7&amp;sourceID=14","3.7")</f>
        <v>3.7</v>
      </c>
      <c r="G7471" s="4" t="str">
        <f>HYPERLINK("http://141.218.60.56/~jnz1568/getInfo.php?workbook=10_05.xlsx&amp;sheet=U0&amp;row=7471&amp;col=7&amp;number=0.09&amp;sourceID=14","0.09")</f>
        <v>0.09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HYPERLINK("http://141.218.60.56/~jnz1568/getInfo.php?workbook=10_05.xlsx&amp;sheet=U0&amp;row=7472&amp;col=6&amp;number=3.8&amp;sourceID=14","3.8")</f>
        <v>3.8</v>
      </c>
      <c r="G7472" s="4" t="str">
        <f>HYPERLINK("http://141.218.60.56/~jnz1568/getInfo.php?workbook=10_05.xlsx&amp;sheet=U0&amp;row=7472&amp;col=7&amp;number=0.0805&amp;sourceID=14","0.0805")</f>
        <v>0.0805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HYPERLINK("http://141.218.60.56/~jnz1568/getInfo.php?workbook=10_05.xlsx&amp;sheet=U0&amp;row=7473&amp;col=6&amp;number=3.9&amp;sourceID=14","3.9")</f>
        <v>3.9</v>
      </c>
      <c r="G7473" s="4" t="str">
        <f>HYPERLINK("http://141.218.60.56/~jnz1568/getInfo.php?workbook=10_05.xlsx&amp;sheet=U0&amp;row=7473&amp;col=7&amp;number=0.0725&amp;sourceID=14","0.0725")</f>
        <v>0.0725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HYPERLINK("http://141.218.60.56/~jnz1568/getInfo.php?workbook=10_05.xlsx&amp;sheet=U0&amp;row=7474&amp;col=6&amp;number=4&amp;sourceID=14","4")</f>
        <v>4</v>
      </c>
      <c r="G7474" s="4" t="str">
        <f>HYPERLINK("http://141.218.60.56/~jnz1568/getInfo.php?workbook=10_05.xlsx&amp;sheet=U0&amp;row=7474&amp;col=7&amp;number=0.0666&amp;sourceID=14","0.0666")</f>
        <v>0.0666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HYPERLINK("http://141.218.60.56/~jnz1568/getInfo.php?workbook=10_05.xlsx&amp;sheet=U0&amp;row=7475&amp;col=6&amp;number=4.1&amp;sourceID=14","4.1")</f>
        <v>4.1</v>
      </c>
      <c r="G7475" s="4" t="str">
        <f>HYPERLINK("http://141.218.60.56/~jnz1568/getInfo.php?workbook=10_05.xlsx&amp;sheet=U0&amp;row=7475&amp;col=7&amp;number=0.0625&amp;sourceID=14","0.0625")</f>
        <v>0.0625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HYPERLINK("http://141.218.60.56/~jnz1568/getInfo.php?workbook=10_05.xlsx&amp;sheet=U0&amp;row=7476&amp;col=6&amp;number=4.2&amp;sourceID=14","4.2")</f>
        <v>4.2</v>
      </c>
      <c r="G7476" s="4" t="str">
        <f>HYPERLINK("http://141.218.60.56/~jnz1568/getInfo.php?workbook=10_05.xlsx&amp;sheet=U0&amp;row=7476&amp;col=7&amp;number=0.0588&amp;sourceID=14","0.0588")</f>
        <v>0.0588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HYPERLINK("http://141.218.60.56/~jnz1568/getInfo.php?workbook=10_05.xlsx&amp;sheet=U0&amp;row=7477&amp;col=6&amp;number=4.3&amp;sourceID=14","4.3")</f>
        <v>4.3</v>
      </c>
      <c r="G7477" s="4" t="str">
        <f>HYPERLINK("http://141.218.60.56/~jnz1568/getInfo.php?workbook=10_05.xlsx&amp;sheet=U0&amp;row=7477&amp;col=7&amp;number=0.0547&amp;sourceID=14","0.0547")</f>
        <v>0.0547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HYPERLINK("http://141.218.60.56/~jnz1568/getInfo.php?workbook=10_05.xlsx&amp;sheet=U0&amp;row=7478&amp;col=6&amp;number=4.4&amp;sourceID=14","4.4")</f>
        <v>4.4</v>
      </c>
      <c r="G7478" s="4" t="str">
        <f>HYPERLINK("http://141.218.60.56/~jnz1568/getInfo.php?workbook=10_05.xlsx&amp;sheet=U0&amp;row=7478&amp;col=7&amp;number=0.0508&amp;sourceID=14","0.0508")</f>
        <v>0.0508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HYPERLINK("http://141.218.60.56/~jnz1568/getInfo.php?workbook=10_05.xlsx&amp;sheet=U0&amp;row=7479&amp;col=6&amp;number=4.5&amp;sourceID=14","4.5")</f>
        <v>4.5</v>
      </c>
      <c r="G7479" s="4" t="str">
        <f>HYPERLINK("http://141.218.60.56/~jnz1568/getInfo.php?workbook=10_05.xlsx&amp;sheet=U0&amp;row=7479&amp;col=7&amp;number=0.0474&amp;sourceID=14","0.0474")</f>
        <v>0.0474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HYPERLINK("http://141.218.60.56/~jnz1568/getInfo.php?workbook=10_05.xlsx&amp;sheet=U0&amp;row=7480&amp;col=6&amp;number=4.6&amp;sourceID=14","4.6")</f>
        <v>4.6</v>
      </c>
      <c r="G7480" s="4" t="str">
        <f>HYPERLINK("http://141.218.60.56/~jnz1568/getInfo.php?workbook=10_05.xlsx&amp;sheet=U0&amp;row=7480&amp;col=7&amp;number=0.0445&amp;sourceID=14","0.0445")</f>
        <v>0.0445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HYPERLINK("http://141.218.60.56/~jnz1568/getInfo.php?workbook=10_05.xlsx&amp;sheet=U0&amp;row=7481&amp;col=6&amp;number=4.7&amp;sourceID=14","4.7")</f>
        <v>4.7</v>
      </c>
      <c r="G7481" s="4" t="str">
        <f>HYPERLINK("http://141.218.60.56/~jnz1568/getInfo.php?workbook=10_05.xlsx&amp;sheet=U0&amp;row=7481&amp;col=7&amp;number=0.0414&amp;sourceID=14","0.0414")</f>
        <v>0.0414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HYPERLINK("http://141.218.60.56/~jnz1568/getInfo.php?workbook=10_05.xlsx&amp;sheet=U0&amp;row=7482&amp;col=6&amp;number=4.8&amp;sourceID=14","4.8")</f>
        <v>4.8</v>
      </c>
      <c r="G7482" s="4" t="str">
        <f>HYPERLINK("http://141.218.60.56/~jnz1568/getInfo.php?workbook=10_05.xlsx&amp;sheet=U0&amp;row=7482&amp;col=7&amp;number=0.038&amp;sourceID=14","0.038")</f>
        <v>0.038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HYPERLINK("http://141.218.60.56/~jnz1568/getInfo.php?workbook=10_05.xlsx&amp;sheet=U0&amp;row=7483&amp;col=6&amp;number=4.9&amp;sourceID=14","4.9")</f>
        <v>4.9</v>
      </c>
      <c r="G7483" s="4" t="str">
        <f>HYPERLINK("http://141.218.60.56/~jnz1568/getInfo.php?workbook=10_05.xlsx&amp;sheet=U0&amp;row=7483&amp;col=7&amp;number=0.0343&amp;sourceID=14","0.0343")</f>
        <v>0.0343</v>
      </c>
    </row>
    <row r="7484" spans="1:7">
      <c r="A7484" s="3">
        <v>10</v>
      </c>
      <c r="B7484" s="3">
        <v>5</v>
      </c>
      <c r="C7484" s="3">
        <v>3</v>
      </c>
      <c r="D7484" s="3">
        <v>21</v>
      </c>
      <c r="E7484" s="3">
        <v>1</v>
      </c>
      <c r="F7484" s="4" t="str">
        <f>HYPERLINK("http://141.218.60.56/~jnz1568/getInfo.php?workbook=10_05.xlsx&amp;sheet=U0&amp;row=7484&amp;col=6&amp;number=3&amp;sourceID=14","3")</f>
        <v>3</v>
      </c>
      <c r="G7484" s="4" t="str">
        <f>HYPERLINK("http://141.218.60.56/~jnz1568/getInfo.php?workbook=10_05.xlsx&amp;sheet=U0&amp;row=7484&amp;col=7&amp;number=0.129&amp;sourceID=14","0.129")</f>
        <v>0.129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HYPERLINK("http://141.218.60.56/~jnz1568/getInfo.php?workbook=10_05.xlsx&amp;sheet=U0&amp;row=7485&amp;col=6&amp;number=3.1&amp;sourceID=14","3.1")</f>
        <v>3.1</v>
      </c>
      <c r="G7485" s="4" t="str">
        <f>HYPERLINK("http://141.218.60.56/~jnz1568/getInfo.php?workbook=10_05.xlsx&amp;sheet=U0&amp;row=7485&amp;col=7&amp;number=0.129&amp;sourceID=14","0.129")</f>
        <v>0.129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HYPERLINK("http://141.218.60.56/~jnz1568/getInfo.php?workbook=10_05.xlsx&amp;sheet=U0&amp;row=7486&amp;col=6&amp;number=3.2&amp;sourceID=14","3.2")</f>
        <v>3.2</v>
      </c>
      <c r="G7486" s="4" t="str">
        <f>HYPERLINK("http://141.218.60.56/~jnz1568/getInfo.php?workbook=10_05.xlsx&amp;sheet=U0&amp;row=7486&amp;col=7&amp;number=0.128&amp;sourceID=14","0.128")</f>
        <v>0.128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HYPERLINK("http://141.218.60.56/~jnz1568/getInfo.php?workbook=10_05.xlsx&amp;sheet=U0&amp;row=7487&amp;col=6&amp;number=3.3&amp;sourceID=14","3.3")</f>
        <v>3.3</v>
      </c>
      <c r="G7487" s="4" t="str">
        <f>HYPERLINK("http://141.218.60.56/~jnz1568/getInfo.php?workbook=10_05.xlsx&amp;sheet=U0&amp;row=7487&amp;col=7&amp;number=0.128&amp;sourceID=14","0.128")</f>
        <v>0.128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HYPERLINK("http://141.218.60.56/~jnz1568/getInfo.php?workbook=10_05.xlsx&amp;sheet=U0&amp;row=7488&amp;col=6&amp;number=3.4&amp;sourceID=14","3.4")</f>
        <v>3.4</v>
      </c>
      <c r="G7488" s="4" t="str">
        <f>HYPERLINK("http://141.218.60.56/~jnz1568/getInfo.php?workbook=10_05.xlsx&amp;sheet=U0&amp;row=7488&amp;col=7&amp;number=0.127&amp;sourceID=14","0.127")</f>
        <v>0.127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HYPERLINK("http://141.218.60.56/~jnz1568/getInfo.php?workbook=10_05.xlsx&amp;sheet=U0&amp;row=7489&amp;col=6&amp;number=3.5&amp;sourceID=14","3.5")</f>
        <v>3.5</v>
      </c>
      <c r="G7489" s="4" t="str">
        <f>HYPERLINK("http://141.218.60.56/~jnz1568/getInfo.php?workbook=10_05.xlsx&amp;sheet=U0&amp;row=7489&amp;col=7&amp;number=0.126&amp;sourceID=14","0.126")</f>
        <v>0.126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HYPERLINK("http://141.218.60.56/~jnz1568/getInfo.php?workbook=10_05.xlsx&amp;sheet=U0&amp;row=7490&amp;col=6&amp;number=3.6&amp;sourceID=14","3.6")</f>
        <v>3.6</v>
      </c>
      <c r="G7490" s="4" t="str">
        <f>HYPERLINK("http://141.218.60.56/~jnz1568/getInfo.php?workbook=10_05.xlsx&amp;sheet=U0&amp;row=7490&amp;col=7&amp;number=0.125&amp;sourceID=14","0.125")</f>
        <v>0.125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HYPERLINK("http://141.218.60.56/~jnz1568/getInfo.php?workbook=10_05.xlsx&amp;sheet=U0&amp;row=7491&amp;col=6&amp;number=3.7&amp;sourceID=14","3.7")</f>
        <v>3.7</v>
      </c>
      <c r="G7491" s="4" t="str">
        <f>HYPERLINK("http://141.218.60.56/~jnz1568/getInfo.php?workbook=10_05.xlsx&amp;sheet=U0&amp;row=7491&amp;col=7&amp;number=0.123&amp;sourceID=14","0.123")</f>
        <v>0.123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HYPERLINK("http://141.218.60.56/~jnz1568/getInfo.php?workbook=10_05.xlsx&amp;sheet=U0&amp;row=7492&amp;col=6&amp;number=3.8&amp;sourceID=14","3.8")</f>
        <v>3.8</v>
      </c>
      <c r="G7492" s="4" t="str">
        <f>HYPERLINK("http://141.218.60.56/~jnz1568/getInfo.php?workbook=10_05.xlsx&amp;sheet=U0&amp;row=7492&amp;col=7&amp;number=0.121&amp;sourceID=14","0.121")</f>
        <v>0.121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HYPERLINK("http://141.218.60.56/~jnz1568/getInfo.php?workbook=10_05.xlsx&amp;sheet=U0&amp;row=7493&amp;col=6&amp;number=3.9&amp;sourceID=14","3.9")</f>
        <v>3.9</v>
      </c>
      <c r="G7493" s="4" t="str">
        <f>HYPERLINK("http://141.218.60.56/~jnz1568/getInfo.php?workbook=10_05.xlsx&amp;sheet=U0&amp;row=7493&amp;col=7&amp;number=0.119&amp;sourceID=14","0.119")</f>
        <v>0.119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HYPERLINK("http://141.218.60.56/~jnz1568/getInfo.php?workbook=10_05.xlsx&amp;sheet=U0&amp;row=7494&amp;col=6&amp;number=4&amp;sourceID=14","4")</f>
        <v>4</v>
      </c>
      <c r="G7494" s="4" t="str">
        <f>HYPERLINK("http://141.218.60.56/~jnz1568/getInfo.php?workbook=10_05.xlsx&amp;sheet=U0&amp;row=7494&amp;col=7&amp;number=0.116&amp;sourceID=14","0.116")</f>
        <v>0.116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HYPERLINK("http://141.218.60.56/~jnz1568/getInfo.php?workbook=10_05.xlsx&amp;sheet=U0&amp;row=7495&amp;col=6&amp;number=4.1&amp;sourceID=14","4.1")</f>
        <v>4.1</v>
      </c>
      <c r="G7495" s="4" t="str">
        <f>HYPERLINK("http://141.218.60.56/~jnz1568/getInfo.php?workbook=10_05.xlsx&amp;sheet=U0&amp;row=7495&amp;col=7&amp;number=0.112&amp;sourceID=14","0.112")</f>
        <v>0.112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HYPERLINK("http://141.218.60.56/~jnz1568/getInfo.php?workbook=10_05.xlsx&amp;sheet=U0&amp;row=7496&amp;col=6&amp;number=4.2&amp;sourceID=14","4.2")</f>
        <v>4.2</v>
      </c>
      <c r="G7496" s="4" t="str">
        <f>HYPERLINK("http://141.218.60.56/~jnz1568/getInfo.php?workbook=10_05.xlsx&amp;sheet=U0&amp;row=7496&amp;col=7&amp;number=0.108&amp;sourceID=14","0.108")</f>
        <v>0.108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HYPERLINK("http://141.218.60.56/~jnz1568/getInfo.php?workbook=10_05.xlsx&amp;sheet=U0&amp;row=7497&amp;col=6&amp;number=4.3&amp;sourceID=14","4.3")</f>
        <v>4.3</v>
      </c>
      <c r="G7497" s="4" t="str">
        <f>HYPERLINK("http://141.218.60.56/~jnz1568/getInfo.php?workbook=10_05.xlsx&amp;sheet=U0&amp;row=7497&amp;col=7&amp;number=0.103&amp;sourceID=14","0.103")</f>
        <v>0.103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HYPERLINK("http://141.218.60.56/~jnz1568/getInfo.php?workbook=10_05.xlsx&amp;sheet=U0&amp;row=7498&amp;col=6&amp;number=4.4&amp;sourceID=14","4.4")</f>
        <v>4.4</v>
      </c>
      <c r="G7498" s="4" t="str">
        <f>HYPERLINK("http://141.218.60.56/~jnz1568/getInfo.php?workbook=10_05.xlsx&amp;sheet=U0&amp;row=7498&amp;col=7&amp;number=0.0974&amp;sourceID=14","0.0974")</f>
        <v>0.0974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HYPERLINK("http://141.218.60.56/~jnz1568/getInfo.php?workbook=10_05.xlsx&amp;sheet=U0&amp;row=7499&amp;col=6&amp;number=4.5&amp;sourceID=14","4.5")</f>
        <v>4.5</v>
      </c>
      <c r="G7499" s="4" t="str">
        <f>HYPERLINK("http://141.218.60.56/~jnz1568/getInfo.php?workbook=10_05.xlsx&amp;sheet=U0&amp;row=7499&amp;col=7&amp;number=0.0911&amp;sourceID=14","0.0911")</f>
        <v>0.0911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HYPERLINK("http://141.218.60.56/~jnz1568/getInfo.php?workbook=10_05.xlsx&amp;sheet=U0&amp;row=7500&amp;col=6&amp;number=4.6&amp;sourceID=14","4.6")</f>
        <v>4.6</v>
      </c>
      <c r="G7500" s="4" t="str">
        <f>HYPERLINK("http://141.218.60.56/~jnz1568/getInfo.php?workbook=10_05.xlsx&amp;sheet=U0&amp;row=7500&amp;col=7&amp;number=0.0845&amp;sourceID=14","0.0845")</f>
        <v>0.0845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HYPERLINK("http://141.218.60.56/~jnz1568/getInfo.php?workbook=10_05.xlsx&amp;sheet=U0&amp;row=7501&amp;col=6&amp;number=4.7&amp;sourceID=14","4.7")</f>
        <v>4.7</v>
      </c>
      <c r="G7501" s="4" t="str">
        <f>HYPERLINK("http://141.218.60.56/~jnz1568/getInfo.php?workbook=10_05.xlsx&amp;sheet=U0&amp;row=7501&amp;col=7&amp;number=0.0781&amp;sourceID=14","0.0781")</f>
        <v>0.0781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HYPERLINK("http://141.218.60.56/~jnz1568/getInfo.php?workbook=10_05.xlsx&amp;sheet=U0&amp;row=7502&amp;col=6&amp;number=4.8&amp;sourceID=14","4.8")</f>
        <v>4.8</v>
      </c>
      <c r="G7502" s="4" t="str">
        <f>HYPERLINK("http://141.218.60.56/~jnz1568/getInfo.php?workbook=10_05.xlsx&amp;sheet=U0&amp;row=7502&amp;col=7&amp;number=0.0719&amp;sourceID=14","0.0719")</f>
        <v>0.0719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HYPERLINK("http://141.218.60.56/~jnz1568/getInfo.php?workbook=10_05.xlsx&amp;sheet=U0&amp;row=7503&amp;col=6&amp;number=4.9&amp;sourceID=14","4.9")</f>
        <v>4.9</v>
      </c>
      <c r="G7503" s="4" t="str">
        <f>HYPERLINK("http://141.218.60.56/~jnz1568/getInfo.php?workbook=10_05.xlsx&amp;sheet=U0&amp;row=7503&amp;col=7&amp;number=0.0656&amp;sourceID=14","0.0656")</f>
        <v>0.0656</v>
      </c>
    </row>
    <row r="7504" spans="1:7">
      <c r="A7504" s="3">
        <v>10</v>
      </c>
      <c r="B7504" s="3">
        <v>5</v>
      </c>
      <c r="C7504" s="3">
        <v>3</v>
      </c>
      <c r="D7504" s="3">
        <v>22</v>
      </c>
      <c r="E7504" s="3">
        <v>1</v>
      </c>
      <c r="F7504" s="4" t="str">
        <f>HYPERLINK("http://141.218.60.56/~jnz1568/getInfo.php?workbook=10_05.xlsx&amp;sheet=U0&amp;row=7504&amp;col=6&amp;number=3&amp;sourceID=14","3")</f>
        <v>3</v>
      </c>
      <c r="G7504" s="4" t="str">
        <f>HYPERLINK("http://141.218.60.56/~jnz1568/getInfo.php?workbook=10_05.xlsx&amp;sheet=U0&amp;row=7504&amp;col=7&amp;number=0.281&amp;sourceID=14","0.281")</f>
        <v>0.281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HYPERLINK("http://141.218.60.56/~jnz1568/getInfo.php?workbook=10_05.xlsx&amp;sheet=U0&amp;row=7505&amp;col=6&amp;number=3.1&amp;sourceID=14","3.1")</f>
        <v>3.1</v>
      </c>
      <c r="G7505" s="4" t="str">
        <f>HYPERLINK("http://141.218.60.56/~jnz1568/getInfo.php?workbook=10_05.xlsx&amp;sheet=U0&amp;row=7505&amp;col=7&amp;number=0.281&amp;sourceID=14","0.281")</f>
        <v>0.281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HYPERLINK("http://141.218.60.56/~jnz1568/getInfo.php?workbook=10_05.xlsx&amp;sheet=U0&amp;row=7506&amp;col=6&amp;number=3.2&amp;sourceID=14","3.2")</f>
        <v>3.2</v>
      </c>
      <c r="G7506" s="4" t="str">
        <f>HYPERLINK("http://141.218.60.56/~jnz1568/getInfo.php?workbook=10_05.xlsx&amp;sheet=U0&amp;row=7506&amp;col=7&amp;number=0.281&amp;sourceID=14","0.281")</f>
        <v>0.281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HYPERLINK("http://141.218.60.56/~jnz1568/getInfo.php?workbook=10_05.xlsx&amp;sheet=U0&amp;row=7507&amp;col=6&amp;number=3.3&amp;sourceID=14","3.3")</f>
        <v>3.3</v>
      </c>
      <c r="G7507" s="4" t="str">
        <f>HYPERLINK("http://141.218.60.56/~jnz1568/getInfo.php?workbook=10_05.xlsx&amp;sheet=U0&amp;row=7507&amp;col=7&amp;number=0.28&amp;sourceID=14","0.28")</f>
        <v>0.28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HYPERLINK("http://141.218.60.56/~jnz1568/getInfo.php?workbook=10_05.xlsx&amp;sheet=U0&amp;row=7508&amp;col=6&amp;number=3.4&amp;sourceID=14","3.4")</f>
        <v>3.4</v>
      </c>
      <c r="G7508" s="4" t="str">
        <f>HYPERLINK("http://141.218.60.56/~jnz1568/getInfo.php?workbook=10_05.xlsx&amp;sheet=U0&amp;row=7508&amp;col=7&amp;number=0.279&amp;sourceID=14","0.279")</f>
        <v>0.279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HYPERLINK("http://141.218.60.56/~jnz1568/getInfo.php?workbook=10_05.xlsx&amp;sheet=U0&amp;row=7509&amp;col=6&amp;number=3.5&amp;sourceID=14","3.5")</f>
        <v>3.5</v>
      </c>
      <c r="G7509" s="4" t="str">
        <f>HYPERLINK("http://141.218.60.56/~jnz1568/getInfo.php?workbook=10_05.xlsx&amp;sheet=U0&amp;row=7509&amp;col=7&amp;number=0.278&amp;sourceID=14","0.278")</f>
        <v>0.278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HYPERLINK("http://141.218.60.56/~jnz1568/getInfo.php?workbook=10_05.xlsx&amp;sheet=U0&amp;row=7510&amp;col=6&amp;number=3.6&amp;sourceID=14","3.6")</f>
        <v>3.6</v>
      </c>
      <c r="G7510" s="4" t="str">
        <f>HYPERLINK("http://141.218.60.56/~jnz1568/getInfo.php?workbook=10_05.xlsx&amp;sheet=U0&amp;row=7510&amp;col=7&amp;number=0.277&amp;sourceID=14","0.277")</f>
        <v>0.277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HYPERLINK("http://141.218.60.56/~jnz1568/getInfo.php?workbook=10_05.xlsx&amp;sheet=U0&amp;row=7511&amp;col=6&amp;number=3.7&amp;sourceID=14","3.7")</f>
        <v>3.7</v>
      </c>
      <c r="G7511" s="4" t="str">
        <f>HYPERLINK("http://141.218.60.56/~jnz1568/getInfo.php?workbook=10_05.xlsx&amp;sheet=U0&amp;row=7511&amp;col=7&amp;number=0.276&amp;sourceID=14","0.276")</f>
        <v>0.276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HYPERLINK("http://141.218.60.56/~jnz1568/getInfo.php?workbook=10_05.xlsx&amp;sheet=U0&amp;row=7512&amp;col=6&amp;number=3.8&amp;sourceID=14","3.8")</f>
        <v>3.8</v>
      </c>
      <c r="G7512" s="4" t="str">
        <f>HYPERLINK("http://141.218.60.56/~jnz1568/getInfo.php?workbook=10_05.xlsx&amp;sheet=U0&amp;row=7512&amp;col=7&amp;number=0.274&amp;sourceID=14","0.274")</f>
        <v>0.274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HYPERLINK("http://141.218.60.56/~jnz1568/getInfo.php?workbook=10_05.xlsx&amp;sheet=U0&amp;row=7513&amp;col=6&amp;number=3.9&amp;sourceID=14","3.9")</f>
        <v>3.9</v>
      </c>
      <c r="G7513" s="4" t="str">
        <f>HYPERLINK("http://141.218.60.56/~jnz1568/getInfo.php?workbook=10_05.xlsx&amp;sheet=U0&amp;row=7513&amp;col=7&amp;number=0.272&amp;sourceID=14","0.272")</f>
        <v>0.272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HYPERLINK("http://141.218.60.56/~jnz1568/getInfo.php?workbook=10_05.xlsx&amp;sheet=U0&amp;row=7514&amp;col=6&amp;number=4&amp;sourceID=14","4")</f>
        <v>4</v>
      </c>
      <c r="G7514" s="4" t="str">
        <f>HYPERLINK("http://141.218.60.56/~jnz1568/getInfo.php?workbook=10_05.xlsx&amp;sheet=U0&amp;row=7514&amp;col=7&amp;number=0.269&amp;sourceID=14","0.269")</f>
        <v>0.269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HYPERLINK("http://141.218.60.56/~jnz1568/getInfo.php?workbook=10_05.xlsx&amp;sheet=U0&amp;row=7515&amp;col=6&amp;number=4.1&amp;sourceID=14","4.1")</f>
        <v>4.1</v>
      </c>
      <c r="G7515" s="4" t="str">
        <f>HYPERLINK("http://141.218.60.56/~jnz1568/getInfo.php?workbook=10_05.xlsx&amp;sheet=U0&amp;row=7515&amp;col=7&amp;number=0.266&amp;sourceID=14","0.266")</f>
        <v>0.266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HYPERLINK("http://141.218.60.56/~jnz1568/getInfo.php?workbook=10_05.xlsx&amp;sheet=U0&amp;row=7516&amp;col=6&amp;number=4.2&amp;sourceID=14","4.2")</f>
        <v>4.2</v>
      </c>
      <c r="G7516" s="4" t="str">
        <f>HYPERLINK("http://141.218.60.56/~jnz1568/getInfo.php?workbook=10_05.xlsx&amp;sheet=U0&amp;row=7516&amp;col=7&amp;number=0.261&amp;sourceID=14","0.261")</f>
        <v>0.261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HYPERLINK("http://141.218.60.56/~jnz1568/getInfo.php?workbook=10_05.xlsx&amp;sheet=U0&amp;row=7517&amp;col=6&amp;number=4.3&amp;sourceID=14","4.3")</f>
        <v>4.3</v>
      </c>
      <c r="G7517" s="4" t="str">
        <f>HYPERLINK("http://141.218.60.56/~jnz1568/getInfo.php?workbook=10_05.xlsx&amp;sheet=U0&amp;row=7517&amp;col=7&amp;number=0.256&amp;sourceID=14","0.256")</f>
        <v>0.256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HYPERLINK("http://141.218.60.56/~jnz1568/getInfo.php?workbook=10_05.xlsx&amp;sheet=U0&amp;row=7518&amp;col=6&amp;number=4.4&amp;sourceID=14","4.4")</f>
        <v>4.4</v>
      </c>
      <c r="G7518" s="4" t="str">
        <f>HYPERLINK("http://141.218.60.56/~jnz1568/getInfo.php?workbook=10_05.xlsx&amp;sheet=U0&amp;row=7518&amp;col=7&amp;number=0.249&amp;sourceID=14","0.249")</f>
        <v>0.249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HYPERLINK("http://141.218.60.56/~jnz1568/getInfo.php?workbook=10_05.xlsx&amp;sheet=U0&amp;row=7519&amp;col=6&amp;number=4.5&amp;sourceID=14","4.5")</f>
        <v>4.5</v>
      </c>
      <c r="G7519" s="4" t="str">
        <f>HYPERLINK("http://141.218.60.56/~jnz1568/getInfo.php?workbook=10_05.xlsx&amp;sheet=U0&amp;row=7519&amp;col=7&amp;number=0.241&amp;sourceID=14","0.241")</f>
        <v>0.241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HYPERLINK("http://141.218.60.56/~jnz1568/getInfo.php?workbook=10_05.xlsx&amp;sheet=U0&amp;row=7520&amp;col=6&amp;number=4.6&amp;sourceID=14","4.6")</f>
        <v>4.6</v>
      </c>
      <c r="G7520" s="4" t="str">
        <f>HYPERLINK("http://141.218.60.56/~jnz1568/getInfo.php?workbook=10_05.xlsx&amp;sheet=U0&amp;row=7520&amp;col=7&amp;number=0.231&amp;sourceID=14","0.231")</f>
        <v>0.231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HYPERLINK("http://141.218.60.56/~jnz1568/getInfo.php?workbook=10_05.xlsx&amp;sheet=U0&amp;row=7521&amp;col=6&amp;number=4.7&amp;sourceID=14","4.7")</f>
        <v>4.7</v>
      </c>
      <c r="G7521" s="4" t="str">
        <f>HYPERLINK("http://141.218.60.56/~jnz1568/getInfo.php?workbook=10_05.xlsx&amp;sheet=U0&amp;row=7521&amp;col=7&amp;number=0.218&amp;sourceID=14","0.218")</f>
        <v>0.218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HYPERLINK("http://141.218.60.56/~jnz1568/getInfo.php?workbook=10_05.xlsx&amp;sheet=U0&amp;row=7522&amp;col=6&amp;number=4.8&amp;sourceID=14","4.8")</f>
        <v>4.8</v>
      </c>
      <c r="G7522" s="4" t="str">
        <f>HYPERLINK("http://141.218.60.56/~jnz1568/getInfo.php?workbook=10_05.xlsx&amp;sheet=U0&amp;row=7522&amp;col=7&amp;number=0.203&amp;sourceID=14","0.203")</f>
        <v>0.203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HYPERLINK("http://141.218.60.56/~jnz1568/getInfo.php?workbook=10_05.xlsx&amp;sheet=U0&amp;row=7523&amp;col=6&amp;number=4.9&amp;sourceID=14","4.9")</f>
        <v>4.9</v>
      </c>
      <c r="G7523" s="4" t="str">
        <f>HYPERLINK("http://141.218.60.56/~jnz1568/getInfo.php?workbook=10_05.xlsx&amp;sheet=U0&amp;row=7523&amp;col=7&amp;number=0.186&amp;sourceID=14","0.186")</f>
        <v>0.186</v>
      </c>
    </row>
    <row r="7524" spans="1:7">
      <c r="A7524" s="3">
        <v>10</v>
      </c>
      <c r="B7524" s="3">
        <v>5</v>
      </c>
      <c r="C7524" s="3">
        <v>3</v>
      </c>
      <c r="D7524" s="3">
        <v>23</v>
      </c>
      <c r="E7524" s="3">
        <v>1</v>
      </c>
      <c r="F7524" s="4" t="str">
        <f>HYPERLINK("http://141.218.60.56/~jnz1568/getInfo.php?workbook=10_05.xlsx&amp;sheet=U0&amp;row=7524&amp;col=6&amp;number=3&amp;sourceID=14","3")</f>
        <v>3</v>
      </c>
      <c r="G7524" s="4" t="str">
        <f>HYPERLINK("http://141.218.60.56/~jnz1568/getInfo.php?workbook=10_05.xlsx&amp;sheet=U0&amp;row=7524&amp;col=7&amp;number=0.202&amp;sourceID=14","0.202")</f>
        <v>0.202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HYPERLINK("http://141.218.60.56/~jnz1568/getInfo.php?workbook=10_05.xlsx&amp;sheet=U0&amp;row=7525&amp;col=6&amp;number=3.1&amp;sourceID=14","3.1")</f>
        <v>3.1</v>
      </c>
      <c r="G7525" s="4" t="str">
        <f>HYPERLINK("http://141.218.60.56/~jnz1568/getInfo.php?workbook=10_05.xlsx&amp;sheet=U0&amp;row=7525&amp;col=7&amp;number=0.202&amp;sourceID=14","0.202")</f>
        <v>0.202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HYPERLINK("http://141.218.60.56/~jnz1568/getInfo.php?workbook=10_05.xlsx&amp;sheet=U0&amp;row=7526&amp;col=6&amp;number=3.2&amp;sourceID=14","3.2")</f>
        <v>3.2</v>
      </c>
      <c r="G7526" s="4" t="str">
        <f>HYPERLINK("http://141.218.60.56/~jnz1568/getInfo.php?workbook=10_05.xlsx&amp;sheet=U0&amp;row=7526&amp;col=7&amp;number=0.201&amp;sourceID=14","0.201")</f>
        <v>0.201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HYPERLINK("http://141.218.60.56/~jnz1568/getInfo.php?workbook=10_05.xlsx&amp;sheet=U0&amp;row=7527&amp;col=6&amp;number=3.3&amp;sourceID=14","3.3")</f>
        <v>3.3</v>
      </c>
      <c r="G7527" s="4" t="str">
        <f>HYPERLINK("http://141.218.60.56/~jnz1568/getInfo.php?workbook=10_05.xlsx&amp;sheet=U0&amp;row=7527&amp;col=7&amp;number=0.201&amp;sourceID=14","0.201")</f>
        <v>0.201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HYPERLINK("http://141.218.60.56/~jnz1568/getInfo.php?workbook=10_05.xlsx&amp;sheet=U0&amp;row=7528&amp;col=6&amp;number=3.4&amp;sourceID=14","3.4")</f>
        <v>3.4</v>
      </c>
      <c r="G7528" s="4" t="str">
        <f>HYPERLINK("http://141.218.60.56/~jnz1568/getInfo.php?workbook=10_05.xlsx&amp;sheet=U0&amp;row=7528&amp;col=7&amp;number=0.2&amp;sourceID=14","0.2")</f>
        <v>0.2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HYPERLINK("http://141.218.60.56/~jnz1568/getInfo.php?workbook=10_05.xlsx&amp;sheet=U0&amp;row=7529&amp;col=6&amp;number=3.5&amp;sourceID=14","3.5")</f>
        <v>3.5</v>
      </c>
      <c r="G7529" s="4" t="str">
        <f>HYPERLINK("http://141.218.60.56/~jnz1568/getInfo.php?workbook=10_05.xlsx&amp;sheet=U0&amp;row=7529&amp;col=7&amp;number=0.2&amp;sourceID=14","0.2")</f>
        <v>0.2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HYPERLINK("http://141.218.60.56/~jnz1568/getInfo.php?workbook=10_05.xlsx&amp;sheet=U0&amp;row=7530&amp;col=6&amp;number=3.6&amp;sourceID=14","3.6")</f>
        <v>3.6</v>
      </c>
      <c r="G7530" s="4" t="str">
        <f>HYPERLINK("http://141.218.60.56/~jnz1568/getInfo.php?workbook=10_05.xlsx&amp;sheet=U0&amp;row=7530&amp;col=7&amp;number=0.199&amp;sourceID=14","0.199")</f>
        <v>0.199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HYPERLINK("http://141.218.60.56/~jnz1568/getInfo.php?workbook=10_05.xlsx&amp;sheet=U0&amp;row=7531&amp;col=6&amp;number=3.7&amp;sourceID=14","3.7")</f>
        <v>3.7</v>
      </c>
      <c r="G7531" s="4" t="str">
        <f>HYPERLINK("http://141.218.60.56/~jnz1568/getInfo.php?workbook=10_05.xlsx&amp;sheet=U0&amp;row=7531&amp;col=7&amp;number=0.198&amp;sourceID=14","0.198")</f>
        <v>0.198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HYPERLINK("http://141.218.60.56/~jnz1568/getInfo.php?workbook=10_05.xlsx&amp;sheet=U0&amp;row=7532&amp;col=6&amp;number=3.8&amp;sourceID=14","3.8")</f>
        <v>3.8</v>
      </c>
      <c r="G7532" s="4" t="str">
        <f>HYPERLINK("http://141.218.60.56/~jnz1568/getInfo.php?workbook=10_05.xlsx&amp;sheet=U0&amp;row=7532&amp;col=7&amp;number=0.196&amp;sourceID=14","0.196")</f>
        <v>0.196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HYPERLINK("http://141.218.60.56/~jnz1568/getInfo.php?workbook=10_05.xlsx&amp;sheet=U0&amp;row=7533&amp;col=6&amp;number=3.9&amp;sourceID=14","3.9")</f>
        <v>3.9</v>
      </c>
      <c r="G7533" s="4" t="str">
        <f>HYPERLINK("http://141.218.60.56/~jnz1568/getInfo.php?workbook=10_05.xlsx&amp;sheet=U0&amp;row=7533&amp;col=7&amp;number=0.195&amp;sourceID=14","0.195")</f>
        <v>0.195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HYPERLINK("http://141.218.60.56/~jnz1568/getInfo.php?workbook=10_05.xlsx&amp;sheet=U0&amp;row=7534&amp;col=6&amp;number=4&amp;sourceID=14","4")</f>
        <v>4</v>
      </c>
      <c r="G7534" s="4" t="str">
        <f>HYPERLINK("http://141.218.60.56/~jnz1568/getInfo.php?workbook=10_05.xlsx&amp;sheet=U0&amp;row=7534&amp;col=7&amp;number=0.193&amp;sourceID=14","0.193")</f>
        <v>0.193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HYPERLINK("http://141.218.60.56/~jnz1568/getInfo.php?workbook=10_05.xlsx&amp;sheet=U0&amp;row=7535&amp;col=6&amp;number=4.1&amp;sourceID=14","4.1")</f>
        <v>4.1</v>
      </c>
      <c r="G7535" s="4" t="str">
        <f>HYPERLINK("http://141.218.60.56/~jnz1568/getInfo.php?workbook=10_05.xlsx&amp;sheet=U0&amp;row=7535&amp;col=7&amp;number=0.19&amp;sourceID=14","0.19")</f>
        <v>0.19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HYPERLINK("http://141.218.60.56/~jnz1568/getInfo.php?workbook=10_05.xlsx&amp;sheet=U0&amp;row=7536&amp;col=6&amp;number=4.2&amp;sourceID=14","4.2")</f>
        <v>4.2</v>
      </c>
      <c r="G7536" s="4" t="str">
        <f>HYPERLINK("http://141.218.60.56/~jnz1568/getInfo.php?workbook=10_05.xlsx&amp;sheet=U0&amp;row=7536&amp;col=7&amp;number=0.187&amp;sourceID=14","0.187")</f>
        <v>0.187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HYPERLINK("http://141.218.60.56/~jnz1568/getInfo.php?workbook=10_05.xlsx&amp;sheet=U0&amp;row=7537&amp;col=6&amp;number=4.3&amp;sourceID=14","4.3")</f>
        <v>4.3</v>
      </c>
      <c r="G7537" s="4" t="str">
        <f>HYPERLINK("http://141.218.60.56/~jnz1568/getInfo.php?workbook=10_05.xlsx&amp;sheet=U0&amp;row=7537&amp;col=7&amp;number=0.182&amp;sourceID=14","0.182")</f>
        <v>0.182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HYPERLINK("http://141.218.60.56/~jnz1568/getInfo.php?workbook=10_05.xlsx&amp;sheet=U0&amp;row=7538&amp;col=6&amp;number=4.4&amp;sourceID=14","4.4")</f>
        <v>4.4</v>
      </c>
      <c r="G7538" s="4" t="str">
        <f>HYPERLINK("http://141.218.60.56/~jnz1568/getInfo.php?workbook=10_05.xlsx&amp;sheet=U0&amp;row=7538&amp;col=7&amp;number=0.177&amp;sourceID=14","0.177")</f>
        <v>0.177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HYPERLINK("http://141.218.60.56/~jnz1568/getInfo.php?workbook=10_05.xlsx&amp;sheet=U0&amp;row=7539&amp;col=6&amp;number=4.5&amp;sourceID=14","4.5")</f>
        <v>4.5</v>
      </c>
      <c r="G7539" s="4" t="str">
        <f>HYPERLINK("http://141.218.60.56/~jnz1568/getInfo.php?workbook=10_05.xlsx&amp;sheet=U0&amp;row=7539&amp;col=7&amp;number=0.169&amp;sourceID=14","0.169")</f>
        <v>0.169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HYPERLINK("http://141.218.60.56/~jnz1568/getInfo.php?workbook=10_05.xlsx&amp;sheet=U0&amp;row=7540&amp;col=6&amp;number=4.6&amp;sourceID=14","4.6")</f>
        <v>4.6</v>
      </c>
      <c r="G7540" s="4" t="str">
        <f>HYPERLINK("http://141.218.60.56/~jnz1568/getInfo.php?workbook=10_05.xlsx&amp;sheet=U0&amp;row=7540&amp;col=7&amp;number=0.159&amp;sourceID=14","0.159")</f>
        <v>0.159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HYPERLINK("http://141.218.60.56/~jnz1568/getInfo.php?workbook=10_05.xlsx&amp;sheet=U0&amp;row=7541&amp;col=6&amp;number=4.7&amp;sourceID=14","4.7")</f>
        <v>4.7</v>
      </c>
      <c r="G7541" s="4" t="str">
        <f>HYPERLINK("http://141.218.60.56/~jnz1568/getInfo.php?workbook=10_05.xlsx&amp;sheet=U0&amp;row=7541&amp;col=7&amp;number=0.146&amp;sourceID=14","0.146")</f>
        <v>0.146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HYPERLINK("http://141.218.60.56/~jnz1568/getInfo.php?workbook=10_05.xlsx&amp;sheet=U0&amp;row=7542&amp;col=6&amp;number=4.8&amp;sourceID=14","4.8")</f>
        <v>4.8</v>
      </c>
      <c r="G7542" s="4" t="str">
        <f>HYPERLINK("http://141.218.60.56/~jnz1568/getInfo.php?workbook=10_05.xlsx&amp;sheet=U0&amp;row=7542&amp;col=7&amp;number=0.132&amp;sourceID=14","0.132")</f>
        <v>0.132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HYPERLINK("http://141.218.60.56/~jnz1568/getInfo.php?workbook=10_05.xlsx&amp;sheet=U0&amp;row=7543&amp;col=6&amp;number=4.9&amp;sourceID=14","4.9")</f>
        <v>4.9</v>
      </c>
      <c r="G7543" s="4" t="str">
        <f>HYPERLINK("http://141.218.60.56/~jnz1568/getInfo.php?workbook=10_05.xlsx&amp;sheet=U0&amp;row=7543&amp;col=7&amp;number=0.118&amp;sourceID=14","0.118")</f>
        <v>0.118</v>
      </c>
    </row>
    <row r="7544" spans="1:7">
      <c r="A7544" s="3">
        <v>10</v>
      </c>
      <c r="B7544" s="3">
        <v>5</v>
      </c>
      <c r="C7544" s="3">
        <v>3</v>
      </c>
      <c r="D7544" s="3">
        <v>24</v>
      </c>
      <c r="E7544" s="3">
        <v>1</v>
      </c>
      <c r="F7544" s="4" t="str">
        <f>HYPERLINK("http://141.218.60.56/~jnz1568/getInfo.php?workbook=10_05.xlsx&amp;sheet=U0&amp;row=7544&amp;col=6&amp;number=3&amp;sourceID=14","3")</f>
        <v>3</v>
      </c>
      <c r="G7544" s="4" t="str">
        <f>HYPERLINK("http://141.218.60.56/~jnz1568/getInfo.php?workbook=10_05.xlsx&amp;sheet=U0&amp;row=7544&amp;col=7&amp;number=0.0669&amp;sourceID=14","0.0669")</f>
        <v>0.0669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HYPERLINK("http://141.218.60.56/~jnz1568/getInfo.php?workbook=10_05.xlsx&amp;sheet=U0&amp;row=7545&amp;col=6&amp;number=3.1&amp;sourceID=14","3.1")</f>
        <v>3.1</v>
      </c>
      <c r="G7545" s="4" t="str">
        <f>HYPERLINK("http://141.218.60.56/~jnz1568/getInfo.php?workbook=10_05.xlsx&amp;sheet=U0&amp;row=7545&amp;col=7&amp;number=0.0668&amp;sourceID=14","0.0668")</f>
        <v>0.0668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HYPERLINK("http://141.218.60.56/~jnz1568/getInfo.php?workbook=10_05.xlsx&amp;sheet=U0&amp;row=7546&amp;col=6&amp;number=3.2&amp;sourceID=14","3.2")</f>
        <v>3.2</v>
      </c>
      <c r="G7546" s="4" t="str">
        <f>HYPERLINK("http://141.218.60.56/~jnz1568/getInfo.php?workbook=10_05.xlsx&amp;sheet=U0&amp;row=7546&amp;col=7&amp;number=0.0665&amp;sourceID=14","0.0665")</f>
        <v>0.0665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HYPERLINK("http://141.218.60.56/~jnz1568/getInfo.php?workbook=10_05.xlsx&amp;sheet=U0&amp;row=7547&amp;col=6&amp;number=3.3&amp;sourceID=14","3.3")</f>
        <v>3.3</v>
      </c>
      <c r="G7547" s="4" t="str">
        <f>HYPERLINK("http://141.218.60.56/~jnz1568/getInfo.php?workbook=10_05.xlsx&amp;sheet=U0&amp;row=7547&amp;col=7&amp;number=0.0663&amp;sourceID=14","0.0663")</f>
        <v>0.0663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HYPERLINK("http://141.218.60.56/~jnz1568/getInfo.php?workbook=10_05.xlsx&amp;sheet=U0&amp;row=7548&amp;col=6&amp;number=3.4&amp;sourceID=14","3.4")</f>
        <v>3.4</v>
      </c>
      <c r="G7548" s="4" t="str">
        <f>HYPERLINK("http://141.218.60.56/~jnz1568/getInfo.php?workbook=10_05.xlsx&amp;sheet=U0&amp;row=7548&amp;col=7&amp;number=0.0659&amp;sourceID=14","0.0659")</f>
        <v>0.0659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HYPERLINK("http://141.218.60.56/~jnz1568/getInfo.php?workbook=10_05.xlsx&amp;sheet=U0&amp;row=7549&amp;col=6&amp;number=3.5&amp;sourceID=14","3.5")</f>
        <v>3.5</v>
      </c>
      <c r="G7549" s="4" t="str">
        <f>HYPERLINK("http://141.218.60.56/~jnz1568/getInfo.php?workbook=10_05.xlsx&amp;sheet=U0&amp;row=7549&amp;col=7&amp;number=0.0655&amp;sourceID=14","0.0655")</f>
        <v>0.0655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HYPERLINK("http://141.218.60.56/~jnz1568/getInfo.php?workbook=10_05.xlsx&amp;sheet=U0&amp;row=7550&amp;col=6&amp;number=3.6&amp;sourceID=14","3.6")</f>
        <v>3.6</v>
      </c>
      <c r="G7550" s="4" t="str">
        <f>HYPERLINK("http://141.218.60.56/~jnz1568/getInfo.php?workbook=10_05.xlsx&amp;sheet=U0&amp;row=7550&amp;col=7&amp;number=0.065&amp;sourceID=14","0.065")</f>
        <v>0.065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HYPERLINK("http://141.218.60.56/~jnz1568/getInfo.php?workbook=10_05.xlsx&amp;sheet=U0&amp;row=7551&amp;col=6&amp;number=3.7&amp;sourceID=14","3.7")</f>
        <v>3.7</v>
      </c>
      <c r="G7551" s="4" t="str">
        <f>HYPERLINK("http://141.218.60.56/~jnz1568/getInfo.php?workbook=10_05.xlsx&amp;sheet=U0&amp;row=7551&amp;col=7&amp;number=0.0644&amp;sourceID=14","0.0644")</f>
        <v>0.0644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HYPERLINK("http://141.218.60.56/~jnz1568/getInfo.php?workbook=10_05.xlsx&amp;sheet=U0&amp;row=7552&amp;col=6&amp;number=3.8&amp;sourceID=14","3.8")</f>
        <v>3.8</v>
      </c>
      <c r="G7552" s="4" t="str">
        <f>HYPERLINK("http://141.218.60.56/~jnz1568/getInfo.php?workbook=10_05.xlsx&amp;sheet=U0&amp;row=7552&amp;col=7&amp;number=0.0636&amp;sourceID=14","0.0636")</f>
        <v>0.0636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HYPERLINK("http://141.218.60.56/~jnz1568/getInfo.php?workbook=10_05.xlsx&amp;sheet=U0&amp;row=7553&amp;col=6&amp;number=3.9&amp;sourceID=14","3.9")</f>
        <v>3.9</v>
      </c>
      <c r="G7553" s="4" t="str">
        <f>HYPERLINK("http://141.218.60.56/~jnz1568/getInfo.php?workbook=10_05.xlsx&amp;sheet=U0&amp;row=7553&amp;col=7&amp;number=0.0627&amp;sourceID=14","0.0627")</f>
        <v>0.0627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HYPERLINK("http://141.218.60.56/~jnz1568/getInfo.php?workbook=10_05.xlsx&amp;sheet=U0&amp;row=7554&amp;col=6&amp;number=4&amp;sourceID=14","4")</f>
        <v>4</v>
      </c>
      <c r="G7554" s="4" t="str">
        <f>HYPERLINK("http://141.218.60.56/~jnz1568/getInfo.php?workbook=10_05.xlsx&amp;sheet=U0&amp;row=7554&amp;col=7&amp;number=0.0615&amp;sourceID=14","0.0615")</f>
        <v>0.0615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HYPERLINK("http://141.218.60.56/~jnz1568/getInfo.php?workbook=10_05.xlsx&amp;sheet=U0&amp;row=7555&amp;col=6&amp;number=4.1&amp;sourceID=14","4.1")</f>
        <v>4.1</v>
      </c>
      <c r="G7555" s="4" t="str">
        <f>HYPERLINK("http://141.218.60.56/~jnz1568/getInfo.php?workbook=10_05.xlsx&amp;sheet=U0&amp;row=7555&amp;col=7&amp;number=0.0602&amp;sourceID=14","0.0602")</f>
        <v>0.0602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HYPERLINK("http://141.218.60.56/~jnz1568/getInfo.php?workbook=10_05.xlsx&amp;sheet=U0&amp;row=7556&amp;col=6&amp;number=4.2&amp;sourceID=14","4.2")</f>
        <v>4.2</v>
      </c>
      <c r="G7556" s="4" t="str">
        <f>HYPERLINK("http://141.218.60.56/~jnz1568/getInfo.php?workbook=10_05.xlsx&amp;sheet=U0&amp;row=7556&amp;col=7&amp;number=0.0586&amp;sourceID=14","0.0586")</f>
        <v>0.0586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HYPERLINK("http://141.218.60.56/~jnz1568/getInfo.php?workbook=10_05.xlsx&amp;sheet=U0&amp;row=7557&amp;col=6&amp;number=4.3&amp;sourceID=14","4.3")</f>
        <v>4.3</v>
      </c>
      <c r="G7557" s="4" t="str">
        <f>HYPERLINK("http://141.218.60.56/~jnz1568/getInfo.php?workbook=10_05.xlsx&amp;sheet=U0&amp;row=7557&amp;col=7&amp;number=0.0567&amp;sourceID=14","0.0567")</f>
        <v>0.0567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HYPERLINK("http://141.218.60.56/~jnz1568/getInfo.php?workbook=10_05.xlsx&amp;sheet=U0&amp;row=7558&amp;col=6&amp;number=4.4&amp;sourceID=14","4.4")</f>
        <v>4.4</v>
      </c>
      <c r="G7558" s="4" t="str">
        <f>HYPERLINK("http://141.218.60.56/~jnz1568/getInfo.php?workbook=10_05.xlsx&amp;sheet=U0&amp;row=7558&amp;col=7&amp;number=0.0546&amp;sourceID=14","0.0546")</f>
        <v>0.0546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HYPERLINK("http://141.218.60.56/~jnz1568/getInfo.php?workbook=10_05.xlsx&amp;sheet=U0&amp;row=7559&amp;col=6&amp;number=4.5&amp;sourceID=14","4.5")</f>
        <v>4.5</v>
      </c>
      <c r="G7559" s="4" t="str">
        <f>HYPERLINK("http://141.218.60.56/~jnz1568/getInfo.php?workbook=10_05.xlsx&amp;sheet=U0&amp;row=7559&amp;col=7&amp;number=0.0521&amp;sourceID=14","0.0521")</f>
        <v>0.0521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HYPERLINK("http://141.218.60.56/~jnz1568/getInfo.php?workbook=10_05.xlsx&amp;sheet=U0&amp;row=7560&amp;col=6&amp;number=4.6&amp;sourceID=14","4.6")</f>
        <v>4.6</v>
      </c>
      <c r="G7560" s="4" t="str">
        <f>HYPERLINK("http://141.218.60.56/~jnz1568/getInfo.php?workbook=10_05.xlsx&amp;sheet=U0&amp;row=7560&amp;col=7&amp;number=0.0491&amp;sourceID=14","0.0491")</f>
        <v>0.0491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HYPERLINK("http://141.218.60.56/~jnz1568/getInfo.php?workbook=10_05.xlsx&amp;sheet=U0&amp;row=7561&amp;col=6&amp;number=4.7&amp;sourceID=14","4.7")</f>
        <v>4.7</v>
      </c>
      <c r="G7561" s="4" t="str">
        <f>HYPERLINK("http://141.218.60.56/~jnz1568/getInfo.php?workbook=10_05.xlsx&amp;sheet=U0&amp;row=7561&amp;col=7&amp;number=0.0454&amp;sourceID=14","0.0454")</f>
        <v>0.0454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HYPERLINK("http://141.218.60.56/~jnz1568/getInfo.php?workbook=10_05.xlsx&amp;sheet=U0&amp;row=7562&amp;col=6&amp;number=4.8&amp;sourceID=14","4.8")</f>
        <v>4.8</v>
      </c>
      <c r="G7562" s="4" t="str">
        <f>HYPERLINK("http://141.218.60.56/~jnz1568/getInfo.php?workbook=10_05.xlsx&amp;sheet=U0&amp;row=7562&amp;col=7&amp;number=0.0414&amp;sourceID=14","0.0414")</f>
        <v>0.0414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HYPERLINK("http://141.218.60.56/~jnz1568/getInfo.php?workbook=10_05.xlsx&amp;sheet=U0&amp;row=7563&amp;col=6&amp;number=4.9&amp;sourceID=14","4.9")</f>
        <v>4.9</v>
      </c>
      <c r="G7563" s="4" t="str">
        <f>HYPERLINK("http://141.218.60.56/~jnz1568/getInfo.php?workbook=10_05.xlsx&amp;sheet=U0&amp;row=7563&amp;col=7&amp;number=0.0375&amp;sourceID=14","0.0375")</f>
        <v>0.0375</v>
      </c>
    </row>
    <row r="7564" spans="1:7">
      <c r="A7564" s="3">
        <v>10</v>
      </c>
      <c r="B7564" s="3">
        <v>5</v>
      </c>
      <c r="C7564" s="3">
        <v>3</v>
      </c>
      <c r="D7564" s="3">
        <v>25</v>
      </c>
      <c r="E7564" s="3">
        <v>1</v>
      </c>
      <c r="F7564" s="4" t="str">
        <f>HYPERLINK("http://141.218.60.56/~jnz1568/getInfo.php?workbook=10_05.xlsx&amp;sheet=U0&amp;row=7564&amp;col=6&amp;number=3&amp;sourceID=14","3")</f>
        <v>3</v>
      </c>
      <c r="G7564" s="4" t="str">
        <f>HYPERLINK("http://141.218.60.56/~jnz1568/getInfo.php?workbook=10_05.xlsx&amp;sheet=U0&amp;row=7564&amp;col=7&amp;number=0.0392&amp;sourceID=14","0.0392")</f>
        <v>0.0392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HYPERLINK("http://141.218.60.56/~jnz1568/getInfo.php?workbook=10_05.xlsx&amp;sheet=U0&amp;row=7565&amp;col=6&amp;number=3.1&amp;sourceID=14","3.1")</f>
        <v>3.1</v>
      </c>
      <c r="G7565" s="4" t="str">
        <f>HYPERLINK("http://141.218.60.56/~jnz1568/getInfo.php?workbook=10_05.xlsx&amp;sheet=U0&amp;row=7565&amp;col=7&amp;number=0.0402&amp;sourceID=14","0.0402")</f>
        <v>0.0402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HYPERLINK("http://141.218.60.56/~jnz1568/getInfo.php?workbook=10_05.xlsx&amp;sheet=U0&amp;row=7566&amp;col=6&amp;number=3.2&amp;sourceID=14","3.2")</f>
        <v>3.2</v>
      </c>
      <c r="G7566" s="4" t="str">
        <f>HYPERLINK("http://141.218.60.56/~jnz1568/getInfo.php?workbook=10_05.xlsx&amp;sheet=U0&amp;row=7566&amp;col=7&amp;number=0.0415&amp;sourceID=14","0.0415")</f>
        <v>0.0415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HYPERLINK("http://141.218.60.56/~jnz1568/getInfo.php?workbook=10_05.xlsx&amp;sheet=U0&amp;row=7567&amp;col=6&amp;number=3.3&amp;sourceID=14","3.3")</f>
        <v>3.3</v>
      </c>
      <c r="G7567" s="4" t="str">
        <f>HYPERLINK("http://141.218.60.56/~jnz1568/getInfo.php?workbook=10_05.xlsx&amp;sheet=U0&amp;row=7567&amp;col=7&amp;number=0.043&amp;sourceID=14","0.043")</f>
        <v>0.043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HYPERLINK("http://141.218.60.56/~jnz1568/getInfo.php?workbook=10_05.xlsx&amp;sheet=U0&amp;row=7568&amp;col=6&amp;number=3.4&amp;sourceID=14","3.4")</f>
        <v>3.4</v>
      </c>
      <c r="G7568" s="4" t="str">
        <f>HYPERLINK("http://141.218.60.56/~jnz1568/getInfo.php?workbook=10_05.xlsx&amp;sheet=U0&amp;row=7568&amp;col=7&amp;number=0.0449&amp;sourceID=14","0.0449")</f>
        <v>0.0449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HYPERLINK("http://141.218.60.56/~jnz1568/getInfo.php?workbook=10_05.xlsx&amp;sheet=U0&amp;row=7569&amp;col=6&amp;number=3.5&amp;sourceID=14","3.5")</f>
        <v>3.5</v>
      </c>
      <c r="G7569" s="4" t="str">
        <f>HYPERLINK("http://141.218.60.56/~jnz1568/getInfo.php?workbook=10_05.xlsx&amp;sheet=U0&amp;row=7569&amp;col=7&amp;number=0.0473&amp;sourceID=14","0.0473")</f>
        <v>0.0473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HYPERLINK("http://141.218.60.56/~jnz1568/getInfo.php?workbook=10_05.xlsx&amp;sheet=U0&amp;row=7570&amp;col=6&amp;number=3.6&amp;sourceID=14","3.6")</f>
        <v>3.6</v>
      </c>
      <c r="G7570" s="4" t="str">
        <f>HYPERLINK("http://141.218.60.56/~jnz1568/getInfo.php?workbook=10_05.xlsx&amp;sheet=U0&amp;row=7570&amp;col=7&amp;number=0.0501&amp;sourceID=14","0.0501")</f>
        <v>0.0501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HYPERLINK("http://141.218.60.56/~jnz1568/getInfo.php?workbook=10_05.xlsx&amp;sheet=U0&amp;row=7571&amp;col=6&amp;number=3.7&amp;sourceID=14","3.7")</f>
        <v>3.7</v>
      </c>
      <c r="G7571" s="4" t="str">
        <f>HYPERLINK("http://141.218.60.56/~jnz1568/getInfo.php?workbook=10_05.xlsx&amp;sheet=U0&amp;row=7571&amp;col=7&amp;number=0.0534&amp;sourceID=14","0.0534")</f>
        <v>0.0534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HYPERLINK("http://141.218.60.56/~jnz1568/getInfo.php?workbook=10_05.xlsx&amp;sheet=U0&amp;row=7572&amp;col=6&amp;number=3.8&amp;sourceID=14","3.8")</f>
        <v>3.8</v>
      </c>
      <c r="G7572" s="4" t="str">
        <f>HYPERLINK("http://141.218.60.56/~jnz1568/getInfo.php?workbook=10_05.xlsx&amp;sheet=U0&amp;row=7572&amp;col=7&amp;number=0.0572&amp;sourceID=14","0.0572")</f>
        <v>0.0572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HYPERLINK("http://141.218.60.56/~jnz1568/getInfo.php?workbook=10_05.xlsx&amp;sheet=U0&amp;row=7573&amp;col=6&amp;number=3.9&amp;sourceID=14","3.9")</f>
        <v>3.9</v>
      </c>
      <c r="G7573" s="4" t="str">
        <f>HYPERLINK("http://141.218.60.56/~jnz1568/getInfo.php?workbook=10_05.xlsx&amp;sheet=U0&amp;row=7573&amp;col=7&amp;number=0.0613&amp;sourceID=14","0.0613")</f>
        <v>0.0613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HYPERLINK("http://141.218.60.56/~jnz1568/getInfo.php?workbook=10_05.xlsx&amp;sheet=U0&amp;row=7574&amp;col=6&amp;number=4&amp;sourceID=14","4")</f>
        <v>4</v>
      </c>
      <c r="G7574" s="4" t="str">
        <f>HYPERLINK("http://141.218.60.56/~jnz1568/getInfo.php?workbook=10_05.xlsx&amp;sheet=U0&amp;row=7574&amp;col=7&amp;number=0.0654&amp;sourceID=14","0.0654")</f>
        <v>0.0654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HYPERLINK("http://141.218.60.56/~jnz1568/getInfo.php?workbook=10_05.xlsx&amp;sheet=U0&amp;row=7575&amp;col=6&amp;number=4.1&amp;sourceID=14","4.1")</f>
        <v>4.1</v>
      </c>
      <c r="G7575" s="4" t="str">
        <f>HYPERLINK("http://141.218.60.56/~jnz1568/getInfo.php?workbook=10_05.xlsx&amp;sheet=U0&amp;row=7575&amp;col=7&amp;number=0.0687&amp;sourceID=14","0.0687")</f>
        <v>0.0687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HYPERLINK("http://141.218.60.56/~jnz1568/getInfo.php?workbook=10_05.xlsx&amp;sheet=U0&amp;row=7576&amp;col=6&amp;number=4.2&amp;sourceID=14","4.2")</f>
        <v>4.2</v>
      </c>
      <c r="G7576" s="4" t="str">
        <f>HYPERLINK("http://141.218.60.56/~jnz1568/getInfo.php?workbook=10_05.xlsx&amp;sheet=U0&amp;row=7576&amp;col=7&amp;number=0.0706&amp;sourceID=14","0.0706")</f>
        <v>0.0706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HYPERLINK("http://141.218.60.56/~jnz1568/getInfo.php?workbook=10_05.xlsx&amp;sheet=U0&amp;row=7577&amp;col=6&amp;number=4.3&amp;sourceID=14","4.3")</f>
        <v>4.3</v>
      </c>
      <c r="G7577" s="4" t="str">
        <f>HYPERLINK("http://141.218.60.56/~jnz1568/getInfo.php?workbook=10_05.xlsx&amp;sheet=U0&amp;row=7577&amp;col=7&amp;number=0.0706&amp;sourceID=14","0.0706")</f>
        <v>0.0706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HYPERLINK("http://141.218.60.56/~jnz1568/getInfo.php?workbook=10_05.xlsx&amp;sheet=U0&amp;row=7578&amp;col=6&amp;number=4.4&amp;sourceID=14","4.4")</f>
        <v>4.4</v>
      </c>
      <c r="G7578" s="4" t="str">
        <f>HYPERLINK("http://141.218.60.56/~jnz1568/getInfo.php?workbook=10_05.xlsx&amp;sheet=U0&amp;row=7578&amp;col=7&amp;number=0.0689&amp;sourceID=14","0.0689")</f>
        <v>0.0689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HYPERLINK("http://141.218.60.56/~jnz1568/getInfo.php?workbook=10_05.xlsx&amp;sheet=U0&amp;row=7579&amp;col=6&amp;number=4.5&amp;sourceID=14","4.5")</f>
        <v>4.5</v>
      </c>
      <c r="G7579" s="4" t="str">
        <f>HYPERLINK("http://141.218.60.56/~jnz1568/getInfo.php?workbook=10_05.xlsx&amp;sheet=U0&amp;row=7579&amp;col=7&amp;number=0.0659&amp;sourceID=14","0.0659")</f>
        <v>0.0659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HYPERLINK("http://141.218.60.56/~jnz1568/getInfo.php?workbook=10_05.xlsx&amp;sheet=U0&amp;row=7580&amp;col=6&amp;number=4.6&amp;sourceID=14","4.6")</f>
        <v>4.6</v>
      </c>
      <c r="G7580" s="4" t="str">
        <f>HYPERLINK("http://141.218.60.56/~jnz1568/getInfo.php?workbook=10_05.xlsx&amp;sheet=U0&amp;row=7580&amp;col=7&amp;number=0.062&amp;sourceID=14","0.062")</f>
        <v>0.062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HYPERLINK("http://141.218.60.56/~jnz1568/getInfo.php?workbook=10_05.xlsx&amp;sheet=U0&amp;row=7581&amp;col=6&amp;number=4.7&amp;sourceID=14","4.7")</f>
        <v>4.7</v>
      </c>
      <c r="G7581" s="4" t="str">
        <f>HYPERLINK("http://141.218.60.56/~jnz1568/getInfo.php?workbook=10_05.xlsx&amp;sheet=U0&amp;row=7581&amp;col=7&amp;number=0.0572&amp;sourceID=14","0.0572")</f>
        <v>0.0572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HYPERLINK("http://141.218.60.56/~jnz1568/getInfo.php?workbook=10_05.xlsx&amp;sheet=U0&amp;row=7582&amp;col=6&amp;number=4.8&amp;sourceID=14","4.8")</f>
        <v>4.8</v>
      </c>
      <c r="G7582" s="4" t="str">
        <f>HYPERLINK("http://141.218.60.56/~jnz1568/getInfo.php?workbook=10_05.xlsx&amp;sheet=U0&amp;row=7582&amp;col=7&amp;number=0.0521&amp;sourceID=14","0.0521")</f>
        <v>0.0521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HYPERLINK("http://141.218.60.56/~jnz1568/getInfo.php?workbook=10_05.xlsx&amp;sheet=U0&amp;row=7583&amp;col=6&amp;number=4.9&amp;sourceID=14","4.9")</f>
        <v>4.9</v>
      </c>
      <c r="G7583" s="4" t="str">
        <f>HYPERLINK("http://141.218.60.56/~jnz1568/getInfo.php?workbook=10_05.xlsx&amp;sheet=U0&amp;row=7583&amp;col=7&amp;number=0.0468&amp;sourceID=14","0.0468")</f>
        <v>0.0468</v>
      </c>
    </row>
    <row r="7584" spans="1:7">
      <c r="A7584" s="3">
        <v>10</v>
      </c>
      <c r="B7584" s="3">
        <v>5</v>
      </c>
      <c r="C7584" s="3">
        <v>3</v>
      </c>
      <c r="D7584" s="3">
        <v>26</v>
      </c>
      <c r="E7584" s="3">
        <v>1</v>
      </c>
      <c r="F7584" s="4" t="str">
        <f>HYPERLINK("http://141.218.60.56/~jnz1568/getInfo.php?workbook=10_05.xlsx&amp;sheet=U0&amp;row=7584&amp;col=6&amp;number=3&amp;sourceID=14","3")</f>
        <v>3</v>
      </c>
      <c r="G7584" s="4" t="str">
        <f>HYPERLINK("http://141.218.60.56/~jnz1568/getInfo.php?workbook=10_05.xlsx&amp;sheet=U0&amp;row=7584&amp;col=7&amp;number=0.0309&amp;sourceID=14","0.0309")</f>
        <v>0.0309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HYPERLINK("http://141.218.60.56/~jnz1568/getInfo.php?workbook=10_05.xlsx&amp;sheet=U0&amp;row=7585&amp;col=6&amp;number=3.1&amp;sourceID=14","3.1")</f>
        <v>3.1</v>
      </c>
      <c r="G7585" s="4" t="str">
        <f>HYPERLINK("http://141.218.60.56/~jnz1568/getInfo.php?workbook=10_05.xlsx&amp;sheet=U0&amp;row=7585&amp;col=7&amp;number=0.0315&amp;sourceID=14","0.0315")</f>
        <v>0.0315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HYPERLINK("http://141.218.60.56/~jnz1568/getInfo.php?workbook=10_05.xlsx&amp;sheet=U0&amp;row=7586&amp;col=6&amp;number=3.2&amp;sourceID=14","3.2")</f>
        <v>3.2</v>
      </c>
      <c r="G7586" s="4" t="str">
        <f>HYPERLINK("http://141.218.60.56/~jnz1568/getInfo.php?workbook=10_05.xlsx&amp;sheet=U0&amp;row=7586&amp;col=7&amp;number=0.0323&amp;sourceID=14","0.0323")</f>
        <v>0.0323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HYPERLINK("http://141.218.60.56/~jnz1568/getInfo.php?workbook=10_05.xlsx&amp;sheet=U0&amp;row=7587&amp;col=6&amp;number=3.3&amp;sourceID=14","3.3")</f>
        <v>3.3</v>
      </c>
      <c r="G7587" s="4" t="str">
        <f>HYPERLINK("http://141.218.60.56/~jnz1568/getInfo.php?workbook=10_05.xlsx&amp;sheet=U0&amp;row=7587&amp;col=7&amp;number=0.0332&amp;sourceID=14","0.0332")</f>
        <v>0.0332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HYPERLINK("http://141.218.60.56/~jnz1568/getInfo.php?workbook=10_05.xlsx&amp;sheet=U0&amp;row=7588&amp;col=6&amp;number=3.4&amp;sourceID=14","3.4")</f>
        <v>3.4</v>
      </c>
      <c r="G7588" s="4" t="str">
        <f>HYPERLINK("http://141.218.60.56/~jnz1568/getInfo.php?workbook=10_05.xlsx&amp;sheet=U0&amp;row=7588&amp;col=7&amp;number=0.0344&amp;sourceID=14","0.0344")</f>
        <v>0.0344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HYPERLINK("http://141.218.60.56/~jnz1568/getInfo.php?workbook=10_05.xlsx&amp;sheet=U0&amp;row=7589&amp;col=6&amp;number=3.5&amp;sourceID=14","3.5")</f>
        <v>3.5</v>
      </c>
      <c r="G7589" s="4" t="str">
        <f>HYPERLINK("http://141.218.60.56/~jnz1568/getInfo.php?workbook=10_05.xlsx&amp;sheet=U0&amp;row=7589&amp;col=7&amp;number=0.0358&amp;sourceID=14","0.0358")</f>
        <v>0.0358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HYPERLINK("http://141.218.60.56/~jnz1568/getInfo.php?workbook=10_05.xlsx&amp;sheet=U0&amp;row=7590&amp;col=6&amp;number=3.6&amp;sourceID=14","3.6")</f>
        <v>3.6</v>
      </c>
      <c r="G7590" s="4" t="str">
        <f>HYPERLINK("http://141.218.60.56/~jnz1568/getInfo.php?workbook=10_05.xlsx&amp;sheet=U0&amp;row=7590&amp;col=7&amp;number=0.0374&amp;sourceID=14","0.0374")</f>
        <v>0.0374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HYPERLINK("http://141.218.60.56/~jnz1568/getInfo.php?workbook=10_05.xlsx&amp;sheet=U0&amp;row=7591&amp;col=6&amp;number=3.7&amp;sourceID=14","3.7")</f>
        <v>3.7</v>
      </c>
      <c r="G7591" s="4" t="str">
        <f>HYPERLINK("http://141.218.60.56/~jnz1568/getInfo.php?workbook=10_05.xlsx&amp;sheet=U0&amp;row=7591&amp;col=7&amp;number=0.0393&amp;sourceID=14","0.0393")</f>
        <v>0.0393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HYPERLINK("http://141.218.60.56/~jnz1568/getInfo.php?workbook=10_05.xlsx&amp;sheet=U0&amp;row=7592&amp;col=6&amp;number=3.8&amp;sourceID=14","3.8")</f>
        <v>3.8</v>
      </c>
      <c r="G7592" s="4" t="str">
        <f>HYPERLINK("http://141.218.60.56/~jnz1568/getInfo.php?workbook=10_05.xlsx&amp;sheet=U0&amp;row=7592&amp;col=7&amp;number=0.0413&amp;sourceID=14","0.0413")</f>
        <v>0.0413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HYPERLINK("http://141.218.60.56/~jnz1568/getInfo.php?workbook=10_05.xlsx&amp;sheet=U0&amp;row=7593&amp;col=6&amp;number=3.9&amp;sourceID=14","3.9")</f>
        <v>3.9</v>
      </c>
      <c r="G7593" s="4" t="str">
        <f>HYPERLINK("http://141.218.60.56/~jnz1568/getInfo.php?workbook=10_05.xlsx&amp;sheet=U0&amp;row=7593&amp;col=7&amp;number=0.0434&amp;sourceID=14","0.0434")</f>
        <v>0.0434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HYPERLINK("http://141.218.60.56/~jnz1568/getInfo.php?workbook=10_05.xlsx&amp;sheet=U0&amp;row=7594&amp;col=6&amp;number=4&amp;sourceID=14","4")</f>
        <v>4</v>
      </c>
      <c r="G7594" s="4" t="str">
        <f>HYPERLINK("http://141.218.60.56/~jnz1568/getInfo.php?workbook=10_05.xlsx&amp;sheet=U0&amp;row=7594&amp;col=7&amp;number=0.0451&amp;sourceID=14","0.0451")</f>
        <v>0.0451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HYPERLINK("http://141.218.60.56/~jnz1568/getInfo.php?workbook=10_05.xlsx&amp;sheet=U0&amp;row=7595&amp;col=6&amp;number=4.1&amp;sourceID=14","4.1")</f>
        <v>4.1</v>
      </c>
      <c r="G7595" s="4" t="str">
        <f>HYPERLINK("http://141.218.60.56/~jnz1568/getInfo.php?workbook=10_05.xlsx&amp;sheet=U0&amp;row=7595&amp;col=7&amp;number=0.0459&amp;sourceID=14","0.0459")</f>
        <v>0.0459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HYPERLINK("http://141.218.60.56/~jnz1568/getInfo.php?workbook=10_05.xlsx&amp;sheet=U0&amp;row=7596&amp;col=6&amp;number=4.2&amp;sourceID=14","4.2")</f>
        <v>4.2</v>
      </c>
      <c r="G7596" s="4" t="str">
        <f>HYPERLINK("http://141.218.60.56/~jnz1568/getInfo.php?workbook=10_05.xlsx&amp;sheet=U0&amp;row=7596&amp;col=7&amp;number=0.0457&amp;sourceID=14","0.0457")</f>
        <v>0.0457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HYPERLINK("http://141.218.60.56/~jnz1568/getInfo.php?workbook=10_05.xlsx&amp;sheet=U0&amp;row=7597&amp;col=6&amp;number=4.3&amp;sourceID=14","4.3")</f>
        <v>4.3</v>
      </c>
      <c r="G7597" s="4" t="str">
        <f>HYPERLINK("http://141.218.60.56/~jnz1568/getInfo.php?workbook=10_05.xlsx&amp;sheet=U0&amp;row=7597&amp;col=7&amp;number=0.0446&amp;sourceID=14","0.0446")</f>
        <v>0.0446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HYPERLINK("http://141.218.60.56/~jnz1568/getInfo.php?workbook=10_05.xlsx&amp;sheet=U0&amp;row=7598&amp;col=6&amp;number=4.4&amp;sourceID=14","4.4")</f>
        <v>4.4</v>
      </c>
      <c r="G7598" s="4" t="str">
        <f>HYPERLINK("http://141.218.60.56/~jnz1568/getInfo.php?workbook=10_05.xlsx&amp;sheet=U0&amp;row=7598&amp;col=7&amp;number=0.0432&amp;sourceID=14","0.0432")</f>
        <v>0.0432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HYPERLINK("http://141.218.60.56/~jnz1568/getInfo.php?workbook=10_05.xlsx&amp;sheet=U0&amp;row=7599&amp;col=6&amp;number=4.5&amp;sourceID=14","4.5")</f>
        <v>4.5</v>
      </c>
      <c r="G7599" s="4" t="str">
        <f>HYPERLINK("http://141.218.60.56/~jnz1568/getInfo.php?workbook=10_05.xlsx&amp;sheet=U0&amp;row=7599&amp;col=7&amp;number=0.042&amp;sourceID=14","0.042")</f>
        <v>0.042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HYPERLINK("http://141.218.60.56/~jnz1568/getInfo.php?workbook=10_05.xlsx&amp;sheet=U0&amp;row=7600&amp;col=6&amp;number=4.6&amp;sourceID=14","4.6")</f>
        <v>4.6</v>
      </c>
      <c r="G7600" s="4" t="str">
        <f>HYPERLINK("http://141.218.60.56/~jnz1568/getInfo.php?workbook=10_05.xlsx&amp;sheet=U0&amp;row=7600&amp;col=7&amp;number=0.0404&amp;sourceID=14","0.0404")</f>
        <v>0.0404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HYPERLINK("http://141.218.60.56/~jnz1568/getInfo.php?workbook=10_05.xlsx&amp;sheet=U0&amp;row=7601&amp;col=6&amp;number=4.7&amp;sourceID=14","4.7")</f>
        <v>4.7</v>
      </c>
      <c r="G7601" s="4" t="str">
        <f>HYPERLINK("http://141.218.60.56/~jnz1568/getInfo.php?workbook=10_05.xlsx&amp;sheet=U0&amp;row=7601&amp;col=7&amp;number=0.0381&amp;sourceID=14","0.0381")</f>
        <v>0.0381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HYPERLINK("http://141.218.60.56/~jnz1568/getInfo.php?workbook=10_05.xlsx&amp;sheet=U0&amp;row=7602&amp;col=6&amp;number=4.8&amp;sourceID=14","4.8")</f>
        <v>4.8</v>
      </c>
      <c r="G7602" s="4" t="str">
        <f>HYPERLINK("http://141.218.60.56/~jnz1568/getInfo.php?workbook=10_05.xlsx&amp;sheet=U0&amp;row=7602&amp;col=7&amp;number=0.0354&amp;sourceID=14","0.0354")</f>
        <v>0.0354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HYPERLINK("http://141.218.60.56/~jnz1568/getInfo.php?workbook=10_05.xlsx&amp;sheet=U0&amp;row=7603&amp;col=6&amp;number=4.9&amp;sourceID=14","4.9")</f>
        <v>4.9</v>
      </c>
      <c r="G7603" s="4" t="str">
        <f>HYPERLINK("http://141.218.60.56/~jnz1568/getInfo.php?workbook=10_05.xlsx&amp;sheet=U0&amp;row=7603&amp;col=7&amp;number=0.033&amp;sourceID=14","0.033")</f>
        <v>0.033</v>
      </c>
    </row>
    <row r="7604" spans="1:7">
      <c r="A7604" s="3">
        <v>10</v>
      </c>
      <c r="B7604" s="3">
        <v>5</v>
      </c>
      <c r="C7604" s="3">
        <v>3</v>
      </c>
      <c r="D7604" s="3">
        <v>27</v>
      </c>
      <c r="E7604" s="3">
        <v>1</v>
      </c>
      <c r="F7604" s="4" t="str">
        <f>HYPERLINK("http://141.218.60.56/~jnz1568/getInfo.php?workbook=10_05.xlsx&amp;sheet=U0&amp;row=7604&amp;col=6&amp;number=3&amp;sourceID=14","3")</f>
        <v>3</v>
      </c>
      <c r="G7604" s="4" t="str">
        <f>HYPERLINK("http://141.218.60.56/~jnz1568/getInfo.php?workbook=10_05.xlsx&amp;sheet=U0&amp;row=7604&amp;col=7&amp;number=0.0282&amp;sourceID=14","0.0282")</f>
        <v>0.0282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HYPERLINK("http://141.218.60.56/~jnz1568/getInfo.php?workbook=10_05.xlsx&amp;sheet=U0&amp;row=7605&amp;col=6&amp;number=3.1&amp;sourceID=14","3.1")</f>
        <v>3.1</v>
      </c>
      <c r="G7605" s="4" t="str">
        <f>HYPERLINK("http://141.218.60.56/~jnz1568/getInfo.php?workbook=10_05.xlsx&amp;sheet=U0&amp;row=7605&amp;col=7&amp;number=0.029&amp;sourceID=14","0.029")</f>
        <v>0.029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HYPERLINK("http://141.218.60.56/~jnz1568/getInfo.php?workbook=10_05.xlsx&amp;sheet=U0&amp;row=7606&amp;col=6&amp;number=3.2&amp;sourceID=14","3.2")</f>
        <v>3.2</v>
      </c>
      <c r="G7606" s="4" t="str">
        <f>HYPERLINK("http://141.218.60.56/~jnz1568/getInfo.php?workbook=10_05.xlsx&amp;sheet=U0&amp;row=7606&amp;col=7&amp;number=0.03&amp;sourceID=14","0.03")</f>
        <v>0.03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HYPERLINK("http://141.218.60.56/~jnz1568/getInfo.php?workbook=10_05.xlsx&amp;sheet=U0&amp;row=7607&amp;col=6&amp;number=3.3&amp;sourceID=14","3.3")</f>
        <v>3.3</v>
      </c>
      <c r="G7607" s="4" t="str">
        <f>HYPERLINK("http://141.218.60.56/~jnz1568/getInfo.php?workbook=10_05.xlsx&amp;sheet=U0&amp;row=7607&amp;col=7&amp;number=0.0312&amp;sourceID=14","0.0312")</f>
        <v>0.0312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HYPERLINK("http://141.218.60.56/~jnz1568/getInfo.php?workbook=10_05.xlsx&amp;sheet=U0&amp;row=7608&amp;col=6&amp;number=3.4&amp;sourceID=14","3.4")</f>
        <v>3.4</v>
      </c>
      <c r="G7608" s="4" t="str">
        <f>HYPERLINK("http://141.218.60.56/~jnz1568/getInfo.php?workbook=10_05.xlsx&amp;sheet=U0&amp;row=7608&amp;col=7&amp;number=0.0327&amp;sourceID=14","0.0327")</f>
        <v>0.0327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HYPERLINK("http://141.218.60.56/~jnz1568/getInfo.php?workbook=10_05.xlsx&amp;sheet=U0&amp;row=7609&amp;col=6&amp;number=3.5&amp;sourceID=14","3.5")</f>
        <v>3.5</v>
      </c>
      <c r="G7609" s="4" t="str">
        <f>HYPERLINK("http://141.218.60.56/~jnz1568/getInfo.php?workbook=10_05.xlsx&amp;sheet=U0&amp;row=7609&amp;col=7&amp;number=0.0345&amp;sourceID=14","0.0345")</f>
        <v>0.0345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HYPERLINK("http://141.218.60.56/~jnz1568/getInfo.php?workbook=10_05.xlsx&amp;sheet=U0&amp;row=7610&amp;col=6&amp;number=3.6&amp;sourceID=14","3.6")</f>
        <v>3.6</v>
      </c>
      <c r="G7610" s="4" t="str">
        <f>HYPERLINK("http://141.218.60.56/~jnz1568/getInfo.php?workbook=10_05.xlsx&amp;sheet=U0&amp;row=7610&amp;col=7&amp;number=0.0367&amp;sourceID=14","0.0367")</f>
        <v>0.0367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HYPERLINK("http://141.218.60.56/~jnz1568/getInfo.php?workbook=10_05.xlsx&amp;sheet=U0&amp;row=7611&amp;col=6&amp;number=3.7&amp;sourceID=14","3.7")</f>
        <v>3.7</v>
      </c>
      <c r="G7611" s="4" t="str">
        <f>HYPERLINK("http://141.218.60.56/~jnz1568/getInfo.php?workbook=10_05.xlsx&amp;sheet=U0&amp;row=7611&amp;col=7&amp;number=0.0392&amp;sourceID=14","0.0392")</f>
        <v>0.0392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HYPERLINK("http://141.218.60.56/~jnz1568/getInfo.php?workbook=10_05.xlsx&amp;sheet=U0&amp;row=7612&amp;col=6&amp;number=3.8&amp;sourceID=14","3.8")</f>
        <v>3.8</v>
      </c>
      <c r="G7612" s="4" t="str">
        <f>HYPERLINK("http://141.218.60.56/~jnz1568/getInfo.php?workbook=10_05.xlsx&amp;sheet=U0&amp;row=7612&amp;col=7&amp;number=0.0419&amp;sourceID=14","0.0419")</f>
        <v>0.0419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HYPERLINK("http://141.218.60.56/~jnz1568/getInfo.php?workbook=10_05.xlsx&amp;sheet=U0&amp;row=7613&amp;col=6&amp;number=3.9&amp;sourceID=14","3.9")</f>
        <v>3.9</v>
      </c>
      <c r="G7613" s="4" t="str">
        <f>HYPERLINK("http://141.218.60.56/~jnz1568/getInfo.php?workbook=10_05.xlsx&amp;sheet=U0&amp;row=7613&amp;col=7&amp;number=0.0447&amp;sourceID=14","0.0447")</f>
        <v>0.0447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HYPERLINK("http://141.218.60.56/~jnz1568/getInfo.php?workbook=10_05.xlsx&amp;sheet=U0&amp;row=7614&amp;col=6&amp;number=4&amp;sourceID=14","4")</f>
        <v>4</v>
      </c>
      <c r="G7614" s="4" t="str">
        <f>HYPERLINK("http://141.218.60.56/~jnz1568/getInfo.php?workbook=10_05.xlsx&amp;sheet=U0&amp;row=7614&amp;col=7&amp;number=0.0471&amp;sourceID=14","0.0471")</f>
        <v>0.0471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HYPERLINK("http://141.218.60.56/~jnz1568/getInfo.php?workbook=10_05.xlsx&amp;sheet=U0&amp;row=7615&amp;col=6&amp;number=4.1&amp;sourceID=14","4.1")</f>
        <v>4.1</v>
      </c>
      <c r="G7615" s="4" t="str">
        <f>HYPERLINK("http://141.218.60.56/~jnz1568/getInfo.php?workbook=10_05.xlsx&amp;sheet=U0&amp;row=7615&amp;col=7&amp;number=0.0486&amp;sourceID=14","0.0486")</f>
        <v>0.0486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HYPERLINK("http://141.218.60.56/~jnz1568/getInfo.php?workbook=10_05.xlsx&amp;sheet=U0&amp;row=7616&amp;col=6&amp;number=4.2&amp;sourceID=14","4.2")</f>
        <v>4.2</v>
      </c>
      <c r="G7616" s="4" t="str">
        <f>HYPERLINK("http://141.218.60.56/~jnz1568/getInfo.php?workbook=10_05.xlsx&amp;sheet=U0&amp;row=7616&amp;col=7&amp;number=0.049&amp;sourceID=14","0.049")</f>
        <v>0.049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HYPERLINK("http://141.218.60.56/~jnz1568/getInfo.php?workbook=10_05.xlsx&amp;sheet=U0&amp;row=7617&amp;col=6&amp;number=4.3&amp;sourceID=14","4.3")</f>
        <v>4.3</v>
      </c>
      <c r="G7617" s="4" t="str">
        <f>HYPERLINK("http://141.218.60.56/~jnz1568/getInfo.php?workbook=10_05.xlsx&amp;sheet=U0&amp;row=7617&amp;col=7&amp;number=0.0482&amp;sourceID=14","0.0482")</f>
        <v>0.0482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HYPERLINK("http://141.218.60.56/~jnz1568/getInfo.php?workbook=10_05.xlsx&amp;sheet=U0&amp;row=7618&amp;col=6&amp;number=4.4&amp;sourceID=14","4.4")</f>
        <v>4.4</v>
      </c>
      <c r="G7618" s="4" t="str">
        <f>HYPERLINK("http://141.218.60.56/~jnz1568/getInfo.php?workbook=10_05.xlsx&amp;sheet=U0&amp;row=7618&amp;col=7&amp;number=0.0471&amp;sourceID=14","0.0471")</f>
        <v>0.0471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HYPERLINK("http://141.218.60.56/~jnz1568/getInfo.php?workbook=10_05.xlsx&amp;sheet=U0&amp;row=7619&amp;col=6&amp;number=4.5&amp;sourceID=14","4.5")</f>
        <v>4.5</v>
      </c>
      <c r="G7619" s="4" t="str">
        <f>HYPERLINK("http://141.218.60.56/~jnz1568/getInfo.php?workbook=10_05.xlsx&amp;sheet=U0&amp;row=7619&amp;col=7&amp;number=0.0459&amp;sourceID=14","0.0459")</f>
        <v>0.0459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HYPERLINK("http://141.218.60.56/~jnz1568/getInfo.php?workbook=10_05.xlsx&amp;sheet=U0&amp;row=7620&amp;col=6&amp;number=4.6&amp;sourceID=14","4.6")</f>
        <v>4.6</v>
      </c>
      <c r="G7620" s="4" t="str">
        <f>HYPERLINK("http://141.218.60.56/~jnz1568/getInfo.php?workbook=10_05.xlsx&amp;sheet=U0&amp;row=7620&amp;col=7&amp;number=0.0444&amp;sourceID=14","0.0444")</f>
        <v>0.0444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HYPERLINK("http://141.218.60.56/~jnz1568/getInfo.php?workbook=10_05.xlsx&amp;sheet=U0&amp;row=7621&amp;col=6&amp;number=4.7&amp;sourceID=14","4.7")</f>
        <v>4.7</v>
      </c>
      <c r="G7621" s="4" t="str">
        <f>HYPERLINK("http://141.218.60.56/~jnz1568/getInfo.php?workbook=10_05.xlsx&amp;sheet=U0&amp;row=7621&amp;col=7&amp;number=0.0418&amp;sourceID=14","0.0418")</f>
        <v>0.0418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HYPERLINK("http://141.218.60.56/~jnz1568/getInfo.php?workbook=10_05.xlsx&amp;sheet=U0&amp;row=7622&amp;col=6&amp;number=4.8&amp;sourceID=14","4.8")</f>
        <v>4.8</v>
      </c>
      <c r="G7622" s="4" t="str">
        <f>HYPERLINK("http://141.218.60.56/~jnz1568/getInfo.php?workbook=10_05.xlsx&amp;sheet=U0&amp;row=7622&amp;col=7&amp;number=0.0387&amp;sourceID=14","0.0387")</f>
        <v>0.0387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HYPERLINK("http://141.218.60.56/~jnz1568/getInfo.php?workbook=10_05.xlsx&amp;sheet=U0&amp;row=7623&amp;col=6&amp;number=4.9&amp;sourceID=14","4.9")</f>
        <v>4.9</v>
      </c>
      <c r="G7623" s="4" t="str">
        <f>HYPERLINK("http://141.218.60.56/~jnz1568/getInfo.php?workbook=10_05.xlsx&amp;sheet=U0&amp;row=7623&amp;col=7&amp;number=0.0358&amp;sourceID=14","0.0358")</f>
        <v>0.0358</v>
      </c>
    </row>
    <row r="7624" spans="1:7">
      <c r="A7624" s="3">
        <v>10</v>
      </c>
      <c r="B7624" s="3">
        <v>5</v>
      </c>
      <c r="C7624" s="3">
        <v>3</v>
      </c>
      <c r="D7624" s="3">
        <v>28</v>
      </c>
      <c r="E7624" s="3">
        <v>1</v>
      </c>
      <c r="F7624" s="4" t="str">
        <f>HYPERLINK("http://141.218.60.56/~jnz1568/getInfo.php?workbook=10_05.xlsx&amp;sheet=U0&amp;row=7624&amp;col=6&amp;number=3&amp;sourceID=14","3")</f>
        <v>3</v>
      </c>
      <c r="G7624" s="4" t="str">
        <f>HYPERLINK("http://141.218.60.56/~jnz1568/getInfo.php?workbook=10_05.xlsx&amp;sheet=U0&amp;row=7624&amp;col=7&amp;number=0.0541&amp;sourceID=14","0.0541")</f>
        <v>0.0541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HYPERLINK("http://141.218.60.56/~jnz1568/getInfo.php?workbook=10_05.xlsx&amp;sheet=U0&amp;row=7625&amp;col=6&amp;number=3.1&amp;sourceID=14","3.1")</f>
        <v>3.1</v>
      </c>
      <c r="G7625" s="4" t="str">
        <f>HYPERLINK("http://141.218.60.56/~jnz1568/getInfo.php?workbook=10_05.xlsx&amp;sheet=U0&amp;row=7625&amp;col=7&amp;number=0.0544&amp;sourceID=14","0.0544")</f>
        <v>0.0544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HYPERLINK("http://141.218.60.56/~jnz1568/getInfo.php?workbook=10_05.xlsx&amp;sheet=U0&amp;row=7626&amp;col=6&amp;number=3.2&amp;sourceID=14","3.2")</f>
        <v>3.2</v>
      </c>
      <c r="G7626" s="4" t="str">
        <f>HYPERLINK("http://141.218.60.56/~jnz1568/getInfo.php?workbook=10_05.xlsx&amp;sheet=U0&amp;row=7626&amp;col=7&amp;number=0.0547&amp;sourceID=14","0.0547")</f>
        <v>0.0547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HYPERLINK("http://141.218.60.56/~jnz1568/getInfo.php?workbook=10_05.xlsx&amp;sheet=U0&amp;row=7627&amp;col=6&amp;number=3.3&amp;sourceID=14","3.3")</f>
        <v>3.3</v>
      </c>
      <c r="G7627" s="4" t="str">
        <f>HYPERLINK("http://141.218.60.56/~jnz1568/getInfo.php?workbook=10_05.xlsx&amp;sheet=U0&amp;row=7627&amp;col=7&amp;number=0.0551&amp;sourceID=14","0.0551")</f>
        <v>0.0551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HYPERLINK("http://141.218.60.56/~jnz1568/getInfo.php?workbook=10_05.xlsx&amp;sheet=U0&amp;row=7628&amp;col=6&amp;number=3.4&amp;sourceID=14","3.4")</f>
        <v>3.4</v>
      </c>
      <c r="G7628" s="4" t="str">
        <f>HYPERLINK("http://141.218.60.56/~jnz1568/getInfo.php?workbook=10_05.xlsx&amp;sheet=U0&amp;row=7628&amp;col=7&amp;number=0.0555&amp;sourceID=14","0.0555")</f>
        <v>0.0555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HYPERLINK("http://141.218.60.56/~jnz1568/getInfo.php?workbook=10_05.xlsx&amp;sheet=U0&amp;row=7629&amp;col=6&amp;number=3.5&amp;sourceID=14","3.5")</f>
        <v>3.5</v>
      </c>
      <c r="G7629" s="4" t="str">
        <f>HYPERLINK("http://141.218.60.56/~jnz1568/getInfo.php?workbook=10_05.xlsx&amp;sheet=U0&amp;row=7629&amp;col=7&amp;number=0.0561&amp;sourceID=14","0.0561")</f>
        <v>0.0561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HYPERLINK("http://141.218.60.56/~jnz1568/getInfo.php?workbook=10_05.xlsx&amp;sheet=U0&amp;row=7630&amp;col=6&amp;number=3.6&amp;sourceID=14","3.6")</f>
        <v>3.6</v>
      </c>
      <c r="G7630" s="4" t="str">
        <f>HYPERLINK("http://141.218.60.56/~jnz1568/getInfo.php?workbook=10_05.xlsx&amp;sheet=U0&amp;row=7630&amp;col=7&amp;number=0.0567&amp;sourceID=14","0.0567")</f>
        <v>0.0567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HYPERLINK("http://141.218.60.56/~jnz1568/getInfo.php?workbook=10_05.xlsx&amp;sheet=U0&amp;row=7631&amp;col=6&amp;number=3.7&amp;sourceID=14","3.7")</f>
        <v>3.7</v>
      </c>
      <c r="G7631" s="4" t="str">
        <f>HYPERLINK("http://141.218.60.56/~jnz1568/getInfo.php?workbook=10_05.xlsx&amp;sheet=U0&amp;row=7631&amp;col=7&amp;number=0.0575&amp;sourceID=14","0.0575")</f>
        <v>0.0575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HYPERLINK("http://141.218.60.56/~jnz1568/getInfo.php?workbook=10_05.xlsx&amp;sheet=U0&amp;row=7632&amp;col=6&amp;number=3.8&amp;sourceID=14","3.8")</f>
        <v>3.8</v>
      </c>
      <c r="G7632" s="4" t="str">
        <f>HYPERLINK("http://141.218.60.56/~jnz1568/getInfo.php?workbook=10_05.xlsx&amp;sheet=U0&amp;row=7632&amp;col=7&amp;number=0.0583&amp;sourceID=14","0.0583")</f>
        <v>0.0583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HYPERLINK("http://141.218.60.56/~jnz1568/getInfo.php?workbook=10_05.xlsx&amp;sheet=U0&amp;row=7633&amp;col=6&amp;number=3.9&amp;sourceID=14","3.9")</f>
        <v>3.9</v>
      </c>
      <c r="G7633" s="4" t="str">
        <f>HYPERLINK("http://141.218.60.56/~jnz1568/getInfo.php?workbook=10_05.xlsx&amp;sheet=U0&amp;row=7633&amp;col=7&amp;number=0.059&amp;sourceID=14","0.059")</f>
        <v>0.059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HYPERLINK("http://141.218.60.56/~jnz1568/getInfo.php?workbook=10_05.xlsx&amp;sheet=U0&amp;row=7634&amp;col=6&amp;number=4&amp;sourceID=14","4")</f>
        <v>4</v>
      </c>
      <c r="G7634" s="4" t="str">
        <f>HYPERLINK("http://141.218.60.56/~jnz1568/getInfo.php?workbook=10_05.xlsx&amp;sheet=U0&amp;row=7634&amp;col=7&amp;number=0.0594&amp;sourceID=14","0.0594")</f>
        <v>0.0594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HYPERLINK("http://141.218.60.56/~jnz1568/getInfo.php?workbook=10_05.xlsx&amp;sheet=U0&amp;row=7635&amp;col=6&amp;number=4.1&amp;sourceID=14","4.1")</f>
        <v>4.1</v>
      </c>
      <c r="G7635" s="4" t="str">
        <f>HYPERLINK("http://141.218.60.56/~jnz1568/getInfo.php?workbook=10_05.xlsx&amp;sheet=U0&amp;row=7635&amp;col=7&amp;number=0.0593&amp;sourceID=14","0.0593")</f>
        <v>0.0593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HYPERLINK("http://141.218.60.56/~jnz1568/getInfo.php?workbook=10_05.xlsx&amp;sheet=U0&amp;row=7636&amp;col=6&amp;number=4.2&amp;sourceID=14","4.2")</f>
        <v>4.2</v>
      </c>
      <c r="G7636" s="4" t="str">
        <f>HYPERLINK("http://141.218.60.56/~jnz1568/getInfo.php?workbook=10_05.xlsx&amp;sheet=U0&amp;row=7636&amp;col=7&amp;number=0.0581&amp;sourceID=14","0.0581")</f>
        <v>0.0581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HYPERLINK("http://141.218.60.56/~jnz1568/getInfo.php?workbook=10_05.xlsx&amp;sheet=U0&amp;row=7637&amp;col=6&amp;number=4.3&amp;sourceID=14","4.3")</f>
        <v>4.3</v>
      </c>
      <c r="G7637" s="4" t="str">
        <f>HYPERLINK("http://141.218.60.56/~jnz1568/getInfo.php?workbook=10_05.xlsx&amp;sheet=U0&amp;row=7637&amp;col=7&amp;number=0.0559&amp;sourceID=14","0.0559")</f>
        <v>0.0559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HYPERLINK("http://141.218.60.56/~jnz1568/getInfo.php?workbook=10_05.xlsx&amp;sheet=U0&amp;row=7638&amp;col=6&amp;number=4.4&amp;sourceID=14","4.4")</f>
        <v>4.4</v>
      </c>
      <c r="G7638" s="4" t="str">
        <f>HYPERLINK("http://141.218.60.56/~jnz1568/getInfo.php?workbook=10_05.xlsx&amp;sheet=U0&amp;row=7638&amp;col=7&amp;number=0.0528&amp;sourceID=14","0.0528")</f>
        <v>0.0528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HYPERLINK("http://141.218.60.56/~jnz1568/getInfo.php?workbook=10_05.xlsx&amp;sheet=U0&amp;row=7639&amp;col=6&amp;number=4.5&amp;sourceID=14","4.5")</f>
        <v>4.5</v>
      </c>
      <c r="G7639" s="4" t="str">
        <f>HYPERLINK("http://141.218.60.56/~jnz1568/getInfo.php?workbook=10_05.xlsx&amp;sheet=U0&amp;row=7639&amp;col=7&amp;number=0.0494&amp;sourceID=14","0.0494")</f>
        <v>0.0494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HYPERLINK("http://141.218.60.56/~jnz1568/getInfo.php?workbook=10_05.xlsx&amp;sheet=U0&amp;row=7640&amp;col=6&amp;number=4.6&amp;sourceID=14","4.6")</f>
        <v>4.6</v>
      </c>
      <c r="G7640" s="4" t="str">
        <f>HYPERLINK("http://141.218.60.56/~jnz1568/getInfo.php?workbook=10_05.xlsx&amp;sheet=U0&amp;row=7640&amp;col=7&amp;number=0.046&amp;sourceID=14","0.046")</f>
        <v>0.046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HYPERLINK("http://141.218.60.56/~jnz1568/getInfo.php?workbook=10_05.xlsx&amp;sheet=U0&amp;row=7641&amp;col=6&amp;number=4.7&amp;sourceID=14","4.7")</f>
        <v>4.7</v>
      </c>
      <c r="G7641" s="4" t="str">
        <f>HYPERLINK("http://141.218.60.56/~jnz1568/getInfo.php?workbook=10_05.xlsx&amp;sheet=U0&amp;row=7641&amp;col=7&amp;number=0.0424&amp;sourceID=14","0.0424")</f>
        <v>0.0424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HYPERLINK("http://141.218.60.56/~jnz1568/getInfo.php?workbook=10_05.xlsx&amp;sheet=U0&amp;row=7642&amp;col=6&amp;number=4.8&amp;sourceID=14","4.8")</f>
        <v>4.8</v>
      </c>
      <c r="G7642" s="4" t="str">
        <f>HYPERLINK("http://141.218.60.56/~jnz1568/getInfo.php?workbook=10_05.xlsx&amp;sheet=U0&amp;row=7642&amp;col=7&amp;number=0.0385&amp;sourceID=14","0.0385")</f>
        <v>0.0385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HYPERLINK("http://141.218.60.56/~jnz1568/getInfo.php?workbook=10_05.xlsx&amp;sheet=U0&amp;row=7643&amp;col=6&amp;number=4.9&amp;sourceID=14","4.9")</f>
        <v>4.9</v>
      </c>
      <c r="G7643" s="4" t="str">
        <f>HYPERLINK("http://141.218.60.56/~jnz1568/getInfo.php?workbook=10_05.xlsx&amp;sheet=U0&amp;row=7643&amp;col=7&amp;number=0.0346&amp;sourceID=14","0.0346")</f>
        <v>0.0346</v>
      </c>
    </row>
    <row r="7644" spans="1:7">
      <c r="A7644" s="3">
        <v>10</v>
      </c>
      <c r="B7644" s="3">
        <v>5</v>
      </c>
      <c r="C7644" s="3">
        <v>3</v>
      </c>
      <c r="D7644" s="3">
        <v>29</v>
      </c>
      <c r="E7644" s="3">
        <v>1</v>
      </c>
      <c r="F7644" s="4" t="str">
        <f>HYPERLINK("http://141.218.60.56/~jnz1568/getInfo.php?workbook=10_05.xlsx&amp;sheet=U0&amp;row=7644&amp;col=6&amp;number=3&amp;sourceID=14","3")</f>
        <v>3</v>
      </c>
      <c r="G7644" s="4" t="str">
        <f>HYPERLINK("http://141.218.60.56/~jnz1568/getInfo.php?workbook=10_05.xlsx&amp;sheet=U0&amp;row=7644&amp;col=7&amp;number=0.0948&amp;sourceID=14","0.0948")</f>
        <v>0.0948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HYPERLINK("http://141.218.60.56/~jnz1568/getInfo.php?workbook=10_05.xlsx&amp;sheet=U0&amp;row=7645&amp;col=6&amp;number=3.1&amp;sourceID=14","3.1")</f>
        <v>3.1</v>
      </c>
      <c r="G7645" s="4" t="str">
        <f>HYPERLINK("http://141.218.60.56/~jnz1568/getInfo.php?workbook=10_05.xlsx&amp;sheet=U0&amp;row=7645&amp;col=7&amp;number=0.0958&amp;sourceID=14","0.0958")</f>
        <v>0.0958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HYPERLINK("http://141.218.60.56/~jnz1568/getInfo.php?workbook=10_05.xlsx&amp;sheet=U0&amp;row=7646&amp;col=6&amp;number=3.2&amp;sourceID=14","3.2")</f>
        <v>3.2</v>
      </c>
      <c r="G7646" s="4" t="str">
        <f>HYPERLINK("http://141.218.60.56/~jnz1568/getInfo.php?workbook=10_05.xlsx&amp;sheet=U0&amp;row=7646&amp;col=7&amp;number=0.097&amp;sourceID=14","0.097")</f>
        <v>0.097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HYPERLINK("http://141.218.60.56/~jnz1568/getInfo.php?workbook=10_05.xlsx&amp;sheet=U0&amp;row=7647&amp;col=6&amp;number=3.3&amp;sourceID=14","3.3")</f>
        <v>3.3</v>
      </c>
      <c r="G7647" s="4" t="str">
        <f>HYPERLINK("http://141.218.60.56/~jnz1568/getInfo.php?workbook=10_05.xlsx&amp;sheet=U0&amp;row=7647&amp;col=7&amp;number=0.0985&amp;sourceID=14","0.0985")</f>
        <v>0.0985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HYPERLINK("http://141.218.60.56/~jnz1568/getInfo.php?workbook=10_05.xlsx&amp;sheet=U0&amp;row=7648&amp;col=6&amp;number=3.4&amp;sourceID=14","3.4")</f>
        <v>3.4</v>
      </c>
      <c r="G7648" s="4" t="str">
        <f>HYPERLINK("http://141.218.60.56/~jnz1568/getInfo.php?workbook=10_05.xlsx&amp;sheet=U0&amp;row=7648&amp;col=7&amp;number=0.1&amp;sourceID=14","0.1")</f>
        <v>0.1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HYPERLINK("http://141.218.60.56/~jnz1568/getInfo.php?workbook=10_05.xlsx&amp;sheet=U0&amp;row=7649&amp;col=6&amp;number=3.5&amp;sourceID=14","3.5")</f>
        <v>3.5</v>
      </c>
      <c r="G7649" s="4" t="str">
        <f>HYPERLINK("http://141.218.60.56/~jnz1568/getInfo.php?workbook=10_05.xlsx&amp;sheet=U0&amp;row=7649&amp;col=7&amp;number=0.102&amp;sourceID=14","0.102")</f>
        <v>0.102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HYPERLINK("http://141.218.60.56/~jnz1568/getInfo.php?workbook=10_05.xlsx&amp;sheet=U0&amp;row=7650&amp;col=6&amp;number=3.6&amp;sourceID=14","3.6")</f>
        <v>3.6</v>
      </c>
      <c r="G7650" s="4" t="str">
        <f>HYPERLINK("http://141.218.60.56/~jnz1568/getInfo.php?workbook=10_05.xlsx&amp;sheet=U0&amp;row=7650&amp;col=7&amp;number=0.105&amp;sourceID=14","0.105")</f>
        <v>0.105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HYPERLINK("http://141.218.60.56/~jnz1568/getInfo.php?workbook=10_05.xlsx&amp;sheet=U0&amp;row=7651&amp;col=6&amp;number=3.7&amp;sourceID=14","3.7")</f>
        <v>3.7</v>
      </c>
      <c r="G7651" s="4" t="str">
        <f>HYPERLINK("http://141.218.60.56/~jnz1568/getInfo.php?workbook=10_05.xlsx&amp;sheet=U0&amp;row=7651&amp;col=7&amp;number=0.108&amp;sourceID=14","0.108")</f>
        <v>0.108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HYPERLINK("http://141.218.60.56/~jnz1568/getInfo.php?workbook=10_05.xlsx&amp;sheet=U0&amp;row=7652&amp;col=6&amp;number=3.8&amp;sourceID=14","3.8")</f>
        <v>3.8</v>
      </c>
      <c r="G7652" s="4" t="str">
        <f>HYPERLINK("http://141.218.60.56/~jnz1568/getInfo.php?workbook=10_05.xlsx&amp;sheet=U0&amp;row=7652&amp;col=7&amp;number=0.111&amp;sourceID=14","0.111")</f>
        <v>0.111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HYPERLINK("http://141.218.60.56/~jnz1568/getInfo.php?workbook=10_05.xlsx&amp;sheet=U0&amp;row=7653&amp;col=6&amp;number=3.9&amp;sourceID=14","3.9")</f>
        <v>3.9</v>
      </c>
      <c r="G7653" s="4" t="str">
        <f>HYPERLINK("http://141.218.60.56/~jnz1568/getInfo.php?workbook=10_05.xlsx&amp;sheet=U0&amp;row=7653&amp;col=7&amp;number=0.114&amp;sourceID=14","0.114")</f>
        <v>0.114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HYPERLINK("http://141.218.60.56/~jnz1568/getInfo.php?workbook=10_05.xlsx&amp;sheet=U0&amp;row=7654&amp;col=6&amp;number=4&amp;sourceID=14","4")</f>
        <v>4</v>
      </c>
      <c r="G7654" s="4" t="str">
        <f>HYPERLINK("http://141.218.60.56/~jnz1568/getInfo.php?workbook=10_05.xlsx&amp;sheet=U0&amp;row=7654&amp;col=7&amp;number=0.116&amp;sourceID=14","0.116")</f>
        <v>0.116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HYPERLINK("http://141.218.60.56/~jnz1568/getInfo.php?workbook=10_05.xlsx&amp;sheet=U0&amp;row=7655&amp;col=6&amp;number=4.1&amp;sourceID=14","4.1")</f>
        <v>4.1</v>
      </c>
      <c r="G7655" s="4" t="str">
        <f>HYPERLINK("http://141.218.60.56/~jnz1568/getInfo.php?workbook=10_05.xlsx&amp;sheet=U0&amp;row=7655&amp;col=7&amp;number=0.116&amp;sourceID=14","0.116")</f>
        <v>0.116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HYPERLINK("http://141.218.60.56/~jnz1568/getInfo.php?workbook=10_05.xlsx&amp;sheet=U0&amp;row=7656&amp;col=6&amp;number=4.2&amp;sourceID=14","4.2")</f>
        <v>4.2</v>
      </c>
      <c r="G7656" s="4" t="str">
        <f>HYPERLINK("http://141.218.60.56/~jnz1568/getInfo.php?workbook=10_05.xlsx&amp;sheet=U0&amp;row=7656&amp;col=7&amp;number=0.114&amp;sourceID=14","0.114")</f>
        <v>0.114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HYPERLINK("http://141.218.60.56/~jnz1568/getInfo.php?workbook=10_05.xlsx&amp;sheet=U0&amp;row=7657&amp;col=6&amp;number=4.3&amp;sourceID=14","4.3")</f>
        <v>4.3</v>
      </c>
      <c r="G7657" s="4" t="str">
        <f>HYPERLINK("http://141.218.60.56/~jnz1568/getInfo.php?workbook=10_05.xlsx&amp;sheet=U0&amp;row=7657&amp;col=7&amp;number=0.11&amp;sourceID=14","0.11")</f>
        <v>0.11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HYPERLINK("http://141.218.60.56/~jnz1568/getInfo.php?workbook=10_05.xlsx&amp;sheet=U0&amp;row=7658&amp;col=6&amp;number=4.4&amp;sourceID=14","4.4")</f>
        <v>4.4</v>
      </c>
      <c r="G7658" s="4" t="str">
        <f>HYPERLINK("http://141.218.60.56/~jnz1568/getInfo.php?workbook=10_05.xlsx&amp;sheet=U0&amp;row=7658&amp;col=7&amp;number=0.105&amp;sourceID=14","0.105")</f>
        <v>0.105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HYPERLINK("http://141.218.60.56/~jnz1568/getInfo.php?workbook=10_05.xlsx&amp;sheet=U0&amp;row=7659&amp;col=6&amp;number=4.5&amp;sourceID=14","4.5")</f>
        <v>4.5</v>
      </c>
      <c r="G7659" s="4" t="str">
        <f>HYPERLINK("http://141.218.60.56/~jnz1568/getInfo.php?workbook=10_05.xlsx&amp;sheet=U0&amp;row=7659&amp;col=7&amp;number=0.0983&amp;sourceID=14","0.0983")</f>
        <v>0.0983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HYPERLINK("http://141.218.60.56/~jnz1568/getInfo.php?workbook=10_05.xlsx&amp;sheet=U0&amp;row=7660&amp;col=6&amp;number=4.6&amp;sourceID=14","4.6")</f>
        <v>4.6</v>
      </c>
      <c r="G7660" s="4" t="str">
        <f>HYPERLINK("http://141.218.60.56/~jnz1568/getInfo.php?workbook=10_05.xlsx&amp;sheet=U0&amp;row=7660&amp;col=7&amp;number=0.0915&amp;sourceID=14","0.0915")</f>
        <v>0.0915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HYPERLINK("http://141.218.60.56/~jnz1568/getInfo.php?workbook=10_05.xlsx&amp;sheet=U0&amp;row=7661&amp;col=6&amp;number=4.7&amp;sourceID=14","4.7")</f>
        <v>4.7</v>
      </c>
      <c r="G7661" s="4" t="str">
        <f>HYPERLINK("http://141.218.60.56/~jnz1568/getInfo.php?workbook=10_05.xlsx&amp;sheet=U0&amp;row=7661&amp;col=7&amp;number=0.084&amp;sourceID=14","0.084")</f>
        <v>0.084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HYPERLINK("http://141.218.60.56/~jnz1568/getInfo.php?workbook=10_05.xlsx&amp;sheet=U0&amp;row=7662&amp;col=6&amp;number=4.8&amp;sourceID=14","4.8")</f>
        <v>4.8</v>
      </c>
      <c r="G7662" s="4" t="str">
        <f>HYPERLINK("http://141.218.60.56/~jnz1568/getInfo.php?workbook=10_05.xlsx&amp;sheet=U0&amp;row=7662&amp;col=7&amp;number=0.0762&amp;sourceID=14","0.0762")</f>
        <v>0.0762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HYPERLINK("http://141.218.60.56/~jnz1568/getInfo.php?workbook=10_05.xlsx&amp;sheet=U0&amp;row=7663&amp;col=6&amp;number=4.9&amp;sourceID=14","4.9")</f>
        <v>4.9</v>
      </c>
      <c r="G7663" s="4" t="str">
        <f>HYPERLINK("http://141.218.60.56/~jnz1568/getInfo.php?workbook=10_05.xlsx&amp;sheet=U0&amp;row=7663&amp;col=7&amp;number=0.0685&amp;sourceID=14","0.0685")</f>
        <v>0.0685</v>
      </c>
    </row>
    <row r="7664" spans="1:7">
      <c r="A7664" s="3">
        <v>10</v>
      </c>
      <c r="B7664" s="3">
        <v>5</v>
      </c>
      <c r="C7664" s="3">
        <v>3</v>
      </c>
      <c r="D7664" s="3">
        <v>30</v>
      </c>
      <c r="E7664" s="3">
        <v>1</v>
      </c>
      <c r="F7664" s="4" t="str">
        <f>HYPERLINK("http://141.218.60.56/~jnz1568/getInfo.php?workbook=10_05.xlsx&amp;sheet=U0&amp;row=7664&amp;col=6&amp;number=3&amp;sourceID=14","3")</f>
        <v>3</v>
      </c>
      <c r="G7664" s="4" t="str">
        <f>HYPERLINK("http://141.218.60.56/~jnz1568/getInfo.php?workbook=10_05.xlsx&amp;sheet=U0&amp;row=7664&amp;col=7&amp;number=0.117&amp;sourceID=14","0.117")</f>
        <v>0.117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HYPERLINK("http://141.218.60.56/~jnz1568/getInfo.php?workbook=10_05.xlsx&amp;sheet=U0&amp;row=7665&amp;col=6&amp;number=3.1&amp;sourceID=14","3.1")</f>
        <v>3.1</v>
      </c>
      <c r="G7665" s="4" t="str">
        <f>HYPERLINK("http://141.218.60.56/~jnz1568/getInfo.php?workbook=10_05.xlsx&amp;sheet=U0&amp;row=7665&amp;col=7&amp;number=0.119&amp;sourceID=14","0.119")</f>
        <v>0.119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HYPERLINK("http://141.218.60.56/~jnz1568/getInfo.php?workbook=10_05.xlsx&amp;sheet=U0&amp;row=7666&amp;col=6&amp;number=3.2&amp;sourceID=14","3.2")</f>
        <v>3.2</v>
      </c>
      <c r="G7666" s="4" t="str">
        <f>HYPERLINK("http://141.218.60.56/~jnz1568/getInfo.php?workbook=10_05.xlsx&amp;sheet=U0&amp;row=7666&amp;col=7&amp;number=0.121&amp;sourceID=14","0.121")</f>
        <v>0.121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HYPERLINK("http://141.218.60.56/~jnz1568/getInfo.php?workbook=10_05.xlsx&amp;sheet=U0&amp;row=7667&amp;col=6&amp;number=3.3&amp;sourceID=14","3.3")</f>
        <v>3.3</v>
      </c>
      <c r="G7667" s="4" t="str">
        <f>HYPERLINK("http://141.218.60.56/~jnz1568/getInfo.php?workbook=10_05.xlsx&amp;sheet=U0&amp;row=7667&amp;col=7&amp;number=0.124&amp;sourceID=14","0.124")</f>
        <v>0.124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HYPERLINK("http://141.218.60.56/~jnz1568/getInfo.php?workbook=10_05.xlsx&amp;sheet=U0&amp;row=7668&amp;col=6&amp;number=3.4&amp;sourceID=14","3.4")</f>
        <v>3.4</v>
      </c>
      <c r="G7668" s="4" t="str">
        <f>HYPERLINK("http://141.218.60.56/~jnz1568/getInfo.php?workbook=10_05.xlsx&amp;sheet=U0&amp;row=7668&amp;col=7&amp;number=0.127&amp;sourceID=14","0.127")</f>
        <v>0.127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HYPERLINK("http://141.218.60.56/~jnz1568/getInfo.php?workbook=10_05.xlsx&amp;sheet=U0&amp;row=7669&amp;col=6&amp;number=3.5&amp;sourceID=14","3.5")</f>
        <v>3.5</v>
      </c>
      <c r="G7669" s="4" t="str">
        <f>HYPERLINK("http://141.218.60.56/~jnz1568/getInfo.php?workbook=10_05.xlsx&amp;sheet=U0&amp;row=7669&amp;col=7&amp;number=0.131&amp;sourceID=14","0.131")</f>
        <v>0.131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HYPERLINK("http://141.218.60.56/~jnz1568/getInfo.php?workbook=10_05.xlsx&amp;sheet=U0&amp;row=7670&amp;col=6&amp;number=3.6&amp;sourceID=14","3.6")</f>
        <v>3.6</v>
      </c>
      <c r="G7670" s="4" t="str">
        <f>HYPERLINK("http://141.218.60.56/~jnz1568/getInfo.php?workbook=10_05.xlsx&amp;sheet=U0&amp;row=7670&amp;col=7&amp;number=0.136&amp;sourceID=14","0.136")</f>
        <v>0.136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HYPERLINK("http://141.218.60.56/~jnz1568/getInfo.php?workbook=10_05.xlsx&amp;sheet=U0&amp;row=7671&amp;col=6&amp;number=3.7&amp;sourceID=14","3.7")</f>
        <v>3.7</v>
      </c>
      <c r="G7671" s="4" t="str">
        <f>HYPERLINK("http://141.218.60.56/~jnz1568/getInfo.php?workbook=10_05.xlsx&amp;sheet=U0&amp;row=7671&amp;col=7&amp;number=0.141&amp;sourceID=14","0.141")</f>
        <v>0.141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HYPERLINK("http://141.218.60.56/~jnz1568/getInfo.php?workbook=10_05.xlsx&amp;sheet=U0&amp;row=7672&amp;col=6&amp;number=3.8&amp;sourceID=14","3.8")</f>
        <v>3.8</v>
      </c>
      <c r="G7672" s="4" t="str">
        <f>HYPERLINK("http://141.218.60.56/~jnz1568/getInfo.php?workbook=10_05.xlsx&amp;sheet=U0&amp;row=7672&amp;col=7&amp;number=0.146&amp;sourceID=14","0.146")</f>
        <v>0.146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HYPERLINK("http://141.218.60.56/~jnz1568/getInfo.php?workbook=10_05.xlsx&amp;sheet=U0&amp;row=7673&amp;col=6&amp;number=3.9&amp;sourceID=14","3.9")</f>
        <v>3.9</v>
      </c>
      <c r="G7673" s="4" t="str">
        <f>HYPERLINK("http://141.218.60.56/~jnz1568/getInfo.php?workbook=10_05.xlsx&amp;sheet=U0&amp;row=7673&amp;col=7&amp;number=0.151&amp;sourceID=14","0.151")</f>
        <v>0.151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HYPERLINK("http://141.218.60.56/~jnz1568/getInfo.php?workbook=10_05.xlsx&amp;sheet=U0&amp;row=7674&amp;col=6&amp;number=4&amp;sourceID=14","4")</f>
        <v>4</v>
      </c>
      <c r="G7674" s="4" t="str">
        <f>HYPERLINK("http://141.218.60.56/~jnz1568/getInfo.php?workbook=10_05.xlsx&amp;sheet=U0&amp;row=7674&amp;col=7&amp;number=0.152&amp;sourceID=14","0.152")</f>
        <v>0.152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HYPERLINK("http://141.218.60.56/~jnz1568/getInfo.php?workbook=10_05.xlsx&amp;sheet=U0&amp;row=7675&amp;col=6&amp;number=4.1&amp;sourceID=14","4.1")</f>
        <v>4.1</v>
      </c>
      <c r="G7675" s="4" t="str">
        <f>HYPERLINK("http://141.218.60.56/~jnz1568/getInfo.php?workbook=10_05.xlsx&amp;sheet=U0&amp;row=7675&amp;col=7&amp;number=0.151&amp;sourceID=14","0.151")</f>
        <v>0.151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HYPERLINK("http://141.218.60.56/~jnz1568/getInfo.php?workbook=10_05.xlsx&amp;sheet=U0&amp;row=7676&amp;col=6&amp;number=4.2&amp;sourceID=14","4.2")</f>
        <v>4.2</v>
      </c>
      <c r="G7676" s="4" t="str">
        <f>HYPERLINK("http://141.218.60.56/~jnz1568/getInfo.php?workbook=10_05.xlsx&amp;sheet=U0&amp;row=7676&amp;col=7&amp;number=0.146&amp;sourceID=14","0.146")</f>
        <v>0.146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HYPERLINK("http://141.218.60.56/~jnz1568/getInfo.php?workbook=10_05.xlsx&amp;sheet=U0&amp;row=7677&amp;col=6&amp;number=4.3&amp;sourceID=14","4.3")</f>
        <v>4.3</v>
      </c>
      <c r="G7677" s="4" t="str">
        <f>HYPERLINK("http://141.218.60.56/~jnz1568/getInfo.php?workbook=10_05.xlsx&amp;sheet=U0&amp;row=7677&amp;col=7&amp;number=0.14&amp;sourceID=14","0.14")</f>
        <v>0.14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HYPERLINK("http://141.218.60.56/~jnz1568/getInfo.php?workbook=10_05.xlsx&amp;sheet=U0&amp;row=7678&amp;col=6&amp;number=4.4&amp;sourceID=14","4.4")</f>
        <v>4.4</v>
      </c>
      <c r="G7678" s="4" t="str">
        <f>HYPERLINK("http://141.218.60.56/~jnz1568/getInfo.php?workbook=10_05.xlsx&amp;sheet=U0&amp;row=7678&amp;col=7&amp;number=0.133&amp;sourceID=14","0.133")</f>
        <v>0.133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HYPERLINK("http://141.218.60.56/~jnz1568/getInfo.php?workbook=10_05.xlsx&amp;sheet=U0&amp;row=7679&amp;col=6&amp;number=4.5&amp;sourceID=14","4.5")</f>
        <v>4.5</v>
      </c>
      <c r="G7679" s="4" t="str">
        <f>HYPERLINK("http://141.218.60.56/~jnz1568/getInfo.php?workbook=10_05.xlsx&amp;sheet=U0&amp;row=7679&amp;col=7&amp;number=0.126&amp;sourceID=14","0.126")</f>
        <v>0.126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HYPERLINK("http://141.218.60.56/~jnz1568/getInfo.php?workbook=10_05.xlsx&amp;sheet=U0&amp;row=7680&amp;col=6&amp;number=4.6&amp;sourceID=14","4.6")</f>
        <v>4.6</v>
      </c>
      <c r="G7680" s="4" t="str">
        <f>HYPERLINK("http://141.218.60.56/~jnz1568/getInfo.php?workbook=10_05.xlsx&amp;sheet=U0&amp;row=7680&amp;col=7&amp;number=0.118&amp;sourceID=14","0.118")</f>
        <v>0.118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HYPERLINK("http://141.218.60.56/~jnz1568/getInfo.php?workbook=10_05.xlsx&amp;sheet=U0&amp;row=7681&amp;col=6&amp;number=4.7&amp;sourceID=14","4.7")</f>
        <v>4.7</v>
      </c>
      <c r="G7681" s="4" t="str">
        <f>HYPERLINK("http://141.218.60.56/~jnz1568/getInfo.php?workbook=10_05.xlsx&amp;sheet=U0&amp;row=7681&amp;col=7&amp;number=0.108&amp;sourceID=14","0.108")</f>
        <v>0.108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HYPERLINK("http://141.218.60.56/~jnz1568/getInfo.php?workbook=10_05.xlsx&amp;sheet=U0&amp;row=7682&amp;col=6&amp;number=4.8&amp;sourceID=14","4.8")</f>
        <v>4.8</v>
      </c>
      <c r="G7682" s="4" t="str">
        <f>HYPERLINK("http://141.218.60.56/~jnz1568/getInfo.php?workbook=10_05.xlsx&amp;sheet=U0&amp;row=7682&amp;col=7&amp;number=0.0984&amp;sourceID=14","0.0984")</f>
        <v>0.0984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HYPERLINK("http://141.218.60.56/~jnz1568/getInfo.php?workbook=10_05.xlsx&amp;sheet=U0&amp;row=7683&amp;col=6&amp;number=4.9&amp;sourceID=14","4.9")</f>
        <v>4.9</v>
      </c>
      <c r="G7683" s="4" t="str">
        <f>HYPERLINK("http://141.218.60.56/~jnz1568/getInfo.php?workbook=10_05.xlsx&amp;sheet=U0&amp;row=7683&amp;col=7&amp;number=0.0888&amp;sourceID=14","0.0888")</f>
        <v>0.0888</v>
      </c>
    </row>
    <row r="7684" spans="1:7">
      <c r="A7684" s="3">
        <v>10</v>
      </c>
      <c r="B7684" s="3">
        <v>5</v>
      </c>
      <c r="C7684" s="3">
        <v>3</v>
      </c>
      <c r="D7684" s="3">
        <v>31</v>
      </c>
      <c r="E7684" s="3">
        <v>1</v>
      </c>
      <c r="F7684" s="4" t="str">
        <f>HYPERLINK("http://141.218.60.56/~jnz1568/getInfo.php?workbook=10_05.xlsx&amp;sheet=U0&amp;row=7684&amp;col=6&amp;number=3&amp;sourceID=14","3")</f>
        <v>3</v>
      </c>
      <c r="G7684" s="4" t="str">
        <f>HYPERLINK("http://141.218.60.56/~jnz1568/getInfo.php?workbook=10_05.xlsx&amp;sheet=U0&amp;row=7684&amp;col=7&amp;number=0.0775&amp;sourceID=14","0.0775")</f>
        <v>0.0775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HYPERLINK("http://141.218.60.56/~jnz1568/getInfo.php?workbook=10_05.xlsx&amp;sheet=U0&amp;row=7685&amp;col=6&amp;number=3.1&amp;sourceID=14","3.1")</f>
        <v>3.1</v>
      </c>
      <c r="G7685" s="4" t="str">
        <f>HYPERLINK("http://141.218.60.56/~jnz1568/getInfo.php?workbook=10_05.xlsx&amp;sheet=U0&amp;row=7685&amp;col=7&amp;number=0.0785&amp;sourceID=14","0.0785")</f>
        <v>0.0785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HYPERLINK("http://141.218.60.56/~jnz1568/getInfo.php?workbook=10_05.xlsx&amp;sheet=U0&amp;row=7686&amp;col=6&amp;number=3.2&amp;sourceID=14","3.2")</f>
        <v>3.2</v>
      </c>
      <c r="G7686" s="4" t="str">
        <f>HYPERLINK("http://141.218.60.56/~jnz1568/getInfo.php?workbook=10_05.xlsx&amp;sheet=U0&amp;row=7686&amp;col=7&amp;number=0.0797&amp;sourceID=14","0.0797")</f>
        <v>0.0797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HYPERLINK("http://141.218.60.56/~jnz1568/getInfo.php?workbook=10_05.xlsx&amp;sheet=U0&amp;row=7687&amp;col=6&amp;number=3.3&amp;sourceID=14","3.3")</f>
        <v>3.3</v>
      </c>
      <c r="G7687" s="4" t="str">
        <f>HYPERLINK("http://141.218.60.56/~jnz1568/getInfo.php?workbook=10_05.xlsx&amp;sheet=U0&amp;row=7687&amp;col=7&amp;number=0.0812&amp;sourceID=14","0.0812")</f>
        <v>0.0812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HYPERLINK("http://141.218.60.56/~jnz1568/getInfo.php?workbook=10_05.xlsx&amp;sheet=U0&amp;row=7688&amp;col=6&amp;number=3.4&amp;sourceID=14","3.4")</f>
        <v>3.4</v>
      </c>
      <c r="G7688" s="4" t="str">
        <f>HYPERLINK("http://141.218.60.56/~jnz1568/getInfo.php?workbook=10_05.xlsx&amp;sheet=U0&amp;row=7688&amp;col=7&amp;number=0.0829&amp;sourceID=14","0.0829")</f>
        <v>0.0829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HYPERLINK("http://141.218.60.56/~jnz1568/getInfo.php?workbook=10_05.xlsx&amp;sheet=U0&amp;row=7689&amp;col=6&amp;number=3.5&amp;sourceID=14","3.5")</f>
        <v>3.5</v>
      </c>
      <c r="G7689" s="4" t="str">
        <f>HYPERLINK("http://141.218.60.56/~jnz1568/getInfo.php?workbook=10_05.xlsx&amp;sheet=U0&amp;row=7689&amp;col=7&amp;number=0.085&amp;sourceID=14","0.085")</f>
        <v>0.085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HYPERLINK("http://141.218.60.56/~jnz1568/getInfo.php?workbook=10_05.xlsx&amp;sheet=U0&amp;row=7690&amp;col=6&amp;number=3.6&amp;sourceID=14","3.6")</f>
        <v>3.6</v>
      </c>
      <c r="G7690" s="4" t="str">
        <f>HYPERLINK("http://141.218.60.56/~jnz1568/getInfo.php?workbook=10_05.xlsx&amp;sheet=U0&amp;row=7690&amp;col=7&amp;number=0.0873&amp;sourceID=14","0.0873")</f>
        <v>0.0873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HYPERLINK("http://141.218.60.56/~jnz1568/getInfo.php?workbook=10_05.xlsx&amp;sheet=U0&amp;row=7691&amp;col=6&amp;number=3.7&amp;sourceID=14","3.7")</f>
        <v>3.7</v>
      </c>
      <c r="G7691" s="4" t="str">
        <f>HYPERLINK("http://141.218.60.56/~jnz1568/getInfo.php?workbook=10_05.xlsx&amp;sheet=U0&amp;row=7691&amp;col=7&amp;number=0.0898&amp;sourceID=14","0.0898")</f>
        <v>0.0898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HYPERLINK("http://141.218.60.56/~jnz1568/getInfo.php?workbook=10_05.xlsx&amp;sheet=U0&amp;row=7692&amp;col=6&amp;number=3.8&amp;sourceID=14","3.8")</f>
        <v>3.8</v>
      </c>
      <c r="G7692" s="4" t="str">
        <f>HYPERLINK("http://141.218.60.56/~jnz1568/getInfo.php?workbook=10_05.xlsx&amp;sheet=U0&amp;row=7692&amp;col=7&amp;number=0.0921&amp;sourceID=14","0.0921")</f>
        <v>0.0921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HYPERLINK("http://141.218.60.56/~jnz1568/getInfo.php?workbook=10_05.xlsx&amp;sheet=U0&amp;row=7693&amp;col=6&amp;number=3.9&amp;sourceID=14","3.9")</f>
        <v>3.9</v>
      </c>
      <c r="G7693" s="4" t="str">
        <f>HYPERLINK("http://141.218.60.56/~jnz1568/getInfo.php?workbook=10_05.xlsx&amp;sheet=U0&amp;row=7693&amp;col=7&amp;number=0.0937&amp;sourceID=14","0.0937")</f>
        <v>0.0937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HYPERLINK("http://141.218.60.56/~jnz1568/getInfo.php?workbook=10_05.xlsx&amp;sheet=U0&amp;row=7694&amp;col=6&amp;number=4&amp;sourceID=14","4")</f>
        <v>4</v>
      </c>
      <c r="G7694" s="4" t="str">
        <f>HYPERLINK("http://141.218.60.56/~jnz1568/getInfo.php?workbook=10_05.xlsx&amp;sheet=U0&amp;row=7694&amp;col=7&amp;number=0.0936&amp;sourceID=14","0.0936")</f>
        <v>0.0936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HYPERLINK("http://141.218.60.56/~jnz1568/getInfo.php?workbook=10_05.xlsx&amp;sheet=U0&amp;row=7695&amp;col=6&amp;number=4.1&amp;sourceID=14","4.1")</f>
        <v>4.1</v>
      </c>
      <c r="G7695" s="4" t="str">
        <f>HYPERLINK("http://141.218.60.56/~jnz1568/getInfo.php?workbook=10_05.xlsx&amp;sheet=U0&amp;row=7695&amp;col=7&amp;number=0.0915&amp;sourceID=14","0.0915")</f>
        <v>0.0915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HYPERLINK("http://141.218.60.56/~jnz1568/getInfo.php?workbook=10_05.xlsx&amp;sheet=U0&amp;row=7696&amp;col=6&amp;number=4.2&amp;sourceID=14","4.2")</f>
        <v>4.2</v>
      </c>
      <c r="G7696" s="4" t="str">
        <f>HYPERLINK("http://141.218.60.56/~jnz1568/getInfo.php?workbook=10_05.xlsx&amp;sheet=U0&amp;row=7696&amp;col=7&amp;number=0.0874&amp;sourceID=14","0.0874")</f>
        <v>0.0874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HYPERLINK("http://141.218.60.56/~jnz1568/getInfo.php?workbook=10_05.xlsx&amp;sheet=U0&amp;row=7697&amp;col=6&amp;number=4.3&amp;sourceID=14","4.3")</f>
        <v>4.3</v>
      </c>
      <c r="G7697" s="4" t="str">
        <f>HYPERLINK("http://141.218.60.56/~jnz1568/getInfo.php?workbook=10_05.xlsx&amp;sheet=U0&amp;row=7697&amp;col=7&amp;number=0.0825&amp;sourceID=14","0.0825")</f>
        <v>0.0825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HYPERLINK("http://141.218.60.56/~jnz1568/getInfo.php?workbook=10_05.xlsx&amp;sheet=U0&amp;row=7698&amp;col=6&amp;number=4.4&amp;sourceID=14","4.4")</f>
        <v>4.4</v>
      </c>
      <c r="G7698" s="4" t="str">
        <f>HYPERLINK("http://141.218.60.56/~jnz1568/getInfo.php?workbook=10_05.xlsx&amp;sheet=U0&amp;row=7698&amp;col=7&amp;number=0.0779&amp;sourceID=14","0.0779")</f>
        <v>0.0779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HYPERLINK("http://141.218.60.56/~jnz1568/getInfo.php?workbook=10_05.xlsx&amp;sheet=U0&amp;row=7699&amp;col=6&amp;number=4.5&amp;sourceID=14","4.5")</f>
        <v>4.5</v>
      </c>
      <c r="G7699" s="4" t="str">
        <f>HYPERLINK("http://141.218.60.56/~jnz1568/getInfo.php?workbook=10_05.xlsx&amp;sheet=U0&amp;row=7699&amp;col=7&amp;number=0.0732&amp;sourceID=14","0.0732")</f>
        <v>0.0732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HYPERLINK("http://141.218.60.56/~jnz1568/getInfo.php?workbook=10_05.xlsx&amp;sheet=U0&amp;row=7700&amp;col=6&amp;number=4.6&amp;sourceID=14","4.6")</f>
        <v>4.6</v>
      </c>
      <c r="G7700" s="4" t="str">
        <f>HYPERLINK("http://141.218.60.56/~jnz1568/getInfo.php?workbook=10_05.xlsx&amp;sheet=U0&amp;row=7700&amp;col=7&amp;number=0.0673&amp;sourceID=14","0.0673")</f>
        <v>0.0673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HYPERLINK("http://141.218.60.56/~jnz1568/getInfo.php?workbook=10_05.xlsx&amp;sheet=U0&amp;row=7701&amp;col=6&amp;number=4.7&amp;sourceID=14","4.7")</f>
        <v>4.7</v>
      </c>
      <c r="G7701" s="4" t="str">
        <f>HYPERLINK("http://141.218.60.56/~jnz1568/getInfo.php?workbook=10_05.xlsx&amp;sheet=U0&amp;row=7701&amp;col=7&amp;number=0.0606&amp;sourceID=14","0.0606")</f>
        <v>0.0606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HYPERLINK("http://141.218.60.56/~jnz1568/getInfo.php?workbook=10_05.xlsx&amp;sheet=U0&amp;row=7702&amp;col=6&amp;number=4.8&amp;sourceID=14","4.8")</f>
        <v>4.8</v>
      </c>
      <c r="G7702" s="4" t="str">
        <f>HYPERLINK("http://141.218.60.56/~jnz1568/getInfo.php?workbook=10_05.xlsx&amp;sheet=U0&amp;row=7702&amp;col=7&amp;number=0.0543&amp;sourceID=14","0.0543")</f>
        <v>0.0543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HYPERLINK("http://141.218.60.56/~jnz1568/getInfo.php?workbook=10_05.xlsx&amp;sheet=U0&amp;row=7703&amp;col=6&amp;number=4.9&amp;sourceID=14","4.9")</f>
        <v>4.9</v>
      </c>
      <c r="G7703" s="4" t="str">
        <f>HYPERLINK("http://141.218.60.56/~jnz1568/getInfo.php?workbook=10_05.xlsx&amp;sheet=U0&amp;row=7703&amp;col=7&amp;number=0.0486&amp;sourceID=14","0.0486")</f>
        <v>0.0486</v>
      </c>
    </row>
    <row r="7704" spans="1:7">
      <c r="A7704" s="3">
        <v>10</v>
      </c>
      <c r="B7704" s="3">
        <v>5</v>
      </c>
      <c r="C7704" s="3">
        <v>3</v>
      </c>
      <c r="D7704" s="3">
        <v>32</v>
      </c>
      <c r="E7704" s="3">
        <v>1</v>
      </c>
      <c r="F7704" s="4" t="str">
        <f>HYPERLINK("http://141.218.60.56/~jnz1568/getInfo.php?workbook=10_05.xlsx&amp;sheet=U0&amp;row=7704&amp;col=6&amp;number=3&amp;sourceID=14","3")</f>
        <v>3</v>
      </c>
      <c r="G7704" s="4" t="str">
        <f>HYPERLINK("http://141.218.60.56/~jnz1568/getInfo.php?workbook=10_05.xlsx&amp;sheet=U0&amp;row=7704&amp;col=7&amp;number=0.1&amp;sourceID=14","0.1")</f>
        <v>0.1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HYPERLINK("http://141.218.60.56/~jnz1568/getInfo.php?workbook=10_05.xlsx&amp;sheet=U0&amp;row=7705&amp;col=6&amp;number=3.1&amp;sourceID=14","3.1")</f>
        <v>3.1</v>
      </c>
      <c r="G7705" s="4" t="str">
        <f>HYPERLINK("http://141.218.60.56/~jnz1568/getInfo.php?workbook=10_05.xlsx&amp;sheet=U0&amp;row=7705&amp;col=7&amp;number=0.0998&amp;sourceID=14","0.0998")</f>
        <v>0.0998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HYPERLINK("http://141.218.60.56/~jnz1568/getInfo.php?workbook=10_05.xlsx&amp;sheet=U0&amp;row=7706&amp;col=6&amp;number=3.2&amp;sourceID=14","3.2")</f>
        <v>3.2</v>
      </c>
      <c r="G7706" s="4" t="str">
        <f>HYPERLINK("http://141.218.60.56/~jnz1568/getInfo.php?workbook=10_05.xlsx&amp;sheet=U0&amp;row=7706&amp;col=7&amp;number=0.0989&amp;sourceID=14","0.0989")</f>
        <v>0.0989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HYPERLINK("http://141.218.60.56/~jnz1568/getInfo.php?workbook=10_05.xlsx&amp;sheet=U0&amp;row=7707&amp;col=6&amp;number=3.3&amp;sourceID=14","3.3")</f>
        <v>3.3</v>
      </c>
      <c r="G7707" s="4" t="str">
        <f>HYPERLINK("http://141.218.60.56/~jnz1568/getInfo.php?workbook=10_05.xlsx&amp;sheet=U0&amp;row=7707&amp;col=7&amp;number=0.0979&amp;sourceID=14","0.0979")</f>
        <v>0.0979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HYPERLINK("http://141.218.60.56/~jnz1568/getInfo.php?workbook=10_05.xlsx&amp;sheet=U0&amp;row=7708&amp;col=6&amp;number=3.4&amp;sourceID=14","3.4")</f>
        <v>3.4</v>
      </c>
      <c r="G7708" s="4" t="str">
        <f>HYPERLINK("http://141.218.60.56/~jnz1568/getInfo.php?workbook=10_05.xlsx&amp;sheet=U0&amp;row=7708&amp;col=7&amp;number=0.0966&amp;sourceID=14","0.0966")</f>
        <v>0.0966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HYPERLINK("http://141.218.60.56/~jnz1568/getInfo.php?workbook=10_05.xlsx&amp;sheet=U0&amp;row=7709&amp;col=6&amp;number=3.5&amp;sourceID=14","3.5")</f>
        <v>3.5</v>
      </c>
      <c r="G7709" s="4" t="str">
        <f>HYPERLINK("http://141.218.60.56/~jnz1568/getInfo.php?workbook=10_05.xlsx&amp;sheet=U0&amp;row=7709&amp;col=7&amp;number=0.095&amp;sourceID=14","0.095")</f>
        <v>0.095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HYPERLINK("http://141.218.60.56/~jnz1568/getInfo.php?workbook=10_05.xlsx&amp;sheet=U0&amp;row=7710&amp;col=6&amp;number=3.6&amp;sourceID=14","3.6")</f>
        <v>3.6</v>
      </c>
      <c r="G7710" s="4" t="str">
        <f>HYPERLINK("http://141.218.60.56/~jnz1568/getInfo.php?workbook=10_05.xlsx&amp;sheet=U0&amp;row=7710&amp;col=7&amp;number=0.093&amp;sourceID=14","0.093")</f>
        <v>0.093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HYPERLINK("http://141.218.60.56/~jnz1568/getInfo.php?workbook=10_05.xlsx&amp;sheet=U0&amp;row=7711&amp;col=6&amp;number=3.7&amp;sourceID=14","3.7")</f>
        <v>3.7</v>
      </c>
      <c r="G7711" s="4" t="str">
        <f>HYPERLINK("http://141.218.60.56/~jnz1568/getInfo.php?workbook=10_05.xlsx&amp;sheet=U0&amp;row=7711&amp;col=7&amp;number=0.0906&amp;sourceID=14","0.0906")</f>
        <v>0.0906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HYPERLINK("http://141.218.60.56/~jnz1568/getInfo.php?workbook=10_05.xlsx&amp;sheet=U0&amp;row=7712&amp;col=6&amp;number=3.8&amp;sourceID=14","3.8")</f>
        <v>3.8</v>
      </c>
      <c r="G7712" s="4" t="str">
        <f>HYPERLINK("http://141.218.60.56/~jnz1568/getInfo.php?workbook=10_05.xlsx&amp;sheet=U0&amp;row=7712&amp;col=7&amp;number=0.0877&amp;sourceID=14","0.0877")</f>
        <v>0.0877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HYPERLINK("http://141.218.60.56/~jnz1568/getInfo.php?workbook=10_05.xlsx&amp;sheet=U0&amp;row=7713&amp;col=6&amp;number=3.9&amp;sourceID=14","3.9")</f>
        <v>3.9</v>
      </c>
      <c r="G7713" s="4" t="str">
        <f>HYPERLINK("http://141.218.60.56/~jnz1568/getInfo.php?workbook=10_05.xlsx&amp;sheet=U0&amp;row=7713&amp;col=7&amp;number=0.0844&amp;sourceID=14","0.0844")</f>
        <v>0.0844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HYPERLINK("http://141.218.60.56/~jnz1568/getInfo.php?workbook=10_05.xlsx&amp;sheet=U0&amp;row=7714&amp;col=6&amp;number=4&amp;sourceID=14","4")</f>
        <v>4</v>
      </c>
      <c r="G7714" s="4" t="str">
        <f>HYPERLINK("http://141.218.60.56/~jnz1568/getInfo.php?workbook=10_05.xlsx&amp;sheet=U0&amp;row=7714&amp;col=7&amp;number=0.0806&amp;sourceID=14","0.0806")</f>
        <v>0.0806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HYPERLINK("http://141.218.60.56/~jnz1568/getInfo.php?workbook=10_05.xlsx&amp;sheet=U0&amp;row=7715&amp;col=6&amp;number=4.1&amp;sourceID=14","4.1")</f>
        <v>4.1</v>
      </c>
      <c r="G7715" s="4" t="str">
        <f>HYPERLINK("http://141.218.60.56/~jnz1568/getInfo.php?workbook=10_05.xlsx&amp;sheet=U0&amp;row=7715&amp;col=7&amp;number=0.0765&amp;sourceID=14","0.0765")</f>
        <v>0.0765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HYPERLINK("http://141.218.60.56/~jnz1568/getInfo.php?workbook=10_05.xlsx&amp;sheet=U0&amp;row=7716&amp;col=6&amp;number=4.2&amp;sourceID=14","4.2")</f>
        <v>4.2</v>
      </c>
      <c r="G7716" s="4" t="str">
        <f>HYPERLINK("http://141.218.60.56/~jnz1568/getInfo.php?workbook=10_05.xlsx&amp;sheet=U0&amp;row=7716&amp;col=7&amp;number=0.0723&amp;sourceID=14","0.0723")</f>
        <v>0.0723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HYPERLINK("http://141.218.60.56/~jnz1568/getInfo.php?workbook=10_05.xlsx&amp;sheet=U0&amp;row=7717&amp;col=6&amp;number=4.3&amp;sourceID=14","4.3")</f>
        <v>4.3</v>
      </c>
      <c r="G7717" s="4" t="str">
        <f>HYPERLINK("http://141.218.60.56/~jnz1568/getInfo.php?workbook=10_05.xlsx&amp;sheet=U0&amp;row=7717&amp;col=7&amp;number=0.0683&amp;sourceID=14","0.0683")</f>
        <v>0.0683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HYPERLINK("http://141.218.60.56/~jnz1568/getInfo.php?workbook=10_05.xlsx&amp;sheet=U0&amp;row=7718&amp;col=6&amp;number=4.4&amp;sourceID=14","4.4")</f>
        <v>4.4</v>
      </c>
      <c r="G7718" s="4" t="str">
        <f>HYPERLINK("http://141.218.60.56/~jnz1568/getInfo.php?workbook=10_05.xlsx&amp;sheet=U0&amp;row=7718&amp;col=7&amp;number=0.0645&amp;sourceID=14","0.0645")</f>
        <v>0.0645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HYPERLINK("http://141.218.60.56/~jnz1568/getInfo.php?workbook=10_05.xlsx&amp;sheet=U0&amp;row=7719&amp;col=6&amp;number=4.5&amp;sourceID=14","4.5")</f>
        <v>4.5</v>
      </c>
      <c r="G7719" s="4" t="str">
        <f>HYPERLINK("http://141.218.60.56/~jnz1568/getInfo.php?workbook=10_05.xlsx&amp;sheet=U0&amp;row=7719&amp;col=7&amp;number=0.0606&amp;sourceID=14","0.0606")</f>
        <v>0.0606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HYPERLINK("http://141.218.60.56/~jnz1568/getInfo.php?workbook=10_05.xlsx&amp;sheet=U0&amp;row=7720&amp;col=6&amp;number=4.6&amp;sourceID=14","4.6")</f>
        <v>4.6</v>
      </c>
      <c r="G7720" s="4" t="str">
        <f>HYPERLINK("http://141.218.60.56/~jnz1568/getInfo.php?workbook=10_05.xlsx&amp;sheet=U0&amp;row=7720&amp;col=7&amp;number=0.0562&amp;sourceID=14","0.0562")</f>
        <v>0.0562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HYPERLINK("http://141.218.60.56/~jnz1568/getInfo.php?workbook=10_05.xlsx&amp;sheet=U0&amp;row=7721&amp;col=6&amp;number=4.7&amp;sourceID=14","4.7")</f>
        <v>4.7</v>
      </c>
      <c r="G7721" s="4" t="str">
        <f>HYPERLINK("http://141.218.60.56/~jnz1568/getInfo.php?workbook=10_05.xlsx&amp;sheet=U0&amp;row=7721&amp;col=7&amp;number=0.0515&amp;sourceID=14","0.0515")</f>
        <v>0.0515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HYPERLINK("http://141.218.60.56/~jnz1568/getInfo.php?workbook=10_05.xlsx&amp;sheet=U0&amp;row=7722&amp;col=6&amp;number=4.8&amp;sourceID=14","4.8")</f>
        <v>4.8</v>
      </c>
      <c r="G7722" s="4" t="str">
        <f>HYPERLINK("http://141.218.60.56/~jnz1568/getInfo.php?workbook=10_05.xlsx&amp;sheet=U0&amp;row=7722&amp;col=7&amp;number=0.0467&amp;sourceID=14","0.0467")</f>
        <v>0.0467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HYPERLINK("http://141.218.60.56/~jnz1568/getInfo.php?workbook=10_05.xlsx&amp;sheet=U0&amp;row=7723&amp;col=6&amp;number=4.9&amp;sourceID=14","4.9")</f>
        <v>4.9</v>
      </c>
      <c r="G7723" s="4" t="str">
        <f>HYPERLINK("http://141.218.60.56/~jnz1568/getInfo.php?workbook=10_05.xlsx&amp;sheet=U0&amp;row=7723&amp;col=7&amp;number=0.0421&amp;sourceID=14","0.0421")</f>
        <v>0.0421</v>
      </c>
    </row>
    <row r="7724" spans="1:7">
      <c r="A7724" s="3">
        <v>10</v>
      </c>
      <c r="B7724" s="3">
        <v>5</v>
      </c>
      <c r="C7724" s="3">
        <v>3</v>
      </c>
      <c r="D7724" s="3">
        <v>33</v>
      </c>
      <c r="E7724" s="3">
        <v>1</v>
      </c>
      <c r="F7724" s="4" t="str">
        <f>HYPERLINK("http://141.218.60.56/~jnz1568/getInfo.php?workbook=10_05.xlsx&amp;sheet=U0&amp;row=7724&amp;col=6&amp;number=3&amp;sourceID=14","3")</f>
        <v>3</v>
      </c>
      <c r="G7724" s="4" t="str">
        <f>HYPERLINK("http://141.218.60.56/~jnz1568/getInfo.php?workbook=10_05.xlsx&amp;sheet=U0&amp;row=7724&amp;col=7&amp;number=0.221&amp;sourceID=14","0.221")</f>
        <v>0.221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HYPERLINK("http://141.218.60.56/~jnz1568/getInfo.php?workbook=10_05.xlsx&amp;sheet=U0&amp;row=7725&amp;col=6&amp;number=3.1&amp;sourceID=14","3.1")</f>
        <v>3.1</v>
      </c>
      <c r="G7725" s="4" t="str">
        <f>HYPERLINK("http://141.218.60.56/~jnz1568/getInfo.php?workbook=10_05.xlsx&amp;sheet=U0&amp;row=7725&amp;col=7&amp;number=0.223&amp;sourceID=14","0.223")</f>
        <v>0.223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HYPERLINK("http://141.218.60.56/~jnz1568/getInfo.php?workbook=10_05.xlsx&amp;sheet=U0&amp;row=7726&amp;col=6&amp;number=3.2&amp;sourceID=14","3.2")</f>
        <v>3.2</v>
      </c>
      <c r="G7726" s="4" t="str">
        <f>HYPERLINK("http://141.218.60.56/~jnz1568/getInfo.php?workbook=10_05.xlsx&amp;sheet=U0&amp;row=7726&amp;col=7&amp;number=0.226&amp;sourceID=14","0.226")</f>
        <v>0.226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HYPERLINK("http://141.218.60.56/~jnz1568/getInfo.php?workbook=10_05.xlsx&amp;sheet=U0&amp;row=7727&amp;col=6&amp;number=3.3&amp;sourceID=14","3.3")</f>
        <v>3.3</v>
      </c>
      <c r="G7727" s="4" t="str">
        <f>HYPERLINK("http://141.218.60.56/~jnz1568/getInfo.php?workbook=10_05.xlsx&amp;sheet=U0&amp;row=7727&amp;col=7&amp;number=0.229&amp;sourceID=14","0.229")</f>
        <v>0.229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HYPERLINK("http://141.218.60.56/~jnz1568/getInfo.php?workbook=10_05.xlsx&amp;sheet=U0&amp;row=7728&amp;col=6&amp;number=3.4&amp;sourceID=14","3.4")</f>
        <v>3.4</v>
      </c>
      <c r="G7728" s="4" t="str">
        <f>HYPERLINK("http://141.218.60.56/~jnz1568/getInfo.php?workbook=10_05.xlsx&amp;sheet=U0&amp;row=7728&amp;col=7&amp;number=0.234&amp;sourceID=14","0.234")</f>
        <v>0.234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HYPERLINK("http://141.218.60.56/~jnz1568/getInfo.php?workbook=10_05.xlsx&amp;sheet=U0&amp;row=7729&amp;col=6&amp;number=3.5&amp;sourceID=14","3.5")</f>
        <v>3.5</v>
      </c>
      <c r="G7729" s="4" t="str">
        <f>HYPERLINK("http://141.218.60.56/~jnz1568/getInfo.php?workbook=10_05.xlsx&amp;sheet=U0&amp;row=7729&amp;col=7&amp;number=0.239&amp;sourceID=14","0.239")</f>
        <v>0.239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HYPERLINK("http://141.218.60.56/~jnz1568/getInfo.php?workbook=10_05.xlsx&amp;sheet=U0&amp;row=7730&amp;col=6&amp;number=3.6&amp;sourceID=14","3.6")</f>
        <v>3.6</v>
      </c>
      <c r="G7730" s="4" t="str">
        <f>HYPERLINK("http://141.218.60.56/~jnz1568/getInfo.php?workbook=10_05.xlsx&amp;sheet=U0&amp;row=7730&amp;col=7&amp;number=0.245&amp;sourceID=14","0.245")</f>
        <v>0.245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HYPERLINK("http://141.218.60.56/~jnz1568/getInfo.php?workbook=10_05.xlsx&amp;sheet=U0&amp;row=7731&amp;col=6&amp;number=3.7&amp;sourceID=14","3.7")</f>
        <v>3.7</v>
      </c>
      <c r="G7731" s="4" t="str">
        <f>HYPERLINK("http://141.218.60.56/~jnz1568/getInfo.php?workbook=10_05.xlsx&amp;sheet=U0&amp;row=7731&amp;col=7&amp;number=0.252&amp;sourceID=14","0.252")</f>
        <v>0.252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HYPERLINK("http://141.218.60.56/~jnz1568/getInfo.php?workbook=10_05.xlsx&amp;sheet=U0&amp;row=7732&amp;col=6&amp;number=3.8&amp;sourceID=14","3.8")</f>
        <v>3.8</v>
      </c>
      <c r="G7732" s="4" t="str">
        <f>HYPERLINK("http://141.218.60.56/~jnz1568/getInfo.php?workbook=10_05.xlsx&amp;sheet=U0&amp;row=7732&amp;col=7&amp;number=0.26&amp;sourceID=14","0.26")</f>
        <v>0.26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HYPERLINK("http://141.218.60.56/~jnz1568/getInfo.php?workbook=10_05.xlsx&amp;sheet=U0&amp;row=7733&amp;col=6&amp;number=3.9&amp;sourceID=14","3.9")</f>
        <v>3.9</v>
      </c>
      <c r="G7733" s="4" t="str">
        <f>HYPERLINK("http://141.218.60.56/~jnz1568/getInfo.php?workbook=10_05.xlsx&amp;sheet=U0&amp;row=7733&amp;col=7&amp;number=0.269&amp;sourceID=14","0.269")</f>
        <v>0.269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HYPERLINK("http://141.218.60.56/~jnz1568/getInfo.php?workbook=10_05.xlsx&amp;sheet=U0&amp;row=7734&amp;col=6&amp;number=4&amp;sourceID=14","4")</f>
        <v>4</v>
      </c>
      <c r="G7734" s="4" t="str">
        <f>HYPERLINK("http://141.218.60.56/~jnz1568/getInfo.php?workbook=10_05.xlsx&amp;sheet=U0&amp;row=7734&amp;col=7&amp;number=0.276&amp;sourceID=14","0.276")</f>
        <v>0.276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HYPERLINK("http://141.218.60.56/~jnz1568/getInfo.php?workbook=10_05.xlsx&amp;sheet=U0&amp;row=7735&amp;col=6&amp;number=4.1&amp;sourceID=14","4.1")</f>
        <v>4.1</v>
      </c>
      <c r="G7735" s="4" t="str">
        <f>HYPERLINK("http://141.218.60.56/~jnz1568/getInfo.php?workbook=10_05.xlsx&amp;sheet=U0&amp;row=7735&amp;col=7&amp;number=0.282&amp;sourceID=14","0.282")</f>
        <v>0.282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HYPERLINK("http://141.218.60.56/~jnz1568/getInfo.php?workbook=10_05.xlsx&amp;sheet=U0&amp;row=7736&amp;col=6&amp;number=4.2&amp;sourceID=14","4.2")</f>
        <v>4.2</v>
      </c>
      <c r="G7736" s="4" t="str">
        <f>HYPERLINK("http://141.218.60.56/~jnz1568/getInfo.php?workbook=10_05.xlsx&amp;sheet=U0&amp;row=7736&amp;col=7&amp;number=0.284&amp;sourceID=14","0.284")</f>
        <v>0.284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HYPERLINK("http://141.218.60.56/~jnz1568/getInfo.php?workbook=10_05.xlsx&amp;sheet=U0&amp;row=7737&amp;col=6&amp;number=4.3&amp;sourceID=14","4.3")</f>
        <v>4.3</v>
      </c>
      <c r="G7737" s="4" t="str">
        <f>HYPERLINK("http://141.218.60.56/~jnz1568/getInfo.php?workbook=10_05.xlsx&amp;sheet=U0&amp;row=7737&amp;col=7&amp;number=0.284&amp;sourceID=14","0.284")</f>
        <v>0.284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HYPERLINK("http://141.218.60.56/~jnz1568/getInfo.php?workbook=10_05.xlsx&amp;sheet=U0&amp;row=7738&amp;col=6&amp;number=4.4&amp;sourceID=14","4.4")</f>
        <v>4.4</v>
      </c>
      <c r="G7738" s="4" t="str">
        <f>HYPERLINK("http://141.218.60.56/~jnz1568/getInfo.php?workbook=10_05.xlsx&amp;sheet=U0&amp;row=7738&amp;col=7&amp;number=0.282&amp;sourceID=14","0.282")</f>
        <v>0.282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HYPERLINK("http://141.218.60.56/~jnz1568/getInfo.php?workbook=10_05.xlsx&amp;sheet=U0&amp;row=7739&amp;col=6&amp;number=4.5&amp;sourceID=14","4.5")</f>
        <v>4.5</v>
      </c>
      <c r="G7739" s="4" t="str">
        <f>HYPERLINK("http://141.218.60.56/~jnz1568/getInfo.php?workbook=10_05.xlsx&amp;sheet=U0&amp;row=7739&amp;col=7&amp;number=0.281&amp;sourceID=14","0.281")</f>
        <v>0.281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HYPERLINK("http://141.218.60.56/~jnz1568/getInfo.php?workbook=10_05.xlsx&amp;sheet=U0&amp;row=7740&amp;col=6&amp;number=4.6&amp;sourceID=14","4.6")</f>
        <v>4.6</v>
      </c>
      <c r="G7740" s="4" t="str">
        <f>HYPERLINK("http://141.218.60.56/~jnz1568/getInfo.php?workbook=10_05.xlsx&amp;sheet=U0&amp;row=7740&amp;col=7&amp;number=0.278&amp;sourceID=14","0.278")</f>
        <v>0.278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HYPERLINK("http://141.218.60.56/~jnz1568/getInfo.php?workbook=10_05.xlsx&amp;sheet=U0&amp;row=7741&amp;col=6&amp;number=4.7&amp;sourceID=14","4.7")</f>
        <v>4.7</v>
      </c>
      <c r="G7741" s="4" t="str">
        <f>HYPERLINK("http://141.218.60.56/~jnz1568/getInfo.php?workbook=10_05.xlsx&amp;sheet=U0&amp;row=7741&amp;col=7&amp;number=0.274&amp;sourceID=14","0.274")</f>
        <v>0.274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HYPERLINK("http://141.218.60.56/~jnz1568/getInfo.php?workbook=10_05.xlsx&amp;sheet=U0&amp;row=7742&amp;col=6&amp;number=4.8&amp;sourceID=14","4.8")</f>
        <v>4.8</v>
      </c>
      <c r="G7742" s="4" t="str">
        <f>HYPERLINK("http://141.218.60.56/~jnz1568/getInfo.php?workbook=10_05.xlsx&amp;sheet=U0&amp;row=7742&amp;col=7&amp;number=0.268&amp;sourceID=14","0.268")</f>
        <v>0.268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HYPERLINK("http://141.218.60.56/~jnz1568/getInfo.php?workbook=10_05.xlsx&amp;sheet=U0&amp;row=7743&amp;col=6&amp;number=4.9&amp;sourceID=14","4.9")</f>
        <v>4.9</v>
      </c>
      <c r="G7743" s="4" t="str">
        <f>HYPERLINK("http://141.218.60.56/~jnz1568/getInfo.php?workbook=10_05.xlsx&amp;sheet=U0&amp;row=7743&amp;col=7&amp;number=0.262&amp;sourceID=14","0.262")</f>
        <v>0.262</v>
      </c>
    </row>
    <row r="7744" spans="1:7">
      <c r="A7744" s="3">
        <v>10</v>
      </c>
      <c r="B7744" s="3">
        <v>5</v>
      </c>
      <c r="C7744" s="3">
        <v>3</v>
      </c>
      <c r="D7744" s="3">
        <v>34</v>
      </c>
      <c r="E7744" s="3">
        <v>1</v>
      </c>
      <c r="F7744" s="4" t="str">
        <f>HYPERLINK("http://141.218.60.56/~jnz1568/getInfo.php?workbook=10_05.xlsx&amp;sheet=U0&amp;row=7744&amp;col=6&amp;number=3&amp;sourceID=14","3")</f>
        <v>3</v>
      </c>
      <c r="G7744" s="4" t="str">
        <f>HYPERLINK("http://141.218.60.56/~jnz1568/getInfo.php?workbook=10_05.xlsx&amp;sheet=U0&amp;row=7744&amp;col=7&amp;number=0.08&amp;sourceID=14","0.08")</f>
        <v>0.08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HYPERLINK("http://141.218.60.56/~jnz1568/getInfo.php?workbook=10_05.xlsx&amp;sheet=U0&amp;row=7745&amp;col=6&amp;number=3.1&amp;sourceID=14","3.1")</f>
        <v>3.1</v>
      </c>
      <c r="G7745" s="4" t="str">
        <f>HYPERLINK("http://141.218.60.56/~jnz1568/getInfo.php?workbook=10_05.xlsx&amp;sheet=U0&amp;row=7745&amp;col=7&amp;number=0.0806&amp;sourceID=14","0.0806")</f>
        <v>0.0806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HYPERLINK("http://141.218.60.56/~jnz1568/getInfo.php?workbook=10_05.xlsx&amp;sheet=U0&amp;row=7746&amp;col=6&amp;number=3.2&amp;sourceID=14","3.2")</f>
        <v>3.2</v>
      </c>
      <c r="G7746" s="4" t="str">
        <f>HYPERLINK("http://141.218.60.56/~jnz1568/getInfo.php?workbook=10_05.xlsx&amp;sheet=U0&amp;row=7746&amp;col=7&amp;number=0.0813&amp;sourceID=14","0.0813")</f>
        <v>0.0813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HYPERLINK("http://141.218.60.56/~jnz1568/getInfo.php?workbook=10_05.xlsx&amp;sheet=U0&amp;row=7747&amp;col=6&amp;number=3.3&amp;sourceID=14","3.3")</f>
        <v>3.3</v>
      </c>
      <c r="G7747" s="4" t="str">
        <f>HYPERLINK("http://141.218.60.56/~jnz1568/getInfo.php?workbook=10_05.xlsx&amp;sheet=U0&amp;row=7747&amp;col=7&amp;number=0.0822&amp;sourceID=14","0.0822")</f>
        <v>0.0822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HYPERLINK("http://141.218.60.56/~jnz1568/getInfo.php?workbook=10_05.xlsx&amp;sheet=U0&amp;row=7748&amp;col=6&amp;number=3.4&amp;sourceID=14","3.4")</f>
        <v>3.4</v>
      </c>
      <c r="G7748" s="4" t="str">
        <f>HYPERLINK("http://141.218.60.56/~jnz1568/getInfo.php?workbook=10_05.xlsx&amp;sheet=U0&amp;row=7748&amp;col=7&amp;number=0.0833&amp;sourceID=14","0.0833")</f>
        <v>0.0833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HYPERLINK("http://141.218.60.56/~jnz1568/getInfo.php?workbook=10_05.xlsx&amp;sheet=U0&amp;row=7749&amp;col=6&amp;number=3.5&amp;sourceID=14","3.5")</f>
        <v>3.5</v>
      </c>
      <c r="G7749" s="4" t="str">
        <f>HYPERLINK("http://141.218.60.56/~jnz1568/getInfo.php?workbook=10_05.xlsx&amp;sheet=U0&amp;row=7749&amp;col=7&amp;number=0.0846&amp;sourceID=14","0.0846")</f>
        <v>0.0846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HYPERLINK("http://141.218.60.56/~jnz1568/getInfo.php?workbook=10_05.xlsx&amp;sheet=U0&amp;row=7750&amp;col=6&amp;number=3.6&amp;sourceID=14","3.6")</f>
        <v>3.6</v>
      </c>
      <c r="G7750" s="4" t="str">
        <f>HYPERLINK("http://141.218.60.56/~jnz1568/getInfo.php?workbook=10_05.xlsx&amp;sheet=U0&amp;row=7750&amp;col=7&amp;number=0.0861&amp;sourceID=14","0.0861")</f>
        <v>0.0861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HYPERLINK("http://141.218.60.56/~jnz1568/getInfo.php?workbook=10_05.xlsx&amp;sheet=U0&amp;row=7751&amp;col=6&amp;number=3.7&amp;sourceID=14","3.7")</f>
        <v>3.7</v>
      </c>
      <c r="G7751" s="4" t="str">
        <f>HYPERLINK("http://141.218.60.56/~jnz1568/getInfo.php?workbook=10_05.xlsx&amp;sheet=U0&amp;row=7751&amp;col=7&amp;number=0.0878&amp;sourceID=14","0.0878")</f>
        <v>0.0878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HYPERLINK("http://141.218.60.56/~jnz1568/getInfo.php?workbook=10_05.xlsx&amp;sheet=U0&amp;row=7752&amp;col=6&amp;number=3.8&amp;sourceID=14","3.8")</f>
        <v>3.8</v>
      </c>
      <c r="G7752" s="4" t="str">
        <f>HYPERLINK("http://141.218.60.56/~jnz1568/getInfo.php?workbook=10_05.xlsx&amp;sheet=U0&amp;row=7752&amp;col=7&amp;number=0.0897&amp;sourceID=14","0.0897")</f>
        <v>0.0897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HYPERLINK("http://141.218.60.56/~jnz1568/getInfo.php?workbook=10_05.xlsx&amp;sheet=U0&amp;row=7753&amp;col=6&amp;number=3.9&amp;sourceID=14","3.9")</f>
        <v>3.9</v>
      </c>
      <c r="G7753" s="4" t="str">
        <f>HYPERLINK("http://141.218.60.56/~jnz1568/getInfo.php?workbook=10_05.xlsx&amp;sheet=U0&amp;row=7753&amp;col=7&amp;number=0.0913&amp;sourceID=14","0.0913")</f>
        <v>0.0913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HYPERLINK("http://141.218.60.56/~jnz1568/getInfo.php?workbook=10_05.xlsx&amp;sheet=U0&amp;row=7754&amp;col=6&amp;number=4&amp;sourceID=14","4")</f>
        <v>4</v>
      </c>
      <c r="G7754" s="4" t="str">
        <f>HYPERLINK("http://141.218.60.56/~jnz1568/getInfo.php?workbook=10_05.xlsx&amp;sheet=U0&amp;row=7754&amp;col=7&amp;number=0.0923&amp;sourceID=14","0.0923")</f>
        <v>0.0923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HYPERLINK("http://141.218.60.56/~jnz1568/getInfo.php?workbook=10_05.xlsx&amp;sheet=U0&amp;row=7755&amp;col=6&amp;number=4.1&amp;sourceID=14","4.1")</f>
        <v>4.1</v>
      </c>
      <c r="G7755" s="4" t="str">
        <f>HYPERLINK("http://141.218.60.56/~jnz1568/getInfo.php?workbook=10_05.xlsx&amp;sheet=U0&amp;row=7755&amp;col=7&amp;number=0.0921&amp;sourceID=14","0.0921")</f>
        <v>0.0921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HYPERLINK("http://141.218.60.56/~jnz1568/getInfo.php?workbook=10_05.xlsx&amp;sheet=U0&amp;row=7756&amp;col=6&amp;number=4.2&amp;sourceID=14","4.2")</f>
        <v>4.2</v>
      </c>
      <c r="G7756" s="4" t="str">
        <f>HYPERLINK("http://141.218.60.56/~jnz1568/getInfo.php?workbook=10_05.xlsx&amp;sheet=U0&amp;row=7756&amp;col=7&amp;number=0.0902&amp;sourceID=14","0.0902")</f>
        <v>0.0902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HYPERLINK("http://141.218.60.56/~jnz1568/getInfo.php?workbook=10_05.xlsx&amp;sheet=U0&amp;row=7757&amp;col=6&amp;number=4.3&amp;sourceID=14","4.3")</f>
        <v>4.3</v>
      </c>
      <c r="G7757" s="4" t="str">
        <f>HYPERLINK("http://141.218.60.56/~jnz1568/getInfo.php?workbook=10_05.xlsx&amp;sheet=U0&amp;row=7757&amp;col=7&amp;number=0.0868&amp;sourceID=14","0.0868")</f>
        <v>0.0868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HYPERLINK("http://141.218.60.56/~jnz1568/getInfo.php?workbook=10_05.xlsx&amp;sheet=U0&amp;row=7758&amp;col=6&amp;number=4.4&amp;sourceID=14","4.4")</f>
        <v>4.4</v>
      </c>
      <c r="G7758" s="4" t="str">
        <f>HYPERLINK("http://141.218.60.56/~jnz1568/getInfo.php?workbook=10_05.xlsx&amp;sheet=U0&amp;row=7758&amp;col=7&amp;number=0.0827&amp;sourceID=14","0.0827")</f>
        <v>0.0827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HYPERLINK("http://141.218.60.56/~jnz1568/getInfo.php?workbook=10_05.xlsx&amp;sheet=U0&amp;row=7759&amp;col=6&amp;number=4.5&amp;sourceID=14","4.5")</f>
        <v>4.5</v>
      </c>
      <c r="G7759" s="4" t="str">
        <f>HYPERLINK("http://141.218.60.56/~jnz1568/getInfo.php?workbook=10_05.xlsx&amp;sheet=U0&amp;row=7759&amp;col=7&amp;number=0.0785&amp;sourceID=14","0.0785")</f>
        <v>0.0785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HYPERLINK("http://141.218.60.56/~jnz1568/getInfo.php?workbook=10_05.xlsx&amp;sheet=U0&amp;row=7760&amp;col=6&amp;number=4.6&amp;sourceID=14","4.6")</f>
        <v>4.6</v>
      </c>
      <c r="G7760" s="4" t="str">
        <f>HYPERLINK("http://141.218.60.56/~jnz1568/getInfo.php?workbook=10_05.xlsx&amp;sheet=U0&amp;row=7760&amp;col=7&amp;number=0.0739&amp;sourceID=14","0.0739")</f>
        <v>0.0739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HYPERLINK("http://141.218.60.56/~jnz1568/getInfo.php?workbook=10_05.xlsx&amp;sheet=U0&amp;row=7761&amp;col=6&amp;number=4.7&amp;sourceID=14","4.7")</f>
        <v>4.7</v>
      </c>
      <c r="G7761" s="4" t="str">
        <f>HYPERLINK("http://141.218.60.56/~jnz1568/getInfo.php?workbook=10_05.xlsx&amp;sheet=U0&amp;row=7761&amp;col=7&amp;number=0.0682&amp;sourceID=14","0.0682")</f>
        <v>0.0682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HYPERLINK("http://141.218.60.56/~jnz1568/getInfo.php?workbook=10_05.xlsx&amp;sheet=U0&amp;row=7762&amp;col=6&amp;number=4.8&amp;sourceID=14","4.8")</f>
        <v>4.8</v>
      </c>
      <c r="G7762" s="4" t="str">
        <f>HYPERLINK("http://141.218.60.56/~jnz1568/getInfo.php?workbook=10_05.xlsx&amp;sheet=U0&amp;row=7762&amp;col=7&amp;number=0.062&amp;sourceID=14","0.062")</f>
        <v>0.062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HYPERLINK("http://141.218.60.56/~jnz1568/getInfo.php?workbook=10_05.xlsx&amp;sheet=U0&amp;row=7763&amp;col=6&amp;number=4.9&amp;sourceID=14","4.9")</f>
        <v>4.9</v>
      </c>
      <c r="G7763" s="4" t="str">
        <f>HYPERLINK("http://141.218.60.56/~jnz1568/getInfo.php?workbook=10_05.xlsx&amp;sheet=U0&amp;row=7763&amp;col=7&amp;number=0.0565&amp;sourceID=14","0.0565")</f>
        <v>0.0565</v>
      </c>
    </row>
    <row r="7764" spans="1:7">
      <c r="A7764" s="3">
        <v>10</v>
      </c>
      <c r="B7764" s="3">
        <v>5</v>
      </c>
      <c r="C7764" s="3">
        <v>3</v>
      </c>
      <c r="D7764" s="3">
        <v>35</v>
      </c>
      <c r="E7764" s="3">
        <v>1</v>
      </c>
      <c r="F7764" s="4" t="str">
        <f>HYPERLINK("http://141.218.60.56/~jnz1568/getInfo.php?workbook=10_05.xlsx&amp;sheet=U0&amp;row=7764&amp;col=6&amp;number=3&amp;sourceID=14","3")</f>
        <v>3</v>
      </c>
      <c r="G7764" s="4" t="str">
        <f>HYPERLINK("http://141.218.60.56/~jnz1568/getInfo.php?workbook=10_05.xlsx&amp;sheet=U0&amp;row=7764&amp;col=7&amp;number=0.173&amp;sourceID=14","0.173")</f>
        <v>0.173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HYPERLINK("http://141.218.60.56/~jnz1568/getInfo.php?workbook=10_05.xlsx&amp;sheet=U0&amp;row=7765&amp;col=6&amp;number=3.1&amp;sourceID=14","3.1")</f>
        <v>3.1</v>
      </c>
      <c r="G7765" s="4" t="str">
        <f>HYPERLINK("http://141.218.60.56/~jnz1568/getInfo.php?workbook=10_05.xlsx&amp;sheet=U0&amp;row=7765&amp;col=7&amp;number=0.172&amp;sourceID=14","0.172")</f>
        <v>0.172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HYPERLINK("http://141.218.60.56/~jnz1568/getInfo.php?workbook=10_05.xlsx&amp;sheet=U0&amp;row=7766&amp;col=6&amp;number=3.2&amp;sourceID=14","3.2")</f>
        <v>3.2</v>
      </c>
      <c r="G7766" s="4" t="str">
        <f>HYPERLINK("http://141.218.60.56/~jnz1568/getInfo.php?workbook=10_05.xlsx&amp;sheet=U0&amp;row=7766&amp;col=7&amp;number=0.17&amp;sourceID=14","0.17")</f>
        <v>0.17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HYPERLINK("http://141.218.60.56/~jnz1568/getInfo.php?workbook=10_05.xlsx&amp;sheet=U0&amp;row=7767&amp;col=6&amp;number=3.3&amp;sourceID=14","3.3")</f>
        <v>3.3</v>
      </c>
      <c r="G7767" s="4" t="str">
        <f>HYPERLINK("http://141.218.60.56/~jnz1568/getInfo.php?workbook=10_05.xlsx&amp;sheet=U0&amp;row=7767&amp;col=7&amp;number=0.168&amp;sourceID=14","0.168")</f>
        <v>0.168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HYPERLINK("http://141.218.60.56/~jnz1568/getInfo.php?workbook=10_05.xlsx&amp;sheet=U0&amp;row=7768&amp;col=6&amp;number=3.4&amp;sourceID=14","3.4")</f>
        <v>3.4</v>
      </c>
      <c r="G7768" s="4" t="str">
        <f>HYPERLINK("http://141.218.60.56/~jnz1568/getInfo.php?workbook=10_05.xlsx&amp;sheet=U0&amp;row=7768&amp;col=7&amp;number=0.165&amp;sourceID=14","0.165")</f>
        <v>0.165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HYPERLINK("http://141.218.60.56/~jnz1568/getInfo.php?workbook=10_05.xlsx&amp;sheet=U0&amp;row=7769&amp;col=6&amp;number=3.5&amp;sourceID=14","3.5")</f>
        <v>3.5</v>
      </c>
      <c r="G7769" s="4" t="str">
        <f>HYPERLINK("http://141.218.60.56/~jnz1568/getInfo.php?workbook=10_05.xlsx&amp;sheet=U0&amp;row=7769&amp;col=7&amp;number=0.162&amp;sourceID=14","0.162")</f>
        <v>0.162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HYPERLINK("http://141.218.60.56/~jnz1568/getInfo.php?workbook=10_05.xlsx&amp;sheet=U0&amp;row=7770&amp;col=6&amp;number=3.6&amp;sourceID=14","3.6")</f>
        <v>3.6</v>
      </c>
      <c r="G7770" s="4" t="str">
        <f>HYPERLINK("http://141.218.60.56/~jnz1568/getInfo.php?workbook=10_05.xlsx&amp;sheet=U0&amp;row=7770&amp;col=7&amp;number=0.158&amp;sourceID=14","0.158")</f>
        <v>0.158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HYPERLINK("http://141.218.60.56/~jnz1568/getInfo.php?workbook=10_05.xlsx&amp;sheet=U0&amp;row=7771&amp;col=6&amp;number=3.7&amp;sourceID=14","3.7")</f>
        <v>3.7</v>
      </c>
      <c r="G7771" s="4" t="str">
        <f>HYPERLINK("http://141.218.60.56/~jnz1568/getInfo.php?workbook=10_05.xlsx&amp;sheet=U0&amp;row=7771&amp;col=7&amp;number=0.153&amp;sourceID=14","0.153")</f>
        <v>0.153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HYPERLINK("http://141.218.60.56/~jnz1568/getInfo.php?workbook=10_05.xlsx&amp;sheet=U0&amp;row=7772&amp;col=6&amp;number=3.8&amp;sourceID=14","3.8")</f>
        <v>3.8</v>
      </c>
      <c r="G7772" s="4" t="str">
        <f>HYPERLINK("http://141.218.60.56/~jnz1568/getInfo.php?workbook=10_05.xlsx&amp;sheet=U0&amp;row=7772&amp;col=7&amp;number=0.147&amp;sourceID=14","0.147")</f>
        <v>0.147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HYPERLINK("http://141.218.60.56/~jnz1568/getInfo.php?workbook=10_05.xlsx&amp;sheet=U0&amp;row=7773&amp;col=6&amp;number=3.9&amp;sourceID=14","3.9")</f>
        <v>3.9</v>
      </c>
      <c r="G7773" s="4" t="str">
        <f>HYPERLINK("http://141.218.60.56/~jnz1568/getInfo.php?workbook=10_05.xlsx&amp;sheet=U0&amp;row=7773&amp;col=7&amp;number=0.14&amp;sourceID=14","0.14")</f>
        <v>0.14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HYPERLINK("http://141.218.60.56/~jnz1568/getInfo.php?workbook=10_05.xlsx&amp;sheet=U0&amp;row=7774&amp;col=6&amp;number=4&amp;sourceID=14","4")</f>
        <v>4</v>
      </c>
      <c r="G7774" s="4" t="str">
        <f>HYPERLINK("http://141.218.60.56/~jnz1568/getInfo.php?workbook=10_05.xlsx&amp;sheet=U0&amp;row=7774&amp;col=7&amp;number=0.133&amp;sourceID=14","0.133")</f>
        <v>0.133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HYPERLINK("http://141.218.60.56/~jnz1568/getInfo.php?workbook=10_05.xlsx&amp;sheet=U0&amp;row=7775&amp;col=6&amp;number=4.1&amp;sourceID=14","4.1")</f>
        <v>4.1</v>
      </c>
      <c r="G7775" s="4" t="str">
        <f>HYPERLINK("http://141.218.60.56/~jnz1568/getInfo.php?workbook=10_05.xlsx&amp;sheet=U0&amp;row=7775&amp;col=7&amp;number=0.125&amp;sourceID=14","0.125")</f>
        <v>0.125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HYPERLINK("http://141.218.60.56/~jnz1568/getInfo.php?workbook=10_05.xlsx&amp;sheet=U0&amp;row=7776&amp;col=6&amp;number=4.2&amp;sourceID=14","4.2")</f>
        <v>4.2</v>
      </c>
      <c r="G7776" s="4" t="str">
        <f>HYPERLINK("http://141.218.60.56/~jnz1568/getInfo.php?workbook=10_05.xlsx&amp;sheet=U0&amp;row=7776&amp;col=7&amp;number=0.117&amp;sourceID=14","0.117")</f>
        <v>0.117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HYPERLINK("http://141.218.60.56/~jnz1568/getInfo.php?workbook=10_05.xlsx&amp;sheet=U0&amp;row=7777&amp;col=6&amp;number=4.3&amp;sourceID=14","4.3")</f>
        <v>4.3</v>
      </c>
      <c r="G7777" s="4" t="str">
        <f>HYPERLINK("http://141.218.60.56/~jnz1568/getInfo.php?workbook=10_05.xlsx&amp;sheet=U0&amp;row=7777&amp;col=7&amp;number=0.11&amp;sourceID=14","0.11")</f>
        <v>0.11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HYPERLINK("http://141.218.60.56/~jnz1568/getInfo.php?workbook=10_05.xlsx&amp;sheet=U0&amp;row=7778&amp;col=6&amp;number=4.4&amp;sourceID=14","4.4")</f>
        <v>4.4</v>
      </c>
      <c r="G7778" s="4" t="str">
        <f>HYPERLINK("http://141.218.60.56/~jnz1568/getInfo.php?workbook=10_05.xlsx&amp;sheet=U0&amp;row=7778&amp;col=7&amp;number=0.103&amp;sourceID=14","0.103")</f>
        <v>0.103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HYPERLINK("http://141.218.60.56/~jnz1568/getInfo.php?workbook=10_05.xlsx&amp;sheet=U0&amp;row=7779&amp;col=6&amp;number=4.5&amp;sourceID=14","4.5")</f>
        <v>4.5</v>
      </c>
      <c r="G7779" s="4" t="str">
        <f>HYPERLINK("http://141.218.60.56/~jnz1568/getInfo.php?workbook=10_05.xlsx&amp;sheet=U0&amp;row=7779&amp;col=7&amp;number=0.0948&amp;sourceID=14","0.0948")</f>
        <v>0.0948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HYPERLINK("http://141.218.60.56/~jnz1568/getInfo.php?workbook=10_05.xlsx&amp;sheet=U0&amp;row=7780&amp;col=6&amp;number=4.6&amp;sourceID=14","4.6")</f>
        <v>4.6</v>
      </c>
      <c r="G7780" s="4" t="str">
        <f>HYPERLINK("http://141.218.60.56/~jnz1568/getInfo.php?workbook=10_05.xlsx&amp;sheet=U0&amp;row=7780&amp;col=7&amp;number=0.0859&amp;sourceID=14","0.0859")</f>
        <v>0.0859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HYPERLINK("http://141.218.60.56/~jnz1568/getInfo.php?workbook=10_05.xlsx&amp;sheet=U0&amp;row=7781&amp;col=6&amp;number=4.7&amp;sourceID=14","4.7")</f>
        <v>4.7</v>
      </c>
      <c r="G7781" s="4" t="str">
        <f>HYPERLINK("http://141.218.60.56/~jnz1568/getInfo.php?workbook=10_05.xlsx&amp;sheet=U0&amp;row=7781&amp;col=7&amp;number=0.0772&amp;sourceID=14","0.0772")</f>
        <v>0.0772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HYPERLINK("http://141.218.60.56/~jnz1568/getInfo.php?workbook=10_05.xlsx&amp;sheet=U0&amp;row=7782&amp;col=6&amp;number=4.8&amp;sourceID=14","4.8")</f>
        <v>4.8</v>
      </c>
      <c r="G7782" s="4" t="str">
        <f>HYPERLINK("http://141.218.60.56/~jnz1568/getInfo.php?workbook=10_05.xlsx&amp;sheet=U0&amp;row=7782&amp;col=7&amp;number=0.0695&amp;sourceID=14","0.0695")</f>
        <v>0.0695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HYPERLINK("http://141.218.60.56/~jnz1568/getInfo.php?workbook=10_05.xlsx&amp;sheet=U0&amp;row=7783&amp;col=6&amp;number=4.9&amp;sourceID=14","4.9")</f>
        <v>4.9</v>
      </c>
      <c r="G7783" s="4" t="str">
        <f>HYPERLINK("http://141.218.60.56/~jnz1568/getInfo.php?workbook=10_05.xlsx&amp;sheet=U0&amp;row=7783&amp;col=7&amp;number=0.0625&amp;sourceID=14","0.0625")</f>
        <v>0.0625</v>
      </c>
    </row>
    <row r="7784" spans="1:7">
      <c r="A7784" s="3">
        <v>10</v>
      </c>
      <c r="B7784" s="3">
        <v>5</v>
      </c>
      <c r="C7784" s="3">
        <v>3</v>
      </c>
      <c r="D7784" s="3">
        <v>36</v>
      </c>
      <c r="E7784" s="3">
        <v>1</v>
      </c>
      <c r="F7784" s="4" t="str">
        <f>HYPERLINK("http://141.218.60.56/~jnz1568/getInfo.php?workbook=10_05.xlsx&amp;sheet=U0&amp;row=7784&amp;col=6&amp;number=3&amp;sourceID=14","3")</f>
        <v>3</v>
      </c>
      <c r="G7784" s="4" t="str">
        <f>HYPERLINK("http://141.218.60.56/~jnz1568/getInfo.php?workbook=10_05.xlsx&amp;sheet=U0&amp;row=7784&amp;col=7&amp;number=0.0606&amp;sourceID=14","0.0606")</f>
        <v>0.0606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HYPERLINK("http://141.218.60.56/~jnz1568/getInfo.php?workbook=10_05.xlsx&amp;sheet=U0&amp;row=7785&amp;col=6&amp;number=3.1&amp;sourceID=14","3.1")</f>
        <v>3.1</v>
      </c>
      <c r="G7785" s="4" t="str">
        <f>HYPERLINK("http://141.218.60.56/~jnz1568/getInfo.php?workbook=10_05.xlsx&amp;sheet=U0&amp;row=7785&amp;col=7&amp;number=0.0606&amp;sourceID=14","0.0606")</f>
        <v>0.0606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HYPERLINK("http://141.218.60.56/~jnz1568/getInfo.php?workbook=10_05.xlsx&amp;sheet=U0&amp;row=7786&amp;col=6&amp;number=3.2&amp;sourceID=14","3.2")</f>
        <v>3.2</v>
      </c>
      <c r="G7786" s="4" t="str">
        <f>HYPERLINK("http://141.218.60.56/~jnz1568/getInfo.php?workbook=10_05.xlsx&amp;sheet=U0&amp;row=7786&amp;col=7&amp;number=0.0606&amp;sourceID=14","0.0606")</f>
        <v>0.0606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HYPERLINK("http://141.218.60.56/~jnz1568/getInfo.php?workbook=10_05.xlsx&amp;sheet=U0&amp;row=7787&amp;col=6&amp;number=3.3&amp;sourceID=14","3.3")</f>
        <v>3.3</v>
      </c>
      <c r="G7787" s="4" t="str">
        <f>HYPERLINK("http://141.218.60.56/~jnz1568/getInfo.php?workbook=10_05.xlsx&amp;sheet=U0&amp;row=7787&amp;col=7&amp;number=0.0605&amp;sourceID=14","0.0605")</f>
        <v>0.0605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HYPERLINK("http://141.218.60.56/~jnz1568/getInfo.php?workbook=10_05.xlsx&amp;sheet=U0&amp;row=7788&amp;col=6&amp;number=3.4&amp;sourceID=14","3.4")</f>
        <v>3.4</v>
      </c>
      <c r="G7788" s="4" t="str">
        <f>HYPERLINK("http://141.218.60.56/~jnz1568/getInfo.php?workbook=10_05.xlsx&amp;sheet=U0&amp;row=7788&amp;col=7&amp;number=0.0605&amp;sourceID=14","0.0605")</f>
        <v>0.0605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HYPERLINK("http://141.218.60.56/~jnz1568/getInfo.php?workbook=10_05.xlsx&amp;sheet=U0&amp;row=7789&amp;col=6&amp;number=3.5&amp;sourceID=14","3.5")</f>
        <v>3.5</v>
      </c>
      <c r="G7789" s="4" t="str">
        <f>HYPERLINK("http://141.218.60.56/~jnz1568/getInfo.php?workbook=10_05.xlsx&amp;sheet=U0&amp;row=7789&amp;col=7&amp;number=0.0604&amp;sourceID=14","0.0604")</f>
        <v>0.0604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HYPERLINK("http://141.218.60.56/~jnz1568/getInfo.php?workbook=10_05.xlsx&amp;sheet=U0&amp;row=7790&amp;col=6&amp;number=3.6&amp;sourceID=14","3.6")</f>
        <v>3.6</v>
      </c>
      <c r="G7790" s="4" t="str">
        <f>HYPERLINK("http://141.218.60.56/~jnz1568/getInfo.php?workbook=10_05.xlsx&amp;sheet=U0&amp;row=7790&amp;col=7&amp;number=0.0603&amp;sourceID=14","0.0603")</f>
        <v>0.0603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HYPERLINK("http://141.218.60.56/~jnz1568/getInfo.php?workbook=10_05.xlsx&amp;sheet=U0&amp;row=7791&amp;col=6&amp;number=3.7&amp;sourceID=14","3.7")</f>
        <v>3.7</v>
      </c>
      <c r="G7791" s="4" t="str">
        <f>HYPERLINK("http://141.218.60.56/~jnz1568/getInfo.php?workbook=10_05.xlsx&amp;sheet=U0&amp;row=7791&amp;col=7&amp;number=0.0602&amp;sourceID=14","0.0602")</f>
        <v>0.0602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HYPERLINK("http://141.218.60.56/~jnz1568/getInfo.php?workbook=10_05.xlsx&amp;sheet=U0&amp;row=7792&amp;col=6&amp;number=3.8&amp;sourceID=14","3.8")</f>
        <v>3.8</v>
      </c>
      <c r="G7792" s="4" t="str">
        <f>HYPERLINK("http://141.218.60.56/~jnz1568/getInfo.php?workbook=10_05.xlsx&amp;sheet=U0&amp;row=7792&amp;col=7&amp;number=0.06&amp;sourceID=14","0.06")</f>
        <v>0.06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HYPERLINK("http://141.218.60.56/~jnz1568/getInfo.php?workbook=10_05.xlsx&amp;sheet=U0&amp;row=7793&amp;col=6&amp;number=3.9&amp;sourceID=14","3.9")</f>
        <v>3.9</v>
      </c>
      <c r="G7793" s="4" t="str">
        <f>HYPERLINK("http://141.218.60.56/~jnz1568/getInfo.php?workbook=10_05.xlsx&amp;sheet=U0&amp;row=7793&amp;col=7&amp;number=0.0597&amp;sourceID=14","0.0597")</f>
        <v>0.0597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HYPERLINK("http://141.218.60.56/~jnz1568/getInfo.php?workbook=10_05.xlsx&amp;sheet=U0&amp;row=7794&amp;col=6&amp;number=4&amp;sourceID=14","4")</f>
        <v>4</v>
      </c>
      <c r="G7794" s="4" t="str">
        <f>HYPERLINK("http://141.218.60.56/~jnz1568/getInfo.php?workbook=10_05.xlsx&amp;sheet=U0&amp;row=7794&amp;col=7&amp;number=0.0593&amp;sourceID=14","0.0593")</f>
        <v>0.0593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HYPERLINK("http://141.218.60.56/~jnz1568/getInfo.php?workbook=10_05.xlsx&amp;sheet=U0&amp;row=7795&amp;col=6&amp;number=4.1&amp;sourceID=14","4.1")</f>
        <v>4.1</v>
      </c>
      <c r="G7795" s="4" t="str">
        <f>HYPERLINK("http://141.218.60.56/~jnz1568/getInfo.php?workbook=10_05.xlsx&amp;sheet=U0&amp;row=7795&amp;col=7&amp;number=0.0586&amp;sourceID=14","0.0586")</f>
        <v>0.0586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HYPERLINK("http://141.218.60.56/~jnz1568/getInfo.php?workbook=10_05.xlsx&amp;sheet=U0&amp;row=7796&amp;col=6&amp;number=4.2&amp;sourceID=14","4.2")</f>
        <v>4.2</v>
      </c>
      <c r="G7796" s="4" t="str">
        <f>HYPERLINK("http://141.218.60.56/~jnz1568/getInfo.php?workbook=10_05.xlsx&amp;sheet=U0&amp;row=7796&amp;col=7&amp;number=0.0575&amp;sourceID=14","0.0575")</f>
        <v>0.0575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HYPERLINK("http://141.218.60.56/~jnz1568/getInfo.php?workbook=10_05.xlsx&amp;sheet=U0&amp;row=7797&amp;col=6&amp;number=4.3&amp;sourceID=14","4.3")</f>
        <v>4.3</v>
      </c>
      <c r="G7797" s="4" t="str">
        <f>HYPERLINK("http://141.218.60.56/~jnz1568/getInfo.php?workbook=10_05.xlsx&amp;sheet=U0&amp;row=7797&amp;col=7&amp;number=0.0558&amp;sourceID=14","0.0558")</f>
        <v>0.0558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HYPERLINK("http://141.218.60.56/~jnz1568/getInfo.php?workbook=10_05.xlsx&amp;sheet=U0&amp;row=7798&amp;col=6&amp;number=4.4&amp;sourceID=14","4.4")</f>
        <v>4.4</v>
      </c>
      <c r="G7798" s="4" t="str">
        <f>HYPERLINK("http://141.218.60.56/~jnz1568/getInfo.php?workbook=10_05.xlsx&amp;sheet=U0&amp;row=7798&amp;col=7&amp;number=0.0536&amp;sourceID=14","0.0536")</f>
        <v>0.0536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HYPERLINK("http://141.218.60.56/~jnz1568/getInfo.php?workbook=10_05.xlsx&amp;sheet=U0&amp;row=7799&amp;col=6&amp;number=4.5&amp;sourceID=14","4.5")</f>
        <v>4.5</v>
      </c>
      <c r="G7799" s="4" t="str">
        <f>HYPERLINK("http://141.218.60.56/~jnz1568/getInfo.php?workbook=10_05.xlsx&amp;sheet=U0&amp;row=7799&amp;col=7&amp;number=0.0511&amp;sourceID=14","0.0511")</f>
        <v>0.0511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HYPERLINK("http://141.218.60.56/~jnz1568/getInfo.php?workbook=10_05.xlsx&amp;sheet=U0&amp;row=7800&amp;col=6&amp;number=4.6&amp;sourceID=14","4.6")</f>
        <v>4.6</v>
      </c>
      <c r="G7800" s="4" t="str">
        <f>HYPERLINK("http://141.218.60.56/~jnz1568/getInfo.php?workbook=10_05.xlsx&amp;sheet=U0&amp;row=7800&amp;col=7&amp;number=0.0485&amp;sourceID=14","0.0485")</f>
        <v>0.0485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HYPERLINK("http://141.218.60.56/~jnz1568/getInfo.php?workbook=10_05.xlsx&amp;sheet=U0&amp;row=7801&amp;col=6&amp;number=4.7&amp;sourceID=14","4.7")</f>
        <v>4.7</v>
      </c>
      <c r="G7801" s="4" t="str">
        <f>HYPERLINK("http://141.218.60.56/~jnz1568/getInfo.php?workbook=10_05.xlsx&amp;sheet=U0&amp;row=7801&amp;col=7&amp;number=0.0457&amp;sourceID=14","0.0457")</f>
        <v>0.0457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HYPERLINK("http://141.218.60.56/~jnz1568/getInfo.php?workbook=10_05.xlsx&amp;sheet=U0&amp;row=7802&amp;col=6&amp;number=4.8&amp;sourceID=14","4.8")</f>
        <v>4.8</v>
      </c>
      <c r="G7802" s="4" t="str">
        <f>HYPERLINK("http://141.218.60.56/~jnz1568/getInfo.php?workbook=10_05.xlsx&amp;sheet=U0&amp;row=7802&amp;col=7&amp;number=0.0427&amp;sourceID=14","0.0427")</f>
        <v>0.0427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HYPERLINK("http://141.218.60.56/~jnz1568/getInfo.php?workbook=10_05.xlsx&amp;sheet=U0&amp;row=7803&amp;col=6&amp;number=4.9&amp;sourceID=14","4.9")</f>
        <v>4.9</v>
      </c>
      <c r="G7803" s="4" t="str">
        <f>HYPERLINK("http://141.218.60.56/~jnz1568/getInfo.php?workbook=10_05.xlsx&amp;sheet=U0&amp;row=7803&amp;col=7&amp;number=0.0394&amp;sourceID=14","0.0394")</f>
        <v>0.0394</v>
      </c>
    </row>
    <row r="7804" spans="1:7">
      <c r="A7804" s="3">
        <v>10</v>
      </c>
      <c r="B7804" s="3">
        <v>5</v>
      </c>
      <c r="C7804" s="3">
        <v>3</v>
      </c>
      <c r="D7804" s="3">
        <v>37</v>
      </c>
      <c r="E7804" s="3">
        <v>1</v>
      </c>
      <c r="F7804" s="4" t="str">
        <f>HYPERLINK("http://141.218.60.56/~jnz1568/getInfo.php?workbook=10_05.xlsx&amp;sheet=U0&amp;row=7804&amp;col=6&amp;number=3&amp;sourceID=14","3")</f>
        <v>3</v>
      </c>
      <c r="G7804" s="4" t="str">
        <f>HYPERLINK("http://141.218.60.56/~jnz1568/getInfo.php?workbook=10_05.xlsx&amp;sheet=U0&amp;row=7804&amp;col=7&amp;number=0.0631&amp;sourceID=14","0.0631")</f>
        <v>0.0631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HYPERLINK("http://141.218.60.56/~jnz1568/getInfo.php?workbook=10_05.xlsx&amp;sheet=U0&amp;row=7805&amp;col=6&amp;number=3.1&amp;sourceID=14","3.1")</f>
        <v>3.1</v>
      </c>
      <c r="G7805" s="4" t="str">
        <f>HYPERLINK("http://141.218.60.56/~jnz1568/getInfo.php?workbook=10_05.xlsx&amp;sheet=U0&amp;row=7805&amp;col=7&amp;number=0.0635&amp;sourceID=14","0.0635")</f>
        <v>0.0635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HYPERLINK("http://141.218.60.56/~jnz1568/getInfo.php?workbook=10_05.xlsx&amp;sheet=U0&amp;row=7806&amp;col=6&amp;number=3.2&amp;sourceID=14","3.2")</f>
        <v>3.2</v>
      </c>
      <c r="G7806" s="4" t="str">
        <f>HYPERLINK("http://141.218.60.56/~jnz1568/getInfo.php?workbook=10_05.xlsx&amp;sheet=U0&amp;row=7806&amp;col=7&amp;number=0.064&amp;sourceID=14","0.064")</f>
        <v>0.064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HYPERLINK("http://141.218.60.56/~jnz1568/getInfo.php?workbook=10_05.xlsx&amp;sheet=U0&amp;row=7807&amp;col=6&amp;number=3.3&amp;sourceID=14","3.3")</f>
        <v>3.3</v>
      </c>
      <c r="G7807" s="4" t="str">
        <f>HYPERLINK("http://141.218.60.56/~jnz1568/getInfo.php?workbook=10_05.xlsx&amp;sheet=U0&amp;row=7807&amp;col=7&amp;number=0.0646&amp;sourceID=14","0.0646")</f>
        <v>0.0646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HYPERLINK("http://141.218.60.56/~jnz1568/getInfo.php?workbook=10_05.xlsx&amp;sheet=U0&amp;row=7808&amp;col=6&amp;number=3.4&amp;sourceID=14","3.4")</f>
        <v>3.4</v>
      </c>
      <c r="G7808" s="4" t="str">
        <f>HYPERLINK("http://141.218.60.56/~jnz1568/getInfo.php?workbook=10_05.xlsx&amp;sheet=U0&amp;row=7808&amp;col=7&amp;number=0.0654&amp;sourceID=14","0.0654")</f>
        <v>0.0654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HYPERLINK("http://141.218.60.56/~jnz1568/getInfo.php?workbook=10_05.xlsx&amp;sheet=U0&amp;row=7809&amp;col=6&amp;number=3.5&amp;sourceID=14","3.5")</f>
        <v>3.5</v>
      </c>
      <c r="G7809" s="4" t="str">
        <f>HYPERLINK("http://141.218.60.56/~jnz1568/getInfo.php?workbook=10_05.xlsx&amp;sheet=U0&amp;row=7809&amp;col=7&amp;number=0.0662&amp;sourceID=14","0.0662")</f>
        <v>0.0662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HYPERLINK("http://141.218.60.56/~jnz1568/getInfo.php?workbook=10_05.xlsx&amp;sheet=U0&amp;row=7810&amp;col=6&amp;number=3.6&amp;sourceID=14","3.6")</f>
        <v>3.6</v>
      </c>
      <c r="G7810" s="4" t="str">
        <f>HYPERLINK("http://141.218.60.56/~jnz1568/getInfo.php?workbook=10_05.xlsx&amp;sheet=U0&amp;row=7810&amp;col=7&amp;number=0.0671&amp;sourceID=14","0.0671")</f>
        <v>0.0671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HYPERLINK("http://141.218.60.56/~jnz1568/getInfo.php?workbook=10_05.xlsx&amp;sheet=U0&amp;row=7811&amp;col=6&amp;number=3.7&amp;sourceID=14","3.7")</f>
        <v>3.7</v>
      </c>
      <c r="G7811" s="4" t="str">
        <f>HYPERLINK("http://141.218.60.56/~jnz1568/getInfo.php?workbook=10_05.xlsx&amp;sheet=U0&amp;row=7811&amp;col=7&amp;number=0.0681&amp;sourceID=14","0.0681")</f>
        <v>0.0681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HYPERLINK("http://141.218.60.56/~jnz1568/getInfo.php?workbook=10_05.xlsx&amp;sheet=U0&amp;row=7812&amp;col=6&amp;number=3.8&amp;sourceID=14","3.8")</f>
        <v>3.8</v>
      </c>
      <c r="G7812" s="4" t="str">
        <f>HYPERLINK("http://141.218.60.56/~jnz1568/getInfo.php?workbook=10_05.xlsx&amp;sheet=U0&amp;row=7812&amp;col=7&amp;number=0.0689&amp;sourceID=14","0.0689")</f>
        <v>0.0689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HYPERLINK("http://141.218.60.56/~jnz1568/getInfo.php?workbook=10_05.xlsx&amp;sheet=U0&amp;row=7813&amp;col=6&amp;number=3.9&amp;sourceID=14","3.9")</f>
        <v>3.9</v>
      </c>
      <c r="G7813" s="4" t="str">
        <f>HYPERLINK("http://141.218.60.56/~jnz1568/getInfo.php?workbook=10_05.xlsx&amp;sheet=U0&amp;row=7813&amp;col=7&amp;number=0.0693&amp;sourceID=14","0.0693")</f>
        <v>0.0693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HYPERLINK("http://141.218.60.56/~jnz1568/getInfo.php?workbook=10_05.xlsx&amp;sheet=U0&amp;row=7814&amp;col=6&amp;number=4&amp;sourceID=14","4")</f>
        <v>4</v>
      </c>
      <c r="G7814" s="4" t="str">
        <f>HYPERLINK("http://141.218.60.56/~jnz1568/getInfo.php?workbook=10_05.xlsx&amp;sheet=U0&amp;row=7814&amp;col=7&amp;number=0.0687&amp;sourceID=14","0.0687")</f>
        <v>0.0687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HYPERLINK("http://141.218.60.56/~jnz1568/getInfo.php?workbook=10_05.xlsx&amp;sheet=U0&amp;row=7815&amp;col=6&amp;number=4.1&amp;sourceID=14","4.1")</f>
        <v>4.1</v>
      </c>
      <c r="G7815" s="4" t="str">
        <f>HYPERLINK("http://141.218.60.56/~jnz1568/getInfo.php?workbook=10_05.xlsx&amp;sheet=U0&amp;row=7815&amp;col=7&amp;number=0.0669&amp;sourceID=14","0.0669")</f>
        <v>0.0669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HYPERLINK("http://141.218.60.56/~jnz1568/getInfo.php?workbook=10_05.xlsx&amp;sheet=U0&amp;row=7816&amp;col=6&amp;number=4.2&amp;sourceID=14","4.2")</f>
        <v>4.2</v>
      </c>
      <c r="G7816" s="4" t="str">
        <f>HYPERLINK("http://141.218.60.56/~jnz1568/getInfo.php?workbook=10_05.xlsx&amp;sheet=U0&amp;row=7816&amp;col=7&amp;number=0.0639&amp;sourceID=14","0.0639")</f>
        <v>0.0639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HYPERLINK("http://141.218.60.56/~jnz1568/getInfo.php?workbook=10_05.xlsx&amp;sheet=U0&amp;row=7817&amp;col=6&amp;number=4.3&amp;sourceID=14","4.3")</f>
        <v>4.3</v>
      </c>
      <c r="G7817" s="4" t="str">
        <f>HYPERLINK("http://141.218.60.56/~jnz1568/getInfo.php?workbook=10_05.xlsx&amp;sheet=U0&amp;row=7817&amp;col=7&amp;number=0.0603&amp;sourceID=14","0.0603")</f>
        <v>0.0603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HYPERLINK("http://141.218.60.56/~jnz1568/getInfo.php?workbook=10_05.xlsx&amp;sheet=U0&amp;row=7818&amp;col=6&amp;number=4.4&amp;sourceID=14","4.4")</f>
        <v>4.4</v>
      </c>
      <c r="G7818" s="4" t="str">
        <f>HYPERLINK("http://141.218.60.56/~jnz1568/getInfo.php?workbook=10_05.xlsx&amp;sheet=U0&amp;row=7818&amp;col=7&amp;number=0.0569&amp;sourceID=14","0.0569")</f>
        <v>0.0569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HYPERLINK("http://141.218.60.56/~jnz1568/getInfo.php?workbook=10_05.xlsx&amp;sheet=U0&amp;row=7819&amp;col=6&amp;number=4.5&amp;sourceID=14","4.5")</f>
        <v>4.5</v>
      </c>
      <c r="G7819" s="4" t="str">
        <f>HYPERLINK("http://141.218.60.56/~jnz1568/getInfo.php?workbook=10_05.xlsx&amp;sheet=U0&amp;row=7819&amp;col=7&amp;number=0.0535&amp;sourceID=14","0.0535")</f>
        <v>0.0535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HYPERLINK("http://141.218.60.56/~jnz1568/getInfo.php?workbook=10_05.xlsx&amp;sheet=U0&amp;row=7820&amp;col=6&amp;number=4.6&amp;sourceID=14","4.6")</f>
        <v>4.6</v>
      </c>
      <c r="G7820" s="4" t="str">
        <f>HYPERLINK("http://141.218.60.56/~jnz1568/getInfo.php?workbook=10_05.xlsx&amp;sheet=U0&amp;row=7820&amp;col=7&amp;number=0.0494&amp;sourceID=14","0.0494")</f>
        <v>0.0494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HYPERLINK("http://141.218.60.56/~jnz1568/getInfo.php?workbook=10_05.xlsx&amp;sheet=U0&amp;row=7821&amp;col=6&amp;number=4.7&amp;sourceID=14","4.7")</f>
        <v>4.7</v>
      </c>
      <c r="G7821" s="4" t="str">
        <f>HYPERLINK("http://141.218.60.56/~jnz1568/getInfo.php?workbook=10_05.xlsx&amp;sheet=U0&amp;row=7821&amp;col=7&amp;number=0.0448&amp;sourceID=14","0.0448")</f>
        <v>0.0448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HYPERLINK("http://141.218.60.56/~jnz1568/getInfo.php?workbook=10_05.xlsx&amp;sheet=U0&amp;row=7822&amp;col=6&amp;number=4.8&amp;sourceID=14","4.8")</f>
        <v>4.8</v>
      </c>
      <c r="G7822" s="4" t="str">
        <f>HYPERLINK("http://141.218.60.56/~jnz1568/getInfo.php?workbook=10_05.xlsx&amp;sheet=U0&amp;row=7822&amp;col=7&amp;number=0.0404&amp;sourceID=14","0.0404")</f>
        <v>0.0404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HYPERLINK("http://141.218.60.56/~jnz1568/getInfo.php?workbook=10_05.xlsx&amp;sheet=U0&amp;row=7823&amp;col=6&amp;number=4.9&amp;sourceID=14","4.9")</f>
        <v>4.9</v>
      </c>
      <c r="G7823" s="4" t="str">
        <f>HYPERLINK("http://141.218.60.56/~jnz1568/getInfo.php?workbook=10_05.xlsx&amp;sheet=U0&amp;row=7823&amp;col=7&amp;number=0.0367&amp;sourceID=14","0.0367")</f>
        <v>0.0367</v>
      </c>
    </row>
    <row r="7824" spans="1:7">
      <c r="A7824" s="3">
        <v>10</v>
      </c>
      <c r="B7824" s="3">
        <v>5</v>
      </c>
      <c r="C7824" s="3">
        <v>3</v>
      </c>
      <c r="D7824" s="3">
        <v>38</v>
      </c>
      <c r="E7824" s="3">
        <v>1</v>
      </c>
      <c r="F7824" s="4" t="str">
        <f>HYPERLINK("http://141.218.60.56/~jnz1568/getInfo.php?workbook=10_05.xlsx&amp;sheet=U0&amp;row=7824&amp;col=6&amp;number=3&amp;sourceID=14","3")</f>
        <v>3</v>
      </c>
      <c r="G7824" s="4" t="str">
        <f>HYPERLINK("http://141.218.60.56/~jnz1568/getInfo.php?workbook=10_05.xlsx&amp;sheet=U0&amp;row=7824&amp;col=7&amp;number=0.103&amp;sourceID=14","0.103")</f>
        <v>0.103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HYPERLINK("http://141.218.60.56/~jnz1568/getInfo.php?workbook=10_05.xlsx&amp;sheet=U0&amp;row=7825&amp;col=6&amp;number=3.1&amp;sourceID=14","3.1")</f>
        <v>3.1</v>
      </c>
      <c r="G7825" s="4" t="str">
        <f>HYPERLINK("http://141.218.60.56/~jnz1568/getInfo.php?workbook=10_05.xlsx&amp;sheet=U0&amp;row=7825&amp;col=7&amp;number=0.102&amp;sourceID=14","0.102")</f>
        <v>0.102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HYPERLINK("http://141.218.60.56/~jnz1568/getInfo.php?workbook=10_05.xlsx&amp;sheet=U0&amp;row=7826&amp;col=6&amp;number=3.2&amp;sourceID=14","3.2")</f>
        <v>3.2</v>
      </c>
      <c r="G7826" s="4" t="str">
        <f>HYPERLINK("http://141.218.60.56/~jnz1568/getInfo.php?workbook=10_05.xlsx&amp;sheet=U0&amp;row=7826&amp;col=7&amp;number=0.101&amp;sourceID=14","0.101")</f>
        <v>0.101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HYPERLINK("http://141.218.60.56/~jnz1568/getInfo.php?workbook=10_05.xlsx&amp;sheet=U0&amp;row=7827&amp;col=6&amp;number=3.3&amp;sourceID=14","3.3")</f>
        <v>3.3</v>
      </c>
      <c r="G7827" s="4" t="str">
        <f>HYPERLINK("http://141.218.60.56/~jnz1568/getInfo.php?workbook=10_05.xlsx&amp;sheet=U0&amp;row=7827&amp;col=7&amp;number=0.1&amp;sourceID=14","0.1")</f>
        <v>0.1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HYPERLINK("http://141.218.60.56/~jnz1568/getInfo.php?workbook=10_05.xlsx&amp;sheet=U0&amp;row=7828&amp;col=6&amp;number=3.4&amp;sourceID=14","3.4")</f>
        <v>3.4</v>
      </c>
      <c r="G7828" s="4" t="str">
        <f>HYPERLINK("http://141.218.60.56/~jnz1568/getInfo.php?workbook=10_05.xlsx&amp;sheet=U0&amp;row=7828&amp;col=7&amp;number=0.0993&amp;sourceID=14","0.0993")</f>
        <v>0.0993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HYPERLINK("http://141.218.60.56/~jnz1568/getInfo.php?workbook=10_05.xlsx&amp;sheet=U0&amp;row=7829&amp;col=6&amp;number=3.5&amp;sourceID=14","3.5")</f>
        <v>3.5</v>
      </c>
      <c r="G7829" s="4" t="str">
        <f>HYPERLINK("http://141.218.60.56/~jnz1568/getInfo.php?workbook=10_05.xlsx&amp;sheet=U0&amp;row=7829&amp;col=7&amp;number=0.098&amp;sourceID=14","0.098")</f>
        <v>0.098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HYPERLINK("http://141.218.60.56/~jnz1568/getInfo.php?workbook=10_05.xlsx&amp;sheet=U0&amp;row=7830&amp;col=6&amp;number=3.6&amp;sourceID=14","3.6")</f>
        <v>3.6</v>
      </c>
      <c r="G7830" s="4" t="str">
        <f>HYPERLINK("http://141.218.60.56/~jnz1568/getInfo.php?workbook=10_05.xlsx&amp;sheet=U0&amp;row=7830&amp;col=7&amp;number=0.0963&amp;sourceID=14","0.0963")</f>
        <v>0.0963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HYPERLINK("http://141.218.60.56/~jnz1568/getInfo.php?workbook=10_05.xlsx&amp;sheet=U0&amp;row=7831&amp;col=6&amp;number=3.7&amp;sourceID=14","3.7")</f>
        <v>3.7</v>
      </c>
      <c r="G7831" s="4" t="str">
        <f>HYPERLINK("http://141.218.60.56/~jnz1568/getInfo.php?workbook=10_05.xlsx&amp;sheet=U0&amp;row=7831&amp;col=7&amp;number=0.0942&amp;sourceID=14","0.0942")</f>
        <v>0.0942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HYPERLINK("http://141.218.60.56/~jnz1568/getInfo.php?workbook=10_05.xlsx&amp;sheet=U0&amp;row=7832&amp;col=6&amp;number=3.8&amp;sourceID=14","3.8")</f>
        <v>3.8</v>
      </c>
      <c r="G7832" s="4" t="str">
        <f>HYPERLINK("http://141.218.60.56/~jnz1568/getInfo.php?workbook=10_05.xlsx&amp;sheet=U0&amp;row=7832&amp;col=7&amp;number=0.0917&amp;sourceID=14","0.0917")</f>
        <v>0.0917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HYPERLINK("http://141.218.60.56/~jnz1568/getInfo.php?workbook=10_05.xlsx&amp;sheet=U0&amp;row=7833&amp;col=6&amp;number=3.9&amp;sourceID=14","3.9")</f>
        <v>3.9</v>
      </c>
      <c r="G7833" s="4" t="str">
        <f>HYPERLINK("http://141.218.60.56/~jnz1568/getInfo.php?workbook=10_05.xlsx&amp;sheet=U0&amp;row=7833&amp;col=7&amp;number=0.0886&amp;sourceID=14","0.0886")</f>
        <v>0.0886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HYPERLINK("http://141.218.60.56/~jnz1568/getInfo.php?workbook=10_05.xlsx&amp;sheet=U0&amp;row=7834&amp;col=6&amp;number=4&amp;sourceID=14","4")</f>
        <v>4</v>
      </c>
      <c r="G7834" s="4" t="str">
        <f>HYPERLINK("http://141.218.60.56/~jnz1568/getInfo.php?workbook=10_05.xlsx&amp;sheet=U0&amp;row=7834&amp;col=7&amp;number=0.085&amp;sourceID=14","0.085")</f>
        <v>0.085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HYPERLINK("http://141.218.60.56/~jnz1568/getInfo.php?workbook=10_05.xlsx&amp;sheet=U0&amp;row=7835&amp;col=6&amp;number=4.1&amp;sourceID=14","4.1")</f>
        <v>4.1</v>
      </c>
      <c r="G7835" s="4" t="str">
        <f>HYPERLINK("http://141.218.60.56/~jnz1568/getInfo.php?workbook=10_05.xlsx&amp;sheet=U0&amp;row=7835&amp;col=7&amp;number=0.0807&amp;sourceID=14","0.0807")</f>
        <v>0.0807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HYPERLINK("http://141.218.60.56/~jnz1568/getInfo.php?workbook=10_05.xlsx&amp;sheet=U0&amp;row=7836&amp;col=6&amp;number=4.2&amp;sourceID=14","4.2")</f>
        <v>4.2</v>
      </c>
      <c r="G7836" s="4" t="str">
        <f>HYPERLINK("http://141.218.60.56/~jnz1568/getInfo.php?workbook=10_05.xlsx&amp;sheet=U0&amp;row=7836&amp;col=7&amp;number=0.0759&amp;sourceID=14","0.0759")</f>
        <v>0.0759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HYPERLINK("http://141.218.60.56/~jnz1568/getInfo.php?workbook=10_05.xlsx&amp;sheet=U0&amp;row=7837&amp;col=6&amp;number=4.3&amp;sourceID=14","4.3")</f>
        <v>4.3</v>
      </c>
      <c r="G7837" s="4" t="str">
        <f>HYPERLINK("http://141.218.60.56/~jnz1568/getInfo.php?workbook=10_05.xlsx&amp;sheet=U0&amp;row=7837&amp;col=7&amp;number=0.0706&amp;sourceID=14","0.0706")</f>
        <v>0.0706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HYPERLINK("http://141.218.60.56/~jnz1568/getInfo.php?workbook=10_05.xlsx&amp;sheet=U0&amp;row=7838&amp;col=6&amp;number=4.4&amp;sourceID=14","4.4")</f>
        <v>4.4</v>
      </c>
      <c r="G7838" s="4" t="str">
        <f>HYPERLINK("http://141.218.60.56/~jnz1568/getInfo.php?workbook=10_05.xlsx&amp;sheet=U0&amp;row=7838&amp;col=7&amp;number=0.0652&amp;sourceID=14","0.0652")</f>
        <v>0.0652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HYPERLINK("http://141.218.60.56/~jnz1568/getInfo.php?workbook=10_05.xlsx&amp;sheet=U0&amp;row=7839&amp;col=6&amp;number=4.5&amp;sourceID=14","4.5")</f>
        <v>4.5</v>
      </c>
      <c r="G7839" s="4" t="str">
        <f>HYPERLINK("http://141.218.60.56/~jnz1568/getInfo.php?workbook=10_05.xlsx&amp;sheet=U0&amp;row=7839&amp;col=7&amp;number=0.0598&amp;sourceID=14","0.0598")</f>
        <v>0.0598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HYPERLINK("http://141.218.60.56/~jnz1568/getInfo.php?workbook=10_05.xlsx&amp;sheet=U0&amp;row=7840&amp;col=6&amp;number=4.6&amp;sourceID=14","4.6")</f>
        <v>4.6</v>
      </c>
      <c r="G7840" s="4" t="str">
        <f>HYPERLINK("http://141.218.60.56/~jnz1568/getInfo.php?workbook=10_05.xlsx&amp;sheet=U0&amp;row=7840&amp;col=7&amp;number=0.0548&amp;sourceID=14","0.0548")</f>
        <v>0.0548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HYPERLINK("http://141.218.60.56/~jnz1568/getInfo.php?workbook=10_05.xlsx&amp;sheet=U0&amp;row=7841&amp;col=6&amp;number=4.7&amp;sourceID=14","4.7")</f>
        <v>4.7</v>
      </c>
      <c r="G7841" s="4" t="str">
        <f>HYPERLINK("http://141.218.60.56/~jnz1568/getInfo.php?workbook=10_05.xlsx&amp;sheet=U0&amp;row=7841&amp;col=7&amp;number=0.0506&amp;sourceID=14","0.0506")</f>
        <v>0.0506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HYPERLINK("http://141.218.60.56/~jnz1568/getInfo.php?workbook=10_05.xlsx&amp;sheet=U0&amp;row=7842&amp;col=6&amp;number=4.8&amp;sourceID=14","4.8")</f>
        <v>4.8</v>
      </c>
      <c r="G7842" s="4" t="str">
        <f>HYPERLINK("http://141.218.60.56/~jnz1568/getInfo.php?workbook=10_05.xlsx&amp;sheet=U0&amp;row=7842&amp;col=7&amp;number=0.0471&amp;sourceID=14","0.0471")</f>
        <v>0.0471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HYPERLINK("http://141.218.60.56/~jnz1568/getInfo.php?workbook=10_05.xlsx&amp;sheet=U0&amp;row=7843&amp;col=6&amp;number=4.9&amp;sourceID=14","4.9")</f>
        <v>4.9</v>
      </c>
      <c r="G7843" s="4" t="str">
        <f>HYPERLINK("http://141.218.60.56/~jnz1568/getInfo.php?workbook=10_05.xlsx&amp;sheet=U0&amp;row=7843&amp;col=7&amp;number=0.0438&amp;sourceID=14","0.0438")</f>
        <v>0.0438</v>
      </c>
    </row>
    <row r="7844" spans="1:7">
      <c r="A7844" s="3">
        <v>10</v>
      </c>
      <c r="B7844" s="3">
        <v>5</v>
      </c>
      <c r="C7844" s="3">
        <v>3</v>
      </c>
      <c r="D7844" s="3">
        <v>39</v>
      </c>
      <c r="E7844" s="3">
        <v>1</v>
      </c>
      <c r="F7844" s="4" t="str">
        <f>HYPERLINK("http://141.218.60.56/~jnz1568/getInfo.php?workbook=10_05.xlsx&amp;sheet=U0&amp;row=7844&amp;col=6&amp;number=3&amp;sourceID=14","3")</f>
        <v>3</v>
      </c>
      <c r="G7844" s="4" t="str">
        <f>HYPERLINK("http://141.218.60.56/~jnz1568/getInfo.php?workbook=10_05.xlsx&amp;sheet=U0&amp;row=7844&amp;col=7&amp;number=0.143&amp;sourceID=14","0.143")</f>
        <v>0.143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HYPERLINK("http://141.218.60.56/~jnz1568/getInfo.php?workbook=10_05.xlsx&amp;sheet=U0&amp;row=7845&amp;col=6&amp;number=3.1&amp;sourceID=14","3.1")</f>
        <v>3.1</v>
      </c>
      <c r="G7845" s="4" t="str">
        <f>HYPERLINK("http://141.218.60.56/~jnz1568/getInfo.php?workbook=10_05.xlsx&amp;sheet=U0&amp;row=7845&amp;col=7&amp;number=0.142&amp;sourceID=14","0.142")</f>
        <v>0.142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HYPERLINK("http://141.218.60.56/~jnz1568/getInfo.php?workbook=10_05.xlsx&amp;sheet=U0&amp;row=7846&amp;col=6&amp;number=3.2&amp;sourceID=14","3.2")</f>
        <v>3.2</v>
      </c>
      <c r="G7846" s="4" t="str">
        <f>HYPERLINK("http://141.218.60.56/~jnz1568/getInfo.php?workbook=10_05.xlsx&amp;sheet=U0&amp;row=7846&amp;col=7&amp;number=0.141&amp;sourceID=14","0.141")</f>
        <v>0.141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HYPERLINK("http://141.218.60.56/~jnz1568/getInfo.php?workbook=10_05.xlsx&amp;sheet=U0&amp;row=7847&amp;col=6&amp;number=3.3&amp;sourceID=14","3.3")</f>
        <v>3.3</v>
      </c>
      <c r="G7847" s="4" t="str">
        <f>HYPERLINK("http://141.218.60.56/~jnz1568/getInfo.php?workbook=10_05.xlsx&amp;sheet=U0&amp;row=7847&amp;col=7&amp;number=0.139&amp;sourceID=14","0.139")</f>
        <v>0.139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HYPERLINK("http://141.218.60.56/~jnz1568/getInfo.php?workbook=10_05.xlsx&amp;sheet=U0&amp;row=7848&amp;col=6&amp;number=3.4&amp;sourceID=14","3.4")</f>
        <v>3.4</v>
      </c>
      <c r="G7848" s="4" t="str">
        <f>HYPERLINK("http://141.218.60.56/~jnz1568/getInfo.php?workbook=10_05.xlsx&amp;sheet=U0&amp;row=7848&amp;col=7&amp;number=0.137&amp;sourceID=14","0.137")</f>
        <v>0.137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HYPERLINK("http://141.218.60.56/~jnz1568/getInfo.php?workbook=10_05.xlsx&amp;sheet=U0&amp;row=7849&amp;col=6&amp;number=3.5&amp;sourceID=14","3.5")</f>
        <v>3.5</v>
      </c>
      <c r="G7849" s="4" t="str">
        <f>HYPERLINK("http://141.218.60.56/~jnz1568/getInfo.php?workbook=10_05.xlsx&amp;sheet=U0&amp;row=7849&amp;col=7&amp;number=0.135&amp;sourceID=14","0.135")</f>
        <v>0.135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HYPERLINK("http://141.218.60.56/~jnz1568/getInfo.php?workbook=10_05.xlsx&amp;sheet=U0&amp;row=7850&amp;col=6&amp;number=3.6&amp;sourceID=14","3.6")</f>
        <v>3.6</v>
      </c>
      <c r="G7850" s="4" t="str">
        <f>HYPERLINK("http://141.218.60.56/~jnz1568/getInfo.php?workbook=10_05.xlsx&amp;sheet=U0&amp;row=7850&amp;col=7&amp;number=0.132&amp;sourceID=14","0.132")</f>
        <v>0.132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HYPERLINK("http://141.218.60.56/~jnz1568/getInfo.php?workbook=10_05.xlsx&amp;sheet=U0&amp;row=7851&amp;col=6&amp;number=3.7&amp;sourceID=14","3.7")</f>
        <v>3.7</v>
      </c>
      <c r="G7851" s="4" t="str">
        <f>HYPERLINK("http://141.218.60.56/~jnz1568/getInfo.php?workbook=10_05.xlsx&amp;sheet=U0&amp;row=7851&amp;col=7&amp;number=0.128&amp;sourceID=14","0.128")</f>
        <v>0.128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HYPERLINK("http://141.218.60.56/~jnz1568/getInfo.php?workbook=10_05.xlsx&amp;sheet=U0&amp;row=7852&amp;col=6&amp;number=3.8&amp;sourceID=14","3.8")</f>
        <v>3.8</v>
      </c>
      <c r="G7852" s="4" t="str">
        <f>HYPERLINK("http://141.218.60.56/~jnz1568/getInfo.php?workbook=10_05.xlsx&amp;sheet=U0&amp;row=7852&amp;col=7&amp;number=0.124&amp;sourceID=14","0.124")</f>
        <v>0.124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HYPERLINK("http://141.218.60.56/~jnz1568/getInfo.php?workbook=10_05.xlsx&amp;sheet=U0&amp;row=7853&amp;col=6&amp;number=3.9&amp;sourceID=14","3.9")</f>
        <v>3.9</v>
      </c>
      <c r="G7853" s="4" t="str">
        <f>HYPERLINK("http://141.218.60.56/~jnz1568/getInfo.php?workbook=10_05.xlsx&amp;sheet=U0&amp;row=7853&amp;col=7&amp;number=0.119&amp;sourceID=14","0.119")</f>
        <v>0.119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HYPERLINK("http://141.218.60.56/~jnz1568/getInfo.php?workbook=10_05.xlsx&amp;sheet=U0&amp;row=7854&amp;col=6&amp;number=4&amp;sourceID=14","4")</f>
        <v>4</v>
      </c>
      <c r="G7854" s="4" t="str">
        <f>HYPERLINK("http://141.218.60.56/~jnz1568/getInfo.php?workbook=10_05.xlsx&amp;sheet=U0&amp;row=7854&amp;col=7&amp;number=0.113&amp;sourceID=14","0.113")</f>
        <v>0.113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HYPERLINK("http://141.218.60.56/~jnz1568/getInfo.php?workbook=10_05.xlsx&amp;sheet=U0&amp;row=7855&amp;col=6&amp;number=4.1&amp;sourceID=14","4.1")</f>
        <v>4.1</v>
      </c>
      <c r="G7855" s="4" t="str">
        <f>HYPERLINK("http://141.218.60.56/~jnz1568/getInfo.php?workbook=10_05.xlsx&amp;sheet=U0&amp;row=7855&amp;col=7&amp;number=0.107&amp;sourceID=14","0.107")</f>
        <v>0.107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HYPERLINK("http://141.218.60.56/~jnz1568/getInfo.php?workbook=10_05.xlsx&amp;sheet=U0&amp;row=7856&amp;col=6&amp;number=4.2&amp;sourceID=14","4.2")</f>
        <v>4.2</v>
      </c>
      <c r="G7856" s="4" t="str">
        <f>HYPERLINK("http://141.218.60.56/~jnz1568/getInfo.php?workbook=10_05.xlsx&amp;sheet=U0&amp;row=7856&amp;col=7&amp;number=0.0998&amp;sourceID=14","0.0998")</f>
        <v>0.0998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HYPERLINK("http://141.218.60.56/~jnz1568/getInfo.php?workbook=10_05.xlsx&amp;sheet=U0&amp;row=7857&amp;col=6&amp;number=4.3&amp;sourceID=14","4.3")</f>
        <v>4.3</v>
      </c>
      <c r="G7857" s="4" t="str">
        <f>HYPERLINK("http://141.218.60.56/~jnz1568/getInfo.php?workbook=10_05.xlsx&amp;sheet=U0&amp;row=7857&amp;col=7&amp;number=0.093&amp;sourceID=14","0.093")</f>
        <v>0.093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HYPERLINK("http://141.218.60.56/~jnz1568/getInfo.php?workbook=10_05.xlsx&amp;sheet=U0&amp;row=7858&amp;col=6&amp;number=4.4&amp;sourceID=14","4.4")</f>
        <v>4.4</v>
      </c>
      <c r="G7858" s="4" t="str">
        <f>HYPERLINK("http://141.218.60.56/~jnz1568/getInfo.php?workbook=10_05.xlsx&amp;sheet=U0&amp;row=7858&amp;col=7&amp;number=0.0863&amp;sourceID=14","0.0863")</f>
        <v>0.0863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HYPERLINK("http://141.218.60.56/~jnz1568/getInfo.php?workbook=10_05.xlsx&amp;sheet=U0&amp;row=7859&amp;col=6&amp;number=4.5&amp;sourceID=14","4.5")</f>
        <v>4.5</v>
      </c>
      <c r="G7859" s="4" t="str">
        <f>HYPERLINK("http://141.218.60.56/~jnz1568/getInfo.php?workbook=10_05.xlsx&amp;sheet=U0&amp;row=7859&amp;col=7&amp;number=0.0797&amp;sourceID=14","0.0797")</f>
        <v>0.0797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HYPERLINK("http://141.218.60.56/~jnz1568/getInfo.php?workbook=10_05.xlsx&amp;sheet=U0&amp;row=7860&amp;col=6&amp;number=4.6&amp;sourceID=14","4.6")</f>
        <v>4.6</v>
      </c>
      <c r="G7860" s="4" t="str">
        <f>HYPERLINK("http://141.218.60.56/~jnz1568/getInfo.php?workbook=10_05.xlsx&amp;sheet=U0&amp;row=7860&amp;col=7&amp;number=0.0734&amp;sourceID=14","0.0734")</f>
        <v>0.0734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HYPERLINK("http://141.218.60.56/~jnz1568/getInfo.php?workbook=10_05.xlsx&amp;sheet=U0&amp;row=7861&amp;col=6&amp;number=4.7&amp;sourceID=14","4.7")</f>
        <v>4.7</v>
      </c>
      <c r="G7861" s="4" t="str">
        <f>HYPERLINK("http://141.218.60.56/~jnz1568/getInfo.php?workbook=10_05.xlsx&amp;sheet=U0&amp;row=7861&amp;col=7&amp;number=0.0676&amp;sourceID=14","0.0676")</f>
        <v>0.0676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HYPERLINK("http://141.218.60.56/~jnz1568/getInfo.php?workbook=10_05.xlsx&amp;sheet=U0&amp;row=7862&amp;col=6&amp;number=4.8&amp;sourceID=14","4.8")</f>
        <v>4.8</v>
      </c>
      <c r="G7862" s="4" t="str">
        <f>HYPERLINK("http://141.218.60.56/~jnz1568/getInfo.php?workbook=10_05.xlsx&amp;sheet=U0&amp;row=7862&amp;col=7&amp;number=0.0626&amp;sourceID=14","0.0626")</f>
        <v>0.0626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HYPERLINK("http://141.218.60.56/~jnz1568/getInfo.php?workbook=10_05.xlsx&amp;sheet=U0&amp;row=7863&amp;col=6&amp;number=4.9&amp;sourceID=14","4.9")</f>
        <v>4.9</v>
      </c>
      <c r="G7863" s="4" t="str">
        <f>HYPERLINK("http://141.218.60.56/~jnz1568/getInfo.php?workbook=10_05.xlsx&amp;sheet=U0&amp;row=7863&amp;col=7&amp;number=0.0583&amp;sourceID=14","0.0583")</f>
        <v>0.0583</v>
      </c>
    </row>
    <row r="7864" spans="1:7">
      <c r="A7864" s="3">
        <v>10</v>
      </c>
      <c r="B7864" s="3">
        <v>5</v>
      </c>
      <c r="C7864" s="3">
        <v>3</v>
      </c>
      <c r="D7864" s="3">
        <v>40</v>
      </c>
      <c r="E7864" s="3">
        <v>1</v>
      </c>
      <c r="F7864" s="4" t="str">
        <f>HYPERLINK("http://141.218.60.56/~jnz1568/getInfo.php?workbook=10_05.xlsx&amp;sheet=U0&amp;row=7864&amp;col=6&amp;number=3&amp;sourceID=14","3")</f>
        <v>3</v>
      </c>
      <c r="G7864" s="4" t="str">
        <f>HYPERLINK("http://141.218.60.56/~jnz1568/getInfo.php?workbook=10_05.xlsx&amp;sheet=U0&amp;row=7864&amp;col=7&amp;number=0.0171&amp;sourceID=14","0.0171")</f>
        <v>0.0171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HYPERLINK("http://141.218.60.56/~jnz1568/getInfo.php?workbook=10_05.xlsx&amp;sheet=U0&amp;row=7865&amp;col=6&amp;number=3.1&amp;sourceID=14","3.1")</f>
        <v>3.1</v>
      </c>
      <c r="G7865" s="4" t="str">
        <f>HYPERLINK("http://141.218.60.56/~jnz1568/getInfo.php?workbook=10_05.xlsx&amp;sheet=U0&amp;row=7865&amp;col=7&amp;number=0.017&amp;sourceID=14","0.017")</f>
        <v>0.017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HYPERLINK("http://141.218.60.56/~jnz1568/getInfo.php?workbook=10_05.xlsx&amp;sheet=U0&amp;row=7866&amp;col=6&amp;number=3.2&amp;sourceID=14","3.2")</f>
        <v>3.2</v>
      </c>
      <c r="G7866" s="4" t="str">
        <f>HYPERLINK("http://141.218.60.56/~jnz1568/getInfo.php?workbook=10_05.xlsx&amp;sheet=U0&amp;row=7866&amp;col=7&amp;number=0.017&amp;sourceID=14","0.017")</f>
        <v>0.017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HYPERLINK("http://141.218.60.56/~jnz1568/getInfo.php?workbook=10_05.xlsx&amp;sheet=U0&amp;row=7867&amp;col=6&amp;number=3.3&amp;sourceID=14","3.3")</f>
        <v>3.3</v>
      </c>
      <c r="G7867" s="4" t="str">
        <f>HYPERLINK("http://141.218.60.56/~jnz1568/getInfo.php?workbook=10_05.xlsx&amp;sheet=U0&amp;row=7867&amp;col=7&amp;number=0.017&amp;sourceID=14","0.017")</f>
        <v>0.017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HYPERLINK("http://141.218.60.56/~jnz1568/getInfo.php?workbook=10_05.xlsx&amp;sheet=U0&amp;row=7868&amp;col=6&amp;number=3.4&amp;sourceID=14","3.4")</f>
        <v>3.4</v>
      </c>
      <c r="G7868" s="4" t="str">
        <f>HYPERLINK("http://141.218.60.56/~jnz1568/getInfo.php?workbook=10_05.xlsx&amp;sheet=U0&amp;row=7868&amp;col=7&amp;number=0.017&amp;sourceID=14","0.017")</f>
        <v>0.017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HYPERLINK("http://141.218.60.56/~jnz1568/getInfo.php?workbook=10_05.xlsx&amp;sheet=U0&amp;row=7869&amp;col=6&amp;number=3.5&amp;sourceID=14","3.5")</f>
        <v>3.5</v>
      </c>
      <c r="G7869" s="4" t="str">
        <f>HYPERLINK("http://141.218.60.56/~jnz1568/getInfo.php?workbook=10_05.xlsx&amp;sheet=U0&amp;row=7869&amp;col=7&amp;number=0.0169&amp;sourceID=14","0.0169")</f>
        <v>0.0169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HYPERLINK("http://141.218.60.56/~jnz1568/getInfo.php?workbook=10_05.xlsx&amp;sheet=U0&amp;row=7870&amp;col=6&amp;number=3.6&amp;sourceID=14","3.6")</f>
        <v>3.6</v>
      </c>
      <c r="G7870" s="4" t="str">
        <f>HYPERLINK("http://141.218.60.56/~jnz1568/getInfo.php?workbook=10_05.xlsx&amp;sheet=U0&amp;row=7870&amp;col=7&amp;number=0.0169&amp;sourceID=14","0.0169")</f>
        <v>0.0169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HYPERLINK("http://141.218.60.56/~jnz1568/getInfo.php?workbook=10_05.xlsx&amp;sheet=U0&amp;row=7871&amp;col=6&amp;number=3.7&amp;sourceID=14","3.7")</f>
        <v>3.7</v>
      </c>
      <c r="G7871" s="4" t="str">
        <f>HYPERLINK("http://141.218.60.56/~jnz1568/getInfo.php?workbook=10_05.xlsx&amp;sheet=U0&amp;row=7871&amp;col=7&amp;number=0.0168&amp;sourceID=14","0.0168")</f>
        <v>0.0168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HYPERLINK("http://141.218.60.56/~jnz1568/getInfo.php?workbook=10_05.xlsx&amp;sheet=U0&amp;row=7872&amp;col=6&amp;number=3.8&amp;sourceID=14","3.8")</f>
        <v>3.8</v>
      </c>
      <c r="G7872" s="4" t="str">
        <f>HYPERLINK("http://141.218.60.56/~jnz1568/getInfo.php?workbook=10_05.xlsx&amp;sheet=U0&amp;row=7872&amp;col=7&amp;number=0.0167&amp;sourceID=14","0.0167")</f>
        <v>0.0167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HYPERLINK("http://141.218.60.56/~jnz1568/getInfo.php?workbook=10_05.xlsx&amp;sheet=U0&amp;row=7873&amp;col=6&amp;number=3.9&amp;sourceID=14","3.9")</f>
        <v>3.9</v>
      </c>
      <c r="G7873" s="4" t="str">
        <f>HYPERLINK("http://141.218.60.56/~jnz1568/getInfo.php?workbook=10_05.xlsx&amp;sheet=U0&amp;row=7873&amp;col=7&amp;number=0.0166&amp;sourceID=14","0.0166")</f>
        <v>0.0166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HYPERLINK("http://141.218.60.56/~jnz1568/getInfo.php?workbook=10_05.xlsx&amp;sheet=U0&amp;row=7874&amp;col=6&amp;number=4&amp;sourceID=14","4")</f>
        <v>4</v>
      </c>
      <c r="G7874" s="4" t="str">
        <f>HYPERLINK("http://141.218.60.56/~jnz1568/getInfo.php?workbook=10_05.xlsx&amp;sheet=U0&amp;row=7874&amp;col=7&amp;number=0.0164&amp;sourceID=14","0.0164")</f>
        <v>0.0164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HYPERLINK("http://141.218.60.56/~jnz1568/getInfo.php?workbook=10_05.xlsx&amp;sheet=U0&amp;row=7875&amp;col=6&amp;number=4.1&amp;sourceID=14","4.1")</f>
        <v>4.1</v>
      </c>
      <c r="G7875" s="4" t="str">
        <f>HYPERLINK("http://141.218.60.56/~jnz1568/getInfo.php?workbook=10_05.xlsx&amp;sheet=U0&amp;row=7875&amp;col=7&amp;number=0.0161&amp;sourceID=14","0.0161")</f>
        <v>0.0161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HYPERLINK("http://141.218.60.56/~jnz1568/getInfo.php?workbook=10_05.xlsx&amp;sheet=U0&amp;row=7876&amp;col=6&amp;number=4.2&amp;sourceID=14","4.2")</f>
        <v>4.2</v>
      </c>
      <c r="G7876" s="4" t="str">
        <f>HYPERLINK("http://141.218.60.56/~jnz1568/getInfo.php?workbook=10_05.xlsx&amp;sheet=U0&amp;row=7876&amp;col=7&amp;number=0.0157&amp;sourceID=14","0.0157")</f>
        <v>0.0157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HYPERLINK("http://141.218.60.56/~jnz1568/getInfo.php?workbook=10_05.xlsx&amp;sheet=U0&amp;row=7877&amp;col=6&amp;number=4.3&amp;sourceID=14","4.3")</f>
        <v>4.3</v>
      </c>
      <c r="G7877" s="4" t="str">
        <f>HYPERLINK("http://141.218.60.56/~jnz1568/getInfo.php?workbook=10_05.xlsx&amp;sheet=U0&amp;row=7877&amp;col=7&amp;number=0.015&amp;sourceID=14","0.015")</f>
        <v>0.015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HYPERLINK("http://141.218.60.56/~jnz1568/getInfo.php?workbook=10_05.xlsx&amp;sheet=U0&amp;row=7878&amp;col=6&amp;number=4.4&amp;sourceID=14","4.4")</f>
        <v>4.4</v>
      </c>
      <c r="G7878" s="4" t="str">
        <f>HYPERLINK("http://141.218.60.56/~jnz1568/getInfo.php?workbook=10_05.xlsx&amp;sheet=U0&amp;row=7878&amp;col=7&amp;number=0.0142&amp;sourceID=14","0.0142")</f>
        <v>0.0142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HYPERLINK("http://141.218.60.56/~jnz1568/getInfo.php?workbook=10_05.xlsx&amp;sheet=U0&amp;row=7879&amp;col=6&amp;number=4.5&amp;sourceID=14","4.5")</f>
        <v>4.5</v>
      </c>
      <c r="G7879" s="4" t="str">
        <f>HYPERLINK("http://141.218.60.56/~jnz1568/getInfo.php?workbook=10_05.xlsx&amp;sheet=U0&amp;row=7879&amp;col=7&amp;number=0.0131&amp;sourceID=14","0.0131")</f>
        <v>0.0131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HYPERLINK("http://141.218.60.56/~jnz1568/getInfo.php?workbook=10_05.xlsx&amp;sheet=U0&amp;row=7880&amp;col=6&amp;number=4.6&amp;sourceID=14","4.6")</f>
        <v>4.6</v>
      </c>
      <c r="G7880" s="4" t="str">
        <f>HYPERLINK("http://141.218.60.56/~jnz1568/getInfo.php?workbook=10_05.xlsx&amp;sheet=U0&amp;row=7880&amp;col=7&amp;number=0.0121&amp;sourceID=14","0.0121")</f>
        <v>0.0121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HYPERLINK("http://141.218.60.56/~jnz1568/getInfo.php?workbook=10_05.xlsx&amp;sheet=U0&amp;row=7881&amp;col=6&amp;number=4.7&amp;sourceID=14","4.7")</f>
        <v>4.7</v>
      </c>
      <c r="G7881" s="4" t="str">
        <f>HYPERLINK("http://141.218.60.56/~jnz1568/getInfo.php?workbook=10_05.xlsx&amp;sheet=U0&amp;row=7881&amp;col=7&amp;number=0.0112&amp;sourceID=14","0.0112")</f>
        <v>0.0112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HYPERLINK("http://141.218.60.56/~jnz1568/getInfo.php?workbook=10_05.xlsx&amp;sheet=U0&amp;row=7882&amp;col=6&amp;number=4.8&amp;sourceID=14","4.8")</f>
        <v>4.8</v>
      </c>
      <c r="G7882" s="4" t="str">
        <f>HYPERLINK("http://141.218.60.56/~jnz1568/getInfo.php?workbook=10_05.xlsx&amp;sheet=U0&amp;row=7882&amp;col=7&amp;number=0.0103&amp;sourceID=14","0.0103")</f>
        <v>0.0103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HYPERLINK("http://141.218.60.56/~jnz1568/getInfo.php?workbook=10_05.xlsx&amp;sheet=U0&amp;row=7883&amp;col=6&amp;number=4.9&amp;sourceID=14","4.9")</f>
        <v>4.9</v>
      </c>
      <c r="G7883" s="4" t="str">
        <f>HYPERLINK("http://141.218.60.56/~jnz1568/getInfo.php?workbook=10_05.xlsx&amp;sheet=U0&amp;row=7883&amp;col=7&amp;number=0.00945&amp;sourceID=14","0.00945")</f>
        <v>0.00945</v>
      </c>
    </row>
    <row r="7884" spans="1:7">
      <c r="A7884" s="3">
        <v>10</v>
      </c>
      <c r="B7884" s="3">
        <v>5</v>
      </c>
      <c r="C7884" s="3">
        <v>3</v>
      </c>
      <c r="D7884" s="3">
        <v>41</v>
      </c>
      <c r="E7884" s="3">
        <v>1</v>
      </c>
      <c r="F7884" s="4" t="str">
        <f>HYPERLINK("http://141.218.60.56/~jnz1568/getInfo.php?workbook=10_05.xlsx&amp;sheet=U0&amp;row=7884&amp;col=6&amp;number=3&amp;sourceID=14","3")</f>
        <v>3</v>
      </c>
      <c r="G7884" s="4" t="str">
        <f>HYPERLINK("http://141.218.60.56/~jnz1568/getInfo.php?workbook=10_05.xlsx&amp;sheet=U0&amp;row=7884&amp;col=7&amp;number=0.15&amp;sourceID=14","0.15")</f>
        <v>0.15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HYPERLINK("http://141.218.60.56/~jnz1568/getInfo.php?workbook=10_05.xlsx&amp;sheet=U0&amp;row=7885&amp;col=6&amp;number=3.1&amp;sourceID=14","3.1")</f>
        <v>3.1</v>
      </c>
      <c r="G7885" s="4" t="str">
        <f>HYPERLINK("http://141.218.60.56/~jnz1568/getInfo.php?workbook=10_05.xlsx&amp;sheet=U0&amp;row=7885&amp;col=7&amp;number=0.149&amp;sourceID=14","0.149")</f>
        <v>0.149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HYPERLINK("http://141.218.60.56/~jnz1568/getInfo.php?workbook=10_05.xlsx&amp;sheet=U0&amp;row=7886&amp;col=6&amp;number=3.2&amp;sourceID=14","3.2")</f>
        <v>3.2</v>
      </c>
      <c r="G7886" s="4" t="str">
        <f>HYPERLINK("http://141.218.60.56/~jnz1568/getInfo.php?workbook=10_05.xlsx&amp;sheet=U0&amp;row=7886&amp;col=7&amp;number=0.147&amp;sourceID=14","0.147")</f>
        <v>0.147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HYPERLINK("http://141.218.60.56/~jnz1568/getInfo.php?workbook=10_05.xlsx&amp;sheet=U0&amp;row=7887&amp;col=6&amp;number=3.3&amp;sourceID=14","3.3")</f>
        <v>3.3</v>
      </c>
      <c r="G7887" s="4" t="str">
        <f>HYPERLINK("http://141.218.60.56/~jnz1568/getInfo.php?workbook=10_05.xlsx&amp;sheet=U0&amp;row=7887&amp;col=7&amp;number=0.145&amp;sourceID=14","0.145")</f>
        <v>0.145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HYPERLINK("http://141.218.60.56/~jnz1568/getInfo.php?workbook=10_05.xlsx&amp;sheet=U0&amp;row=7888&amp;col=6&amp;number=3.4&amp;sourceID=14","3.4")</f>
        <v>3.4</v>
      </c>
      <c r="G7888" s="4" t="str">
        <f>HYPERLINK("http://141.218.60.56/~jnz1568/getInfo.php?workbook=10_05.xlsx&amp;sheet=U0&amp;row=7888&amp;col=7&amp;number=0.142&amp;sourceID=14","0.142")</f>
        <v>0.142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HYPERLINK("http://141.218.60.56/~jnz1568/getInfo.php?workbook=10_05.xlsx&amp;sheet=U0&amp;row=7889&amp;col=6&amp;number=3.5&amp;sourceID=14","3.5")</f>
        <v>3.5</v>
      </c>
      <c r="G7889" s="4" t="str">
        <f>HYPERLINK("http://141.218.60.56/~jnz1568/getInfo.php?workbook=10_05.xlsx&amp;sheet=U0&amp;row=7889&amp;col=7&amp;number=0.139&amp;sourceID=14","0.139")</f>
        <v>0.139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HYPERLINK("http://141.218.60.56/~jnz1568/getInfo.php?workbook=10_05.xlsx&amp;sheet=U0&amp;row=7890&amp;col=6&amp;number=3.6&amp;sourceID=14","3.6")</f>
        <v>3.6</v>
      </c>
      <c r="G7890" s="4" t="str">
        <f>HYPERLINK("http://141.218.60.56/~jnz1568/getInfo.php?workbook=10_05.xlsx&amp;sheet=U0&amp;row=7890&amp;col=7&amp;number=0.135&amp;sourceID=14","0.135")</f>
        <v>0.135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HYPERLINK("http://141.218.60.56/~jnz1568/getInfo.php?workbook=10_05.xlsx&amp;sheet=U0&amp;row=7891&amp;col=6&amp;number=3.7&amp;sourceID=14","3.7")</f>
        <v>3.7</v>
      </c>
      <c r="G7891" s="4" t="str">
        <f>HYPERLINK("http://141.218.60.56/~jnz1568/getInfo.php?workbook=10_05.xlsx&amp;sheet=U0&amp;row=7891&amp;col=7&amp;number=0.131&amp;sourceID=14","0.131")</f>
        <v>0.131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HYPERLINK("http://141.218.60.56/~jnz1568/getInfo.php?workbook=10_05.xlsx&amp;sheet=U0&amp;row=7892&amp;col=6&amp;number=3.8&amp;sourceID=14","3.8")</f>
        <v>3.8</v>
      </c>
      <c r="G7892" s="4" t="str">
        <f>HYPERLINK("http://141.218.60.56/~jnz1568/getInfo.php?workbook=10_05.xlsx&amp;sheet=U0&amp;row=7892&amp;col=7&amp;number=0.125&amp;sourceID=14","0.125")</f>
        <v>0.125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HYPERLINK("http://141.218.60.56/~jnz1568/getInfo.php?workbook=10_05.xlsx&amp;sheet=U0&amp;row=7893&amp;col=6&amp;number=3.9&amp;sourceID=14","3.9")</f>
        <v>3.9</v>
      </c>
      <c r="G7893" s="4" t="str">
        <f>HYPERLINK("http://141.218.60.56/~jnz1568/getInfo.php?workbook=10_05.xlsx&amp;sheet=U0&amp;row=7893&amp;col=7&amp;number=0.119&amp;sourceID=14","0.119")</f>
        <v>0.119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HYPERLINK("http://141.218.60.56/~jnz1568/getInfo.php?workbook=10_05.xlsx&amp;sheet=U0&amp;row=7894&amp;col=6&amp;number=4&amp;sourceID=14","4")</f>
        <v>4</v>
      </c>
      <c r="G7894" s="4" t="str">
        <f>HYPERLINK("http://141.218.60.56/~jnz1568/getInfo.php?workbook=10_05.xlsx&amp;sheet=U0&amp;row=7894&amp;col=7&amp;number=0.113&amp;sourceID=14","0.113")</f>
        <v>0.113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HYPERLINK("http://141.218.60.56/~jnz1568/getInfo.php?workbook=10_05.xlsx&amp;sheet=U0&amp;row=7895&amp;col=6&amp;number=4.1&amp;sourceID=14","4.1")</f>
        <v>4.1</v>
      </c>
      <c r="G7895" s="4" t="str">
        <f>HYPERLINK("http://141.218.60.56/~jnz1568/getInfo.php?workbook=10_05.xlsx&amp;sheet=U0&amp;row=7895&amp;col=7&amp;number=0.106&amp;sourceID=14","0.106")</f>
        <v>0.106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HYPERLINK("http://141.218.60.56/~jnz1568/getInfo.php?workbook=10_05.xlsx&amp;sheet=U0&amp;row=7896&amp;col=6&amp;number=4.2&amp;sourceID=14","4.2")</f>
        <v>4.2</v>
      </c>
      <c r="G7896" s="4" t="str">
        <f>HYPERLINK("http://141.218.60.56/~jnz1568/getInfo.php?workbook=10_05.xlsx&amp;sheet=U0&amp;row=7896&amp;col=7&amp;number=0.0995&amp;sourceID=14","0.0995")</f>
        <v>0.0995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HYPERLINK("http://141.218.60.56/~jnz1568/getInfo.php?workbook=10_05.xlsx&amp;sheet=U0&amp;row=7897&amp;col=6&amp;number=4.3&amp;sourceID=14","4.3")</f>
        <v>4.3</v>
      </c>
      <c r="G7897" s="4" t="str">
        <f>HYPERLINK("http://141.218.60.56/~jnz1568/getInfo.php?workbook=10_05.xlsx&amp;sheet=U0&amp;row=7897&amp;col=7&amp;number=0.0934&amp;sourceID=14","0.0934")</f>
        <v>0.0934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HYPERLINK("http://141.218.60.56/~jnz1568/getInfo.php?workbook=10_05.xlsx&amp;sheet=U0&amp;row=7898&amp;col=6&amp;number=4.4&amp;sourceID=14","4.4")</f>
        <v>4.4</v>
      </c>
      <c r="G7898" s="4" t="str">
        <f>HYPERLINK("http://141.218.60.56/~jnz1568/getInfo.php?workbook=10_05.xlsx&amp;sheet=U0&amp;row=7898&amp;col=7&amp;number=0.0871&amp;sourceID=14","0.0871")</f>
        <v>0.0871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HYPERLINK("http://141.218.60.56/~jnz1568/getInfo.php?workbook=10_05.xlsx&amp;sheet=U0&amp;row=7899&amp;col=6&amp;number=4.5&amp;sourceID=14","4.5")</f>
        <v>4.5</v>
      </c>
      <c r="G7899" s="4" t="str">
        <f>HYPERLINK("http://141.218.60.56/~jnz1568/getInfo.php?workbook=10_05.xlsx&amp;sheet=U0&amp;row=7899&amp;col=7&amp;number=0.0803&amp;sourceID=14","0.0803")</f>
        <v>0.0803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HYPERLINK("http://141.218.60.56/~jnz1568/getInfo.php?workbook=10_05.xlsx&amp;sheet=U0&amp;row=7900&amp;col=6&amp;number=4.6&amp;sourceID=14","4.6")</f>
        <v>4.6</v>
      </c>
      <c r="G7900" s="4" t="str">
        <f>HYPERLINK("http://141.218.60.56/~jnz1568/getInfo.php?workbook=10_05.xlsx&amp;sheet=U0&amp;row=7900&amp;col=7&amp;number=0.0736&amp;sourceID=14","0.0736")</f>
        <v>0.0736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HYPERLINK("http://141.218.60.56/~jnz1568/getInfo.php?workbook=10_05.xlsx&amp;sheet=U0&amp;row=7901&amp;col=6&amp;number=4.7&amp;sourceID=14","4.7")</f>
        <v>4.7</v>
      </c>
      <c r="G7901" s="4" t="str">
        <f>HYPERLINK("http://141.218.60.56/~jnz1568/getInfo.php?workbook=10_05.xlsx&amp;sheet=U0&amp;row=7901&amp;col=7&amp;number=0.0679&amp;sourceID=14","0.0679")</f>
        <v>0.0679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HYPERLINK("http://141.218.60.56/~jnz1568/getInfo.php?workbook=10_05.xlsx&amp;sheet=U0&amp;row=7902&amp;col=6&amp;number=4.8&amp;sourceID=14","4.8")</f>
        <v>4.8</v>
      </c>
      <c r="G7902" s="4" t="str">
        <f>HYPERLINK("http://141.218.60.56/~jnz1568/getInfo.php?workbook=10_05.xlsx&amp;sheet=U0&amp;row=7902&amp;col=7&amp;number=0.0631&amp;sourceID=14","0.0631")</f>
        <v>0.0631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HYPERLINK("http://141.218.60.56/~jnz1568/getInfo.php?workbook=10_05.xlsx&amp;sheet=U0&amp;row=7903&amp;col=6&amp;number=4.9&amp;sourceID=14","4.9")</f>
        <v>4.9</v>
      </c>
      <c r="G7903" s="4" t="str">
        <f>HYPERLINK("http://141.218.60.56/~jnz1568/getInfo.php?workbook=10_05.xlsx&amp;sheet=U0&amp;row=7903&amp;col=7&amp;number=0.0588&amp;sourceID=14","0.0588")</f>
        <v>0.0588</v>
      </c>
    </row>
    <row r="7904" spans="1:7">
      <c r="A7904" s="3">
        <v>10</v>
      </c>
      <c r="B7904" s="3">
        <v>5</v>
      </c>
      <c r="C7904" s="3">
        <v>3</v>
      </c>
      <c r="D7904" s="3">
        <v>42</v>
      </c>
      <c r="E7904" s="3">
        <v>1</v>
      </c>
      <c r="F7904" s="4" t="str">
        <f>HYPERLINK("http://141.218.60.56/~jnz1568/getInfo.php?workbook=10_05.xlsx&amp;sheet=U0&amp;row=7904&amp;col=6&amp;number=3&amp;sourceID=14","3")</f>
        <v>3</v>
      </c>
      <c r="G7904" s="4" t="str">
        <f>HYPERLINK("http://141.218.60.56/~jnz1568/getInfo.php?workbook=10_05.xlsx&amp;sheet=U0&amp;row=7904&amp;col=7&amp;number=0.0712&amp;sourceID=14","0.0712")</f>
        <v>0.0712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HYPERLINK("http://141.218.60.56/~jnz1568/getInfo.php?workbook=10_05.xlsx&amp;sheet=U0&amp;row=7905&amp;col=6&amp;number=3.1&amp;sourceID=14","3.1")</f>
        <v>3.1</v>
      </c>
      <c r="G7905" s="4" t="str">
        <f>HYPERLINK("http://141.218.60.56/~jnz1568/getInfo.php?workbook=10_05.xlsx&amp;sheet=U0&amp;row=7905&amp;col=7&amp;number=0.071&amp;sourceID=14","0.071")</f>
        <v>0.071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HYPERLINK("http://141.218.60.56/~jnz1568/getInfo.php?workbook=10_05.xlsx&amp;sheet=U0&amp;row=7906&amp;col=6&amp;number=3.2&amp;sourceID=14","3.2")</f>
        <v>3.2</v>
      </c>
      <c r="G7906" s="4" t="str">
        <f>HYPERLINK("http://141.218.60.56/~jnz1568/getInfo.php?workbook=10_05.xlsx&amp;sheet=U0&amp;row=7906&amp;col=7&amp;number=0.0707&amp;sourceID=14","0.0707")</f>
        <v>0.0707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HYPERLINK("http://141.218.60.56/~jnz1568/getInfo.php?workbook=10_05.xlsx&amp;sheet=U0&amp;row=7907&amp;col=6&amp;number=3.3&amp;sourceID=14","3.3")</f>
        <v>3.3</v>
      </c>
      <c r="G7907" s="4" t="str">
        <f>HYPERLINK("http://141.218.60.56/~jnz1568/getInfo.php?workbook=10_05.xlsx&amp;sheet=U0&amp;row=7907&amp;col=7&amp;number=0.0704&amp;sourceID=14","0.0704")</f>
        <v>0.0704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HYPERLINK("http://141.218.60.56/~jnz1568/getInfo.php?workbook=10_05.xlsx&amp;sheet=U0&amp;row=7908&amp;col=6&amp;number=3.4&amp;sourceID=14","3.4")</f>
        <v>3.4</v>
      </c>
      <c r="G7908" s="4" t="str">
        <f>HYPERLINK("http://141.218.60.56/~jnz1568/getInfo.php?workbook=10_05.xlsx&amp;sheet=U0&amp;row=7908&amp;col=7&amp;number=0.07&amp;sourceID=14","0.07")</f>
        <v>0.07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HYPERLINK("http://141.218.60.56/~jnz1568/getInfo.php?workbook=10_05.xlsx&amp;sheet=U0&amp;row=7909&amp;col=6&amp;number=3.5&amp;sourceID=14","3.5")</f>
        <v>3.5</v>
      </c>
      <c r="G7909" s="4" t="str">
        <f>HYPERLINK("http://141.218.60.56/~jnz1568/getInfo.php?workbook=10_05.xlsx&amp;sheet=U0&amp;row=7909&amp;col=7&amp;number=0.0695&amp;sourceID=14","0.0695")</f>
        <v>0.0695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HYPERLINK("http://141.218.60.56/~jnz1568/getInfo.php?workbook=10_05.xlsx&amp;sheet=U0&amp;row=7910&amp;col=6&amp;number=3.6&amp;sourceID=14","3.6")</f>
        <v>3.6</v>
      </c>
      <c r="G7910" s="4" t="str">
        <f>HYPERLINK("http://141.218.60.56/~jnz1568/getInfo.php?workbook=10_05.xlsx&amp;sheet=U0&amp;row=7910&amp;col=7&amp;number=0.0688&amp;sourceID=14","0.0688")</f>
        <v>0.0688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HYPERLINK("http://141.218.60.56/~jnz1568/getInfo.php?workbook=10_05.xlsx&amp;sheet=U0&amp;row=7911&amp;col=6&amp;number=3.7&amp;sourceID=14","3.7")</f>
        <v>3.7</v>
      </c>
      <c r="G7911" s="4" t="str">
        <f>HYPERLINK("http://141.218.60.56/~jnz1568/getInfo.php?workbook=10_05.xlsx&amp;sheet=U0&amp;row=7911&amp;col=7&amp;number=0.068&amp;sourceID=14","0.068")</f>
        <v>0.068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HYPERLINK("http://141.218.60.56/~jnz1568/getInfo.php?workbook=10_05.xlsx&amp;sheet=U0&amp;row=7912&amp;col=6&amp;number=3.8&amp;sourceID=14","3.8")</f>
        <v>3.8</v>
      </c>
      <c r="G7912" s="4" t="str">
        <f>HYPERLINK("http://141.218.60.56/~jnz1568/getInfo.php?workbook=10_05.xlsx&amp;sheet=U0&amp;row=7912&amp;col=7&amp;number=0.067&amp;sourceID=14","0.067")</f>
        <v>0.067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HYPERLINK("http://141.218.60.56/~jnz1568/getInfo.php?workbook=10_05.xlsx&amp;sheet=U0&amp;row=7913&amp;col=6&amp;number=3.9&amp;sourceID=14","3.9")</f>
        <v>3.9</v>
      </c>
      <c r="G7913" s="4" t="str">
        <f>HYPERLINK("http://141.218.60.56/~jnz1568/getInfo.php?workbook=10_05.xlsx&amp;sheet=U0&amp;row=7913&amp;col=7&amp;number=0.0657&amp;sourceID=14","0.0657")</f>
        <v>0.0657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HYPERLINK("http://141.218.60.56/~jnz1568/getInfo.php?workbook=10_05.xlsx&amp;sheet=U0&amp;row=7914&amp;col=6&amp;number=4&amp;sourceID=14","4")</f>
        <v>4</v>
      </c>
      <c r="G7914" s="4" t="str">
        <f>HYPERLINK("http://141.218.60.56/~jnz1568/getInfo.php?workbook=10_05.xlsx&amp;sheet=U0&amp;row=7914&amp;col=7&amp;number=0.064&amp;sourceID=14","0.064")</f>
        <v>0.064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HYPERLINK("http://141.218.60.56/~jnz1568/getInfo.php?workbook=10_05.xlsx&amp;sheet=U0&amp;row=7915&amp;col=6&amp;number=4.1&amp;sourceID=14","4.1")</f>
        <v>4.1</v>
      </c>
      <c r="G7915" s="4" t="str">
        <f>HYPERLINK("http://141.218.60.56/~jnz1568/getInfo.php?workbook=10_05.xlsx&amp;sheet=U0&amp;row=7915&amp;col=7&amp;number=0.0617&amp;sourceID=14","0.0617")</f>
        <v>0.0617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HYPERLINK("http://141.218.60.56/~jnz1568/getInfo.php?workbook=10_05.xlsx&amp;sheet=U0&amp;row=7916&amp;col=6&amp;number=4.2&amp;sourceID=14","4.2")</f>
        <v>4.2</v>
      </c>
      <c r="G7916" s="4" t="str">
        <f>HYPERLINK("http://141.218.60.56/~jnz1568/getInfo.php?workbook=10_05.xlsx&amp;sheet=U0&amp;row=7916&amp;col=7&amp;number=0.0588&amp;sourceID=14","0.0588")</f>
        <v>0.0588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HYPERLINK("http://141.218.60.56/~jnz1568/getInfo.php?workbook=10_05.xlsx&amp;sheet=U0&amp;row=7917&amp;col=6&amp;number=4.3&amp;sourceID=14","4.3")</f>
        <v>4.3</v>
      </c>
      <c r="G7917" s="4" t="str">
        <f>HYPERLINK("http://141.218.60.56/~jnz1568/getInfo.php?workbook=10_05.xlsx&amp;sheet=U0&amp;row=7917&amp;col=7&amp;number=0.055&amp;sourceID=14","0.055")</f>
        <v>0.055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HYPERLINK("http://141.218.60.56/~jnz1568/getInfo.php?workbook=10_05.xlsx&amp;sheet=U0&amp;row=7918&amp;col=6&amp;number=4.4&amp;sourceID=14","4.4")</f>
        <v>4.4</v>
      </c>
      <c r="G7918" s="4" t="str">
        <f>HYPERLINK("http://141.218.60.56/~jnz1568/getInfo.php?workbook=10_05.xlsx&amp;sheet=U0&amp;row=7918&amp;col=7&amp;number=0.0505&amp;sourceID=14","0.0505")</f>
        <v>0.0505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HYPERLINK("http://141.218.60.56/~jnz1568/getInfo.php?workbook=10_05.xlsx&amp;sheet=U0&amp;row=7919&amp;col=6&amp;number=4.5&amp;sourceID=14","4.5")</f>
        <v>4.5</v>
      </c>
      <c r="G7919" s="4" t="str">
        <f>HYPERLINK("http://141.218.60.56/~jnz1568/getInfo.php?workbook=10_05.xlsx&amp;sheet=U0&amp;row=7919&amp;col=7&amp;number=0.0458&amp;sourceID=14","0.0458")</f>
        <v>0.0458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HYPERLINK("http://141.218.60.56/~jnz1568/getInfo.php?workbook=10_05.xlsx&amp;sheet=U0&amp;row=7920&amp;col=6&amp;number=4.6&amp;sourceID=14","4.6")</f>
        <v>4.6</v>
      </c>
      <c r="G7920" s="4" t="str">
        <f>HYPERLINK("http://141.218.60.56/~jnz1568/getInfo.php?workbook=10_05.xlsx&amp;sheet=U0&amp;row=7920&amp;col=7&amp;number=0.0415&amp;sourceID=14","0.0415")</f>
        <v>0.0415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HYPERLINK("http://141.218.60.56/~jnz1568/getInfo.php?workbook=10_05.xlsx&amp;sheet=U0&amp;row=7921&amp;col=6&amp;number=4.7&amp;sourceID=14","4.7")</f>
        <v>4.7</v>
      </c>
      <c r="G7921" s="4" t="str">
        <f>HYPERLINK("http://141.218.60.56/~jnz1568/getInfo.php?workbook=10_05.xlsx&amp;sheet=U0&amp;row=7921&amp;col=7&amp;number=0.0377&amp;sourceID=14","0.0377")</f>
        <v>0.0377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HYPERLINK("http://141.218.60.56/~jnz1568/getInfo.php?workbook=10_05.xlsx&amp;sheet=U0&amp;row=7922&amp;col=6&amp;number=4.8&amp;sourceID=14","4.8")</f>
        <v>4.8</v>
      </c>
      <c r="G7922" s="4" t="str">
        <f>HYPERLINK("http://141.218.60.56/~jnz1568/getInfo.php?workbook=10_05.xlsx&amp;sheet=U0&amp;row=7922&amp;col=7&amp;number=0.0342&amp;sourceID=14","0.0342")</f>
        <v>0.0342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HYPERLINK("http://141.218.60.56/~jnz1568/getInfo.php?workbook=10_05.xlsx&amp;sheet=U0&amp;row=7923&amp;col=6&amp;number=4.9&amp;sourceID=14","4.9")</f>
        <v>4.9</v>
      </c>
      <c r="G7923" s="4" t="str">
        <f>HYPERLINK("http://141.218.60.56/~jnz1568/getInfo.php?workbook=10_05.xlsx&amp;sheet=U0&amp;row=7923&amp;col=7&amp;number=0.0308&amp;sourceID=14","0.0308")</f>
        <v>0.0308</v>
      </c>
    </row>
    <row r="7924" spans="1:7">
      <c r="A7924" s="3">
        <v>10</v>
      </c>
      <c r="B7924" s="3">
        <v>5</v>
      </c>
      <c r="C7924" s="3">
        <v>3</v>
      </c>
      <c r="D7924" s="3">
        <v>43</v>
      </c>
      <c r="E7924" s="3">
        <v>1</v>
      </c>
      <c r="F7924" s="4" t="str">
        <f>HYPERLINK("http://141.218.60.56/~jnz1568/getInfo.php?workbook=10_05.xlsx&amp;sheet=U0&amp;row=7924&amp;col=6&amp;number=3&amp;sourceID=14","3")</f>
        <v>3</v>
      </c>
      <c r="G7924" s="4" t="str">
        <f>HYPERLINK("http://141.218.60.56/~jnz1568/getInfo.php?workbook=10_05.xlsx&amp;sheet=U0&amp;row=7924&amp;col=7&amp;number=0.178&amp;sourceID=14","0.178")</f>
        <v>0.178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HYPERLINK("http://141.218.60.56/~jnz1568/getInfo.php?workbook=10_05.xlsx&amp;sheet=U0&amp;row=7925&amp;col=6&amp;number=3.1&amp;sourceID=14","3.1")</f>
        <v>3.1</v>
      </c>
      <c r="G7925" s="4" t="str">
        <f>HYPERLINK("http://141.218.60.56/~jnz1568/getInfo.php?workbook=10_05.xlsx&amp;sheet=U0&amp;row=7925&amp;col=7&amp;number=0.178&amp;sourceID=14","0.178")</f>
        <v>0.178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HYPERLINK("http://141.218.60.56/~jnz1568/getInfo.php?workbook=10_05.xlsx&amp;sheet=U0&amp;row=7926&amp;col=6&amp;number=3.2&amp;sourceID=14","3.2")</f>
        <v>3.2</v>
      </c>
      <c r="G7926" s="4" t="str">
        <f>HYPERLINK("http://141.218.60.56/~jnz1568/getInfo.php?workbook=10_05.xlsx&amp;sheet=U0&amp;row=7926&amp;col=7&amp;number=0.179&amp;sourceID=14","0.179")</f>
        <v>0.179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HYPERLINK("http://141.218.60.56/~jnz1568/getInfo.php?workbook=10_05.xlsx&amp;sheet=U0&amp;row=7927&amp;col=6&amp;number=3.3&amp;sourceID=14","3.3")</f>
        <v>3.3</v>
      </c>
      <c r="G7927" s="4" t="str">
        <f>HYPERLINK("http://141.218.60.56/~jnz1568/getInfo.php?workbook=10_05.xlsx&amp;sheet=U0&amp;row=7927&amp;col=7&amp;number=0.179&amp;sourceID=14","0.179")</f>
        <v>0.179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HYPERLINK("http://141.218.60.56/~jnz1568/getInfo.php?workbook=10_05.xlsx&amp;sheet=U0&amp;row=7928&amp;col=6&amp;number=3.4&amp;sourceID=14","3.4")</f>
        <v>3.4</v>
      </c>
      <c r="G7928" s="4" t="str">
        <f>HYPERLINK("http://141.218.60.56/~jnz1568/getInfo.php?workbook=10_05.xlsx&amp;sheet=U0&amp;row=7928&amp;col=7&amp;number=0.18&amp;sourceID=14","0.18")</f>
        <v>0.18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HYPERLINK("http://141.218.60.56/~jnz1568/getInfo.php?workbook=10_05.xlsx&amp;sheet=U0&amp;row=7929&amp;col=6&amp;number=3.5&amp;sourceID=14","3.5")</f>
        <v>3.5</v>
      </c>
      <c r="G7929" s="4" t="str">
        <f>HYPERLINK("http://141.218.60.56/~jnz1568/getInfo.php?workbook=10_05.xlsx&amp;sheet=U0&amp;row=7929&amp;col=7&amp;number=0.181&amp;sourceID=14","0.181")</f>
        <v>0.181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HYPERLINK("http://141.218.60.56/~jnz1568/getInfo.php?workbook=10_05.xlsx&amp;sheet=U0&amp;row=7930&amp;col=6&amp;number=3.6&amp;sourceID=14","3.6")</f>
        <v>3.6</v>
      </c>
      <c r="G7930" s="4" t="str">
        <f>HYPERLINK("http://141.218.60.56/~jnz1568/getInfo.php?workbook=10_05.xlsx&amp;sheet=U0&amp;row=7930&amp;col=7&amp;number=0.182&amp;sourceID=14","0.182")</f>
        <v>0.182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HYPERLINK("http://141.218.60.56/~jnz1568/getInfo.php?workbook=10_05.xlsx&amp;sheet=U0&amp;row=7931&amp;col=6&amp;number=3.7&amp;sourceID=14","3.7")</f>
        <v>3.7</v>
      </c>
      <c r="G7931" s="4" t="str">
        <f>HYPERLINK("http://141.218.60.56/~jnz1568/getInfo.php?workbook=10_05.xlsx&amp;sheet=U0&amp;row=7931&amp;col=7&amp;number=0.184&amp;sourceID=14","0.184")</f>
        <v>0.184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HYPERLINK("http://141.218.60.56/~jnz1568/getInfo.php?workbook=10_05.xlsx&amp;sheet=U0&amp;row=7932&amp;col=6&amp;number=3.8&amp;sourceID=14","3.8")</f>
        <v>3.8</v>
      </c>
      <c r="G7932" s="4" t="str">
        <f>HYPERLINK("http://141.218.60.56/~jnz1568/getInfo.php?workbook=10_05.xlsx&amp;sheet=U0&amp;row=7932&amp;col=7&amp;number=0.185&amp;sourceID=14","0.185")</f>
        <v>0.185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HYPERLINK("http://141.218.60.56/~jnz1568/getInfo.php?workbook=10_05.xlsx&amp;sheet=U0&amp;row=7933&amp;col=6&amp;number=3.9&amp;sourceID=14","3.9")</f>
        <v>3.9</v>
      </c>
      <c r="G7933" s="4" t="str">
        <f>HYPERLINK("http://141.218.60.56/~jnz1568/getInfo.php?workbook=10_05.xlsx&amp;sheet=U0&amp;row=7933&amp;col=7&amp;number=0.188&amp;sourceID=14","0.188")</f>
        <v>0.188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HYPERLINK("http://141.218.60.56/~jnz1568/getInfo.php?workbook=10_05.xlsx&amp;sheet=U0&amp;row=7934&amp;col=6&amp;number=4&amp;sourceID=14","4")</f>
        <v>4</v>
      </c>
      <c r="G7934" s="4" t="str">
        <f>HYPERLINK("http://141.218.60.56/~jnz1568/getInfo.php?workbook=10_05.xlsx&amp;sheet=U0&amp;row=7934&amp;col=7&amp;number=0.19&amp;sourceID=14","0.19")</f>
        <v>0.19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HYPERLINK("http://141.218.60.56/~jnz1568/getInfo.php?workbook=10_05.xlsx&amp;sheet=U0&amp;row=7935&amp;col=6&amp;number=4.1&amp;sourceID=14","4.1")</f>
        <v>4.1</v>
      </c>
      <c r="G7935" s="4" t="str">
        <f>HYPERLINK("http://141.218.60.56/~jnz1568/getInfo.php?workbook=10_05.xlsx&amp;sheet=U0&amp;row=7935&amp;col=7&amp;number=0.193&amp;sourceID=14","0.193")</f>
        <v>0.193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HYPERLINK("http://141.218.60.56/~jnz1568/getInfo.php?workbook=10_05.xlsx&amp;sheet=U0&amp;row=7936&amp;col=6&amp;number=4.2&amp;sourceID=14","4.2")</f>
        <v>4.2</v>
      </c>
      <c r="G7936" s="4" t="str">
        <f>HYPERLINK("http://141.218.60.56/~jnz1568/getInfo.php?workbook=10_05.xlsx&amp;sheet=U0&amp;row=7936&amp;col=7&amp;number=0.197&amp;sourceID=14","0.197")</f>
        <v>0.197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HYPERLINK("http://141.218.60.56/~jnz1568/getInfo.php?workbook=10_05.xlsx&amp;sheet=U0&amp;row=7937&amp;col=6&amp;number=4.3&amp;sourceID=14","4.3")</f>
        <v>4.3</v>
      </c>
      <c r="G7937" s="4" t="str">
        <f>HYPERLINK("http://141.218.60.56/~jnz1568/getInfo.php?workbook=10_05.xlsx&amp;sheet=U0&amp;row=7937&amp;col=7&amp;number=0.2&amp;sourceID=14","0.2")</f>
        <v>0.2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HYPERLINK("http://141.218.60.56/~jnz1568/getInfo.php?workbook=10_05.xlsx&amp;sheet=U0&amp;row=7938&amp;col=6&amp;number=4.4&amp;sourceID=14","4.4")</f>
        <v>4.4</v>
      </c>
      <c r="G7938" s="4" t="str">
        <f>HYPERLINK("http://141.218.60.56/~jnz1568/getInfo.php?workbook=10_05.xlsx&amp;sheet=U0&amp;row=7938&amp;col=7&amp;number=0.204&amp;sourceID=14","0.204")</f>
        <v>0.204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HYPERLINK("http://141.218.60.56/~jnz1568/getInfo.php?workbook=10_05.xlsx&amp;sheet=U0&amp;row=7939&amp;col=6&amp;number=4.5&amp;sourceID=14","4.5")</f>
        <v>4.5</v>
      </c>
      <c r="G7939" s="4" t="str">
        <f>HYPERLINK("http://141.218.60.56/~jnz1568/getInfo.php?workbook=10_05.xlsx&amp;sheet=U0&amp;row=7939&amp;col=7&amp;number=0.207&amp;sourceID=14","0.207")</f>
        <v>0.207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HYPERLINK("http://141.218.60.56/~jnz1568/getInfo.php?workbook=10_05.xlsx&amp;sheet=U0&amp;row=7940&amp;col=6&amp;number=4.6&amp;sourceID=14","4.6")</f>
        <v>4.6</v>
      </c>
      <c r="G7940" s="4" t="str">
        <f>HYPERLINK("http://141.218.60.56/~jnz1568/getInfo.php?workbook=10_05.xlsx&amp;sheet=U0&amp;row=7940&amp;col=7&amp;number=0.208&amp;sourceID=14","0.208")</f>
        <v>0.208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HYPERLINK("http://141.218.60.56/~jnz1568/getInfo.php?workbook=10_05.xlsx&amp;sheet=U0&amp;row=7941&amp;col=6&amp;number=4.7&amp;sourceID=14","4.7")</f>
        <v>4.7</v>
      </c>
      <c r="G7941" s="4" t="str">
        <f>HYPERLINK("http://141.218.60.56/~jnz1568/getInfo.php?workbook=10_05.xlsx&amp;sheet=U0&amp;row=7941&amp;col=7&amp;number=0.209&amp;sourceID=14","0.209")</f>
        <v>0.209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HYPERLINK("http://141.218.60.56/~jnz1568/getInfo.php?workbook=10_05.xlsx&amp;sheet=U0&amp;row=7942&amp;col=6&amp;number=4.8&amp;sourceID=14","4.8")</f>
        <v>4.8</v>
      </c>
      <c r="G7942" s="4" t="str">
        <f>HYPERLINK("http://141.218.60.56/~jnz1568/getInfo.php?workbook=10_05.xlsx&amp;sheet=U0&amp;row=7942&amp;col=7&amp;number=0.209&amp;sourceID=14","0.209")</f>
        <v>0.209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HYPERLINK("http://141.218.60.56/~jnz1568/getInfo.php?workbook=10_05.xlsx&amp;sheet=U0&amp;row=7943&amp;col=6&amp;number=4.9&amp;sourceID=14","4.9")</f>
        <v>4.9</v>
      </c>
      <c r="G7943" s="4" t="str">
        <f>HYPERLINK("http://141.218.60.56/~jnz1568/getInfo.php?workbook=10_05.xlsx&amp;sheet=U0&amp;row=7943&amp;col=7&amp;number=0.212&amp;sourceID=14","0.212")</f>
        <v>0.212</v>
      </c>
    </row>
    <row r="7944" spans="1:7">
      <c r="A7944" s="3">
        <v>10</v>
      </c>
      <c r="B7944" s="3">
        <v>5</v>
      </c>
      <c r="C7944" s="3">
        <v>3</v>
      </c>
      <c r="D7944" s="3">
        <v>44</v>
      </c>
      <c r="E7944" s="3">
        <v>1</v>
      </c>
      <c r="F7944" s="4" t="str">
        <f>HYPERLINK("http://141.218.60.56/~jnz1568/getInfo.php?workbook=10_05.xlsx&amp;sheet=U0&amp;row=7944&amp;col=6&amp;number=3&amp;sourceID=14","3")</f>
        <v>3</v>
      </c>
      <c r="G7944" s="4" t="str">
        <f>HYPERLINK("http://141.218.60.56/~jnz1568/getInfo.php?workbook=10_05.xlsx&amp;sheet=U0&amp;row=7944&amp;col=7&amp;number=0.221&amp;sourceID=14","0.221")</f>
        <v>0.221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HYPERLINK("http://141.218.60.56/~jnz1568/getInfo.php?workbook=10_05.xlsx&amp;sheet=U0&amp;row=7945&amp;col=6&amp;number=3.1&amp;sourceID=14","3.1")</f>
        <v>3.1</v>
      </c>
      <c r="G7945" s="4" t="str">
        <f>HYPERLINK("http://141.218.60.56/~jnz1568/getInfo.php?workbook=10_05.xlsx&amp;sheet=U0&amp;row=7945&amp;col=7&amp;number=0.221&amp;sourceID=14","0.221")</f>
        <v>0.221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HYPERLINK("http://141.218.60.56/~jnz1568/getInfo.php?workbook=10_05.xlsx&amp;sheet=U0&amp;row=7946&amp;col=6&amp;number=3.2&amp;sourceID=14","3.2")</f>
        <v>3.2</v>
      </c>
      <c r="G7946" s="4" t="str">
        <f>HYPERLINK("http://141.218.60.56/~jnz1568/getInfo.php?workbook=10_05.xlsx&amp;sheet=U0&amp;row=7946&amp;col=7&amp;number=0.221&amp;sourceID=14","0.221")</f>
        <v>0.221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HYPERLINK("http://141.218.60.56/~jnz1568/getInfo.php?workbook=10_05.xlsx&amp;sheet=U0&amp;row=7947&amp;col=6&amp;number=3.3&amp;sourceID=14","3.3")</f>
        <v>3.3</v>
      </c>
      <c r="G7947" s="4" t="str">
        <f>HYPERLINK("http://141.218.60.56/~jnz1568/getInfo.php?workbook=10_05.xlsx&amp;sheet=U0&amp;row=7947&amp;col=7&amp;number=0.221&amp;sourceID=14","0.221")</f>
        <v>0.221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HYPERLINK("http://141.218.60.56/~jnz1568/getInfo.php?workbook=10_05.xlsx&amp;sheet=U0&amp;row=7948&amp;col=6&amp;number=3.4&amp;sourceID=14","3.4")</f>
        <v>3.4</v>
      </c>
      <c r="G7948" s="4" t="str">
        <f>HYPERLINK("http://141.218.60.56/~jnz1568/getInfo.php?workbook=10_05.xlsx&amp;sheet=U0&amp;row=7948&amp;col=7&amp;number=0.222&amp;sourceID=14","0.222")</f>
        <v>0.222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HYPERLINK("http://141.218.60.56/~jnz1568/getInfo.php?workbook=10_05.xlsx&amp;sheet=U0&amp;row=7949&amp;col=6&amp;number=3.5&amp;sourceID=14","3.5")</f>
        <v>3.5</v>
      </c>
      <c r="G7949" s="4" t="str">
        <f>HYPERLINK("http://141.218.60.56/~jnz1568/getInfo.php?workbook=10_05.xlsx&amp;sheet=U0&amp;row=7949&amp;col=7&amp;number=0.222&amp;sourceID=14","0.222")</f>
        <v>0.222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HYPERLINK("http://141.218.60.56/~jnz1568/getInfo.php?workbook=10_05.xlsx&amp;sheet=U0&amp;row=7950&amp;col=6&amp;number=3.6&amp;sourceID=14","3.6")</f>
        <v>3.6</v>
      </c>
      <c r="G7950" s="4" t="str">
        <f>HYPERLINK("http://141.218.60.56/~jnz1568/getInfo.php?workbook=10_05.xlsx&amp;sheet=U0&amp;row=7950&amp;col=7&amp;number=0.223&amp;sourceID=14","0.223")</f>
        <v>0.223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HYPERLINK("http://141.218.60.56/~jnz1568/getInfo.php?workbook=10_05.xlsx&amp;sheet=U0&amp;row=7951&amp;col=6&amp;number=3.7&amp;sourceID=14","3.7")</f>
        <v>3.7</v>
      </c>
      <c r="G7951" s="4" t="str">
        <f>HYPERLINK("http://141.218.60.56/~jnz1568/getInfo.php?workbook=10_05.xlsx&amp;sheet=U0&amp;row=7951&amp;col=7&amp;number=0.223&amp;sourceID=14","0.223")</f>
        <v>0.223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HYPERLINK("http://141.218.60.56/~jnz1568/getInfo.php?workbook=10_05.xlsx&amp;sheet=U0&amp;row=7952&amp;col=6&amp;number=3.8&amp;sourceID=14","3.8")</f>
        <v>3.8</v>
      </c>
      <c r="G7952" s="4" t="str">
        <f>HYPERLINK("http://141.218.60.56/~jnz1568/getInfo.php?workbook=10_05.xlsx&amp;sheet=U0&amp;row=7952&amp;col=7&amp;number=0.224&amp;sourceID=14","0.224")</f>
        <v>0.224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HYPERLINK("http://141.218.60.56/~jnz1568/getInfo.php?workbook=10_05.xlsx&amp;sheet=U0&amp;row=7953&amp;col=6&amp;number=3.9&amp;sourceID=14","3.9")</f>
        <v>3.9</v>
      </c>
      <c r="G7953" s="4" t="str">
        <f>HYPERLINK("http://141.218.60.56/~jnz1568/getInfo.php?workbook=10_05.xlsx&amp;sheet=U0&amp;row=7953&amp;col=7&amp;number=0.225&amp;sourceID=14","0.225")</f>
        <v>0.225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HYPERLINK("http://141.218.60.56/~jnz1568/getInfo.php?workbook=10_05.xlsx&amp;sheet=U0&amp;row=7954&amp;col=6&amp;number=4&amp;sourceID=14","4")</f>
        <v>4</v>
      </c>
      <c r="G7954" s="4" t="str">
        <f>HYPERLINK("http://141.218.60.56/~jnz1568/getInfo.php?workbook=10_05.xlsx&amp;sheet=U0&amp;row=7954&amp;col=7&amp;number=0.227&amp;sourceID=14","0.227")</f>
        <v>0.227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HYPERLINK("http://141.218.60.56/~jnz1568/getInfo.php?workbook=10_05.xlsx&amp;sheet=U0&amp;row=7955&amp;col=6&amp;number=4.1&amp;sourceID=14","4.1")</f>
        <v>4.1</v>
      </c>
      <c r="G7955" s="4" t="str">
        <f>HYPERLINK("http://141.218.60.56/~jnz1568/getInfo.php?workbook=10_05.xlsx&amp;sheet=U0&amp;row=7955&amp;col=7&amp;number=0.228&amp;sourceID=14","0.228")</f>
        <v>0.228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HYPERLINK("http://141.218.60.56/~jnz1568/getInfo.php?workbook=10_05.xlsx&amp;sheet=U0&amp;row=7956&amp;col=6&amp;number=4.2&amp;sourceID=14","4.2")</f>
        <v>4.2</v>
      </c>
      <c r="G7956" s="4" t="str">
        <f>HYPERLINK("http://141.218.60.56/~jnz1568/getInfo.php?workbook=10_05.xlsx&amp;sheet=U0&amp;row=7956&amp;col=7&amp;number=0.23&amp;sourceID=14","0.23")</f>
        <v>0.23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HYPERLINK("http://141.218.60.56/~jnz1568/getInfo.php?workbook=10_05.xlsx&amp;sheet=U0&amp;row=7957&amp;col=6&amp;number=4.3&amp;sourceID=14","4.3")</f>
        <v>4.3</v>
      </c>
      <c r="G7957" s="4" t="str">
        <f>HYPERLINK("http://141.218.60.56/~jnz1568/getInfo.php?workbook=10_05.xlsx&amp;sheet=U0&amp;row=7957&amp;col=7&amp;number=0.233&amp;sourceID=14","0.233")</f>
        <v>0.233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HYPERLINK("http://141.218.60.56/~jnz1568/getInfo.php?workbook=10_05.xlsx&amp;sheet=U0&amp;row=7958&amp;col=6&amp;number=4.4&amp;sourceID=14","4.4")</f>
        <v>4.4</v>
      </c>
      <c r="G7958" s="4" t="str">
        <f>HYPERLINK("http://141.218.60.56/~jnz1568/getInfo.php?workbook=10_05.xlsx&amp;sheet=U0&amp;row=7958&amp;col=7&amp;number=0.235&amp;sourceID=14","0.235")</f>
        <v>0.235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HYPERLINK("http://141.218.60.56/~jnz1568/getInfo.php?workbook=10_05.xlsx&amp;sheet=U0&amp;row=7959&amp;col=6&amp;number=4.5&amp;sourceID=14","4.5")</f>
        <v>4.5</v>
      </c>
      <c r="G7959" s="4" t="str">
        <f>HYPERLINK("http://141.218.60.56/~jnz1568/getInfo.php?workbook=10_05.xlsx&amp;sheet=U0&amp;row=7959&amp;col=7&amp;number=0.238&amp;sourceID=14","0.238")</f>
        <v>0.238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HYPERLINK("http://141.218.60.56/~jnz1568/getInfo.php?workbook=10_05.xlsx&amp;sheet=U0&amp;row=7960&amp;col=6&amp;number=4.6&amp;sourceID=14","4.6")</f>
        <v>4.6</v>
      </c>
      <c r="G7960" s="4" t="str">
        <f>HYPERLINK("http://141.218.60.56/~jnz1568/getInfo.php?workbook=10_05.xlsx&amp;sheet=U0&amp;row=7960&amp;col=7&amp;number=0.24&amp;sourceID=14","0.24")</f>
        <v>0.24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HYPERLINK("http://141.218.60.56/~jnz1568/getInfo.php?workbook=10_05.xlsx&amp;sheet=U0&amp;row=7961&amp;col=6&amp;number=4.7&amp;sourceID=14","4.7")</f>
        <v>4.7</v>
      </c>
      <c r="G7961" s="4" t="str">
        <f>HYPERLINK("http://141.218.60.56/~jnz1568/getInfo.php?workbook=10_05.xlsx&amp;sheet=U0&amp;row=7961&amp;col=7&amp;number=0.242&amp;sourceID=14","0.242")</f>
        <v>0.242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HYPERLINK("http://141.218.60.56/~jnz1568/getInfo.php?workbook=10_05.xlsx&amp;sheet=U0&amp;row=7962&amp;col=6&amp;number=4.8&amp;sourceID=14","4.8")</f>
        <v>4.8</v>
      </c>
      <c r="G7962" s="4" t="str">
        <f>HYPERLINK("http://141.218.60.56/~jnz1568/getInfo.php?workbook=10_05.xlsx&amp;sheet=U0&amp;row=7962&amp;col=7&amp;number=0.243&amp;sourceID=14","0.243")</f>
        <v>0.243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HYPERLINK("http://141.218.60.56/~jnz1568/getInfo.php?workbook=10_05.xlsx&amp;sheet=U0&amp;row=7963&amp;col=6&amp;number=4.9&amp;sourceID=14","4.9")</f>
        <v>4.9</v>
      </c>
      <c r="G7963" s="4" t="str">
        <f>HYPERLINK("http://141.218.60.56/~jnz1568/getInfo.php?workbook=10_05.xlsx&amp;sheet=U0&amp;row=7963&amp;col=7&amp;number=0.245&amp;sourceID=14","0.245")</f>
        <v>0.245</v>
      </c>
    </row>
    <row r="7964" spans="1:7">
      <c r="A7964" s="3">
        <v>10</v>
      </c>
      <c r="B7964" s="3">
        <v>5</v>
      </c>
      <c r="C7964" s="3">
        <v>3</v>
      </c>
      <c r="D7964" s="3">
        <v>45</v>
      </c>
      <c r="E7964" s="3">
        <v>1</v>
      </c>
      <c r="F7964" s="4" t="str">
        <f>HYPERLINK("http://141.218.60.56/~jnz1568/getInfo.php?workbook=10_05.xlsx&amp;sheet=U0&amp;row=7964&amp;col=6&amp;number=3&amp;sourceID=14","3")</f>
        <v>3</v>
      </c>
      <c r="G7964" s="4" t="str">
        <f>HYPERLINK("http://141.218.60.56/~jnz1568/getInfo.php?workbook=10_05.xlsx&amp;sheet=U0&amp;row=7964&amp;col=7&amp;number=0.0609&amp;sourceID=14","0.0609")</f>
        <v>0.0609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HYPERLINK("http://141.218.60.56/~jnz1568/getInfo.php?workbook=10_05.xlsx&amp;sheet=U0&amp;row=7965&amp;col=6&amp;number=3.1&amp;sourceID=14","3.1")</f>
        <v>3.1</v>
      </c>
      <c r="G7965" s="4" t="str">
        <f>HYPERLINK("http://141.218.60.56/~jnz1568/getInfo.php?workbook=10_05.xlsx&amp;sheet=U0&amp;row=7965&amp;col=7&amp;number=0.0608&amp;sourceID=14","0.0608")</f>
        <v>0.0608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HYPERLINK("http://141.218.60.56/~jnz1568/getInfo.php?workbook=10_05.xlsx&amp;sheet=U0&amp;row=7966&amp;col=6&amp;number=3.2&amp;sourceID=14","3.2")</f>
        <v>3.2</v>
      </c>
      <c r="G7966" s="4" t="str">
        <f>HYPERLINK("http://141.218.60.56/~jnz1568/getInfo.php?workbook=10_05.xlsx&amp;sheet=U0&amp;row=7966&amp;col=7&amp;number=0.0606&amp;sourceID=14","0.0606")</f>
        <v>0.0606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HYPERLINK("http://141.218.60.56/~jnz1568/getInfo.php?workbook=10_05.xlsx&amp;sheet=U0&amp;row=7967&amp;col=6&amp;number=3.3&amp;sourceID=14","3.3")</f>
        <v>3.3</v>
      </c>
      <c r="G7967" s="4" t="str">
        <f>HYPERLINK("http://141.218.60.56/~jnz1568/getInfo.php?workbook=10_05.xlsx&amp;sheet=U0&amp;row=7967&amp;col=7&amp;number=0.0604&amp;sourceID=14","0.0604")</f>
        <v>0.0604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HYPERLINK("http://141.218.60.56/~jnz1568/getInfo.php?workbook=10_05.xlsx&amp;sheet=U0&amp;row=7968&amp;col=6&amp;number=3.4&amp;sourceID=14","3.4")</f>
        <v>3.4</v>
      </c>
      <c r="G7968" s="4" t="str">
        <f>HYPERLINK("http://141.218.60.56/~jnz1568/getInfo.php?workbook=10_05.xlsx&amp;sheet=U0&amp;row=7968&amp;col=7&amp;number=0.0602&amp;sourceID=14","0.0602")</f>
        <v>0.0602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HYPERLINK("http://141.218.60.56/~jnz1568/getInfo.php?workbook=10_05.xlsx&amp;sheet=U0&amp;row=7969&amp;col=6&amp;number=3.5&amp;sourceID=14","3.5")</f>
        <v>3.5</v>
      </c>
      <c r="G7969" s="4" t="str">
        <f>HYPERLINK("http://141.218.60.56/~jnz1568/getInfo.php?workbook=10_05.xlsx&amp;sheet=U0&amp;row=7969&amp;col=7&amp;number=0.0599&amp;sourceID=14","0.0599")</f>
        <v>0.0599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HYPERLINK("http://141.218.60.56/~jnz1568/getInfo.php?workbook=10_05.xlsx&amp;sheet=U0&amp;row=7970&amp;col=6&amp;number=3.6&amp;sourceID=14","3.6")</f>
        <v>3.6</v>
      </c>
      <c r="G7970" s="4" t="str">
        <f>HYPERLINK("http://141.218.60.56/~jnz1568/getInfo.php?workbook=10_05.xlsx&amp;sheet=U0&amp;row=7970&amp;col=7&amp;number=0.0596&amp;sourceID=14","0.0596")</f>
        <v>0.0596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HYPERLINK("http://141.218.60.56/~jnz1568/getInfo.php?workbook=10_05.xlsx&amp;sheet=U0&amp;row=7971&amp;col=6&amp;number=3.7&amp;sourceID=14","3.7")</f>
        <v>3.7</v>
      </c>
      <c r="G7971" s="4" t="str">
        <f>HYPERLINK("http://141.218.60.56/~jnz1568/getInfo.php?workbook=10_05.xlsx&amp;sheet=U0&amp;row=7971&amp;col=7&amp;number=0.0591&amp;sourceID=14","0.0591")</f>
        <v>0.0591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HYPERLINK("http://141.218.60.56/~jnz1568/getInfo.php?workbook=10_05.xlsx&amp;sheet=U0&amp;row=7972&amp;col=6&amp;number=3.8&amp;sourceID=14","3.8")</f>
        <v>3.8</v>
      </c>
      <c r="G7972" s="4" t="str">
        <f>HYPERLINK("http://141.218.60.56/~jnz1568/getInfo.php?workbook=10_05.xlsx&amp;sheet=U0&amp;row=7972&amp;col=7&amp;number=0.0586&amp;sourceID=14","0.0586")</f>
        <v>0.0586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HYPERLINK("http://141.218.60.56/~jnz1568/getInfo.php?workbook=10_05.xlsx&amp;sheet=U0&amp;row=7973&amp;col=6&amp;number=3.9&amp;sourceID=14","3.9")</f>
        <v>3.9</v>
      </c>
      <c r="G7973" s="4" t="str">
        <f>HYPERLINK("http://141.218.60.56/~jnz1568/getInfo.php?workbook=10_05.xlsx&amp;sheet=U0&amp;row=7973&amp;col=7&amp;number=0.0579&amp;sourceID=14","0.0579")</f>
        <v>0.0579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HYPERLINK("http://141.218.60.56/~jnz1568/getInfo.php?workbook=10_05.xlsx&amp;sheet=U0&amp;row=7974&amp;col=6&amp;number=4&amp;sourceID=14","4")</f>
        <v>4</v>
      </c>
      <c r="G7974" s="4" t="str">
        <f>HYPERLINK("http://141.218.60.56/~jnz1568/getInfo.php?workbook=10_05.xlsx&amp;sheet=U0&amp;row=7974&amp;col=7&amp;number=0.057&amp;sourceID=14","0.057")</f>
        <v>0.057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HYPERLINK("http://141.218.60.56/~jnz1568/getInfo.php?workbook=10_05.xlsx&amp;sheet=U0&amp;row=7975&amp;col=6&amp;number=4.1&amp;sourceID=14","4.1")</f>
        <v>4.1</v>
      </c>
      <c r="G7975" s="4" t="str">
        <f>HYPERLINK("http://141.218.60.56/~jnz1568/getInfo.php?workbook=10_05.xlsx&amp;sheet=U0&amp;row=7975&amp;col=7&amp;number=0.0559&amp;sourceID=14","0.0559")</f>
        <v>0.0559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HYPERLINK("http://141.218.60.56/~jnz1568/getInfo.php?workbook=10_05.xlsx&amp;sheet=U0&amp;row=7976&amp;col=6&amp;number=4.2&amp;sourceID=14","4.2")</f>
        <v>4.2</v>
      </c>
      <c r="G7976" s="4" t="str">
        <f>HYPERLINK("http://141.218.60.56/~jnz1568/getInfo.php?workbook=10_05.xlsx&amp;sheet=U0&amp;row=7976&amp;col=7&amp;number=0.0545&amp;sourceID=14","0.0545")</f>
        <v>0.0545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HYPERLINK("http://141.218.60.56/~jnz1568/getInfo.php?workbook=10_05.xlsx&amp;sheet=U0&amp;row=7977&amp;col=6&amp;number=4.3&amp;sourceID=14","4.3")</f>
        <v>4.3</v>
      </c>
      <c r="G7977" s="4" t="str">
        <f>HYPERLINK("http://141.218.60.56/~jnz1568/getInfo.php?workbook=10_05.xlsx&amp;sheet=U0&amp;row=7977&amp;col=7&amp;number=0.0526&amp;sourceID=14","0.0526")</f>
        <v>0.0526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HYPERLINK("http://141.218.60.56/~jnz1568/getInfo.php?workbook=10_05.xlsx&amp;sheet=U0&amp;row=7978&amp;col=6&amp;number=4.4&amp;sourceID=14","4.4")</f>
        <v>4.4</v>
      </c>
      <c r="G7978" s="4" t="str">
        <f>HYPERLINK("http://141.218.60.56/~jnz1568/getInfo.php?workbook=10_05.xlsx&amp;sheet=U0&amp;row=7978&amp;col=7&amp;number=0.0503&amp;sourceID=14","0.0503")</f>
        <v>0.0503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HYPERLINK("http://141.218.60.56/~jnz1568/getInfo.php?workbook=10_05.xlsx&amp;sheet=U0&amp;row=7979&amp;col=6&amp;number=4.5&amp;sourceID=14","4.5")</f>
        <v>4.5</v>
      </c>
      <c r="G7979" s="4" t="str">
        <f>HYPERLINK("http://141.218.60.56/~jnz1568/getInfo.php?workbook=10_05.xlsx&amp;sheet=U0&amp;row=7979&amp;col=7&amp;number=0.0477&amp;sourceID=14","0.0477")</f>
        <v>0.0477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HYPERLINK("http://141.218.60.56/~jnz1568/getInfo.php?workbook=10_05.xlsx&amp;sheet=U0&amp;row=7980&amp;col=6&amp;number=4.6&amp;sourceID=14","4.6")</f>
        <v>4.6</v>
      </c>
      <c r="G7980" s="4" t="str">
        <f>HYPERLINK("http://141.218.60.56/~jnz1568/getInfo.php?workbook=10_05.xlsx&amp;sheet=U0&amp;row=7980&amp;col=7&amp;number=0.0452&amp;sourceID=14","0.0452")</f>
        <v>0.0452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HYPERLINK("http://141.218.60.56/~jnz1568/getInfo.php?workbook=10_05.xlsx&amp;sheet=U0&amp;row=7981&amp;col=6&amp;number=4.7&amp;sourceID=14","4.7")</f>
        <v>4.7</v>
      </c>
      <c r="G7981" s="4" t="str">
        <f>HYPERLINK("http://141.218.60.56/~jnz1568/getInfo.php?workbook=10_05.xlsx&amp;sheet=U0&amp;row=7981&amp;col=7&amp;number=0.0432&amp;sourceID=14","0.0432")</f>
        <v>0.0432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HYPERLINK("http://141.218.60.56/~jnz1568/getInfo.php?workbook=10_05.xlsx&amp;sheet=U0&amp;row=7982&amp;col=6&amp;number=4.8&amp;sourceID=14","4.8")</f>
        <v>4.8</v>
      </c>
      <c r="G7982" s="4" t="str">
        <f>HYPERLINK("http://141.218.60.56/~jnz1568/getInfo.php?workbook=10_05.xlsx&amp;sheet=U0&amp;row=7982&amp;col=7&amp;number=0.0416&amp;sourceID=14","0.0416")</f>
        <v>0.0416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HYPERLINK("http://141.218.60.56/~jnz1568/getInfo.php?workbook=10_05.xlsx&amp;sheet=U0&amp;row=7983&amp;col=6&amp;number=4.9&amp;sourceID=14","4.9")</f>
        <v>4.9</v>
      </c>
      <c r="G7983" s="4" t="str">
        <f>HYPERLINK("http://141.218.60.56/~jnz1568/getInfo.php?workbook=10_05.xlsx&amp;sheet=U0&amp;row=7983&amp;col=7&amp;number=0.0401&amp;sourceID=14","0.0401")</f>
        <v>0.0401</v>
      </c>
    </row>
    <row r="7984" spans="1:7">
      <c r="A7984" s="3">
        <v>10</v>
      </c>
      <c r="B7984" s="3">
        <v>5</v>
      </c>
      <c r="C7984" s="3">
        <v>3</v>
      </c>
      <c r="D7984" s="3">
        <v>46</v>
      </c>
      <c r="E7984" s="3">
        <v>1</v>
      </c>
      <c r="F7984" s="4" t="str">
        <f>HYPERLINK("http://141.218.60.56/~jnz1568/getInfo.php?workbook=10_05.xlsx&amp;sheet=U0&amp;row=7984&amp;col=6&amp;number=3&amp;sourceID=14","3")</f>
        <v>3</v>
      </c>
      <c r="G7984" s="4" t="str">
        <f>HYPERLINK("http://141.218.60.56/~jnz1568/getInfo.php?workbook=10_05.xlsx&amp;sheet=U0&amp;row=7984&amp;col=7&amp;number=0.0632&amp;sourceID=14","0.0632")</f>
        <v>0.0632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HYPERLINK("http://141.218.60.56/~jnz1568/getInfo.php?workbook=10_05.xlsx&amp;sheet=U0&amp;row=7985&amp;col=6&amp;number=3.1&amp;sourceID=14","3.1")</f>
        <v>3.1</v>
      </c>
      <c r="G7985" s="4" t="str">
        <f>HYPERLINK("http://141.218.60.56/~jnz1568/getInfo.php?workbook=10_05.xlsx&amp;sheet=U0&amp;row=7985&amp;col=7&amp;number=0.0631&amp;sourceID=14","0.0631")</f>
        <v>0.0631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HYPERLINK("http://141.218.60.56/~jnz1568/getInfo.php?workbook=10_05.xlsx&amp;sheet=U0&amp;row=7986&amp;col=6&amp;number=3.2&amp;sourceID=14","3.2")</f>
        <v>3.2</v>
      </c>
      <c r="G7986" s="4" t="str">
        <f>HYPERLINK("http://141.218.60.56/~jnz1568/getInfo.php?workbook=10_05.xlsx&amp;sheet=U0&amp;row=7986&amp;col=7&amp;number=0.0629&amp;sourceID=14","0.0629")</f>
        <v>0.0629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HYPERLINK("http://141.218.60.56/~jnz1568/getInfo.php?workbook=10_05.xlsx&amp;sheet=U0&amp;row=7987&amp;col=6&amp;number=3.3&amp;sourceID=14","3.3")</f>
        <v>3.3</v>
      </c>
      <c r="G7987" s="4" t="str">
        <f>HYPERLINK("http://141.218.60.56/~jnz1568/getInfo.php?workbook=10_05.xlsx&amp;sheet=U0&amp;row=7987&amp;col=7&amp;number=0.0626&amp;sourceID=14","0.0626")</f>
        <v>0.0626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HYPERLINK("http://141.218.60.56/~jnz1568/getInfo.php?workbook=10_05.xlsx&amp;sheet=U0&amp;row=7988&amp;col=6&amp;number=3.4&amp;sourceID=14","3.4")</f>
        <v>3.4</v>
      </c>
      <c r="G7988" s="4" t="str">
        <f>HYPERLINK("http://141.218.60.56/~jnz1568/getInfo.php?workbook=10_05.xlsx&amp;sheet=U0&amp;row=7988&amp;col=7&amp;number=0.0623&amp;sourceID=14","0.0623")</f>
        <v>0.0623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HYPERLINK("http://141.218.60.56/~jnz1568/getInfo.php?workbook=10_05.xlsx&amp;sheet=U0&amp;row=7989&amp;col=6&amp;number=3.5&amp;sourceID=14","3.5")</f>
        <v>3.5</v>
      </c>
      <c r="G7989" s="4" t="str">
        <f>HYPERLINK("http://141.218.60.56/~jnz1568/getInfo.php?workbook=10_05.xlsx&amp;sheet=U0&amp;row=7989&amp;col=7&amp;number=0.062&amp;sourceID=14","0.062")</f>
        <v>0.062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HYPERLINK("http://141.218.60.56/~jnz1568/getInfo.php?workbook=10_05.xlsx&amp;sheet=U0&amp;row=7990&amp;col=6&amp;number=3.6&amp;sourceID=14","3.6")</f>
        <v>3.6</v>
      </c>
      <c r="G7990" s="4" t="str">
        <f>HYPERLINK("http://141.218.60.56/~jnz1568/getInfo.php?workbook=10_05.xlsx&amp;sheet=U0&amp;row=7990&amp;col=7&amp;number=0.0615&amp;sourceID=14","0.0615")</f>
        <v>0.0615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HYPERLINK("http://141.218.60.56/~jnz1568/getInfo.php?workbook=10_05.xlsx&amp;sheet=U0&amp;row=7991&amp;col=6&amp;number=3.7&amp;sourceID=14","3.7")</f>
        <v>3.7</v>
      </c>
      <c r="G7991" s="4" t="str">
        <f>HYPERLINK("http://141.218.60.56/~jnz1568/getInfo.php?workbook=10_05.xlsx&amp;sheet=U0&amp;row=7991&amp;col=7&amp;number=0.0609&amp;sourceID=14","0.0609")</f>
        <v>0.0609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HYPERLINK("http://141.218.60.56/~jnz1568/getInfo.php?workbook=10_05.xlsx&amp;sheet=U0&amp;row=7992&amp;col=6&amp;number=3.8&amp;sourceID=14","3.8")</f>
        <v>3.8</v>
      </c>
      <c r="G7992" s="4" t="str">
        <f>HYPERLINK("http://141.218.60.56/~jnz1568/getInfo.php?workbook=10_05.xlsx&amp;sheet=U0&amp;row=7992&amp;col=7&amp;number=0.0601&amp;sourceID=14","0.0601")</f>
        <v>0.0601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HYPERLINK("http://141.218.60.56/~jnz1568/getInfo.php?workbook=10_05.xlsx&amp;sheet=U0&amp;row=7993&amp;col=6&amp;number=3.9&amp;sourceID=14","3.9")</f>
        <v>3.9</v>
      </c>
      <c r="G7993" s="4" t="str">
        <f>HYPERLINK("http://141.218.60.56/~jnz1568/getInfo.php?workbook=10_05.xlsx&amp;sheet=U0&amp;row=7993&amp;col=7&amp;number=0.0592&amp;sourceID=14","0.0592")</f>
        <v>0.0592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HYPERLINK("http://141.218.60.56/~jnz1568/getInfo.php?workbook=10_05.xlsx&amp;sheet=U0&amp;row=7994&amp;col=6&amp;number=4&amp;sourceID=14","4")</f>
        <v>4</v>
      </c>
      <c r="G7994" s="4" t="str">
        <f>HYPERLINK("http://141.218.60.56/~jnz1568/getInfo.php?workbook=10_05.xlsx&amp;sheet=U0&amp;row=7994&amp;col=7&amp;number=0.0581&amp;sourceID=14","0.0581")</f>
        <v>0.0581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HYPERLINK("http://141.218.60.56/~jnz1568/getInfo.php?workbook=10_05.xlsx&amp;sheet=U0&amp;row=7995&amp;col=6&amp;number=4.1&amp;sourceID=14","4.1")</f>
        <v>4.1</v>
      </c>
      <c r="G7995" s="4" t="str">
        <f>HYPERLINK("http://141.218.60.56/~jnz1568/getInfo.php?workbook=10_05.xlsx&amp;sheet=U0&amp;row=7995&amp;col=7&amp;number=0.0566&amp;sourceID=14","0.0566")</f>
        <v>0.0566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HYPERLINK("http://141.218.60.56/~jnz1568/getInfo.php?workbook=10_05.xlsx&amp;sheet=U0&amp;row=7996&amp;col=6&amp;number=4.2&amp;sourceID=14","4.2")</f>
        <v>4.2</v>
      </c>
      <c r="G7996" s="4" t="str">
        <f>HYPERLINK("http://141.218.60.56/~jnz1568/getInfo.php?workbook=10_05.xlsx&amp;sheet=U0&amp;row=7996&amp;col=7&amp;number=0.0549&amp;sourceID=14","0.0549")</f>
        <v>0.0549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HYPERLINK("http://141.218.60.56/~jnz1568/getInfo.php?workbook=10_05.xlsx&amp;sheet=U0&amp;row=7997&amp;col=6&amp;number=4.3&amp;sourceID=14","4.3")</f>
        <v>4.3</v>
      </c>
      <c r="G7997" s="4" t="str">
        <f>HYPERLINK("http://141.218.60.56/~jnz1568/getInfo.php?workbook=10_05.xlsx&amp;sheet=U0&amp;row=7997&amp;col=7&amp;number=0.0526&amp;sourceID=14","0.0526")</f>
        <v>0.0526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HYPERLINK("http://141.218.60.56/~jnz1568/getInfo.php?workbook=10_05.xlsx&amp;sheet=U0&amp;row=7998&amp;col=6&amp;number=4.4&amp;sourceID=14","4.4")</f>
        <v>4.4</v>
      </c>
      <c r="G7998" s="4" t="str">
        <f>HYPERLINK("http://141.218.60.56/~jnz1568/getInfo.php?workbook=10_05.xlsx&amp;sheet=U0&amp;row=7998&amp;col=7&amp;number=0.0499&amp;sourceID=14","0.0499")</f>
        <v>0.0499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HYPERLINK("http://141.218.60.56/~jnz1568/getInfo.php?workbook=10_05.xlsx&amp;sheet=U0&amp;row=7999&amp;col=6&amp;number=4.5&amp;sourceID=14","4.5")</f>
        <v>4.5</v>
      </c>
      <c r="G7999" s="4" t="str">
        <f>HYPERLINK("http://141.218.60.56/~jnz1568/getInfo.php?workbook=10_05.xlsx&amp;sheet=U0&amp;row=7999&amp;col=7&amp;number=0.0469&amp;sourceID=14","0.0469")</f>
        <v>0.0469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HYPERLINK("http://141.218.60.56/~jnz1568/getInfo.php?workbook=10_05.xlsx&amp;sheet=U0&amp;row=8000&amp;col=6&amp;number=4.6&amp;sourceID=14","4.6")</f>
        <v>4.6</v>
      </c>
      <c r="G8000" s="4" t="str">
        <f>HYPERLINK("http://141.218.60.56/~jnz1568/getInfo.php?workbook=10_05.xlsx&amp;sheet=U0&amp;row=8000&amp;col=7&amp;number=0.044&amp;sourceID=14","0.044")</f>
        <v>0.044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HYPERLINK("http://141.218.60.56/~jnz1568/getInfo.php?workbook=10_05.xlsx&amp;sheet=U0&amp;row=8001&amp;col=6&amp;number=4.7&amp;sourceID=14","4.7")</f>
        <v>4.7</v>
      </c>
      <c r="G8001" s="4" t="str">
        <f>HYPERLINK("http://141.218.60.56/~jnz1568/getInfo.php?workbook=10_05.xlsx&amp;sheet=U0&amp;row=8001&amp;col=7&amp;number=0.0417&amp;sourceID=14","0.0417")</f>
        <v>0.0417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HYPERLINK("http://141.218.60.56/~jnz1568/getInfo.php?workbook=10_05.xlsx&amp;sheet=U0&amp;row=8002&amp;col=6&amp;number=4.8&amp;sourceID=14","4.8")</f>
        <v>4.8</v>
      </c>
      <c r="G8002" s="4" t="str">
        <f>HYPERLINK("http://141.218.60.56/~jnz1568/getInfo.php?workbook=10_05.xlsx&amp;sheet=U0&amp;row=8002&amp;col=7&amp;number=0.04&amp;sourceID=14","0.04")</f>
        <v>0.04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HYPERLINK("http://141.218.60.56/~jnz1568/getInfo.php?workbook=10_05.xlsx&amp;sheet=U0&amp;row=8003&amp;col=6&amp;number=4.9&amp;sourceID=14","4.9")</f>
        <v>4.9</v>
      </c>
      <c r="G8003" s="4" t="str">
        <f>HYPERLINK("http://141.218.60.56/~jnz1568/getInfo.php?workbook=10_05.xlsx&amp;sheet=U0&amp;row=8003&amp;col=7&amp;number=0.0384&amp;sourceID=14","0.0384")</f>
        <v>0.0384</v>
      </c>
    </row>
    <row r="8004" spans="1:7">
      <c r="A8004" s="3">
        <v>10</v>
      </c>
      <c r="B8004" s="3">
        <v>5</v>
      </c>
      <c r="C8004" s="3">
        <v>3</v>
      </c>
      <c r="D8004" s="3">
        <v>47</v>
      </c>
      <c r="E8004" s="3">
        <v>1</v>
      </c>
      <c r="F8004" s="4" t="str">
        <f>HYPERLINK("http://141.218.60.56/~jnz1568/getInfo.php?workbook=10_05.xlsx&amp;sheet=U0&amp;row=8004&amp;col=6&amp;number=3&amp;sourceID=14","3")</f>
        <v>3</v>
      </c>
      <c r="G8004" s="4" t="str">
        <f>HYPERLINK("http://141.218.60.56/~jnz1568/getInfo.php?workbook=10_05.xlsx&amp;sheet=U0&amp;row=8004&amp;col=7&amp;number=0.0664&amp;sourceID=14","0.0664")</f>
        <v>0.0664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HYPERLINK("http://141.218.60.56/~jnz1568/getInfo.php?workbook=10_05.xlsx&amp;sheet=U0&amp;row=8005&amp;col=6&amp;number=3.1&amp;sourceID=14","3.1")</f>
        <v>3.1</v>
      </c>
      <c r="G8005" s="4" t="str">
        <f>HYPERLINK("http://141.218.60.56/~jnz1568/getInfo.php?workbook=10_05.xlsx&amp;sheet=U0&amp;row=8005&amp;col=7&amp;number=0.0661&amp;sourceID=14","0.0661")</f>
        <v>0.0661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HYPERLINK("http://141.218.60.56/~jnz1568/getInfo.php?workbook=10_05.xlsx&amp;sheet=U0&amp;row=8006&amp;col=6&amp;number=3.2&amp;sourceID=14","3.2")</f>
        <v>3.2</v>
      </c>
      <c r="G8006" s="4" t="str">
        <f>HYPERLINK("http://141.218.60.56/~jnz1568/getInfo.php?workbook=10_05.xlsx&amp;sheet=U0&amp;row=8006&amp;col=7&amp;number=0.0657&amp;sourceID=14","0.0657")</f>
        <v>0.0657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HYPERLINK("http://141.218.60.56/~jnz1568/getInfo.php?workbook=10_05.xlsx&amp;sheet=U0&amp;row=8007&amp;col=6&amp;number=3.3&amp;sourceID=14","3.3")</f>
        <v>3.3</v>
      </c>
      <c r="G8007" s="4" t="str">
        <f>HYPERLINK("http://141.218.60.56/~jnz1568/getInfo.php?workbook=10_05.xlsx&amp;sheet=U0&amp;row=8007&amp;col=7&amp;number=0.0652&amp;sourceID=14","0.0652")</f>
        <v>0.0652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HYPERLINK("http://141.218.60.56/~jnz1568/getInfo.php?workbook=10_05.xlsx&amp;sheet=U0&amp;row=8008&amp;col=6&amp;number=3.4&amp;sourceID=14","3.4")</f>
        <v>3.4</v>
      </c>
      <c r="G8008" s="4" t="str">
        <f>HYPERLINK("http://141.218.60.56/~jnz1568/getInfo.php?workbook=10_05.xlsx&amp;sheet=U0&amp;row=8008&amp;col=7&amp;number=0.0647&amp;sourceID=14","0.0647")</f>
        <v>0.0647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HYPERLINK("http://141.218.60.56/~jnz1568/getInfo.php?workbook=10_05.xlsx&amp;sheet=U0&amp;row=8009&amp;col=6&amp;number=3.5&amp;sourceID=14","3.5")</f>
        <v>3.5</v>
      </c>
      <c r="G8009" s="4" t="str">
        <f>HYPERLINK("http://141.218.60.56/~jnz1568/getInfo.php?workbook=10_05.xlsx&amp;sheet=U0&amp;row=8009&amp;col=7&amp;number=0.064&amp;sourceID=14","0.064")</f>
        <v>0.064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HYPERLINK("http://141.218.60.56/~jnz1568/getInfo.php?workbook=10_05.xlsx&amp;sheet=U0&amp;row=8010&amp;col=6&amp;number=3.6&amp;sourceID=14","3.6")</f>
        <v>3.6</v>
      </c>
      <c r="G8010" s="4" t="str">
        <f>HYPERLINK("http://141.218.60.56/~jnz1568/getInfo.php?workbook=10_05.xlsx&amp;sheet=U0&amp;row=8010&amp;col=7&amp;number=0.0631&amp;sourceID=14","0.0631")</f>
        <v>0.0631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HYPERLINK("http://141.218.60.56/~jnz1568/getInfo.php?workbook=10_05.xlsx&amp;sheet=U0&amp;row=8011&amp;col=6&amp;number=3.7&amp;sourceID=14","3.7")</f>
        <v>3.7</v>
      </c>
      <c r="G8011" s="4" t="str">
        <f>HYPERLINK("http://141.218.60.56/~jnz1568/getInfo.php?workbook=10_05.xlsx&amp;sheet=U0&amp;row=8011&amp;col=7&amp;number=0.062&amp;sourceID=14","0.062")</f>
        <v>0.062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HYPERLINK("http://141.218.60.56/~jnz1568/getInfo.php?workbook=10_05.xlsx&amp;sheet=U0&amp;row=8012&amp;col=6&amp;number=3.8&amp;sourceID=14","3.8")</f>
        <v>3.8</v>
      </c>
      <c r="G8012" s="4" t="str">
        <f>HYPERLINK("http://141.218.60.56/~jnz1568/getInfo.php?workbook=10_05.xlsx&amp;sheet=U0&amp;row=8012&amp;col=7&amp;number=0.0607&amp;sourceID=14","0.0607")</f>
        <v>0.0607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HYPERLINK("http://141.218.60.56/~jnz1568/getInfo.php?workbook=10_05.xlsx&amp;sheet=U0&amp;row=8013&amp;col=6&amp;number=3.9&amp;sourceID=14","3.9")</f>
        <v>3.9</v>
      </c>
      <c r="G8013" s="4" t="str">
        <f>HYPERLINK("http://141.218.60.56/~jnz1568/getInfo.php?workbook=10_05.xlsx&amp;sheet=U0&amp;row=8013&amp;col=7&amp;number=0.0591&amp;sourceID=14","0.0591")</f>
        <v>0.0591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HYPERLINK("http://141.218.60.56/~jnz1568/getInfo.php?workbook=10_05.xlsx&amp;sheet=U0&amp;row=8014&amp;col=6&amp;number=4&amp;sourceID=14","4")</f>
        <v>4</v>
      </c>
      <c r="G8014" s="4" t="str">
        <f>HYPERLINK("http://141.218.60.56/~jnz1568/getInfo.php?workbook=10_05.xlsx&amp;sheet=U0&amp;row=8014&amp;col=7&amp;number=0.0572&amp;sourceID=14","0.0572")</f>
        <v>0.0572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HYPERLINK("http://141.218.60.56/~jnz1568/getInfo.php?workbook=10_05.xlsx&amp;sheet=U0&amp;row=8015&amp;col=6&amp;number=4.1&amp;sourceID=14","4.1")</f>
        <v>4.1</v>
      </c>
      <c r="G8015" s="4" t="str">
        <f>HYPERLINK("http://141.218.60.56/~jnz1568/getInfo.php?workbook=10_05.xlsx&amp;sheet=U0&amp;row=8015&amp;col=7&amp;number=0.055&amp;sourceID=14","0.055")</f>
        <v>0.055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HYPERLINK("http://141.218.60.56/~jnz1568/getInfo.php?workbook=10_05.xlsx&amp;sheet=U0&amp;row=8016&amp;col=6&amp;number=4.2&amp;sourceID=14","4.2")</f>
        <v>4.2</v>
      </c>
      <c r="G8016" s="4" t="str">
        <f>HYPERLINK("http://141.218.60.56/~jnz1568/getInfo.php?workbook=10_05.xlsx&amp;sheet=U0&amp;row=8016&amp;col=7&amp;number=0.0525&amp;sourceID=14","0.0525")</f>
        <v>0.0525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HYPERLINK("http://141.218.60.56/~jnz1568/getInfo.php?workbook=10_05.xlsx&amp;sheet=U0&amp;row=8017&amp;col=6&amp;number=4.3&amp;sourceID=14","4.3")</f>
        <v>4.3</v>
      </c>
      <c r="G8017" s="4" t="str">
        <f>HYPERLINK("http://141.218.60.56/~jnz1568/getInfo.php?workbook=10_05.xlsx&amp;sheet=U0&amp;row=8017&amp;col=7&amp;number=0.0499&amp;sourceID=14","0.0499")</f>
        <v>0.0499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HYPERLINK("http://141.218.60.56/~jnz1568/getInfo.php?workbook=10_05.xlsx&amp;sheet=U0&amp;row=8018&amp;col=6&amp;number=4.4&amp;sourceID=14","4.4")</f>
        <v>4.4</v>
      </c>
      <c r="G8018" s="4" t="str">
        <f>HYPERLINK("http://141.218.60.56/~jnz1568/getInfo.php?workbook=10_05.xlsx&amp;sheet=U0&amp;row=8018&amp;col=7&amp;number=0.0473&amp;sourceID=14","0.0473")</f>
        <v>0.0473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HYPERLINK("http://141.218.60.56/~jnz1568/getInfo.php?workbook=10_05.xlsx&amp;sheet=U0&amp;row=8019&amp;col=6&amp;number=4.5&amp;sourceID=14","4.5")</f>
        <v>4.5</v>
      </c>
      <c r="G8019" s="4" t="str">
        <f>HYPERLINK("http://141.218.60.56/~jnz1568/getInfo.php?workbook=10_05.xlsx&amp;sheet=U0&amp;row=8019&amp;col=7&amp;number=0.0449&amp;sourceID=14","0.0449")</f>
        <v>0.0449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HYPERLINK("http://141.218.60.56/~jnz1568/getInfo.php?workbook=10_05.xlsx&amp;sheet=U0&amp;row=8020&amp;col=6&amp;number=4.6&amp;sourceID=14","4.6")</f>
        <v>4.6</v>
      </c>
      <c r="G8020" s="4" t="str">
        <f>HYPERLINK("http://141.218.60.56/~jnz1568/getInfo.php?workbook=10_05.xlsx&amp;sheet=U0&amp;row=8020&amp;col=7&amp;number=0.0426&amp;sourceID=14","0.0426")</f>
        <v>0.0426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HYPERLINK("http://141.218.60.56/~jnz1568/getInfo.php?workbook=10_05.xlsx&amp;sheet=U0&amp;row=8021&amp;col=6&amp;number=4.7&amp;sourceID=14","4.7")</f>
        <v>4.7</v>
      </c>
      <c r="G8021" s="4" t="str">
        <f>HYPERLINK("http://141.218.60.56/~jnz1568/getInfo.php?workbook=10_05.xlsx&amp;sheet=U0&amp;row=8021&amp;col=7&amp;number=0.0408&amp;sourceID=14","0.0408")</f>
        <v>0.0408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HYPERLINK("http://141.218.60.56/~jnz1568/getInfo.php?workbook=10_05.xlsx&amp;sheet=U0&amp;row=8022&amp;col=6&amp;number=4.8&amp;sourceID=14","4.8")</f>
        <v>4.8</v>
      </c>
      <c r="G8022" s="4" t="str">
        <f>HYPERLINK("http://141.218.60.56/~jnz1568/getInfo.php?workbook=10_05.xlsx&amp;sheet=U0&amp;row=8022&amp;col=7&amp;number=0.0391&amp;sourceID=14","0.0391")</f>
        <v>0.0391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HYPERLINK("http://141.218.60.56/~jnz1568/getInfo.php?workbook=10_05.xlsx&amp;sheet=U0&amp;row=8023&amp;col=6&amp;number=4.9&amp;sourceID=14","4.9")</f>
        <v>4.9</v>
      </c>
      <c r="G8023" s="4" t="str">
        <f>HYPERLINK("http://141.218.60.56/~jnz1568/getInfo.php?workbook=10_05.xlsx&amp;sheet=U0&amp;row=8023&amp;col=7&amp;number=0.0376&amp;sourceID=14","0.0376")</f>
        <v>0.0376</v>
      </c>
    </row>
    <row r="8024" spans="1:7">
      <c r="A8024" s="3">
        <v>10</v>
      </c>
      <c r="B8024" s="3">
        <v>5</v>
      </c>
      <c r="C8024" s="3">
        <v>3</v>
      </c>
      <c r="D8024" s="3">
        <v>48</v>
      </c>
      <c r="E8024" s="3">
        <v>1</v>
      </c>
      <c r="F8024" s="4" t="str">
        <f>HYPERLINK("http://141.218.60.56/~jnz1568/getInfo.php?workbook=10_05.xlsx&amp;sheet=U0&amp;row=8024&amp;col=6&amp;number=3&amp;sourceID=14","3")</f>
        <v>3</v>
      </c>
      <c r="G8024" s="4" t="str">
        <f>HYPERLINK("http://141.218.60.56/~jnz1568/getInfo.php?workbook=10_05.xlsx&amp;sheet=U0&amp;row=8024&amp;col=7&amp;number=0.0545&amp;sourceID=14","0.0545")</f>
        <v>0.0545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HYPERLINK("http://141.218.60.56/~jnz1568/getInfo.php?workbook=10_05.xlsx&amp;sheet=U0&amp;row=8025&amp;col=6&amp;number=3.1&amp;sourceID=14","3.1")</f>
        <v>3.1</v>
      </c>
      <c r="G8025" s="4" t="str">
        <f>HYPERLINK("http://141.218.60.56/~jnz1568/getInfo.php?workbook=10_05.xlsx&amp;sheet=U0&amp;row=8025&amp;col=7&amp;number=0.0543&amp;sourceID=14","0.0543")</f>
        <v>0.0543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HYPERLINK("http://141.218.60.56/~jnz1568/getInfo.php?workbook=10_05.xlsx&amp;sheet=U0&amp;row=8026&amp;col=6&amp;number=3.2&amp;sourceID=14","3.2")</f>
        <v>3.2</v>
      </c>
      <c r="G8026" s="4" t="str">
        <f>HYPERLINK("http://141.218.60.56/~jnz1568/getInfo.php?workbook=10_05.xlsx&amp;sheet=U0&amp;row=8026&amp;col=7&amp;number=0.054&amp;sourceID=14","0.054")</f>
        <v>0.054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HYPERLINK("http://141.218.60.56/~jnz1568/getInfo.php?workbook=10_05.xlsx&amp;sheet=U0&amp;row=8027&amp;col=6&amp;number=3.3&amp;sourceID=14","3.3")</f>
        <v>3.3</v>
      </c>
      <c r="G8027" s="4" t="str">
        <f>HYPERLINK("http://141.218.60.56/~jnz1568/getInfo.php?workbook=10_05.xlsx&amp;sheet=U0&amp;row=8027&amp;col=7&amp;number=0.0537&amp;sourceID=14","0.0537")</f>
        <v>0.0537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HYPERLINK("http://141.218.60.56/~jnz1568/getInfo.php?workbook=10_05.xlsx&amp;sheet=U0&amp;row=8028&amp;col=6&amp;number=3.4&amp;sourceID=14","3.4")</f>
        <v>3.4</v>
      </c>
      <c r="G8028" s="4" t="str">
        <f>HYPERLINK("http://141.218.60.56/~jnz1568/getInfo.php?workbook=10_05.xlsx&amp;sheet=U0&amp;row=8028&amp;col=7&amp;number=0.0533&amp;sourceID=14","0.0533")</f>
        <v>0.0533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HYPERLINK("http://141.218.60.56/~jnz1568/getInfo.php?workbook=10_05.xlsx&amp;sheet=U0&amp;row=8029&amp;col=6&amp;number=3.5&amp;sourceID=14","3.5")</f>
        <v>3.5</v>
      </c>
      <c r="G8029" s="4" t="str">
        <f>HYPERLINK("http://141.218.60.56/~jnz1568/getInfo.php?workbook=10_05.xlsx&amp;sheet=U0&amp;row=8029&amp;col=7&amp;number=0.0528&amp;sourceID=14","0.0528")</f>
        <v>0.0528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HYPERLINK("http://141.218.60.56/~jnz1568/getInfo.php?workbook=10_05.xlsx&amp;sheet=U0&amp;row=8030&amp;col=6&amp;number=3.6&amp;sourceID=14","3.6")</f>
        <v>3.6</v>
      </c>
      <c r="G8030" s="4" t="str">
        <f>HYPERLINK("http://141.218.60.56/~jnz1568/getInfo.php?workbook=10_05.xlsx&amp;sheet=U0&amp;row=8030&amp;col=7&amp;number=0.0521&amp;sourceID=14","0.0521")</f>
        <v>0.0521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HYPERLINK("http://141.218.60.56/~jnz1568/getInfo.php?workbook=10_05.xlsx&amp;sheet=U0&amp;row=8031&amp;col=6&amp;number=3.7&amp;sourceID=14","3.7")</f>
        <v>3.7</v>
      </c>
      <c r="G8031" s="4" t="str">
        <f>HYPERLINK("http://141.218.60.56/~jnz1568/getInfo.php?workbook=10_05.xlsx&amp;sheet=U0&amp;row=8031&amp;col=7&amp;number=0.0513&amp;sourceID=14","0.0513")</f>
        <v>0.0513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HYPERLINK("http://141.218.60.56/~jnz1568/getInfo.php?workbook=10_05.xlsx&amp;sheet=U0&amp;row=8032&amp;col=6&amp;number=3.8&amp;sourceID=14","3.8")</f>
        <v>3.8</v>
      </c>
      <c r="G8032" s="4" t="str">
        <f>HYPERLINK("http://141.218.60.56/~jnz1568/getInfo.php?workbook=10_05.xlsx&amp;sheet=U0&amp;row=8032&amp;col=7&amp;number=0.0504&amp;sourceID=14","0.0504")</f>
        <v>0.0504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HYPERLINK("http://141.218.60.56/~jnz1568/getInfo.php?workbook=10_05.xlsx&amp;sheet=U0&amp;row=8033&amp;col=6&amp;number=3.9&amp;sourceID=14","3.9")</f>
        <v>3.9</v>
      </c>
      <c r="G8033" s="4" t="str">
        <f>HYPERLINK("http://141.218.60.56/~jnz1568/getInfo.php?workbook=10_05.xlsx&amp;sheet=U0&amp;row=8033&amp;col=7&amp;number=0.0492&amp;sourceID=14","0.0492")</f>
        <v>0.0492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HYPERLINK("http://141.218.60.56/~jnz1568/getInfo.php?workbook=10_05.xlsx&amp;sheet=U0&amp;row=8034&amp;col=6&amp;number=4&amp;sourceID=14","4")</f>
        <v>4</v>
      </c>
      <c r="G8034" s="4" t="str">
        <f>HYPERLINK("http://141.218.60.56/~jnz1568/getInfo.php?workbook=10_05.xlsx&amp;sheet=U0&amp;row=8034&amp;col=7&amp;number=0.0478&amp;sourceID=14","0.0478")</f>
        <v>0.0478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HYPERLINK("http://141.218.60.56/~jnz1568/getInfo.php?workbook=10_05.xlsx&amp;sheet=U0&amp;row=8035&amp;col=6&amp;number=4.1&amp;sourceID=14","4.1")</f>
        <v>4.1</v>
      </c>
      <c r="G8035" s="4" t="str">
        <f>HYPERLINK("http://141.218.60.56/~jnz1568/getInfo.php?workbook=10_05.xlsx&amp;sheet=U0&amp;row=8035&amp;col=7&amp;number=0.0461&amp;sourceID=14","0.0461")</f>
        <v>0.0461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HYPERLINK("http://141.218.60.56/~jnz1568/getInfo.php?workbook=10_05.xlsx&amp;sheet=U0&amp;row=8036&amp;col=6&amp;number=4.2&amp;sourceID=14","4.2")</f>
        <v>4.2</v>
      </c>
      <c r="G8036" s="4" t="str">
        <f>HYPERLINK("http://141.218.60.56/~jnz1568/getInfo.php?workbook=10_05.xlsx&amp;sheet=U0&amp;row=8036&amp;col=7&amp;number=0.0442&amp;sourceID=14","0.0442")</f>
        <v>0.0442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HYPERLINK("http://141.218.60.56/~jnz1568/getInfo.php?workbook=10_05.xlsx&amp;sheet=U0&amp;row=8037&amp;col=6&amp;number=4.3&amp;sourceID=14","4.3")</f>
        <v>4.3</v>
      </c>
      <c r="G8037" s="4" t="str">
        <f>HYPERLINK("http://141.218.60.56/~jnz1568/getInfo.php?workbook=10_05.xlsx&amp;sheet=U0&amp;row=8037&amp;col=7&amp;number=0.042&amp;sourceID=14","0.042")</f>
        <v>0.042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HYPERLINK("http://141.218.60.56/~jnz1568/getInfo.php?workbook=10_05.xlsx&amp;sheet=U0&amp;row=8038&amp;col=6&amp;number=4.4&amp;sourceID=14","4.4")</f>
        <v>4.4</v>
      </c>
      <c r="G8038" s="4" t="str">
        <f>HYPERLINK("http://141.218.60.56/~jnz1568/getInfo.php?workbook=10_05.xlsx&amp;sheet=U0&amp;row=8038&amp;col=7&amp;number=0.0397&amp;sourceID=14","0.0397")</f>
        <v>0.0397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HYPERLINK("http://141.218.60.56/~jnz1568/getInfo.php?workbook=10_05.xlsx&amp;sheet=U0&amp;row=8039&amp;col=6&amp;number=4.5&amp;sourceID=14","4.5")</f>
        <v>4.5</v>
      </c>
      <c r="G8039" s="4" t="str">
        <f>HYPERLINK("http://141.218.60.56/~jnz1568/getInfo.php?workbook=10_05.xlsx&amp;sheet=U0&amp;row=8039&amp;col=7&amp;number=0.0374&amp;sourceID=14","0.0374")</f>
        <v>0.0374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HYPERLINK("http://141.218.60.56/~jnz1568/getInfo.php?workbook=10_05.xlsx&amp;sheet=U0&amp;row=8040&amp;col=6&amp;number=4.6&amp;sourceID=14","4.6")</f>
        <v>4.6</v>
      </c>
      <c r="G8040" s="4" t="str">
        <f>HYPERLINK("http://141.218.60.56/~jnz1568/getInfo.php?workbook=10_05.xlsx&amp;sheet=U0&amp;row=8040&amp;col=7&amp;number=0.0352&amp;sourceID=14","0.0352")</f>
        <v>0.0352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HYPERLINK("http://141.218.60.56/~jnz1568/getInfo.php?workbook=10_05.xlsx&amp;sheet=U0&amp;row=8041&amp;col=6&amp;number=4.7&amp;sourceID=14","4.7")</f>
        <v>4.7</v>
      </c>
      <c r="G8041" s="4" t="str">
        <f>HYPERLINK("http://141.218.60.56/~jnz1568/getInfo.php?workbook=10_05.xlsx&amp;sheet=U0&amp;row=8041&amp;col=7&amp;number=0.0333&amp;sourceID=14","0.0333")</f>
        <v>0.0333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HYPERLINK("http://141.218.60.56/~jnz1568/getInfo.php?workbook=10_05.xlsx&amp;sheet=U0&amp;row=8042&amp;col=6&amp;number=4.8&amp;sourceID=14","4.8")</f>
        <v>4.8</v>
      </c>
      <c r="G8042" s="4" t="str">
        <f>HYPERLINK("http://141.218.60.56/~jnz1568/getInfo.php?workbook=10_05.xlsx&amp;sheet=U0&amp;row=8042&amp;col=7&amp;number=0.0318&amp;sourceID=14","0.0318")</f>
        <v>0.0318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HYPERLINK("http://141.218.60.56/~jnz1568/getInfo.php?workbook=10_05.xlsx&amp;sheet=U0&amp;row=8043&amp;col=6&amp;number=4.9&amp;sourceID=14","4.9")</f>
        <v>4.9</v>
      </c>
      <c r="G8043" s="4" t="str">
        <f>HYPERLINK("http://141.218.60.56/~jnz1568/getInfo.php?workbook=10_05.xlsx&amp;sheet=U0&amp;row=8043&amp;col=7&amp;number=0.0303&amp;sourceID=14","0.0303")</f>
        <v>0.0303</v>
      </c>
    </row>
    <row r="8044" spans="1:7">
      <c r="A8044" s="3">
        <v>10</v>
      </c>
      <c r="B8044" s="3">
        <v>5</v>
      </c>
      <c r="C8044" s="3">
        <v>3</v>
      </c>
      <c r="D8044" s="3">
        <v>49</v>
      </c>
      <c r="E8044" s="3">
        <v>1</v>
      </c>
      <c r="F8044" s="4" t="str">
        <f>HYPERLINK("http://141.218.60.56/~jnz1568/getInfo.php?workbook=10_05.xlsx&amp;sheet=U0&amp;row=8044&amp;col=6&amp;number=3&amp;sourceID=14","3")</f>
        <v>3</v>
      </c>
      <c r="G8044" s="4" t="str">
        <f>HYPERLINK("http://141.218.60.56/~jnz1568/getInfo.php?workbook=10_05.xlsx&amp;sheet=U0&amp;row=8044&amp;col=7&amp;number=0.0473&amp;sourceID=14","0.0473")</f>
        <v>0.0473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HYPERLINK("http://141.218.60.56/~jnz1568/getInfo.php?workbook=10_05.xlsx&amp;sheet=U0&amp;row=8045&amp;col=6&amp;number=3.1&amp;sourceID=14","3.1")</f>
        <v>3.1</v>
      </c>
      <c r="G8045" s="4" t="str">
        <f>HYPERLINK("http://141.218.60.56/~jnz1568/getInfo.php?workbook=10_05.xlsx&amp;sheet=U0&amp;row=8045&amp;col=7&amp;number=0.0472&amp;sourceID=14","0.0472")</f>
        <v>0.0472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HYPERLINK("http://141.218.60.56/~jnz1568/getInfo.php?workbook=10_05.xlsx&amp;sheet=U0&amp;row=8046&amp;col=6&amp;number=3.2&amp;sourceID=14","3.2")</f>
        <v>3.2</v>
      </c>
      <c r="G8046" s="4" t="str">
        <f>HYPERLINK("http://141.218.60.56/~jnz1568/getInfo.php?workbook=10_05.xlsx&amp;sheet=U0&amp;row=8046&amp;col=7&amp;number=0.047&amp;sourceID=14","0.047")</f>
        <v>0.047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HYPERLINK("http://141.218.60.56/~jnz1568/getInfo.php?workbook=10_05.xlsx&amp;sheet=U0&amp;row=8047&amp;col=6&amp;number=3.3&amp;sourceID=14","3.3")</f>
        <v>3.3</v>
      </c>
      <c r="G8047" s="4" t="str">
        <f>HYPERLINK("http://141.218.60.56/~jnz1568/getInfo.php?workbook=10_05.xlsx&amp;sheet=U0&amp;row=8047&amp;col=7&amp;number=0.0467&amp;sourceID=14","0.0467")</f>
        <v>0.0467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HYPERLINK("http://141.218.60.56/~jnz1568/getInfo.php?workbook=10_05.xlsx&amp;sheet=U0&amp;row=8048&amp;col=6&amp;number=3.4&amp;sourceID=14","3.4")</f>
        <v>3.4</v>
      </c>
      <c r="G8048" s="4" t="str">
        <f>HYPERLINK("http://141.218.60.56/~jnz1568/getInfo.php?workbook=10_05.xlsx&amp;sheet=U0&amp;row=8048&amp;col=7&amp;number=0.0464&amp;sourceID=14","0.0464")</f>
        <v>0.0464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HYPERLINK("http://141.218.60.56/~jnz1568/getInfo.php?workbook=10_05.xlsx&amp;sheet=U0&amp;row=8049&amp;col=6&amp;number=3.5&amp;sourceID=14","3.5")</f>
        <v>3.5</v>
      </c>
      <c r="G8049" s="4" t="str">
        <f>HYPERLINK("http://141.218.60.56/~jnz1568/getInfo.php?workbook=10_05.xlsx&amp;sheet=U0&amp;row=8049&amp;col=7&amp;number=0.0459&amp;sourceID=14","0.0459")</f>
        <v>0.0459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HYPERLINK("http://141.218.60.56/~jnz1568/getInfo.php?workbook=10_05.xlsx&amp;sheet=U0&amp;row=8050&amp;col=6&amp;number=3.6&amp;sourceID=14","3.6")</f>
        <v>3.6</v>
      </c>
      <c r="G8050" s="4" t="str">
        <f>HYPERLINK("http://141.218.60.56/~jnz1568/getInfo.php?workbook=10_05.xlsx&amp;sheet=U0&amp;row=8050&amp;col=7&amp;number=0.0454&amp;sourceID=14","0.0454")</f>
        <v>0.0454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HYPERLINK("http://141.218.60.56/~jnz1568/getInfo.php?workbook=10_05.xlsx&amp;sheet=U0&amp;row=8051&amp;col=6&amp;number=3.7&amp;sourceID=14","3.7")</f>
        <v>3.7</v>
      </c>
      <c r="G8051" s="4" t="str">
        <f>HYPERLINK("http://141.218.60.56/~jnz1568/getInfo.php?workbook=10_05.xlsx&amp;sheet=U0&amp;row=8051&amp;col=7&amp;number=0.0448&amp;sourceID=14","0.0448")</f>
        <v>0.0448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HYPERLINK("http://141.218.60.56/~jnz1568/getInfo.php?workbook=10_05.xlsx&amp;sheet=U0&amp;row=8052&amp;col=6&amp;number=3.8&amp;sourceID=14","3.8")</f>
        <v>3.8</v>
      </c>
      <c r="G8052" s="4" t="str">
        <f>HYPERLINK("http://141.218.60.56/~jnz1568/getInfo.php?workbook=10_05.xlsx&amp;sheet=U0&amp;row=8052&amp;col=7&amp;number=0.044&amp;sourceID=14","0.044")</f>
        <v>0.044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HYPERLINK("http://141.218.60.56/~jnz1568/getInfo.php?workbook=10_05.xlsx&amp;sheet=U0&amp;row=8053&amp;col=6&amp;number=3.9&amp;sourceID=14","3.9")</f>
        <v>3.9</v>
      </c>
      <c r="G8053" s="4" t="str">
        <f>HYPERLINK("http://141.218.60.56/~jnz1568/getInfo.php?workbook=10_05.xlsx&amp;sheet=U0&amp;row=8053&amp;col=7&amp;number=0.0431&amp;sourceID=14","0.0431")</f>
        <v>0.0431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HYPERLINK("http://141.218.60.56/~jnz1568/getInfo.php?workbook=10_05.xlsx&amp;sheet=U0&amp;row=8054&amp;col=6&amp;number=4&amp;sourceID=14","4")</f>
        <v>4</v>
      </c>
      <c r="G8054" s="4" t="str">
        <f>HYPERLINK("http://141.218.60.56/~jnz1568/getInfo.php?workbook=10_05.xlsx&amp;sheet=U0&amp;row=8054&amp;col=7&amp;number=0.0419&amp;sourceID=14","0.0419")</f>
        <v>0.0419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HYPERLINK("http://141.218.60.56/~jnz1568/getInfo.php?workbook=10_05.xlsx&amp;sheet=U0&amp;row=8055&amp;col=6&amp;number=4.1&amp;sourceID=14","4.1")</f>
        <v>4.1</v>
      </c>
      <c r="G8055" s="4" t="str">
        <f>HYPERLINK("http://141.218.60.56/~jnz1568/getInfo.php?workbook=10_05.xlsx&amp;sheet=U0&amp;row=8055&amp;col=7&amp;number=0.0406&amp;sourceID=14","0.0406")</f>
        <v>0.0406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HYPERLINK("http://141.218.60.56/~jnz1568/getInfo.php?workbook=10_05.xlsx&amp;sheet=U0&amp;row=8056&amp;col=6&amp;number=4.2&amp;sourceID=14","4.2")</f>
        <v>4.2</v>
      </c>
      <c r="G8056" s="4" t="str">
        <f>HYPERLINK("http://141.218.60.56/~jnz1568/getInfo.php?workbook=10_05.xlsx&amp;sheet=U0&amp;row=8056&amp;col=7&amp;number=0.039&amp;sourceID=14","0.039")</f>
        <v>0.039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HYPERLINK("http://141.218.60.56/~jnz1568/getInfo.php?workbook=10_05.xlsx&amp;sheet=U0&amp;row=8057&amp;col=6&amp;number=4.3&amp;sourceID=14","4.3")</f>
        <v>4.3</v>
      </c>
      <c r="G8057" s="4" t="str">
        <f>HYPERLINK("http://141.218.60.56/~jnz1568/getInfo.php?workbook=10_05.xlsx&amp;sheet=U0&amp;row=8057&amp;col=7&amp;number=0.0371&amp;sourceID=14","0.0371")</f>
        <v>0.0371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HYPERLINK("http://141.218.60.56/~jnz1568/getInfo.php?workbook=10_05.xlsx&amp;sheet=U0&amp;row=8058&amp;col=6&amp;number=4.4&amp;sourceID=14","4.4")</f>
        <v>4.4</v>
      </c>
      <c r="G8058" s="4" t="str">
        <f>HYPERLINK("http://141.218.60.56/~jnz1568/getInfo.php?workbook=10_05.xlsx&amp;sheet=U0&amp;row=8058&amp;col=7&amp;number=0.0351&amp;sourceID=14","0.0351")</f>
        <v>0.0351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HYPERLINK("http://141.218.60.56/~jnz1568/getInfo.php?workbook=10_05.xlsx&amp;sheet=U0&amp;row=8059&amp;col=6&amp;number=4.5&amp;sourceID=14","4.5")</f>
        <v>4.5</v>
      </c>
      <c r="G8059" s="4" t="str">
        <f>HYPERLINK("http://141.218.60.56/~jnz1568/getInfo.php?workbook=10_05.xlsx&amp;sheet=U0&amp;row=8059&amp;col=7&amp;number=0.0331&amp;sourceID=14","0.0331")</f>
        <v>0.0331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HYPERLINK("http://141.218.60.56/~jnz1568/getInfo.php?workbook=10_05.xlsx&amp;sheet=U0&amp;row=8060&amp;col=6&amp;number=4.6&amp;sourceID=14","4.6")</f>
        <v>4.6</v>
      </c>
      <c r="G8060" s="4" t="str">
        <f>HYPERLINK("http://141.218.60.56/~jnz1568/getInfo.php?workbook=10_05.xlsx&amp;sheet=U0&amp;row=8060&amp;col=7&amp;number=0.0313&amp;sourceID=14","0.0313")</f>
        <v>0.0313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HYPERLINK("http://141.218.60.56/~jnz1568/getInfo.php?workbook=10_05.xlsx&amp;sheet=U0&amp;row=8061&amp;col=6&amp;number=4.7&amp;sourceID=14","4.7")</f>
        <v>4.7</v>
      </c>
      <c r="G8061" s="4" t="str">
        <f>HYPERLINK("http://141.218.60.56/~jnz1568/getInfo.php?workbook=10_05.xlsx&amp;sheet=U0&amp;row=8061&amp;col=7&amp;number=0.0299&amp;sourceID=14","0.0299")</f>
        <v>0.0299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HYPERLINK("http://141.218.60.56/~jnz1568/getInfo.php?workbook=10_05.xlsx&amp;sheet=U0&amp;row=8062&amp;col=6&amp;number=4.8&amp;sourceID=14","4.8")</f>
        <v>4.8</v>
      </c>
      <c r="G8062" s="4" t="str">
        <f>HYPERLINK("http://141.218.60.56/~jnz1568/getInfo.php?workbook=10_05.xlsx&amp;sheet=U0&amp;row=8062&amp;col=7&amp;number=0.0288&amp;sourceID=14","0.0288")</f>
        <v>0.0288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HYPERLINK("http://141.218.60.56/~jnz1568/getInfo.php?workbook=10_05.xlsx&amp;sheet=U0&amp;row=8063&amp;col=6&amp;number=4.9&amp;sourceID=14","4.9")</f>
        <v>4.9</v>
      </c>
      <c r="G8063" s="4" t="str">
        <f>HYPERLINK("http://141.218.60.56/~jnz1568/getInfo.php?workbook=10_05.xlsx&amp;sheet=U0&amp;row=8063&amp;col=7&amp;number=0.0277&amp;sourceID=14","0.0277")</f>
        <v>0.0277</v>
      </c>
    </row>
    <row r="8064" spans="1:7">
      <c r="A8064" s="3">
        <v>10</v>
      </c>
      <c r="B8064" s="3">
        <v>5</v>
      </c>
      <c r="C8064" s="3">
        <v>3</v>
      </c>
      <c r="D8064" s="3">
        <v>50</v>
      </c>
      <c r="E8064" s="3">
        <v>1</v>
      </c>
      <c r="F8064" s="4" t="str">
        <f>HYPERLINK("http://141.218.60.56/~jnz1568/getInfo.php?workbook=10_05.xlsx&amp;sheet=U0&amp;row=8064&amp;col=6&amp;number=3&amp;sourceID=14","3")</f>
        <v>3</v>
      </c>
      <c r="G8064" s="4" t="str">
        <f>HYPERLINK("http://141.218.60.56/~jnz1568/getInfo.php?workbook=10_05.xlsx&amp;sheet=U0&amp;row=8064&amp;col=7&amp;number=0.112&amp;sourceID=14","0.112")</f>
        <v>0.112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HYPERLINK("http://141.218.60.56/~jnz1568/getInfo.php?workbook=10_05.xlsx&amp;sheet=U0&amp;row=8065&amp;col=6&amp;number=3.1&amp;sourceID=14","3.1")</f>
        <v>3.1</v>
      </c>
      <c r="G8065" s="4" t="str">
        <f>HYPERLINK("http://141.218.60.56/~jnz1568/getInfo.php?workbook=10_05.xlsx&amp;sheet=U0&amp;row=8065&amp;col=7&amp;number=0.112&amp;sourceID=14","0.112")</f>
        <v>0.112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HYPERLINK("http://141.218.60.56/~jnz1568/getInfo.php?workbook=10_05.xlsx&amp;sheet=U0&amp;row=8066&amp;col=6&amp;number=3.2&amp;sourceID=14","3.2")</f>
        <v>3.2</v>
      </c>
      <c r="G8066" s="4" t="str">
        <f>HYPERLINK("http://141.218.60.56/~jnz1568/getInfo.php?workbook=10_05.xlsx&amp;sheet=U0&amp;row=8066&amp;col=7&amp;number=0.111&amp;sourceID=14","0.111")</f>
        <v>0.111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HYPERLINK("http://141.218.60.56/~jnz1568/getInfo.php?workbook=10_05.xlsx&amp;sheet=U0&amp;row=8067&amp;col=6&amp;number=3.3&amp;sourceID=14","3.3")</f>
        <v>3.3</v>
      </c>
      <c r="G8067" s="4" t="str">
        <f>HYPERLINK("http://141.218.60.56/~jnz1568/getInfo.php?workbook=10_05.xlsx&amp;sheet=U0&amp;row=8067&amp;col=7&amp;number=0.111&amp;sourceID=14","0.111")</f>
        <v>0.111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HYPERLINK("http://141.218.60.56/~jnz1568/getInfo.php?workbook=10_05.xlsx&amp;sheet=U0&amp;row=8068&amp;col=6&amp;number=3.4&amp;sourceID=14","3.4")</f>
        <v>3.4</v>
      </c>
      <c r="G8068" s="4" t="str">
        <f>HYPERLINK("http://141.218.60.56/~jnz1568/getInfo.php?workbook=10_05.xlsx&amp;sheet=U0&amp;row=8068&amp;col=7&amp;number=0.111&amp;sourceID=14","0.111")</f>
        <v>0.111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HYPERLINK("http://141.218.60.56/~jnz1568/getInfo.php?workbook=10_05.xlsx&amp;sheet=U0&amp;row=8069&amp;col=6&amp;number=3.5&amp;sourceID=14","3.5")</f>
        <v>3.5</v>
      </c>
      <c r="G8069" s="4" t="str">
        <f>HYPERLINK("http://141.218.60.56/~jnz1568/getInfo.php?workbook=10_05.xlsx&amp;sheet=U0&amp;row=8069&amp;col=7&amp;number=0.111&amp;sourceID=14","0.111")</f>
        <v>0.111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HYPERLINK("http://141.218.60.56/~jnz1568/getInfo.php?workbook=10_05.xlsx&amp;sheet=U0&amp;row=8070&amp;col=6&amp;number=3.6&amp;sourceID=14","3.6")</f>
        <v>3.6</v>
      </c>
      <c r="G8070" s="4" t="str">
        <f>HYPERLINK("http://141.218.60.56/~jnz1568/getInfo.php?workbook=10_05.xlsx&amp;sheet=U0&amp;row=8070&amp;col=7&amp;number=0.111&amp;sourceID=14","0.111")</f>
        <v>0.111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HYPERLINK("http://141.218.60.56/~jnz1568/getInfo.php?workbook=10_05.xlsx&amp;sheet=U0&amp;row=8071&amp;col=6&amp;number=3.7&amp;sourceID=14","3.7")</f>
        <v>3.7</v>
      </c>
      <c r="G8071" s="4" t="str">
        <f>HYPERLINK("http://141.218.60.56/~jnz1568/getInfo.php?workbook=10_05.xlsx&amp;sheet=U0&amp;row=8071&amp;col=7&amp;number=0.111&amp;sourceID=14","0.111")</f>
        <v>0.111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HYPERLINK("http://141.218.60.56/~jnz1568/getInfo.php?workbook=10_05.xlsx&amp;sheet=U0&amp;row=8072&amp;col=6&amp;number=3.8&amp;sourceID=14","3.8")</f>
        <v>3.8</v>
      </c>
      <c r="G8072" s="4" t="str">
        <f>HYPERLINK("http://141.218.60.56/~jnz1568/getInfo.php?workbook=10_05.xlsx&amp;sheet=U0&amp;row=8072&amp;col=7&amp;number=0.111&amp;sourceID=14","0.111")</f>
        <v>0.111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HYPERLINK("http://141.218.60.56/~jnz1568/getInfo.php?workbook=10_05.xlsx&amp;sheet=U0&amp;row=8073&amp;col=6&amp;number=3.9&amp;sourceID=14","3.9")</f>
        <v>3.9</v>
      </c>
      <c r="G8073" s="4" t="str">
        <f>HYPERLINK("http://141.218.60.56/~jnz1568/getInfo.php?workbook=10_05.xlsx&amp;sheet=U0&amp;row=8073&amp;col=7&amp;number=0.111&amp;sourceID=14","0.111")</f>
        <v>0.111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HYPERLINK("http://141.218.60.56/~jnz1568/getInfo.php?workbook=10_05.xlsx&amp;sheet=U0&amp;row=8074&amp;col=6&amp;number=4&amp;sourceID=14","4")</f>
        <v>4</v>
      </c>
      <c r="G8074" s="4" t="str">
        <f>HYPERLINK("http://141.218.60.56/~jnz1568/getInfo.php?workbook=10_05.xlsx&amp;sheet=U0&amp;row=8074&amp;col=7&amp;number=0.111&amp;sourceID=14","0.111")</f>
        <v>0.111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HYPERLINK("http://141.218.60.56/~jnz1568/getInfo.php?workbook=10_05.xlsx&amp;sheet=U0&amp;row=8075&amp;col=6&amp;number=4.1&amp;sourceID=14","4.1")</f>
        <v>4.1</v>
      </c>
      <c r="G8075" s="4" t="str">
        <f>HYPERLINK("http://141.218.60.56/~jnz1568/getInfo.php?workbook=10_05.xlsx&amp;sheet=U0&amp;row=8075&amp;col=7&amp;number=0.111&amp;sourceID=14","0.111")</f>
        <v>0.111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HYPERLINK("http://141.218.60.56/~jnz1568/getInfo.php?workbook=10_05.xlsx&amp;sheet=U0&amp;row=8076&amp;col=6&amp;number=4.2&amp;sourceID=14","4.2")</f>
        <v>4.2</v>
      </c>
      <c r="G8076" s="4" t="str">
        <f>HYPERLINK("http://141.218.60.56/~jnz1568/getInfo.php?workbook=10_05.xlsx&amp;sheet=U0&amp;row=8076&amp;col=7&amp;number=0.111&amp;sourceID=14","0.111")</f>
        <v>0.111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HYPERLINK("http://141.218.60.56/~jnz1568/getInfo.php?workbook=10_05.xlsx&amp;sheet=U0&amp;row=8077&amp;col=6&amp;number=4.3&amp;sourceID=14","4.3")</f>
        <v>4.3</v>
      </c>
      <c r="G8077" s="4" t="str">
        <f>HYPERLINK("http://141.218.60.56/~jnz1568/getInfo.php?workbook=10_05.xlsx&amp;sheet=U0&amp;row=8077&amp;col=7&amp;number=0.11&amp;sourceID=14","0.11")</f>
        <v>0.11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HYPERLINK("http://141.218.60.56/~jnz1568/getInfo.php?workbook=10_05.xlsx&amp;sheet=U0&amp;row=8078&amp;col=6&amp;number=4.4&amp;sourceID=14","4.4")</f>
        <v>4.4</v>
      </c>
      <c r="G8078" s="4" t="str">
        <f>HYPERLINK("http://141.218.60.56/~jnz1568/getInfo.php?workbook=10_05.xlsx&amp;sheet=U0&amp;row=8078&amp;col=7&amp;number=0.11&amp;sourceID=14","0.11")</f>
        <v>0.11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HYPERLINK("http://141.218.60.56/~jnz1568/getInfo.php?workbook=10_05.xlsx&amp;sheet=U0&amp;row=8079&amp;col=6&amp;number=4.5&amp;sourceID=14","4.5")</f>
        <v>4.5</v>
      </c>
      <c r="G8079" s="4" t="str">
        <f>HYPERLINK("http://141.218.60.56/~jnz1568/getInfo.php?workbook=10_05.xlsx&amp;sheet=U0&amp;row=8079&amp;col=7&amp;number=0.11&amp;sourceID=14","0.11")</f>
        <v>0.11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HYPERLINK("http://141.218.60.56/~jnz1568/getInfo.php?workbook=10_05.xlsx&amp;sheet=U0&amp;row=8080&amp;col=6&amp;number=4.6&amp;sourceID=14","4.6")</f>
        <v>4.6</v>
      </c>
      <c r="G8080" s="4" t="str">
        <f>HYPERLINK("http://141.218.60.56/~jnz1568/getInfo.php?workbook=10_05.xlsx&amp;sheet=U0&amp;row=8080&amp;col=7&amp;number=0.11&amp;sourceID=14","0.11")</f>
        <v>0.11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HYPERLINK("http://141.218.60.56/~jnz1568/getInfo.php?workbook=10_05.xlsx&amp;sheet=U0&amp;row=8081&amp;col=6&amp;number=4.7&amp;sourceID=14","4.7")</f>
        <v>4.7</v>
      </c>
      <c r="G8081" s="4" t="str">
        <f>HYPERLINK("http://141.218.60.56/~jnz1568/getInfo.php?workbook=10_05.xlsx&amp;sheet=U0&amp;row=8081&amp;col=7&amp;number=0.109&amp;sourceID=14","0.109")</f>
        <v>0.109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HYPERLINK("http://141.218.60.56/~jnz1568/getInfo.php?workbook=10_05.xlsx&amp;sheet=U0&amp;row=8082&amp;col=6&amp;number=4.8&amp;sourceID=14","4.8")</f>
        <v>4.8</v>
      </c>
      <c r="G8082" s="4" t="str">
        <f>HYPERLINK("http://141.218.60.56/~jnz1568/getInfo.php?workbook=10_05.xlsx&amp;sheet=U0&amp;row=8082&amp;col=7&amp;number=0.11&amp;sourceID=14","0.11")</f>
        <v>0.11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HYPERLINK("http://141.218.60.56/~jnz1568/getInfo.php?workbook=10_05.xlsx&amp;sheet=U0&amp;row=8083&amp;col=6&amp;number=4.9&amp;sourceID=14","4.9")</f>
        <v>4.9</v>
      </c>
      <c r="G8083" s="4" t="str">
        <f>HYPERLINK("http://141.218.60.56/~jnz1568/getInfo.php?workbook=10_05.xlsx&amp;sheet=U0&amp;row=8083&amp;col=7&amp;number=0.11&amp;sourceID=14","0.11")</f>
        <v>0.11</v>
      </c>
    </row>
    <row r="8084" spans="1:7">
      <c r="A8084" s="3">
        <v>10</v>
      </c>
      <c r="B8084" s="3">
        <v>5</v>
      </c>
      <c r="C8084" s="3">
        <v>3</v>
      </c>
      <c r="D8084" s="3">
        <v>51</v>
      </c>
      <c r="E8084" s="3">
        <v>1</v>
      </c>
      <c r="F8084" s="4" t="str">
        <f>HYPERLINK("http://141.218.60.56/~jnz1568/getInfo.php?workbook=10_05.xlsx&amp;sheet=U0&amp;row=8084&amp;col=6&amp;number=3&amp;sourceID=14","3")</f>
        <v>3</v>
      </c>
      <c r="G8084" s="4" t="str">
        <f>HYPERLINK("http://141.218.60.56/~jnz1568/getInfo.php?workbook=10_05.xlsx&amp;sheet=U0&amp;row=8084&amp;col=7&amp;number=0.0294&amp;sourceID=14","0.0294")</f>
        <v>0.0294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HYPERLINK("http://141.218.60.56/~jnz1568/getInfo.php?workbook=10_05.xlsx&amp;sheet=U0&amp;row=8085&amp;col=6&amp;number=3.1&amp;sourceID=14","3.1")</f>
        <v>3.1</v>
      </c>
      <c r="G8085" s="4" t="str">
        <f>HYPERLINK("http://141.218.60.56/~jnz1568/getInfo.php?workbook=10_05.xlsx&amp;sheet=U0&amp;row=8085&amp;col=7&amp;number=0.0294&amp;sourceID=14","0.0294")</f>
        <v>0.0294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HYPERLINK("http://141.218.60.56/~jnz1568/getInfo.php?workbook=10_05.xlsx&amp;sheet=U0&amp;row=8086&amp;col=6&amp;number=3.2&amp;sourceID=14","3.2")</f>
        <v>3.2</v>
      </c>
      <c r="G8086" s="4" t="str">
        <f>HYPERLINK("http://141.218.60.56/~jnz1568/getInfo.php?workbook=10_05.xlsx&amp;sheet=U0&amp;row=8086&amp;col=7&amp;number=0.0294&amp;sourceID=14","0.0294")</f>
        <v>0.0294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HYPERLINK("http://141.218.60.56/~jnz1568/getInfo.php?workbook=10_05.xlsx&amp;sheet=U0&amp;row=8087&amp;col=6&amp;number=3.3&amp;sourceID=14","3.3")</f>
        <v>3.3</v>
      </c>
      <c r="G8087" s="4" t="str">
        <f>HYPERLINK("http://141.218.60.56/~jnz1568/getInfo.php?workbook=10_05.xlsx&amp;sheet=U0&amp;row=8087&amp;col=7&amp;number=0.0293&amp;sourceID=14","0.0293")</f>
        <v>0.0293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HYPERLINK("http://141.218.60.56/~jnz1568/getInfo.php?workbook=10_05.xlsx&amp;sheet=U0&amp;row=8088&amp;col=6&amp;number=3.4&amp;sourceID=14","3.4")</f>
        <v>3.4</v>
      </c>
      <c r="G8088" s="4" t="str">
        <f>HYPERLINK("http://141.218.60.56/~jnz1568/getInfo.php?workbook=10_05.xlsx&amp;sheet=U0&amp;row=8088&amp;col=7&amp;number=0.0292&amp;sourceID=14","0.0292")</f>
        <v>0.0292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HYPERLINK("http://141.218.60.56/~jnz1568/getInfo.php?workbook=10_05.xlsx&amp;sheet=U0&amp;row=8089&amp;col=6&amp;number=3.5&amp;sourceID=14","3.5")</f>
        <v>3.5</v>
      </c>
      <c r="G8089" s="4" t="str">
        <f>HYPERLINK("http://141.218.60.56/~jnz1568/getInfo.php?workbook=10_05.xlsx&amp;sheet=U0&amp;row=8089&amp;col=7&amp;number=0.0291&amp;sourceID=14","0.0291")</f>
        <v>0.0291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HYPERLINK("http://141.218.60.56/~jnz1568/getInfo.php?workbook=10_05.xlsx&amp;sheet=U0&amp;row=8090&amp;col=6&amp;number=3.6&amp;sourceID=14","3.6")</f>
        <v>3.6</v>
      </c>
      <c r="G8090" s="4" t="str">
        <f>HYPERLINK("http://141.218.60.56/~jnz1568/getInfo.php?workbook=10_05.xlsx&amp;sheet=U0&amp;row=8090&amp;col=7&amp;number=0.029&amp;sourceID=14","0.029")</f>
        <v>0.029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HYPERLINK("http://141.218.60.56/~jnz1568/getInfo.php?workbook=10_05.xlsx&amp;sheet=U0&amp;row=8091&amp;col=6&amp;number=3.7&amp;sourceID=14","3.7")</f>
        <v>3.7</v>
      </c>
      <c r="G8091" s="4" t="str">
        <f>HYPERLINK("http://141.218.60.56/~jnz1568/getInfo.php?workbook=10_05.xlsx&amp;sheet=U0&amp;row=8091&amp;col=7&amp;number=0.0288&amp;sourceID=14","0.0288")</f>
        <v>0.0288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HYPERLINK("http://141.218.60.56/~jnz1568/getInfo.php?workbook=10_05.xlsx&amp;sheet=U0&amp;row=8092&amp;col=6&amp;number=3.8&amp;sourceID=14","3.8")</f>
        <v>3.8</v>
      </c>
      <c r="G8092" s="4" t="str">
        <f>HYPERLINK("http://141.218.60.56/~jnz1568/getInfo.php?workbook=10_05.xlsx&amp;sheet=U0&amp;row=8092&amp;col=7&amp;number=0.0286&amp;sourceID=14","0.0286")</f>
        <v>0.0286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HYPERLINK("http://141.218.60.56/~jnz1568/getInfo.php?workbook=10_05.xlsx&amp;sheet=U0&amp;row=8093&amp;col=6&amp;number=3.9&amp;sourceID=14","3.9")</f>
        <v>3.9</v>
      </c>
      <c r="G8093" s="4" t="str">
        <f>HYPERLINK("http://141.218.60.56/~jnz1568/getInfo.php?workbook=10_05.xlsx&amp;sheet=U0&amp;row=8093&amp;col=7&amp;number=0.0284&amp;sourceID=14","0.0284")</f>
        <v>0.0284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HYPERLINK("http://141.218.60.56/~jnz1568/getInfo.php?workbook=10_05.xlsx&amp;sheet=U0&amp;row=8094&amp;col=6&amp;number=4&amp;sourceID=14","4")</f>
        <v>4</v>
      </c>
      <c r="G8094" s="4" t="str">
        <f>HYPERLINK("http://141.218.60.56/~jnz1568/getInfo.php?workbook=10_05.xlsx&amp;sheet=U0&amp;row=8094&amp;col=7&amp;number=0.0281&amp;sourceID=14","0.0281")</f>
        <v>0.0281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HYPERLINK("http://141.218.60.56/~jnz1568/getInfo.php?workbook=10_05.xlsx&amp;sheet=U0&amp;row=8095&amp;col=6&amp;number=4.1&amp;sourceID=14","4.1")</f>
        <v>4.1</v>
      </c>
      <c r="G8095" s="4" t="str">
        <f>HYPERLINK("http://141.218.60.56/~jnz1568/getInfo.php?workbook=10_05.xlsx&amp;sheet=U0&amp;row=8095&amp;col=7&amp;number=0.0277&amp;sourceID=14","0.0277")</f>
        <v>0.0277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HYPERLINK("http://141.218.60.56/~jnz1568/getInfo.php?workbook=10_05.xlsx&amp;sheet=U0&amp;row=8096&amp;col=6&amp;number=4.2&amp;sourceID=14","4.2")</f>
        <v>4.2</v>
      </c>
      <c r="G8096" s="4" t="str">
        <f>HYPERLINK("http://141.218.60.56/~jnz1568/getInfo.php?workbook=10_05.xlsx&amp;sheet=U0&amp;row=8096&amp;col=7&amp;number=0.0273&amp;sourceID=14","0.0273")</f>
        <v>0.0273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HYPERLINK("http://141.218.60.56/~jnz1568/getInfo.php?workbook=10_05.xlsx&amp;sheet=U0&amp;row=8097&amp;col=6&amp;number=4.3&amp;sourceID=14","4.3")</f>
        <v>4.3</v>
      </c>
      <c r="G8097" s="4" t="str">
        <f>HYPERLINK("http://141.218.60.56/~jnz1568/getInfo.php?workbook=10_05.xlsx&amp;sheet=U0&amp;row=8097&amp;col=7&amp;number=0.0268&amp;sourceID=14","0.0268")</f>
        <v>0.0268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HYPERLINK("http://141.218.60.56/~jnz1568/getInfo.php?workbook=10_05.xlsx&amp;sheet=U0&amp;row=8098&amp;col=6&amp;number=4.4&amp;sourceID=14","4.4")</f>
        <v>4.4</v>
      </c>
      <c r="G8098" s="4" t="str">
        <f>HYPERLINK("http://141.218.60.56/~jnz1568/getInfo.php?workbook=10_05.xlsx&amp;sheet=U0&amp;row=8098&amp;col=7&amp;number=0.0263&amp;sourceID=14","0.0263")</f>
        <v>0.0263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HYPERLINK("http://141.218.60.56/~jnz1568/getInfo.php?workbook=10_05.xlsx&amp;sheet=U0&amp;row=8099&amp;col=6&amp;number=4.5&amp;sourceID=14","4.5")</f>
        <v>4.5</v>
      </c>
      <c r="G8099" s="4" t="str">
        <f>HYPERLINK("http://141.218.60.56/~jnz1568/getInfo.php?workbook=10_05.xlsx&amp;sheet=U0&amp;row=8099&amp;col=7&amp;number=0.0258&amp;sourceID=14","0.0258")</f>
        <v>0.0258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HYPERLINK("http://141.218.60.56/~jnz1568/getInfo.php?workbook=10_05.xlsx&amp;sheet=U0&amp;row=8100&amp;col=6&amp;number=4.6&amp;sourceID=14","4.6")</f>
        <v>4.6</v>
      </c>
      <c r="G8100" s="4" t="str">
        <f>HYPERLINK("http://141.218.60.56/~jnz1568/getInfo.php?workbook=10_05.xlsx&amp;sheet=U0&amp;row=8100&amp;col=7&amp;number=0.0254&amp;sourceID=14","0.0254")</f>
        <v>0.0254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HYPERLINK("http://141.218.60.56/~jnz1568/getInfo.php?workbook=10_05.xlsx&amp;sheet=U0&amp;row=8101&amp;col=6&amp;number=4.7&amp;sourceID=14","4.7")</f>
        <v>4.7</v>
      </c>
      <c r="G8101" s="4" t="str">
        <f>HYPERLINK("http://141.218.60.56/~jnz1568/getInfo.php?workbook=10_05.xlsx&amp;sheet=U0&amp;row=8101&amp;col=7&amp;number=0.0251&amp;sourceID=14","0.0251")</f>
        <v>0.0251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HYPERLINK("http://141.218.60.56/~jnz1568/getInfo.php?workbook=10_05.xlsx&amp;sheet=U0&amp;row=8102&amp;col=6&amp;number=4.8&amp;sourceID=14","4.8")</f>
        <v>4.8</v>
      </c>
      <c r="G8102" s="4" t="str">
        <f>HYPERLINK("http://141.218.60.56/~jnz1568/getInfo.php?workbook=10_05.xlsx&amp;sheet=U0&amp;row=8102&amp;col=7&amp;number=0.0252&amp;sourceID=14","0.0252")</f>
        <v>0.0252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HYPERLINK("http://141.218.60.56/~jnz1568/getInfo.php?workbook=10_05.xlsx&amp;sheet=U0&amp;row=8103&amp;col=6&amp;number=4.9&amp;sourceID=14","4.9")</f>
        <v>4.9</v>
      </c>
      <c r="G8103" s="4" t="str">
        <f>HYPERLINK("http://141.218.60.56/~jnz1568/getInfo.php?workbook=10_05.xlsx&amp;sheet=U0&amp;row=8103&amp;col=7&amp;number=0.0254&amp;sourceID=14","0.0254")</f>
        <v>0.0254</v>
      </c>
    </row>
    <row r="8104" spans="1:7">
      <c r="A8104" s="3">
        <v>10</v>
      </c>
      <c r="B8104" s="3">
        <v>5</v>
      </c>
      <c r="C8104" s="3">
        <v>3</v>
      </c>
      <c r="D8104" s="3">
        <v>52</v>
      </c>
      <c r="E8104" s="3">
        <v>1</v>
      </c>
      <c r="F8104" s="4" t="str">
        <f>HYPERLINK("http://141.218.60.56/~jnz1568/getInfo.php?workbook=10_05.xlsx&amp;sheet=U0&amp;row=8104&amp;col=6&amp;number=3&amp;sourceID=14","3")</f>
        <v>3</v>
      </c>
      <c r="G8104" s="4" t="str">
        <f>HYPERLINK("http://141.218.60.56/~jnz1568/getInfo.php?workbook=10_05.xlsx&amp;sheet=U0&amp;row=8104&amp;col=7&amp;number=0.0269&amp;sourceID=14","0.0269")</f>
        <v>0.0269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HYPERLINK("http://141.218.60.56/~jnz1568/getInfo.php?workbook=10_05.xlsx&amp;sheet=U0&amp;row=8105&amp;col=6&amp;number=3.1&amp;sourceID=14","3.1")</f>
        <v>3.1</v>
      </c>
      <c r="G8105" s="4" t="str">
        <f>HYPERLINK("http://141.218.60.56/~jnz1568/getInfo.php?workbook=10_05.xlsx&amp;sheet=U0&amp;row=8105&amp;col=7&amp;number=0.0265&amp;sourceID=14","0.0265")</f>
        <v>0.0265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HYPERLINK("http://141.218.60.56/~jnz1568/getInfo.php?workbook=10_05.xlsx&amp;sheet=U0&amp;row=8106&amp;col=6&amp;number=3.2&amp;sourceID=14","3.2")</f>
        <v>3.2</v>
      </c>
      <c r="G8106" s="4" t="str">
        <f>HYPERLINK("http://141.218.60.56/~jnz1568/getInfo.php?workbook=10_05.xlsx&amp;sheet=U0&amp;row=8106&amp;col=7&amp;number=0.026&amp;sourceID=14","0.026")</f>
        <v>0.026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HYPERLINK("http://141.218.60.56/~jnz1568/getInfo.php?workbook=10_05.xlsx&amp;sheet=U0&amp;row=8107&amp;col=6&amp;number=3.3&amp;sourceID=14","3.3")</f>
        <v>3.3</v>
      </c>
      <c r="G8107" s="4" t="str">
        <f>HYPERLINK("http://141.218.60.56/~jnz1568/getInfo.php?workbook=10_05.xlsx&amp;sheet=U0&amp;row=8107&amp;col=7&amp;number=0.0254&amp;sourceID=14","0.0254")</f>
        <v>0.0254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HYPERLINK("http://141.218.60.56/~jnz1568/getInfo.php?workbook=10_05.xlsx&amp;sheet=U0&amp;row=8108&amp;col=6&amp;number=3.4&amp;sourceID=14","3.4")</f>
        <v>3.4</v>
      </c>
      <c r="G8108" s="4" t="str">
        <f>HYPERLINK("http://141.218.60.56/~jnz1568/getInfo.php?workbook=10_05.xlsx&amp;sheet=U0&amp;row=8108&amp;col=7&amp;number=0.0246&amp;sourceID=14","0.0246")</f>
        <v>0.0246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HYPERLINK("http://141.218.60.56/~jnz1568/getInfo.php?workbook=10_05.xlsx&amp;sheet=U0&amp;row=8109&amp;col=6&amp;number=3.5&amp;sourceID=14","3.5")</f>
        <v>3.5</v>
      </c>
      <c r="G8109" s="4" t="str">
        <f>HYPERLINK("http://141.218.60.56/~jnz1568/getInfo.php?workbook=10_05.xlsx&amp;sheet=U0&amp;row=8109&amp;col=7&amp;number=0.0237&amp;sourceID=14","0.0237")</f>
        <v>0.0237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HYPERLINK("http://141.218.60.56/~jnz1568/getInfo.php?workbook=10_05.xlsx&amp;sheet=U0&amp;row=8110&amp;col=6&amp;number=3.6&amp;sourceID=14","3.6")</f>
        <v>3.6</v>
      </c>
      <c r="G8110" s="4" t="str">
        <f>HYPERLINK("http://141.218.60.56/~jnz1568/getInfo.php?workbook=10_05.xlsx&amp;sheet=U0&amp;row=8110&amp;col=7&amp;number=0.0226&amp;sourceID=14","0.0226")</f>
        <v>0.0226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HYPERLINK("http://141.218.60.56/~jnz1568/getInfo.php?workbook=10_05.xlsx&amp;sheet=U0&amp;row=8111&amp;col=6&amp;number=3.7&amp;sourceID=14","3.7")</f>
        <v>3.7</v>
      </c>
      <c r="G8111" s="4" t="str">
        <f>HYPERLINK("http://141.218.60.56/~jnz1568/getInfo.php?workbook=10_05.xlsx&amp;sheet=U0&amp;row=8111&amp;col=7&amp;number=0.0213&amp;sourceID=14","0.0213")</f>
        <v>0.0213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HYPERLINK("http://141.218.60.56/~jnz1568/getInfo.php?workbook=10_05.xlsx&amp;sheet=U0&amp;row=8112&amp;col=6&amp;number=3.8&amp;sourceID=14","3.8")</f>
        <v>3.8</v>
      </c>
      <c r="G8112" s="4" t="str">
        <f>HYPERLINK("http://141.218.60.56/~jnz1568/getInfo.php?workbook=10_05.xlsx&amp;sheet=U0&amp;row=8112&amp;col=7&amp;number=0.0198&amp;sourceID=14","0.0198")</f>
        <v>0.0198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HYPERLINK("http://141.218.60.56/~jnz1568/getInfo.php?workbook=10_05.xlsx&amp;sheet=U0&amp;row=8113&amp;col=6&amp;number=3.9&amp;sourceID=14","3.9")</f>
        <v>3.9</v>
      </c>
      <c r="G8113" s="4" t="str">
        <f>HYPERLINK("http://141.218.60.56/~jnz1568/getInfo.php?workbook=10_05.xlsx&amp;sheet=U0&amp;row=8113&amp;col=7&amp;number=0.0182&amp;sourceID=14","0.0182")</f>
        <v>0.0182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HYPERLINK("http://141.218.60.56/~jnz1568/getInfo.php?workbook=10_05.xlsx&amp;sheet=U0&amp;row=8114&amp;col=6&amp;number=4&amp;sourceID=14","4")</f>
        <v>4</v>
      </c>
      <c r="G8114" s="4" t="str">
        <f>HYPERLINK("http://141.218.60.56/~jnz1568/getInfo.php?workbook=10_05.xlsx&amp;sheet=U0&amp;row=8114&amp;col=7&amp;number=0.0167&amp;sourceID=14","0.0167")</f>
        <v>0.0167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HYPERLINK("http://141.218.60.56/~jnz1568/getInfo.php?workbook=10_05.xlsx&amp;sheet=U0&amp;row=8115&amp;col=6&amp;number=4.1&amp;sourceID=14","4.1")</f>
        <v>4.1</v>
      </c>
      <c r="G8115" s="4" t="str">
        <f>HYPERLINK("http://141.218.60.56/~jnz1568/getInfo.php?workbook=10_05.xlsx&amp;sheet=U0&amp;row=8115&amp;col=7&amp;number=0.0152&amp;sourceID=14","0.0152")</f>
        <v>0.0152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HYPERLINK("http://141.218.60.56/~jnz1568/getInfo.php?workbook=10_05.xlsx&amp;sheet=U0&amp;row=8116&amp;col=6&amp;number=4.2&amp;sourceID=14","4.2")</f>
        <v>4.2</v>
      </c>
      <c r="G8116" s="4" t="str">
        <f>HYPERLINK("http://141.218.60.56/~jnz1568/getInfo.php?workbook=10_05.xlsx&amp;sheet=U0&amp;row=8116&amp;col=7&amp;number=0.014&amp;sourceID=14","0.014")</f>
        <v>0.014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HYPERLINK("http://141.218.60.56/~jnz1568/getInfo.php?workbook=10_05.xlsx&amp;sheet=U0&amp;row=8117&amp;col=6&amp;number=4.3&amp;sourceID=14","4.3")</f>
        <v>4.3</v>
      </c>
      <c r="G8117" s="4" t="str">
        <f>HYPERLINK("http://141.218.60.56/~jnz1568/getInfo.php?workbook=10_05.xlsx&amp;sheet=U0&amp;row=8117&amp;col=7&amp;number=0.0129&amp;sourceID=14","0.0129")</f>
        <v>0.0129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HYPERLINK("http://141.218.60.56/~jnz1568/getInfo.php?workbook=10_05.xlsx&amp;sheet=U0&amp;row=8118&amp;col=6&amp;number=4.4&amp;sourceID=14","4.4")</f>
        <v>4.4</v>
      </c>
      <c r="G8118" s="4" t="str">
        <f>HYPERLINK("http://141.218.60.56/~jnz1568/getInfo.php?workbook=10_05.xlsx&amp;sheet=U0&amp;row=8118&amp;col=7&amp;number=0.012&amp;sourceID=14","0.012")</f>
        <v>0.012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HYPERLINK("http://141.218.60.56/~jnz1568/getInfo.php?workbook=10_05.xlsx&amp;sheet=U0&amp;row=8119&amp;col=6&amp;number=4.5&amp;sourceID=14","4.5")</f>
        <v>4.5</v>
      </c>
      <c r="G8119" s="4" t="str">
        <f>HYPERLINK("http://141.218.60.56/~jnz1568/getInfo.php?workbook=10_05.xlsx&amp;sheet=U0&amp;row=8119&amp;col=7&amp;number=0.0112&amp;sourceID=14","0.0112")</f>
        <v>0.0112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HYPERLINK("http://141.218.60.56/~jnz1568/getInfo.php?workbook=10_05.xlsx&amp;sheet=U0&amp;row=8120&amp;col=6&amp;number=4.6&amp;sourceID=14","4.6")</f>
        <v>4.6</v>
      </c>
      <c r="G8120" s="4" t="str">
        <f>HYPERLINK("http://141.218.60.56/~jnz1568/getInfo.php?workbook=10_05.xlsx&amp;sheet=U0&amp;row=8120&amp;col=7&amp;number=0.0105&amp;sourceID=14","0.0105")</f>
        <v>0.0105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HYPERLINK("http://141.218.60.56/~jnz1568/getInfo.php?workbook=10_05.xlsx&amp;sheet=U0&amp;row=8121&amp;col=6&amp;number=4.7&amp;sourceID=14","4.7")</f>
        <v>4.7</v>
      </c>
      <c r="G8121" s="4" t="str">
        <f>HYPERLINK("http://141.218.60.56/~jnz1568/getInfo.php?workbook=10_05.xlsx&amp;sheet=U0&amp;row=8121&amp;col=7&amp;number=0.00982&amp;sourceID=14","0.00982")</f>
        <v>0.00982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HYPERLINK("http://141.218.60.56/~jnz1568/getInfo.php?workbook=10_05.xlsx&amp;sheet=U0&amp;row=8122&amp;col=6&amp;number=4.8&amp;sourceID=14","4.8")</f>
        <v>4.8</v>
      </c>
      <c r="G8122" s="4" t="str">
        <f>HYPERLINK("http://141.218.60.56/~jnz1568/getInfo.php?workbook=10_05.xlsx&amp;sheet=U0&amp;row=8122&amp;col=7&amp;number=0.00921&amp;sourceID=14","0.00921")</f>
        <v>0.00921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HYPERLINK("http://141.218.60.56/~jnz1568/getInfo.php?workbook=10_05.xlsx&amp;sheet=U0&amp;row=8123&amp;col=6&amp;number=4.9&amp;sourceID=14","4.9")</f>
        <v>4.9</v>
      </c>
      <c r="G8123" s="4" t="str">
        <f>HYPERLINK("http://141.218.60.56/~jnz1568/getInfo.php?workbook=10_05.xlsx&amp;sheet=U0&amp;row=8123&amp;col=7&amp;number=0.00863&amp;sourceID=14","0.00863")</f>
        <v>0.00863</v>
      </c>
    </row>
    <row r="8124" spans="1:7">
      <c r="A8124" s="3">
        <v>10</v>
      </c>
      <c r="B8124" s="3">
        <v>5</v>
      </c>
      <c r="C8124" s="3">
        <v>3</v>
      </c>
      <c r="D8124" s="3">
        <v>53</v>
      </c>
      <c r="E8124" s="3">
        <v>1</v>
      </c>
      <c r="F8124" s="4" t="str">
        <f>HYPERLINK("http://141.218.60.56/~jnz1568/getInfo.php?workbook=10_05.xlsx&amp;sheet=U0&amp;row=8124&amp;col=6&amp;number=3&amp;sourceID=14","3")</f>
        <v>3</v>
      </c>
      <c r="G8124" s="4" t="str">
        <f>HYPERLINK("http://141.218.60.56/~jnz1568/getInfo.php?workbook=10_05.xlsx&amp;sheet=U0&amp;row=8124&amp;col=7&amp;number=0.0168&amp;sourceID=14","0.0168")</f>
        <v>0.0168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HYPERLINK("http://141.218.60.56/~jnz1568/getInfo.php?workbook=10_05.xlsx&amp;sheet=U0&amp;row=8125&amp;col=6&amp;number=3.1&amp;sourceID=14","3.1")</f>
        <v>3.1</v>
      </c>
      <c r="G8125" s="4" t="str">
        <f>HYPERLINK("http://141.218.60.56/~jnz1568/getInfo.php?workbook=10_05.xlsx&amp;sheet=U0&amp;row=8125&amp;col=7&amp;number=0.0165&amp;sourceID=14","0.0165")</f>
        <v>0.0165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HYPERLINK("http://141.218.60.56/~jnz1568/getInfo.php?workbook=10_05.xlsx&amp;sheet=U0&amp;row=8126&amp;col=6&amp;number=3.2&amp;sourceID=14","3.2")</f>
        <v>3.2</v>
      </c>
      <c r="G8126" s="4" t="str">
        <f>HYPERLINK("http://141.218.60.56/~jnz1568/getInfo.php?workbook=10_05.xlsx&amp;sheet=U0&amp;row=8126&amp;col=7&amp;number=0.0162&amp;sourceID=14","0.0162")</f>
        <v>0.0162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HYPERLINK("http://141.218.60.56/~jnz1568/getInfo.php?workbook=10_05.xlsx&amp;sheet=U0&amp;row=8127&amp;col=6&amp;number=3.3&amp;sourceID=14","3.3")</f>
        <v>3.3</v>
      </c>
      <c r="G8127" s="4" t="str">
        <f>HYPERLINK("http://141.218.60.56/~jnz1568/getInfo.php?workbook=10_05.xlsx&amp;sheet=U0&amp;row=8127&amp;col=7&amp;number=0.0158&amp;sourceID=14","0.0158")</f>
        <v>0.0158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HYPERLINK("http://141.218.60.56/~jnz1568/getInfo.php?workbook=10_05.xlsx&amp;sheet=U0&amp;row=8128&amp;col=6&amp;number=3.4&amp;sourceID=14","3.4")</f>
        <v>3.4</v>
      </c>
      <c r="G8128" s="4" t="str">
        <f>HYPERLINK("http://141.218.60.56/~jnz1568/getInfo.php?workbook=10_05.xlsx&amp;sheet=U0&amp;row=8128&amp;col=7&amp;number=0.0153&amp;sourceID=14","0.0153")</f>
        <v>0.0153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HYPERLINK("http://141.218.60.56/~jnz1568/getInfo.php?workbook=10_05.xlsx&amp;sheet=U0&amp;row=8129&amp;col=6&amp;number=3.5&amp;sourceID=14","3.5")</f>
        <v>3.5</v>
      </c>
      <c r="G8129" s="4" t="str">
        <f>HYPERLINK("http://141.218.60.56/~jnz1568/getInfo.php?workbook=10_05.xlsx&amp;sheet=U0&amp;row=8129&amp;col=7&amp;number=0.0146&amp;sourceID=14","0.0146")</f>
        <v>0.0146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HYPERLINK("http://141.218.60.56/~jnz1568/getInfo.php?workbook=10_05.xlsx&amp;sheet=U0&amp;row=8130&amp;col=6&amp;number=3.6&amp;sourceID=14","3.6")</f>
        <v>3.6</v>
      </c>
      <c r="G8130" s="4" t="str">
        <f>HYPERLINK("http://141.218.60.56/~jnz1568/getInfo.php?workbook=10_05.xlsx&amp;sheet=U0&amp;row=8130&amp;col=7&amp;number=0.0139&amp;sourceID=14","0.0139")</f>
        <v>0.0139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HYPERLINK("http://141.218.60.56/~jnz1568/getInfo.php?workbook=10_05.xlsx&amp;sheet=U0&amp;row=8131&amp;col=6&amp;number=3.7&amp;sourceID=14","3.7")</f>
        <v>3.7</v>
      </c>
      <c r="G8131" s="4" t="str">
        <f>HYPERLINK("http://141.218.60.56/~jnz1568/getInfo.php?workbook=10_05.xlsx&amp;sheet=U0&amp;row=8131&amp;col=7&amp;number=0.0131&amp;sourceID=14","0.0131")</f>
        <v>0.0131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HYPERLINK("http://141.218.60.56/~jnz1568/getInfo.php?workbook=10_05.xlsx&amp;sheet=U0&amp;row=8132&amp;col=6&amp;number=3.8&amp;sourceID=14","3.8")</f>
        <v>3.8</v>
      </c>
      <c r="G8132" s="4" t="str">
        <f>HYPERLINK("http://141.218.60.56/~jnz1568/getInfo.php?workbook=10_05.xlsx&amp;sheet=U0&amp;row=8132&amp;col=7&amp;number=0.0121&amp;sourceID=14","0.0121")</f>
        <v>0.0121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HYPERLINK("http://141.218.60.56/~jnz1568/getInfo.php?workbook=10_05.xlsx&amp;sheet=U0&amp;row=8133&amp;col=6&amp;number=3.9&amp;sourceID=14","3.9")</f>
        <v>3.9</v>
      </c>
      <c r="G8133" s="4" t="str">
        <f>HYPERLINK("http://141.218.60.56/~jnz1568/getInfo.php?workbook=10_05.xlsx&amp;sheet=U0&amp;row=8133&amp;col=7&amp;number=0.0111&amp;sourceID=14","0.0111")</f>
        <v>0.0111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HYPERLINK("http://141.218.60.56/~jnz1568/getInfo.php?workbook=10_05.xlsx&amp;sheet=U0&amp;row=8134&amp;col=6&amp;number=4&amp;sourceID=14","4")</f>
        <v>4</v>
      </c>
      <c r="G8134" s="4" t="str">
        <f>HYPERLINK("http://141.218.60.56/~jnz1568/getInfo.php?workbook=10_05.xlsx&amp;sheet=U0&amp;row=8134&amp;col=7&amp;number=0.0101&amp;sourceID=14","0.0101")</f>
        <v>0.0101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HYPERLINK("http://141.218.60.56/~jnz1568/getInfo.php?workbook=10_05.xlsx&amp;sheet=U0&amp;row=8135&amp;col=6&amp;number=4.1&amp;sourceID=14","4.1")</f>
        <v>4.1</v>
      </c>
      <c r="G8135" s="4" t="str">
        <f>HYPERLINK("http://141.218.60.56/~jnz1568/getInfo.php?workbook=10_05.xlsx&amp;sheet=U0&amp;row=8135&amp;col=7&amp;number=0.00923&amp;sourceID=14","0.00923")</f>
        <v>0.00923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HYPERLINK("http://141.218.60.56/~jnz1568/getInfo.php?workbook=10_05.xlsx&amp;sheet=U0&amp;row=8136&amp;col=6&amp;number=4.2&amp;sourceID=14","4.2")</f>
        <v>4.2</v>
      </c>
      <c r="G8136" s="4" t="str">
        <f>HYPERLINK("http://141.218.60.56/~jnz1568/getInfo.php?workbook=10_05.xlsx&amp;sheet=U0&amp;row=8136&amp;col=7&amp;number=0.00856&amp;sourceID=14","0.00856")</f>
        <v>0.00856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HYPERLINK("http://141.218.60.56/~jnz1568/getInfo.php?workbook=10_05.xlsx&amp;sheet=U0&amp;row=8137&amp;col=6&amp;number=4.3&amp;sourceID=14","4.3")</f>
        <v>4.3</v>
      </c>
      <c r="G8137" s="4" t="str">
        <f>HYPERLINK("http://141.218.60.56/~jnz1568/getInfo.php?workbook=10_05.xlsx&amp;sheet=U0&amp;row=8137&amp;col=7&amp;number=0.00804&amp;sourceID=14","0.00804")</f>
        <v>0.00804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HYPERLINK("http://141.218.60.56/~jnz1568/getInfo.php?workbook=10_05.xlsx&amp;sheet=U0&amp;row=8138&amp;col=6&amp;number=4.4&amp;sourceID=14","4.4")</f>
        <v>4.4</v>
      </c>
      <c r="G8138" s="4" t="str">
        <f>HYPERLINK("http://141.218.60.56/~jnz1568/getInfo.php?workbook=10_05.xlsx&amp;sheet=U0&amp;row=8138&amp;col=7&amp;number=0.00756&amp;sourceID=14","0.00756")</f>
        <v>0.00756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HYPERLINK("http://141.218.60.56/~jnz1568/getInfo.php?workbook=10_05.xlsx&amp;sheet=U0&amp;row=8139&amp;col=6&amp;number=4.5&amp;sourceID=14","4.5")</f>
        <v>4.5</v>
      </c>
      <c r="G8139" s="4" t="str">
        <f>HYPERLINK("http://141.218.60.56/~jnz1568/getInfo.php?workbook=10_05.xlsx&amp;sheet=U0&amp;row=8139&amp;col=7&amp;number=0.00712&amp;sourceID=14","0.00712")</f>
        <v>0.00712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HYPERLINK("http://141.218.60.56/~jnz1568/getInfo.php?workbook=10_05.xlsx&amp;sheet=U0&amp;row=8140&amp;col=6&amp;number=4.6&amp;sourceID=14","4.6")</f>
        <v>4.6</v>
      </c>
      <c r="G8140" s="4" t="str">
        <f>HYPERLINK("http://141.218.60.56/~jnz1568/getInfo.php?workbook=10_05.xlsx&amp;sheet=U0&amp;row=8140&amp;col=7&amp;number=0.00671&amp;sourceID=14","0.00671")</f>
        <v>0.00671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HYPERLINK("http://141.218.60.56/~jnz1568/getInfo.php?workbook=10_05.xlsx&amp;sheet=U0&amp;row=8141&amp;col=6&amp;number=4.7&amp;sourceID=14","4.7")</f>
        <v>4.7</v>
      </c>
      <c r="G8141" s="4" t="str">
        <f>HYPERLINK("http://141.218.60.56/~jnz1568/getInfo.php?workbook=10_05.xlsx&amp;sheet=U0&amp;row=8141&amp;col=7&amp;number=0.00633&amp;sourceID=14","0.00633")</f>
        <v>0.00633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HYPERLINK("http://141.218.60.56/~jnz1568/getInfo.php?workbook=10_05.xlsx&amp;sheet=U0&amp;row=8142&amp;col=6&amp;number=4.8&amp;sourceID=14","4.8")</f>
        <v>4.8</v>
      </c>
      <c r="G8142" s="4" t="str">
        <f>HYPERLINK("http://141.218.60.56/~jnz1568/getInfo.php?workbook=10_05.xlsx&amp;sheet=U0&amp;row=8142&amp;col=7&amp;number=0.00597&amp;sourceID=14","0.00597")</f>
        <v>0.00597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HYPERLINK("http://141.218.60.56/~jnz1568/getInfo.php?workbook=10_05.xlsx&amp;sheet=U0&amp;row=8143&amp;col=6&amp;number=4.9&amp;sourceID=14","4.9")</f>
        <v>4.9</v>
      </c>
      <c r="G8143" s="4" t="str">
        <f>HYPERLINK("http://141.218.60.56/~jnz1568/getInfo.php?workbook=10_05.xlsx&amp;sheet=U0&amp;row=8143&amp;col=7&amp;number=0.0056&amp;sourceID=14","0.0056")</f>
        <v>0.0056</v>
      </c>
    </row>
    <row r="8144" spans="1:7">
      <c r="A8144" s="3">
        <v>10</v>
      </c>
      <c r="B8144" s="3">
        <v>5</v>
      </c>
      <c r="C8144" s="3">
        <v>3</v>
      </c>
      <c r="D8144" s="3">
        <v>54</v>
      </c>
      <c r="E8144" s="3">
        <v>1</v>
      </c>
      <c r="F8144" s="4" t="str">
        <f>HYPERLINK("http://141.218.60.56/~jnz1568/getInfo.php?workbook=10_05.xlsx&amp;sheet=U0&amp;row=8144&amp;col=6&amp;number=3&amp;sourceID=14","3")</f>
        <v>3</v>
      </c>
      <c r="G8144" s="4" t="str">
        <f>HYPERLINK("http://141.218.60.56/~jnz1568/getInfo.php?workbook=10_05.xlsx&amp;sheet=U0&amp;row=8144&amp;col=7&amp;number=0.0404&amp;sourceID=14","0.0404")</f>
        <v>0.0404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HYPERLINK("http://141.218.60.56/~jnz1568/getInfo.php?workbook=10_05.xlsx&amp;sheet=U0&amp;row=8145&amp;col=6&amp;number=3.1&amp;sourceID=14","3.1")</f>
        <v>3.1</v>
      </c>
      <c r="G8145" s="4" t="str">
        <f>HYPERLINK("http://141.218.60.56/~jnz1568/getInfo.php?workbook=10_05.xlsx&amp;sheet=U0&amp;row=8145&amp;col=7&amp;number=0.0403&amp;sourceID=14","0.0403")</f>
        <v>0.0403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HYPERLINK("http://141.218.60.56/~jnz1568/getInfo.php?workbook=10_05.xlsx&amp;sheet=U0&amp;row=8146&amp;col=6&amp;number=3.2&amp;sourceID=14","3.2")</f>
        <v>3.2</v>
      </c>
      <c r="G8146" s="4" t="str">
        <f>HYPERLINK("http://141.218.60.56/~jnz1568/getInfo.php?workbook=10_05.xlsx&amp;sheet=U0&amp;row=8146&amp;col=7&amp;number=0.0401&amp;sourceID=14","0.0401")</f>
        <v>0.0401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HYPERLINK("http://141.218.60.56/~jnz1568/getInfo.php?workbook=10_05.xlsx&amp;sheet=U0&amp;row=8147&amp;col=6&amp;number=3.3&amp;sourceID=14","3.3")</f>
        <v>3.3</v>
      </c>
      <c r="G8147" s="4" t="str">
        <f>HYPERLINK("http://141.218.60.56/~jnz1568/getInfo.php?workbook=10_05.xlsx&amp;sheet=U0&amp;row=8147&amp;col=7&amp;number=0.0399&amp;sourceID=14","0.0399")</f>
        <v>0.0399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HYPERLINK("http://141.218.60.56/~jnz1568/getInfo.php?workbook=10_05.xlsx&amp;sheet=U0&amp;row=8148&amp;col=6&amp;number=3.4&amp;sourceID=14","3.4")</f>
        <v>3.4</v>
      </c>
      <c r="G8148" s="4" t="str">
        <f>HYPERLINK("http://141.218.60.56/~jnz1568/getInfo.php?workbook=10_05.xlsx&amp;sheet=U0&amp;row=8148&amp;col=7&amp;number=0.0396&amp;sourceID=14","0.0396")</f>
        <v>0.0396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HYPERLINK("http://141.218.60.56/~jnz1568/getInfo.php?workbook=10_05.xlsx&amp;sheet=U0&amp;row=8149&amp;col=6&amp;number=3.5&amp;sourceID=14","3.5")</f>
        <v>3.5</v>
      </c>
      <c r="G8149" s="4" t="str">
        <f>HYPERLINK("http://141.218.60.56/~jnz1568/getInfo.php?workbook=10_05.xlsx&amp;sheet=U0&amp;row=8149&amp;col=7&amp;number=0.0393&amp;sourceID=14","0.0393")</f>
        <v>0.0393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HYPERLINK("http://141.218.60.56/~jnz1568/getInfo.php?workbook=10_05.xlsx&amp;sheet=U0&amp;row=8150&amp;col=6&amp;number=3.6&amp;sourceID=14","3.6")</f>
        <v>3.6</v>
      </c>
      <c r="G8150" s="4" t="str">
        <f>HYPERLINK("http://141.218.60.56/~jnz1568/getInfo.php?workbook=10_05.xlsx&amp;sheet=U0&amp;row=8150&amp;col=7&amp;number=0.0389&amp;sourceID=14","0.0389")</f>
        <v>0.0389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HYPERLINK("http://141.218.60.56/~jnz1568/getInfo.php?workbook=10_05.xlsx&amp;sheet=U0&amp;row=8151&amp;col=6&amp;number=3.7&amp;sourceID=14","3.7")</f>
        <v>3.7</v>
      </c>
      <c r="G8151" s="4" t="str">
        <f>HYPERLINK("http://141.218.60.56/~jnz1568/getInfo.php?workbook=10_05.xlsx&amp;sheet=U0&amp;row=8151&amp;col=7&amp;number=0.0384&amp;sourceID=14","0.0384")</f>
        <v>0.0384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HYPERLINK("http://141.218.60.56/~jnz1568/getInfo.php?workbook=10_05.xlsx&amp;sheet=U0&amp;row=8152&amp;col=6&amp;number=3.8&amp;sourceID=14","3.8")</f>
        <v>3.8</v>
      </c>
      <c r="G8152" s="4" t="str">
        <f>HYPERLINK("http://141.218.60.56/~jnz1568/getInfo.php?workbook=10_05.xlsx&amp;sheet=U0&amp;row=8152&amp;col=7&amp;number=0.0378&amp;sourceID=14","0.0378")</f>
        <v>0.0378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HYPERLINK("http://141.218.60.56/~jnz1568/getInfo.php?workbook=10_05.xlsx&amp;sheet=U0&amp;row=8153&amp;col=6&amp;number=3.9&amp;sourceID=14","3.9")</f>
        <v>3.9</v>
      </c>
      <c r="G8153" s="4" t="str">
        <f>HYPERLINK("http://141.218.60.56/~jnz1568/getInfo.php?workbook=10_05.xlsx&amp;sheet=U0&amp;row=8153&amp;col=7&amp;number=0.0371&amp;sourceID=14","0.0371")</f>
        <v>0.0371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HYPERLINK("http://141.218.60.56/~jnz1568/getInfo.php?workbook=10_05.xlsx&amp;sheet=U0&amp;row=8154&amp;col=6&amp;number=4&amp;sourceID=14","4")</f>
        <v>4</v>
      </c>
      <c r="G8154" s="4" t="str">
        <f>HYPERLINK("http://141.218.60.56/~jnz1568/getInfo.php?workbook=10_05.xlsx&amp;sheet=U0&amp;row=8154&amp;col=7&amp;number=0.0362&amp;sourceID=14","0.0362")</f>
        <v>0.0362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HYPERLINK("http://141.218.60.56/~jnz1568/getInfo.php?workbook=10_05.xlsx&amp;sheet=U0&amp;row=8155&amp;col=6&amp;number=4.1&amp;sourceID=14","4.1")</f>
        <v>4.1</v>
      </c>
      <c r="G8155" s="4" t="str">
        <f>HYPERLINK("http://141.218.60.56/~jnz1568/getInfo.php?workbook=10_05.xlsx&amp;sheet=U0&amp;row=8155&amp;col=7&amp;number=0.0353&amp;sourceID=14","0.0353")</f>
        <v>0.0353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HYPERLINK("http://141.218.60.56/~jnz1568/getInfo.php?workbook=10_05.xlsx&amp;sheet=U0&amp;row=8156&amp;col=6&amp;number=4.2&amp;sourceID=14","4.2")</f>
        <v>4.2</v>
      </c>
      <c r="G8156" s="4" t="str">
        <f>HYPERLINK("http://141.218.60.56/~jnz1568/getInfo.php?workbook=10_05.xlsx&amp;sheet=U0&amp;row=8156&amp;col=7&amp;number=0.0344&amp;sourceID=14","0.0344")</f>
        <v>0.0344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HYPERLINK("http://141.218.60.56/~jnz1568/getInfo.php?workbook=10_05.xlsx&amp;sheet=U0&amp;row=8157&amp;col=6&amp;number=4.3&amp;sourceID=14","4.3")</f>
        <v>4.3</v>
      </c>
      <c r="G8157" s="4" t="str">
        <f>HYPERLINK("http://141.218.60.56/~jnz1568/getInfo.php?workbook=10_05.xlsx&amp;sheet=U0&amp;row=8157&amp;col=7&amp;number=0.0336&amp;sourceID=14","0.0336")</f>
        <v>0.0336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HYPERLINK("http://141.218.60.56/~jnz1568/getInfo.php?workbook=10_05.xlsx&amp;sheet=U0&amp;row=8158&amp;col=6&amp;number=4.4&amp;sourceID=14","4.4")</f>
        <v>4.4</v>
      </c>
      <c r="G8158" s="4" t="str">
        <f>HYPERLINK("http://141.218.60.56/~jnz1568/getInfo.php?workbook=10_05.xlsx&amp;sheet=U0&amp;row=8158&amp;col=7&amp;number=0.0331&amp;sourceID=14","0.0331")</f>
        <v>0.0331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HYPERLINK("http://141.218.60.56/~jnz1568/getInfo.php?workbook=10_05.xlsx&amp;sheet=U0&amp;row=8159&amp;col=6&amp;number=4.5&amp;sourceID=14","4.5")</f>
        <v>4.5</v>
      </c>
      <c r="G8159" s="4" t="str">
        <f>HYPERLINK("http://141.218.60.56/~jnz1568/getInfo.php?workbook=10_05.xlsx&amp;sheet=U0&amp;row=8159&amp;col=7&amp;number=0.0328&amp;sourceID=14","0.0328")</f>
        <v>0.0328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HYPERLINK("http://141.218.60.56/~jnz1568/getInfo.php?workbook=10_05.xlsx&amp;sheet=U0&amp;row=8160&amp;col=6&amp;number=4.6&amp;sourceID=14","4.6")</f>
        <v>4.6</v>
      </c>
      <c r="G8160" s="4" t="str">
        <f>HYPERLINK("http://141.218.60.56/~jnz1568/getInfo.php?workbook=10_05.xlsx&amp;sheet=U0&amp;row=8160&amp;col=7&amp;number=0.0328&amp;sourceID=14","0.0328")</f>
        <v>0.0328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HYPERLINK("http://141.218.60.56/~jnz1568/getInfo.php?workbook=10_05.xlsx&amp;sheet=U0&amp;row=8161&amp;col=6&amp;number=4.7&amp;sourceID=14","4.7")</f>
        <v>4.7</v>
      </c>
      <c r="G8161" s="4" t="str">
        <f>HYPERLINK("http://141.218.60.56/~jnz1568/getInfo.php?workbook=10_05.xlsx&amp;sheet=U0&amp;row=8161&amp;col=7&amp;number=0.0327&amp;sourceID=14","0.0327")</f>
        <v>0.0327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HYPERLINK("http://141.218.60.56/~jnz1568/getInfo.php?workbook=10_05.xlsx&amp;sheet=U0&amp;row=8162&amp;col=6&amp;number=4.8&amp;sourceID=14","4.8")</f>
        <v>4.8</v>
      </c>
      <c r="G8162" s="4" t="str">
        <f>HYPERLINK("http://141.218.60.56/~jnz1568/getInfo.php?workbook=10_05.xlsx&amp;sheet=U0&amp;row=8162&amp;col=7&amp;number=0.0324&amp;sourceID=14","0.0324")</f>
        <v>0.0324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HYPERLINK("http://141.218.60.56/~jnz1568/getInfo.php?workbook=10_05.xlsx&amp;sheet=U0&amp;row=8163&amp;col=6&amp;number=4.9&amp;sourceID=14","4.9")</f>
        <v>4.9</v>
      </c>
      <c r="G8163" s="4" t="str">
        <f>HYPERLINK("http://141.218.60.56/~jnz1568/getInfo.php?workbook=10_05.xlsx&amp;sheet=U0&amp;row=8163&amp;col=7&amp;number=0.032&amp;sourceID=14","0.032")</f>
        <v>0.032</v>
      </c>
    </row>
    <row r="8164" spans="1:7">
      <c r="A8164" s="3">
        <v>10</v>
      </c>
      <c r="B8164" s="3">
        <v>5</v>
      </c>
      <c r="C8164" s="3">
        <v>3</v>
      </c>
      <c r="D8164" s="3">
        <v>55</v>
      </c>
      <c r="E8164" s="3">
        <v>1</v>
      </c>
      <c r="F8164" s="4" t="str">
        <f>HYPERLINK("http://141.218.60.56/~jnz1568/getInfo.php?workbook=10_05.xlsx&amp;sheet=U0&amp;row=8164&amp;col=6&amp;number=3&amp;sourceID=14","3")</f>
        <v>3</v>
      </c>
      <c r="G8164" s="4" t="str">
        <f>HYPERLINK("http://141.218.60.56/~jnz1568/getInfo.php?workbook=10_05.xlsx&amp;sheet=U0&amp;row=8164&amp;col=7&amp;number=0.0228&amp;sourceID=14","0.0228")</f>
        <v>0.0228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HYPERLINK("http://141.218.60.56/~jnz1568/getInfo.php?workbook=10_05.xlsx&amp;sheet=U0&amp;row=8165&amp;col=6&amp;number=3.1&amp;sourceID=14","3.1")</f>
        <v>3.1</v>
      </c>
      <c r="G8165" s="4" t="str">
        <f>HYPERLINK("http://141.218.60.56/~jnz1568/getInfo.php?workbook=10_05.xlsx&amp;sheet=U0&amp;row=8165&amp;col=7&amp;number=0.0228&amp;sourceID=14","0.0228")</f>
        <v>0.0228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HYPERLINK("http://141.218.60.56/~jnz1568/getInfo.php?workbook=10_05.xlsx&amp;sheet=U0&amp;row=8166&amp;col=6&amp;number=3.2&amp;sourceID=14","3.2")</f>
        <v>3.2</v>
      </c>
      <c r="G8166" s="4" t="str">
        <f>HYPERLINK("http://141.218.60.56/~jnz1568/getInfo.php?workbook=10_05.xlsx&amp;sheet=U0&amp;row=8166&amp;col=7&amp;number=0.0227&amp;sourceID=14","0.0227")</f>
        <v>0.0227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HYPERLINK("http://141.218.60.56/~jnz1568/getInfo.php?workbook=10_05.xlsx&amp;sheet=U0&amp;row=8167&amp;col=6&amp;number=3.3&amp;sourceID=14","3.3")</f>
        <v>3.3</v>
      </c>
      <c r="G8167" s="4" t="str">
        <f>HYPERLINK("http://141.218.60.56/~jnz1568/getInfo.php?workbook=10_05.xlsx&amp;sheet=U0&amp;row=8167&amp;col=7&amp;number=0.0227&amp;sourceID=14","0.0227")</f>
        <v>0.0227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HYPERLINK("http://141.218.60.56/~jnz1568/getInfo.php?workbook=10_05.xlsx&amp;sheet=U0&amp;row=8168&amp;col=6&amp;number=3.4&amp;sourceID=14","3.4")</f>
        <v>3.4</v>
      </c>
      <c r="G8168" s="4" t="str">
        <f>HYPERLINK("http://141.218.60.56/~jnz1568/getInfo.php?workbook=10_05.xlsx&amp;sheet=U0&amp;row=8168&amp;col=7&amp;number=0.0227&amp;sourceID=14","0.0227")</f>
        <v>0.0227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HYPERLINK("http://141.218.60.56/~jnz1568/getInfo.php?workbook=10_05.xlsx&amp;sheet=U0&amp;row=8169&amp;col=6&amp;number=3.5&amp;sourceID=14","3.5")</f>
        <v>3.5</v>
      </c>
      <c r="G8169" s="4" t="str">
        <f>HYPERLINK("http://141.218.60.56/~jnz1568/getInfo.php?workbook=10_05.xlsx&amp;sheet=U0&amp;row=8169&amp;col=7&amp;number=0.0226&amp;sourceID=14","0.0226")</f>
        <v>0.0226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HYPERLINK("http://141.218.60.56/~jnz1568/getInfo.php?workbook=10_05.xlsx&amp;sheet=U0&amp;row=8170&amp;col=6&amp;number=3.6&amp;sourceID=14","3.6")</f>
        <v>3.6</v>
      </c>
      <c r="G8170" s="4" t="str">
        <f>HYPERLINK("http://141.218.60.56/~jnz1568/getInfo.php?workbook=10_05.xlsx&amp;sheet=U0&amp;row=8170&amp;col=7&amp;number=0.0226&amp;sourceID=14","0.0226")</f>
        <v>0.0226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HYPERLINK("http://141.218.60.56/~jnz1568/getInfo.php?workbook=10_05.xlsx&amp;sheet=U0&amp;row=8171&amp;col=6&amp;number=3.7&amp;sourceID=14","3.7")</f>
        <v>3.7</v>
      </c>
      <c r="G8171" s="4" t="str">
        <f>HYPERLINK("http://141.218.60.56/~jnz1568/getInfo.php?workbook=10_05.xlsx&amp;sheet=U0&amp;row=8171&amp;col=7&amp;number=0.0225&amp;sourceID=14","0.0225")</f>
        <v>0.0225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HYPERLINK("http://141.218.60.56/~jnz1568/getInfo.php?workbook=10_05.xlsx&amp;sheet=U0&amp;row=8172&amp;col=6&amp;number=3.8&amp;sourceID=14","3.8")</f>
        <v>3.8</v>
      </c>
      <c r="G8172" s="4" t="str">
        <f>HYPERLINK("http://141.218.60.56/~jnz1568/getInfo.php?workbook=10_05.xlsx&amp;sheet=U0&amp;row=8172&amp;col=7&amp;number=0.0225&amp;sourceID=14","0.0225")</f>
        <v>0.0225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HYPERLINK("http://141.218.60.56/~jnz1568/getInfo.php?workbook=10_05.xlsx&amp;sheet=U0&amp;row=8173&amp;col=6&amp;number=3.9&amp;sourceID=14","3.9")</f>
        <v>3.9</v>
      </c>
      <c r="G8173" s="4" t="str">
        <f>HYPERLINK("http://141.218.60.56/~jnz1568/getInfo.php?workbook=10_05.xlsx&amp;sheet=U0&amp;row=8173&amp;col=7&amp;number=0.0224&amp;sourceID=14","0.0224")</f>
        <v>0.0224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HYPERLINK("http://141.218.60.56/~jnz1568/getInfo.php?workbook=10_05.xlsx&amp;sheet=U0&amp;row=8174&amp;col=6&amp;number=4&amp;sourceID=14","4")</f>
        <v>4</v>
      </c>
      <c r="G8174" s="4" t="str">
        <f>HYPERLINK("http://141.218.60.56/~jnz1568/getInfo.php?workbook=10_05.xlsx&amp;sheet=U0&amp;row=8174&amp;col=7&amp;number=0.0222&amp;sourceID=14","0.0222")</f>
        <v>0.0222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HYPERLINK("http://141.218.60.56/~jnz1568/getInfo.php?workbook=10_05.xlsx&amp;sheet=U0&amp;row=8175&amp;col=6&amp;number=4.1&amp;sourceID=14","4.1")</f>
        <v>4.1</v>
      </c>
      <c r="G8175" s="4" t="str">
        <f>HYPERLINK("http://141.218.60.56/~jnz1568/getInfo.php?workbook=10_05.xlsx&amp;sheet=U0&amp;row=8175&amp;col=7&amp;number=0.0221&amp;sourceID=14","0.0221")</f>
        <v>0.0221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HYPERLINK("http://141.218.60.56/~jnz1568/getInfo.php?workbook=10_05.xlsx&amp;sheet=U0&amp;row=8176&amp;col=6&amp;number=4.2&amp;sourceID=14","4.2")</f>
        <v>4.2</v>
      </c>
      <c r="G8176" s="4" t="str">
        <f>HYPERLINK("http://141.218.60.56/~jnz1568/getInfo.php?workbook=10_05.xlsx&amp;sheet=U0&amp;row=8176&amp;col=7&amp;number=0.0219&amp;sourceID=14","0.0219")</f>
        <v>0.0219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HYPERLINK("http://141.218.60.56/~jnz1568/getInfo.php?workbook=10_05.xlsx&amp;sheet=U0&amp;row=8177&amp;col=6&amp;number=4.3&amp;sourceID=14","4.3")</f>
        <v>4.3</v>
      </c>
      <c r="G8177" s="4" t="str">
        <f>HYPERLINK("http://141.218.60.56/~jnz1568/getInfo.php?workbook=10_05.xlsx&amp;sheet=U0&amp;row=8177&amp;col=7&amp;number=0.0217&amp;sourceID=14","0.0217")</f>
        <v>0.0217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HYPERLINK("http://141.218.60.56/~jnz1568/getInfo.php?workbook=10_05.xlsx&amp;sheet=U0&amp;row=8178&amp;col=6&amp;number=4.4&amp;sourceID=14","4.4")</f>
        <v>4.4</v>
      </c>
      <c r="G8178" s="4" t="str">
        <f>HYPERLINK("http://141.218.60.56/~jnz1568/getInfo.php?workbook=10_05.xlsx&amp;sheet=U0&amp;row=8178&amp;col=7&amp;number=0.0214&amp;sourceID=14","0.0214")</f>
        <v>0.0214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HYPERLINK("http://141.218.60.56/~jnz1568/getInfo.php?workbook=10_05.xlsx&amp;sheet=U0&amp;row=8179&amp;col=6&amp;number=4.5&amp;sourceID=14","4.5")</f>
        <v>4.5</v>
      </c>
      <c r="G8179" s="4" t="str">
        <f>HYPERLINK("http://141.218.60.56/~jnz1568/getInfo.php?workbook=10_05.xlsx&amp;sheet=U0&amp;row=8179&amp;col=7&amp;number=0.0212&amp;sourceID=14","0.0212")</f>
        <v>0.0212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HYPERLINK("http://141.218.60.56/~jnz1568/getInfo.php?workbook=10_05.xlsx&amp;sheet=U0&amp;row=8180&amp;col=6&amp;number=4.6&amp;sourceID=14","4.6")</f>
        <v>4.6</v>
      </c>
      <c r="G8180" s="4" t="str">
        <f>HYPERLINK("http://141.218.60.56/~jnz1568/getInfo.php?workbook=10_05.xlsx&amp;sheet=U0&amp;row=8180&amp;col=7&amp;number=0.021&amp;sourceID=14","0.021")</f>
        <v>0.021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HYPERLINK("http://141.218.60.56/~jnz1568/getInfo.php?workbook=10_05.xlsx&amp;sheet=U0&amp;row=8181&amp;col=6&amp;number=4.7&amp;sourceID=14","4.7")</f>
        <v>4.7</v>
      </c>
      <c r="G8181" s="4" t="str">
        <f>HYPERLINK("http://141.218.60.56/~jnz1568/getInfo.php?workbook=10_05.xlsx&amp;sheet=U0&amp;row=8181&amp;col=7&amp;number=0.0209&amp;sourceID=14","0.0209")</f>
        <v>0.0209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HYPERLINK("http://141.218.60.56/~jnz1568/getInfo.php?workbook=10_05.xlsx&amp;sheet=U0&amp;row=8182&amp;col=6&amp;number=4.8&amp;sourceID=14","4.8")</f>
        <v>4.8</v>
      </c>
      <c r="G8182" s="4" t="str">
        <f>HYPERLINK("http://141.218.60.56/~jnz1568/getInfo.php?workbook=10_05.xlsx&amp;sheet=U0&amp;row=8182&amp;col=7&amp;number=0.0209&amp;sourceID=14","0.0209")</f>
        <v>0.0209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HYPERLINK("http://141.218.60.56/~jnz1568/getInfo.php?workbook=10_05.xlsx&amp;sheet=U0&amp;row=8183&amp;col=6&amp;number=4.9&amp;sourceID=14","4.9")</f>
        <v>4.9</v>
      </c>
      <c r="G8183" s="4" t="str">
        <f>HYPERLINK("http://141.218.60.56/~jnz1568/getInfo.php?workbook=10_05.xlsx&amp;sheet=U0&amp;row=8183&amp;col=7&amp;number=0.0206&amp;sourceID=14","0.0206")</f>
        <v>0.0206</v>
      </c>
    </row>
    <row r="8184" spans="1:7">
      <c r="A8184" s="3">
        <v>10</v>
      </c>
      <c r="B8184" s="3">
        <v>5</v>
      </c>
      <c r="C8184" s="3">
        <v>3</v>
      </c>
      <c r="D8184" s="3">
        <v>56</v>
      </c>
      <c r="E8184" s="3">
        <v>1</v>
      </c>
      <c r="F8184" s="4" t="str">
        <f>HYPERLINK("http://141.218.60.56/~jnz1568/getInfo.php?workbook=10_05.xlsx&amp;sheet=U0&amp;row=8184&amp;col=6&amp;number=3&amp;sourceID=14","3")</f>
        <v>3</v>
      </c>
      <c r="G8184" s="4" t="str">
        <f>HYPERLINK("http://141.218.60.56/~jnz1568/getInfo.php?workbook=10_05.xlsx&amp;sheet=U0&amp;row=8184&amp;col=7&amp;number=0.0187&amp;sourceID=14","0.0187")</f>
        <v>0.0187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HYPERLINK("http://141.218.60.56/~jnz1568/getInfo.php?workbook=10_05.xlsx&amp;sheet=U0&amp;row=8185&amp;col=6&amp;number=3.1&amp;sourceID=14","3.1")</f>
        <v>3.1</v>
      </c>
      <c r="G8185" s="4" t="str">
        <f>HYPERLINK("http://141.218.60.56/~jnz1568/getInfo.php?workbook=10_05.xlsx&amp;sheet=U0&amp;row=8185&amp;col=7&amp;number=0.0185&amp;sourceID=14","0.0185")</f>
        <v>0.0185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HYPERLINK("http://141.218.60.56/~jnz1568/getInfo.php?workbook=10_05.xlsx&amp;sheet=U0&amp;row=8186&amp;col=6&amp;number=3.2&amp;sourceID=14","3.2")</f>
        <v>3.2</v>
      </c>
      <c r="G8186" s="4" t="str">
        <f>HYPERLINK("http://141.218.60.56/~jnz1568/getInfo.php?workbook=10_05.xlsx&amp;sheet=U0&amp;row=8186&amp;col=7&amp;number=0.0183&amp;sourceID=14","0.0183")</f>
        <v>0.0183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HYPERLINK("http://141.218.60.56/~jnz1568/getInfo.php?workbook=10_05.xlsx&amp;sheet=U0&amp;row=8187&amp;col=6&amp;number=3.3&amp;sourceID=14","3.3")</f>
        <v>3.3</v>
      </c>
      <c r="G8187" s="4" t="str">
        <f>HYPERLINK("http://141.218.60.56/~jnz1568/getInfo.php?workbook=10_05.xlsx&amp;sheet=U0&amp;row=8187&amp;col=7&amp;number=0.0181&amp;sourceID=14","0.0181")</f>
        <v>0.0181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HYPERLINK("http://141.218.60.56/~jnz1568/getInfo.php?workbook=10_05.xlsx&amp;sheet=U0&amp;row=8188&amp;col=6&amp;number=3.4&amp;sourceID=14","3.4")</f>
        <v>3.4</v>
      </c>
      <c r="G8188" s="4" t="str">
        <f>HYPERLINK("http://141.218.60.56/~jnz1568/getInfo.php?workbook=10_05.xlsx&amp;sheet=U0&amp;row=8188&amp;col=7&amp;number=0.0178&amp;sourceID=14","0.0178")</f>
        <v>0.0178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HYPERLINK("http://141.218.60.56/~jnz1568/getInfo.php?workbook=10_05.xlsx&amp;sheet=U0&amp;row=8189&amp;col=6&amp;number=3.5&amp;sourceID=14","3.5")</f>
        <v>3.5</v>
      </c>
      <c r="G8189" s="4" t="str">
        <f>HYPERLINK("http://141.218.60.56/~jnz1568/getInfo.php?workbook=10_05.xlsx&amp;sheet=U0&amp;row=8189&amp;col=7&amp;number=0.0174&amp;sourceID=14","0.0174")</f>
        <v>0.0174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HYPERLINK("http://141.218.60.56/~jnz1568/getInfo.php?workbook=10_05.xlsx&amp;sheet=U0&amp;row=8190&amp;col=6&amp;number=3.6&amp;sourceID=14","3.6")</f>
        <v>3.6</v>
      </c>
      <c r="G8190" s="4" t="str">
        <f>HYPERLINK("http://141.218.60.56/~jnz1568/getInfo.php?workbook=10_05.xlsx&amp;sheet=U0&amp;row=8190&amp;col=7&amp;number=0.017&amp;sourceID=14","0.017")</f>
        <v>0.017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HYPERLINK("http://141.218.60.56/~jnz1568/getInfo.php?workbook=10_05.xlsx&amp;sheet=U0&amp;row=8191&amp;col=6&amp;number=3.7&amp;sourceID=14","3.7")</f>
        <v>3.7</v>
      </c>
      <c r="G8191" s="4" t="str">
        <f>HYPERLINK("http://141.218.60.56/~jnz1568/getInfo.php?workbook=10_05.xlsx&amp;sheet=U0&amp;row=8191&amp;col=7&amp;number=0.0164&amp;sourceID=14","0.0164")</f>
        <v>0.0164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HYPERLINK("http://141.218.60.56/~jnz1568/getInfo.php?workbook=10_05.xlsx&amp;sheet=U0&amp;row=8192&amp;col=6&amp;number=3.8&amp;sourceID=14","3.8")</f>
        <v>3.8</v>
      </c>
      <c r="G8192" s="4" t="str">
        <f>HYPERLINK("http://141.218.60.56/~jnz1568/getInfo.php?workbook=10_05.xlsx&amp;sheet=U0&amp;row=8192&amp;col=7&amp;number=0.0158&amp;sourceID=14","0.0158")</f>
        <v>0.0158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HYPERLINK("http://141.218.60.56/~jnz1568/getInfo.php?workbook=10_05.xlsx&amp;sheet=U0&amp;row=8193&amp;col=6&amp;number=3.9&amp;sourceID=14","3.9")</f>
        <v>3.9</v>
      </c>
      <c r="G8193" s="4" t="str">
        <f>HYPERLINK("http://141.218.60.56/~jnz1568/getInfo.php?workbook=10_05.xlsx&amp;sheet=U0&amp;row=8193&amp;col=7&amp;number=0.0151&amp;sourceID=14","0.0151")</f>
        <v>0.0151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HYPERLINK("http://141.218.60.56/~jnz1568/getInfo.php?workbook=10_05.xlsx&amp;sheet=U0&amp;row=8194&amp;col=6&amp;number=4&amp;sourceID=14","4")</f>
        <v>4</v>
      </c>
      <c r="G8194" s="4" t="str">
        <f>HYPERLINK("http://141.218.60.56/~jnz1568/getInfo.php?workbook=10_05.xlsx&amp;sheet=U0&amp;row=8194&amp;col=7&amp;number=0.0144&amp;sourceID=14","0.0144")</f>
        <v>0.0144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HYPERLINK("http://141.218.60.56/~jnz1568/getInfo.php?workbook=10_05.xlsx&amp;sheet=U0&amp;row=8195&amp;col=6&amp;number=4.1&amp;sourceID=14","4.1")</f>
        <v>4.1</v>
      </c>
      <c r="G8195" s="4" t="str">
        <f>HYPERLINK("http://141.218.60.56/~jnz1568/getInfo.php?workbook=10_05.xlsx&amp;sheet=U0&amp;row=8195&amp;col=7&amp;number=0.0136&amp;sourceID=14","0.0136")</f>
        <v>0.0136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HYPERLINK("http://141.218.60.56/~jnz1568/getInfo.php?workbook=10_05.xlsx&amp;sheet=U0&amp;row=8196&amp;col=6&amp;number=4.2&amp;sourceID=14","4.2")</f>
        <v>4.2</v>
      </c>
      <c r="G8196" s="4" t="str">
        <f>HYPERLINK("http://141.218.60.56/~jnz1568/getInfo.php?workbook=10_05.xlsx&amp;sheet=U0&amp;row=8196&amp;col=7&amp;number=0.013&amp;sourceID=14","0.013")</f>
        <v>0.013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HYPERLINK("http://141.218.60.56/~jnz1568/getInfo.php?workbook=10_05.xlsx&amp;sheet=U0&amp;row=8197&amp;col=6&amp;number=4.3&amp;sourceID=14","4.3")</f>
        <v>4.3</v>
      </c>
      <c r="G8197" s="4" t="str">
        <f>HYPERLINK("http://141.218.60.56/~jnz1568/getInfo.php?workbook=10_05.xlsx&amp;sheet=U0&amp;row=8197&amp;col=7&amp;number=0.0126&amp;sourceID=14","0.0126")</f>
        <v>0.0126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HYPERLINK("http://141.218.60.56/~jnz1568/getInfo.php?workbook=10_05.xlsx&amp;sheet=U0&amp;row=8198&amp;col=6&amp;number=4.4&amp;sourceID=14","4.4")</f>
        <v>4.4</v>
      </c>
      <c r="G8198" s="4" t="str">
        <f>HYPERLINK("http://141.218.60.56/~jnz1568/getInfo.php?workbook=10_05.xlsx&amp;sheet=U0&amp;row=8198&amp;col=7&amp;number=0.0124&amp;sourceID=14","0.0124")</f>
        <v>0.0124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HYPERLINK("http://141.218.60.56/~jnz1568/getInfo.php?workbook=10_05.xlsx&amp;sheet=U0&amp;row=8199&amp;col=6&amp;number=4.5&amp;sourceID=14","4.5")</f>
        <v>4.5</v>
      </c>
      <c r="G8199" s="4" t="str">
        <f>HYPERLINK("http://141.218.60.56/~jnz1568/getInfo.php?workbook=10_05.xlsx&amp;sheet=U0&amp;row=8199&amp;col=7&amp;number=0.0122&amp;sourceID=14","0.0122")</f>
        <v>0.0122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HYPERLINK("http://141.218.60.56/~jnz1568/getInfo.php?workbook=10_05.xlsx&amp;sheet=U0&amp;row=8200&amp;col=6&amp;number=4.6&amp;sourceID=14","4.6")</f>
        <v>4.6</v>
      </c>
      <c r="G8200" s="4" t="str">
        <f>HYPERLINK("http://141.218.60.56/~jnz1568/getInfo.php?workbook=10_05.xlsx&amp;sheet=U0&amp;row=8200&amp;col=7&amp;number=0.012&amp;sourceID=14","0.012")</f>
        <v>0.012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HYPERLINK("http://141.218.60.56/~jnz1568/getInfo.php?workbook=10_05.xlsx&amp;sheet=U0&amp;row=8201&amp;col=6&amp;number=4.7&amp;sourceID=14","4.7")</f>
        <v>4.7</v>
      </c>
      <c r="G8201" s="4" t="str">
        <f>HYPERLINK("http://141.218.60.56/~jnz1568/getInfo.php?workbook=10_05.xlsx&amp;sheet=U0&amp;row=8201&amp;col=7&amp;number=0.0117&amp;sourceID=14","0.0117")</f>
        <v>0.0117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HYPERLINK("http://141.218.60.56/~jnz1568/getInfo.php?workbook=10_05.xlsx&amp;sheet=U0&amp;row=8202&amp;col=6&amp;number=4.8&amp;sourceID=14","4.8")</f>
        <v>4.8</v>
      </c>
      <c r="G8202" s="4" t="str">
        <f>HYPERLINK("http://141.218.60.56/~jnz1568/getInfo.php?workbook=10_05.xlsx&amp;sheet=U0&amp;row=8202&amp;col=7&amp;number=0.0115&amp;sourceID=14","0.0115")</f>
        <v>0.0115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HYPERLINK("http://141.218.60.56/~jnz1568/getInfo.php?workbook=10_05.xlsx&amp;sheet=U0&amp;row=8203&amp;col=6&amp;number=4.9&amp;sourceID=14","4.9")</f>
        <v>4.9</v>
      </c>
      <c r="G8203" s="4" t="str">
        <f>HYPERLINK("http://141.218.60.56/~jnz1568/getInfo.php?workbook=10_05.xlsx&amp;sheet=U0&amp;row=8203&amp;col=7&amp;number=0.0113&amp;sourceID=14","0.0113")</f>
        <v>0.0113</v>
      </c>
    </row>
    <row r="8204" spans="1:7">
      <c r="A8204" s="3">
        <v>10</v>
      </c>
      <c r="B8204" s="3">
        <v>5</v>
      </c>
      <c r="C8204" s="3">
        <v>3</v>
      </c>
      <c r="D8204" s="3">
        <v>57</v>
      </c>
      <c r="E8204" s="3">
        <v>1</v>
      </c>
      <c r="F8204" s="4" t="str">
        <f>HYPERLINK("http://141.218.60.56/~jnz1568/getInfo.php?workbook=10_05.xlsx&amp;sheet=U0&amp;row=8204&amp;col=6&amp;number=3&amp;sourceID=14","3")</f>
        <v>3</v>
      </c>
      <c r="G8204" s="4" t="str">
        <f>HYPERLINK("http://141.218.60.56/~jnz1568/getInfo.php?workbook=10_05.xlsx&amp;sheet=U0&amp;row=8204&amp;col=7&amp;number=0.0102&amp;sourceID=14","0.0102")</f>
        <v>0.0102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HYPERLINK("http://141.218.60.56/~jnz1568/getInfo.php?workbook=10_05.xlsx&amp;sheet=U0&amp;row=8205&amp;col=6&amp;number=3.1&amp;sourceID=14","3.1")</f>
        <v>3.1</v>
      </c>
      <c r="G8205" s="4" t="str">
        <f>HYPERLINK("http://141.218.60.56/~jnz1568/getInfo.php?workbook=10_05.xlsx&amp;sheet=U0&amp;row=8205&amp;col=7&amp;number=0.0101&amp;sourceID=14","0.0101")</f>
        <v>0.0101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HYPERLINK("http://141.218.60.56/~jnz1568/getInfo.php?workbook=10_05.xlsx&amp;sheet=U0&amp;row=8206&amp;col=6&amp;number=3.2&amp;sourceID=14","3.2")</f>
        <v>3.2</v>
      </c>
      <c r="G8206" s="4" t="str">
        <f>HYPERLINK("http://141.218.60.56/~jnz1568/getInfo.php?workbook=10_05.xlsx&amp;sheet=U0&amp;row=8206&amp;col=7&amp;number=0.01&amp;sourceID=14","0.01")</f>
        <v>0.01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HYPERLINK("http://141.218.60.56/~jnz1568/getInfo.php?workbook=10_05.xlsx&amp;sheet=U0&amp;row=8207&amp;col=6&amp;number=3.3&amp;sourceID=14","3.3")</f>
        <v>3.3</v>
      </c>
      <c r="G8207" s="4" t="str">
        <f>HYPERLINK("http://141.218.60.56/~jnz1568/getInfo.php?workbook=10_05.xlsx&amp;sheet=U0&amp;row=8207&amp;col=7&amp;number=0.00992&amp;sourceID=14","0.00992")</f>
        <v>0.00992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HYPERLINK("http://141.218.60.56/~jnz1568/getInfo.php?workbook=10_05.xlsx&amp;sheet=U0&amp;row=8208&amp;col=6&amp;number=3.4&amp;sourceID=14","3.4")</f>
        <v>3.4</v>
      </c>
      <c r="G8208" s="4" t="str">
        <f>HYPERLINK("http://141.218.60.56/~jnz1568/getInfo.php?workbook=10_05.xlsx&amp;sheet=U0&amp;row=8208&amp;col=7&amp;number=0.00977&amp;sourceID=14","0.00977")</f>
        <v>0.00977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HYPERLINK("http://141.218.60.56/~jnz1568/getInfo.php?workbook=10_05.xlsx&amp;sheet=U0&amp;row=8209&amp;col=6&amp;number=3.5&amp;sourceID=14","3.5")</f>
        <v>3.5</v>
      </c>
      <c r="G8209" s="4" t="str">
        <f>HYPERLINK("http://141.218.60.56/~jnz1568/getInfo.php?workbook=10_05.xlsx&amp;sheet=U0&amp;row=8209&amp;col=7&amp;number=0.0096&amp;sourceID=14","0.0096")</f>
        <v>0.0096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HYPERLINK("http://141.218.60.56/~jnz1568/getInfo.php?workbook=10_05.xlsx&amp;sheet=U0&amp;row=8210&amp;col=6&amp;number=3.6&amp;sourceID=14","3.6")</f>
        <v>3.6</v>
      </c>
      <c r="G8210" s="4" t="str">
        <f>HYPERLINK("http://141.218.60.56/~jnz1568/getInfo.php?workbook=10_05.xlsx&amp;sheet=U0&amp;row=8210&amp;col=7&amp;number=0.00938&amp;sourceID=14","0.00938")</f>
        <v>0.00938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HYPERLINK("http://141.218.60.56/~jnz1568/getInfo.php?workbook=10_05.xlsx&amp;sheet=U0&amp;row=8211&amp;col=6&amp;number=3.7&amp;sourceID=14","3.7")</f>
        <v>3.7</v>
      </c>
      <c r="G8211" s="4" t="str">
        <f>HYPERLINK("http://141.218.60.56/~jnz1568/getInfo.php?workbook=10_05.xlsx&amp;sheet=U0&amp;row=8211&amp;col=7&amp;number=0.00912&amp;sourceID=14","0.00912")</f>
        <v>0.00912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HYPERLINK("http://141.218.60.56/~jnz1568/getInfo.php?workbook=10_05.xlsx&amp;sheet=U0&amp;row=8212&amp;col=6&amp;number=3.8&amp;sourceID=14","3.8")</f>
        <v>3.8</v>
      </c>
      <c r="G8212" s="4" t="str">
        <f>HYPERLINK("http://141.218.60.56/~jnz1568/getInfo.php?workbook=10_05.xlsx&amp;sheet=U0&amp;row=8212&amp;col=7&amp;number=0.00881&amp;sourceID=14","0.00881")</f>
        <v>0.00881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HYPERLINK("http://141.218.60.56/~jnz1568/getInfo.php?workbook=10_05.xlsx&amp;sheet=U0&amp;row=8213&amp;col=6&amp;number=3.9&amp;sourceID=14","3.9")</f>
        <v>3.9</v>
      </c>
      <c r="G8213" s="4" t="str">
        <f>HYPERLINK("http://141.218.60.56/~jnz1568/getInfo.php?workbook=10_05.xlsx&amp;sheet=U0&amp;row=8213&amp;col=7&amp;number=0.00846&amp;sourceID=14","0.00846")</f>
        <v>0.00846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HYPERLINK("http://141.218.60.56/~jnz1568/getInfo.php?workbook=10_05.xlsx&amp;sheet=U0&amp;row=8214&amp;col=6&amp;number=4&amp;sourceID=14","4")</f>
        <v>4</v>
      </c>
      <c r="G8214" s="4" t="str">
        <f>HYPERLINK("http://141.218.60.56/~jnz1568/getInfo.php?workbook=10_05.xlsx&amp;sheet=U0&amp;row=8214&amp;col=7&amp;number=0.00807&amp;sourceID=14","0.00807")</f>
        <v>0.00807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HYPERLINK("http://141.218.60.56/~jnz1568/getInfo.php?workbook=10_05.xlsx&amp;sheet=U0&amp;row=8215&amp;col=6&amp;number=4.1&amp;sourceID=14","4.1")</f>
        <v>4.1</v>
      </c>
      <c r="G8215" s="4" t="str">
        <f>HYPERLINK("http://141.218.60.56/~jnz1568/getInfo.php?workbook=10_05.xlsx&amp;sheet=U0&amp;row=8215&amp;col=7&amp;number=0.00767&amp;sourceID=14","0.00767")</f>
        <v>0.00767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HYPERLINK("http://141.218.60.56/~jnz1568/getInfo.php?workbook=10_05.xlsx&amp;sheet=U0&amp;row=8216&amp;col=6&amp;number=4.2&amp;sourceID=14","4.2")</f>
        <v>4.2</v>
      </c>
      <c r="G8216" s="4" t="str">
        <f>HYPERLINK("http://141.218.60.56/~jnz1568/getInfo.php?workbook=10_05.xlsx&amp;sheet=U0&amp;row=8216&amp;col=7&amp;number=0.00732&amp;sourceID=14","0.00732")</f>
        <v>0.00732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HYPERLINK("http://141.218.60.56/~jnz1568/getInfo.php?workbook=10_05.xlsx&amp;sheet=U0&amp;row=8217&amp;col=6&amp;number=4.3&amp;sourceID=14","4.3")</f>
        <v>4.3</v>
      </c>
      <c r="G8217" s="4" t="str">
        <f>HYPERLINK("http://141.218.60.56/~jnz1568/getInfo.php?workbook=10_05.xlsx&amp;sheet=U0&amp;row=8217&amp;col=7&amp;number=0.00708&amp;sourceID=14","0.00708")</f>
        <v>0.00708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HYPERLINK("http://141.218.60.56/~jnz1568/getInfo.php?workbook=10_05.xlsx&amp;sheet=U0&amp;row=8218&amp;col=6&amp;number=4.4&amp;sourceID=14","4.4")</f>
        <v>4.4</v>
      </c>
      <c r="G8218" s="4" t="str">
        <f>HYPERLINK("http://141.218.60.56/~jnz1568/getInfo.php?workbook=10_05.xlsx&amp;sheet=U0&amp;row=8218&amp;col=7&amp;number=0.00697&amp;sourceID=14","0.00697")</f>
        <v>0.00697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HYPERLINK("http://141.218.60.56/~jnz1568/getInfo.php?workbook=10_05.xlsx&amp;sheet=U0&amp;row=8219&amp;col=6&amp;number=4.5&amp;sourceID=14","4.5")</f>
        <v>4.5</v>
      </c>
      <c r="G8219" s="4" t="str">
        <f>HYPERLINK("http://141.218.60.56/~jnz1568/getInfo.php?workbook=10_05.xlsx&amp;sheet=U0&amp;row=8219&amp;col=7&amp;number=0.00693&amp;sourceID=14","0.00693")</f>
        <v>0.00693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HYPERLINK("http://141.218.60.56/~jnz1568/getInfo.php?workbook=10_05.xlsx&amp;sheet=U0&amp;row=8220&amp;col=6&amp;number=4.6&amp;sourceID=14","4.6")</f>
        <v>4.6</v>
      </c>
      <c r="G8220" s="4" t="str">
        <f>HYPERLINK("http://141.218.60.56/~jnz1568/getInfo.php?workbook=10_05.xlsx&amp;sheet=U0&amp;row=8220&amp;col=7&amp;number=0.0069&amp;sourceID=14","0.0069")</f>
        <v>0.0069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HYPERLINK("http://141.218.60.56/~jnz1568/getInfo.php?workbook=10_05.xlsx&amp;sheet=U0&amp;row=8221&amp;col=6&amp;number=4.7&amp;sourceID=14","4.7")</f>
        <v>4.7</v>
      </c>
      <c r="G8221" s="4" t="str">
        <f>HYPERLINK("http://141.218.60.56/~jnz1568/getInfo.php?workbook=10_05.xlsx&amp;sheet=U0&amp;row=8221&amp;col=7&amp;number=0.00682&amp;sourceID=14","0.00682")</f>
        <v>0.00682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HYPERLINK("http://141.218.60.56/~jnz1568/getInfo.php?workbook=10_05.xlsx&amp;sheet=U0&amp;row=8222&amp;col=6&amp;number=4.8&amp;sourceID=14","4.8")</f>
        <v>4.8</v>
      </c>
      <c r="G8222" s="4" t="str">
        <f>HYPERLINK("http://141.218.60.56/~jnz1568/getInfo.php?workbook=10_05.xlsx&amp;sheet=U0&amp;row=8222&amp;col=7&amp;number=0.00672&amp;sourceID=14","0.00672")</f>
        <v>0.00672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HYPERLINK("http://141.218.60.56/~jnz1568/getInfo.php?workbook=10_05.xlsx&amp;sheet=U0&amp;row=8223&amp;col=6&amp;number=4.9&amp;sourceID=14","4.9")</f>
        <v>4.9</v>
      </c>
      <c r="G8223" s="4" t="str">
        <f>HYPERLINK("http://141.218.60.56/~jnz1568/getInfo.php?workbook=10_05.xlsx&amp;sheet=U0&amp;row=8223&amp;col=7&amp;number=0.00662&amp;sourceID=14","0.00662")</f>
        <v>0.00662</v>
      </c>
    </row>
    <row r="8224" spans="1:7">
      <c r="A8224" s="3">
        <v>10</v>
      </c>
      <c r="B8224" s="3">
        <v>5</v>
      </c>
      <c r="C8224" s="3">
        <v>3</v>
      </c>
      <c r="D8224" s="3">
        <v>58</v>
      </c>
      <c r="E8224" s="3">
        <v>1</v>
      </c>
      <c r="F8224" s="4" t="str">
        <f>HYPERLINK("http://141.218.60.56/~jnz1568/getInfo.php?workbook=10_05.xlsx&amp;sheet=U0&amp;row=8224&amp;col=6&amp;number=3&amp;sourceID=14","3")</f>
        <v>3</v>
      </c>
      <c r="G8224" s="4" t="str">
        <f>HYPERLINK("http://141.218.60.56/~jnz1568/getInfo.php?workbook=10_05.xlsx&amp;sheet=U0&amp;row=8224&amp;col=7&amp;number=0.00309&amp;sourceID=14","0.00309")</f>
        <v>0.00309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HYPERLINK("http://141.218.60.56/~jnz1568/getInfo.php?workbook=10_05.xlsx&amp;sheet=U0&amp;row=8225&amp;col=6&amp;number=3.1&amp;sourceID=14","3.1")</f>
        <v>3.1</v>
      </c>
      <c r="G8225" s="4" t="str">
        <f>HYPERLINK("http://141.218.60.56/~jnz1568/getInfo.php?workbook=10_05.xlsx&amp;sheet=U0&amp;row=8225&amp;col=7&amp;number=0.00311&amp;sourceID=14","0.00311")</f>
        <v>0.00311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HYPERLINK("http://141.218.60.56/~jnz1568/getInfo.php?workbook=10_05.xlsx&amp;sheet=U0&amp;row=8226&amp;col=6&amp;number=3.2&amp;sourceID=14","3.2")</f>
        <v>3.2</v>
      </c>
      <c r="G8226" s="4" t="str">
        <f>HYPERLINK("http://141.218.60.56/~jnz1568/getInfo.php?workbook=10_05.xlsx&amp;sheet=U0&amp;row=8226&amp;col=7&amp;number=0.00312&amp;sourceID=14","0.00312")</f>
        <v>0.00312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HYPERLINK("http://141.218.60.56/~jnz1568/getInfo.php?workbook=10_05.xlsx&amp;sheet=U0&amp;row=8227&amp;col=6&amp;number=3.3&amp;sourceID=14","3.3")</f>
        <v>3.3</v>
      </c>
      <c r="G8227" s="4" t="str">
        <f>HYPERLINK("http://141.218.60.56/~jnz1568/getInfo.php?workbook=10_05.xlsx&amp;sheet=U0&amp;row=8227&amp;col=7&amp;number=0.00314&amp;sourceID=14","0.00314")</f>
        <v>0.00314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HYPERLINK("http://141.218.60.56/~jnz1568/getInfo.php?workbook=10_05.xlsx&amp;sheet=U0&amp;row=8228&amp;col=6&amp;number=3.4&amp;sourceID=14","3.4")</f>
        <v>3.4</v>
      </c>
      <c r="G8228" s="4" t="str">
        <f>HYPERLINK("http://141.218.60.56/~jnz1568/getInfo.php?workbook=10_05.xlsx&amp;sheet=U0&amp;row=8228&amp;col=7&amp;number=0.00317&amp;sourceID=14","0.00317")</f>
        <v>0.00317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HYPERLINK("http://141.218.60.56/~jnz1568/getInfo.php?workbook=10_05.xlsx&amp;sheet=U0&amp;row=8229&amp;col=6&amp;number=3.5&amp;sourceID=14","3.5")</f>
        <v>3.5</v>
      </c>
      <c r="G8229" s="4" t="str">
        <f>HYPERLINK("http://141.218.60.56/~jnz1568/getInfo.php?workbook=10_05.xlsx&amp;sheet=U0&amp;row=8229&amp;col=7&amp;number=0.0032&amp;sourceID=14","0.0032")</f>
        <v>0.0032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HYPERLINK("http://141.218.60.56/~jnz1568/getInfo.php?workbook=10_05.xlsx&amp;sheet=U0&amp;row=8230&amp;col=6&amp;number=3.6&amp;sourceID=14","3.6")</f>
        <v>3.6</v>
      </c>
      <c r="G8230" s="4" t="str">
        <f>HYPERLINK("http://141.218.60.56/~jnz1568/getInfo.php?workbook=10_05.xlsx&amp;sheet=U0&amp;row=8230&amp;col=7&amp;number=0.00324&amp;sourceID=14","0.00324")</f>
        <v>0.00324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HYPERLINK("http://141.218.60.56/~jnz1568/getInfo.php?workbook=10_05.xlsx&amp;sheet=U0&amp;row=8231&amp;col=6&amp;number=3.7&amp;sourceID=14","3.7")</f>
        <v>3.7</v>
      </c>
      <c r="G8231" s="4" t="str">
        <f>HYPERLINK("http://141.218.60.56/~jnz1568/getInfo.php?workbook=10_05.xlsx&amp;sheet=U0&amp;row=8231&amp;col=7&amp;number=0.00328&amp;sourceID=14","0.00328")</f>
        <v>0.00328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HYPERLINK("http://141.218.60.56/~jnz1568/getInfo.php?workbook=10_05.xlsx&amp;sheet=U0&amp;row=8232&amp;col=6&amp;number=3.8&amp;sourceID=14","3.8")</f>
        <v>3.8</v>
      </c>
      <c r="G8232" s="4" t="str">
        <f>HYPERLINK("http://141.218.60.56/~jnz1568/getInfo.php?workbook=10_05.xlsx&amp;sheet=U0&amp;row=8232&amp;col=7&amp;number=0.00333&amp;sourceID=14","0.00333")</f>
        <v>0.00333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HYPERLINK("http://141.218.60.56/~jnz1568/getInfo.php?workbook=10_05.xlsx&amp;sheet=U0&amp;row=8233&amp;col=6&amp;number=3.9&amp;sourceID=14","3.9")</f>
        <v>3.9</v>
      </c>
      <c r="G8233" s="4" t="str">
        <f>HYPERLINK("http://141.218.60.56/~jnz1568/getInfo.php?workbook=10_05.xlsx&amp;sheet=U0&amp;row=8233&amp;col=7&amp;number=0.00339&amp;sourceID=14","0.00339")</f>
        <v>0.00339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HYPERLINK("http://141.218.60.56/~jnz1568/getInfo.php?workbook=10_05.xlsx&amp;sheet=U0&amp;row=8234&amp;col=6&amp;number=4&amp;sourceID=14","4")</f>
        <v>4</v>
      </c>
      <c r="G8234" s="4" t="str">
        <f>HYPERLINK("http://141.218.60.56/~jnz1568/getInfo.php?workbook=10_05.xlsx&amp;sheet=U0&amp;row=8234&amp;col=7&amp;number=0.00346&amp;sourceID=14","0.00346")</f>
        <v>0.00346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HYPERLINK("http://141.218.60.56/~jnz1568/getInfo.php?workbook=10_05.xlsx&amp;sheet=U0&amp;row=8235&amp;col=6&amp;number=4.1&amp;sourceID=14","4.1")</f>
        <v>4.1</v>
      </c>
      <c r="G8235" s="4" t="str">
        <f>HYPERLINK("http://141.218.60.56/~jnz1568/getInfo.php?workbook=10_05.xlsx&amp;sheet=U0&amp;row=8235&amp;col=7&amp;number=0.00353&amp;sourceID=14","0.00353")</f>
        <v>0.00353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HYPERLINK("http://141.218.60.56/~jnz1568/getInfo.php?workbook=10_05.xlsx&amp;sheet=U0&amp;row=8236&amp;col=6&amp;number=4.2&amp;sourceID=14","4.2")</f>
        <v>4.2</v>
      </c>
      <c r="G8236" s="4" t="str">
        <f>HYPERLINK("http://141.218.60.56/~jnz1568/getInfo.php?workbook=10_05.xlsx&amp;sheet=U0&amp;row=8236&amp;col=7&amp;number=0.00358&amp;sourceID=14","0.00358")</f>
        <v>0.00358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HYPERLINK("http://141.218.60.56/~jnz1568/getInfo.php?workbook=10_05.xlsx&amp;sheet=U0&amp;row=8237&amp;col=6&amp;number=4.3&amp;sourceID=14","4.3")</f>
        <v>4.3</v>
      </c>
      <c r="G8237" s="4" t="str">
        <f>HYPERLINK("http://141.218.60.56/~jnz1568/getInfo.php?workbook=10_05.xlsx&amp;sheet=U0&amp;row=8237&amp;col=7&amp;number=0.00359&amp;sourceID=14","0.00359")</f>
        <v>0.00359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HYPERLINK("http://141.218.60.56/~jnz1568/getInfo.php?workbook=10_05.xlsx&amp;sheet=U0&amp;row=8238&amp;col=6&amp;number=4.4&amp;sourceID=14","4.4")</f>
        <v>4.4</v>
      </c>
      <c r="G8238" s="4" t="str">
        <f>HYPERLINK("http://141.218.60.56/~jnz1568/getInfo.php?workbook=10_05.xlsx&amp;sheet=U0&amp;row=8238&amp;col=7&amp;number=0.00354&amp;sourceID=14","0.00354")</f>
        <v>0.00354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HYPERLINK("http://141.218.60.56/~jnz1568/getInfo.php?workbook=10_05.xlsx&amp;sheet=U0&amp;row=8239&amp;col=6&amp;number=4.5&amp;sourceID=14","4.5")</f>
        <v>4.5</v>
      </c>
      <c r="G8239" s="4" t="str">
        <f>HYPERLINK("http://141.218.60.56/~jnz1568/getInfo.php?workbook=10_05.xlsx&amp;sheet=U0&amp;row=8239&amp;col=7&amp;number=0.00341&amp;sourceID=14","0.00341")</f>
        <v>0.00341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HYPERLINK("http://141.218.60.56/~jnz1568/getInfo.php?workbook=10_05.xlsx&amp;sheet=U0&amp;row=8240&amp;col=6&amp;number=4.6&amp;sourceID=14","4.6")</f>
        <v>4.6</v>
      </c>
      <c r="G8240" s="4" t="str">
        <f>HYPERLINK("http://141.218.60.56/~jnz1568/getInfo.php?workbook=10_05.xlsx&amp;sheet=U0&amp;row=8240&amp;col=7&amp;number=0.00321&amp;sourceID=14","0.00321")</f>
        <v>0.00321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HYPERLINK("http://141.218.60.56/~jnz1568/getInfo.php?workbook=10_05.xlsx&amp;sheet=U0&amp;row=8241&amp;col=6&amp;number=4.7&amp;sourceID=14","4.7")</f>
        <v>4.7</v>
      </c>
      <c r="G8241" s="4" t="str">
        <f>HYPERLINK("http://141.218.60.56/~jnz1568/getInfo.php?workbook=10_05.xlsx&amp;sheet=U0&amp;row=8241&amp;col=7&amp;number=0.00298&amp;sourceID=14","0.00298")</f>
        <v>0.00298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HYPERLINK("http://141.218.60.56/~jnz1568/getInfo.php?workbook=10_05.xlsx&amp;sheet=U0&amp;row=8242&amp;col=6&amp;number=4.8&amp;sourceID=14","4.8")</f>
        <v>4.8</v>
      </c>
      <c r="G8242" s="4" t="str">
        <f>HYPERLINK("http://141.218.60.56/~jnz1568/getInfo.php?workbook=10_05.xlsx&amp;sheet=U0&amp;row=8242&amp;col=7&amp;number=0.00275&amp;sourceID=14","0.00275")</f>
        <v>0.00275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HYPERLINK("http://141.218.60.56/~jnz1568/getInfo.php?workbook=10_05.xlsx&amp;sheet=U0&amp;row=8243&amp;col=6&amp;number=4.9&amp;sourceID=14","4.9")</f>
        <v>4.9</v>
      </c>
      <c r="G8243" s="4" t="str">
        <f>HYPERLINK("http://141.218.60.56/~jnz1568/getInfo.php?workbook=10_05.xlsx&amp;sheet=U0&amp;row=8243&amp;col=7&amp;number=0.00249&amp;sourceID=14","0.00249")</f>
        <v>0.00249</v>
      </c>
    </row>
    <row r="8244" spans="1:7">
      <c r="A8244" s="3">
        <v>10</v>
      </c>
      <c r="B8244" s="3">
        <v>5</v>
      </c>
      <c r="C8244" s="3">
        <v>3</v>
      </c>
      <c r="D8244" s="3">
        <v>59</v>
      </c>
      <c r="E8244" s="3">
        <v>1</v>
      </c>
      <c r="F8244" s="4" t="str">
        <f>HYPERLINK("http://141.218.60.56/~jnz1568/getInfo.php?workbook=10_05.xlsx&amp;sheet=U0&amp;row=8244&amp;col=6&amp;number=3&amp;sourceID=14","3")</f>
        <v>3</v>
      </c>
      <c r="G8244" s="4" t="str">
        <f>HYPERLINK("http://141.218.60.56/~jnz1568/getInfo.php?workbook=10_05.xlsx&amp;sheet=U0&amp;row=8244&amp;col=7&amp;number=0.012&amp;sourceID=14","0.012")</f>
        <v>0.012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HYPERLINK("http://141.218.60.56/~jnz1568/getInfo.php?workbook=10_05.xlsx&amp;sheet=U0&amp;row=8245&amp;col=6&amp;number=3.1&amp;sourceID=14","3.1")</f>
        <v>3.1</v>
      </c>
      <c r="G8245" s="4" t="str">
        <f>HYPERLINK("http://141.218.60.56/~jnz1568/getInfo.php?workbook=10_05.xlsx&amp;sheet=U0&amp;row=8245&amp;col=7&amp;number=0.0119&amp;sourceID=14","0.0119")</f>
        <v>0.0119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HYPERLINK("http://141.218.60.56/~jnz1568/getInfo.php?workbook=10_05.xlsx&amp;sheet=U0&amp;row=8246&amp;col=6&amp;number=3.2&amp;sourceID=14","3.2")</f>
        <v>3.2</v>
      </c>
      <c r="G8246" s="4" t="str">
        <f>HYPERLINK("http://141.218.60.56/~jnz1568/getInfo.php?workbook=10_05.xlsx&amp;sheet=U0&amp;row=8246&amp;col=7&amp;number=0.0119&amp;sourceID=14","0.0119")</f>
        <v>0.0119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HYPERLINK("http://141.218.60.56/~jnz1568/getInfo.php?workbook=10_05.xlsx&amp;sheet=U0&amp;row=8247&amp;col=6&amp;number=3.3&amp;sourceID=14","3.3")</f>
        <v>3.3</v>
      </c>
      <c r="G8247" s="4" t="str">
        <f>HYPERLINK("http://141.218.60.56/~jnz1568/getInfo.php?workbook=10_05.xlsx&amp;sheet=U0&amp;row=8247&amp;col=7&amp;number=0.0119&amp;sourceID=14","0.0119")</f>
        <v>0.0119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HYPERLINK("http://141.218.60.56/~jnz1568/getInfo.php?workbook=10_05.xlsx&amp;sheet=U0&amp;row=8248&amp;col=6&amp;number=3.4&amp;sourceID=14","3.4")</f>
        <v>3.4</v>
      </c>
      <c r="G8248" s="4" t="str">
        <f>HYPERLINK("http://141.218.60.56/~jnz1568/getInfo.php?workbook=10_05.xlsx&amp;sheet=U0&amp;row=8248&amp;col=7&amp;number=0.0118&amp;sourceID=14","0.0118")</f>
        <v>0.0118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HYPERLINK("http://141.218.60.56/~jnz1568/getInfo.php?workbook=10_05.xlsx&amp;sheet=U0&amp;row=8249&amp;col=6&amp;number=3.5&amp;sourceID=14","3.5")</f>
        <v>3.5</v>
      </c>
      <c r="G8249" s="4" t="str">
        <f>HYPERLINK("http://141.218.60.56/~jnz1568/getInfo.php?workbook=10_05.xlsx&amp;sheet=U0&amp;row=8249&amp;col=7&amp;number=0.0117&amp;sourceID=14","0.0117")</f>
        <v>0.0117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HYPERLINK("http://141.218.60.56/~jnz1568/getInfo.php?workbook=10_05.xlsx&amp;sheet=U0&amp;row=8250&amp;col=6&amp;number=3.6&amp;sourceID=14","3.6")</f>
        <v>3.6</v>
      </c>
      <c r="G8250" s="4" t="str">
        <f>HYPERLINK("http://141.218.60.56/~jnz1568/getInfo.php?workbook=10_05.xlsx&amp;sheet=U0&amp;row=8250&amp;col=7&amp;number=0.0117&amp;sourceID=14","0.0117")</f>
        <v>0.0117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HYPERLINK("http://141.218.60.56/~jnz1568/getInfo.php?workbook=10_05.xlsx&amp;sheet=U0&amp;row=8251&amp;col=6&amp;number=3.7&amp;sourceID=14","3.7")</f>
        <v>3.7</v>
      </c>
      <c r="G8251" s="4" t="str">
        <f>HYPERLINK("http://141.218.60.56/~jnz1568/getInfo.php?workbook=10_05.xlsx&amp;sheet=U0&amp;row=8251&amp;col=7&amp;number=0.0116&amp;sourceID=14","0.0116")</f>
        <v>0.0116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HYPERLINK("http://141.218.60.56/~jnz1568/getInfo.php?workbook=10_05.xlsx&amp;sheet=U0&amp;row=8252&amp;col=6&amp;number=3.8&amp;sourceID=14","3.8")</f>
        <v>3.8</v>
      </c>
      <c r="G8252" s="4" t="str">
        <f>HYPERLINK("http://141.218.60.56/~jnz1568/getInfo.php?workbook=10_05.xlsx&amp;sheet=U0&amp;row=8252&amp;col=7&amp;number=0.0114&amp;sourceID=14","0.0114")</f>
        <v>0.0114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HYPERLINK("http://141.218.60.56/~jnz1568/getInfo.php?workbook=10_05.xlsx&amp;sheet=U0&amp;row=8253&amp;col=6&amp;number=3.9&amp;sourceID=14","3.9")</f>
        <v>3.9</v>
      </c>
      <c r="G8253" s="4" t="str">
        <f>HYPERLINK("http://141.218.60.56/~jnz1568/getInfo.php?workbook=10_05.xlsx&amp;sheet=U0&amp;row=8253&amp;col=7&amp;number=0.0113&amp;sourceID=14","0.0113")</f>
        <v>0.0113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HYPERLINK("http://141.218.60.56/~jnz1568/getInfo.php?workbook=10_05.xlsx&amp;sheet=U0&amp;row=8254&amp;col=6&amp;number=4&amp;sourceID=14","4")</f>
        <v>4</v>
      </c>
      <c r="G8254" s="4" t="str">
        <f>HYPERLINK("http://141.218.60.56/~jnz1568/getInfo.php?workbook=10_05.xlsx&amp;sheet=U0&amp;row=8254&amp;col=7&amp;number=0.0111&amp;sourceID=14","0.0111")</f>
        <v>0.0111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HYPERLINK("http://141.218.60.56/~jnz1568/getInfo.php?workbook=10_05.xlsx&amp;sheet=U0&amp;row=8255&amp;col=6&amp;number=4.1&amp;sourceID=14","4.1")</f>
        <v>4.1</v>
      </c>
      <c r="G8255" s="4" t="str">
        <f>HYPERLINK("http://141.218.60.56/~jnz1568/getInfo.php?workbook=10_05.xlsx&amp;sheet=U0&amp;row=8255&amp;col=7&amp;number=0.0109&amp;sourceID=14","0.0109")</f>
        <v>0.0109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HYPERLINK("http://141.218.60.56/~jnz1568/getInfo.php?workbook=10_05.xlsx&amp;sheet=U0&amp;row=8256&amp;col=6&amp;number=4.2&amp;sourceID=14","4.2")</f>
        <v>4.2</v>
      </c>
      <c r="G8256" s="4" t="str">
        <f>HYPERLINK("http://141.218.60.56/~jnz1568/getInfo.php?workbook=10_05.xlsx&amp;sheet=U0&amp;row=8256&amp;col=7&amp;number=0.0107&amp;sourceID=14","0.0107")</f>
        <v>0.0107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HYPERLINK("http://141.218.60.56/~jnz1568/getInfo.php?workbook=10_05.xlsx&amp;sheet=U0&amp;row=8257&amp;col=6&amp;number=4.3&amp;sourceID=14","4.3")</f>
        <v>4.3</v>
      </c>
      <c r="G8257" s="4" t="str">
        <f>HYPERLINK("http://141.218.60.56/~jnz1568/getInfo.php?workbook=10_05.xlsx&amp;sheet=U0&amp;row=8257&amp;col=7&amp;number=0.0104&amp;sourceID=14","0.0104")</f>
        <v>0.0104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HYPERLINK("http://141.218.60.56/~jnz1568/getInfo.php?workbook=10_05.xlsx&amp;sheet=U0&amp;row=8258&amp;col=6&amp;number=4.4&amp;sourceID=14","4.4")</f>
        <v>4.4</v>
      </c>
      <c r="G8258" s="4" t="str">
        <f>HYPERLINK("http://141.218.60.56/~jnz1568/getInfo.php?workbook=10_05.xlsx&amp;sheet=U0&amp;row=8258&amp;col=7&amp;number=0.01&amp;sourceID=14","0.01")</f>
        <v>0.01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HYPERLINK("http://141.218.60.56/~jnz1568/getInfo.php?workbook=10_05.xlsx&amp;sheet=U0&amp;row=8259&amp;col=6&amp;number=4.5&amp;sourceID=14","4.5")</f>
        <v>4.5</v>
      </c>
      <c r="G8259" s="4" t="str">
        <f>HYPERLINK("http://141.218.60.56/~jnz1568/getInfo.php?workbook=10_05.xlsx&amp;sheet=U0&amp;row=8259&amp;col=7&amp;number=0.0096&amp;sourceID=14","0.0096")</f>
        <v>0.0096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HYPERLINK("http://141.218.60.56/~jnz1568/getInfo.php?workbook=10_05.xlsx&amp;sheet=U0&amp;row=8260&amp;col=6&amp;number=4.6&amp;sourceID=14","4.6")</f>
        <v>4.6</v>
      </c>
      <c r="G8260" s="4" t="str">
        <f>HYPERLINK("http://141.218.60.56/~jnz1568/getInfo.php?workbook=10_05.xlsx&amp;sheet=U0&amp;row=8260&amp;col=7&amp;number=0.00911&amp;sourceID=14","0.00911")</f>
        <v>0.00911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HYPERLINK("http://141.218.60.56/~jnz1568/getInfo.php?workbook=10_05.xlsx&amp;sheet=U0&amp;row=8261&amp;col=6&amp;number=4.7&amp;sourceID=14","4.7")</f>
        <v>4.7</v>
      </c>
      <c r="G8261" s="4" t="str">
        <f>HYPERLINK("http://141.218.60.56/~jnz1568/getInfo.php?workbook=10_05.xlsx&amp;sheet=U0&amp;row=8261&amp;col=7&amp;number=0.0085&amp;sourceID=14","0.0085")</f>
        <v>0.0085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HYPERLINK("http://141.218.60.56/~jnz1568/getInfo.php?workbook=10_05.xlsx&amp;sheet=U0&amp;row=8262&amp;col=6&amp;number=4.8&amp;sourceID=14","4.8")</f>
        <v>4.8</v>
      </c>
      <c r="G8262" s="4" t="str">
        <f>HYPERLINK("http://141.218.60.56/~jnz1568/getInfo.php?workbook=10_05.xlsx&amp;sheet=U0&amp;row=8262&amp;col=7&amp;number=0.00779&amp;sourceID=14","0.00779")</f>
        <v>0.00779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HYPERLINK("http://141.218.60.56/~jnz1568/getInfo.php?workbook=10_05.xlsx&amp;sheet=U0&amp;row=8263&amp;col=6&amp;number=4.9&amp;sourceID=14","4.9")</f>
        <v>4.9</v>
      </c>
      <c r="G8263" s="4" t="str">
        <f>HYPERLINK("http://141.218.60.56/~jnz1568/getInfo.php?workbook=10_05.xlsx&amp;sheet=U0&amp;row=8263&amp;col=7&amp;number=0.00704&amp;sourceID=14","0.00704")</f>
        <v>0.00704</v>
      </c>
    </row>
    <row r="8264" spans="1:7">
      <c r="A8264" s="3">
        <v>10</v>
      </c>
      <c r="B8264" s="3">
        <v>5</v>
      </c>
      <c r="C8264" s="3">
        <v>3</v>
      </c>
      <c r="D8264" s="3">
        <v>60</v>
      </c>
      <c r="E8264" s="3">
        <v>1</v>
      </c>
      <c r="F8264" s="4" t="str">
        <f>HYPERLINK("http://141.218.60.56/~jnz1568/getInfo.php?workbook=10_05.xlsx&amp;sheet=U0&amp;row=8264&amp;col=6&amp;number=3&amp;sourceID=14","3")</f>
        <v>3</v>
      </c>
      <c r="G8264" s="4" t="str">
        <f>HYPERLINK("http://141.218.60.56/~jnz1568/getInfo.php?workbook=10_05.xlsx&amp;sheet=U0&amp;row=8264&amp;col=7&amp;number=0.00947&amp;sourceID=14","0.00947")</f>
        <v>0.00947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HYPERLINK("http://141.218.60.56/~jnz1568/getInfo.php?workbook=10_05.xlsx&amp;sheet=U0&amp;row=8265&amp;col=6&amp;number=3.1&amp;sourceID=14","3.1")</f>
        <v>3.1</v>
      </c>
      <c r="G8265" s="4" t="str">
        <f>HYPERLINK("http://141.218.60.56/~jnz1568/getInfo.php?workbook=10_05.xlsx&amp;sheet=U0&amp;row=8265&amp;col=7&amp;number=0.00947&amp;sourceID=14","0.00947")</f>
        <v>0.00947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HYPERLINK("http://141.218.60.56/~jnz1568/getInfo.php?workbook=10_05.xlsx&amp;sheet=U0&amp;row=8266&amp;col=6&amp;number=3.2&amp;sourceID=14","3.2")</f>
        <v>3.2</v>
      </c>
      <c r="G8266" s="4" t="str">
        <f>HYPERLINK("http://141.218.60.56/~jnz1568/getInfo.php?workbook=10_05.xlsx&amp;sheet=U0&amp;row=8266&amp;col=7&amp;number=0.00947&amp;sourceID=14","0.00947")</f>
        <v>0.00947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HYPERLINK("http://141.218.60.56/~jnz1568/getInfo.php?workbook=10_05.xlsx&amp;sheet=U0&amp;row=8267&amp;col=6&amp;number=3.3&amp;sourceID=14","3.3")</f>
        <v>3.3</v>
      </c>
      <c r="G8267" s="4" t="str">
        <f>HYPERLINK("http://141.218.60.56/~jnz1568/getInfo.php?workbook=10_05.xlsx&amp;sheet=U0&amp;row=8267&amp;col=7&amp;number=0.00947&amp;sourceID=14","0.00947")</f>
        <v>0.00947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HYPERLINK("http://141.218.60.56/~jnz1568/getInfo.php?workbook=10_05.xlsx&amp;sheet=U0&amp;row=8268&amp;col=6&amp;number=3.4&amp;sourceID=14","3.4")</f>
        <v>3.4</v>
      </c>
      <c r="G8268" s="4" t="str">
        <f>HYPERLINK("http://141.218.60.56/~jnz1568/getInfo.php?workbook=10_05.xlsx&amp;sheet=U0&amp;row=8268&amp;col=7&amp;number=0.00948&amp;sourceID=14","0.00948")</f>
        <v>0.00948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HYPERLINK("http://141.218.60.56/~jnz1568/getInfo.php?workbook=10_05.xlsx&amp;sheet=U0&amp;row=8269&amp;col=6&amp;number=3.5&amp;sourceID=14","3.5")</f>
        <v>3.5</v>
      </c>
      <c r="G8269" s="4" t="str">
        <f>HYPERLINK("http://141.218.60.56/~jnz1568/getInfo.php?workbook=10_05.xlsx&amp;sheet=U0&amp;row=8269&amp;col=7&amp;number=0.00948&amp;sourceID=14","0.00948")</f>
        <v>0.00948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HYPERLINK("http://141.218.60.56/~jnz1568/getInfo.php?workbook=10_05.xlsx&amp;sheet=U0&amp;row=8270&amp;col=6&amp;number=3.6&amp;sourceID=14","3.6")</f>
        <v>3.6</v>
      </c>
      <c r="G8270" s="4" t="str">
        <f>HYPERLINK("http://141.218.60.56/~jnz1568/getInfo.php?workbook=10_05.xlsx&amp;sheet=U0&amp;row=8270&amp;col=7&amp;number=0.00948&amp;sourceID=14","0.00948")</f>
        <v>0.00948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HYPERLINK("http://141.218.60.56/~jnz1568/getInfo.php?workbook=10_05.xlsx&amp;sheet=U0&amp;row=8271&amp;col=6&amp;number=3.7&amp;sourceID=14","3.7")</f>
        <v>3.7</v>
      </c>
      <c r="G8271" s="4" t="str">
        <f>HYPERLINK("http://141.218.60.56/~jnz1568/getInfo.php?workbook=10_05.xlsx&amp;sheet=U0&amp;row=8271&amp;col=7&amp;number=0.00949&amp;sourceID=14","0.00949")</f>
        <v>0.00949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HYPERLINK("http://141.218.60.56/~jnz1568/getInfo.php?workbook=10_05.xlsx&amp;sheet=U0&amp;row=8272&amp;col=6&amp;number=3.8&amp;sourceID=14","3.8")</f>
        <v>3.8</v>
      </c>
      <c r="G8272" s="4" t="str">
        <f>HYPERLINK("http://141.218.60.56/~jnz1568/getInfo.php?workbook=10_05.xlsx&amp;sheet=U0&amp;row=8272&amp;col=7&amp;number=0.00949&amp;sourceID=14","0.00949")</f>
        <v>0.00949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HYPERLINK("http://141.218.60.56/~jnz1568/getInfo.php?workbook=10_05.xlsx&amp;sheet=U0&amp;row=8273&amp;col=6&amp;number=3.9&amp;sourceID=14","3.9")</f>
        <v>3.9</v>
      </c>
      <c r="G8273" s="4" t="str">
        <f>HYPERLINK("http://141.218.60.56/~jnz1568/getInfo.php?workbook=10_05.xlsx&amp;sheet=U0&amp;row=8273&amp;col=7&amp;number=0.00948&amp;sourceID=14","0.00948")</f>
        <v>0.00948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HYPERLINK("http://141.218.60.56/~jnz1568/getInfo.php?workbook=10_05.xlsx&amp;sheet=U0&amp;row=8274&amp;col=6&amp;number=4&amp;sourceID=14","4")</f>
        <v>4</v>
      </c>
      <c r="G8274" s="4" t="str">
        <f>HYPERLINK("http://141.218.60.56/~jnz1568/getInfo.php?workbook=10_05.xlsx&amp;sheet=U0&amp;row=8274&amp;col=7&amp;number=0.00947&amp;sourceID=14","0.00947")</f>
        <v>0.00947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HYPERLINK("http://141.218.60.56/~jnz1568/getInfo.php?workbook=10_05.xlsx&amp;sheet=U0&amp;row=8275&amp;col=6&amp;number=4.1&amp;sourceID=14","4.1")</f>
        <v>4.1</v>
      </c>
      <c r="G8275" s="4" t="str">
        <f>HYPERLINK("http://141.218.60.56/~jnz1568/getInfo.php?workbook=10_05.xlsx&amp;sheet=U0&amp;row=8275&amp;col=7&amp;number=0.00945&amp;sourceID=14","0.00945")</f>
        <v>0.00945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HYPERLINK("http://141.218.60.56/~jnz1568/getInfo.php?workbook=10_05.xlsx&amp;sheet=U0&amp;row=8276&amp;col=6&amp;number=4.2&amp;sourceID=14","4.2")</f>
        <v>4.2</v>
      </c>
      <c r="G8276" s="4" t="str">
        <f>HYPERLINK("http://141.218.60.56/~jnz1568/getInfo.php?workbook=10_05.xlsx&amp;sheet=U0&amp;row=8276&amp;col=7&amp;number=0.0094&amp;sourceID=14","0.0094")</f>
        <v>0.0094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HYPERLINK("http://141.218.60.56/~jnz1568/getInfo.php?workbook=10_05.xlsx&amp;sheet=U0&amp;row=8277&amp;col=6&amp;number=4.3&amp;sourceID=14","4.3")</f>
        <v>4.3</v>
      </c>
      <c r="G8277" s="4" t="str">
        <f>HYPERLINK("http://141.218.60.56/~jnz1568/getInfo.php?workbook=10_05.xlsx&amp;sheet=U0&amp;row=8277&amp;col=7&amp;number=0.0093&amp;sourceID=14","0.0093")</f>
        <v>0.0093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HYPERLINK("http://141.218.60.56/~jnz1568/getInfo.php?workbook=10_05.xlsx&amp;sheet=U0&amp;row=8278&amp;col=6&amp;number=4.4&amp;sourceID=14","4.4")</f>
        <v>4.4</v>
      </c>
      <c r="G8278" s="4" t="str">
        <f>HYPERLINK("http://141.218.60.56/~jnz1568/getInfo.php?workbook=10_05.xlsx&amp;sheet=U0&amp;row=8278&amp;col=7&amp;number=0.00912&amp;sourceID=14","0.00912")</f>
        <v>0.00912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HYPERLINK("http://141.218.60.56/~jnz1568/getInfo.php?workbook=10_05.xlsx&amp;sheet=U0&amp;row=8279&amp;col=6&amp;number=4.5&amp;sourceID=14","4.5")</f>
        <v>4.5</v>
      </c>
      <c r="G8279" s="4" t="str">
        <f>HYPERLINK("http://141.218.60.56/~jnz1568/getInfo.php?workbook=10_05.xlsx&amp;sheet=U0&amp;row=8279&amp;col=7&amp;number=0.00884&amp;sourceID=14","0.00884")</f>
        <v>0.00884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HYPERLINK("http://141.218.60.56/~jnz1568/getInfo.php?workbook=10_05.xlsx&amp;sheet=U0&amp;row=8280&amp;col=6&amp;number=4.6&amp;sourceID=14","4.6")</f>
        <v>4.6</v>
      </c>
      <c r="G8280" s="4" t="str">
        <f>HYPERLINK("http://141.218.60.56/~jnz1568/getInfo.php?workbook=10_05.xlsx&amp;sheet=U0&amp;row=8280&amp;col=7&amp;number=0.00843&amp;sourceID=14","0.00843")</f>
        <v>0.00843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HYPERLINK("http://141.218.60.56/~jnz1568/getInfo.php?workbook=10_05.xlsx&amp;sheet=U0&amp;row=8281&amp;col=6&amp;number=4.7&amp;sourceID=14","4.7")</f>
        <v>4.7</v>
      </c>
      <c r="G8281" s="4" t="str">
        <f>HYPERLINK("http://141.218.60.56/~jnz1568/getInfo.php?workbook=10_05.xlsx&amp;sheet=U0&amp;row=8281&amp;col=7&amp;number=0.00791&amp;sourceID=14","0.00791")</f>
        <v>0.00791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HYPERLINK("http://141.218.60.56/~jnz1568/getInfo.php?workbook=10_05.xlsx&amp;sheet=U0&amp;row=8282&amp;col=6&amp;number=4.8&amp;sourceID=14","4.8")</f>
        <v>4.8</v>
      </c>
      <c r="G8282" s="4" t="str">
        <f>HYPERLINK("http://141.218.60.56/~jnz1568/getInfo.php?workbook=10_05.xlsx&amp;sheet=U0&amp;row=8282&amp;col=7&amp;number=0.00727&amp;sourceID=14","0.00727")</f>
        <v>0.00727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HYPERLINK("http://141.218.60.56/~jnz1568/getInfo.php?workbook=10_05.xlsx&amp;sheet=U0&amp;row=8283&amp;col=6&amp;number=4.9&amp;sourceID=14","4.9")</f>
        <v>4.9</v>
      </c>
      <c r="G8283" s="4" t="str">
        <f>HYPERLINK("http://141.218.60.56/~jnz1568/getInfo.php?workbook=10_05.xlsx&amp;sheet=U0&amp;row=8283&amp;col=7&amp;number=0.00657&amp;sourceID=14","0.00657")</f>
        <v>0.00657</v>
      </c>
    </row>
    <row r="8284" spans="1:7">
      <c r="A8284" s="3">
        <v>10</v>
      </c>
      <c r="B8284" s="3">
        <v>5</v>
      </c>
      <c r="C8284" s="3">
        <v>3</v>
      </c>
      <c r="D8284" s="3">
        <v>61</v>
      </c>
      <c r="E8284" s="3">
        <v>1</v>
      </c>
      <c r="F8284" s="4" t="str">
        <f>HYPERLINK("http://141.218.60.56/~jnz1568/getInfo.php?workbook=10_05.xlsx&amp;sheet=U0&amp;row=8284&amp;col=6&amp;number=3&amp;sourceID=14","3")</f>
        <v>3</v>
      </c>
      <c r="G8284" s="4" t="str">
        <f>HYPERLINK("http://141.218.60.56/~jnz1568/getInfo.php?workbook=10_05.xlsx&amp;sheet=U0&amp;row=8284&amp;col=7&amp;number=0.00803&amp;sourceID=14","0.00803")</f>
        <v>0.00803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HYPERLINK("http://141.218.60.56/~jnz1568/getInfo.php?workbook=10_05.xlsx&amp;sheet=U0&amp;row=8285&amp;col=6&amp;number=3.1&amp;sourceID=14","3.1")</f>
        <v>3.1</v>
      </c>
      <c r="G8285" s="4" t="str">
        <f>HYPERLINK("http://141.218.60.56/~jnz1568/getInfo.php?workbook=10_05.xlsx&amp;sheet=U0&amp;row=8285&amp;col=7&amp;number=0.00851&amp;sourceID=14","0.00851")</f>
        <v>0.00851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HYPERLINK("http://141.218.60.56/~jnz1568/getInfo.php?workbook=10_05.xlsx&amp;sheet=U0&amp;row=8286&amp;col=6&amp;number=3.2&amp;sourceID=14","3.2")</f>
        <v>3.2</v>
      </c>
      <c r="G8286" s="4" t="str">
        <f>HYPERLINK("http://141.218.60.56/~jnz1568/getInfo.php?workbook=10_05.xlsx&amp;sheet=U0&amp;row=8286&amp;col=7&amp;number=0.0091&amp;sourceID=14","0.0091")</f>
        <v>0.0091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HYPERLINK("http://141.218.60.56/~jnz1568/getInfo.php?workbook=10_05.xlsx&amp;sheet=U0&amp;row=8287&amp;col=6&amp;number=3.3&amp;sourceID=14","3.3")</f>
        <v>3.3</v>
      </c>
      <c r="G8287" s="4" t="str">
        <f>HYPERLINK("http://141.218.60.56/~jnz1568/getInfo.php?workbook=10_05.xlsx&amp;sheet=U0&amp;row=8287&amp;col=7&amp;number=0.00981&amp;sourceID=14","0.00981")</f>
        <v>0.00981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HYPERLINK("http://141.218.60.56/~jnz1568/getInfo.php?workbook=10_05.xlsx&amp;sheet=U0&amp;row=8288&amp;col=6&amp;number=3.4&amp;sourceID=14","3.4")</f>
        <v>3.4</v>
      </c>
      <c r="G8288" s="4" t="str">
        <f>HYPERLINK("http://141.218.60.56/~jnz1568/getInfo.php?workbook=10_05.xlsx&amp;sheet=U0&amp;row=8288&amp;col=7&amp;number=0.0106&amp;sourceID=14","0.0106")</f>
        <v>0.0106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HYPERLINK("http://141.218.60.56/~jnz1568/getInfo.php?workbook=10_05.xlsx&amp;sheet=U0&amp;row=8289&amp;col=6&amp;number=3.5&amp;sourceID=14","3.5")</f>
        <v>3.5</v>
      </c>
      <c r="G8289" s="4" t="str">
        <f>HYPERLINK("http://141.218.60.56/~jnz1568/getInfo.php?workbook=10_05.xlsx&amp;sheet=U0&amp;row=8289&amp;col=7&amp;number=0.0116&amp;sourceID=14","0.0116")</f>
        <v>0.0116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HYPERLINK("http://141.218.60.56/~jnz1568/getInfo.php?workbook=10_05.xlsx&amp;sheet=U0&amp;row=8290&amp;col=6&amp;number=3.6&amp;sourceID=14","3.6")</f>
        <v>3.6</v>
      </c>
      <c r="G8290" s="4" t="str">
        <f>HYPERLINK("http://141.218.60.56/~jnz1568/getInfo.php?workbook=10_05.xlsx&amp;sheet=U0&amp;row=8290&amp;col=7&amp;number=0.0126&amp;sourceID=14","0.0126")</f>
        <v>0.0126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HYPERLINK("http://141.218.60.56/~jnz1568/getInfo.php?workbook=10_05.xlsx&amp;sheet=U0&amp;row=8291&amp;col=6&amp;number=3.7&amp;sourceID=14","3.7")</f>
        <v>3.7</v>
      </c>
      <c r="G8291" s="4" t="str">
        <f>HYPERLINK("http://141.218.60.56/~jnz1568/getInfo.php?workbook=10_05.xlsx&amp;sheet=U0&amp;row=8291&amp;col=7&amp;number=0.0137&amp;sourceID=14","0.0137")</f>
        <v>0.0137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HYPERLINK("http://141.218.60.56/~jnz1568/getInfo.php?workbook=10_05.xlsx&amp;sheet=U0&amp;row=8292&amp;col=6&amp;number=3.8&amp;sourceID=14","3.8")</f>
        <v>3.8</v>
      </c>
      <c r="G8292" s="4" t="str">
        <f>HYPERLINK("http://141.218.60.56/~jnz1568/getInfo.php?workbook=10_05.xlsx&amp;sheet=U0&amp;row=8292&amp;col=7&amp;number=0.0145&amp;sourceID=14","0.0145")</f>
        <v>0.0145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HYPERLINK("http://141.218.60.56/~jnz1568/getInfo.php?workbook=10_05.xlsx&amp;sheet=U0&amp;row=8293&amp;col=6&amp;number=3.9&amp;sourceID=14","3.9")</f>
        <v>3.9</v>
      </c>
      <c r="G8293" s="4" t="str">
        <f>HYPERLINK("http://141.218.60.56/~jnz1568/getInfo.php?workbook=10_05.xlsx&amp;sheet=U0&amp;row=8293&amp;col=7&amp;number=0.015&amp;sourceID=14","0.015")</f>
        <v>0.015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HYPERLINK("http://141.218.60.56/~jnz1568/getInfo.php?workbook=10_05.xlsx&amp;sheet=U0&amp;row=8294&amp;col=6&amp;number=4&amp;sourceID=14","4")</f>
        <v>4</v>
      </c>
      <c r="G8294" s="4" t="str">
        <f>HYPERLINK("http://141.218.60.56/~jnz1568/getInfo.php?workbook=10_05.xlsx&amp;sheet=U0&amp;row=8294&amp;col=7&amp;number=0.0151&amp;sourceID=14","0.0151")</f>
        <v>0.0151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HYPERLINK("http://141.218.60.56/~jnz1568/getInfo.php?workbook=10_05.xlsx&amp;sheet=U0&amp;row=8295&amp;col=6&amp;number=4.1&amp;sourceID=14","4.1")</f>
        <v>4.1</v>
      </c>
      <c r="G8295" s="4" t="str">
        <f>HYPERLINK("http://141.218.60.56/~jnz1568/getInfo.php?workbook=10_05.xlsx&amp;sheet=U0&amp;row=8295&amp;col=7&amp;number=0.0149&amp;sourceID=14","0.0149")</f>
        <v>0.0149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HYPERLINK("http://141.218.60.56/~jnz1568/getInfo.php?workbook=10_05.xlsx&amp;sheet=U0&amp;row=8296&amp;col=6&amp;number=4.2&amp;sourceID=14","4.2")</f>
        <v>4.2</v>
      </c>
      <c r="G8296" s="4" t="str">
        <f>HYPERLINK("http://141.218.60.56/~jnz1568/getInfo.php?workbook=10_05.xlsx&amp;sheet=U0&amp;row=8296&amp;col=7&amp;number=0.0144&amp;sourceID=14","0.0144")</f>
        <v>0.0144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HYPERLINK("http://141.218.60.56/~jnz1568/getInfo.php?workbook=10_05.xlsx&amp;sheet=U0&amp;row=8297&amp;col=6&amp;number=4.3&amp;sourceID=14","4.3")</f>
        <v>4.3</v>
      </c>
      <c r="G8297" s="4" t="str">
        <f>HYPERLINK("http://141.218.60.56/~jnz1568/getInfo.php?workbook=10_05.xlsx&amp;sheet=U0&amp;row=8297&amp;col=7&amp;number=0.0137&amp;sourceID=14","0.0137")</f>
        <v>0.0137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HYPERLINK("http://141.218.60.56/~jnz1568/getInfo.php?workbook=10_05.xlsx&amp;sheet=U0&amp;row=8298&amp;col=6&amp;number=4.4&amp;sourceID=14","4.4")</f>
        <v>4.4</v>
      </c>
      <c r="G8298" s="4" t="str">
        <f>HYPERLINK("http://141.218.60.56/~jnz1568/getInfo.php?workbook=10_05.xlsx&amp;sheet=U0&amp;row=8298&amp;col=7&amp;number=0.0129&amp;sourceID=14","0.0129")</f>
        <v>0.0129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HYPERLINK("http://141.218.60.56/~jnz1568/getInfo.php?workbook=10_05.xlsx&amp;sheet=U0&amp;row=8299&amp;col=6&amp;number=4.5&amp;sourceID=14","4.5")</f>
        <v>4.5</v>
      </c>
      <c r="G8299" s="4" t="str">
        <f>HYPERLINK("http://141.218.60.56/~jnz1568/getInfo.php?workbook=10_05.xlsx&amp;sheet=U0&amp;row=8299&amp;col=7&amp;number=0.012&amp;sourceID=14","0.012")</f>
        <v>0.012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HYPERLINK("http://141.218.60.56/~jnz1568/getInfo.php?workbook=10_05.xlsx&amp;sheet=U0&amp;row=8300&amp;col=6&amp;number=4.6&amp;sourceID=14","4.6")</f>
        <v>4.6</v>
      </c>
      <c r="G8300" s="4" t="str">
        <f>HYPERLINK("http://141.218.60.56/~jnz1568/getInfo.php?workbook=10_05.xlsx&amp;sheet=U0&amp;row=8300&amp;col=7&amp;number=0.011&amp;sourceID=14","0.011")</f>
        <v>0.011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HYPERLINK("http://141.218.60.56/~jnz1568/getInfo.php?workbook=10_05.xlsx&amp;sheet=U0&amp;row=8301&amp;col=6&amp;number=4.7&amp;sourceID=14","4.7")</f>
        <v>4.7</v>
      </c>
      <c r="G8301" s="4" t="str">
        <f>HYPERLINK("http://141.218.60.56/~jnz1568/getInfo.php?workbook=10_05.xlsx&amp;sheet=U0&amp;row=8301&amp;col=7&amp;number=0.00998&amp;sourceID=14","0.00998")</f>
        <v>0.00998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HYPERLINK("http://141.218.60.56/~jnz1568/getInfo.php?workbook=10_05.xlsx&amp;sheet=U0&amp;row=8302&amp;col=6&amp;number=4.8&amp;sourceID=14","4.8")</f>
        <v>4.8</v>
      </c>
      <c r="G8302" s="4" t="str">
        <f>HYPERLINK("http://141.218.60.56/~jnz1568/getInfo.php?workbook=10_05.xlsx&amp;sheet=U0&amp;row=8302&amp;col=7&amp;number=0.00899&amp;sourceID=14","0.00899")</f>
        <v>0.00899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HYPERLINK("http://141.218.60.56/~jnz1568/getInfo.php?workbook=10_05.xlsx&amp;sheet=U0&amp;row=8303&amp;col=6&amp;number=4.9&amp;sourceID=14","4.9")</f>
        <v>4.9</v>
      </c>
      <c r="G8303" s="4" t="str">
        <f>HYPERLINK("http://141.218.60.56/~jnz1568/getInfo.php?workbook=10_05.xlsx&amp;sheet=U0&amp;row=8303&amp;col=7&amp;number=0.00804&amp;sourceID=14","0.00804")</f>
        <v>0.00804</v>
      </c>
    </row>
    <row r="8304" spans="1:7">
      <c r="A8304" s="3">
        <v>10</v>
      </c>
      <c r="B8304" s="3">
        <v>5</v>
      </c>
      <c r="C8304" s="3">
        <v>3</v>
      </c>
      <c r="D8304" s="3">
        <v>62</v>
      </c>
      <c r="E8304" s="3">
        <v>1</v>
      </c>
      <c r="F8304" s="4" t="str">
        <f>HYPERLINK("http://141.218.60.56/~jnz1568/getInfo.php?workbook=10_05.xlsx&amp;sheet=U0&amp;row=8304&amp;col=6&amp;number=3&amp;sourceID=14","3")</f>
        <v>3</v>
      </c>
      <c r="G8304" s="4" t="str">
        <f>HYPERLINK("http://141.218.60.56/~jnz1568/getInfo.php?workbook=10_05.xlsx&amp;sheet=U0&amp;row=8304&amp;col=7&amp;number=0.00969&amp;sourceID=14","0.00969")</f>
        <v>0.00969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HYPERLINK("http://141.218.60.56/~jnz1568/getInfo.php?workbook=10_05.xlsx&amp;sheet=U0&amp;row=8305&amp;col=6&amp;number=3.1&amp;sourceID=14","3.1")</f>
        <v>3.1</v>
      </c>
      <c r="G8305" s="4" t="str">
        <f>HYPERLINK("http://141.218.60.56/~jnz1568/getInfo.php?workbook=10_05.xlsx&amp;sheet=U0&amp;row=8305&amp;col=7&amp;number=0.00996&amp;sourceID=14","0.00996")</f>
        <v>0.00996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HYPERLINK("http://141.218.60.56/~jnz1568/getInfo.php?workbook=10_05.xlsx&amp;sheet=U0&amp;row=8306&amp;col=6&amp;number=3.2&amp;sourceID=14","3.2")</f>
        <v>3.2</v>
      </c>
      <c r="G8306" s="4" t="str">
        <f>HYPERLINK("http://141.218.60.56/~jnz1568/getInfo.php?workbook=10_05.xlsx&amp;sheet=U0&amp;row=8306&amp;col=7&amp;number=0.0103&amp;sourceID=14","0.0103")</f>
        <v>0.0103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HYPERLINK("http://141.218.60.56/~jnz1568/getInfo.php?workbook=10_05.xlsx&amp;sheet=U0&amp;row=8307&amp;col=6&amp;number=3.3&amp;sourceID=14","3.3")</f>
        <v>3.3</v>
      </c>
      <c r="G8307" s="4" t="str">
        <f>HYPERLINK("http://141.218.60.56/~jnz1568/getInfo.php?workbook=10_05.xlsx&amp;sheet=U0&amp;row=8307&amp;col=7&amp;number=0.0107&amp;sourceID=14","0.0107")</f>
        <v>0.0107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HYPERLINK("http://141.218.60.56/~jnz1568/getInfo.php?workbook=10_05.xlsx&amp;sheet=U0&amp;row=8308&amp;col=6&amp;number=3.4&amp;sourceID=14","3.4")</f>
        <v>3.4</v>
      </c>
      <c r="G8308" s="4" t="str">
        <f>HYPERLINK("http://141.218.60.56/~jnz1568/getInfo.php?workbook=10_05.xlsx&amp;sheet=U0&amp;row=8308&amp;col=7&amp;number=0.0112&amp;sourceID=14","0.0112")</f>
        <v>0.0112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HYPERLINK("http://141.218.60.56/~jnz1568/getInfo.php?workbook=10_05.xlsx&amp;sheet=U0&amp;row=8309&amp;col=6&amp;number=3.5&amp;sourceID=14","3.5")</f>
        <v>3.5</v>
      </c>
      <c r="G8309" s="4" t="str">
        <f>HYPERLINK("http://141.218.60.56/~jnz1568/getInfo.php?workbook=10_05.xlsx&amp;sheet=U0&amp;row=8309&amp;col=7&amp;number=0.0117&amp;sourceID=14","0.0117")</f>
        <v>0.0117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HYPERLINK("http://141.218.60.56/~jnz1568/getInfo.php?workbook=10_05.xlsx&amp;sheet=U0&amp;row=8310&amp;col=6&amp;number=3.6&amp;sourceID=14","3.6")</f>
        <v>3.6</v>
      </c>
      <c r="G8310" s="4" t="str">
        <f>HYPERLINK("http://141.218.60.56/~jnz1568/getInfo.php?workbook=10_05.xlsx&amp;sheet=U0&amp;row=8310&amp;col=7&amp;number=0.0124&amp;sourceID=14","0.0124")</f>
        <v>0.0124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HYPERLINK("http://141.218.60.56/~jnz1568/getInfo.php?workbook=10_05.xlsx&amp;sheet=U0&amp;row=8311&amp;col=6&amp;number=3.7&amp;sourceID=14","3.7")</f>
        <v>3.7</v>
      </c>
      <c r="G8311" s="4" t="str">
        <f>HYPERLINK("http://141.218.60.56/~jnz1568/getInfo.php?workbook=10_05.xlsx&amp;sheet=U0&amp;row=8311&amp;col=7&amp;number=0.0131&amp;sourceID=14","0.0131")</f>
        <v>0.0131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HYPERLINK("http://141.218.60.56/~jnz1568/getInfo.php?workbook=10_05.xlsx&amp;sheet=U0&amp;row=8312&amp;col=6&amp;number=3.8&amp;sourceID=14","3.8")</f>
        <v>3.8</v>
      </c>
      <c r="G8312" s="4" t="str">
        <f>HYPERLINK("http://141.218.60.56/~jnz1568/getInfo.php?workbook=10_05.xlsx&amp;sheet=U0&amp;row=8312&amp;col=7&amp;number=0.0138&amp;sourceID=14","0.0138")</f>
        <v>0.0138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HYPERLINK("http://141.218.60.56/~jnz1568/getInfo.php?workbook=10_05.xlsx&amp;sheet=U0&amp;row=8313&amp;col=6&amp;number=3.9&amp;sourceID=14","3.9")</f>
        <v>3.9</v>
      </c>
      <c r="G8313" s="4" t="str">
        <f>HYPERLINK("http://141.218.60.56/~jnz1568/getInfo.php?workbook=10_05.xlsx&amp;sheet=U0&amp;row=8313&amp;col=7&amp;number=0.0144&amp;sourceID=14","0.0144")</f>
        <v>0.0144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HYPERLINK("http://141.218.60.56/~jnz1568/getInfo.php?workbook=10_05.xlsx&amp;sheet=U0&amp;row=8314&amp;col=6&amp;number=4&amp;sourceID=14","4")</f>
        <v>4</v>
      </c>
      <c r="G8314" s="4" t="str">
        <f>HYPERLINK("http://141.218.60.56/~jnz1568/getInfo.php?workbook=10_05.xlsx&amp;sheet=U0&amp;row=8314&amp;col=7&amp;number=0.0147&amp;sourceID=14","0.0147")</f>
        <v>0.0147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HYPERLINK("http://141.218.60.56/~jnz1568/getInfo.php?workbook=10_05.xlsx&amp;sheet=U0&amp;row=8315&amp;col=6&amp;number=4.1&amp;sourceID=14","4.1")</f>
        <v>4.1</v>
      </c>
      <c r="G8315" s="4" t="str">
        <f>HYPERLINK("http://141.218.60.56/~jnz1568/getInfo.php?workbook=10_05.xlsx&amp;sheet=U0&amp;row=8315&amp;col=7&amp;number=0.0147&amp;sourceID=14","0.0147")</f>
        <v>0.0147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HYPERLINK("http://141.218.60.56/~jnz1568/getInfo.php?workbook=10_05.xlsx&amp;sheet=U0&amp;row=8316&amp;col=6&amp;number=4.2&amp;sourceID=14","4.2")</f>
        <v>4.2</v>
      </c>
      <c r="G8316" s="4" t="str">
        <f>HYPERLINK("http://141.218.60.56/~jnz1568/getInfo.php?workbook=10_05.xlsx&amp;sheet=U0&amp;row=8316&amp;col=7&amp;number=0.0143&amp;sourceID=14","0.0143")</f>
        <v>0.0143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HYPERLINK("http://141.218.60.56/~jnz1568/getInfo.php?workbook=10_05.xlsx&amp;sheet=U0&amp;row=8317&amp;col=6&amp;number=4.3&amp;sourceID=14","4.3")</f>
        <v>4.3</v>
      </c>
      <c r="G8317" s="4" t="str">
        <f>HYPERLINK("http://141.218.60.56/~jnz1568/getInfo.php?workbook=10_05.xlsx&amp;sheet=U0&amp;row=8317&amp;col=7&amp;number=0.0138&amp;sourceID=14","0.0138")</f>
        <v>0.0138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HYPERLINK("http://141.218.60.56/~jnz1568/getInfo.php?workbook=10_05.xlsx&amp;sheet=U0&amp;row=8318&amp;col=6&amp;number=4.4&amp;sourceID=14","4.4")</f>
        <v>4.4</v>
      </c>
      <c r="G8318" s="4" t="str">
        <f>HYPERLINK("http://141.218.60.56/~jnz1568/getInfo.php?workbook=10_05.xlsx&amp;sheet=U0&amp;row=8318&amp;col=7&amp;number=0.0133&amp;sourceID=14","0.0133")</f>
        <v>0.0133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HYPERLINK("http://141.218.60.56/~jnz1568/getInfo.php?workbook=10_05.xlsx&amp;sheet=U0&amp;row=8319&amp;col=6&amp;number=4.5&amp;sourceID=14","4.5")</f>
        <v>4.5</v>
      </c>
      <c r="G8319" s="4" t="str">
        <f>HYPERLINK("http://141.218.60.56/~jnz1568/getInfo.php?workbook=10_05.xlsx&amp;sheet=U0&amp;row=8319&amp;col=7&amp;number=0.0126&amp;sourceID=14","0.0126")</f>
        <v>0.0126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HYPERLINK("http://141.218.60.56/~jnz1568/getInfo.php?workbook=10_05.xlsx&amp;sheet=U0&amp;row=8320&amp;col=6&amp;number=4.6&amp;sourceID=14","4.6")</f>
        <v>4.6</v>
      </c>
      <c r="G8320" s="4" t="str">
        <f>HYPERLINK("http://141.218.60.56/~jnz1568/getInfo.php?workbook=10_05.xlsx&amp;sheet=U0&amp;row=8320&amp;col=7&amp;number=0.0117&amp;sourceID=14","0.0117")</f>
        <v>0.0117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HYPERLINK("http://141.218.60.56/~jnz1568/getInfo.php?workbook=10_05.xlsx&amp;sheet=U0&amp;row=8321&amp;col=6&amp;number=4.7&amp;sourceID=14","4.7")</f>
        <v>4.7</v>
      </c>
      <c r="G8321" s="4" t="str">
        <f>HYPERLINK("http://141.218.60.56/~jnz1568/getInfo.php?workbook=10_05.xlsx&amp;sheet=U0&amp;row=8321&amp;col=7&amp;number=0.0107&amp;sourceID=14","0.0107")</f>
        <v>0.0107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HYPERLINK("http://141.218.60.56/~jnz1568/getInfo.php?workbook=10_05.xlsx&amp;sheet=U0&amp;row=8322&amp;col=6&amp;number=4.8&amp;sourceID=14","4.8")</f>
        <v>4.8</v>
      </c>
      <c r="G8322" s="4" t="str">
        <f>HYPERLINK("http://141.218.60.56/~jnz1568/getInfo.php?workbook=10_05.xlsx&amp;sheet=U0&amp;row=8322&amp;col=7&amp;number=0.00964&amp;sourceID=14","0.00964")</f>
        <v>0.00964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HYPERLINK("http://141.218.60.56/~jnz1568/getInfo.php?workbook=10_05.xlsx&amp;sheet=U0&amp;row=8323&amp;col=6&amp;number=4.9&amp;sourceID=14","4.9")</f>
        <v>4.9</v>
      </c>
      <c r="G8323" s="4" t="str">
        <f>HYPERLINK("http://141.218.60.56/~jnz1568/getInfo.php?workbook=10_05.xlsx&amp;sheet=U0&amp;row=8323&amp;col=7&amp;number=0.00859&amp;sourceID=14","0.00859")</f>
        <v>0.00859</v>
      </c>
    </row>
    <row r="8324" spans="1:7">
      <c r="A8324" s="3">
        <v>10</v>
      </c>
      <c r="B8324" s="3">
        <v>5</v>
      </c>
      <c r="C8324" s="3">
        <v>3</v>
      </c>
      <c r="D8324" s="3">
        <v>63</v>
      </c>
      <c r="E8324" s="3">
        <v>1</v>
      </c>
      <c r="F8324" s="4" t="str">
        <f>HYPERLINK("http://141.218.60.56/~jnz1568/getInfo.php?workbook=10_05.xlsx&amp;sheet=U0&amp;row=8324&amp;col=6&amp;number=3&amp;sourceID=14","3")</f>
        <v>3</v>
      </c>
      <c r="G8324" s="4" t="str">
        <f>HYPERLINK("http://141.218.60.56/~jnz1568/getInfo.php?workbook=10_05.xlsx&amp;sheet=U0&amp;row=8324&amp;col=7&amp;number=0.00362&amp;sourceID=14","0.00362")</f>
        <v>0.00362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HYPERLINK("http://141.218.60.56/~jnz1568/getInfo.php?workbook=10_05.xlsx&amp;sheet=U0&amp;row=8325&amp;col=6&amp;number=3.1&amp;sourceID=14","3.1")</f>
        <v>3.1</v>
      </c>
      <c r="G8325" s="4" t="str">
        <f>HYPERLINK("http://141.218.60.56/~jnz1568/getInfo.php?workbook=10_05.xlsx&amp;sheet=U0&amp;row=8325&amp;col=7&amp;number=0.00365&amp;sourceID=14","0.00365")</f>
        <v>0.00365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HYPERLINK("http://141.218.60.56/~jnz1568/getInfo.php?workbook=10_05.xlsx&amp;sheet=U0&amp;row=8326&amp;col=6&amp;number=3.2&amp;sourceID=14","3.2")</f>
        <v>3.2</v>
      </c>
      <c r="G8326" s="4" t="str">
        <f>HYPERLINK("http://141.218.60.56/~jnz1568/getInfo.php?workbook=10_05.xlsx&amp;sheet=U0&amp;row=8326&amp;col=7&amp;number=0.00367&amp;sourceID=14","0.00367")</f>
        <v>0.00367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HYPERLINK("http://141.218.60.56/~jnz1568/getInfo.php?workbook=10_05.xlsx&amp;sheet=U0&amp;row=8327&amp;col=6&amp;number=3.3&amp;sourceID=14","3.3")</f>
        <v>3.3</v>
      </c>
      <c r="G8327" s="4" t="str">
        <f>HYPERLINK("http://141.218.60.56/~jnz1568/getInfo.php?workbook=10_05.xlsx&amp;sheet=U0&amp;row=8327&amp;col=7&amp;number=0.00371&amp;sourceID=14","0.00371")</f>
        <v>0.00371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HYPERLINK("http://141.218.60.56/~jnz1568/getInfo.php?workbook=10_05.xlsx&amp;sheet=U0&amp;row=8328&amp;col=6&amp;number=3.4&amp;sourceID=14","3.4")</f>
        <v>3.4</v>
      </c>
      <c r="G8328" s="4" t="str">
        <f>HYPERLINK("http://141.218.60.56/~jnz1568/getInfo.php?workbook=10_05.xlsx&amp;sheet=U0&amp;row=8328&amp;col=7&amp;number=0.00375&amp;sourceID=14","0.00375")</f>
        <v>0.00375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HYPERLINK("http://141.218.60.56/~jnz1568/getInfo.php?workbook=10_05.xlsx&amp;sheet=U0&amp;row=8329&amp;col=6&amp;number=3.5&amp;sourceID=14","3.5")</f>
        <v>3.5</v>
      </c>
      <c r="G8329" s="4" t="str">
        <f>HYPERLINK("http://141.218.60.56/~jnz1568/getInfo.php?workbook=10_05.xlsx&amp;sheet=U0&amp;row=8329&amp;col=7&amp;number=0.0038&amp;sourceID=14","0.0038")</f>
        <v>0.0038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HYPERLINK("http://141.218.60.56/~jnz1568/getInfo.php?workbook=10_05.xlsx&amp;sheet=U0&amp;row=8330&amp;col=6&amp;number=3.6&amp;sourceID=14","3.6")</f>
        <v>3.6</v>
      </c>
      <c r="G8330" s="4" t="str">
        <f>HYPERLINK("http://141.218.60.56/~jnz1568/getInfo.php?workbook=10_05.xlsx&amp;sheet=U0&amp;row=8330&amp;col=7&amp;number=0.00387&amp;sourceID=14","0.00387")</f>
        <v>0.00387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HYPERLINK("http://141.218.60.56/~jnz1568/getInfo.php?workbook=10_05.xlsx&amp;sheet=U0&amp;row=8331&amp;col=6&amp;number=3.7&amp;sourceID=14","3.7")</f>
        <v>3.7</v>
      </c>
      <c r="G8331" s="4" t="str">
        <f>HYPERLINK("http://141.218.60.56/~jnz1568/getInfo.php?workbook=10_05.xlsx&amp;sheet=U0&amp;row=8331&amp;col=7&amp;number=0.00394&amp;sourceID=14","0.00394")</f>
        <v>0.00394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HYPERLINK("http://141.218.60.56/~jnz1568/getInfo.php?workbook=10_05.xlsx&amp;sheet=U0&amp;row=8332&amp;col=6&amp;number=3.8&amp;sourceID=14","3.8")</f>
        <v>3.8</v>
      </c>
      <c r="G8332" s="4" t="str">
        <f>HYPERLINK("http://141.218.60.56/~jnz1568/getInfo.php?workbook=10_05.xlsx&amp;sheet=U0&amp;row=8332&amp;col=7&amp;number=0.00403&amp;sourceID=14","0.00403")</f>
        <v>0.00403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HYPERLINK("http://141.218.60.56/~jnz1568/getInfo.php?workbook=10_05.xlsx&amp;sheet=U0&amp;row=8333&amp;col=6&amp;number=3.9&amp;sourceID=14","3.9")</f>
        <v>3.9</v>
      </c>
      <c r="G8333" s="4" t="str">
        <f>HYPERLINK("http://141.218.60.56/~jnz1568/getInfo.php?workbook=10_05.xlsx&amp;sheet=U0&amp;row=8333&amp;col=7&amp;number=0.00413&amp;sourceID=14","0.00413")</f>
        <v>0.00413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HYPERLINK("http://141.218.60.56/~jnz1568/getInfo.php?workbook=10_05.xlsx&amp;sheet=U0&amp;row=8334&amp;col=6&amp;number=4&amp;sourceID=14","4")</f>
        <v>4</v>
      </c>
      <c r="G8334" s="4" t="str">
        <f>HYPERLINK("http://141.218.60.56/~jnz1568/getInfo.php?workbook=10_05.xlsx&amp;sheet=U0&amp;row=8334&amp;col=7&amp;number=0.00424&amp;sourceID=14","0.00424")</f>
        <v>0.00424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HYPERLINK("http://141.218.60.56/~jnz1568/getInfo.php?workbook=10_05.xlsx&amp;sheet=U0&amp;row=8335&amp;col=6&amp;number=4.1&amp;sourceID=14","4.1")</f>
        <v>4.1</v>
      </c>
      <c r="G8335" s="4" t="str">
        <f>HYPERLINK("http://141.218.60.56/~jnz1568/getInfo.php?workbook=10_05.xlsx&amp;sheet=U0&amp;row=8335&amp;col=7&amp;number=0.00433&amp;sourceID=14","0.00433")</f>
        <v>0.00433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HYPERLINK("http://141.218.60.56/~jnz1568/getInfo.php?workbook=10_05.xlsx&amp;sheet=U0&amp;row=8336&amp;col=6&amp;number=4.2&amp;sourceID=14","4.2")</f>
        <v>4.2</v>
      </c>
      <c r="G8336" s="4" t="str">
        <f>HYPERLINK("http://141.218.60.56/~jnz1568/getInfo.php?workbook=10_05.xlsx&amp;sheet=U0&amp;row=8336&amp;col=7&amp;number=0.0044&amp;sourceID=14","0.0044")</f>
        <v>0.0044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HYPERLINK("http://141.218.60.56/~jnz1568/getInfo.php?workbook=10_05.xlsx&amp;sheet=U0&amp;row=8337&amp;col=6&amp;number=4.3&amp;sourceID=14","4.3")</f>
        <v>4.3</v>
      </c>
      <c r="G8337" s="4" t="str">
        <f>HYPERLINK("http://141.218.60.56/~jnz1568/getInfo.php?workbook=10_05.xlsx&amp;sheet=U0&amp;row=8337&amp;col=7&amp;number=0.00443&amp;sourceID=14","0.00443")</f>
        <v>0.00443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HYPERLINK("http://141.218.60.56/~jnz1568/getInfo.php?workbook=10_05.xlsx&amp;sheet=U0&amp;row=8338&amp;col=6&amp;number=4.4&amp;sourceID=14","4.4")</f>
        <v>4.4</v>
      </c>
      <c r="G8338" s="4" t="str">
        <f>HYPERLINK("http://141.218.60.56/~jnz1568/getInfo.php?workbook=10_05.xlsx&amp;sheet=U0&amp;row=8338&amp;col=7&amp;number=0.00438&amp;sourceID=14","0.00438")</f>
        <v>0.00438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HYPERLINK("http://141.218.60.56/~jnz1568/getInfo.php?workbook=10_05.xlsx&amp;sheet=U0&amp;row=8339&amp;col=6&amp;number=4.5&amp;sourceID=14","4.5")</f>
        <v>4.5</v>
      </c>
      <c r="G8339" s="4" t="str">
        <f>HYPERLINK("http://141.218.60.56/~jnz1568/getInfo.php?workbook=10_05.xlsx&amp;sheet=U0&amp;row=8339&amp;col=7&amp;number=0.00426&amp;sourceID=14","0.00426")</f>
        <v>0.00426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HYPERLINK("http://141.218.60.56/~jnz1568/getInfo.php?workbook=10_05.xlsx&amp;sheet=U0&amp;row=8340&amp;col=6&amp;number=4.6&amp;sourceID=14","4.6")</f>
        <v>4.6</v>
      </c>
      <c r="G8340" s="4" t="str">
        <f>HYPERLINK("http://141.218.60.56/~jnz1568/getInfo.php?workbook=10_05.xlsx&amp;sheet=U0&amp;row=8340&amp;col=7&amp;number=0.00405&amp;sourceID=14","0.00405")</f>
        <v>0.00405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HYPERLINK("http://141.218.60.56/~jnz1568/getInfo.php?workbook=10_05.xlsx&amp;sheet=U0&amp;row=8341&amp;col=6&amp;number=4.7&amp;sourceID=14","4.7")</f>
        <v>4.7</v>
      </c>
      <c r="G8341" s="4" t="str">
        <f>HYPERLINK("http://141.218.60.56/~jnz1568/getInfo.php?workbook=10_05.xlsx&amp;sheet=U0&amp;row=8341&amp;col=7&amp;number=0.00379&amp;sourceID=14","0.00379")</f>
        <v>0.00379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HYPERLINK("http://141.218.60.56/~jnz1568/getInfo.php?workbook=10_05.xlsx&amp;sheet=U0&amp;row=8342&amp;col=6&amp;number=4.8&amp;sourceID=14","4.8")</f>
        <v>4.8</v>
      </c>
      <c r="G8342" s="4" t="str">
        <f>HYPERLINK("http://141.218.60.56/~jnz1568/getInfo.php?workbook=10_05.xlsx&amp;sheet=U0&amp;row=8342&amp;col=7&amp;number=0.00351&amp;sourceID=14","0.00351")</f>
        <v>0.00351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HYPERLINK("http://141.218.60.56/~jnz1568/getInfo.php?workbook=10_05.xlsx&amp;sheet=U0&amp;row=8343&amp;col=6&amp;number=4.9&amp;sourceID=14","4.9")</f>
        <v>4.9</v>
      </c>
      <c r="G8343" s="4" t="str">
        <f>HYPERLINK("http://141.218.60.56/~jnz1568/getInfo.php?workbook=10_05.xlsx&amp;sheet=U0&amp;row=8343&amp;col=7&amp;number=0.00322&amp;sourceID=14","0.00322")</f>
        <v>0.00322</v>
      </c>
    </row>
    <row r="8344" spans="1:7">
      <c r="A8344" s="3">
        <v>10</v>
      </c>
      <c r="B8344" s="3">
        <v>5</v>
      </c>
      <c r="C8344" s="3">
        <v>3</v>
      </c>
      <c r="D8344" s="3">
        <v>64</v>
      </c>
      <c r="E8344" s="3">
        <v>1</v>
      </c>
      <c r="F8344" s="4" t="str">
        <f>HYPERLINK("http://141.218.60.56/~jnz1568/getInfo.php?workbook=10_05.xlsx&amp;sheet=U0&amp;row=8344&amp;col=6&amp;number=3&amp;sourceID=14","3")</f>
        <v>3</v>
      </c>
      <c r="G8344" s="4" t="str">
        <f>HYPERLINK("http://141.218.60.56/~jnz1568/getInfo.php?workbook=10_05.xlsx&amp;sheet=U0&amp;row=8344&amp;col=7&amp;number=0.00253&amp;sourceID=14","0.00253")</f>
        <v>0.00253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HYPERLINK("http://141.218.60.56/~jnz1568/getInfo.php?workbook=10_05.xlsx&amp;sheet=U0&amp;row=8345&amp;col=6&amp;number=3.1&amp;sourceID=14","3.1")</f>
        <v>3.1</v>
      </c>
      <c r="G8345" s="4" t="str">
        <f>HYPERLINK("http://141.218.60.56/~jnz1568/getInfo.php?workbook=10_05.xlsx&amp;sheet=U0&amp;row=8345&amp;col=7&amp;number=0.00257&amp;sourceID=14","0.00257")</f>
        <v>0.00257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HYPERLINK("http://141.218.60.56/~jnz1568/getInfo.php?workbook=10_05.xlsx&amp;sheet=U0&amp;row=8346&amp;col=6&amp;number=3.2&amp;sourceID=14","3.2")</f>
        <v>3.2</v>
      </c>
      <c r="G8346" s="4" t="str">
        <f>HYPERLINK("http://141.218.60.56/~jnz1568/getInfo.php?workbook=10_05.xlsx&amp;sheet=U0&amp;row=8346&amp;col=7&amp;number=0.00262&amp;sourceID=14","0.00262")</f>
        <v>0.00262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HYPERLINK("http://141.218.60.56/~jnz1568/getInfo.php?workbook=10_05.xlsx&amp;sheet=U0&amp;row=8347&amp;col=6&amp;number=3.3&amp;sourceID=14","3.3")</f>
        <v>3.3</v>
      </c>
      <c r="G8347" s="4" t="str">
        <f>HYPERLINK("http://141.218.60.56/~jnz1568/getInfo.php?workbook=10_05.xlsx&amp;sheet=U0&amp;row=8347&amp;col=7&amp;number=0.00268&amp;sourceID=14","0.00268")</f>
        <v>0.00268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HYPERLINK("http://141.218.60.56/~jnz1568/getInfo.php?workbook=10_05.xlsx&amp;sheet=U0&amp;row=8348&amp;col=6&amp;number=3.4&amp;sourceID=14","3.4")</f>
        <v>3.4</v>
      </c>
      <c r="G8348" s="4" t="str">
        <f>HYPERLINK("http://141.218.60.56/~jnz1568/getInfo.php?workbook=10_05.xlsx&amp;sheet=U0&amp;row=8348&amp;col=7&amp;number=0.00275&amp;sourceID=14","0.00275")</f>
        <v>0.00275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HYPERLINK("http://141.218.60.56/~jnz1568/getInfo.php?workbook=10_05.xlsx&amp;sheet=U0&amp;row=8349&amp;col=6&amp;number=3.5&amp;sourceID=14","3.5")</f>
        <v>3.5</v>
      </c>
      <c r="G8349" s="4" t="str">
        <f>HYPERLINK("http://141.218.60.56/~jnz1568/getInfo.php?workbook=10_05.xlsx&amp;sheet=U0&amp;row=8349&amp;col=7&amp;number=0.00284&amp;sourceID=14","0.00284")</f>
        <v>0.00284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HYPERLINK("http://141.218.60.56/~jnz1568/getInfo.php?workbook=10_05.xlsx&amp;sheet=U0&amp;row=8350&amp;col=6&amp;number=3.6&amp;sourceID=14","3.6")</f>
        <v>3.6</v>
      </c>
      <c r="G8350" s="4" t="str">
        <f>HYPERLINK("http://141.218.60.56/~jnz1568/getInfo.php?workbook=10_05.xlsx&amp;sheet=U0&amp;row=8350&amp;col=7&amp;number=0.00294&amp;sourceID=14","0.00294")</f>
        <v>0.00294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HYPERLINK("http://141.218.60.56/~jnz1568/getInfo.php?workbook=10_05.xlsx&amp;sheet=U0&amp;row=8351&amp;col=6&amp;number=3.7&amp;sourceID=14","3.7")</f>
        <v>3.7</v>
      </c>
      <c r="G8351" s="4" t="str">
        <f>HYPERLINK("http://141.218.60.56/~jnz1568/getInfo.php?workbook=10_05.xlsx&amp;sheet=U0&amp;row=8351&amp;col=7&amp;number=0.00306&amp;sourceID=14","0.00306")</f>
        <v>0.00306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HYPERLINK("http://141.218.60.56/~jnz1568/getInfo.php?workbook=10_05.xlsx&amp;sheet=U0&amp;row=8352&amp;col=6&amp;number=3.8&amp;sourceID=14","3.8")</f>
        <v>3.8</v>
      </c>
      <c r="G8352" s="4" t="str">
        <f>HYPERLINK("http://141.218.60.56/~jnz1568/getInfo.php?workbook=10_05.xlsx&amp;sheet=U0&amp;row=8352&amp;col=7&amp;number=0.00319&amp;sourceID=14","0.00319")</f>
        <v>0.00319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HYPERLINK("http://141.218.60.56/~jnz1568/getInfo.php?workbook=10_05.xlsx&amp;sheet=U0&amp;row=8353&amp;col=6&amp;number=3.9&amp;sourceID=14","3.9")</f>
        <v>3.9</v>
      </c>
      <c r="G8353" s="4" t="str">
        <f>HYPERLINK("http://141.218.60.56/~jnz1568/getInfo.php?workbook=10_05.xlsx&amp;sheet=U0&amp;row=8353&amp;col=7&amp;number=0.00332&amp;sourceID=14","0.00332")</f>
        <v>0.00332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HYPERLINK("http://141.218.60.56/~jnz1568/getInfo.php?workbook=10_05.xlsx&amp;sheet=U0&amp;row=8354&amp;col=6&amp;number=4&amp;sourceID=14","4")</f>
        <v>4</v>
      </c>
      <c r="G8354" s="4" t="str">
        <f>HYPERLINK("http://141.218.60.56/~jnz1568/getInfo.php?workbook=10_05.xlsx&amp;sheet=U0&amp;row=8354&amp;col=7&amp;number=0.00343&amp;sourceID=14","0.00343")</f>
        <v>0.00343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HYPERLINK("http://141.218.60.56/~jnz1568/getInfo.php?workbook=10_05.xlsx&amp;sheet=U0&amp;row=8355&amp;col=6&amp;number=4.1&amp;sourceID=14","4.1")</f>
        <v>4.1</v>
      </c>
      <c r="G8355" s="4" t="str">
        <f>HYPERLINK("http://141.218.60.56/~jnz1568/getInfo.php?workbook=10_05.xlsx&amp;sheet=U0&amp;row=8355&amp;col=7&amp;number=0.0035&amp;sourceID=14","0.0035")</f>
        <v>0.0035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HYPERLINK("http://141.218.60.56/~jnz1568/getInfo.php?workbook=10_05.xlsx&amp;sheet=U0&amp;row=8356&amp;col=6&amp;number=4.2&amp;sourceID=14","4.2")</f>
        <v>4.2</v>
      </c>
      <c r="G8356" s="4" t="str">
        <f>HYPERLINK("http://141.218.60.56/~jnz1568/getInfo.php?workbook=10_05.xlsx&amp;sheet=U0&amp;row=8356&amp;col=7&amp;number=0.00351&amp;sourceID=14","0.00351")</f>
        <v>0.00351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HYPERLINK("http://141.218.60.56/~jnz1568/getInfo.php?workbook=10_05.xlsx&amp;sheet=U0&amp;row=8357&amp;col=6&amp;number=4.3&amp;sourceID=14","4.3")</f>
        <v>4.3</v>
      </c>
      <c r="G8357" s="4" t="str">
        <f>HYPERLINK("http://141.218.60.56/~jnz1568/getInfo.php?workbook=10_05.xlsx&amp;sheet=U0&amp;row=8357&amp;col=7&amp;number=0.00345&amp;sourceID=14","0.00345")</f>
        <v>0.00345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HYPERLINK("http://141.218.60.56/~jnz1568/getInfo.php?workbook=10_05.xlsx&amp;sheet=U0&amp;row=8358&amp;col=6&amp;number=4.4&amp;sourceID=14","4.4")</f>
        <v>4.4</v>
      </c>
      <c r="G8358" s="4" t="str">
        <f>HYPERLINK("http://141.218.60.56/~jnz1568/getInfo.php?workbook=10_05.xlsx&amp;sheet=U0&amp;row=8358&amp;col=7&amp;number=0.00335&amp;sourceID=14","0.00335")</f>
        <v>0.00335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HYPERLINK("http://141.218.60.56/~jnz1568/getInfo.php?workbook=10_05.xlsx&amp;sheet=U0&amp;row=8359&amp;col=6&amp;number=4.5&amp;sourceID=14","4.5")</f>
        <v>4.5</v>
      </c>
      <c r="G8359" s="4" t="str">
        <f>HYPERLINK("http://141.218.60.56/~jnz1568/getInfo.php?workbook=10_05.xlsx&amp;sheet=U0&amp;row=8359&amp;col=7&amp;number=0.00322&amp;sourceID=14","0.00322")</f>
        <v>0.00322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HYPERLINK("http://141.218.60.56/~jnz1568/getInfo.php?workbook=10_05.xlsx&amp;sheet=U0&amp;row=8360&amp;col=6&amp;number=4.6&amp;sourceID=14","4.6")</f>
        <v>4.6</v>
      </c>
      <c r="G8360" s="4" t="str">
        <f>HYPERLINK("http://141.218.60.56/~jnz1568/getInfo.php?workbook=10_05.xlsx&amp;sheet=U0&amp;row=8360&amp;col=7&amp;number=0.00305&amp;sourceID=14","0.00305")</f>
        <v>0.00305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HYPERLINK("http://141.218.60.56/~jnz1568/getInfo.php?workbook=10_05.xlsx&amp;sheet=U0&amp;row=8361&amp;col=6&amp;number=4.7&amp;sourceID=14","4.7")</f>
        <v>4.7</v>
      </c>
      <c r="G8361" s="4" t="str">
        <f>HYPERLINK("http://141.218.60.56/~jnz1568/getInfo.php?workbook=10_05.xlsx&amp;sheet=U0&amp;row=8361&amp;col=7&amp;number=0.00282&amp;sourceID=14","0.00282")</f>
        <v>0.00282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HYPERLINK("http://141.218.60.56/~jnz1568/getInfo.php?workbook=10_05.xlsx&amp;sheet=U0&amp;row=8362&amp;col=6&amp;number=4.8&amp;sourceID=14","4.8")</f>
        <v>4.8</v>
      </c>
      <c r="G8362" s="4" t="str">
        <f>HYPERLINK("http://141.218.60.56/~jnz1568/getInfo.php?workbook=10_05.xlsx&amp;sheet=U0&amp;row=8362&amp;col=7&amp;number=0.00257&amp;sourceID=14","0.00257")</f>
        <v>0.00257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HYPERLINK("http://141.218.60.56/~jnz1568/getInfo.php?workbook=10_05.xlsx&amp;sheet=U0&amp;row=8363&amp;col=6&amp;number=4.9&amp;sourceID=14","4.9")</f>
        <v>4.9</v>
      </c>
      <c r="G8363" s="4" t="str">
        <f>HYPERLINK("http://141.218.60.56/~jnz1568/getInfo.php?workbook=10_05.xlsx&amp;sheet=U0&amp;row=8363&amp;col=7&amp;number=0.00231&amp;sourceID=14","0.00231")</f>
        <v>0.00231</v>
      </c>
    </row>
    <row r="8364" spans="1:7">
      <c r="A8364" s="3">
        <v>10</v>
      </c>
      <c r="B8364" s="3">
        <v>5</v>
      </c>
      <c r="C8364" s="3">
        <v>3</v>
      </c>
      <c r="D8364" s="3">
        <v>65</v>
      </c>
      <c r="E8364" s="3">
        <v>1</v>
      </c>
      <c r="F8364" s="4" t="str">
        <f>HYPERLINK("http://141.218.60.56/~jnz1568/getInfo.php?workbook=10_05.xlsx&amp;sheet=U0&amp;row=8364&amp;col=6&amp;number=3&amp;sourceID=14","3")</f>
        <v>3</v>
      </c>
      <c r="G8364" s="4" t="str">
        <f>HYPERLINK("http://141.218.60.56/~jnz1568/getInfo.php?workbook=10_05.xlsx&amp;sheet=U0&amp;row=8364&amp;col=7&amp;number=0.00355&amp;sourceID=14","0.00355")</f>
        <v>0.00355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HYPERLINK("http://141.218.60.56/~jnz1568/getInfo.php?workbook=10_05.xlsx&amp;sheet=U0&amp;row=8365&amp;col=6&amp;number=3.1&amp;sourceID=14","3.1")</f>
        <v>3.1</v>
      </c>
      <c r="G8365" s="4" t="str">
        <f>HYPERLINK("http://141.218.60.56/~jnz1568/getInfo.php?workbook=10_05.xlsx&amp;sheet=U0&amp;row=8365&amp;col=7&amp;number=0.0036&amp;sourceID=14","0.0036")</f>
        <v>0.0036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HYPERLINK("http://141.218.60.56/~jnz1568/getInfo.php?workbook=10_05.xlsx&amp;sheet=U0&amp;row=8366&amp;col=6&amp;number=3.2&amp;sourceID=14","3.2")</f>
        <v>3.2</v>
      </c>
      <c r="G8366" s="4" t="str">
        <f>HYPERLINK("http://141.218.60.56/~jnz1568/getInfo.php?workbook=10_05.xlsx&amp;sheet=U0&amp;row=8366&amp;col=7&amp;number=0.00366&amp;sourceID=14","0.00366")</f>
        <v>0.00366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HYPERLINK("http://141.218.60.56/~jnz1568/getInfo.php?workbook=10_05.xlsx&amp;sheet=U0&amp;row=8367&amp;col=6&amp;number=3.3&amp;sourceID=14","3.3")</f>
        <v>3.3</v>
      </c>
      <c r="G8367" s="4" t="str">
        <f>HYPERLINK("http://141.218.60.56/~jnz1568/getInfo.php?workbook=10_05.xlsx&amp;sheet=U0&amp;row=8367&amp;col=7&amp;number=0.00374&amp;sourceID=14","0.00374")</f>
        <v>0.00374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HYPERLINK("http://141.218.60.56/~jnz1568/getInfo.php?workbook=10_05.xlsx&amp;sheet=U0&amp;row=8368&amp;col=6&amp;number=3.4&amp;sourceID=14","3.4")</f>
        <v>3.4</v>
      </c>
      <c r="G8368" s="4" t="str">
        <f>HYPERLINK("http://141.218.60.56/~jnz1568/getInfo.php?workbook=10_05.xlsx&amp;sheet=U0&amp;row=8368&amp;col=7&amp;number=0.00384&amp;sourceID=14","0.00384")</f>
        <v>0.00384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HYPERLINK("http://141.218.60.56/~jnz1568/getInfo.php?workbook=10_05.xlsx&amp;sheet=U0&amp;row=8369&amp;col=6&amp;number=3.5&amp;sourceID=14","3.5")</f>
        <v>3.5</v>
      </c>
      <c r="G8369" s="4" t="str">
        <f>HYPERLINK("http://141.218.60.56/~jnz1568/getInfo.php?workbook=10_05.xlsx&amp;sheet=U0&amp;row=8369&amp;col=7&amp;number=0.00396&amp;sourceID=14","0.00396")</f>
        <v>0.00396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HYPERLINK("http://141.218.60.56/~jnz1568/getInfo.php?workbook=10_05.xlsx&amp;sheet=U0&amp;row=8370&amp;col=6&amp;number=3.6&amp;sourceID=14","3.6")</f>
        <v>3.6</v>
      </c>
      <c r="G8370" s="4" t="str">
        <f>HYPERLINK("http://141.218.60.56/~jnz1568/getInfo.php?workbook=10_05.xlsx&amp;sheet=U0&amp;row=8370&amp;col=7&amp;number=0.0041&amp;sourceID=14","0.0041")</f>
        <v>0.0041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HYPERLINK("http://141.218.60.56/~jnz1568/getInfo.php?workbook=10_05.xlsx&amp;sheet=U0&amp;row=8371&amp;col=6&amp;number=3.7&amp;sourceID=14","3.7")</f>
        <v>3.7</v>
      </c>
      <c r="G8371" s="4" t="str">
        <f>HYPERLINK("http://141.218.60.56/~jnz1568/getInfo.php?workbook=10_05.xlsx&amp;sheet=U0&amp;row=8371&amp;col=7&amp;number=0.00426&amp;sourceID=14","0.00426")</f>
        <v>0.00426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HYPERLINK("http://141.218.60.56/~jnz1568/getInfo.php?workbook=10_05.xlsx&amp;sheet=U0&amp;row=8372&amp;col=6&amp;number=3.8&amp;sourceID=14","3.8")</f>
        <v>3.8</v>
      </c>
      <c r="G8372" s="4" t="str">
        <f>HYPERLINK("http://141.218.60.56/~jnz1568/getInfo.php?workbook=10_05.xlsx&amp;sheet=U0&amp;row=8372&amp;col=7&amp;number=0.00443&amp;sourceID=14","0.00443")</f>
        <v>0.00443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HYPERLINK("http://141.218.60.56/~jnz1568/getInfo.php?workbook=10_05.xlsx&amp;sheet=U0&amp;row=8373&amp;col=6&amp;number=3.9&amp;sourceID=14","3.9")</f>
        <v>3.9</v>
      </c>
      <c r="G8373" s="4" t="str">
        <f>HYPERLINK("http://141.218.60.56/~jnz1568/getInfo.php?workbook=10_05.xlsx&amp;sheet=U0&amp;row=8373&amp;col=7&amp;number=0.00461&amp;sourceID=14","0.00461")</f>
        <v>0.00461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HYPERLINK("http://141.218.60.56/~jnz1568/getInfo.php?workbook=10_05.xlsx&amp;sheet=U0&amp;row=8374&amp;col=6&amp;number=4&amp;sourceID=14","4")</f>
        <v>4</v>
      </c>
      <c r="G8374" s="4" t="str">
        <f>HYPERLINK("http://141.218.60.56/~jnz1568/getInfo.php?workbook=10_05.xlsx&amp;sheet=U0&amp;row=8374&amp;col=7&amp;number=0.00476&amp;sourceID=14","0.00476")</f>
        <v>0.00476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HYPERLINK("http://141.218.60.56/~jnz1568/getInfo.php?workbook=10_05.xlsx&amp;sheet=U0&amp;row=8375&amp;col=6&amp;number=4.1&amp;sourceID=14","4.1")</f>
        <v>4.1</v>
      </c>
      <c r="G8375" s="4" t="str">
        <f>HYPERLINK("http://141.218.60.56/~jnz1568/getInfo.php?workbook=10_05.xlsx&amp;sheet=U0&amp;row=8375&amp;col=7&amp;number=0.00485&amp;sourceID=14","0.00485")</f>
        <v>0.00485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HYPERLINK("http://141.218.60.56/~jnz1568/getInfo.php?workbook=10_05.xlsx&amp;sheet=U0&amp;row=8376&amp;col=6&amp;number=4.2&amp;sourceID=14","4.2")</f>
        <v>4.2</v>
      </c>
      <c r="G8376" s="4" t="str">
        <f>HYPERLINK("http://141.218.60.56/~jnz1568/getInfo.php?workbook=10_05.xlsx&amp;sheet=U0&amp;row=8376&amp;col=7&amp;number=0.00487&amp;sourceID=14","0.00487")</f>
        <v>0.00487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HYPERLINK("http://141.218.60.56/~jnz1568/getInfo.php?workbook=10_05.xlsx&amp;sheet=U0&amp;row=8377&amp;col=6&amp;number=4.3&amp;sourceID=14","4.3")</f>
        <v>4.3</v>
      </c>
      <c r="G8377" s="4" t="str">
        <f>HYPERLINK("http://141.218.60.56/~jnz1568/getInfo.php?workbook=10_05.xlsx&amp;sheet=U0&amp;row=8377&amp;col=7&amp;number=0.00479&amp;sourceID=14","0.00479")</f>
        <v>0.00479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HYPERLINK("http://141.218.60.56/~jnz1568/getInfo.php?workbook=10_05.xlsx&amp;sheet=U0&amp;row=8378&amp;col=6&amp;number=4.4&amp;sourceID=14","4.4")</f>
        <v>4.4</v>
      </c>
      <c r="G8378" s="4" t="str">
        <f>HYPERLINK("http://141.218.60.56/~jnz1568/getInfo.php?workbook=10_05.xlsx&amp;sheet=U0&amp;row=8378&amp;col=7&amp;number=0.00465&amp;sourceID=14","0.00465")</f>
        <v>0.00465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HYPERLINK("http://141.218.60.56/~jnz1568/getInfo.php?workbook=10_05.xlsx&amp;sheet=U0&amp;row=8379&amp;col=6&amp;number=4.5&amp;sourceID=14","4.5")</f>
        <v>4.5</v>
      </c>
      <c r="G8379" s="4" t="str">
        <f>HYPERLINK("http://141.218.60.56/~jnz1568/getInfo.php?workbook=10_05.xlsx&amp;sheet=U0&amp;row=8379&amp;col=7&amp;number=0.00446&amp;sourceID=14","0.00446")</f>
        <v>0.00446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HYPERLINK("http://141.218.60.56/~jnz1568/getInfo.php?workbook=10_05.xlsx&amp;sheet=U0&amp;row=8380&amp;col=6&amp;number=4.6&amp;sourceID=14","4.6")</f>
        <v>4.6</v>
      </c>
      <c r="G8380" s="4" t="str">
        <f>HYPERLINK("http://141.218.60.56/~jnz1568/getInfo.php?workbook=10_05.xlsx&amp;sheet=U0&amp;row=8380&amp;col=7&amp;number=0.00422&amp;sourceID=14","0.00422")</f>
        <v>0.00422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HYPERLINK("http://141.218.60.56/~jnz1568/getInfo.php?workbook=10_05.xlsx&amp;sheet=U0&amp;row=8381&amp;col=6&amp;number=4.7&amp;sourceID=14","4.7")</f>
        <v>4.7</v>
      </c>
      <c r="G8381" s="4" t="str">
        <f>HYPERLINK("http://141.218.60.56/~jnz1568/getInfo.php?workbook=10_05.xlsx&amp;sheet=U0&amp;row=8381&amp;col=7&amp;number=0.00392&amp;sourceID=14","0.00392")</f>
        <v>0.00392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HYPERLINK("http://141.218.60.56/~jnz1568/getInfo.php?workbook=10_05.xlsx&amp;sheet=U0&amp;row=8382&amp;col=6&amp;number=4.8&amp;sourceID=14","4.8")</f>
        <v>4.8</v>
      </c>
      <c r="G8382" s="4" t="str">
        <f>HYPERLINK("http://141.218.60.56/~jnz1568/getInfo.php?workbook=10_05.xlsx&amp;sheet=U0&amp;row=8382&amp;col=7&amp;number=0.00359&amp;sourceID=14","0.00359")</f>
        <v>0.00359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HYPERLINK("http://141.218.60.56/~jnz1568/getInfo.php?workbook=10_05.xlsx&amp;sheet=U0&amp;row=8383&amp;col=6&amp;number=4.9&amp;sourceID=14","4.9")</f>
        <v>4.9</v>
      </c>
      <c r="G8383" s="4" t="str">
        <f>HYPERLINK("http://141.218.60.56/~jnz1568/getInfo.php?workbook=10_05.xlsx&amp;sheet=U0&amp;row=8383&amp;col=7&amp;number=0.00323&amp;sourceID=14","0.00323")</f>
        <v>0.00323</v>
      </c>
    </row>
    <row r="8384" spans="1:7">
      <c r="A8384" s="3">
        <v>10</v>
      </c>
      <c r="B8384" s="3">
        <v>5</v>
      </c>
      <c r="C8384" s="3">
        <v>3</v>
      </c>
      <c r="D8384" s="3">
        <v>66</v>
      </c>
      <c r="E8384" s="3">
        <v>1</v>
      </c>
      <c r="F8384" s="4" t="str">
        <f>HYPERLINK("http://141.218.60.56/~jnz1568/getInfo.php?workbook=10_05.xlsx&amp;sheet=U0&amp;row=8384&amp;col=6&amp;number=3&amp;sourceID=14","3")</f>
        <v>3</v>
      </c>
      <c r="G8384" s="4" t="str">
        <f>HYPERLINK("http://141.218.60.56/~jnz1568/getInfo.php?workbook=10_05.xlsx&amp;sheet=U0&amp;row=8384&amp;col=7&amp;number=0.00658&amp;sourceID=14","0.00658")</f>
        <v>0.00658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HYPERLINK("http://141.218.60.56/~jnz1568/getInfo.php?workbook=10_05.xlsx&amp;sheet=U0&amp;row=8385&amp;col=6&amp;number=3.1&amp;sourceID=14","3.1")</f>
        <v>3.1</v>
      </c>
      <c r="G8385" s="4" t="str">
        <f>HYPERLINK("http://141.218.60.56/~jnz1568/getInfo.php?workbook=10_05.xlsx&amp;sheet=U0&amp;row=8385&amp;col=7&amp;number=0.00642&amp;sourceID=14","0.00642")</f>
        <v>0.00642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HYPERLINK("http://141.218.60.56/~jnz1568/getInfo.php?workbook=10_05.xlsx&amp;sheet=U0&amp;row=8386&amp;col=6&amp;number=3.2&amp;sourceID=14","3.2")</f>
        <v>3.2</v>
      </c>
      <c r="G8386" s="4" t="str">
        <f>HYPERLINK("http://141.218.60.56/~jnz1568/getInfo.php?workbook=10_05.xlsx&amp;sheet=U0&amp;row=8386&amp;col=7&amp;number=0.00624&amp;sourceID=14","0.00624")</f>
        <v>0.00624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HYPERLINK("http://141.218.60.56/~jnz1568/getInfo.php?workbook=10_05.xlsx&amp;sheet=U0&amp;row=8387&amp;col=6&amp;number=3.3&amp;sourceID=14","3.3")</f>
        <v>3.3</v>
      </c>
      <c r="G8387" s="4" t="str">
        <f>HYPERLINK("http://141.218.60.56/~jnz1568/getInfo.php?workbook=10_05.xlsx&amp;sheet=U0&amp;row=8387&amp;col=7&amp;number=0.00601&amp;sourceID=14","0.00601")</f>
        <v>0.00601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HYPERLINK("http://141.218.60.56/~jnz1568/getInfo.php?workbook=10_05.xlsx&amp;sheet=U0&amp;row=8388&amp;col=6&amp;number=3.4&amp;sourceID=14","3.4")</f>
        <v>3.4</v>
      </c>
      <c r="G8388" s="4" t="str">
        <f>HYPERLINK("http://141.218.60.56/~jnz1568/getInfo.php?workbook=10_05.xlsx&amp;sheet=U0&amp;row=8388&amp;col=7&amp;number=0.00574&amp;sourceID=14","0.00574")</f>
        <v>0.00574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HYPERLINK("http://141.218.60.56/~jnz1568/getInfo.php?workbook=10_05.xlsx&amp;sheet=U0&amp;row=8389&amp;col=6&amp;number=3.5&amp;sourceID=14","3.5")</f>
        <v>3.5</v>
      </c>
      <c r="G8389" s="4" t="str">
        <f>HYPERLINK("http://141.218.60.56/~jnz1568/getInfo.php?workbook=10_05.xlsx&amp;sheet=U0&amp;row=8389&amp;col=7&amp;number=0.00542&amp;sourceID=14","0.00542")</f>
        <v>0.00542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HYPERLINK("http://141.218.60.56/~jnz1568/getInfo.php?workbook=10_05.xlsx&amp;sheet=U0&amp;row=8390&amp;col=6&amp;number=3.6&amp;sourceID=14","3.6")</f>
        <v>3.6</v>
      </c>
      <c r="G8390" s="4" t="str">
        <f>HYPERLINK("http://141.218.60.56/~jnz1568/getInfo.php?workbook=10_05.xlsx&amp;sheet=U0&amp;row=8390&amp;col=7&amp;number=0.00508&amp;sourceID=14","0.00508")</f>
        <v>0.00508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HYPERLINK("http://141.218.60.56/~jnz1568/getInfo.php?workbook=10_05.xlsx&amp;sheet=U0&amp;row=8391&amp;col=6&amp;number=3.7&amp;sourceID=14","3.7")</f>
        <v>3.7</v>
      </c>
      <c r="G8391" s="4" t="str">
        <f>HYPERLINK("http://141.218.60.56/~jnz1568/getInfo.php?workbook=10_05.xlsx&amp;sheet=U0&amp;row=8391&amp;col=7&amp;number=0.00472&amp;sourceID=14","0.00472")</f>
        <v>0.00472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HYPERLINK("http://141.218.60.56/~jnz1568/getInfo.php?workbook=10_05.xlsx&amp;sheet=U0&amp;row=8392&amp;col=6&amp;number=3.8&amp;sourceID=14","3.8")</f>
        <v>3.8</v>
      </c>
      <c r="G8392" s="4" t="str">
        <f>HYPERLINK("http://141.218.60.56/~jnz1568/getInfo.php?workbook=10_05.xlsx&amp;sheet=U0&amp;row=8392&amp;col=7&amp;number=0.0044&amp;sourceID=14","0.0044")</f>
        <v>0.0044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HYPERLINK("http://141.218.60.56/~jnz1568/getInfo.php?workbook=10_05.xlsx&amp;sheet=U0&amp;row=8393&amp;col=6&amp;number=3.9&amp;sourceID=14","3.9")</f>
        <v>3.9</v>
      </c>
      <c r="G8393" s="4" t="str">
        <f>HYPERLINK("http://141.218.60.56/~jnz1568/getInfo.php?workbook=10_05.xlsx&amp;sheet=U0&amp;row=8393&amp;col=7&amp;number=0.00418&amp;sourceID=14","0.00418")</f>
        <v>0.00418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HYPERLINK("http://141.218.60.56/~jnz1568/getInfo.php?workbook=10_05.xlsx&amp;sheet=U0&amp;row=8394&amp;col=6&amp;number=4&amp;sourceID=14","4")</f>
        <v>4</v>
      </c>
      <c r="G8394" s="4" t="str">
        <f>HYPERLINK("http://141.218.60.56/~jnz1568/getInfo.php?workbook=10_05.xlsx&amp;sheet=U0&amp;row=8394&amp;col=7&amp;number=0.00407&amp;sourceID=14","0.00407")</f>
        <v>0.00407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HYPERLINK("http://141.218.60.56/~jnz1568/getInfo.php?workbook=10_05.xlsx&amp;sheet=U0&amp;row=8395&amp;col=6&amp;number=4.1&amp;sourceID=14","4.1")</f>
        <v>4.1</v>
      </c>
      <c r="G8395" s="4" t="str">
        <f>HYPERLINK("http://141.218.60.56/~jnz1568/getInfo.php?workbook=10_05.xlsx&amp;sheet=U0&amp;row=8395&amp;col=7&amp;number=0.00409&amp;sourceID=14","0.00409")</f>
        <v>0.00409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HYPERLINK("http://141.218.60.56/~jnz1568/getInfo.php?workbook=10_05.xlsx&amp;sheet=U0&amp;row=8396&amp;col=6&amp;number=4.2&amp;sourceID=14","4.2")</f>
        <v>4.2</v>
      </c>
      <c r="G8396" s="4" t="str">
        <f>HYPERLINK("http://141.218.60.56/~jnz1568/getInfo.php?workbook=10_05.xlsx&amp;sheet=U0&amp;row=8396&amp;col=7&amp;number=0.00419&amp;sourceID=14","0.00419")</f>
        <v>0.00419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HYPERLINK("http://141.218.60.56/~jnz1568/getInfo.php?workbook=10_05.xlsx&amp;sheet=U0&amp;row=8397&amp;col=6&amp;number=4.3&amp;sourceID=14","4.3")</f>
        <v>4.3</v>
      </c>
      <c r="G8397" s="4" t="str">
        <f>HYPERLINK("http://141.218.60.56/~jnz1568/getInfo.php?workbook=10_05.xlsx&amp;sheet=U0&amp;row=8397&amp;col=7&amp;number=0.00432&amp;sourceID=14","0.00432")</f>
        <v>0.00432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HYPERLINK("http://141.218.60.56/~jnz1568/getInfo.php?workbook=10_05.xlsx&amp;sheet=U0&amp;row=8398&amp;col=6&amp;number=4.4&amp;sourceID=14","4.4")</f>
        <v>4.4</v>
      </c>
      <c r="G8398" s="4" t="str">
        <f>HYPERLINK("http://141.218.60.56/~jnz1568/getInfo.php?workbook=10_05.xlsx&amp;sheet=U0&amp;row=8398&amp;col=7&amp;number=0.00444&amp;sourceID=14","0.00444")</f>
        <v>0.00444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HYPERLINK("http://141.218.60.56/~jnz1568/getInfo.php?workbook=10_05.xlsx&amp;sheet=U0&amp;row=8399&amp;col=6&amp;number=4.5&amp;sourceID=14","4.5")</f>
        <v>4.5</v>
      </c>
      <c r="G8399" s="4" t="str">
        <f>HYPERLINK("http://141.218.60.56/~jnz1568/getInfo.php?workbook=10_05.xlsx&amp;sheet=U0&amp;row=8399&amp;col=7&amp;number=0.00448&amp;sourceID=14","0.00448")</f>
        <v>0.00448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HYPERLINK("http://141.218.60.56/~jnz1568/getInfo.php?workbook=10_05.xlsx&amp;sheet=U0&amp;row=8400&amp;col=6&amp;number=4.6&amp;sourceID=14","4.6")</f>
        <v>4.6</v>
      </c>
      <c r="G8400" s="4" t="str">
        <f>HYPERLINK("http://141.218.60.56/~jnz1568/getInfo.php?workbook=10_05.xlsx&amp;sheet=U0&amp;row=8400&amp;col=7&amp;number=0.00443&amp;sourceID=14","0.00443")</f>
        <v>0.00443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HYPERLINK("http://141.218.60.56/~jnz1568/getInfo.php?workbook=10_05.xlsx&amp;sheet=U0&amp;row=8401&amp;col=6&amp;number=4.7&amp;sourceID=14","4.7")</f>
        <v>4.7</v>
      </c>
      <c r="G8401" s="4" t="str">
        <f>HYPERLINK("http://141.218.60.56/~jnz1568/getInfo.php?workbook=10_05.xlsx&amp;sheet=U0&amp;row=8401&amp;col=7&amp;number=0.00427&amp;sourceID=14","0.00427")</f>
        <v>0.00427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HYPERLINK("http://141.218.60.56/~jnz1568/getInfo.php?workbook=10_05.xlsx&amp;sheet=U0&amp;row=8402&amp;col=6&amp;number=4.8&amp;sourceID=14","4.8")</f>
        <v>4.8</v>
      </c>
      <c r="G8402" s="4" t="str">
        <f>HYPERLINK("http://141.218.60.56/~jnz1568/getInfo.php?workbook=10_05.xlsx&amp;sheet=U0&amp;row=8402&amp;col=7&amp;number=0.00403&amp;sourceID=14","0.00403")</f>
        <v>0.00403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HYPERLINK("http://141.218.60.56/~jnz1568/getInfo.php?workbook=10_05.xlsx&amp;sheet=U0&amp;row=8403&amp;col=6&amp;number=4.9&amp;sourceID=14","4.9")</f>
        <v>4.9</v>
      </c>
      <c r="G8403" s="4" t="str">
        <f>HYPERLINK("http://141.218.60.56/~jnz1568/getInfo.php?workbook=10_05.xlsx&amp;sheet=U0&amp;row=8403&amp;col=7&amp;number=0.00372&amp;sourceID=14","0.00372")</f>
        <v>0.00372</v>
      </c>
    </row>
    <row r="8404" spans="1:7">
      <c r="A8404" s="3">
        <v>10</v>
      </c>
      <c r="B8404" s="3">
        <v>5</v>
      </c>
      <c r="C8404" s="3">
        <v>3</v>
      </c>
      <c r="D8404" s="3">
        <v>67</v>
      </c>
      <c r="E8404" s="3">
        <v>1</v>
      </c>
      <c r="F8404" s="4" t="str">
        <f>HYPERLINK("http://141.218.60.56/~jnz1568/getInfo.php?workbook=10_05.xlsx&amp;sheet=U0&amp;row=8404&amp;col=6&amp;number=3&amp;sourceID=14","3")</f>
        <v>3</v>
      </c>
      <c r="G8404" s="4" t="str">
        <f>HYPERLINK("http://141.218.60.56/~jnz1568/getInfo.php?workbook=10_05.xlsx&amp;sheet=U0&amp;row=8404&amp;col=7&amp;number=0.00803&amp;sourceID=14","0.00803")</f>
        <v>0.00803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HYPERLINK("http://141.218.60.56/~jnz1568/getInfo.php?workbook=10_05.xlsx&amp;sheet=U0&amp;row=8405&amp;col=6&amp;number=3.1&amp;sourceID=14","3.1")</f>
        <v>3.1</v>
      </c>
      <c r="G8405" s="4" t="str">
        <f>HYPERLINK("http://141.218.60.56/~jnz1568/getInfo.php?workbook=10_05.xlsx&amp;sheet=U0&amp;row=8405&amp;col=7&amp;number=0.00782&amp;sourceID=14","0.00782")</f>
        <v>0.00782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HYPERLINK("http://141.218.60.56/~jnz1568/getInfo.php?workbook=10_05.xlsx&amp;sheet=U0&amp;row=8406&amp;col=6&amp;number=3.2&amp;sourceID=14","3.2")</f>
        <v>3.2</v>
      </c>
      <c r="G8406" s="4" t="str">
        <f>HYPERLINK("http://141.218.60.56/~jnz1568/getInfo.php?workbook=10_05.xlsx&amp;sheet=U0&amp;row=8406&amp;col=7&amp;number=0.00757&amp;sourceID=14","0.00757")</f>
        <v>0.00757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HYPERLINK("http://141.218.60.56/~jnz1568/getInfo.php?workbook=10_05.xlsx&amp;sheet=U0&amp;row=8407&amp;col=6&amp;number=3.3&amp;sourceID=14","3.3")</f>
        <v>3.3</v>
      </c>
      <c r="G8407" s="4" t="str">
        <f>HYPERLINK("http://141.218.60.56/~jnz1568/getInfo.php?workbook=10_05.xlsx&amp;sheet=U0&amp;row=8407&amp;col=7&amp;number=0.00726&amp;sourceID=14","0.00726")</f>
        <v>0.00726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HYPERLINK("http://141.218.60.56/~jnz1568/getInfo.php?workbook=10_05.xlsx&amp;sheet=U0&amp;row=8408&amp;col=6&amp;number=3.4&amp;sourceID=14","3.4")</f>
        <v>3.4</v>
      </c>
      <c r="G8408" s="4" t="str">
        <f>HYPERLINK("http://141.218.60.56/~jnz1568/getInfo.php?workbook=10_05.xlsx&amp;sheet=U0&amp;row=8408&amp;col=7&amp;number=0.0069&amp;sourceID=14","0.0069")</f>
        <v>0.0069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HYPERLINK("http://141.218.60.56/~jnz1568/getInfo.php?workbook=10_05.xlsx&amp;sheet=U0&amp;row=8409&amp;col=6&amp;number=3.5&amp;sourceID=14","3.5")</f>
        <v>3.5</v>
      </c>
      <c r="G8409" s="4" t="str">
        <f>HYPERLINK("http://141.218.60.56/~jnz1568/getInfo.php?workbook=10_05.xlsx&amp;sheet=U0&amp;row=8409&amp;col=7&amp;number=0.00647&amp;sourceID=14","0.00647")</f>
        <v>0.00647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HYPERLINK("http://141.218.60.56/~jnz1568/getInfo.php?workbook=10_05.xlsx&amp;sheet=U0&amp;row=8410&amp;col=6&amp;number=3.6&amp;sourceID=14","3.6")</f>
        <v>3.6</v>
      </c>
      <c r="G8410" s="4" t="str">
        <f>HYPERLINK("http://141.218.60.56/~jnz1568/getInfo.php?workbook=10_05.xlsx&amp;sheet=U0&amp;row=8410&amp;col=7&amp;number=0.00599&amp;sourceID=14","0.00599")</f>
        <v>0.00599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HYPERLINK("http://141.218.60.56/~jnz1568/getInfo.php?workbook=10_05.xlsx&amp;sheet=U0&amp;row=8411&amp;col=6&amp;number=3.7&amp;sourceID=14","3.7")</f>
        <v>3.7</v>
      </c>
      <c r="G8411" s="4" t="str">
        <f>HYPERLINK("http://141.218.60.56/~jnz1568/getInfo.php?workbook=10_05.xlsx&amp;sheet=U0&amp;row=8411&amp;col=7&amp;number=0.00549&amp;sourceID=14","0.00549")</f>
        <v>0.00549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HYPERLINK("http://141.218.60.56/~jnz1568/getInfo.php?workbook=10_05.xlsx&amp;sheet=U0&amp;row=8412&amp;col=6&amp;number=3.8&amp;sourceID=14","3.8")</f>
        <v>3.8</v>
      </c>
      <c r="G8412" s="4" t="str">
        <f>HYPERLINK("http://141.218.60.56/~jnz1568/getInfo.php?workbook=10_05.xlsx&amp;sheet=U0&amp;row=8412&amp;col=7&amp;number=0.00503&amp;sourceID=14","0.00503")</f>
        <v>0.00503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HYPERLINK("http://141.218.60.56/~jnz1568/getInfo.php?workbook=10_05.xlsx&amp;sheet=U0&amp;row=8413&amp;col=6&amp;number=3.9&amp;sourceID=14","3.9")</f>
        <v>3.9</v>
      </c>
      <c r="G8413" s="4" t="str">
        <f>HYPERLINK("http://141.218.60.56/~jnz1568/getInfo.php?workbook=10_05.xlsx&amp;sheet=U0&amp;row=8413&amp;col=7&amp;number=0.00465&amp;sourceID=14","0.00465")</f>
        <v>0.00465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HYPERLINK("http://141.218.60.56/~jnz1568/getInfo.php?workbook=10_05.xlsx&amp;sheet=U0&amp;row=8414&amp;col=6&amp;number=4&amp;sourceID=14","4")</f>
        <v>4</v>
      </c>
      <c r="G8414" s="4" t="str">
        <f>HYPERLINK("http://141.218.60.56/~jnz1568/getInfo.php?workbook=10_05.xlsx&amp;sheet=U0&amp;row=8414&amp;col=7&amp;number=0.00441&amp;sourceID=14","0.00441")</f>
        <v>0.00441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HYPERLINK("http://141.218.60.56/~jnz1568/getInfo.php?workbook=10_05.xlsx&amp;sheet=U0&amp;row=8415&amp;col=6&amp;number=4.1&amp;sourceID=14","4.1")</f>
        <v>4.1</v>
      </c>
      <c r="G8415" s="4" t="str">
        <f>HYPERLINK("http://141.218.60.56/~jnz1568/getInfo.php?workbook=10_05.xlsx&amp;sheet=U0&amp;row=8415&amp;col=7&amp;number=0.0043&amp;sourceID=14","0.0043")</f>
        <v>0.0043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HYPERLINK("http://141.218.60.56/~jnz1568/getInfo.php?workbook=10_05.xlsx&amp;sheet=U0&amp;row=8416&amp;col=6&amp;number=4.2&amp;sourceID=14","4.2")</f>
        <v>4.2</v>
      </c>
      <c r="G8416" s="4" t="str">
        <f>HYPERLINK("http://141.218.60.56/~jnz1568/getInfo.php?workbook=10_05.xlsx&amp;sheet=U0&amp;row=8416&amp;col=7&amp;number=0.00425&amp;sourceID=14","0.00425")</f>
        <v>0.00425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HYPERLINK("http://141.218.60.56/~jnz1568/getInfo.php?workbook=10_05.xlsx&amp;sheet=U0&amp;row=8417&amp;col=6&amp;number=4.3&amp;sourceID=14","4.3")</f>
        <v>4.3</v>
      </c>
      <c r="G8417" s="4" t="str">
        <f>HYPERLINK("http://141.218.60.56/~jnz1568/getInfo.php?workbook=10_05.xlsx&amp;sheet=U0&amp;row=8417&amp;col=7&amp;number=0.00423&amp;sourceID=14","0.00423")</f>
        <v>0.00423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HYPERLINK("http://141.218.60.56/~jnz1568/getInfo.php?workbook=10_05.xlsx&amp;sheet=U0&amp;row=8418&amp;col=6&amp;number=4.4&amp;sourceID=14","4.4")</f>
        <v>4.4</v>
      </c>
      <c r="G8418" s="4" t="str">
        <f>HYPERLINK("http://141.218.60.56/~jnz1568/getInfo.php?workbook=10_05.xlsx&amp;sheet=U0&amp;row=8418&amp;col=7&amp;number=0.00421&amp;sourceID=14","0.00421")</f>
        <v>0.00421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HYPERLINK("http://141.218.60.56/~jnz1568/getInfo.php?workbook=10_05.xlsx&amp;sheet=U0&amp;row=8419&amp;col=6&amp;number=4.5&amp;sourceID=14","4.5")</f>
        <v>4.5</v>
      </c>
      <c r="G8419" s="4" t="str">
        <f>HYPERLINK("http://141.218.60.56/~jnz1568/getInfo.php?workbook=10_05.xlsx&amp;sheet=U0&amp;row=8419&amp;col=7&amp;number=0.00414&amp;sourceID=14","0.00414")</f>
        <v>0.00414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HYPERLINK("http://141.218.60.56/~jnz1568/getInfo.php?workbook=10_05.xlsx&amp;sheet=U0&amp;row=8420&amp;col=6&amp;number=4.6&amp;sourceID=14","4.6")</f>
        <v>4.6</v>
      </c>
      <c r="G8420" s="4" t="str">
        <f>HYPERLINK("http://141.218.60.56/~jnz1568/getInfo.php?workbook=10_05.xlsx&amp;sheet=U0&amp;row=8420&amp;col=7&amp;number=0.00403&amp;sourceID=14","0.00403")</f>
        <v>0.00403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HYPERLINK("http://141.218.60.56/~jnz1568/getInfo.php?workbook=10_05.xlsx&amp;sheet=U0&amp;row=8421&amp;col=6&amp;number=4.7&amp;sourceID=14","4.7")</f>
        <v>4.7</v>
      </c>
      <c r="G8421" s="4" t="str">
        <f>HYPERLINK("http://141.218.60.56/~jnz1568/getInfo.php?workbook=10_05.xlsx&amp;sheet=U0&amp;row=8421&amp;col=7&amp;number=0.00385&amp;sourceID=14","0.00385")</f>
        <v>0.00385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HYPERLINK("http://141.218.60.56/~jnz1568/getInfo.php?workbook=10_05.xlsx&amp;sheet=U0&amp;row=8422&amp;col=6&amp;number=4.8&amp;sourceID=14","4.8")</f>
        <v>4.8</v>
      </c>
      <c r="G8422" s="4" t="str">
        <f>HYPERLINK("http://141.218.60.56/~jnz1568/getInfo.php?workbook=10_05.xlsx&amp;sheet=U0&amp;row=8422&amp;col=7&amp;number=0.00361&amp;sourceID=14","0.00361")</f>
        <v>0.00361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HYPERLINK("http://141.218.60.56/~jnz1568/getInfo.php?workbook=10_05.xlsx&amp;sheet=U0&amp;row=8423&amp;col=6&amp;number=4.9&amp;sourceID=14","4.9")</f>
        <v>4.9</v>
      </c>
      <c r="G8423" s="4" t="str">
        <f>HYPERLINK("http://141.218.60.56/~jnz1568/getInfo.php?workbook=10_05.xlsx&amp;sheet=U0&amp;row=8423&amp;col=7&amp;number=0.00329&amp;sourceID=14","0.00329")</f>
        <v>0.00329</v>
      </c>
    </row>
    <row r="8424" spans="1:7">
      <c r="A8424" s="3">
        <v>10</v>
      </c>
      <c r="B8424" s="3">
        <v>5</v>
      </c>
      <c r="C8424" s="3">
        <v>3</v>
      </c>
      <c r="D8424" s="3">
        <v>68</v>
      </c>
      <c r="E8424" s="3">
        <v>1</v>
      </c>
      <c r="F8424" s="4" t="str">
        <f>HYPERLINK("http://141.218.60.56/~jnz1568/getInfo.php?workbook=10_05.xlsx&amp;sheet=U0&amp;row=8424&amp;col=6&amp;number=3&amp;sourceID=14","3")</f>
        <v>3</v>
      </c>
      <c r="G8424" s="4" t="str">
        <f>HYPERLINK("http://141.218.60.56/~jnz1568/getInfo.php?workbook=10_05.xlsx&amp;sheet=U0&amp;row=8424&amp;col=7&amp;number=0.0124&amp;sourceID=14","0.0124")</f>
        <v>0.0124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HYPERLINK("http://141.218.60.56/~jnz1568/getInfo.php?workbook=10_05.xlsx&amp;sheet=U0&amp;row=8425&amp;col=6&amp;number=3.1&amp;sourceID=14","3.1")</f>
        <v>3.1</v>
      </c>
      <c r="G8425" s="4" t="str">
        <f>HYPERLINK("http://141.218.60.56/~jnz1568/getInfo.php?workbook=10_05.xlsx&amp;sheet=U0&amp;row=8425&amp;col=7&amp;number=0.0122&amp;sourceID=14","0.0122")</f>
        <v>0.0122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HYPERLINK("http://141.218.60.56/~jnz1568/getInfo.php?workbook=10_05.xlsx&amp;sheet=U0&amp;row=8426&amp;col=6&amp;number=3.2&amp;sourceID=14","3.2")</f>
        <v>3.2</v>
      </c>
      <c r="G8426" s="4" t="str">
        <f>HYPERLINK("http://141.218.60.56/~jnz1568/getInfo.php?workbook=10_05.xlsx&amp;sheet=U0&amp;row=8426&amp;col=7&amp;number=0.0119&amp;sourceID=14","0.0119")</f>
        <v>0.0119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HYPERLINK("http://141.218.60.56/~jnz1568/getInfo.php?workbook=10_05.xlsx&amp;sheet=U0&amp;row=8427&amp;col=6&amp;number=3.3&amp;sourceID=14","3.3")</f>
        <v>3.3</v>
      </c>
      <c r="G8427" s="4" t="str">
        <f>HYPERLINK("http://141.218.60.56/~jnz1568/getInfo.php?workbook=10_05.xlsx&amp;sheet=U0&amp;row=8427&amp;col=7&amp;number=0.0116&amp;sourceID=14","0.0116")</f>
        <v>0.0116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HYPERLINK("http://141.218.60.56/~jnz1568/getInfo.php?workbook=10_05.xlsx&amp;sheet=U0&amp;row=8428&amp;col=6&amp;number=3.4&amp;sourceID=14","3.4")</f>
        <v>3.4</v>
      </c>
      <c r="G8428" s="4" t="str">
        <f>HYPERLINK("http://141.218.60.56/~jnz1568/getInfo.php?workbook=10_05.xlsx&amp;sheet=U0&amp;row=8428&amp;col=7&amp;number=0.0113&amp;sourceID=14","0.0113")</f>
        <v>0.0113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HYPERLINK("http://141.218.60.56/~jnz1568/getInfo.php?workbook=10_05.xlsx&amp;sheet=U0&amp;row=8429&amp;col=6&amp;number=3.5&amp;sourceID=14","3.5")</f>
        <v>3.5</v>
      </c>
      <c r="G8429" s="4" t="str">
        <f>HYPERLINK("http://141.218.60.56/~jnz1568/getInfo.php?workbook=10_05.xlsx&amp;sheet=U0&amp;row=8429&amp;col=7&amp;number=0.0109&amp;sourceID=14","0.0109")</f>
        <v>0.0109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HYPERLINK("http://141.218.60.56/~jnz1568/getInfo.php?workbook=10_05.xlsx&amp;sheet=U0&amp;row=8430&amp;col=6&amp;number=3.6&amp;sourceID=14","3.6")</f>
        <v>3.6</v>
      </c>
      <c r="G8430" s="4" t="str">
        <f>HYPERLINK("http://141.218.60.56/~jnz1568/getInfo.php?workbook=10_05.xlsx&amp;sheet=U0&amp;row=8430&amp;col=7&amp;number=0.0103&amp;sourceID=14","0.0103")</f>
        <v>0.0103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HYPERLINK("http://141.218.60.56/~jnz1568/getInfo.php?workbook=10_05.xlsx&amp;sheet=U0&amp;row=8431&amp;col=6&amp;number=3.7&amp;sourceID=14","3.7")</f>
        <v>3.7</v>
      </c>
      <c r="G8431" s="4" t="str">
        <f>HYPERLINK("http://141.218.60.56/~jnz1568/getInfo.php?workbook=10_05.xlsx&amp;sheet=U0&amp;row=8431&amp;col=7&amp;number=0.00974&amp;sourceID=14","0.00974")</f>
        <v>0.00974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HYPERLINK("http://141.218.60.56/~jnz1568/getInfo.php?workbook=10_05.xlsx&amp;sheet=U0&amp;row=8432&amp;col=6&amp;number=3.8&amp;sourceID=14","3.8")</f>
        <v>3.8</v>
      </c>
      <c r="G8432" s="4" t="str">
        <f>HYPERLINK("http://141.218.60.56/~jnz1568/getInfo.php?workbook=10_05.xlsx&amp;sheet=U0&amp;row=8432&amp;col=7&amp;number=0.00906&amp;sourceID=14","0.00906")</f>
        <v>0.00906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HYPERLINK("http://141.218.60.56/~jnz1568/getInfo.php?workbook=10_05.xlsx&amp;sheet=U0&amp;row=8433&amp;col=6&amp;number=3.9&amp;sourceID=14","3.9")</f>
        <v>3.9</v>
      </c>
      <c r="G8433" s="4" t="str">
        <f>HYPERLINK("http://141.218.60.56/~jnz1568/getInfo.php?workbook=10_05.xlsx&amp;sheet=U0&amp;row=8433&amp;col=7&amp;number=0.00833&amp;sourceID=14","0.00833")</f>
        <v>0.00833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HYPERLINK("http://141.218.60.56/~jnz1568/getInfo.php?workbook=10_05.xlsx&amp;sheet=U0&amp;row=8434&amp;col=6&amp;number=4&amp;sourceID=14","4")</f>
        <v>4</v>
      </c>
      <c r="G8434" s="4" t="str">
        <f>HYPERLINK("http://141.218.60.56/~jnz1568/getInfo.php?workbook=10_05.xlsx&amp;sheet=U0&amp;row=8434&amp;col=7&amp;number=0.00762&amp;sourceID=14","0.00762")</f>
        <v>0.00762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HYPERLINK("http://141.218.60.56/~jnz1568/getInfo.php?workbook=10_05.xlsx&amp;sheet=U0&amp;row=8435&amp;col=6&amp;number=4.1&amp;sourceID=14","4.1")</f>
        <v>4.1</v>
      </c>
      <c r="G8435" s="4" t="str">
        <f>HYPERLINK("http://141.218.60.56/~jnz1568/getInfo.php?workbook=10_05.xlsx&amp;sheet=U0&amp;row=8435&amp;col=7&amp;number=0.00703&amp;sourceID=14","0.00703")</f>
        <v>0.00703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HYPERLINK("http://141.218.60.56/~jnz1568/getInfo.php?workbook=10_05.xlsx&amp;sheet=U0&amp;row=8436&amp;col=6&amp;number=4.2&amp;sourceID=14","4.2")</f>
        <v>4.2</v>
      </c>
      <c r="G8436" s="4" t="str">
        <f>HYPERLINK("http://141.218.60.56/~jnz1568/getInfo.php?workbook=10_05.xlsx&amp;sheet=U0&amp;row=8436&amp;col=7&amp;number=0.00659&amp;sourceID=14","0.00659")</f>
        <v>0.00659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HYPERLINK("http://141.218.60.56/~jnz1568/getInfo.php?workbook=10_05.xlsx&amp;sheet=U0&amp;row=8437&amp;col=6&amp;number=4.3&amp;sourceID=14","4.3")</f>
        <v>4.3</v>
      </c>
      <c r="G8437" s="4" t="str">
        <f>HYPERLINK("http://141.218.60.56/~jnz1568/getInfo.php?workbook=10_05.xlsx&amp;sheet=U0&amp;row=8437&amp;col=7&amp;number=0.00628&amp;sourceID=14","0.00628")</f>
        <v>0.00628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HYPERLINK("http://141.218.60.56/~jnz1568/getInfo.php?workbook=10_05.xlsx&amp;sheet=U0&amp;row=8438&amp;col=6&amp;number=4.4&amp;sourceID=14","4.4")</f>
        <v>4.4</v>
      </c>
      <c r="G8438" s="4" t="str">
        <f>HYPERLINK("http://141.218.60.56/~jnz1568/getInfo.php?workbook=10_05.xlsx&amp;sheet=U0&amp;row=8438&amp;col=7&amp;number=0.00598&amp;sourceID=14","0.00598")</f>
        <v>0.00598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HYPERLINK("http://141.218.60.56/~jnz1568/getInfo.php?workbook=10_05.xlsx&amp;sheet=U0&amp;row=8439&amp;col=6&amp;number=4.5&amp;sourceID=14","4.5")</f>
        <v>4.5</v>
      </c>
      <c r="G8439" s="4" t="str">
        <f>HYPERLINK("http://141.218.60.56/~jnz1568/getInfo.php?workbook=10_05.xlsx&amp;sheet=U0&amp;row=8439&amp;col=7&amp;number=0.00559&amp;sourceID=14","0.00559")</f>
        <v>0.00559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HYPERLINK("http://141.218.60.56/~jnz1568/getInfo.php?workbook=10_05.xlsx&amp;sheet=U0&amp;row=8440&amp;col=6&amp;number=4.6&amp;sourceID=14","4.6")</f>
        <v>4.6</v>
      </c>
      <c r="G8440" s="4" t="str">
        <f>HYPERLINK("http://141.218.60.56/~jnz1568/getInfo.php?workbook=10_05.xlsx&amp;sheet=U0&amp;row=8440&amp;col=7&amp;number=0.00517&amp;sourceID=14","0.00517")</f>
        <v>0.00517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HYPERLINK("http://141.218.60.56/~jnz1568/getInfo.php?workbook=10_05.xlsx&amp;sheet=U0&amp;row=8441&amp;col=6&amp;number=4.7&amp;sourceID=14","4.7")</f>
        <v>4.7</v>
      </c>
      <c r="G8441" s="4" t="str">
        <f>HYPERLINK("http://141.218.60.56/~jnz1568/getInfo.php?workbook=10_05.xlsx&amp;sheet=U0&amp;row=8441&amp;col=7&amp;number=0.00476&amp;sourceID=14","0.00476")</f>
        <v>0.00476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HYPERLINK("http://141.218.60.56/~jnz1568/getInfo.php?workbook=10_05.xlsx&amp;sheet=U0&amp;row=8442&amp;col=6&amp;number=4.8&amp;sourceID=14","4.8")</f>
        <v>4.8</v>
      </c>
      <c r="G8442" s="4" t="str">
        <f>HYPERLINK("http://141.218.60.56/~jnz1568/getInfo.php?workbook=10_05.xlsx&amp;sheet=U0&amp;row=8442&amp;col=7&amp;number=0.00436&amp;sourceID=14","0.00436")</f>
        <v>0.00436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HYPERLINK("http://141.218.60.56/~jnz1568/getInfo.php?workbook=10_05.xlsx&amp;sheet=U0&amp;row=8443&amp;col=6&amp;number=4.9&amp;sourceID=14","4.9")</f>
        <v>4.9</v>
      </c>
      <c r="G8443" s="4" t="str">
        <f>HYPERLINK("http://141.218.60.56/~jnz1568/getInfo.php?workbook=10_05.xlsx&amp;sheet=U0&amp;row=8443&amp;col=7&amp;number=0.00393&amp;sourceID=14","0.00393")</f>
        <v>0.00393</v>
      </c>
    </row>
    <row r="8444" spans="1:7">
      <c r="A8444" s="3">
        <v>10</v>
      </c>
      <c r="B8444" s="3">
        <v>5</v>
      </c>
      <c r="C8444" s="3">
        <v>3</v>
      </c>
      <c r="D8444" s="3">
        <v>69</v>
      </c>
      <c r="E8444" s="3">
        <v>1</v>
      </c>
      <c r="F8444" s="4" t="str">
        <f>HYPERLINK("http://141.218.60.56/~jnz1568/getInfo.php?workbook=10_05.xlsx&amp;sheet=U0&amp;row=8444&amp;col=6&amp;number=3&amp;sourceID=14","3")</f>
        <v>3</v>
      </c>
      <c r="G8444" s="4" t="str">
        <f>HYPERLINK("http://141.218.60.56/~jnz1568/getInfo.php?workbook=10_05.xlsx&amp;sheet=U0&amp;row=8444&amp;col=7&amp;number=0.00757&amp;sourceID=14","0.00757")</f>
        <v>0.00757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HYPERLINK("http://141.218.60.56/~jnz1568/getInfo.php?workbook=10_05.xlsx&amp;sheet=U0&amp;row=8445&amp;col=6&amp;number=3.1&amp;sourceID=14","3.1")</f>
        <v>3.1</v>
      </c>
      <c r="G8445" s="4" t="str">
        <f>HYPERLINK("http://141.218.60.56/~jnz1568/getInfo.php?workbook=10_05.xlsx&amp;sheet=U0&amp;row=8445&amp;col=7&amp;number=0.00749&amp;sourceID=14","0.00749")</f>
        <v>0.00749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HYPERLINK("http://141.218.60.56/~jnz1568/getInfo.php?workbook=10_05.xlsx&amp;sheet=U0&amp;row=8446&amp;col=6&amp;number=3.2&amp;sourceID=14","3.2")</f>
        <v>3.2</v>
      </c>
      <c r="G8446" s="4" t="str">
        <f>HYPERLINK("http://141.218.60.56/~jnz1568/getInfo.php?workbook=10_05.xlsx&amp;sheet=U0&amp;row=8446&amp;col=7&amp;number=0.00739&amp;sourceID=14","0.00739")</f>
        <v>0.00739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HYPERLINK("http://141.218.60.56/~jnz1568/getInfo.php?workbook=10_05.xlsx&amp;sheet=U0&amp;row=8447&amp;col=6&amp;number=3.3&amp;sourceID=14","3.3")</f>
        <v>3.3</v>
      </c>
      <c r="G8447" s="4" t="str">
        <f>HYPERLINK("http://141.218.60.56/~jnz1568/getInfo.php?workbook=10_05.xlsx&amp;sheet=U0&amp;row=8447&amp;col=7&amp;number=0.00727&amp;sourceID=14","0.00727")</f>
        <v>0.00727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HYPERLINK("http://141.218.60.56/~jnz1568/getInfo.php?workbook=10_05.xlsx&amp;sheet=U0&amp;row=8448&amp;col=6&amp;number=3.4&amp;sourceID=14","3.4")</f>
        <v>3.4</v>
      </c>
      <c r="G8448" s="4" t="str">
        <f>HYPERLINK("http://141.218.60.56/~jnz1568/getInfo.php?workbook=10_05.xlsx&amp;sheet=U0&amp;row=8448&amp;col=7&amp;number=0.00711&amp;sourceID=14","0.00711")</f>
        <v>0.00711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HYPERLINK("http://141.218.60.56/~jnz1568/getInfo.php?workbook=10_05.xlsx&amp;sheet=U0&amp;row=8449&amp;col=6&amp;number=3.5&amp;sourceID=14","3.5")</f>
        <v>3.5</v>
      </c>
      <c r="G8449" s="4" t="str">
        <f>HYPERLINK("http://141.218.60.56/~jnz1568/getInfo.php?workbook=10_05.xlsx&amp;sheet=U0&amp;row=8449&amp;col=7&amp;number=0.00693&amp;sourceID=14","0.00693")</f>
        <v>0.00693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HYPERLINK("http://141.218.60.56/~jnz1568/getInfo.php?workbook=10_05.xlsx&amp;sheet=U0&amp;row=8450&amp;col=6&amp;number=3.6&amp;sourceID=14","3.6")</f>
        <v>3.6</v>
      </c>
      <c r="G8450" s="4" t="str">
        <f>HYPERLINK("http://141.218.60.56/~jnz1568/getInfo.php?workbook=10_05.xlsx&amp;sheet=U0&amp;row=8450&amp;col=7&amp;number=0.0067&amp;sourceID=14","0.0067")</f>
        <v>0.0067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HYPERLINK("http://141.218.60.56/~jnz1568/getInfo.php?workbook=10_05.xlsx&amp;sheet=U0&amp;row=8451&amp;col=6&amp;number=3.7&amp;sourceID=14","3.7")</f>
        <v>3.7</v>
      </c>
      <c r="G8451" s="4" t="str">
        <f>HYPERLINK("http://141.218.60.56/~jnz1568/getInfo.php?workbook=10_05.xlsx&amp;sheet=U0&amp;row=8451&amp;col=7&amp;number=0.00644&amp;sourceID=14","0.00644")</f>
        <v>0.00644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HYPERLINK("http://141.218.60.56/~jnz1568/getInfo.php?workbook=10_05.xlsx&amp;sheet=U0&amp;row=8452&amp;col=6&amp;number=3.8&amp;sourceID=14","3.8")</f>
        <v>3.8</v>
      </c>
      <c r="G8452" s="4" t="str">
        <f>HYPERLINK("http://141.218.60.56/~jnz1568/getInfo.php?workbook=10_05.xlsx&amp;sheet=U0&amp;row=8452&amp;col=7&amp;number=0.00614&amp;sourceID=14","0.00614")</f>
        <v>0.00614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HYPERLINK("http://141.218.60.56/~jnz1568/getInfo.php?workbook=10_05.xlsx&amp;sheet=U0&amp;row=8453&amp;col=6&amp;number=3.9&amp;sourceID=14","3.9")</f>
        <v>3.9</v>
      </c>
      <c r="G8453" s="4" t="str">
        <f>HYPERLINK("http://141.218.60.56/~jnz1568/getInfo.php?workbook=10_05.xlsx&amp;sheet=U0&amp;row=8453&amp;col=7&amp;number=0.00582&amp;sourceID=14","0.00582")</f>
        <v>0.00582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HYPERLINK("http://141.218.60.56/~jnz1568/getInfo.php?workbook=10_05.xlsx&amp;sheet=U0&amp;row=8454&amp;col=6&amp;number=4&amp;sourceID=14","4")</f>
        <v>4</v>
      </c>
      <c r="G8454" s="4" t="str">
        <f>HYPERLINK("http://141.218.60.56/~jnz1568/getInfo.php?workbook=10_05.xlsx&amp;sheet=U0&amp;row=8454&amp;col=7&amp;number=0.0055&amp;sourceID=14","0.0055")</f>
        <v>0.0055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HYPERLINK("http://141.218.60.56/~jnz1568/getInfo.php?workbook=10_05.xlsx&amp;sheet=U0&amp;row=8455&amp;col=6&amp;number=4.1&amp;sourceID=14","4.1")</f>
        <v>4.1</v>
      </c>
      <c r="G8455" s="4" t="str">
        <f>HYPERLINK("http://141.218.60.56/~jnz1568/getInfo.php?workbook=10_05.xlsx&amp;sheet=U0&amp;row=8455&amp;col=7&amp;number=0.00522&amp;sourceID=14","0.00522")</f>
        <v>0.00522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HYPERLINK("http://141.218.60.56/~jnz1568/getInfo.php?workbook=10_05.xlsx&amp;sheet=U0&amp;row=8456&amp;col=6&amp;number=4.2&amp;sourceID=14","4.2")</f>
        <v>4.2</v>
      </c>
      <c r="G8456" s="4" t="str">
        <f>HYPERLINK("http://141.218.60.56/~jnz1568/getInfo.php?workbook=10_05.xlsx&amp;sheet=U0&amp;row=8456&amp;col=7&amp;number=0.00499&amp;sourceID=14","0.00499")</f>
        <v>0.00499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HYPERLINK("http://141.218.60.56/~jnz1568/getInfo.php?workbook=10_05.xlsx&amp;sheet=U0&amp;row=8457&amp;col=6&amp;number=4.3&amp;sourceID=14","4.3")</f>
        <v>4.3</v>
      </c>
      <c r="G8457" s="4" t="str">
        <f>HYPERLINK("http://141.218.60.56/~jnz1568/getInfo.php?workbook=10_05.xlsx&amp;sheet=U0&amp;row=8457&amp;col=7&amp;number=0.0048&amp;sourceID=14","0.0048")</f>
        <v>0.0048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HYPERLINK("http://141.218.60.56/~jnz1568/getInfo.php?workbook=10_05.xlsx&amp;sheet=U0&amp;row=8458&amp;col=6&amp;number=4.4&amp;sourceID=14","4.4")</f>
        <v>4.4</v>
      </c>
      <c r="G8458" s="4" t="str">
        <f>HYPERLINK("http://141.218.60.56/~jnz1568/getInfo.php?workbook=10_05.xlsx&amp;sheet=U0&amp;row=8458&amp;col=7&amp;number=0.0046&amp;sourceID=14","0.0046")</f>
        <v>0.0046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HYPERLINK("http://141.218.60.56/~jnz1568/getInfo.php?workbook=10_05.xlsx&amp;sheet=U0&amp;row=8459&amp;col=6&amp;number=4.5&amp;sourceID=14","4.5")</f>
        <v>4.5</v>
      </c>
      <c r="G8459" s="4" t="str">
        <f>HYPERLINK("http://141.218.60.56/~jnz1568/getInfo.php?workbook=10_05.xlsx&amp;sheet=U0&amp;row=8459&amp;col=7&amp;number=0.00434&amp;sourceID=14","0.00434")</f>
        <v>0.00434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HYPERLINK("http://141.218.60.56/~jnz1568/getInfo.php?workbook=10_05.xlsx&amp;sheet=U0&amp;row=8460&amp;col=6&amp;number=4.6&amp;sourceID=14","4.6")</f>
        <v>4.6</v>
      </c>
      <c r="G8460" s="4" t="str">
        <f>HYPERLINK("http://141.218.60.56/~jnz1568/getInfo.php?workbook=10_05.xlsx&amp;sheet=U0&amp;row=8460&amp;col=7&amp;number=0.00404&amp;sourceID=14","0.00404")</f>
        <v>0.00404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HYPERLINK("http://141.218.60.56/~jnz1568/getInfo.php?workbook=10_05.xlsx&amp;sheet=U0&amp;row=8461&amp;col=6&amp;number=4.7&amp;sourceID=14","4.7")</f>
        <v>4.7</v>
      </c>
      <c r="G8461" s="4" t="str">
        <f>HYPERLINK("http://141.218.60.56/~jnz1568/getInfo.php?workbook=10_05.xlsx&amp;sheet=U0&amp;row=8461&amp;col=7&amp;number=0.00372&amp;sourceID=14","0.00372")</f>
        <v>0.00372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HYPERLINK("http://141.218.60.56/~jnz1568/getInfo.php?workbook=10_05.xlsx&amp;sheet=U0&amp;row=8462&amp;col=6&amp;number=4.8&amp;sourceID=14","4.8")</f>
        <v>4.8</v>
      </c>
      <c r="G8462" s="4" t="str">
        <f>HYPERLINK("http://141.218.60.56/~jnz1568/getInfo.php?workbook=10_05.xlsx&amp;sheet=U0&amp;row=8462&amp;col=7&amp;number=0.0034&amp;sourceID=14","0.0034")</f>
        <v>0.0034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HYPERLINK("http://141.218.60.56/~jnz1568/getInfo.php?workbook=10_05.xlsx&amp;sheet=U0&amp;row=8463&amp;col=6&amp;number=4.9&amp;sourceID=14","4.9")</f>
        <v>4.9</v>
      </c>
      <c r="G8463" s="4" t="str">
        <f>HYPERLINK("http://141.218.60.56/~jnz1568/getInfo.php?workbook=10_05.xlsx&amp;sheet=U0&amp;row=8463&amp;col=7&amp;number=0.00306&amp;sourceID=14","0.00306")</f>
        <v>0.00306</v>
      </c>
    </row>
    <row r="8464" spans="1:7">
      <c r="A8464" s="3">
        <v>10</v>
      </c>
      <c r="B8464" s="3">
        <v>5</v>
      </c>
      <c r="C8464" s="3">
        <v>3</v>
      </c>
      <c r="D8464" s="3">
        <v>70</v>
      </c>
      <c r="E8464" s="3">
        <v>1</v>
      </c>
      <c r="F8464" s="4" t="str">
        <f>HYPERLINK("http://141.218.60.56/~jnz1568/getInfo.php?workbook=10_05.xlsx&amp;sheet=U0&amp;row=8464&amp;col=6&amp;number=3&amp;sourceID=14","3")</f>
        <v>3</v>
      </c>
      <c r="G8464" s="4" t="str">
        <f>HYPERLINK("http://141.218.60.56/~jnz1568/getInfo.php?workbook=10_05.xlsx&amp;sheet=U0&amp;row=8464&amp;col=7&amp;number=0.0903&amp;sourceID=14","0.0903")</f>
        <v>0.0903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HYPERLINK("http://141.218.60.56/~jnz1568/getInfo.php?workbook=10_05.xlsx&amp;sheet=U0&amp;row=8465&amp;col=6&amp;number=3.1&amp;sourceID=14","3.1")</f>
        <v>3.1</v>
      </c>
      <c r="G8465" s="4" t="str">
        <f>HYPERLINK("http://141.218.60.56/~jnz1568/getInfo.php?workbook=10_05.xlsx&amp;sheet=U0&amp;row=8465&amp;col=7&amp;number=0.0904&amp;sourceID=14","0.0904")</f>
        <v>0.0904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HYPERLINK("http://141.218.60.56/~jnz1568/getInfo.php?workbook=10_05.xlsx&amp;sheet=U0&amp;row=8466&amp;col=6&amp;number=3.2&amp;sourceID=14","3.2")</f>
        <v>3.2</v>
      </c>
      <c r="G8466" s="4" t="str">
        <f>HYPERLINK("http://141.218.60.56/~jnz1568/getInfo.php?workbook=10_05.xlsx&amp;sheet=U0&amp;row=8466&amp;col=7&amp;number=0.0905&amp;sourceID=14","0.0905")</f>
        <v>0.0905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HYPERLINK("http://141.218.60.56/~jnz1568/getInfo.php?workbook=10_05.xlsx&amp;sheet=U0&amp;row=8467&amp;col=6&amp;number=3.3&amp;sourceID=14","3.3")</f>
        <v>3.3</v>
      </c>
      <c r="G8467" s="4" t="str">
        <f>HYPERLINK("http://141.218.60.56/~jnz1568/getInfo.php?workbook=10_05.xlsx&amp;sheet=U0&amp;row=8467&amp;col=7&amp;number=0.0907&amp;sourceID=14","0.0907")</f>
        <v>0.0907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HYPERLINK("http://141.218.60.56/~jnz1568/getInfo.php?workbook=10_05.xlsx&amp;sheet=U0&amp;row=8468&amp;col=6&amp;number=3.4&amp;sourceID=14","3.4")</f>
        <v>3.4</v>
      </c>
      <c r="G8468" s="4" t="str">
        <f>HYPERLINK("http://141.218.60.56/~jnz1568/getInfo.php?workbook=10_05.xlsx&amp;sheet=U0&amp;row=8468&amp;col=7&amp;number=0.091&amp;sourceID=14","0.091")</f>
        <v>0.091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HYPERLINK("http://141.218.60.56/~jnz1568/getInfo.php?workbook=10_05.xlsx&amp;sheet=U0&amp;row=8469&amp;col=6&amp;number=3.5&amp;sourceID=14","3.5")</f>
        <v>3.5</v>
      </c>
      <c r="G8469" s="4" t="str">
        <f>HYPERLINK("http://141.218.60.56/~jnz1568/getInfo.php?workbook=10_05.xlsx&amp;sheet=U0&amp;row=8469&amp;col=7&amp;number=0.0913&amp;sourceID=14","0.0913")</f>
        <v>0.0913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HYPERLINK("http://141.218.60.56/~jnz1568/getInfo.php?workbook=10_05.xlsx&amp;sheet=U0&amp;row=8470&amp;col=6&amp;number=3.6&amp;sourceID=14","3.6")</f>
        <v>3.6</v>
      </c>
      <c r="G8470" s="4" t="str">
        <f>HYPERLINK("http://141.218.60.56/~jnz1568/getInfo.php?workbook=10_05.xlsx&amp;sheet=U0&amp;row=8470&amp;col=7&amp;number=0.0916&amp;sourceID=14","0.0916")</f>
        <v>0.0916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HYPERLINK("http://141.218.60.56/~jnz1568/getInfo.php?workbook=10_05.xlsx&amp;sheet=U0&amp;row=8471&amp;col=6&amp;number=3.7&amp;sourceID=14","3.7")</f>
        <v>3.7</v>
      </c>
      <c r="G8471" s="4" t="str">
        <f>HYPERLINK("http://141.218.60.56/~jnz1568/getInfo.php?workbook=10_05.xlsx&amp;sheet=U0&amp;row=8471&amp;col=7&amp;number=0.092&amp;sourceID=14","0.092")</f>
        <v>0.092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HYPERLINK("http://141.218.60.56/~jnz1568/getInfo.php?workbook=10_05.xlsx&amp;sheet=U0&amp;row=8472&amp;col=6&amp;number=3.8&amp;sourceID=14","3.8")</f>
        <v>3.8</v>
      </c>
      <c r="G8472" s="4" t="str">
        <f>HYPERLINK("http://141.218.60.56/~jnz1568/getInfo.php?workbook=10_05.xlsx&amp;sheet=U0&amp;row=8472&amp;col=7&amp;number=0.0926&amp;sourceID=14","0.0926")</f>
        <v>0.0926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HYPERLINK("http://141.218.60.56/~jnz1568/getInfo.php?workbook=10_05.xlsx&amp;sheet=U0&amp;row=8473&amp;col=6&amp;number=3.9&amp;sourceID=14","3.9")</f>
        <v>3.9</v>
      </c>
      <c r="G8473" s="4" t="str">
        <f>HYPERLINK("http://141.218.60.56/~jnz1568/getInfo.php?workbook=10_05.xlsx&amp;sheet=U0&amp;row=8473&amp;col=7&amp;number=0.0932&amp;sourceID=14","0.0932")</f>
        <v>0.0932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HYPERLINK("http://141.218.60.56/~jnz1568/getInfo.php?workbook=10_05.xlsx&amp;sheet=U0&amp;row=8474&amp;col=6&amp;number=4&amp;sourceID=14","4")</f>
        <v>4</v>
      </c>
      <c r="G8474" s="4" t="str">
        <f>HYPERLINK("http://141.218.60.56/~jnz1568/getInfo.php?workbook=10_05.xlsx&amp;sheet=U0&amp;row=8474&amp;col=7&amp;number=0.0938&amp;sourceID=14","0.0938")</f>
        <v>0.0938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HYPERLINK("http://141.218.60.56/~jnz1568/getInfo.php?workbook=10_05.xlsx&amp;sheet=U0&amp;row=8475&amp;col=6&amp;number=4.1&amp;sourceID=14","4.1")</f>
        <v>4.1</v>
      </c>
      <c r="G8475" s="4" t="str">
        <f>HYPERLINK("http://141.218.60.56/~jnz1568/getInfo.php?workbook=10_05.xlsx&amp;sheet=U0&amp;row=8475&amp;col=7&amp;number=0.0945&amp;sourceID=14","0.0945")</f>
        <v>0.0945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HYPERLINK("http://141.218.60.56/~jnz1568/getInfo.php?workbook=10_05.xlsx&amp;sheet=U0&amp;row=8476&amp;col=6&amp;number=4.2&amp;sourceID=14","4.2")</f>
        <v>4.2</v>
      </c>
      <c r="G8476" s="4" t="str">
        <f>HYPERLINK("http://141.218.60.56/~jnz1568/getInfo.php?workbook=10_05.xlsx&amp;sheet=U0&amp;row=8476&amp;col=7&amp;number=0.0952&amp;sourceID=14","0.0952")</f>
        <v>0.0952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HYPERLINK("http://141.218.60.56/~jnz1568/getInfo.php?workbook=10_05.xlsx&amp;sheet=U0&amp;row=8477&amp;col=6&amp;number=4.3&amp;sourceID=14","4.3")</f>
        <v>4.3</v>
      </c>
      <c r="G8477" s="4" t="str">
        <f>HYPERLINK("http://141.218.60.56/~jnz1568/getInfo.php?workbook=10_05.xlsx&amp;sheet=U0&amp;row=8477&amp;col=7&amp;number=0.0956&amp;sourceID=14","0.0956")</f>
        <v>0.0956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HYPERLINK("http://141.218.60.56/~jnz1568/getInfo.php?workbook=10_05.xlsx&amp;sheet=U0&amp;row=8478&amp;col=6&amp;number=4.4&amp;sourceID=14","4.4")</f>
        <v>4.4</v>
      </c>
      <c r="G8478" s="4" t="str">
        <f>HYPERLINK("http://141.218.60.56/~jnz1568/getInfo.php?workbook=10_05.xlsx&amp;sheet=U0&amp;row=8478&amp;col=7&amp;number=0.0955&amp;sourceID=14","0.0955")</f>
        <v>0.0955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HYPERLINK("http://141.218.60.56/~jnz1568/getInfo.php?workbook=10_05.xlsx&amp;sheet=U0&amp;row=8479&amp;col=6&amp;number=4.5&amp;sourceID=14","4.5")</f>
        <v>4.5</v>
      </c>
      <c r="G8479" s="4" t="str">
        <f>HYPERLINK("http://141.218.60.56/~jnz1568/getInfo.php?workbook=10_05.xlsx&amp;sheet=U0&amp;row=8479&amp;col=7&amp;number=0.0948&amp;sourceID=14","0.0948")</f>
        <v>0.0948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HYPERLINK("http://141.218.60.56/~jnz1568/getInfo.php?workbook=10_05.xlsx&amp;sheet=U0&amp;row=8480&amp;col=6&amp;number=4.6&amp;sourceID=14","4.6")</f>
        <v>4.6</v>
      </c>
      <c r="G8480" s="4" t="str">
        <f>HYPERLINK("http://141.218.60.56/~jnz1568/getInfo.php?workbook=10_05.xlsx&amp;sheet=U0&amp;row=8480&amp;col=7&amp;number=0.0937&amp;sourceID=14","0.0937")</f>
        <v>0.0937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HYPERLINK("http://141.218.60.56/~jnz1568/getInfo.php?workbook=10_05.xlsx&amp;sheet=U0&amp;row=8481&amp;col=6&amp;number=4.7&amp;sourceID=14","4.7")</f>
        <v>4.7</v>
      </c>
      <c r="G8481" s="4" t="str">
        <f>HYPERLINK("http://141.218.60.56/~jnz1568/getInfo.php?workbook=10_05.xlsx&amp;sheet=U0&amp;row=8481&amp;col=7&amp;number=0.0924&amp;sourceID=14","0.0924")</f>
        <v>0.0924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HYPERLINK("http://141.218.60.56/~jnz1568/getInfo.php?workbook=10_05.xlsx&amp;sheet=U0&amp;row=8482&amp;col=6&amp;number=4.8&amp;sourceID=14","4.8")</f>
        <v>4.8</v>
      </c>
      <c r="G8482" s="4" t="str">
        <f>HYPERLINK("http://141.218.60.56/~jnz1568/getInfo.php?workbook=10_05.xlsx&amp;sheet=U0&amp;row=8482&amp;col=7&amp;number=0.0913&amp;sourceID=14","0.0913")</f>
        <v>0.0913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HYPERLINK("http://141.218.60.56/~jnz1568/getInfo.php?workbook=10_05.xlsx&amp;sheet=U0&amp;row=8483&amp;col=6&amp;number=4.9&amp;sourceID=14","4.9")</f>
        <v>4.9</v>
      </c>
      <c r="G8483" s="4" t="str">
        <f>HYPERLINK("http://141.218.60.56/~jnz1568/getInfo.php?workbook=10_05.xlsx&amp;sheet=U0&amp;row=8483&amp;col=7&amp;number=0.0903&amp;sourceID=14","0.0903")</f>
        <v>0.0903</v>
      </c>
    </row>
    <row r="8484" spans="1:7">
      <c r="A8484" s="3">
        <v>10</v>
      </c>
      <c r="B8484" s="3">
        <v>5</v>
      </c>
      <c r="C8484" s="3">
        <v>3</v>
      </c>
      <c r="D8484" s="3">
        <v>71</v>
      </c>
      <c r="E8484" s="3">
        <v>1</v>
      </c>
      <c r="F8484" s="4" t="str">
        <f>HYPERLINK("http://141.218.60.56/~jnz1568/getInfo.php?workbook=10_05.xlsx&amp;sheet=U0&amp;row=8484&amp;col=6&amp;number=3&amp;sourceID=14","3")</f>
        <v>3</v>
      </c>
      <c r="G8484" s="4" t="str">
        <f>HYPERLINK("http://141.218.60.56/~jnz1568/getInfo.php?workbook=10_05.xlsx&amp;sheet=U0&amp;row=8484&amp;col=7&amp;number=0.0215&amp;sourceID=14","0.0215")</f>
        <v>0.0215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HYPERLINK("http://141.218.60.56/~jnz1568/getInfo.php?workbook=10_05.xlsx&amp;sheet=U0&amp;row=8485&amp;col=6&amp;number=3.1&amp;sourceID=14","3.1")</f>
        <v>3.1</v>
      </c>
      <c r="G8485" s="4" t="str">
        <f>HYPERLINK("http://141.218.60.56/~jnz1568/getInfo.php?workbook=10_05.xlsx&amp;sheet=U0&amp;row=8485&amp;col=7&amp;number=0.0216&amp;sourceID=14","0.0216")</f>
        <v>0.0216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HYPERLINK("http://141.218.60.56/~jnz1568/getInfo.php?workbook=10_05.xlsx&amp;sheet=U0&amp;row=8486&amp;col=6&amp;number=3.2&amp;sourceID=14","3.2")</f>
        <v>3.2</v>
      </c>
      <c r="G8486" s="4" t="str">
        <f>HYPERLINK("http://141.218.60.56/~jnz1568/getInfo.php?workbook=10_05.xlsx&amp;sheet=U0&amp;row=8486&amp;col=7&amp;number=0.0216&amp;sourceID=14","0.0216")</f>
        <v>0.0216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HYPERLINK("http://141.218.60.56/~jnz1568/getInfo.php?workbook=10_05.xlsx&amp;sheet=U0&amp;row=8487&amp;col=6&amp;number=3.3&amp;sourceID=14","3.3")</f>
        <v>3.3</v>
      </c>
      <c r="G8487" s="4" t="str">
        <f>HYPERLINK("http://141.218.60.56/~jnz1568/getInfo.php?workbook=10_05.xlsx&amp;sheet=U0&amp;row=8487&amp;col=7&amp;number=0.0217&amp;sourceID=14","0.0217")</f>
        <v>0.0217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HYPERLINK("http://141.218.60.56/~jnz1568/getInfo.php?workbook=10_05.xlsx&amp;sheet=U0&amp;row=8488&amp;col=6&amp;number=3.4&amp;sourceID=14","3.4")</f>
        <v>3.4</v>
      </c>
      <c r="G8488" s="4" t="str">
        <f>HYPERLINK("http://141.218.60.56/~jnz1568/getInfo.php?workbook=10_05.xlsx&amp;sheet=U0&amp;row=8488&amp;col=7&amp;number=0.0218&amp;sourceID=14","0.0218")</f>
        <v>0.0218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HYPERLINK("http://141.218.60.56/~jnz1568/getInfo.php?workbook=10_05.xlsx&amp;sheet=U0&amp;row=8489&amp;col=6&amp;number=3.5&amp;sourceID=14","3.5")</f>
        <v>3.5</v>
      </c>
      <c r="G8489" s="4" t="str">
        <f>HYPERLINK("http://141.218.60.56/~jnz1568/getInfo.php?workbook=10_05.xlsx&amp;sheet=U0&amp;row=8489&amp;col=7&amp;number=0.022&amp;sourceID=14","0.022")</f>
        <v>0.022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HYPERLINK("http://141.218.60.56/~jnz1568/getInfo.php?workbook=10_05.xlsx&amp;sheet=U0&amp;row=8490&amp;col=6&amp;number=3.6&amp;sourceID=14","3.6")</f>
        <v>3.6</v>
      </c>
      <c r="G8490" s="4" t="str">
        <f>HYPERLINK("http://141.218.60.56/~jnz1568/getInfo.php?workbook=10_05.xlsx&amp;sheet=U0&amp;row=8490&amp;col=7&amp;number=0.0221&amp;sourceID=14","0.0221")</f>
        <v>0.0221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HYPERLINK("http://141.218.60.56/~jnz1568/getInfo.php?workbook=10_05.xlsx&amp;sheet=U0&amp;row=8491&amp;col=6&amp;number=3.7&amp;sourceID=14","3.7")</f>
        <v>3.7</v>
      </c>
      <c r="G8491" s="4" t="str">
        <f>HYPERLINK("http://141.218.60.56/~jnz1568/getInfo.php?workbook=10_05.xlsx&amp;sheet=U0&amp;row=8491&amp;col=7&amp;number=0.0223&amp;sourceID=14","0.0223")</f>
        <v>0.0223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HYPERLINK("http://141.218.60.56/~jnz1568/getInfo.php?workbook=10_05.xlsx&amp;sheet=U0&amp;row=8492&amp;col=6&amp;number=3.8&amp;sourceID=14","3.8")</f>
        <v>3.8</v>
      </c>
      <c r="G8492" s="4" t="str">
        <f>HYPERLINK("http://141.218.60.56/~jnz1568/getInfo.php?workbook=10_05.xlsx&amp;sheet=U0&amp;row=8492&amp;col=7&amp;number=0.0226&amp;sourceID=14","0.0226")</f>
        <v>0.0226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HYPERLINK("http://141.218.60.56/~jnz1568/getInfo.php?workbook=10_05.xlsx&amp;sheet=U0&amp;row=8493&amp;col=6&amp;number=3.9&amp;sourceID=14","3.9")</f>
        <v>3.9</v>
      </c>
      <c r="G8493" s="4" t="str">
        <f>HYPERLINK("http://141.218.60.56/~jnz1568/getInfo.php?workbook=10_05.xlsx&amp;sheet=U0&amp;row=8493&amp;col=7&amp;number=0.0228&amp;sourceID=14","0.0228")</f>
        <v>0.0228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HYPERLINK("http://141.218.60.56/~jnz1568/getInfo.php?workbook=10_05.xlsx&amp;sheet=U0&amp;row=8494&amp;col=6&amp;number=4&amp;sourceID=14","4")</f>
        <v>4</v>
      </c>
      <c r="G8494" s="4" t="str">
        <f>HYPERLINK("http://141.218.60.56/~jnz1568/getInfo.php?workbook=10_05.xlsx&amp;sheet=U0&amp;row=8494&amp;col=7&amp;number=0.0231&amp;sourceID=14","0.0231")</f>
        <v>0.0231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HYPERLINK("http://141.218.60.56/~jnz1568/getInfo.php?workbook=10_05.xlsx&amp;sheet=U0&amp;row=8495&amp;col=6&amp;number=4.1&amp;sourceID=14","4.1")</f>
        <v>4.1</v>
      </c>
      <c r="G8495" s="4" t="str">
        <f>HYPERLINK("http://141.218.60.56/~jnz1568/getInfo.php?workbook=10_05.xlsx&amp;sheet=U0&amp;row=8495&amp;col=7&amp;number=0.0233&amp;sourceID=14","0.0233")</f>
        <v>0.0233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HYPERLINK("http://141.218.60.56/~jnz1568/getInfo.php?workbook=10_05.xlsx&amp;sheet=U0&amp;row=8496&amp;col=6&amp;number=4.2&amp;sourceID=14","4.2")</f>
        <v>4.2</v>
      </c>
      <c r="G8496" s="4" t="str">
        <f>HYPERLINK("http://141.218.60.56/~jnz1568/getInfo.php?workbook=10_05.xlsx&amp;sheet=U0&amp;row=8496&amp;col=7&amp;number=0.0234&amp;sourceID=14","0.0234")</f>
        <v>0.0234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HYPERLINK("http://141.218.60.56/~jnz1568/getInfo.php?workbook=10_05.xlsx&amp;sheet=U0&amp;row=8497&amp;col=6&amp;number=4.3&amp;sourceID=14","4.3")</f>
        <v>4.3</v>
      </c>
      <c r="G8497" s="4" t="str">
        <f>HYPERLINK("http://141.218.60.56/~jnz1568/getInfo.php?workbook=10_05.xlsx&amp;sheet=U0&amp;row=8497&amp;col=7&amp;number=0.0232&amp;sourceID=14","0.0232")</f>
        <v>0.0232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HYPERLINK("http://141.218.60.56/~jnz1568/getInfo.php?workbook=10_05.xlsx&amp;sheet=U0&amp;row=8498&amp;col=6&amp;number=4.4&amp;sourceID=14","4.4")</f>
        <v>4.4</v>
      </c>
      <c r="G8498" s="4" t="str">
        <f>HYPERLINK("http://141.218.60.56/~jnz1568/getInfo.php?workbook=10_05.xlsx&amp;sheet=U0&amp;row=8498&amp;col=7&amp;number=0.0227&amp;sourceID=14","0.0227")</f>
        <v>0.0227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HYPERLINK("http://141.218.60.56/~jnz1568/getInfo.php?workbook=10_05.xlsx&amp;sheet=U0&amp;row=8499&amp;col=6&amp;number=4.5&amp;sourceID=14","4.5")</f>
        <v>4.5</v>
      </c>
      <c r="G8499" s="4" t="str">
        <f>HYPERLINK("http://141.218.60.56/~jnz1568/getInfo.php?workbook=10_05.xlsx&amp;sheet=U0&amp;row=8499&amp;col=7&amp;number=0.0218&amp;sourceID=14","0.0218")</f>
        <v>0.0218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HYPERLINK("http://141.218.60.56/~jnz1568/getInfo.php?workbook=10_05.xlsx&amp;sheet=U0&amp;row=8500&amp;col=6&amp;number=4.6&amp;sourceID=14","4.6")</f>
        <v>4.6</v>
      </c>
      <c r="G8500" s="4" t="str">
        <f>HYPERLINK("http://141.218.60.56/~jnz1568/getInfo.php?workbook=10_05.xlsx&amp;sheet=U0&amp;row=8500&amp;col=7&amp;number=0.0207&amp;sourceID=14","0.0207")</f>
        <v>0.0207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HYPERLINK("http://141.218.60.56/~jnz1568/getInfo.php?workbook=10_05.xlsx&amp;sheet=U0&amp;row=8501&amp;col=6&amp;number=4.7&amp;sourceID=14","4.7")</f>
        <v>4.7</v>
      </c>
      <c r="G8501" s="4" t="str">
        <f>HYPERLINK("http://141.218.60.56/~jnz1568/getInfo.php?workbook=10_05.xlsx&amp;sheet=U0&amp;row=8501&amp;col=7&amp;number=0.0193&amp;sourceID=14","0.0193")</f>
        <v>0.0193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HYPERLINK("http://141.218.60.56/~jnz1568/getInfo.php?workbook=10_05.xlsx&amp;sheet=U0&amp;row=8502&amp;col=6&amp;number=4.8&amp;sourceID=14","4.8")</f>
        <v>4.8</v>
      </c>
      <c r="G8502" s="4" t="str">
        <f>HYPERLINK("http://141.218.60.56/~jnz1568/getInfo.php?workbook=10_05.xlsx&amp;sheet=U0&amp;row=8502&amp;col=7&amp;number=0.0177&amp;sourceID=14","0.0177")</f>
        <v>0.0177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HYPERLINK("http://141.218.60.56/~jnz1568/getInfo.php?workbook=10_05.xlsx&amp;sheet=U0&amp;row=8503&amp;col=6&amp;number=4.9&amp;sourceID=14","4.9")</f>
        <v>4.9</v>
      </c>
      <c r="G8503" s="4" t="str">
        <f>HYPERLINK("http://141.218.60.56/~jnz1568/getInfo.php?workbook=10_05.xlsx&amp;sheet=U0&amp;row=8503&amp;col=7&amp;number=0.0159&amp;sourceID=14","0.0159")</f>
        <v>0.0159</v>
      </c>
    </row>
    <row r="8504" spans="1:7">
      <c r="A8504" s="3">
        <v>10</v>
      </c>
      <c r="B8504" s="3">
        <v>5</v>
      </c>
      <c r="C8504" s="3">
        <v>3</v>
      </c>
      <c r="D8504" s="3">
        <v>72</v>
      </c>
      <c r="E8504" s="3">
        <v>1</v>
      </c>
      <c r="F8504" s="4" t="str">
        <f>HYPERLINK("http://141.218.60.56/~jnz1568/getInfo.php?workbook=10_05.xlsx&amp;sheet=U0&amp;row=8504&amp;col=6&amp;number=3&amp;sourceID=14","3")</f>
        <v>3</v>
      </c>
      <c r="G8504" s="4" t="str">
        <f>HYPERLINK("http://141.218.60.56/~jnz1568/getInfo.php?workbook=10_05.xlsx&amp;sheet=U0&amp;row=8504&amp;col=7&amp;number=0.0155&amp;sourceID=14","0.0155")</f>
        <v>0.0155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HYPERLINK("http://141.218.60.56/~jnz1568/getInfo.php?workbook=10_05.xlsx&amp;sheet=U0&amp;row=8505&amp;col=6&amp;number=3.1&amp;sourceID=14","3.1")</f>
        <v>3.1</v>
      </c>
      <c r="G8505" s="4" t="str">
        <f>HYPERLINK("http://141.218.60.56/~jnz1568/getInfo.php?workbook=10_05.xlsx&amp;sheet=U0&amp;row=8505&amp;col=7&amp;number=0.0159&amp;sourceID=14","0.0159")</f>
        <v>0.0159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HYPERLINK("http://141.218.60.56/~jnz1568/getInfo.php?workbook=10_05.xlsx&amp;sheet=U0&amp;row=8506&amp;col=6&amp;number=3.2&amp;sourceID=14","3.2")</f>
        <v>3.2</v>
      </c>
      <c r="G8506" s="4" t="str">
        <f>HYPERLINK("http://141.218.60.56/~jnz1568/getInfo.php?workbook=10_05.xlsx&amp;sheet=U0&amp;row=8506&amp;col=7&amp;number=0.0164&amp;sourceID=14","0.0164")</f>
        <v>0.0164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HYPERLINK("http://141.218.60.56/~jnz1568/getInfo.php?workbook=10_05.xlsx&amp;sheet=U0&amp;row=8507&amp;col=6&amp;number=3.3&amp;sourceID=14","3.3")</f>
        <v>3.3</v>
      </c>
      <c r="G8507" s="4" t="str">
        <f>HYPERLINK("http://141.218.60.56/~jnz1568/getInfo.php?workbook=10_05.xlsx&amp;sheet=U0&amp;row=8507&amp;col=7&amp;number=0.017&amp;sourceID=14","0.017")</f>
        <v>0.017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HYPERLINK("http://141.218.60.56/~jnz1568/getInfo.php?workbook=10_05.xlsx&amp;sheet=U0&amp;row=8508&amp;col=6&amp;number=3.4&amp;sourceID=14","3.4")</f>
        <v>3.4</v>
      </c>
      <c r="G8508" s="4" t="str">
        <f>HYPERLINK("http://141.218.60.56/~jnz1568/getInfo.php?workbook=10_05.xlsx&amp;sheet=U0&amp;row=8508&amp;col=7&amp;number=0.0176&amp;sourceID=14","0.0176")</f>
        <v>0.0176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HYPERLINK("http://141.218.60.56/~jnz1568/getInfo.php?workbook=10_05.xlsx&amp;sheet=U0&amp;row=8509&amp;col=6&amp;number=3.5&amp;sourceID=14","3.5")</f>
        <v>3.5</v>
      </c>
      <c r="G8509" s="4" t="str">
        <f>HYPERLINK("http://141.218.60.56/~jnz1568/getInfo.php?workbook=10_05.xlsx&amp;sheet=U0&amp;row=8509&amp;col=7&amp;number=0.0185&amp;sourceID=14","0.0185")</f>
        <v>0.0185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HYPERLINK("http://141.218.60.56/~jnz1568/getInfo.php?workbook=10_05.xlsx&amp;sheet=U0&amp;row=8510&amp;col=6&amp;number=3.6&amp;sourceID=14","3.6")</f>
        <v>3.6</v>
      </c>
      <c r="G8510" s="4" t="str">
        <f>HYPERLINK("http://141.218.60.56/~jnz1568/getInfo.php?workbook=10_05.xlsx&amp;sheet=U0&amp;row=8510&amp;col=7&amp;number=0.0194&amp;sourceID=14","0.0194")</f>
        <v>0.0194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HYPERLINK("http://141.218.60.56/~jnz1568/getInfo.php?workbook=10_05.xlsx&amp;sheet=U0&amp;row=8511&amp;col=6&amp;number=3.7&amp;sourceID=14","3.7")</f>
        <v>3.7</v>
      </c>
      <c r="G8511" s="4" t="str">
        <f>HYPERLINK("http://141.218.60.56/~jnz1568/getInfo.php?workbook=10_05.xlsx&amp;sheet=U0&amp;row=8511&amp;col=7&amp;number=0.0203&amp;sourceID=14","0.0203")</f>
        <v>0.0203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HYPERLINK("http://141.218.60.56/~jnz1568/getInfo.php?workbook=10_05.xlsx&amp;sheet=U0&amp;row=8512&amp;col=6&amp;number=3.8&amp;sourceID=14","3.8")</f>
        <v>3.8</v>
      </c>
      <c r="G8512" s="4" t="str">
        <f>HYPERLINK("http://141.218.60.56/~jnz1568/getInfo.php?workbook=10_05.xlsx&amp;sheet=U0&amp;row=8512&amp;col=7&amp;number=0.0213&amp;sourceID=14","0.0213")</f>
        <v>0.0213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HYPERLINK("http://141.218.60.56/~jnz1568/getInfo.php?workbook=10_05.xlsx&amp;sheet=U0&amp;row=8513&amp;col=6&amp;number=3.9&amp;sourceID=14","3.9")</f>
        <v>3.9</v>
      </c>
      <c r="G8513" s="4" t="str">
        <f>HYPERLINK("http://141.218.60.56/~jnz1568/getInfo.php?workbook=10_05.xlsx&amp;sheet=U0&amp;row=8513&amp;col=7&amp;number=0.0221&amp;sourceID=14","0.0221")</f>
        <v>0.0221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HYPERLINK("http://141.218.60.56/~jnz1568/getInfo.php?workbook=10_05.xlsx&amp;sheet=U0&amp;row=8514&amp;col=6&amp;number=4&amp;sourceID=14","4")</f>
        <v>4</v>
      </c>
      <c r="G8514" s="4" t="str">
        <f>HYPERLINK("http://141.218.60.56/~jnz1568/getInfo.php?workbook=10_05.xlsx&amp;sheet=U0&amp;row=8514&amp;col=7&amp;number=0.0228&amp;sourceID=14","0.0228")</f>
        <v>0.0228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HYPERLINK("http://141.218.60.56/~jnz1568/getInfo.php?workbook=10_05.xlsx&amp;sheet=U0&amp;row=8515&amp;col=6&amp;number=4.1&amp;sourceID=14","4.1")</f>
        <v>4.1</v>
      </c>
      <c r="G8515" s="4" t="str">
        <f>HYPERLINK("http://141.218.60.56/~jnz1568/getInfo.php?workbook=10_05.xlsx&amp;sheet=U0&amp;row=8515&amp;col=7&amp;number=0.0232&amp;sourceID=14","0.0232")</f>
        <v>0.0232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HYPERLINK("http://141.218.60.56/~jnz1568/getInfo.php?workbook=10_05.xlsx&amp;sheet=U0&amp;row=8516&amp;col=6&amp;number=4.2&amp;sourceID=14","4.2")</f>
        <v>4.2</v>
      </c>
      <c r="G8516" s="4" t="str">
        <f>HYPERLINK("http://141.218.60.56/~jnz1568/getInfo.php?workbook=10_05.xlsx&amp;sheet=U0&amp;row=8516&amp;col=7&amp;number=0.0235&amp;sourceID=14","0.0235")</f>
        <v>0.0235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HYPERLINK("http://141.218.60.56/~jnz1568/getInfo.php?workbook=10_05.xlsx&amp;sheet=U0&amp;row=8517&amp;col=6&amp;number=4.3&amp;sourceID=14","4.3")</f>
        <v>4.3</v>
      </c>
      <c r="G8517" s="4" t="str">
        <f>HYPERLINK("http://141.218.60.56/~jnz1568/getInfo.php?workbook=10_05.xlsx&amp;sheet=U0&amp;row=8517&amp;col=7&amp;number=0.0237&amp;sourceID=14","0.0237")</f>
        <v>0.0237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HYPERLINK("http://141.218.60.56/~jnz1568/getInfo.php?workbook=10_05.xlsx&amp;sheet=U0&amp;row=8518&amp;col=6&amp;number=4.4&amp;sourceID=14","4.4")</f>
        <v>4.4</v>
      </c>
      <c r="G8518" s="4" t="str">
        <f>HYPERLINK("http://141.218.60.56/~jnz1568/getInfo.php?workbook=10_05.xlsx&amp;sheet=U0&amp;row=8518&amp;col=7&amp;number=0.0234&amp;sourceID=14","0.0234")</f>
        <v>0.0234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HYPERLINK("http://141.218.60.56/~jnz1568/getInfo.php?workbook=10_05.xlsx&amp;sheet=U0&amp;row=8519&amp;col=6&amp;number=4.5&amp;sourceID=14","4.5")</f>
        <v>4.5</v>
      </c>
      <c r="G8519" s="4" t="str">
        <f>HYPERLINK("http://141.218.60.56/~jnz1568/getInfo.php?workbook=10_05.xlsx&amp;sheet=U0&amp;row=8519&amp;col=7&amp;number=0.0226&amp;sourceID=14","0.0226")</f>
        <v>0.0226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HYPERLINK("http://141.218.60.56/~jnz1568/getInfo.php?workbook=10_05.xlsx&amp;sheet=U0&amp;row=8520&amp;col=6&amp;number=4.6&amp;sourceID=14","4.6")</f>
        <v>4.6</v>
      </c>
      <c r="G8520" s="4" t="str">
        <f>HYPERLINK("http://141.218.60.56/~jnz1568/getInfo.php?workbook=10_05.xlsx&amp;sheet=U0&amp;row=8520&amp;col=7&amp;number=0.0214&amp;sourceID=14","0.0214")</f>
        <v>0.0214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HYPERLINK("http://141.218.60.56/~jnz1568/getInfo.php?workbook=10_05.xlsx&amp;sheet=U0&amp;row=8521&amp;col=6&amp;number=4.7&amp;sourceID=14","4.7")</f>
        <v>4.7</v>
      </c>
      <c r="G8521" s="4" t="str">
        <f>HYPERLINK("http://141.218.60.56/~jnz1568/getInfo.php?workbook=10_05.xlsx&amp;sheet=U0&amp;row=8521&amp;col=7&amp;number=0.0199&amp;sourceID=14","0.0199")</f>
        <v>0.0199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HYPERLINK("http://141.218.60.56/~jnz1568/getInfo.php?workbook=10_05.xlsx&amp;sheet=U0&amp;row=8522&amp;col=6&amp;number=4.8&amp;sourceID=14","4.8")</f>
        <v>4.8</v>
      </c>
      <c r="G8522" s="4" t="str">
        <f>HYPERLINK("http://141.218.60.56/~jnz1568/getInfo.php?workbook=10_05.xlsx&amp;sheet=U0&amp;row=8522&amp;col=7&amp;number=0.0181&amp;sourceID=14","0.0181")</f>
        <v>0.0181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HYPERLINK("http://141.218.60.56/~jnz1568/getInfo.php?workbook=10_05.xlsx&amp;sheet=U0&amp;row=8523&amp;col=6&amp;number=4.9&amp;sourceID=14","4.9")</f>
        <v>4.9</v>
      </c>
      <c r="G8523" s="4" t="str">
        <f>HYPERLINK("http://141.218.60.56/~jnz1568/getInfo.php?workbook=10_05.xlsx&amp;sheet=U0&amp;row=8523&amp;col=7&amp;number=0.0162&amp;sourceID=14","0.0162")</f>
        <v>0.0162</v>
      </c>
    </row>
    <row r="8524" spans="1:7">
      <c r="A8524" s="3">
        <v>10</v>
      </c>
      <c r="B8524" s="3">
        <v>5</v>
      </c>
      <c r="C8524" s="3">
        <v>3</v>
      </c>
      <c r="D8524" s="3">
        <v>73</v>
      </c>
      <c r="E8524" s="3">
        <v>1</v>
      </c>
      <c r="F8524" s="4" t="str">
        <f>HYPERLINK("http://141.218.60.56/~jnz1568/getInfo.php?workbook=10_05.xlsx&amp;sheet=U0&amp;row=8524&amp;col=6&amp;number=3&amp;sourceID=14","3")</f>
        <v>3</v>
      </c>
      <c r="G8524" s="4" t="str">
        <f>HYPERLINK("http://141.218.60.56/~jnz1568/getInfo.php?workbook=10_05.xlsx&amp;sheet=U0&amp;row=8524&amp;col=7&amp;number=0.00726&amp;sourceID=14","0.00726")</f>
        <v>0.00726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HYPERLINK("http://141.218.60.56/~jnz1568/getInfo.php?workbook=10_05.xlsx&amp;sheet=U0&amp;row=8525&amp;col=6&amp;number=3.1&amp;sourceID=14","3.1")</f>
        <v>3.1</v>
      </c>
      <c r="G8525" s="4" t="str">
        <f>HYPERLINK("http://141.218.60.56/~jnz1568/getInfo.php?workbook=10_05.xlsx&amp;sheet=U0&amp;row=8525&amp;col=7&amp;number=0.0072&amp;sourceID=14","0.0072")</f>
        <v>0.0072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HYPERLINK("http://141.218.60.56/~jnz1568/getInfo.php?workbook=10_05.xlsx&amp;sheet=U0&amp;row=8526&amp;col=6&amp;number=3.2&amp;sourceID=14","3.2")</f>
        <v>3.2</v>
      </c>
      <c r="G8526" s="4" t="str">
        <f>HYPERLINK("http://141.218.60.56/~jnz1568/getInfo.php?workbook=10_05.xlsx&amp;sheet=U0&amp;row=8526&amp;col=7&amp;number=0.00713&amp;sourceID=14","0.00713")</f>
        <v>0.00713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HYPERLINK("http://141.218.60.56/~jnz1568/getInfo.php?workbook=10_05.xlsx&amp;sheet=U0&amp;row=8527&amp;col=6&amp;number=3.3&amp;sourceID=14","3.3")</f>
        <v>3.3</v>
      </c>
      <c r="G8527" s="4" t="str">
        <f>HYPERLINK("http://141.218.60.56/~jnz1568/getInfo.php?workbook=10_05.xlsx&amp;sheet=U0&amp;row=8527&amp;col=7&amp;number=0.00704&amp;sourceID=14","0.00704")</f>
        <v>0.00704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HYPERLINK("http://141.218.60.56/~jnz1568/getInfo.php?workbook=10_05.xlsx&amp;sheet=U0&amp;row=8528&amp;col=6&amp;number=3.4&amp;sourceID=14","3.4")</f>
        <v>3.4</v>
      </c>
      <c r="G8528" s="4" t="str">
        <f>HYPERLINK("http://141.218.60.56/~jnz1568/getInfo.php?workbook=10_05.xlsx&amp;sheet=U0&amp;row=8528&amp;col=7&amp;number=0.00693&amp;sourceID=14","0.00693")</f>
        <v>0.00693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HYPERLINK("http://141.218.60.56/~jnz1568/getInfo.php?workbook=10_05.xlsx&amp;sheet=U0&amp;row=8529&amp;col=6&amp;number=3.5&amp;sourceID=14","3.5")</f>
        <v>3.5</v>
      </c>
      <c r="G8529" s="4" t="str">
        <f>HYPERLINK("http://141.218.60.56/~jnz1568/getInfo.php?workbook=10_05.xlsx&amp;sheet=U0&amp;row=8529&amp;col=7&amp;number=0.0068&amp;sourceID=14","0.0068")</f>
        <v>0.0068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HYPERLINK("http://141.218.60.56/~jnz1568/getInfo.php?workbook=10_05.xlsx&amp;sheet=U0&amp;row=8530&amp;col=6&amp;number=3.6&amp;sourceID=14","3.6")</f>
        <v>3.6</v>
      </c>
      <c r="G8530" s="4" t="str">
        <f>HYPERLINK("http://141.218.60.56/~jnz1568/getInfo.php?workbook=10_05.xlsx&amp;sheet=U0&amp;row=8530&amp;col=7&amp;number=0.00665&amp;sourceID=14","0.00665")</f>
        <v>0.00665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HYPERLINK("http://141.218.60.56/~jnz1568/getInfo.php?workbook=10_05.xlsx&amp;sheet=U0&amp;row=8531&amp;col=6&amp;number=3.7&amp;sourceID=14","3.7")</f>
        <v>3.7</v>
      </c>
      <c r="G8531" s="4" t="str">
        <f>HYPERLINK("http://141.218.60.56/~jnz1568/getInfo.php?workbook=10_05.xlsx&amp;sheet=U0&amp;row=8531&amp;col=7&amp;number=0.00648&amp;sourceID=14","0.00648")</f>
        <v>0.00648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HYPERLINK("http://141.218.60.56/~jnz1568/getInfo.php?workbook=10_05.xlsx&amp;sheet=U0&amp;row=8532&amp;col=6&amp;number=3.8&amp;sourceID=14","3.8")</f>
        <v>3.8</v>
      </c>
      <c r="G8532" s="4" t="str">
        <f>HYPERLINK("http://141.218.60.56/~jnz1568/getInfo.php?workbook=10_05.xlsx&amp;sheet=U0&amp;row=8532&amp;col=7&amp;number=0.00632&amp;sourceID=14","0.00632")</f>
        <v>0.00632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HYPERLINK("http://141.218.60.56/~jnz1568/getInfo.php?workbook=10_05.xlsx&amp;sheet=U0&amp;row=8533&amp;col=6&amp;number=3.9&amp;sourceID=14","3.9")</f>
        <v>3.9</v>
      </c>
      <c r="G8533" s="4" t="str">
        <f>HYPERLINK("http://141.218.60.56/~jnz1568/getInfo.php?workbook=10_05.xlsx&amp;sheet=U0&amp;row=8533&amp;col=7&amp;number=0.00617&amp;sourceID=14","0.00617")</f>
        <v>0.00617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HYPERLINK("http://141.218.60.56/~jnz1568/getInfo.php?workbook=10_05.xlsx&amp;sheet=U0&amp;row=8534&amp;col=6&amp;number=4&amp;sourceID=14","4")</f>
        <v>4</v>
      </c>
      <c r="G8534" s="4" t="str">
        <f>HYPERLINK("http://141.218.60.56/~jnz1568/getInfo.php?workbook=10_05.xlsx&amp;sheet=U0&amp;row=8534&amp;col=7&amp;number=0.00608&amp;sourceID=14","0.00608")</f>
        <v>0.00608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HYPERLINK("http://141.218.60.56/~jnz1568/getInfo.php?workbook=10_05.xlsx&amp;sheet=U0&amp;row=8535&amp;col=6&amp;number=4.1&amp;sourceID=14","4.1")</f>
        <v>4.1</v>
      </c>
      <c r="G8535" s="4" t="str">
        <f>HYPERLINK("http://141.218.60.56/~jnz1568/getInfo.php?workbook=10_05.xlsx&amp;sheet=U0&amp;row=8535&amp;col=7&amp;number=0.00605&amp;sourceID=14","0.00605")</f>
        <v>0.00605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HYPERLINK("http://141.218.60.56/~jnz1568/getInfo.php?workbook=10_05.xlsx&amp;sheet=U0&amp;row=8536&amp;col=6&amp;number=4.2&amp;sourceID=14","4.2")</f>
        <v>4.2</v>
      </c>
      <c r="G8536" s="4" t="str">
        <f>HYPERLINK("http://141.218.60.56/~jnz1568/getInfo.php?workbook=10_05.xlsx&amp;sheet=U0&amp;row=8536&amp;col=7&amp;number=0.00606&amp;sourceID=14","0.00606")</f>
        <v>0.00606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HYPERLINK("http://141.218.60.56/~jnz1568/getInfo.php?workbook=10_05.xlsx&amp;sheet=U0&amp;row=8537&amp;col=6&amp;number=4.3&amp;sourceID=14","4.3")</f>
        <v>4.3</v>
      </c>
      <c r="G8537" s="4" t="str">
        <f>HYPERLINK("http://141.218.60.56/~jnz1568/getInfo.php?workbook=10_05.xlsx&amp;sheet=U0&amp;row=8537&amp;col=7&amp;number=0.00604&amp;sourceID=14","0.00604")</f>
        <v>0.00604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HYPERLINK("http://141.218.60.56/~jnz1568/getInfo.php?workbook=10_05.xlsx&amp;sheet=U0&amp;row=8538&amp;col=6&amp;number=4.4&amp;sourceID=14","4.4")</f>
        <v>4.4</v>
      </c>
      <c r="G8538" s="4" t="str">
        <f>HYPERLINK("http://141.218.60.56/~jnz1568/getInfo.php?workbook=10_05.xlsx&amp;sheet=U0&amp;row=8538&amp;col=7&amp;number=0.00592&amp;sourceID=14","0.00592")</f>
        <v>0.00592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HYPERLINK("http://141.218.60.56/~jnz1568/getInfo.php?workbook=10_05.xlsx&amp;sheet=U0&amp;row=8539&amp;col=6&amp;number=4.5&amp;sourceID=14","4.5")</f>
        <v>4.5</v>
      </c>
      <c r="G8539" s="4" t="str">
        <f>HYPERLINK("http://141.218.60.56/~jnz1568/getInfo.php?workbook=10_05.xlsx&amp;sheet=U0&amp;row=8539&amp;col=7&amp;number=0.00573&amp;sourceID=14","0.00573")</f>
        <v>0.00573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HYPERLINK("http://141.218.60.56/~jnz1568/getInfo.php?workbook=10_05.xlsx&amp;sheet=U0&amp;row=8540&amp;col=6&amp;number=4.6&amp;sourceID=14","4.6")</f>
        <v>4.6</v>
      </c>
      <c r="G8540" s="4" t="str">
        <f>HYPERLINK("http://141.218.60.56/~jnz1568/getInfo.php?workbook=10_05.xlsx&amp;sheet=U0&amp;row=8540&amp;col=7&amp;number=0.00547&amp;sourceID=14","0.00547")</f>
        <v>0.00547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HYPERLINK("http://141.218.60.56/~jnz1568/getInfo.php?workbook=10_05.xlsx&amp;sheet=U0&amp;row=8541&amp;col=6&amp;number=4.7&amp;sourceID=14","4.7")</f>
        <v>4.7</v>
      </c>
      <c r="G8541" s="4" t="str">
        <f>HYPERLINK("http://141.218.60.56/~jnz1568/getInfo.php?workbook=10_05.xlsx&amp;sheet=U0&amp;row=8541&amp;col=7&amp;number=0.00514&amp;sourceID=14","0.00514")</f>
        <v>0.00514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HYPERLINK("http://141.218.60.56/~jnz1568/getInfo.php?workbook=10_05.xlsx&amp;sheet=U0&amp;row=8542&amp;col=6&amp;number=4.8&amp;sourceID=14","4.8")</f>
        <v>4.8</v>
      </c>
      <c r="G8542" s="4" t="str">
        <f>HYPERLINK("http://141.218.60.56/~jnz1568/getInfo.php?workbook=10_05.xlsx&amp;sheet=U0&amp;row=8542&amp;col=7&amp;number=0.00473&amp;sourceID=14","0.00473")</f>
        <v>0.00473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HYPERLINK("http://141.218.60.56/~jnz1568/getInfo.php?workbook=10_05.xlsx&amp;sheet=U0&amp;row=8543&amp;col=6&amp;number=4.9&amp;sourceID=14","4.9")</f>
        <v>4.9</v>
      </c>
      <c r="G8543" s="4" t="str">
        <f>HYPERLINK("http://141.218.60.56/~jnz1568/getInfo.php?workbook=10_05.xlsx&amp;sheet=U0&amp;row=8543&amp;col=7&amp;number=0.00427&amp;sourceID=14","0.00427")</f>
        <v>0.00427</v>
      </c>
    </row>
    <row r="8544" spans="1:7">
      <c r="A8544" s="3">
        <v>10</v>
      </c>
      <c r="B8544" s="3">
        <v>5</v>
      </c>
      <c r="C8544" s="3">
        <v>3</v>
      </c>
      <c r="D8544" s="3">
        <v>74</v>
      </c>
      <c r="E8544" s="3">
        <v>1</v>
      </c>
      <c r="F8544" s="4" t="str">
        <f>HYPERLINK("http://141.218.60.56/~jnz1568/getInfo.php?workbook=10_05.xlsx&amp;sheet=U0&amp;row=8544&amp;col=6&amp;number=3&amp;sourceID=14","3")</f>
        <v>3</v>
      </c>
      <c r="G8544" s="4" t="str">
        <f>HYPERLINK("http://141.218.60.56/~jnz1568/getInfo.php?workbook=10_05.xlsx&amp;sheet=U0&amp;row=8544&amp;col=7&amp;number=0.00654&amp;sourceID=14","0.00654")</f>
        <v>0.00654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HYPERLINK("http://141.218.60.56/~jnz1568/getInfo.php?workbook=10_05.xlsx&amp;sheet=U0&amp;row=8545&amp;col=6&amp;number=3.1&amp;sourceID=14","3.1")</f>
        <v>3.1</v>
      </c>
      <c r="G8545" s="4" t="str">
        <f>HYPERLINK("http://141.218.60.56/~jnz1568/getInfo.php?workbook=10_05.xlsx&amp;sheet=U0&amp;row=8545&amp;col=7&amp;number=0.00649&amp;sourceID=14","0.00649")</f>
        <v>0.00649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HYPERLINK("http://141.218.60.56/~jnz1568/getInfo.php?workbook=10_05.xlsx&amp;sheet=U0&amp;row=8546&amp;col=6&amp;number=3.2&amp;sourceID=14","3.2")</f>
        <v>3.2</v>
      </c>
      <c r="G8546" s="4" t="str">
        <f>HYPERLINK("http://141.218.60.56/~jnz1568/getInfo.php?workbook=10_05.xlsx&amp;sheet=U0&amp;row=8546&amp;col=7&amp;number=0.00644&amp;sourceID=14","0.00644")</f>
        <v>0.00644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HYPERLINK("http://141.218.60.56/~jnz1568/getInfo.php?workbook=10_05.xlsx&amp;sheet=U0&amp;row=8547&amp;col=6&amp;number=3.3&amp;sourceID=14","3.3")</f>
        <v>3.3</v>
      </c>
      <c r="G8547" s="4" t="str">
        <f>HYPERLINK("http://141.218.60.56/~jnz1568/getInfo.php?workbook=10_05.xlsx&amp;sheet=U0&amp;row=8547&amp;col=7&amp;number=0.00636&amp;sourceID=14","0.00636")</f>
        <v>0.00636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HYPERLINK("http://141.218.60.56/~jnz1568/getInfo.php?workbook=10_05.xlsx&amp;sheet=U0&amp;row=8548&amp;col=6&amp;number=3.4&amp;sourceID=14","3.4")</f>
        <v>3.4</v>
      </c>
      <c r="G8548" s="4" t="str">
        <f>HYPERLINK("http://141.218.60.56/~jnz1568/getInfo.php?workbook=10_05.xlsx&amp;sheet=U0&amp;row=8548&amp;col=7&amp;number=0.00628&amp;sourceID=14","0.00628")</f>
        <v>0.00628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HYPERLINK("http://141.218.60.56/~jnz1568/getInfo.php?workbook=10_05.xlsx&amp;sheet=U0&amp;row=8549&amp;col=6&amp;number=3.5&amp;sourceID=14","3.5")</f>
        <v>3.5</v>
      </c>
      <c r="G8549" s="4" t="str">
        <f>HYPERLINK("http://141.218.60.56/~jnz1568/getInfo.php?workbook=10_05.xlsx&amp;sheet=U0&amp;row=8549&amp;col=7&amp;number=0.00618&amp;sourceID=14","0.00618")</f>
        <v>0.00618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HYPERLINK("http://141.218.60.56/~jnz1568/getInfo.php?workbook=10_05.xlsx&amp;sheet=U0&amp;row=8550&amp;col=6&amp;number=3.6&amp;sourceID=14","3.6")</f>
        <v>3.6</v>
      </c>
      <c r="G8550" s="4" t="str">
        <f>HYPERLINK("http://141.218.60.56/~jnz1568/getInfo.php?workbook=10_05.xlsx&amp;sheet=U0&amp;row=8550&amp;col=7&amp;number=0.00607&amp;sourceID=14","0.00607")</f>
        <v>0.00607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HYPERLINK("http://141.218.60.56/~jnz1568/getInfo.php?workbook=10_05.xlsx&amp;sheet=U0&amp;row=8551&amp;col=6&amp;number=3.7&amp;sourceID=14","3.7")</f>
        <v>3.7</v>
      </c>
      <c r="G8551" s="4" t="str">
        <f>HYPERLINK("http://141.218.60.56/~jnz1568/getInfo.php?workbook=10_05.xlsx&amp;sheet=U0&amp;row=8551&amp;col=7&amp;number=0.00594&amp;sourceID=14","0.00594")</f>
        <v>0.00594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HYPERLINK("http://141.218.60.56/~jnz1568/getInfo.php?workbook=10_05.xlsx&amp;sheet=U0&amp;row=8552&amp;col=6&amp;number=3.8&amp;sourceID=14","3.8")</f>
        <v>3.8</v>
      </c>
      <c r="G8552" s="4" t="str">
        <f>HYPERLINK("http://141.218.60.56/~jnz1568/getInfo.php?workbook=10_05.xlsx&amp;sheet=U0&amp;row=8552&amp;col=7&amp;number=0.00582&amp;sourceID=14","0.00582")</f>
        <v>0.00582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HYPERLINK("http://141.218.60.56/~jnz1568/getInfo.php?workbook=10_05.xlsx&amp;sheet=U0&amp;row=8553&amp;col=6&amp;number=3.9&amp;sourceID=14","3.9")</f>
        <v>3.9</v>
      </c>
      <c r="G8553" s="4" t="str">
        <f>HYPERLINK("http://141.218.60.56/~jnz1568/getInfo.php?workbook=10_05.xlsx&amp;sheet=U0&amp;row=8553&amp;col=7&amp;number=0.00572&amp;sourceID=14","0.00572")</f>
        <v>0.00572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HYPERLINK("http://141.218.60.56/~jnz1568/getInfo.php?workbook=10_05.xlsx&amp;sheet=U0&amp;row=8554&amp;col=6&amp;number=4&amp;sourceID=14","4")</f>
        <v>4</v>
      </c>
      <c r="G8554" s="4" t="str">
        <f>HYPERLINK("http://141.218.60.56/~jnz1568/getInfo.php?workbook=10_05.xlsx&amp;sheet=U0&amp;row=8554&amp;col=7&amp;number=0.00568&amp;sourceID=14","0.00568")</f>
        <v>0.00568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HYPERLINK("http://141.218.60.56/~jnz1568/getInfo.php?workbook=10_05.xlsx&amp;sheet=U0&amp;row=8555&amp;col=6&amp;number=4.1&amp;sourceID=14","4.1")</f>
        <v>4.1</v>
      </c>
      <c r="G8555" s="4" t="str">
        <f>HYPERLINK("http://141.218.60.56/~jnz1568/getInfo.php?workbook=10_05.xlsx&amp;sheet=U0&amp;row=8555&amp;col=7&amp;number=0.0057&amp;sourceID=14","0.0057")</f>
        <v>0.0057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HYPERLINK("http://141.218.60.56/~jnz1568/getInfo.php?workbook=10_05.xlsx&amp;sheet=U0&amp;row=8556&amp;col=6&amp;number=4.2&amp;sourceID=14","4.2")</f>
        <v>4.2</v>
      </c>
      <c r="G8556" s="4" t="str">
        <f>HYPERLINK("http://141.218.60.56/~jnz1568/getInfo.php?workbook=10_05.xlsx&amp;sheet=U0&amp;row=8556&amp;col=7&amp;number=0.00576&amp;sourceID=14","0.00576")</f>
        <v>0.00576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HYPERLINK("http://141.218.60.56/~jnz1568/getInfo.php?workbook=10_05.xlsx&amp;sheet=U0&amp;row=8557&amp;col=6&amp;number=4.3&amp;sourceID=14","4.3")</f>
        <v>4.3</v>
      </c>
      <c r="G8557" s="4" t="str">
        <f>HYPERLINK("http://141.218.60.56/~jnz1568/getInfo.php?workbook=10_05.xlsx&amp;sheet=U0&amp;row=8557&amp;col=7&amp;number=0.00578&amp;sourceID=14","0.00578")</f>
        <v>0.00578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HYPERLINK("http://141.218.60.56/~jnz1568/getInfo.php?workbook=10_05.xlsx&amp;sheet=U0&amp;row=8558&amp;col=6&amp;number=4.4&amp;sourceID=14","4.4")</f>
        <v>4.4</v>
      </c>
      <c r="G8558" s="4" t="str">
        <f>HYPERLINK("http://141.218.60.56/~jnz1568/getInfo.php?workbook=10_05.xlsx&amp;sheet=U0&amp;row=8558&amp;col=7&amp;number=0.00571&amp;sourceID=14","0.00571")</f>
        <v>0.00571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HYPERLINK("http://141.218.60.56/~jnz1568/getInfo.php?workbook=10_05.xlsx&amp;sheet=U0&amp;row=8559&amp;col=6&amp;number=4.5&amp;sourceID=14","4.5")</f>
        <v>4.5</v>
      </c>
      <c r="G8559" s="4" t="str">
        <f>HYPERLINK("http://141.218.60.56/~jnz1568/getInfo.php?workbook=10_05.xlsx&amp;sheet=U0&amp;row=8559&amp;col=7&amp;number=0.00555&amp;sourceID=14","0.00555")</f>
        <v>0.00555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HYPERLINK("http://141.218.60.56/~jnz1568/getInfo.php?workbook=10_05.xlsx&amp;sheet=U0&amp;row=8560&amp;col=6&amp;number=4.6&amp;sourceID=14","4.6")</f>
        <v>4.6</v>
      </c>
      <c r="G8560" s="4" t="str">
        <f>HYPERLINK("http://141.218.60.56/~jnz1568/getInfo.php?workbook=10_05.xlsx&amp;sheet=U0&amp;row=8560&amp;col=7&amp;number=0.00531&amp;sourceID=14","0.00531")</f>
        <v>0.00531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HYPERLINK("http://141.218.60.56/~jnz1568/getInfo.php?workbook=10_05.xlsx&amp;sheet=U0&amp;row=8561&amp;col=6&amp;number=4.7&amp;sourceID=14","4.7")</f>
        <v>4.7</v>
      </c>
      <c r="G8561" s="4" t="str">
        <f>HYPERLINK("http://141.218.60.56/~jnz1568/getInfo.php?workbook=10_05.xlsx&amp;sheet=U0&amp;row=8561&amp;col=7&amp;number=0.00501&amp;sourceID=14","0.00501")</f>
        <v>0.00501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HYPERLINK("http://141.218.60.56/~jnz1568/getInfo.php?workbook=10_05.xlsx&amp;sheet=U0&amp;row=8562&amp;col=6&amp;number=4.8&amp;sourceID=14","4.8")</f>
        <v>4.8</v>
      </c>
      <c r="G8562" s="4" t="str">
        <f>HYPERLINK("http://141.218.60.56/~jnz1568/getInfo.php?workbook=10_05.xlsx&amp;sheet=U0&amp;row=8562&amp;col=7&amp;number=0.00465&amp;sourceID=14","0.00465")</f>
        <v>0.00465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HYPERLINK("http://141.218.60.56/~jnz1568/getInfo.php?workbook=10_05.xlsx&amp;sheet=U0&amp;row=8563&amp;col=6&amp;number=4.9&amp;sourceID=14","4.9")</f>
        <v>4.9</v>
      </c>
      <c r="G8563" s="4" t="str">
        <f>HYPERLINK("http://141.218.60.56/~jnz1568/getInfo.php?workbook=10_05.xlsx&amp;sheet=U0&amp;row=8563&amp;col=7&amp;number=0.00423&amp;sourceID=14","0.00423")</f>
        <v>0.00423</v>
      </c>
    </row>
    <row r="8564" spans="1:7">
      <c r="A8564" s="3">
        <v>10</v>
      </c>
      <c r="B8564" s="3">
        <v>5</v>
      </c>
      <c r="C8564" s="3">
        <v>3</v>
      </c>
      <c r="D8564" s="3">
        <v>75</v>
      </c>
      <c r="E8564" s="3">
        <v>1</v>
      </c>
      <c r="F8564" s="4" t="str">
        <f>HYPERLINK("http://141.218.60.56/~jnz1568/getInfo.php?workbook=10_05.xlsx&amp;sheet=U0&amp;row=8564&amp;col=6&amp;number=3&amp;sourceID=14","3")</f>
        <v>3</v>
      </c>
      <c r="G8564" s="4" t="str">
        <f>HYPERLINK("http://141.218.60.56/~jnz1568/getInfo.php?workbook=10_05.xlsx&amp;sheet=U0&amp;row=8564&amp;col=7&amp;number=0.00258&amp;sourceID=14","0.00258")</f>
        <v>0.00258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HYPERLINK("http://141.218.60.56/~jnz1568/getInfo.php?workbook=10_05.xlsx&amp;sheet=U0&amp;row=8565&amp;col=6&amp;number=3.1&amp;sourceID=14","3.1")</f>
        <v>3.1</v>
      </c>
      <c r="G8565" s="4" t="str">
        <f>HYPERLINK("http://141.218.60.56/~jnz1568/getInfo.php?workbook=10_05.xlsx&amp;sheet=U0&amp;row=8565&amp;col=7&amp;number=0.00258&amp;sourceID=14","0.00258")</f>
        <v>0.00258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HYPERLINK("http://141.218.60.56/~jnz1568/getInfo.php?workbook=10_05.xlsx&amp;sheet=U0&amp;row=8566&amp;col=6&amp;number=3.2&amp;sourceID=14","3.2")</f>
        <v>3.2</v>
      </c>
      <c r="G8566" s="4" t="str">
        <f>HYPERLINK("http://141.218.60.56/~jnz1568/getInfo.php?workbook=10_05.xlsx&amp;sheet=U0&amp;row=8566&amp;col=7&amp;number=0.00257&amp;sourceID=14","0.00257")</f>
        <v>0.00257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HYPERLINK("http://141.218.60.56/~jnz1568/getInfo.php?workbook=10_05.xlsx&amp;sheet=U0&amp;row=8567&amp;col=6&amp;number=3.3&amp;sourceID=14","3.3")</f>
        <v>3.3</v>
      </c>
      <c r="G8567" s="4" t="str">
        <f>HYPERLINK("http://141.218.60.56/~jnz1568/getInfo.php?workbook=10_05.xlsx&amp;sheet=U0&amp;row=8567&amp;col=7&amp;number=0.00256&amp;sourceID=14","0.00256")</f>
        <v>0.00256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HYPERLINK("http://141.218.60.56/~jnz1568/getInfo.php?workbook=10_05.xlsx&amp;sheet=U0&amp;row=8568&amp;col=6&amp;number=3.4&amp;sourceID=14","3.4")</f>
        <v>3.4</v>
      </c>
      <c r="G8568" s="4" t="str">
        <f>HYPERLINK("http://141.218.60.56/~jnz1568/getInfo.php?workbook=10_05.xlsx&amp;sheet=U0&amp;row=8568&amp;col=7&amp;number=0.00255&amp;sourceID=14","0.00255")</f>
        <v>0.00255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HYPERLINK("http://141.218.60.56/~jnz1568/getInfo.php?workbook=10_05.xlsx&amp;sheet=U0&amp;row=8569&amp;col=6&amp;number=3.5&amp;sourceID=14","3.5")</f>
        <v>3.5</v>
      </c>
      <c r="G8569" s="4" t="str">
        <f>HYPERLINK("http://141.218.60.56/~jnz1568/getInfo.php?workbook=10_05.xlsx&amp;sheet=U0&amp;row=8569&amp;col=7&amp;number=0.00253&amp;sourceID=14","0.00253")</f>
        <v>0.00253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HYPERLINK("http://141.218.60.56/~jnz1568/getInfo.php?workbook=10_05.xlsx&amp;sheet=U0&amp;row=8570&amp;col=6&amp;number=3.6&amp;sourceID=14","3.6")</f>
        <v>3.6</v>
      </c>
      <c r="G8570" s="4" t="str">
        <f>HYPERLINK("http://141.218.60.56/~jnz1568/getInfo.php?workbook=10_05.xlsx&amp;sheet=U0&amp;row=8570&amp;col=7&amp;number=0.00252&amp;sourceID=14","0.00252")</f>
        <v>0.00252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HYPERLINK("http://141.218.60.56/~jnz1568/getInfo.php?workbook=10_05.xlsx&amp;sheet=U0&amp;row=8571&amp;col=6&amp;number=3.7&amp;sourceID=14","3.7")</f>
        <v>3.7</v>
      </c>
      <c r="G8571" s="4" t="str">
        <f>HYPERLINK("http://141.218.60.56/~jnz1568/getInfo.php?workbook=10_05.xlsx&amp;sheet=U0&amp;row=8571&amp;col=7&amp;number=0.0025&amp;sourceID=14","0.0025")</f>
        <v>0.0025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HYPERLINK("http://141.218.60.56/~jnz1568/getInfo.php?workbook=10_05.xlsx&amp;sheet=U0&amp;row=8572&amp;col=6&amp;number=3.8&amp;sourceID=14","3.8")</f>
        <v>3.8</v>
      </c>
      <c r="G8572" s="4" t="str">
        <f>HYPERLINK("http://141.218.60.56/~jnz1568/getInfo.php?workbook=10_05.xlsx&amp;sheet=U0&amp;row=8572&amp;col=7&amp;number=0.00249&amp;sourceID=14","0.00249")</f>
        <v>0.00249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HYPERLINK("http://141.218.60.56/~jnz1568/getInfo.php?workbook=10_05.xlsx&amp;sheet=U0&amp;row=8573&amp;col=6&amp;number=3.9&amp;sourceID=14","3.9")</f>
        <v>3.9</v>
      </c>
      <c r="G8573" s="4" t="str">
        <f>HYPERLINK("http://141.218.60.56/~jnz1568/getInfo.php?workbook=10_05.xlsx&amp;sheet=U0&amp;row=8573&amp;col=7&amp;number=0.00248&amp;sourceID=14","0.00248")</f>
        <v>0.00248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HYPERLINK("http://141.218.60.56/~jnz1568/getInfo.php?workbook=10_05.xlsx&amp;sheet=U0&amp;row=8574&amp;col=6&amp;number=4&amp;sourceID=14","4")</f>
        <v>4</v>
      </c>
      <c r="G8574" s="4" t="str">
        <f>HYPERLINK("http://141.218.60.56/~jnz1568/getInfo.php?workbook=10_05.xlsx&amp;sheet=U0&amp;row=8574&amp;col=7&amp;number=0.00249&amp;sourceID=14","0.00249")</f>
        <v>0.00249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HYPERLINK("http://141.218.60.56/~jnz1568/getInfo.php?workbook=10_05.xlsx&amp;sheet=U0&amp;row=8575&amp;col=6&amp;number=4.1&amp;sourceID=14","4.1")</f>
        <v>4.1</v>
      </c>
      <c r="G8575" s="4" t="str">
        <f>HYPERLINK("http://141.218.60.56/~jnz1568/getInfo.php?workbook=10_05.xlsx&amp;sheet=U0&amp;row=8575&amp;col=7&amp;number=0.0025&amp;sourceID=14","0.0025")</f>
        <v>0.0025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HYPERLINK("http://141.218.60.56/~jnz1568/getInfo.php?workbook=10_05.xlsx&amp;sheet=U0&amp;row=8576&amp;col=6&amp;number=4.2&amp;sourceID=14","4.2")</f>
        <v>4.2</v>
      </c>
      <c r="G8576" s="4" t="str">
        <f>HYPERLINK("http://141.218.60.56/~jnz1568/getInfo.php?workbook=10_05.xlsx&amp;sheet=U0&amp;row=8576&amp;col=7&amp;number=0.00251&amp;sourceID=14","0.00251")</f>
        <v>0.00251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HYPERLINK("http://141.218.60.56/~jnz1568/getInfo.php?workbook=10_05.xlsx&amp;sheet=U0&amp;row=8577&amp;col=6&amp;number=4.3&amp;sourceID=14","4.3")</f>
        <v>4.3</v>
      </c>
      <c r="G8577" s="4" t="str">
        <f>HYPERLINK("http://141.218.60.56/~jnz1568/getInfo.php?workbook=10_05.xlsx&amp;sheet=U0&amp;row=8577&amp;col=7&amp;number=0.0025&amp;sourceID=14","0.0025")</f>
        <v>0.0025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HYPERLINK("http://141.218.60.56/~jnz1568/getInfo.php?workbook=10_05.xlsx&amp;sheet=U0&amp;row=8578&amp;col=6&amp;number=4.4&amp;sourceID=14","4.4")</f>
        <v>4.4</v>
      </c>
      <c r="G8578" s="4" t="str">
        <f>HYPERLINK("http://141.218.60.56/~jnz1568/getInfo.php?workbook=10_05.xlsx&amp;sheet=U0&amp;row=8578&amp;col=7&amp;number=0.00245&amp;sourceID=14","0.00245")</f>
        <v>0.00245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HYPERLINK("http://141.218.60.56/~jnz1568/getInfo.php?workbook=10_05.xlsx&amp;sheet=U0&amp;row=8579&amp;col=6&amp;number=4.5&amp;sourceID=14","4.5")</f>
        <v>4.5</v>
      </c>
      <c r="G8579" s="4" t="str">
        <f>HYPERLINK("http://141.218.60.56/~jnz1568/getInfo.php?workbook=10_05.xlsx&amp;sheet=U0&amp;row=8579&amp;col=7&amp;number=0.00236&amp;sourceID=14","0.00236")</f>
        <v>0.00236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HYPERLINK("http://141.218.60.56/~jnz1568/getInfo.php?workbook=10_05.xlsx&amp;sheet=U0&amp;row=8580&amp;col=6&amp;number=4.6&amp;sourceID=14","4.6")</f>
        <v>4.6</v>
      </c>
      <c r="G8580" s="4" t="str">
        <f>HYPERLINK("http://141.218.60.56/~jnz1568/getInfo.php?workbook=10_05.xlsx&amp;sheet=U0&amp;row=8580&amp;col=7&amp;number=0.00225&amp;sourceID=14","0.00225")</f>
        <v>0.00225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HYPERLINK("http://141.218.60.56/~jnz1568/getInfo.php?workbook=10_05.xlsx&amp;sheet=U0&amp;row=8581&amp;col=6&amp;number=4.7&amp;sourceID=14","4.7")</f>
        <v>4.7</v>
      </c>
      <c r="G8581" s="4" t="str">
        <f>HYPERLINK("http://141.218.60.56/~jnz1568/getInfo.php?workbook=10_05.xlsx&amp;sheet=U0&amp;row=8581&amp;col=7&amp;number=0.00211&amp;sourceID=14","0.00211")</f>
        <v>0.00211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HYPERLINK("http://141.218.60.56/~jnz1568/getInfo.php?workbook=10_05.xlsx&amp;sheet=U0&amp;row=8582&amp;col=6&amp;number=4.8&amp;sourceID=14","4.8")</f>
        <v>4.8</v>
      </c>
      <c r="G8582" s="4" t="str">
        <f>HYPERLINK("http://141.218.60.56/~jnz1568/getInfo.php?workbook=10_05.xlsx&amp;sheet=U0&amp;row=8582&amp;col=7&amp;number=0.00194&amp;sourceID=14","0.00194")</f>
        <v>0.00194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HYPERLINK("http://141.218.60.56/~jnz1568/getInfo.php?workbook=10_05.xlsx&amp;sheet=U0&amp;row=8583&amp;col=6&amp;number=4.9&amp;sourceID=14","4.9")</f>
        <v>4.9</v>
      </c>
      <c r="G8583" s="4" t="str">
        <f>HYPERLINK("http://141.218.60.56/~jnz1568/getInfo.php?workbook=10_05.xlsx&amp;sheet=U0&amp;row=8583&amp;col=7&amp;number=0.00175&amp;sourceID=14","0.00175")</f>
        <v>0.00175</v>
      </c>
    </row>
    <row r="8584" spans="1:7">
      <c r="A8584" s="3">
        <v>10</v>
      </c>
      <c r="B8584" s="3">
        <v>5</v>
      </c>
      <c r="C8584" s="3">
        <v>3</v>
      </c>
      <c r="D8584" s="3">
        <v>76</v>
      </c>
      <c r="E8584" s="3">
        <v>1</v>
      </c>
      <c r="F8584" s="4" t="str">
        <f>HYPERLINK("http://141.218.60.56/~jnz1568/getInfo.php?workbook=10_05.xlsx&amp;sheet=U0&amp;row=8584&amp;col=6&amp;number=3&amp;sourceID=14","3")</f>
        <v>3</v>
      </c>
      <c r="G8584" s="4" t="str">
        <f>HYPERLINK("http://141.218.60.56/~jnz1568/getInfo.php?workbook=10_05.xlsx&amp;sheet=U0&amp;row=8584&amp;col=7&amp;number=0.00377&amp;sourceID=14","0.00377")</f>
        <v>0.00377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HYPERLINK("http://141.218.60.56/~jnz1568/getInfo.php?workbook=10_05.xlsx&amp;sheet=U0&amp;row=8585&amp;col=6&amp;number=3.1&amp;sourceID=14","3.1")</f>
        <v>3.1</v>
      </c>
      <c r="G8585" s="4" t="str">
        <f>HYPERLINK("http://141.218.60.56/~jnz1568/getInfo.php?workbook=10_05.xlsx&amp;sheet=U0&amp;row=8585&amp;col=7&amp;number=0.00377&amp;sourceID=14","0.00377")</f>
        <v>0.00377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HYPERLINK("http://141.218.60.56/~jnz1568/getInfo.php?workbook=10_05.xlsx&amp;sheet=U0&amp;row=8586&amp;col=6&amp;number=3.2&amp;sourceID=14","3.2")</f>
        <v>3.2</v>
      </c>
      <c r="G8586" s="4" t="str">
        <f>HYPERLINK("http://141.218.60.56/~jnz1568/getInfo.php?workbook=10_05.xlsx&amp;sheet=U0&amp;row=8586&amp;col=7&amp;number=0.00376&amp;sourceID=14","0.00376")</f>
        <v>0.00376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HYPERLINK("http://141.218.60.56/~jnz1568/getInfo.php?workbook=10_05.xlsx&amp;sheet=U0&amp;row=8587&amp;col=6&amp;number=3.3&amp;sourceID=14","3.3")</f>
        <v>3.3</v>
      </c>
      <c r="G8587" s="4" t="str">
        <f>HYPERLINK("http://141.218.60.56/~jnz1568/getInfo.php?workbook=10_05.xlsx&amp;sheet=U0&amp;row=8587&amp;col=7&amp;number=0.00375&amp;sourceID=14","0.00375")</f>
        <v>0.00375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HYPERLINK("http://141.218.60.56/~jnz1568/getInfo.php?workbook=10_05.xlsx&amp;sheet=U0&amp;row=8588&amp;col=6&amp;number=3.4&amp;sourceID=14","3.4")</f>
        <v>3.4</v>
      </c>
      <c r="G8588" s="4" t="str">
        <f>HYPERLINK("http://141.218.60.56/~jnz1568/getInfo.php?workbook=10_05.xlsx&amp;sheet=U0&amp;row=8588&amp;col=7&amp;number=0.00375&amp;sourceID=14","0.00375")</f>
        <v>0.00375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HYPERLINK("http://141.218.60.56/~jnz1568/getInfo.php?workbook=10_05.xlsx&amp;sheet=U0&amp;row=8589&amp;col=6&amp;number=3.5&amp;sourceID=14","3.5")</f>
        <v>3.5</v>
      </c>
      <c r="G8589" s="4" t="str">
        <f>HYPERLINK("http://141.218.60.56/~jnz1568/getInfo.php?workbook=10_05.xlsx&amp;sheet=U0&amp;row=8589&amp;col=7&amp;number=0.00374&amp;sourceID=14","0.00374")</f>
        <v>0.00374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HYPERLINK("http://141.218.60.56/~jnz1568/getInfo.php?workbook=10_05.xlsx&amp;sheet=U0&amp;row=8590&amp;col=6&amp;number=3.6&amp;sourceID=14","3.6")</f>
        <v>3.6</v>
      </c>
      <c r="G8590" s="4" t="str">
        <f>HYPERLINK("http://141.218.60.56/~jnz1568/getInfo.php?workbook=10_05.xlsx&amp;sheet=U0&amp;row=8590&amp;col=7&amp;number=0.00374&amp;sourceID=14","0.00374")</f>
        <v>0.00374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HYPERLINK("http://141.218.60.56/~jnz1568/getInfo.php?workbook=10_05.xlsx&amp;sheet=U0&amp;row=8591&amp;col=6&amp;number=3.7&amp;sourceID=14","3.7")</f>
        <v>3.7</v>
      </c>
      <c r="G8591" s="4" t="str">
        <f>HYPERLINK("http://141.218.60.56/~jnz1568/getInfo.php?workbook=10_05.xlsx&amp;sheet=U0&amp;row=8591&amp;col=7&amp;number=0.00375&amp;sourceID=14","0.00375")</f>
        <v>0.00375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HYPERLINK("http://141.218.60.56/~jnz1568/getInfo.php?workbook=10_05.xlsx&amp;sheet=U0&amp;row=8592&amp;col=6&amp;number=3.8&amp;sourceID=14","3.8")</f>
        <v>3.8</v>
      </c>
      <c r="G8592" s="4" t="str">
        <f>HYPERLINK("http://141.218.60.56/~jnz1568/getInfo.php?workbook=10_05.xlsx&amp;sheet=U0&amp;row=8592&amp;col=7&amp;number=0.00377&amp;sourceID=14","0.00377")</f>
        <v>0.00377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HYPERLINK("http://141.218.60.56/~jnz1568/getInfo.php?workbook=10_05.xlsx&amp;sheet=U0&amp;row=8593&amp;col=6&amp;number=3.9&amp;sourceID=14","3.9")</f>
        <v>3.9</v>
      </c>
      <c r="G8593" s="4" t="str">
        <f>HYPERLINK("http://141.218.60.56/~jnz1568/getInfo.php?workbook=10_05.xlsx&amp;sheet=U0&amp;row=8593&amp;col=7&amp;number=0.00382&amp;sourceID=14","0.00382")</f>
        <v>0.00382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HYPERLINK("http://141.218.60.56/~jnz1568/getInfo.php?workbook=10_05.xlsx&amp;sheet=U0&amp;row=8594&amp;col=6&amp;number=4&amp;sourceID=14","4")</f>
        <v>4</v>
      </c>
      <c r="G8594" s="4" t="str">
        <f>HYPERLINK("http://141.218.60.56/~jnz1568/getInfo.php?workbook=10_05.xlsx&amp;sheet=U0&amp;row=8594&amp;col=7&amp;number=0.0039&amp;sourceID=14","0.0039")</f>
        <v>0.0039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HYPERLINK("http://141.218.60.56/~jnz1568/getInfo.php?workbook=10_05.xlsx&amp;sheet=U0&amp;row=8595&amp;col=6&amp;number=4.1&amp;sourceID=14","4.1")</f>
        <v>4.1</v>
      </c>
      <c r="G8595" s="4" t="str">
        <f>HYPERLINK("http://141.218.60.56/~jnz1568/getInfo.php?workbook=10_05.xlsx&amp;sheet=U0&amp;row=8595&amp;col=7&amp;number=0.00397&amp;sourceID=14","0.00397")</f>
        <v>0.00397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HYPERLINK("http://141.218.60.56/~jnz1568/getInfo.php?workbook=10_05.xlsx&amp;sheet=U0&amp;row=8596&amp;col=6&amp;number=4.2&amp;sourceID=14","4.2")</f>
        <v>4.2</v>
      </c>
      <c r="G8596" s="4" t="str">
        <f>HYPERLINK("http://141.218.60.56/~jnz1568/getInfo.php?workbook=10_05.xlsx&amp;sheet=U0&amp;row=8596&amp;col=7&amp;number=0.00401&amp;sourceID=14","0.00401")</f>
        <v>0.00401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HYPERLINK("http://141.218.60.56/~jnz1568/getInfo.php?workbook=10_05.xlsx&amp;sheet=U0&amp;row=8597&amp;col=6&amp;number=4.3&amp;sourceID=14","4.3")</f>
        <v>4.3</v>
      </c>
      <c r="G8597" s="4" t="str">
        <f>HYPERLINK("http://141.218.60.56/~jnz1568/getInfo.php?workbook=10_05.xlsx&amp;sheet=U0&amp;row=8597&amp;col=7&amp;number=0.00399&amp;sourceID=14","0.00399")</f>
        <v>0.00399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HYPERLINK("http://141.218.60.56/~jnz1568/getInfo.php?workbook=10_05.xlsx&amp;sheet=U0&amp;row=8598&amp;col=6&amp;number=4.4&amp;sourceID=14","4.4")</f>
        <v>4.4</v>
      </c>
      <c r="G8598" s="4" t="str">
        <f>HYPERLINK("http://141.218.60.56/~jnz1568/getInfo.php?workbook=10_05.xlsx&amp;sheet=U0&amp;row=8598&amp;col=7&amp;number=0.00392&amp;sourceID=14","0.00392")</f>
        <v>0.00392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HYPERLINK("http://141.218.60.56/~jnz1568/getInfo.php?workbook=10_05.xlsx&amp;sheet=U0&amp;row=8599&amp;col=6&amp;number=4.5&amp;sourceID=14","4.5")</f>
        <v>4.5</v>
      </c>
      <c r="G8599" s="4" t="str">
        <f>HYPERLINK("http://141.218.60.56/~jnz1568/getInfo.php?workbook=10_05.xlsx&amp;sheet=U0&amp;row=8599&amp;col=7&amp;number=0.00381&amp;sourceID=14","0.00381")</f>
        <v>0.00381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HYPERLINK("http://141.218.60.56/~jnz1568/getInfo.php?workbook=10_05.xlsx&amp;sheet=U0&amp;row=8600&amp;col=6&amp;number=4.6&amp;sourceID=14","4.6")</f>
        <v>4.6</v>
      </c>
      <c r="G8600" s="4" t="str">
        <f>HYPERLINK("http://141.218.60.56/~jnz1568/getInfo.php?workbook=10_05.xlsx&amp;sheet=U0&amp;row=8600&amp;col=7&amp;number=0.00363&amp;sourceID=14","0.00363")</f>
        <v>0.00363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HYPERLINK("http://141.218.60.56/~jnz1568/getInfo.php?workbook=10_05.xlsx&amp;sheet=U0&amp;row=8601&amp;col=6&amp;number=4.7&amp;sourceID=14","4.7")</f>
        <v>4.7</v>
      </c>
      <c r="G8601" s="4" t="str">
        <f>HYPERLINK("http://141.218.60.56/~jnz1568/getInfo.php?workbook=10_05.xlsx&amp;sheet=U0&amp;row=8601&amp;col=7&amp;number=0.0034&amp;sourceID=14","0.0034")</f>
        <v>0.0034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HYPERLINK("http://141.218.60.56/~jnz1568/getInfo.php?workbook=10_05.xlsx&amp;sheet=U0&amp;row=8602&amp;col=6&amp;number=4.8&amp;sourceID=14","4.8")</f>
        <v>4.8</v>
      </c>
      <c r="G8602" s="4" t="str">
        <f>HYPERLINK("http://141.218.60.56/~jnz1568/getInfo.php?workbook=10_05.xlsx&amp;sheet=U0&amp;row=8602&amp;col=7&amp;number=0.00312&amp;sourceID=14","0.00312")</f>
        <v>0.00312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HYPERLINK("http://141.218.60.56/~jnz1568/getInfo.php?workbook=10_05.xlsx&amp;sheet=U0&amp;row=8603&amp;col=6&amp;number=4.9&amp;sourceID=14","4.9")</f>
        <v>4.9</v>
      </c>
      <c r="G8603" s="4" t="str">
        <f>HYPERLINK("http://141.218.60.56/~jnz1568/getInfo.php?workbook=10_05.xlsx&amp;sheet=U0&amp;row=8603&amp;col=7&amp;number=0.00281&amp;sourceID=14","0.00281")</f>
        <v>0.00281</v>
      </c>
    </row>
    <row r="8604" spans="1:7">
      <c r="A8604" s="3">
        <v>10</v>
      </c>
      <c r="B8604" s="3">
        <v>5</v>
      </c>
      <c r="C8604" s="3">
        <v>3</v>
      </c>
      <c r="D8604" s="3">
        <v>77</v>
      </c>
      <c r="E8604" s="3">
        <v>1</v>
      </c>
      <c r="F8604" s="4" t="str">
        <f>HYPERLINK("http://141.218.60.56/~jnz1568/getInfo.php?workbook=10_05.xlsx&amp;sheet=U0&amp;row=8604&amp;col=6&amp;number=3&amp;sourceID=14","3")</f>
        <v>3</v>
      </c>
      <c r="G8604" s="4" t="str">
        <f>HYPERLINK("http://141.218.60.56/~jnz1568/getInfo.php?workbook=10_05.xlsx&amp;sheet=U0&amp;row=8604&amp;col=7&amp;number=0.019&amp;sourceID=14","0.019")</f>
        <v>0.019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HYPERLINK("http://141.218.60.56/~jnz1568/getInfo.php?workbook=10_05.xlsx&amp;sheet=U0&amp;row=8605&amp;col=6&amp;number=3.1&amp;sourceID=14","3.1")</f>
        <v>3.1</v>
      </c>
      <c r="G8605" s="4" t="str">
        <f>HYPERLINK("http://141.218.60.56/~jnz1568/getInfo.php?workbook=10_05.xlsx&amp;sheet=U0&amp;row=8605&amp;col=7&amp;number=0.0189&amp;sourceID=14","0.0189")</f>
        <v>0.0189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HYPERLINK("http://141.218.60.56/~jnz1568/getInfo.php?workbook=10_05.xlsx&amp;sheet=U0&amp;row=8606&amp;col=6&amp;number=3.2&amp;sourceID=14","3.2")</f>
        <v>3.2</v>
      </c>
      <c r="G8606" s="4" t="str">
        <f>HYPERLINK("http://141.218.60.56/~jnz1568/getInfo.php?workbook=10_05.xlsx&amp;sheet=U0&amp;row=8606&amp;col=7&amp;number=0.0188&amp;sourceID=14","0.0188")</f>
        <v>0.0188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HYPERLINK("http://141.218.60.56/~jnz1568/getInfo.php?workbook=10_05.xlsx&amp;sheet=U0&amp;row=8607&amp;col=6&amp;number=3.3&amp;sourceID=14","3.3")</f>
        <v>3.3</v>
      </c>
      <c r="G8607" s="4" t="str">
        <f>HYPERLINK("http://141.218.60.56/~jnz1568/getInfo.php?workbook=10_05.xlsx&amp;sheet=U0&amp;row=8607&amp;col=7&amp;number=0.0187&amp;sourceID=14","0.0187")</f>
        <v>0.0187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HYPERLINK("http://141.218.60.56/~jnz1568/getInfo.php?workbook=10_05.xlsx&amp;sheet=U0&amp;row=8608&amp;col=6&amp;number=3.4&amp;sourceID=14","3.4")</f>
        <v>3.4</v>
      </c>
      <c r="G8608" s="4" t="str">
        <f>HYPERLINK("http://141.218.60.56/~jnz1568/getInfo.php?workbook=10_05.xlsx&amp;sheet=U0&amp;row=8608&amp;col=7&amp;number=0.0185&amp;sourceID=14","0.0185")</f>
        <v>0.0185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HYPERLINK("http://141.218.60.56/~jnz1568/getInfo.php?workbook=10_05.xlsx&amp;sheet=U0&amp;row=8609&amp;col=6&amp;number=3.5&amp;sourceID=14","3.5")</f>
        <v>3.5</v>
      </c>
      <c r="G8609" s="4" t="str">
        <f>HYPERLINK("http://141.218.60.56/~jnz1568/getInfo.php?workbook=10_05.xlsx&amp;sheet=U0&amp;row=8609&amp;col=7&amp;number=0.0184&amp;sourceID=14","0.0184")</f>
        <v>0.0184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HYPERLINK("http://141.218.60.56/~jnz1568/getInfo.php?workbook=10_05.xlsx&amp;sheet=U0&amp;row=8610&amp;col=6&amp;number=3.6&amp;sourceID=14","3.6")</f>
        <v>3.6</v>
      </c>
      <c r="G8610" s="4" t="str">
        <f>HYPERLINK("http://141.218.60.56/~jnz1568/getInfo.php?workbook=10_05.xlsx&amp;sheet=U0&amp;row=8610&amp;col=7&amp;number=0.0182&amp;sourceID=14","0.0182")</f>
        <v>0.0182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HYPERLINK("http://141.218.60.56/~jnz1568/getInfo.php?workbook=10_05.xlsx&amp;sheet=U0&amp;row=8611&amp;col=6&amp;number=3.7&amp;sourceID=14","3.7")</f>
        <v>3.7</v>
      </c>
      <c r="G8611" s="4" t="str">
        <f>HYPERLINK("http://141.218.60.56/~jnz1568/getInfo.php?workbook=10_05.xlsx&amp;sheet=U0&amp;row=8611&amp;col=7&amp;number=0.0179&amp;sourceID=14","0.0179")</f>
        <v>0.0179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HYPERLINK("http://141.218.60.56/~jnz1568/getInfo.php?workbook=10_05.xlsx&amp;sheet=U0&amp;row=8612&amp;col=6&amp;number=3.8&amp;sourceID=14","3.8")</f>
        <v>3.8</v>
      </c>
      <c r="G8612" s="4" t="str">
        <f>HYPERLINK("http://141.218.60.56/~jnz1568/getInfo.php?workbook=10_05.xlsx&amp;sheet=U0&amp;row=8612&amp;col=7&amp;number=0.0176&amp;sourceID=14","0.0176")</f>
        <v>0.0176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HYPERLINK("http://141.218.60.56/~jnz1568/getInfo.php?workbook=10_05.xlsx&amp;sheet=U0&amp;row=8613&amp;col=6&amp;number=3.9&amp;sourceID=14","3.9")</f>
        <v>3.9</v>
      </c>
      <c r="G8613" s="4" t="str">
        <f>HYPERLINK("http://141.218.60.56/~jnz1568/getInfo.php?workbook=10_05.xlsx&amp;sheet=U0&amp;row=8613&amp;col=7&amp;number=0.0172&amp;sourceID=14","0.0172")</f>
        <v>0.0172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HYPERLINK("http://141.218.60.56/~jnz1568/getInfo.php?workbook=10_05.xlsx&amp;sheet=U0&amp;row=8614&amp;col=6&amp;number=4&amp;sourceID=14","4")</f>
        <v>4</v>
      </c>
      <c r="G8614" s="4" t="str">
        <f>HYPERLINK("http://141.218.60.56/~jnz1568/getInfo.php?workbook=10_05.xlsx&amp;sheet=U0&amp;row=8614&amp;col=7&amp;number=0.0167&amp;sourceID=14","0.0167")</f>
        <v>0.0167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HYPERLINK("http://141.218.60.56/~jnz1568/getInfo.php?workbook=10_05.xlsx&amp;sheet=U0&amp;row=8615&amp;col=6&amp;number=4.1&amp;sourceID=14","4.1")</f>
        <v>4.1</v>
      </c>
      <c r="G8615" s="4" t="str">
        <f>HYPERLINK("http://141.218.60.56/~jnz1568/getInfo.php?workbook=10_05.xlsx&amp;sheet=U0&amp;row=8615&amp;col=7&amp;number=0.0161&amp;sourceID=14","0.0161")</f>
        <v>0.0161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HYPERLINK("http://141.218.60.56/~jnz1568/getInfo.php?workbook=10_05.xlsx&amp;sheet=U0&amp;row=8616&amp;col=6&amp;number=4.2&amp;sourceID=14","4.2")</f>
        <v>4.2</v>
      </c>
      <c r="G8616" s="4" t="str">
        <f>HYPERLINK("http://141.218.60.56/~jnz1568/getInfo.php?workbook=10_05.xlsx&amp;sheet=U0&amp;row=8616&amp;col=7&amp;number=0.0154&amp;sourceID=14","0.0154")</f>
        <v>0.0154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HYPERLINK("http://141.218.60.56/~jnz1568/getInfo.php?workbook=10_05.xlsx&amp;sheet=U0&amp;row=8617&amp;col=6&amp;number=4.3&amp;sourceID=14","4.3")</f>
        <v>4.3</v>
      </c>
      <c r="G8617" s="4" t="str">
        <f>HYPERLINK("http://141.218.60.56/~jnz1568/getInfo.php?workbook=10_05.xlsx&amp;sheet=U0&amp;row=8617&amp;col=7&amp;number=0.0147&amp;sourceID=14","0.0147")</f>
        <v>0.0147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HYPERLINK("http://141.218.60.56/~jnz1568/getInfo.php?workbook=10_05.xlsx&amp;sheet=U0&amp;row=8618&amp;col=6&amp;number=4.4&amp;sourceID=14","4.4")</f>
        <v>4.4</v>
      </c>
      <c r="G8618" s="4" t="str">
        <f>HYPERLINK("http://141.218.60.56/~jnz1568/getInfo.php?workbook=10_05.xlsx&amp;sheet=U0&amp;row=8618&amp;col=7&amp;number=0.0138&amp;sourceID=14","0.0138")</f>
        <v>0.0138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HYPERLINK("http://141.218.60.56/~jnz1568/getInfo.php?workbook=10_05.xlsx&amp;sheet=U0&amp;row=8619&amp;col=6&amp;number=4.5&amp;sourceID=14","4.5")</f>
        <v>4.5</v>
      </c>
      <c r="G8619" s="4" t="str">
        <f>HYPERLINK("http://141.218.60.56/~jnz1568/getInfo.php?workbook=10_05.xlsx&amp;sheet=U0&amp;row=8619&amp;col=7&amp;number=0.0129&amp;sourceID=14","0.0129")</f>
        <v>0.0129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HYPERLINK("http://141.218.60.56/~jnz1568/getInfo.php?workbook=10_05.xlsx&amp;sheet=U0&amp;row=8620&amp;col=6&amp;number=4.6&amp;sourceID=14","4.6")</f>
        <v>4.6</v>
      </c>
      <c r="G8620" s="4" t="str">
        <f>HYPERLINK("http://141.218.60.56/~jnz1568/getInfo.php?workbook=10_05.xlsx&amp;sheet=U0&amp;row=8620&amp;col=7&amp;number=0.0119&amp;sourceID=14","0.0119")</f>
        <v>0.0119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HYPERLINK("http://141.218.60.56/~jnz1568/getInfo.php?workbook=10_05.xlsx&amp;sheet=U0&amp;row=8621&amp;col=6&amp;number=4.7&amp;sourceID=14","4.7")</f>
        <v>4.7</v>
      </c>
      <c r="G8621" s="4" t="str">
        <f>HYPERLINK("http://141.218.60.56/~jnz1568/getInfo.php?workbook=10_05.xlsx&amp;sheet=U0&amp;row=8621&amp;col=7&amp;number=0.0109&amp;sourceID=14","0.0109")</f>
        <v>0.0109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HYPERLINK("http://141.218.60.56/~jnz1568/getInfo.php?workbook=10_05.xlsx&amp;sheet=U0&amp;row=8622&amp;col=6&amp;number=4.8&amp;sourceID=14","4.8")</f>
        <v>4.8</v>
      </c>
      <c r="G8622" s="4" t="str">
        <f>HYPERLINK("http://141.218.60.56/~jnz1568/getInfo.php?workbook=10_05.xlsx&amp;sheet=U0&amp;row=8622&amp;col=7&amp;number=0.00991&amp;sourceID=14","0.00991")</f>
        <v>0.00991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HYPERLINK("http://141.218.60.56/~jnz1568/getInfo.php?workbook=10_05.xlsx&amp;sheet=U0&amp;row=8623&amp;col=6&amp;number=4.9&amp;sourceID=14","4.9")</f>
        <v>4.9</v>
      </c>
      <c r="G8623" s="4" t="str">
        <f>HYPERLINK("http://141.218.60.56/~jnz1568/getInfo.php?workbook=10_05.xlsx&amp;sheet=U0&amp;row=8623&amp;col=7&amp;number=0.00899&amp;sourceID=14","0.00899")</f>
        <v>0.00899</v>
      </c>
    </row>
    <row r="8624" spans="1:7">
      <c r="A8624" s="3">
        <v>10</v>
      </c>
      <c r="B8624" s="3">
        <v>5</v>
      </c>
      <c r="C8624" s="3">
        <v>3</v>
      </c>
      <c r="D8624" s="3">
        <v>78</v>
      </c>
      <c r="E8624" s="3">
        <v>1</v>
      </c>
      <c r="F8624" s="4" t="str">
        <f>HYPERLINK("http://141.218.60.56/~jnz1568/getInfo.php?workbook=10_05.xlsx&amp;sheet=U0&amp;row=8624&amp;col=6&amp;number=3&amp;sourceID=14","3")</f>
        <v>3</v>
      </c>
      <c r="G8624" s="4" t="str">
        <f>HYPERLINK("http://141.218.60.56/~jnz1568/getInfo.php?workbook=10_05.xlsx&amp;sheet=U0&amp;row=8624&amp;col=7&amp;number=0.0208&amp;sourceID=14","0.0208")</f>
        <v>0.0208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HYPERLINK("http://141.218.60.56/~jnz1568/getInfo.php?workbook=10_05.xlsx&amp;sheet=U0&amp;row=8625&amp;col=6&amp;number=3.1&amp;sourceID=14","3.1")</f>
        <v>3.1</v>
      </c>
      <c r="G8625" s="4" t="str">
        <f>HYPERLINK("http://141.218.60.56/~jnz1568/getInfo.php?workbook=10_05.xlsx&amp;sheet=U0&amp;row=8625&amp;col=7&amp;number=0.0207&amp;sourceID=14","0.0207")</f>
        <v>0.0207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HYPERLINK("http://141.218.60.56/~jnz1568/getInfo.php?workbook=10_05.xlsx&amp;sheet=U0&amp;row=8626&amp;col=6&amp;number=3.2&amp;sourceID=14","3.2")</f>
        <v>3.2</v>
      </c>
      <c r="G8626" s="4" t="str">
        <f>HYPERLINK("http://141.218.60.56/~jnz1568/getInfo.php?workbook=10_05.xlsx&amp;sheet=U0&amp;row=8626&amp;col=7&amp;number=0.0205&amp;sourceID=14","0.0205")</f>
        <v>0.0205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HYPERLINK("http://141.218.60.56/~jnz1568/getInfo.php?workbook=10_05.xlsx&amp;sheet=U0&amp;row=8627&amp;col=6&amp;number=3.3&amp;sourceID=14","3.3")</f>
        <v>3.3</v>
      </c>
      <c r="G8627" s="4" t="str">
        <f>HYPERLINK("http://141.218.60.56/~jnz1568/getInfo.php?workbook=10_05.xlsx&amp;sheet=U0&amp;row=8627&amp;col=7&amp;number=0.0202&amp;sourceID=14","0.0202")</f>
        <v>0.0202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HYPERLINK("http://141.218.60.56/~jnz1568/getInfo.php?workbook=10_05.xlsx&amp;sheet=U0&amp;row=8628&amp;col=6&amp;number=3.4&amp;sourceID=14","3.4")</f>
        <v>3.4</v>
      </c>
      <c r="G8628" s="4" t="str">
        <f>HYPERLINK("http://141.218.60.56/~jnz1568/getInfo.php?workbook=10_05.xlsx&amp;sheet=U0&amp;row=8628&amp;col=7&amp;number=0.0199&amp;sourceID=14","0.0199")</f>
        <v>0.0199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HYPERLINK("http://141.218.60.56/~jnz1568/getInfo.php?workbook=10_05.xlsx&amp;sheet=U0&amp;row=8629&amp;col=6&amp;number=3.5&amp;sourceID=14","3.5")</f>
        <v>3.5</v>
      </c>
      <c r="G8629" s="4" t="str">
        <f>HYPERLINK("http://141.218.60.56/~jnz1568/getInfo.php?workbook=10_05.xlsx&amp;sheet=U0&amp;row=8629&amp;col=7&amp;number=0.0196&amp;sourceID=14","0.0196")</f>
        <v>0.0196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HYPERLINK("http://141.218.60.56/~jnz1568/getInfo.php?workbook=10_05.xlsx&amp;sheet=U0&amp;row=8630&amp;col=6&amp;number=3.6&amp;sourceID=14","3.6")</f>
        <v>3.6</v>
      </c>
      <c r="G8630" s="4" t="str">
        <f>HYPERLINK("http://141.218.60.56/~jnz1568/getInfo.php?workbook=10_05.xlsx&amp;sheet=U0&amp;row=8630&amp;col=7&amp;number=0.0191&amp;sourceID=14","0.0191")</f>
        <v>0.0191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HYPERLINK("http://141.218.60.56/~jnz1568/getInfo.php?workbook=10_05.xlsx&amp;sheet=U0&amp;row=8631&amp;col=6&amp;number=3.7&amp;sourceID=14","3.7")</f>
        <v>3.7</v>
      </c>
      <c r="G8631" s="4" t="str">
        <f>HYPERLINK("http://141.218.60.56/~jnz1568/getInfo.php?workbook=10_05.xlsx&amp;sheet=U0&amp;row=8631&amp;col=7&amp;number=0.0186&amp;sourceID=14","0.0186")</f>
        <v>0.0186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HYPERLINK("http://141.218.60.56/~jnz1568/getInfo.php?workbook=10_05.xlsx&amp;sheet=U0&amp;row=8632&amp;col=6&amp;number=3.8&amp;sourceID=14","3.8")</f>
        <v>3.8</v>
      </c>
      <c r="G8632" s="4" t="str">
        <f>HYPERLINK("http://141.218.60.56/~jnz1568/getInfo.php?workbook=10_05.xlsx&amp;sheet=U0&amp;row=8632&amp;col=7&amp;number=0.0179&amp;sourceID=14","0.0179")</f>
        <v>0.0179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HYPERLINK("http://141.218.60.56/~jnz1568/getInfo.php?workbook=10_05.xlsx&amp;sheet=U0&amp;row=8633&amp;col=6&amp;number=3.9&amp;sourceID=14","3.9")</f>
        <v>3.9</v>
      </c>
      <c r="G8633" s="4" t="str">
        <f>HYPERLINK("http://141.218.60.56/~jnz1568/getInfo.php?workbook=10_05.xlsx&amp;sheet=U0&amp;row=8633&amp;col=7&amp;number=0.0172&amp;sourceID=14","0.0172")</f>
        <v>0.0172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HYPERLINK("http://141.218.60.56/~jnz1568/getInfo.php?workbook=10_05.xlsx&amp;sheet=U0&amp;row=8634&amp;col=6&amp;number=4&amp;sourceID=14","4")</f>
        <v>4</v>
      </c>
      <c r="G8634" s="4" t="str">
        <f>HYPERLINK("http://141.218.60.56/~jnz1568/getInfo.php?workbook=10_05.xlsx&amp;sheet=U0&amp;row=8634&amp;col=7&amp;number=0.0163&amp;sourceID=14","0.0163")</f>
        <v>0.0163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HYPERLINK("http://141.218.60.56/~jnz1568/getInfo.php?workbook=10_05.xlsx&amp;sheet=U0&amp;row=8635&amp;col=6&amp;number=4.1&amp;sourceID=14","4.1")</f>
        <v>4.1</v>
      </c>
      <c r="G8635" s="4" t="str">
        <f>HYPERLINK("http://141.218.60.56/~jnz1568/getInfo.php?workbook=10_05.xlsx&amp;sheet=U0&amp;row=8635&amp;col=7&amp;number=0.0154&amp;sourceID=14","0.0154")</f>
        <v>0.0154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HYPERLINK("http://141.218.60.56/~jnz1568/getInfo.php?workbook=10_05.xlsx&amp;sheet=U0&amp;row=8636&amp;col=6&amp;number=4.2&amp;sourceID=14","4.2")</f>
        <v>4.2</v>
      </c>
      <c r="G8636" s="4" t="str">
        <f>HYPERLINK("http://141.218.60.56/~jnz1568/getInfo.php?workbook=10_05.xlsx&amp;sheet=U0&amp;row=8636&amp;col=7&amp;number=0.0145&amp;sourceID=14","0.0145")</f>
        <v>0.0145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HYPERLINK("http://141.218.60.56/~jnz1568/getInfo.php?workbook=10_05.xlsx&amp;sheet=U0&amp;row=8637&amp;col=6&amp;number=4.3&amp;sourceID=14","4.3")</f>
        <v>4.3</v>
      </c>
      <c r="G8637" s="4" t="str">
        <f>HYPERLINK("http://141.218.60.56/~jnz1568/getInfo.php?workbook=10_05.xlsx&amp;sheet=U0&amp;row=8637&amp;col=7&amp;number=0.0135&amp;sourceID=14","0.0135")</f>
        <v>0.0135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HYPERLINK("http://141.218.60.56/~jnz1568/getInfo.php?workbook=10_05.xlsx&amp;sheet=U0&amp;row=8638&amp;col=6&amp;number=4.4&amp;sourceID=14","4.4")</f>
        <v>4.4</v>
      </c>
      <c r="G8638" s="4" t="str">
        <f>HYPERLINK("http://141.218.60.56/~jnz1568/getInfo.php?workbook=10_05.xlsx&amp;sheet=U0&amp;row=8638&amp;col=7&amp;number=0.0126&amp;sourceID=14","0.0126")</f>
        <v>0.0126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HYPERLINK("http://141.218.60.56/~jnz1568/getInfo.php?workbook=10_05.xlsx&amp;sheet=U0&amp;row=8639&amp;col=6&amp;number=4.5&amp;sourceID=14","4.5")</f>
        <v>4.5</v>
      </c>
      <c r="G8639" s="4" t="str">
        <f>HYPERLINK("http://141.218.60.56/~jnz1568/getInfo.php?workbook=10_05.xlsx&amp;sheet=U0&amp;row=8639&amp;col=7&amp;number=0.0116&amp;sourceID=14","0.0116")</f>
        <v>0.0116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HYPERLINK("http://141.218.60.56/~jnz1568/getInfo.php?workbook=10_05.xlsx&amp;sheet=U0&amp;row=8640&amp;col=6&amp;number=4.6&amp;sourceID=14","4.6")</f>
        <v>4.6</v>
      </c>
      <c r="G8640" s="4" t="str">
        <f>HYPERLINK("http://141.218.60.56/~jnz1568/getInfo.php?workbook=10_05.xlsx&amp;sheet=U0&amp;row=8640&amp;col=7&amp;number=0.0106&amp;sourceID=14","0.0106")</f>
        <v>0.0106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HYPERLINK("http://141.218.60.56/~jnz1568/getInfo.php?workbook=10_05.xlsx&amp;sheet=U0&amp;row=8641&amp;col=6&amp;number=4.7&amp;sourceID=14","4.7")</f>
        <v>4.7</v>
      </c>
      <c r="G8641" s="4" t="str">
        <f>HYPERLINK("http://141.218.60.56/~jnz1568/getInfo.php?workbook=10_05.xlsx&amp;sheet=U0&amp;row=8641&amp;col=7&amp;number=0.00948&amp;sourceID=14","0.00948")</f>
        <v>0.00948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HYPERLINK("http://141.218.60.56/~jnz1568/getInfo.php?workbook=10_05.xlsx&amp;sheet=U0&amp;row=8642&amp;col=6&amp;number=4.8&amp;sourceID=14","4.8")</f>
        <v>4.8</v>
      </c>
      <c r="G8642" s="4" t="str">
        <f>HYPERLINK("http://141.218.60.56/~jnz1568/getInfo.php?workbook=10_05.xlsx&amp;sheet=U0&amp;row=8642&amp;col=7&amp;number=0.00844&amp;sourceID=14","0.00844")</f>
        <v>0.00844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HYPERLINK("http://141.218.60.56/~jnz1568/getInfo.php?workbook=10_05.xlsx&amp;sheet=U0&amp;row=8643&amp;col=6&amp;number=4.9&amp;sourceID=14","4.9")</f>
        <v>4.9</v>
      </c>
      <c r="G8643" s="4" t="str">
        <f>HYPERLINK("http://141.218.60.56/~jnz1568/getInfo.php?workbook=10_05.xlsx&amp;sheet=U0&amp;row=8643&amp;col=7&amp;number=0.00743&amp;sourceID=14","0.00743")</f>
        <v>0.00743</v>
      </c>
    </row>
    <row r="8644" spans="1:7">
      <c r="A8644" s="3">
        <v>10</v>
      </c>
      <c r="B8644" s="3">
        <v>5</v>
      </c>
      <c r="C8644" s="3">
        <v>3</v>
      </c>
      <c r="D8644" s="3">
        <v>79</v>
      </c>
      <c r="E8644" s="3">
        <v>1</v>
      </c>
      <c r="F8644" s="4" t="str">
        <f>HYPERLINK("http://141.218.60.56/~jnz1568/getInfo.php?workbook=10_05.xlsx&amp;sheet=U0&amp;row=8644&amp;col=6&amp;number=3&amp;sourceID=14","3")</f>
        <v>3</v>
      </c>
      <c r="G8644" s="4" t="str">
        <f>HYPERLINK("http://141.218.60.56/~jnz1568/getInfo.php?workbook=10_05.xlsx&amp;sheet=U0&amp;row=8644&amp;col=7&amp;number=0.00462&amp;sourceID=14","0.00462")</f>
        <v>0.00462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HYPERLINK("http://141.218.60.56/~jnz1568/getInfo.php?workbook=10_05.xlsx&amp;sheet=U0&amp;row=8645&amp;col=6&amp;number=3.1&amp;sourceID=14","3.1")</f>
        <v>3.1</v>
      </c>
      <c r="G8645" s="4" t="str">
        <f>HYPERLINK("http://141.218.60.56/~jnz1568/getInfo.php?workbook=10_05.xlsx&amp;sheet=U0&amp;row=8645&amp;col=7&amp;number=0.00467&amp;sourceID=14","0.00467")</f>
        <v>0.00467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HYPERLINK("http://141.218.60.56/~jnz1568/getInfo.php?workbook=10_05.xlsx&amp;sheet=U0&amp;row=8646&amp;col=6&amp;number=3.2&amp;sourceID=14","3.2")</f>
        <v>3.2</v>
      </c>
      <c r="G8646" s="4" t="str">
        <f>HYPERLINK("http://141.218.60.56/~jnz1568/getInfo.php?workbook=10_05.xlsx&amp;sheet=U0&amp;row=8646&amp;col=7&amp;number=0.00473&amp;sourceID=14","0.00473")</f>
        <v>0.00473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HYPERLINK("http://141.218.60.56/~jnz1568/getInfo.php?workbook=10_05.xlsx&amp;sheet=U0&amp;row=8647&amp;col=6&amp;number=3.3&amp;sourceID=14","3.3")</f>
        <v>3.3</v>
      </c>
      <c r="G8647" s="4" t="str">
        <f>HYPERLINK("http://141.218.60.56/~jnz1568/getInfo.php?workbook=10_05.xlsx&amp;sheet=U0&amp;row=8647&amp;col=7&amp;number=0.00482&amp;sourceID=14","0.00482")</f>
        <v>0.00482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HYPERLINK("http://141.218.60.56/~jnz1568/getInfo.php?workbook=10_05.xlsx&amp;sheet=U0&amp;row=8648&amp;col=6&amp;number=3.4&amp;sourceID=14","3.4")</f>
        <v>3.4</v>
      </c>
      <c r="G8648" s="4" t="str">
        <f>HYPERLINK("http://141.218.60.56/~jnz1568/getInfo.php?workbook=10_05.xlsx&amp;sheet=U0&amp;row=8648&amp;col=7&amp;number=0.00492&amp;sourceID=14","0.00492")</f>
        <v>0.00492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HYPERLINK("http://141.218.60.56/~jnz1568/getInfo.php?workbook=10_05.xlsx&amp;sheet=U0&amp;row=8649&amp;col=6&amp;number=3.5&amp;sourceID=14","3.5")</f>
        <v>3.5</v>
      </c>
      <c r="G8649" s="4" t="str">
        <f>HYPERLINK("http://141.218.60.56/~jnz1568/getInfo.php?workbook=10_05.xlsx&amp;sheet=U0&amp;row=8649&amp;col=7&amp;number=0.00504&amp;sourceID=14","0.00504")</f>
        <v>0.00504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HYPERLINK("http://141.218.60.56/~jnz1568/getInfo.php?workbook=10_05.xlsx&amp;sheet=U0&amp;row=8650&amp;col=6&amp;number=3.6&amp;sourceID=14","3.6")</f>
        <v>3.6</v>
      </c>
      <c r="G8650" s="4" t="str">
        <f>HYPERLINK("http://141.218.60.56/~jnz1568/getInfo.php?workbook=10_05.xlsx&amp;sheet=U0&amp;row=8650&amp;col=7&amp;number=0.00518&amp;sourceID=14","0.00518")</f>
        <v>0.00518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HYPERLINK("http://141.218.60.56/~jnz1568/getInfo.php?workbook=10_05.xlsx&amp;sheet=U0&amp;row=8651&amp;col=6&amp;number=3.7&amp;sourceID=14","3.7")</f>
        <v>3.7</v>
      </c>
      <c r="G8651" s="4" t="str">
        <f>HYPERLINK("http://141.218.60.56/~jnz1568/getInfo.php?workbook=10_05.xlsx&amp;sheet=U0&amp;row=8651&amp;col=7&amp;number=0.00536&amp;sourceID=14","0.00536")</f>
        <v>0.00536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HYPERLINK("http://141.218.60.56/~jnz1568/getInfo.php?workbook=10_05.xlsx&amp;sheet=U0&amp;row=8652&amp;col=6&amp;number=3.8&amp;sourceID=14","3.8")</f>
        <v>3.8</v>
      </c>
      <c r="G8652" s="4" t="str">
        <f>HYPERLINK("http://141.218.60.56/~jnz1568/getInfo.php?workbook=10_05.xlsx&amp;sheet=U0&amp;row=8652&amp;col=7&amp;number=0.00555&amp;sourceID=14","0.00555")</f>
        <v>0.00555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HYPERLINK("http://141.218.60.56/~jnz1568/getInfo.php?workbook=10_05.xlsx&amp;sheet=U0&amp;row=8653&amp;col=6&amp;number=3.9&amp;sourceID=14","3.9")</f>
        <v>3.9</v>
      </c>
      <c r="G8653" s="4" t="str">
        <f>HYPERLINK("http://141.218.60.56/~jnz1568/getInfo.php?workbook=10_05.xlsx&amp;sheet=U0&amp;row=8653&amp;col=7&amp;number=0.00576&amp;sourceID=14","0.00576")</f>
        <v>0.00576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HYPERLINK("http://141.218.60.56/~jnz1568/getInfo.php?workbook=10_05.xlsx&amp;sheet=U0&amp;row=8654&amp;col=6&amp;number=4&amp;sourceID=14","4")</f>
        <v>4</v>
      </c>
      <c r="G8654" s="4" t="str">
        <f>HYPERLINK("http://141.218.60.56/~jnz1568/getInfo.php?workbook=10_05.xlsx&amp;sheet=U0&amp;row=8654&amp;col=7&amp;number=0.00596&amp;sourceID=14","0.00596")</f>
        <v>0.00596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HYPERLINK("http://141.218.60.56/~jnz1568/getInfo.php?workbook=10_05.xlsx&amp;sheet=U0&amp;row=8655&amp;col=6&amp;number=4.1&amp;sourceID=14","4.1")</f>
        <v>4.1</v>
      </c>
      <c r="G8655" s="4" t="str">
        <f>HYPERLINK("http://141.218.60.56/~jnz1568/getInfo.php?workbook=10_05.xlsx&amp;sheet=U0&amp;row=8655&amp;col=7&amp;number=0.00612&amp;sourceID=14","0.00612")</f>
        <v>0.00612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HYPERLINK("http://141.218.60.56/~jnz1568/getInfo.php?workbook=10_05.xlsx&amp;sheet=U0&amp;row=8656&amp;col=6&amp;number=4.2&amp;sourceID=14","4.2")</f>
        <v>4.2</v>
      </c>
      <c r="G8656" s="4" t="str">
        <f>HYPERLINK("http://141.218.60.56/~jnz1568/getInfo.php?workbook=10_05.xlsx&amp;sheet=U0&amp;row=8656&amp;col=7&amp;number=0.00617&amp;sourceID=14","0.00617")</f>
        <v>0.00617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HYPERLINK("http://141.218.60.56/~jnz1568/getInfo.php?workbook=10_05.xlsx&amp;sheet=U0&amp;row=8657&amp;col=6&amp;number=4.3&amp;sourceID=14","4.3")</f>
        <v>4.3</v>
      </c>
      <c r="G8657" s="4" t="str">
        <f>HYPERLINK("http://141.218.60.56/~jnz1568/getInfo.php?workbook=10_05.xlsx&amp;sheet=U0&amp;row=8657&amp;col=7&amp;number=0.00611&amp;sourceID=14","0.00611")</f>
        <v>0.00611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HYPERLINK("http://141.218.60.56/~jnz1568/getInfo.php?workbook=10_05.xlsx&amp;sheet=U0&amp;row=8658&amp;col=6&amp;number=4.4&amp;sourceID=14","4.4")</f>
        <v>4.4</v>
      </c>
      <c r="G8658" s="4" t="str">
        <f>HYPERLINK("http://141.218.60.56/~jnz1568/getInfo.php?workbook=10_05.xlsx&amp;sheet=U0&amp;row=8658&amp;col=7&amp;number=0.00592&amp;sourceID=14","0.00592")</f>
        <v>0.00592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HYPERLINK("http://141.218.60.56/~jnz1568/getInfo.php?workbook=10_05.xlsx&amp;sheet=U0&amp;row=8659&amp;col=6&amp;number=4.5&amp;sourceID=14","4.5")</f>
        <v>4.5</v>
      </c>
      <c r="G8659" s="4" t="str">
        <f>HYPERLINK("http://141.218.60.56/~jnz1568/getInfo.php?workbook=10_05.xlsx&amp;sheet=U0&amp;row=8659&amp;col=7&amp;number=0.00568&amp;sourceID=14","0.00568")</f>
        <v>0.00568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HYPERLINK("http://141.218.60.56/~jnz1568/getInfo.php?workbook=10_05.xlsx&amp;sheet=U0&amp;row=8660&amp;col=6&amp;number=4.6&amp;sourceID=14","4.6")</f>
        <v>4.6</v>
      </c>
      <c r="G8660" s="4" t="str">
        <f>HYPERLINK("http://141.218.60.56/~jnz1568/getInfo.php?workbook=10_05.xlsx&amp;sheet=U0&amp;row=8660&amp;col=7&amp;number=0.00541&amp;sourceID=14","0.00541")</f>
        <v>0.00541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HYPERLINK("http://141.218.60.56/~jnz1568/getInfo.php?workbook=10_05.xlsx&amp;sheet=U0&amp;row=8661&amp;col=6&amp;number=4.7&amp;sourceID=14","4.7")</f>
        <v>4.7</v>
      </c>
      <c r="G8661" s="4" t="str">
        <f>HYPERLINK("http://141.218.60.56/~jnz1568/getInfo.php?workbook=10_05.xlsx&amp;sheet=U0&amp;row=8661&amp;col=7&amp;number=0.0051&amp;sourceID=14","0.0051")</f>
        <v>0.0051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HYPERLINK("http://141.218.60.56/~jnz1568/getInfo.php?workbook=10_05.xlsx&amp;sheet=U0&amp;row=8662&amp;col=6&amp;number=4.8&amp;sourceID=14","4.8")</f>
        <v>4.8</v>
      </c>
      <c r="G8662" s="4" t="str">
        <f>HYPERLINK("http://141.218.60.56/~jnz1568/getInfo.php?workbook=10_05.xlsx&amp;sheet=U0&amp;row=8662&amp;col=7&amp;number=0.00473&amp;sourceID=14","0.00473")</f>
        <v>0.00473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HYPERLINK("http://141.218.60.56/~jnz1568/getInfo.php?workbook=10_05.xlsx&amp;sheet=U0&amp;row=8663&amp;col=6&amp;number=4.9&amp;sourceID=14","4.9")</f>
        <v>4.9</v>
      </c>
      <c r="G8663" s="4" t="str">
        <f>HYPERLINK("http://141.218.60.56/~jnz1568/getInfo.php?workbook=10_05.xlsx&amp;sheet=U0&amp;row=8663&amp;col=7&amp;number=0.00433&amp;sourceID=14","0.00433")</f>
        <v>0.00433</v>
      </c>
    </row>
    <row r="8664" spans="1:7">
      <c r="A8664" s="3">
        <v>10</v>
      </c>
      <c r="B8664" s="3">
        <v>5</v>
      </c>
      <c r="C8664" s="3">
        <v>3</v>
      </c>
      <c r="D8664" s="3">
        <v>80</v>
      </c>
      <c r="E8664" s="3">
        <v>1</v>
      </c>
      <c r="F8664" s="4" t="str">
        <f>HYPERLINK("http://141.218.60.56/~jnz1568/getInfo.php?workbook=10_05.xlsx&amp;sheet=U0&amp;row=8664&amp;col=6&amp;number=3&amp;sourceID=14","3")</f>
        <v>3</v>
      </c>
      <c r="G8664" s="4" t="str">
        <f>HYPERLINK("http://141.218.60.56/~jnz1568/getInfo.php?workbook=10_05.xlsx&amp;sheet=U0&amp;row=8664&amp;col=7&amp;number=0.00513&amp;sourceID=14","0.00513")</f>
        <v>0.00513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HYPERLINK("http://141.218.60.56/~jnz1568/getInfo.php?workbook=10_05.xlsx&amp;sheet=U0&amp;row=8665&amp;col=6&amp;number=3.1&amp;sourceID=14","3.1")</f>
        <v>3.1</v>
      </c>
      <c r="G8665" s="4" t="str">
        <f>HYPERLINK("http://141.218.60.56/~jnz1568/getInfo.php?workbook=10_05.xlsx&amp;sheet=U0&amp;row=8665&amp;col=7&amp;number=0.00522&amp;sourceID=14","0.00522")</f>
        <v>0.00522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HYPERLINK("http://141.218.60.56/~jnz1568/getInfo.php?workbook=10_05.xlsx&amp;sheet=U0&amp;row=8666&amp;col=6&amp;number=3.2&amp;sourceID=14","3.2")</f>
        <v>3.2</v>
      </c>
      <c r="G8666" s="4" t="str">
        <f>HYPERLINK("http://141.218.60.56/~jnz1568/getInfo.php?workbook=10_05.xlsx&amp;sheet=U0&amp;row=8666&amp;col=7&amp;number=0.00532&amp;sourceID=14","0.00532")</f>
        <v>0.00532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HYPERLINK("http://141.218.60.56/~jnz1568/getInfo.php?workbook=10_05.xlsx&amp;sheet=U0&amp;row=8667&amp;col=6&amp;number=3.3&amp;sourceID=14","3.3")</f>
        <v>3.3</v>
      </c>
      <c r="G8667" s="4" t="str">
        <f>HYPERLINK("http://141.218.60.56/~jnz1568/getInfo.php?workbook=10_05.xlsx&amp;sheet=U0&amp;row=8667&amp;col=7&amp;number=0.00545&amp;sourceID=14","0.00545")</f>
        <v>0.00545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HYPERLINK("http://141.218.60.56/~jnz1568/getInfo.php?workbook=10_05.xlsx&amp;sheet=U0&amp;row=8668&amp;col=6&amp;number=3.4&amp;sourceID=14","3.4")</f>
        <v>3.4</v>
      </c>
      <c r="G8668" s="4" t="str">
        <f>HYPERLINK("http://141.218.60.56/~jnz1568/getInfo.php?workbook=10_05.xlsx&amp;sheet=U0&amp;row=8668&amp;col=7&amp;number=0.00561&amp;sourceID=14","0.00561")</f>
        <v>0.00561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HYPERLINK("http://141.218.60.56/~jnz1568/getInfo.php?workbook=10_05.xlsx&amp;sheet=U0&amp;row=8669&amp;col=6&amp;number=3.5&amp;sourceID=14","3.5")</f>
        <v>3.5</v>
      </c>
      <c r="G8669" s="4" t="str">
        <f>HYPERLINK("http://141.218.60.56/~jnz1568/getInfo.php?workbook=10_05.xlsx&amp;sheet=U0&amp;row=8669&amp;col=7&amp;number=0.00581&amp;sourceID=14","0.00581")</f>
        <v>0.00581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HYPERLINK("http://141.218.60.56/~jnz1568/getInfo.php?workbook=10_05.xlsx&amp;sheet=U0&amp;row=8670&amp;col=6&amp;number=3.6&amp;sourceID=14","3.6")</f>
        <v>3.6</v>
      </c>
      <c r="G8670" s="4" t="str">
        <f>HYPERLINK("http://141.218.60.56/~jnz1568/getInfo.php?workbook=10_05.xlsx&amp;sheet=U0&amp;row=8670&amp;col=7&amp;number=0.00604&amp;sourceID=14","0.00604")</f>
        <v>0.00604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HYPERLINK("http://141.218.60.56/~jnz1568/getInfo.php?workbook=10_05.xlsx&amp;sheet=U0&amp;row=8671&amp;col=6&amp;number=3.7&amp;sourceID=14","3.7")</f>
        <v>3.7</v>
      </c>
      <c r="G8671" s="4" t="str">
        <f>HYPERLINK("http://141.218.60.56/~jnz1568/getInfo.php?workbook=10_05.xlsx&amp;sheet=U0&amp;row=8671&amp;col=7&amp;number=0.0063&amp;sourceID=14","0.0063")</f>
        <v>0.0063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HYPERLINK("http://141.218.60.56/~jnz1568/getInfo.php?workbook=10_05.xlsx&amp;sheet=U0&amp;row=8672&amp;col=6&amp;number=3.8&amp;sourceID=14","3.8")</f>
        <v>3.8</v>
      </c>
      <c r="G8672" s="4" t="str">
        <f>HYPERLINK("http://141.218.60.56/~jnz1568/getInfo.php?workbook=10_05.xlsx&amp;sheet=U0&amp;row=8672&amp;col=7&amp;number=0.0066&amp;sourceID=14","0.0066")</f>
        <v>0.0066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HYPERLINK("http://141.218.60.56/~jnz1568/getInfo.php?workbook=10_05.xlsx&amp;sheet=U0&amp;row=8673&amp;col=6&amp;number=3.9&amp;sourceID=14","3.9")</f>
        <v>3.9</v>
      </c>
      <c r="G8673" s="4" t="str">
        <f>HYPERLINK("http://141.218.60.56/~jnz1568/getInfo.php?workbook=10_05.xlsx&amp;sheet=U0&amp;row=8673&amp;col=7&amp;number=0.00691&amp;sourceID=14","0.00691")</f>
        <v>0.00691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HYPERLINK("http://141.218.60.56/~jnz1568/getInfo.php?workbook=10_05.xlsx&amp;sheet=U0&amp;row=8674&amp;col=6&amp;number=4&amp;sourceID=14","4")</f>
        <v>4</v>
      </c>
      <c r="G8674" s="4" t="str">
        <f>HYPERLINK("http://141.218.60.56/~jnz1568/getInfo.php?workbook=10_05.xlsx&amp;sheet=U0&amp;row=8674&amp;col=7&amp;number=0.00719&amp;sourceID=14","0.00719")</f>
        <v>0.00719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HYPERLINK("http://141.218.60.56/~jnz1568/getInfo.php?workbook=10_05.xlsx&amp;sheet=U0&amp;row=8675&amp;col=6&amp;number=4.1&amp;sourceID=14","4.1")</f>
        <v>4.1</v>
      </c>
      <c r="G8675" s="4" t="str">
        <f>HYPERLINK("http://141.218.60.56/~jnz1568/getInfo.php?workbook=10_05.xlsx&amp;sheet=U0&amp;row=8675&amp;col=7&amp;number=0.00738&amp;sourceID=14","0.00738")</f>
        <v>0.00738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HYPERLINK("http://141.218.60.56/~jnz1568/getInfo.php?workbook=10_05.xlsx&amp;sheet=U0&amp;row=8676&amp;col=6&amp;number=4.2&amp;sourceID=14","4.2")</f>
        <v>4.2</v>
      </c>
      <c r="G8676" s="4" t="str">
        <f>HYPERLINK("http://141.218.60.56/~jnz1568/getInfo.php?workbook=10_05.xlsx&amp;sheet=U0&amp;row=8676&amp;col=7&amp;number=0.00744&amp;sourceID=14","0.00744")</f>
        <v>0.00744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HYPERLINK("http://141.218.60.56/~jnz1568/getInfo.php?workbook=10_05.xlsx&amp;sheet=U0&amp;row=8677&amp;col=6&amp;number=4.3&amp;sourceID=14","4.3")</f>
        <v>4.3</v>
      </c>
      <c r="G8677" s="4" t="str">
        <f>HYPERLINK("http://141.218.60.56/~jnz1568/getInfo.php?workbook=10_05.xlsx&amp;sheet=U0&amp;row=8677&amp;col=7&amp;number=0.00736&amp;sourceID=14","0.00736")</f>
        <v>0.00736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HYPERLINK("http://141.218.60.56/~jnz1568/getInfo.php?workbook=10_05.xlsx&amp;sheet=U0&amp;row=8678&amp;col=6&amp;number=4.4&amp;sourceID=14","4.4")</f>
        <v>4.4</v>
      </c>
      <c r="G8678" s="4" t="str">
        <f>HYPERLINK("http://141.218.60.56/~jnz1568/getInfo.php?workbook=10_05.xlsx&amp;sheet=U0&amp;row=8678&amp;col=7&amp;number=0.00717&amp;sourceID=14","0.00717")</f>
        <v>0.00717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HYPERLINK("http://141.218.60.56/~jnz1568/getInfo.php?workbook=10_05.xlsx&amp;sheet=U0&amp;row=8679&amp;col=6&amp;number=4.5&amp;sourceID=14","4.5")</f>
        <v>4.5</v>
      </c>
      <c r="G8679" s="4" t="str">
        <f>HYPERLINK("http://141.218.60.56/~jnz1568/getInfo.php?workbook=10_05.xlsx&amp;sheet=U0&amp;row=8679&amp;col=7&amp;number=0.0069&amp;sourceID=14","0.0069")</f>
        <v>0.0069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HYPERLINK("http://141.218.60.56/~jnz1568/getInfo.php?workbook=10_05.xlsx&amp;sheet=U0&amp;row=8680&amp;col=6&amp;number=4.6&amp;sourceID=14","4.6")</f>
        <v>4.6</v>
      </c>
      <c r="G8680" s="4" t="str">
        <f>HYPERLINK("http://141.218.60.56/~jnz1568/getInfo.php?workbook=10_05.xlsx&amp;sheet=U0&amp;row=8680&amp;col=7&amp;number=0.00653&amp;sourceID=14","0.00653")</f>
        <v>0.00653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HYPERLINK("http://141.218.60.56/~jnz1568/getInfo.php?workbook=10_05.xlsx&amp;sheet=U0&amp;row=8681&amp;col=6&amp;number=4.7&amp;sourceID=14","4.7")</f>
        <v>4.7</v>
      </c>
      <c r="G8681" s="4" t="str">
        <f>HYPERLINK("http://141.218.60.56/~jnz1568/getInfo.php?workbook=10_05.xlsx&amp;sheet=U0&amp;row=8681&amp;col=7&amp;number=0.00603&amp;sourceID=14","0.00603")</f>
        <v>0.00603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HYPERLINK("http://141.218.60.56/~jnz1568/getInfo.php?workbook=10_05.xlsx&amp;sheet=U0&amp;row=8682&amp;col=6&amp;number=4.8&amp;sourceID=14","4.8")</f>
        <v>4.8</v>
      </c>
      <c r="G8682" s="4" t="str">
        <f>HYPERLINK("http://141.218.60.56/~jnz1568/getInfo.php?workbook=10_05.xlsx&amp;sheet=U0&amp;row=8682&amp;col=7&amp;number=0.00543&amp;sourceID=14","0.00543")</f>
        <v>0.00543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HYPERLINK("http://141.218.60.56/~jnz1568/getInfo.php?workbook=10_05.xlsx&amp;sheet=U0&amp;row=8683&amp;col=6&amp;number=4.9&amp;sourceID=14","4.9")</f>
        <v>4.9</v>
      </c>
      <c r="G8683" s="4" t="str">
        <f>HYPERLINK("http://141.218.60.56/~jnz1568/getInfo.php?workbook=10_05.xlsx&amp;sheet=U0&amp;row=8683&amp;col=7&amp;number=0.00481&amp;sourceID=14","0.00481")</f>
        <v>0.00481</v>
      </c>
    </row>
    <row r="8684" spans="1:7">
      <c r="A8684" s="3">
        <v>10</v>
      </c>
      <c r="B8684" s="3">
        <v>5</v>
      </c>
      <c r="C8684" s="3">
        <v>3</v>
      </c>
      <c r="D8684" s="3">
        <v>81</v>
      </c>
      <c r="E8684" s="3">
        <v>1</v>
      </c>
      <c r="F8684" s="4" t="str">
        <f>HYPERLINK("http://141.218.60.56/~jnz1568/getInfo.php?workbook=10_05.xlsx&amp;sheet=U0&amp;row=8684&amp;col=6&amp;number=3&amp;sourceID=14","3")</f>
        <v>3</v>
      </c>
      <c r="G8684" s="4" t="str">
        <f>HYPERLINK("http://141.218.60.56/~jnz1568/getInfo.php?workbook=10_05.xlsx&amp;sheet=U0&amp;row=8684&amp;col=7&amp;number=0.00511&amp;sourceID=14","0.00511")</f>
        <v>0.00511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HYPERLINK("http://141.218.60.56/~jnz1568/getInfo.php?workbook=10_05.xlsx&amp;sheet=U0&amp;row=8685&amp;col=6&amp;number=3.1&amp;sourceID=14","3.1")</f>
        <v>3.1</v>
      </c>
      <c r="G8685" s="4" t="str">
        <f>HYPERLINK("http://141.218.60.56/~jnz1568/getInfo.php?workbook=10_05.xlsx&amp;sheet=U0&amp;row=8685&amp;col=7&amp;number=0.00521&amp;sourceID=14","0.00521")</f>
        <v>0.00521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HYPERLINK("http://141.218.60.56/~jnz1568/getInfo.php?workbook=10_05.xlsx&amp;sheet=U0&amp;row=8686&amp;col=6&amp;number=3.2&amp;sourceID=14","3.2")</f>
        <v>3.2</v>
      </c>
      <c r="G8686" s="4" t="str">
        <f>HYPERLINK("http://141.218.60.56/~jnz1568/getInfo.php?workbook=10_05.xlsx&amp;sheet=U0&amp;row=8686&amp;col=7&amp;number=0.00534&amp;sourceID=14","0.00534")</f>
        <v>0.00534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HYPERLINK("http://141.218.60.56/~jnz1568/getInfo.php?workbook=10_05.xlsx&amp;sheet=U0&amp;row=8687&amp;col=6&amp;number=3.3&amp;sourceID=14","3.3")</f>
        <v>3.3</v>
      </c>
      <c r="G8687" s="4" t="str">
        <f>HYPERLINK("http://141.218.60.56/~jnz1568/getInfo.php?workbook=10_05.xlsx&amp;sheet=U0&amp;row=8687&amp;col=7&amp;number=0.00549&amp;sourceID=14","0.00549")</f>
        <v>0.00549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HYPERLINK("http://141.218.60.56/~jnz1568/getInfo.php?workbook=10_05.xlsx&amp;sheet=U0&amp;row=8688&amp;col=6&amp;number=3.4&amp;sourceID=14","3.4")</f>
        <v>3.4</v>
      </c>
      <c r="G8688" s="4" t="str">
        <f>HYPERLINK("http://141.218.60.56/~jnz1568/getInfo.php?workbook=10_05.xlsx&amp;sheet=U0&amp;row=8688&amp;col=7&amp;number=0.00568&amp;sourceID=14","0.00568")</f>
        <v>0.00568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HYPERLINK("http://141.218.60.56/~jnz1568/getInfo.php?workbook=10_05.xlsx&amp;sheet=U0&amp;row=8689&amp;col=6&amp;number=3.5&amp;sourceID=14","3.5")</f>
        <v>3.5</v>
      </c>
      <c r="G8689" s="4" t="str">
        <f>HYPERLINK("http://141.218.60.56/~jnz1568/getInfo.php?workbook=10_05.xlsx&amp;sheet=U0&amp;row=8689&amp;col=7&amp;number=0.0059&amp;sourceID=14","0.0059")</f>
        <v>0.0059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HYPERLINK("http://141.218.60.56/~jnz1568/getInfo.php?workbook=10_05.xlsx&amp;sheet=U0&amp;row=8690&amp;col=6&amp;number=3.6&amp;sourceID=14","3.6")</f>
        <v>3.6</v>
      </c>
      <c r="G8690" s="4" t="str">
        <f>HYPERLINK("http://141.218.60.56/~jnz1568/getInfo.php?workbook=10_05.xlsx&amp;sheet=U0&amp;row=8690&amp;col=7&amp;number=0.00616&amp;sourceID=14","0.00616")</f>
        <v>0.00616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HYPERLINK("http://141.218.60.56/~jnz1568/getInfo.php?workbook=10_05.xlsx&amp;sheet=U0&amp;row=8691&amp;col=6&amp;number=3.7&amp;sourceID=14","3.7")</f>
        <v>3.7</v>
      </c>
      <c r="G8691" s="4" t="str">
        <f>HYPERLINK("http://141.218.60.56/~jnz1568/getInfo.php?workbook=10_05.xlsx&amp;sheet=U0&amp;row=8691&amp;col=7&amp;number=0.00645&amp;sourceID=14","0.00645")</f>
        <v>0.00645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HYPERLINK("http://141.218.60.56/~jnz1568/getInfo.php?workbook=10_05.xlsx&amp;sheet=U0&amp;row=8692&amp;col=6&amp;number=3.8&amp;sourceID=14","3.8")</f>
        <v>3.8</v>
      </c>
      <c r="G8692" s="4" t="str">
        <f>HYPERLINK("http://141.218.60.56/~jnz1568/getInfo.php?workbook=10_05.xlsx&amp;sheet=U0&amp;row=8692&amp;col=7&amp;number=0.00676&amp;sourceID=14","0.00676")</f>
        <v>0.00676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HYPERLINK("http://141.218.60.56/~jnz1568/getInfo.php?workbook=10_05.xlsx&amp;sheet=U0&amp;row=8693&amp;col=6&amp;number=3.9&amp;sourceID=14","3.9")</f>
        <v>3.9</v>
      </c>
      <c r="G8693" s="4" t="str">
        <f>HYPERLINK("http://141.218.60.56/~jnz1568/getInfo.php?workbook=10_05.xlsx&amp;sheet=U0&amp;row=8693&amp;col=7&amp;number=0.00705&amp;sourceID=14","0.00705")</f>
        <v>0.00705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HYPERLINK("http://141.218.60.56/~jnz1568/getInfo.php?workbook=10_05.xlsx&amp;sheet=U0&amp;row=8694&amp;col=6&amp;number=4&amp;sourceID=14","4")</f>
        <v>4</v>
      </c>
      <c r="G8694" s="4" t="str">
        <f>HYPERLINK("http://141.218.60.56/~jnz1568/getInfo.php?workbook=10_05.xlsx&amp;sheet=U0&amp;row=8694&amp;col=7&amp;number=0.00727&amp;sourceID=14","0.00727")</f>
        <v>0.00727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HYPERLINK("http://141.218.60.56/~jnz1568/getInfo.php?workbook=10_05.xlsx&amp;sheet=U0&amp;row=8695&amp;col=6&amp;number=4.1&amp;sourceID=14","4.1")</f>
        <v>4.1</v>
      </c>
      <c r="G8695" s="4" t="str">
        <f>HYPERLINK("http://141.218.60.56/~jnz1568/getInfo.php?workbook=10_05.xlsx&amp;sheet=U0&amp;row=8695&amp;col=7&amp;number=0.00738&amp;sourceID=14","0.00738")</f>
        <v>0.00738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HYPERLINK("http://141.218.60.56/~jnz1568/getInfo.php?workbook=10_05.xlsx&amp;sheet=U0&amp;row=8696&amp;col=6&amp;number=4.2&amp;sourceID=14","4.2")</f>
        <v>4.2</v>
      </c>
      <c r="G8696" s="4" t="str">
        <f>HYPERLINK("http://141.218.60.56/~jnz1568/getInfo.php?workbook=10_05.xlsx&amp;sheet=U0&amp;row=8696&amp;col=7&amp;number=0.00737&amp;sourceID=14","0.00737")</f>
        <v>0.00737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HYPERLINK("http://141.218.60.56/~jnz1568/getInfo.php?workbook=10_05.xlsx&amp;sheet=U0&amp;row=8697&amp;col=6&amp;number=4.3&amp;sourceID=14","4.3")</f>
        <v>4.3</v>
      </c>
      <c r="G8697" s="4" t="str">
        <f>HYPERLINK("http://141.218.60.56/~jnz1568/getInfo.php?workbook=10_05.xlsx&amp;sheet=U0&amp;row=8697&amp;col=7&amp;number=0.00729&amp;sourceID=14","0.00729")</f>
        <v>0.00729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HYPERLINK("http://141.218.60.56/~jnz1568/getInfo.php?workbook=10_05.xlsx&amp;sheet=U0&amp;row=8698&amp;col=6&amp;number=4.4&amp;sourceID=14","4.4")</f>
        <v>4.4</v>
      </c>
      <c r="G8698" s="4" t="str">
        <f>HYPERLINK("http://141.218.60.56/~jnz1568/getInfo.php?workbook=10_05.xlsx&amp;sheet=U0&amp;row=8698&amp;col=7&amp;number=0.00716&amp;sourceID=14","0.00716")</f>
        <v>0.00716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HYPERLINK("http://141.218.60.56/~jnz1568/getInfo.php?workbook=10_05.xlsx&amp;sheet=U0&amp;row=8699&amp;col=6&amp;number=4.5&amp;sourceID=14","4.5")</f>
        <v>4.5</v>
      </c>
      <c r="G8699" s="4" t="str">
        <f>HYPERLINK("http://141.218.60.56/~jnz1568/getInfo.php?workbook=10_05.xlsx&amp;sheet=U0&amp;row=8699&amp;col=7&amp;number=0.00692&amp;sourceID=14","0.00692")</f>
        <v>0.00692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HYPERLINK("http://141.218.60.56/~jnz1568/getInfo.php?workbook=10_05.xlsx&amp;sheet=U0&amp;row=8700&amp;col=6&amp;number=4.6&amp;sourceID=14","4.6")</f>
        <v>4.6</v>
      </c>
      <c r="G8700" s="4" t="str">
        <f>HYPERLINK("http://141.218.60.56/~jnz1568/getInfo.php?workbook=10_05.xlsx&amp;sheet=U0&amp;row=8700&amp;col=7&amp;number=0.00651&amp;sourceID=14","0.00651")</f>
        <v>0.00651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HYPERLINK("http://141.218.60.56/~jnz1568/getInfo.php?workbook=10_05.xlsx&amp;sheet=U0&amp;row=8701&amp;col=6&amp;number=4.7&amp;sourceID=14","4.7")</f>
        <v>4.7</v>
      </c>
      <c r="G8701" s="4" t="str">
        <f>HYPERLINK("http://141.218.60.56/~jnz1568/getInfo.php?workbook=10_05.xlsx&amp;sheet=U0&amp;row=8701&amp;col=7&amp;number=0.00596&amp;sourceID=14","0.00596")</f>
        <v>0.00596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HYPERLINK("http://141.218.60.56/~jnz1568/getInfo.php?workbook=10_05.xlsx&amp;sheet=U0&amp;row=8702&amp;col=6&amp;number=4.8&amp;sourceID=14","4.8")</f>
        <v>4.8</v>
      </c>
      <c r="G8702" s="4" t="str">
        <f>HYPERLINK("http://141.218.60.56/~jnz1568/getInfo.php?workbook=10_05.xlsx&amp;sheet=U0&amp;row=8702&amp;col=7&amp;number=0.00538&amp;sourceID=14","0.00538")</f>
        <v>0.00538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HYPERLINK("http://141.218.60.56/~jnz1568/getInfo.php?workbook=10_05.xlsx&amp;sheet=U0&amp;row=8703&amp;col=6&amp;number=4.9&amp;sourceID=14","4.9")</f>
        <v>4.9</v>
      </c>
      <c r="G8703" s="4" t="str">
        <f>HYPERLINK("http://141.218.60.56/~jnz1568/getInfo.php?workbook=10_05.xlsx&amp;sheet=U0&amp;row=8703&amp;col=7&amp;number=0.00479&amp;sourceID=14","0.00479")</f>
        <v>0.00479</v>
      </c>
    </row>
    <row r="8704" spans="1:7">
      <c r="A8704" s="3">
        <v>10</v>
      </c>
      <c r="B8704" s="3">
        <v>5</v>
      </c>
      <c r="C8704" s="3">
        <v>3</v>
      </c>
      <c r="D8704" s="3">
        <v>82</v>
      </c>
      <c r="E8704" s="3">
        <v>1</v>
      </c>
      <c r="F8704" s="4" t="str">
        <f>HYPERLINK("http://141.218.60.56/~jnz1568/getInfo.php?workbook=10_05.xlsx&amp;sheet=U0&amp;row=8704&amp;col=6&amp;number=3&amp;sourceID=14","3")</f>
        <v>3</v>
      </c>
      <c r="G8704" s="4" t="str">
        <f>HYPERLINK("http://141.218.60.56/~jnz1568/getInfo.php?workbook=10_05.xlsx&amp;sheet=U0&amp;row=8704&amp;col=7&amp;number=0.0193&amp;sourceID=14","0.0193")</f>
        <v>0.0193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HYPERLINK("http://141.218.60.56/~jnz1568/getInfo.php?workbook=10_05.xlsx&amp;sheet=U0&amp;row=8705&amp;col=6&amp;number=3.1&amp;sourceID=14","3.1")</f>
        <v>3.1</v>
      </c>
      <c r="G8705" s="4" t="str">
        <f>HYPERLINK("http://141.218.60.56/~jnz1568/getInfo.php?workbook=10_05.xlsx&amp;sheet=U0&amp;row=8705&amp;col=7&amp;number=0.0193&amp;sourceID=14","0.0193")</f>
        <v>0.0193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HYPERLINK("http://141.218.60.56/~jnz1568/getInfo.php?workbook=10_05.xlsx&amp;sheet=U0&amp;row=8706&amp;col=6&amp;number=3.2&amp;sourceID=14","3.2")</f>
        <v>3.2</v>
      </c>
      <c r="G8706" s="4" t="str">
        <f>HYPERLINK("http://141.218.60.56/~jnz1568/getInfo.php?workbook=10_05.xlsx&amp;sheet=U0&amp;row=8706&amp;col=7&amp;number=0.0192&amp;sourceID=14","0.0192")</f>
        <v>0.0192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HYPERLINK("http://141.218.60.56/~jnz1568/getInfo.php?workbook=10_05.xlsx&amp;sheet=U0&amp;row=8707&amp;col=6&amp;number=3.3&amp;sourceID=14","3.3")</f>
        <v>3.3</v>
      </c>
      <c r="G8707" s="4" t="str">
        <f>HYPERLINK("http://141.218.60.56/~jnz1568/getInfo.php?workbook=10_05.xlsx&amp;sheet=U0&amp;row=8707&amp;col=7&amp;number=0.0192&amp;sourceID=14","0.0192")</f>
        <v>0.0192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HYPERLINK("http://141.218.60.56/~jnz1568/getInfo.php?workbook=10_05.xlsx&amp;sheet=U0&amp;row=8708&amp;col=6&amp;number=3.4&amp;sourceID=14","3.4")</f>
        <v>3.4</v>
      </c>
      <c r="G8708" s="4" t="str">
        <f>HYPERLINK("http://141.218.60.56/~jnz1568/getInfo.php?workbook=10_05.xlsx&amp;sheet=U0&amp;row=8708&amp;col=7&amp;number=0.0191&amp;sourceID=14","0.0191")</f>
        <v>0.0191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HYPERLINK("http://141.218.60.56/~jnz1568/getInfo.php?workbook=10_05.xlsx&amp;sheet=U0&amp;row=8709&amp;col=6&amp;number=3.5&amp;sourceID=14","3.5")</f>
        <v>3.5</v>
      </c>
      <c r="G8709" s="4" t="str">
        <f>HYPERLINK("http://141.218.60.56/~jnz1568/getInfo.php?workbook=10_05.xlsx&amp;sheet=U0&amp;row=8709&amp;col=7&amp;number=0.0191&amp;sourceID=14","0.0191")</f>
        <v>0.0191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HYPERLINK("http://141.218.60.56/~jnz1568/getInfo.php?workbook=10_05.xlsx&amp;sheet=U0&amp;row=8710&amp;col=6&amp;number=3.6&amp;sourceID=14","3.6")</f>
        <v>3.6</v>
      </c>
      <c r="G8710" s="4" t="str">
        <f>HYPERLINK("http://141.218.60.56/~jnz1568/getInfo.php?workbook=10_05.xlsx&amp;sheet=U0&amp;row=8710&amp;col=7&amp;number=0.019&amp;sourceID=14","0.019")</f>
        <v>0.019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HYPERLINK("http://141.218.60.56/~jnz1568/getInfo.php?workbook=10_05.xlsx&amp;sheet=U0&amp;row=8711&amp;col=6&amp;number=3.7&amp;sourceID=14","3.7")</f>
        <v>3.7</v>
      </c>
      <c r="G8711" s="4" t="str">
        <f>HYPERLINK("http://141.218.60.56/~jnz1568/getInfo.php?workbook=10_05.xlsx&amp;sheet=U0&amp;row=8711&amp;col=7&amp;number=0.0189&amp;sourceID=14","0.0189")</f>
        <v>0.0189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HYPERLINK("http://141.218.60.56/~jnz1568/getInfo.php?workbook=10_05.xlsx&amp;sheet=U0&amp;row=8712&amp;col=6&amp;number=3.8&amp;sourceID=14","3.8")</f>
        <v>3.8</v>
      </c>
      <c r="G8712" s="4" t="str">
        <f>HYPERLINK("http://141.218.60.56/~jnz1568/getInfo.php?workbook=10_05.xlsx&amp;sheet=U0&amp;row=8712&amp;col=7&amp;number=0.0187&amp;sourceID=14","0.0187")</f>
        <v>0.0187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HYPERLINK("http://141.218.60.56/~jnz1568/getInfo.php?workbook=10_05.xlsx&amp;sheet=U0&amp;row=8713&amp;col=6&amp;number=3.9&amp;sourceID=14","3.9")</f>
        <v>3.9</v>
      </c>
      <c r="G8713" s="4" t="str">
        <f>HYPERLINK("http://141.218.60.56/~jnz1568/getInfo.php?workbook=10_05.xlsx&amp;sheet=U0&amp;row=8713&amp;col=7&amp;number=0.0186&amp;sourceID=14","0.0186")</f>
        <v>0.0186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HYPERLINK("http://141.218.60.56/~jnz1568/getInfo.php?workbook=10_05.xlsx&amp;sheet=U0&amp;row=8714&amp;col=6&amp;number=4&amp;sourceID=14","4")</f>
        <v>4</v>
      </c>
      <c r="G8714" s="4" t="str">
        <f>HYPERLINK("http://141.218.60.56/~jnz1568/getInfo.php?workbook=10_05.xlsx&amp;sheet=U0&amp;row=8714&amp;col=7&amp;number=0.0184&amp;sourceID=14","0.0184")</f>
        <v>0.0184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HYPERLINK("http://141.218.60.56/~jnz1568/getInfo.php?workbook=10_05.xlsx&amp;sheet=U0&amp;row=8715&amp;col=6&amp;number=4.1&amp;sourceID=14","4.1")</f>
        <v>4.1</v>
      </c>
      <c r="G8715" s="4" t="str">
        <f>HYPERLINK("http://141.218.60.56/~jnz1568/getInfo.php?workbook=10_05.xlsx&amp;sheet=U0&amp;row=8715&amp;col=7&amp;number=0.0181&amp;sourceID=14","0.0181")</f>
        <v>0.0181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HYPERLINK("http://141.218.60.56/~jnz1568/getInfo.php?workbook=10_05.xlsx&amp;sheet=U0&amp;row=8716&amp;col=6&amp;number=4.2&amp;sourceID=14","4.2")</f>
        <v>4.2</v>
      </c>
      <c r="G8716" s="4" t="str">
        <f>HYPERLINK("http://141.218.60.56/~jnz1568/getInfo.php?workbook=10_05.xlsx&amp;sheet=U0&amp;row=8716&amp;col=7&amp;number=0.0178&amp;sourceID=14","0.0178")</f>
        <v>0.0178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HYPERLINK("http://141.218.60.56/~jnz1568/getInfo.php?workbook=10_05.xlsx&amp;sheet=U0&amp;row=8717&amp;col=6&amp;number=4.3&amp;sourceID=14","4.3")</f>
        <v>4.3</v>
      </c>
      <c r="G8717" s="4" t="str">
        <f>HYPERLINK("http://141.218.60.56/~jnz1568/getInfo.php?workbook=10_05.xlsx&amp;sheet=U0&amp;row=8717&amp;col=7&amp;number=0.0174&amp;sourceID=14","0.0174")</f>
        <v>0.0174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HYPERLINK("http://141.218.60.56/~jnz1568/getInfo.php?workbook=10_05.xlsx&amp;sheet=U0&amp;row=8718&amp;col=6&amp;number=4.4&amp;sourceID=14","4.4")</f>
        <v>4.4</v>
      </c>
      <c r="G8718" s="4" t="str">
        <f>HYPERLINK("http://141.218.60.56/~jnz1568/getInfo.php?workbook=10_05.xlsx&amp;sheet=U0&amp;row=8718&amp;col=7&amp;number=0.017&amp;sourceID=14","0.017")</f>
        <v>0.017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HYPERLINK("http://141.218.60.56/~jnz1568/getInfo.php?workbook=10_05.xlsx&amp;sheet=U0&amp;row=8719&amp;col=6&amp;number=4.5&amp;sourceID=14","4.5")</f>
        <v>4.5</v>
      </c>
      <c r="G8719" s="4" t="str">
        <f>HYPERLINK("http://141.218.60.56/~jnz1568/getInfo.php?workbook=10_05.xlsx&amp;sheet=U0&amp;row=8719&amp;col=7&amp;number=0.0164&amp;sourceID=14","0.0164")</f>
        <v>0.0164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HYPERLINK("http://141.218.60.56/~jnz1568/getInfo.php?workbook=10_05.xlsx&amp;sheet=U0&amp;row=8720&amp;col=6&amp;number=4.6&amp;sourceID=14","4.6")</f>
        <v>4.6</v>
      </c>
      <c r="G8720" s="4" t="str">
        <f>HYPERLINK("http://141.218.60.56/~jnz1568/getInfo.php?workbook=10_05.xlsx&amp;sheet=U0&amp;row=8720&amp;col=7&amp;number=0.0157&amp;sourceID=14","0.0157")</f>
        <v>0.0157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HYPERLINK("http://141.218.60.56/~jnz1568/getInfo.php?workbook=10_05.xlsx&amp;sheet=U0&amp;row=8721&amp;col=6&amp;number=4.7&amp;sourceID=14","4.7")</f>
        <v>4.7</v>
      </c>
      <c r="G8721" s="4" t="str">
        <f>HYPERLINK("http://141.218.60.56/~jnz1568/getInfo.php?workbook=10_05.xlsx&amp;sheet=U0&amp;row=8721&amp;col=7&amp;number=0.0149&amp;sourceID=14","0.0149")</f>
        <v>0.0149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HYPERLINK("http://141.218.60.56/~jnz1568/getInfo.php?workbook=10_05.xlsx&amp;sheet=U0&amp;row=8722&amp;col=6&amp;number=4.8&amp;sourceID=14","4.8")</f>
        <v>4.8</v>
      </c>
      <c r="G8722" s="4" t="str">
        <f>HYPERLINK("http://141.218.60.56/~jnz1568/getInfo.php?workbook=10_05.xlsx&amp;sheet=U0&amp;row=8722&amp;col=7&amp;number=0.014&amp;sourceID=14","0.014")</f>
        <v>0.014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HYPERLINK("http://141.218.60.56/~jnz1568/getInfo.php?workbook=10_05.xlsx&amp;sheet=U0&amp;row=8723&amp;col=6&amp;number=4.9&amp;sourceID=14","4.9")</f>
        <v>4.9</v>
      </c>
      <c r="G8723" s="4" t="str">
        <f>HYPERLINK("http://141.218.60.56/~jnz1568/getInfo.php?workbook=10_05.xlsx&amp;sheet=U0&amp;row=8723&amp;col=7&amp;number=0.013&amp;sourceID=14","0.013")</f>
        <v>0.013</v>
      </c>
    </row>
    <row r="8724" spans="1:7">
      <c r="A8724" s="3">
        <v>10</v>
      </c>
      <c r="B8724" s="3">
        <v>5</v>
      </c>
      <c r="C8724" s="3">
        <v>3</v>
      </c>
      <c r="D8724" s="3">
        <v>83</v>
      </c>
      <c r="E8724" s="3">
        <v>1</v>
      </c>
      <c r="F8724" s="4" t="str">
        <f>HYPERLINK("http://141.218.60.56/~jnz1568/getInfo.php?workbook=10_05.xlsx&amp;sheet=U0&amp;row=8724&amp;col=6&amp;number=3&amp;sourceID=14","3")</f>
        <v>3</v>
      </c>
      <c r="G8724" s="4" t="str">
        <f>HYPERLINK("http://141.218.60.56/~jnz1568/getInfo.php?workbook=10_05.xlsx&amp;sheet=U0&amp;row=8724&amp;col=7&amp;number=0.0263&amp;sourceID=14","0.0263")</f>
        <v>0.0263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HYPERLINK("http://141.218.60.56/~jnz1568/getInfo.php?workbook=10_05.xlsx&amp;sheet=U0&amp;row=8725&amp;col=6&amp;number=3.1&amp;sourceID=14","3.1")</f>
        <v>3.1</v>
      </c>
      <c r="G8725" s="4" t="str">
        <f>HYPERLINK("http://141.218.60.56/~jnz1568/getInfo.php?workbook=10_05.xlsx&amp;sheet=U0&amp;row=8725&amp;col=7&amp;number=0.0263&amp;sourceID=14","0.0263")</f>
        <v>0.0263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HYPERLINK("http://141.218.60.56/~jnz1568/getInfo.php?workbook=10_05.xlsx&amp;sheet=U0&amp;row=8726&amp;col=6&amp;number=3.2&amp;sourceID=14","3.2")</f>
        <v>3.2</v>
      </c>
      <c r="G8726" s="4" t="str">
        <f>HYPERLINK("http://141.218.60.56/~jnz1568/getInfo.php?workbook=10_05.xlsx&amp;sheet=U0&amp;row=8726&amp;col=7&amp;number=0.0262&amp;sourceID=14","0.0262")</f>
        <v>0.0262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HYPERLINK("http://141.218.60.56/~jnz1568/getInfo.php?workbook=10_05.xlsx&amp;sheet=U0&amp;row=8727&amp;col=6&amp;number=3.3&amp;sourceID=14","3.3")</f>
        <v>3.3</v>
      </c>
      <c r="G8727" s="4" t="str">
        <f>HYPERLINK("http://141.218.60.56/~jnz1568/getInfo.php?workbook=10_05.xlsx&amp;sheet=U0&amp;row=8727&amp;col=7&amp;number=0.0261&amp;sourceID=14","0.0261")</f>
        <v>0.0261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HYPERLINK("http://141.218.60.56/~jnz1568/getInfo.php?workbook=10_05.xlsx&amp;sheet=U0&amp;row=8728&amp;col=6&amp;number=3.4&amp;sourceID=14","3.4")</f>
        <v>3.4</v>
      </c>
      <c r="G8728" s="4" t="str">
        <f>HYPERLINK("http://141.218.60.56/~jnz1568/getInfo.php?workbook=10_05.xlsx&amp;sheet=U0&amp;row=8728&amp;col=7&amp;number=0.026&amp;sourceID=14","0.026")</f>
        <v>0.026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HYPERLINK("http://141.218.60.56/~jnz1568/getInfo.php?workbook=10_05.xlsx&amp;sheet=U0&amp;row=8729&amp;col=6&amp;number=3.5&amp;sourceID=14","3.5")</f>
        <v>3.5</v>
      </c>
      <c r="G8729" s="4" t="str">
        <f>HYPERLINK("http://141.218.60.56/~jnz1568/getInfo.php?workbook=10_05.xlsx&amp;sheet=U0&amp;row=8729&amp;col=7&amp;number=0.0259&amp;sourceID=14","0.0259")</f>
        <v>0.0259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HYPERLINK("http://141.218.60.56/~jnz1568/getInfo.php?workbook=10_05.xlsx&amp;sheet=U0&amp;row=8730&amp;col=6&amp;number=3.6&amp;sourceID=14","3.6")</f>
        <v>3.6</v>
      </c>
      <c r="G8730" s="4" t="str">
        <f>HYPERLINK("http://141.218.60.56/~jnz1568/getInfo.php?workbook=10_05.xlsx&amp;sheet=U0&amp;row=8730&amp;col=7&amp;number=0.0258&amp;sourceID=14","0.0258")</f>
        <v>0.0258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HYPERLINK("http://141.218.60.56/~jnz1568/getInfo.php?workbook=10_05.xlsx&amp;sheet=U0&amp;row=8731&amp;col=6&amp;number=3.7&amp;sourceID=14","3.7")</f>
        <v>3.7</v>
      </c>
      <c r="G8731" s="4" t="str">
        <f>HYPERLINK("http://141.218.60.56/~jnz1568/getInfo.php?workbook=10_05.xlsx&amp;sheet=U0&amp;row=8731&amp;col=7&amp;number=0.0256&amp;sourceID=14","0.0256")</f>
        <v>0.0256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HYPERLINK("http://141.218.60.56/~jnz1568/getInfo.php?workbook=10_05.xlsx&amp;sheet=U0&amp;row=8732&amp;col=6&amp;number=3.8&amp;sourceID=14","3.8")</f>
        <v>3.8</v>
      </c>
      <c r="G8732" s="4" t="str">
        <f>HYPERLINK("http://141.218.60.56/~jnz1568/getInfo.php?workbook=10_05.xlsx&amp;sheet=U0&amp;row=8732&amp;col=7&amp;number=0.0254&amp;sourceID=14","0.0254")</f>
        <v>0.0254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HYPERLINK("http://141.218.60.56/~jnz1568/getInfo.php?workbook=10_05.xlsx&amp;sheet=U0&amp;row=8733&amp;col=6&amp;number=3.9&amp;sourceID=14","3.9")</f>
        <v>3.9</v>
      </c>
      <c r="G8733" s="4" t="str">
        <f>HYPERLINK("http://141.218.60.56/~jnz1568/getInfo.php?workbook=10_05.xlsx&amp;sheet=U0&amp;row=8733&amp;col=7&amp;number=0.0252&amp;sourceID=14","0.0252")</f>
        <v>0.0252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HYPERLINK("http://141.218.60.56/~jnz1568/getInfo.php?workbook=10_05.xlsx&amp;sheet=U0&amp;row=8734&amp;col=6&amp;number=4&amp;sourceID=14","4")</f>
        <v>4</v>
      </c>
      <c r="G8734" s="4" t="str">
        <f>HYPERLINK("http://141.218.60.56/~jnz1568/getInfo.php?workbook=10_05.xlsx&amp;sheet=U0&amp;row=8734&amp;col=7&amp;number=0.0249&amp;sourceID=14","0.0249")</f>
        <v>0.0249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HYPERLINK("http://141.218.60.56/~jnz1568/getInfo.php?workbook=10_05.xlsx&amp;sheet=U0&amp;row=8735&amp;col=6&amp;number=4.1&amp;sourceID=14","4.1")</f>
        <v>4.1</v>
      </c>
      <c r="G8735" s="4" t="str">
        <f>HYPERLINK("http://141.218.60.56/~jnz1568/getInfo.php?workbook=10_05.xlsx&amp;sheet=U0&amp;row=8735&amp;col=7&amp;number=0.0245&amp;sourceID=14","0.0245")</f>
        <v>0.0245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HYPERLINK("http://141.218.60.56/~jnz1568/getInfo.php?workbook=10_05.xlsx&amp;sheet=U0&amp;row=8736&amp;col=6&amp;number=4.2&amp;sourceID=14","4.2")</f>
        <v>4.2</v>
      </c>
      <c r="G8736" s="4" t="str">
        <f>HYPERLINK("http://141.218.60.56/~jnz1568/getInfo.php?workbook=10_05.xlsx&amp;sheet=U0&amp;row=8736&amp;col=7&amp;number=0.024&amp;sourceID=14","0.024")</f>
        <v>0.024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HYPERLINK("http://141.218.60.56/~jnz1568/getInfo.php?workbook=10_05.xlsx&amp;sheet=U0&amp;row=8737&amp;col=6&amp;number=4.3&amp;sourceID=14","4.3")</f>
        <v>4.3</v>
      </c>
      <c r="G8737" s="4" t="str">
        <f>HYPERLINK("http://141.218.60.56/~jnz1568/getInfo.php?workbook=10_05.xlsx&amp;sheet=U0&amp;row=8737&amp;col=7&amp;number=0.0234&amp;sourceID=14","0.0234")</f>
        <v>0.0234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HYPERLINK("http://141.218.60.56/~jnz1568/getInfo.php?workbook=10_05.xlsx&amp;sheet=U0&amp;row=8738&amp;col=6&amp;number=4.4&amp;sourceID=14","4.4")</f>
        <v>4.4</v>
      </c>
      <c r="G8738" s="4" t="str">
        <f>HYPERLINK("http://141.218.60.56/~jnz1568/getInfo.php?workbook=10_05.xlsx&amp;sheet=U0&amp;row=8738&amp;col=7&amp;number=0.0226&amp;sourceID=14","0.0226")</f>
        <v>0.0226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HYPERLINK("http://141.218.60.56/~jnz1568/getInfo.php?workbook=10_05.xlsx&amp;sheet=U0&amp;row=8739&amp;col=6&amp;number=4.5&amp;sourceID=14","4.5")</f>
        <v>4.5</v>
      </c>
      <c r="G8739" s="4" t="str">
        <f>HYPERLINK("http://141.218.60.56/~jnz1568/getInfo.php?workbook=10_05.xlsx&amp;sheet=U0&amp;row=8739&amp;col=7&amp;number=0.0218&amp;sourceID=14","0.0218")</f>
        <v>0.0218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HYPERLINK("http://141.218.60.56/~jnz1568/getInfo.php?workbook=10_05.xlsx&amp;sheet=U0&amp;row=8740&amp;col=6&amp;number=4.6&amp;sourceID=14","4.6")</f>
        <v>4.6</v>
      </c>
      <c r="G8740" s="4" t="str">
        <f>HYPERLINK("http://141.218.60.56/~jnz1568/getInfo.php?workbook=10_05.xlsx&amp;sheet=U0&amp;row=8740&amp;col=7&amp;number=0.0208&amp;sourceID=14","0.0208")</f>
        <v>0.0208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HYPERLINK("http://141.218.60.56/~jnz1568/getInfo.php?workbook=10_05.xlsx&amp;sheet=U0&amp;row=8741&amp;col=6&amp;number=4.7&amp;sourceID=14","4.7")</f>
        <v>4.7</v>
      </c>
      <c r="G8741" s="4" t="str">
        <f>HYPERLINK("http://141.218.60.56/~jnz1568/getInfo.php?workbook=10_05.xlsx&amp;sheet=U0&amp;row=8741&amp;col=7&amp;number=0.0196&amp;sourceID=14","0.0196")</f>
        <v>0.0196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HYPERLINK("http://141.218.60.56/~jnz1568/getInfo.php?workbook=10_05.xlsx&amp;sheet=U0&amp;row=8742&amp;col=6&amp;number=4.8&amp;sourceID=14","4.8")</f>
        <v>4.8</v>
      </c>
      <c r="G8742" s="4" t="str">
        <f>HYPERLINK("http://141.218.60.56/~jnz1568/getInfo.php?workbook=10_05.xlsx&amp;sheet=U0&amp;row=8742&amp;col=7&amp;number=0.0183&amp;sourceID=14","0.0183")</f>
        <v>0.0183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HYPERLINK("http://141.218.60.56/~jnz1568/getInfo.php?workbook=10_05.xlsx&amp;sheet=U0&amp;row=8743&amp;col=6&amp;number=4.9&amp;sourceID=14","4.9")</f>
        <v>4.9</v>
      </c>
      <c r="G8743" s="4" t="str">
        <f>HYPERLINK("http://141.218.60.56/~jnz1568/getInfo.php?workbook=10_05.xlsx&amp;sheet=U0&amp;row=8743&amp;col=7&amp;number=0.0169&amp;sourceID=14","0.0169")</f>
        <v>0.0169</v>
      </c>
    </row>
    <row r="8744" spans="1:7">
      <c r="A8744" s="3">
        <v>10</v>
      </c>
      <c r="B8744" s="3">
        <v>5</v>
      </c>
      <c r="C8744" s="3">
        <v>3</v>
      </c>
      <c r="D8744" s="3">
        <v>84</v>
      </c>
      <c r="E8744" s="3">
        <v>1</v>
      </c>
      <c r="F8744" s="4" t="str">
        <f>HYPERLINK("http://141.218.60.56/~jnz1568/getInfo.php?workbook=10_05.xlsx&amp;sheet=U0&amp;row=8744&amp;col=6&amp;number=3&amp;sourceID=14","3")</f>
        <v>3</v>
      </c>
      <c r="G8744" s="4" t="str">
        <f>HYPERLINK("http://141.218.60.56/~jnz1568/getInfo.php?workbook=10_05.xlsx&amp;sheet=U0&amp;row=8744&amp;col=7&amp;number=0.0163&amp;sourceID=14","0.0163")</f>
        <v>0.0163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HYPERLINK("http://141.218.60.56/~jnz1568/getInfo.php?workbook=10_05.xlsx&amp;sheet=U0&amp;row=8745&amp;col=6&amp;number=3.1&amp;sourceID=14","3.1")</f>
        <v>3.1</v>
      </c>
      <c r="G8745" s="4" t="str">
        <f>HYPERLINK("http://141.218.60.56/~jnz1568/getInfo.php?workbook=10_05.xlsx&amp;sheet=U0&amp;row=8745&amp;col=7&amp;number=0.0163&amp;sourceID=14","0.0163")</f>
        <v>0.0163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HYPERLINK("http://141.218.60.56/~jnz1568/getInfo.php?workbook=10_05.xlsx&amp;sheet=U0&amp;row=8746&amp;col=6&amp;number=3.2&amp;sourceID=14","3.2")</f>
        <v>3.2</v>
      </c>
      <c r="G8746" s="4" t="str">
        <f>HYPERLINK("http://141.218.60.56/~jnz1568/getInfo.php?workbook=10_05.xlsx&amp;sheet=U0&amp;row=8746&amp;col=7&amp;number=0.0162&amp;sourceID=14","0.0162")</f>
        <v>0.0162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HYPERLINK("http://141.218.60.56/~jnz1568/getInfo.php?workbook=10_05.xlsx&amp;sheet=U0&amp;row=8747&amp;col=6&amp;number=3.3&amp;sourceID=14","3.3")</f>
        <v>3.3</v>
      </c>
      <c r="G8747" s="4" t="str">
        <f>HYPERLINK("http://141.218.60.56/~jnz1568/getInfo.php?workbook=10_05.xlsx&amp;sheet=U0&amp;row=8747&amp;col=7&amp;number=0.0162&amp;sourceID=14","0.0162")</f>
        <v>0.0162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HYPERLINK("http://141.218.60.56/~jnz1568/getInfo.php?workbook=10_05.xlsx&amp;sheet=U0&amp;row=8748&amp;col=6&amp;number=3.4&amp;sourceID=14","3.4")</f>
        <v>3.4</v>
      </c>
      <c r="G8748" s="4" t="str">
        <f>HYPERLINK("http://141.218.60.56/~jnz1568/getInfo.php?workbook=10_05.xlsx&amp;sheet=U0&amp;row=8748&amp;col=7&amp;number=0.0161&amp;sourceID=14","0.0161")</f>
        <v>0.0161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HYPERLINK("http://141.218.60.56/~jnz1568/getInfo.php?workbook=10_05.xlsx&amp;sheet=U0&amp;row=8749&amp;col=6&amp;number=3.5&amp;sourceID=14","3.5")</f>
        <v>3.5</v>
      </c>
      <c r="G8749" s="4" t="str">
        <f>HYPERLINK("http://141.218.60.56/~jnz1568/getInfo.php?workbook=10_05.xlsx&amp;sheet=U0&amp;row=8749&amp;col=7&amp;number=0.016&amp;sourceID=14","0.016")</f>
        <v>0.016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HYPERLINK("http://141.218.60.56/~jnz1568/getInfo.php?workbook=10_05.xlsx&amp;sheet=U0&amp;row=8750&amp;col=6&amp;number=3.6&amp;sourceID=14","3.6")</f>
        <v>3.6</v>
      </c>
      <c r="G8750" s="4" t="str">
        <f>HYPERLINK("http://141.218.60.56/~jnz1568/getInfo.php?workbook=10_05.xlsx&amp;sheet=U0&amp;row=8750&amp;col=7&amp;number=0.0159&amp;sourceID=14","0.0159")</f>
        <v>0.0159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HYPERLINK("http://141.218.60.56/~jnz1568/getInfo.php?workbook=10_05.xlsx&amp;sheet=U0&amp;row=8751&amp;col=6&amp;number=3.7&amp;sourceID=14","3.7")</f>
        <v>3.7</v>
      </c>
      <c r="G8751" s="4" t="str">
        <f>HYPERLINK("http://141.218.60.56/~jnz1568/getInfo.php?workbook=10_05.xlsx&amp;sheet=U0&amp;row=8751&amp;col=7&amp;number=0.0157&amp;sourceID=14","0.0157")</f>
        <v>0.0157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HYPERLINK("http://141.218.60.56/~jnz1568/getInfo.php?workbook=10_05.xlsx&amp;sheet=U0&amp;row=8752&amp;col=6&amp;number=3.8&amp;sourceID=14","3.8")</f>
        <v>3.8</v>
      </c>
      <c r="G8752" s="4" t="str">
        <f>HYPERLINK("http://141.218.60.56/~jnz1568/getInfo.php?workbook=10_05.xlsx&amp;sheet=U0&amp;row=8752&amp;col=7&amp;number=0.0155&amp;sourceID=14","0.0155")</f>
        <v>0.0155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HYPERLINK("http://141.218.60.56/~jnz1568/getInfo.php?workbook=10_05.xlsx&amp;sheet=U0&amp;row=8753&amp;col=6&amp;number=3.9&amp;sourceID=14","3.9")</f>
        <v>3.9</v>
      </c>
      <c r="G8753" s="4" t="str">
        <f>HYPERLINK("http://141.218.60.56/~jnz1568/getInfo.php?workbook=10_05.xlsx&amp;sheet=U0&amp;row=8753&amp;col=7&amp;number=0.0153&amp;sourceID=14","0.0153")</f>
        <v>0.0153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HYPERLINK("http://141.218.60.56/~jnz1568/getInfo.php?workbook=10_05.xlsx&amp;sheet=U0&amp;row=8754&amp;col=6&amp;number=4&amp;sourceID=14","4")</f>
        <v>4</v>
      </c>
      <c r="G8754" s="4" t="str">
        <f>HYPERLINK("http://141.218.60.56/~jnz1568/getInfo.php?workbook=10_05.xlsx&amp;sheet=U0&amp;row=8754&amp;col=7&amp;number=0.015&amp;sourceID=14","0.015")</f>
        <v>0.015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HYPERLINK("http://141.218.60.56/~jnz1568/getInfo.php?workbook=10_05.xlsx&amp;sheet=U0&amp;row=8755&amp;col=6&amp;number=4.1&amp;sourceID=14","4.1")</f>
        <v>4.1</v>
      </c>
      <c r="G8755" s="4" t="str">
        <f>HYPERLINK("http://141.218.60.56/~jnz1568/getInfo.php?workbook=10_05.xlsx&amp;sheet=U0&amp;row=8755&amp;col=7&amp;number=0.0147&amp;sourceID=14","0.0147")</f>
        <v>0.0147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HYPERLINK("http://141.218.60.56/~jnz1568/getInfo.php?workbook=10_05.xlsx&amp;sheet=U0&amp;row=8756&amp;col=6&amp;number=4.2&amp;sourceID=14","4.2")</f>
        <v>4.2</v>
      </c>
      <c r="G8756" s="4" t="str">
        <f>HYPERLINK("http://141.218.60.56/~jnz1568/getInfo.php?workbook=10_05.xlsx&amp;sheet=U0&amp;row=8756&amp;col=7&amp;number=0.0143&amp;sourceID=14","0.0143")</f>
        <v>0.0143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HYPERLINK("http://141.218.60.56/~jnz1568/getInfo.php?workbook=10_05.xlsx&amp;sheet=U0&amp;row=8757&amp;col=6&amp;number=4.3&amp;sourceID=14","4.3")</f>
        <v>4.3</v>
      </c>
      <c r="G8757" s="4" t="str">
        <f>HYPERLINK("http://141.218.60.56/~jnz1568/getInfo.php?workbook=10_05.xlsx&amp;sheet=U0&amp;row=8757&amp;col=7&amp;number=0.0138&amp;sourceID=14","0.0138")</f>
        <v>0.0138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HYPERLINK("http://141.218.60.56/~jnz1568/getInfo.php?workbook=10_05.xlsx&amp;sheet=U0&amp;row=8758&amp;col=6&amp;number=4.4&amp;sourceID=14","4.4")</f>
        <v>4.4</v>
      </c>
      <c r="G8758" s="4" t="str">
        <f>HYPERLINK("http://141.218.60.56/~jnz1568/getInfo.php?workbook=10_05.xlsx&amp;sheet=U0&amp;row=8758&amp;col=7&amp;number=0.0132&amp;sourceID=14","0.0132")</f>
        <v>0.0132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HYPERLINK("http://141.218.60.56/~jnz1568/getInfo.php?workbook=10_05.xlsx&amp;sheet=U0&amp;row=8759&amp;col=6&amp;number=4.5&amp;sourceID=14","4.5")</f>
        <v>4.5</v>
      </c>
      <c r="G8759" s="4" t="str">
        <f>HYPERLINK("http://141.218.60.56/~jnz1568/getInfo.php?workbook=10_05.xlsx&amp;sheet=U0&amp;row=8759&amp;col=7&amp;number=0.0125&amp;sourceID=14","0.0125")</f>
        <v>0.0125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HYPERLINK("http://141.218.60.56/~jnz1568/getInfo.php?workbook=10_05.xlsx&amp;sheet=U0&amp;row=8760&amp;col=6&amp;number=4.6&amp;sourceID=14","4.6")</f>
        <v>4.6</v>
      </c>
      <c r="G8760" s="4" t="str">
        <f>HYPERLINK("http://141.218.60.56/~jnz1568/getInfo.php?workbook=10_05.xlsx&amp;sheet=U0&amp;row=8760&amp;col=7&amp;number=0.0117&amp;sourceID=14","0.0117")</f>
        <v>0.0117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HYPERLINK("http://141.218.60.56/~jnz1568/getInfo.php?workbook=10_05.xlsx&amp;sheet=U0&amp;row=8761&amp;col=6&amp;number=4.7&amp;sourceID=14","4.7")</f>
        <v>4.7</v>
      </c>
      <c r="G8761" s="4" t="str">
        <f>HYPERLINK("http://141.218.60.56/~jnz1568/getInfo.php?workbook=10_05.xlsx&amp;sheet=U0&amp;row=8761&amp;col=7&amp;number=0.0107&amp;sourceID=14","0.0107")</f>
        <v>0.0107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HYPERLINK("http://141.218.60.56/~jnz1568/getInfo.php?workbook=10_05.xlsx&amp;sheet=U0&amp;row=8762&amp;col=6&amp;number=4.8&amp;sourceID=14","4.8")</f>
        <v>4.8</v>
      </c>
      <c r="G8762" s="4" t="str">
        <f>HYPERLINK("http://141.218.60.56/~jnz1568/getInfo.php?workbook=10_05.xlsx&amp;sheet=U0&amp;row=8762&amp;col=7&amp;number=0.0097&amp;sourceID=14","0.0097")</f>
        <v>0.0097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HYPERLINK("http://141.218.60.56/~jnz1568/getInfo.php?workbook=10_05.xlsx&amp;sheet=U0&amp;row=8763&amp;col=6&amp;number=4.9&amp;sourceID=14","4.9")</f>
        <v>4.9</v>
      </c>
      <c r="G8763" s="4" t="str">
        <f>HYPERLINK("http://141.218.60.56/~jnz1568/getInfo.php?workbook=10_05.xlsx&amp;sheet=U0&amp;row=8763&amp;col=7&amp;number=0.00871&amp;sourceID=14","0.00871")</f>
        <v>0.00871</v>
      </c>
    </row>
    <row r="8764" spans="1:7">
      <c r="A8764" s="3">
        <v>10</v>
      </c>
      <c r="B8764" s="3">
        <v>5</v>
      </c>
      <c r="C8764" s="3">
        <v>3</v>
      </c>
      <c r="D8764" s="3">
        <v>85</v>
      </c>
      <c r="E8764" s="3">
        <v>1</v>
      </c>
      <c r="F8764" s="4" t="str">
        <f>HYPERLINK("http://141.218.60.56/~jnz1568/getInfo.php?workbook=10_05.xlsx&amp;sheet=U0&amp;row=8764&amp;col=6&amp;number=3&amp;sourceID=14","3")</f>
        <v>3</v>
      </c>
      <c r="G8764" s="4" t="str">
        <f>HYPERLINK("http://141.218.60.56/~jnz1568/getInfo.php?workbook=10_05.xlsx&amp;sheet=U0&amp;row=8764&amp;col=7&amp;number=0.0103&amp;sourceID=14","0.0103")</f>
        <v>0.0103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HYPERLINK("http://141.218.60.56/~jnz1568/getInfo.php?workbook=10_05.xlsx&amp;sheet=U0&amp;row=8765&amp;col=6&amp;number=3.1&amp;sourceID=14","3.1")</f>
        <v>3.1</v>
      </c>
      <c r="G8765" s="4" t="str">
        <f>HYPERLINK("http://141.218.60.56/~jnz1568/getInfo.php?workbook=10_05.xlsx&amp;sheet=U0&amp;row=8765&amp;col=7&amp;number=0.0103&amp;sourceID=14","0.0103")</f>
        <v>0.0103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HYPERLINK("http://141.218.60.56/~jnz1568/getInfo.php?workbook=10_05.xlsx&amp;sheet=U0&amp;row=8766&amp;col=6&amp;number=3.2&amp;sourceID=14","3.2")</f>
        <v>3.2</v>
      </c>
      <c r="G8766" s="4" t="str">
        <f>HYPERLINK("http://141.218.60.56/~jnz1568/getInfo.php?workbook=10_05.xlsx&amp;sheet=U0&amp;row=8766&amp;col=7&amp;number=0.0103&amp;sourceID=14","0.0103")</f>
        <v>0.0103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HYPERLINK("http://141.218.60.56/~jnz1568/getInfo.php?workbook=10_05.xlsx&amp;sheet=U0&amp;row=8767&amp;col=6&amp;number=3.3&amp;sourceID=14","3.3")</f>
        <v>3.3</v>
      </c>
      <c r="G8767" s="4" t="str">
        <f>HYPERLINK("http://141.218.60.56/~jnz1568/getInfo.php?workbook=10_05.xlsx&amp;sheet=U0&amp;row=8767&amp;col=7&amp;number=0.0103&amp;sourceID=14","0.0103")</f>
        <v>0.0103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HYPERLINK("http://141.218.60.56/~jnz1568/getInfo.php?workbook=10_05.xlsx&amp;sheet=U0&amp;row=8768&amp;col=6&amp;number=3.4&amp;sourceID=14","3.4")</f>
        <v>3.4</v>
      </c>
      <c r="G8768" s="4" t="str">
        <f>HYPERLINK("http://141.218.60.56/~jnz1568/getInfo.php?workbook=10_05.xlsx&amp;sheet=U0&amp;row=8768&amp;col=7&amp;number=0.0103&amp;sourceID=14","0.0103")</f>
        <v>0.0103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HYPERLINK("http://141.218.60.56/~jnz1568/getInfo.php?workbook=10_05.xlsx&amp;sheet=U0&amp;row=8769&amp;col=6&amp;number=3.5&amp;sourceID=14","3.5")</f>
        <v>3.5</v>
      </c>
      <c r="G8769" s="4" t="str">
        <f>HYPERLINK("http://141.218.60.56/~jnz1568/getInfo.php?workbook=10_05.xlsx&amp;sheet=U0&amp;row=8769&amp;col=7&amp;number=0.0103&amp;sourceID=14","0.0103")</f>
        <v>0.0103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HYPERLINK("http://141.218.60.56/~jnz1568/getInfo.php?workbook=10_05.xlsx&amp;sheet=U0&amp;row=8770&amp;col=6&amp;number=3.6&amp;sourceID=14","3.6")</f>
        <v>3.6</v>
      </c>
      <c r="G8770" s="4" t="str">
        <f>HYPERLINK("http://141.218.60.56/~jnz1568/getInfo.php?workbook=10_05.xlsx&amp;sheet=U0&amp;row=8770&amp;col=7&amp;number=0.0103&amp;sourceID=14","0.0103")</f>
        <v>0.0103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HYPERLINK("http://141.218.60.56/~jnz1568/getInfo.php?workbook=10_05.xlsx&amp;sheet=U0&amp;row=8771&amp;col=6&amp;number=3.7&amp;sourceID=14","3.7")</f>
        <v>3.7</v>
      </c>
      <c r="G8771" s="4" t="str">
        <f>HYPERLINK("http://141.218.60.56/~jnz1568/getInfo.php?workbook=10_05.xlsx&amp;sheet=U0&amp;row=8771&amp;col=7&amp;number=0.0103&amp;sourceID=14","0.0103")</f>
        <v>0.0103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HYPERLINK("http://141.218.60.56/~jnz1568/getInfo.php?workbook=10_05.xlsx&amp;sheet=U0&amp;row=8772&amp;col=6&amp;number=3.8&amp;sourceID=14","3.8")</f>
        <v>3.8</v>
      </c>
      <c r="G8772" s="4" t="str">
        <f>HYPERLINK("http://141.218.60.56/~jnz1568/getInfo.php?workbook=10_05.xlsx&amp;sheet=U0&amp;row=8772&amp;col=7&amp;number=0.0104&amp;sourceID=14","0.0104")</f>
        <v>0.0104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HYPERLINK("http://141.218.60.56/~jnz1568/getInfo.php?workbook=10_05.xlsx&amp;sheet=U0&amp;row=8773&amp;col=6&amp;number=3.9&amp;sourceID=14","3.9")</f>
        <v>3.9</v>
      </c>
      <c r="G8773" s="4" t="str">
        <f>HYPERLINK("http://141.218.60.56/~jnz1568/getInfo.php?workbook=10_05.xlsx&amp;sheet=U0&amp;row=8773&amp;col=7&amp;number=0.0105&amp;sourceID=14","0.0105")</f>
        <v>0.0105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HYPERLINK("http://141.218.60.56/~jnz1568/getInfo.php?workbook=10_05.xlsx&amp;sheet=U0&amp;row=8774&amp;col=6&amp;number=4&amp;sourceID=14","4")</f>
        <v>4</v>
      </c>
      <c r="G8774" s="4" t="str">
        <f>HYPERLINK("http://141.218.60.56/~jnz1568/getInfo.php?workbook=10_05.xlsx&amp;sheet=U0&amp;row=8774&amp;col=7&amp;number=0.0106&amp;sourceID=14","0.0106")</f>
        <v>0.0106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HYPERLINK("http://141.218.60.56/~jnz1568/getInfo.php?workbook=10_05.xlsx&amp;sheet=U0&amp;row=8775&amp;col=6&amp;number=4.1&amp;sourceID=14","4.1")</f>
        <v>4.1</v>
      </c>
      <c r="G8775" s="4" t="str">
        <f>HYPERLINK("http://141.218.60.56/~jnz1568/getInfo.php?workbook=10_05.xlsx&amp;sheet=U0&amp;row=8775&amp;col=7&amp;number=0.0107&amp;sourceID=14","0.0107")</f>
        <v>0.0107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HYPERLINK("http://141.218.60.56/~jnz1568/getInfo.php?workbook=10_05.xlsx&amp;sheet=U0&amp;row=8776&amp;col=6&amp;number=4.2&amp;sourceID=14","4.2")</f>
        <v>4.2</v>
      </c>
      <c r="G8776" s="4" t="str">
        <f>HYPERLINK("http://141.218.60.56/~jnz1568/getInfo.php?workbook=10_05.xlsx&amp;sheet=U0&amp;row=8776&amp;col=7&amp;number=0.0106&amp;sourceID=14","0.0106")</f>
        <v>0.0106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HYPERLINK("http://141.218.60.56/~jnz1568/getInfo.php?workbook=10_05.xlsx&amp;sheet=U0&amp;row=8777&amp;col=6&amp;number=4.3&amp;sourceID=14","4.3")</f>
        <v>4.3</v>
      </c>
      <c r="G8777" s="4" t="str">
        <f>HYPERLINK("http://141.218.60.56/~jnz1568/getInfo.php?workbook=10_05.xlsx&amp;sheet=U0&amp;row=8777&amp;col=7&amp;number=0.0103&amp;sourceID=14","0.0103")</f>
        <v>0.0103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HYPERLINK("http://141.218.60.56/~jnz1568/getInfo.php?workbook=10_05.xlsx&amp;sheet=U0&amp;row=8778&amp;col=6&amp;number=4.4&amp;sourceID=14","4.4")</f>
        <v>4.4</v>
      </c>
      <c r="G8778" s="4" t="str">
        <f>HYPERLINK("http://141.218.60.56/~jnz1568/getInfo.php?workbook=10_05.xlsx&amp;sheet=U0&amp;row=8778&amp;col=7&amp;number=0.00975&amp;sourceID=14","0.00975")</f>
        <v>0.00975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HYPERLINK("http://141.218.60.56/~jnz1568/getInfo.php?workbook=10_05.xlsx&amp;sheet=U0&amp;row=8779&amp;col=6&amp;number=4.5&amp;sourceID=14","4.5")</f>
        <v>4.5</v>
      </c>
      <c r="G8779" s="4" t="str">
        <f>HYPERLINK("http://141.218.60.56/~jnz1568/getInfo.php?workbook=10_05.xlsx&amp;sheet=U0&amp;row=8779&amp;col=7&amp;number=0.0091&amp;sourceID=14","0.0091")</f>
        <v>0.0091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HYPERLINK("http://141.218.60.56/~jnz1568/getInfo.php?workbook=10_05.xlsx&amp;sheet=U0&amp;row=8780&amp;col=6&amp;number=4.6&amp;sourceID=14","4.6")</f>
        <v>4.6</v>
      </c>
      <c r="G8780" s="4" t="str">
        <f>HYPERLINK("http://141.218.60.56/~jnz1568/getInfo.php?workbook=10_05.xlsx&amp;sheet=U0&amp;row=8780&amp;col=7&amp;number=0.00836&amp;sourceID=14","0.00836")</f>
        <v>0.00836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HYPERLINK("http://141.218.60.56/~jnz1568/getInfo.php?workbook=10_05.xlsx&amp;sheet=U0&amp;row=8781&amp;col=6&amp;number=4.7&amp;sourceID=14","4.7")</f>
        <v>4.7</v>
      </c>
      <c r="G8781" s="4" t="str">
        <f>HYPERLINK("http://141.218.60.56/~jnz1568/getInfo.php?workbook=10_05.xlsx&amp;sheet=U0&amp;row=8781&amp;col=7&amp;number=0.00754&amp;sourceID=14","0.00754")</f>
        <v>0.00754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HYPERLINK("http://141.218.60.56/~jnz1568/getInfo.php?workbook=10_05.xlsx&amp;sheet=U0&amp;row=8782&amp;col=6&amp;number=4.8&amp;sourceID=14","4.8")</f>
        <v>4.8</v>
      </c>
      <c r="G8782" s="4" t="str">
        <f>HYPERLINK("http://141.218.60.56/~jnz1568/getInfo.php?workbook=10_05.xlsx&amp;sheet=U0&amp;row=8782&amp;col=7&amp;number=0.00668&amp;sourceID=14","0.00668")</f>
        <v>0.00668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HYPERLINK("http://141.218.60.56/~jnz1568/getInfo.php?workbook=10_05.xlsx&amp;sheet=U0&amp;row=8783&amp;col=6&amp;number=4.9&amp;sourceID=14","4.9")</f>
        <v>4.9</v>
      </c>
      <c r="G8783" s="4" t="str">
        <f>HYPERLINK("http://141.218.60.56/~jnz1568/getInfo.php?workbook=10_05.xlsx&amp;sheet=U0&amp;row=8783&amp;col=7&amp;number=0.00581&amp;sourceID=14","0.00581")</f>
        <v>0.00581</v>
      </c>
    </row>
    <row r="8784" spans="1:7">
      <c r="A8784" s="3">
        <v>10</v>
      </c>
      <c r="B8784" s="3">
        <v>5</v>
      </c>
      <c r="C8784" s="3">
        <v>3</v>
      </c>
      <c r="D8784" s="3">
        <v>86</v>
      </c>
      <c r="E8784" s="3">
        <v>1</v>
      </c>
      <c r="F8784" s="4" t="str">
        <f>HYPERLINK("http://141.218.60.56/~jnz1568/getInfo.php?workbook=10_05.xlsx&amp;sheet=U0&amp;row=8784&amp;col=6&amp;number=3&amp;sourceID=14","3")</f>
        <v>3</v>
      </c>
      <c r="G8784" s="4" t="str">
        <f>HYPERLINK("http://141.218.60.56/~jnz1568/getInfo.php?workbook=10_05.xlsx&amp;sheet=U0&amp;row=8784&amp;col=7&amp;number=0.00181&amp;sourceID=14","0.00181")</f>
        <v>0.00181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HYPERLINK("http://141.218.60.56/~jnz1568/getInfo.php?workbook=10_05.xlsx&amp;sheet=U0&amp;row=8785&amp;col=6&amp;number=3.1&amp;sourceID=14","3.1")</f>
        <v>3.1</v>
      </c>
      <c r="G8785" s="4" t="str">
        <f>HYPERLINK("http://141.218.60.56/~jnz1568/getInfo.php?workbook=10_05.xlsx&amp;sheet=U0&amp;row=8785&amp;col=7&amp;number=0.00184&amp;sourceID=14","0.00184")</f>
        <v>0.00184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HYPERLINK("http://141.218.60.56/~jnz1568/getInfo.php?workbook=10_05.xlsx&amp;sheet=U0&amp;row=8786&amp;col=6&amp;number=3.2&amp;sourceID=14","3.2")</f>
        <v>3.2</v>
      </c>
      <c r="G8786" s="4" t="str">
        <f>HYPERLINK("http://141.218.60.56/~jnz1568/getInfo.php?workbook=10_05.xlsx&amp;sheet=U0&amp;row=8786&amp;col=7&amp;number=0.00188&amp;sourceID=14","0.00188")</f>
        <v>0.00188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HYPERLINK("http://141.218.60.56/~jnz1568/getInfo.php?workbook=10_05.xlsx&amp;sheet=U0&amp;row=8787&amp;col=6&amp;number=3.3&amp;sourceID=14","3.3")</f>
        <v>3.3</v>
      </c>
      <c r="G8787" s="4" t="str">
        <f>HYPERLINK("http://141.218.60.56/~jnz1568/getInfo.php?workbook=10_05.xlsx&amp;sheet=U0&amp;row=8787&amp;col=7&amp;number=0.00193&amp;sourceID=14","0.00193")</f>
        <v>0.00193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HYPERLINK("http://141.218.60.56/~jnz1568/getInfo.php?workbook=10_05.xlsx&amp;sheet=U0&amp;row=8788&amp;col=6&amp;number=3.4&amp;sourceID=14","3.4")</f>
        <v>3.4</v>
      </c>
      <c r="G8788" s="4" t="str">
        <f>HYPERLINK("http://141.218.60.56/~jnz1568/getInfo.php?workbook=10_05.xlsx&amp;sheet=U0&amp;row=8788&amp;col=7&amp;number=0.00198&amp;sourceID=14","0.00198")</f>
        <v>0.00198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HYPERLINK("http://141.218.60.56/~jnz1568/getInfo.php?workbook=10_05.xlsx&amp;sheet=U0&amp;row=8789&amp;col=6&amp;number=3.5&amp;sourceID=14","3.5")</f>
        <v>3.5</v>
      </c>
      <c r="G8789" s="4" t="str">
        <f>HYPERLINK("http://141.218.60.56/~jnz1568/getInfo.php?workbook=10_05.xlsx&amp;sheet=U0&amp;row=8789&amp;col=7&amp;number=0.00205&amp;sourceID=14","0.00205")</f>
        <v>0.00205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HYPERLINK("http://141.218.60.56/~jnz1568/getInfo.php?workbook=10_05.xlsx&amp;sheet=U0&amp;row=8790&amp;col=6&amp;number=3.6&amp;sourceID=14","3.6")</f>
        <v>3.6</v>
      </c>
      <c r="G8790" s="4" t="str">
        <f>HYPERLINK("http://141.218.60.56/~jnz1568/getInfo.php?workbook=10_05.xlsx&amp;sheet=U0&amp;row=8790&amp;col=7&amp;number=0.00213&amp;sourceID=14","0.00213")</f>
        <v>0.00213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HYPERLINK("http://141.218.60.56/~jnz1568/getInfo.php?workbook=10_05.xlsx&amp;sheet=U0&amp;row=8791&amp;col=6&amp;number=3.7&amp;sourceID=14","3.7")</f>
        <v>3.7</v>
      </c>
      <c r="G8791" s="4" t="str">
        <f>HYPERLINK("http://141.218.60.56/~jnz1568/getInfo.php?workbook=10_05.xlsx&amp;sheet=U0&amp;row=8791&amp;col=7&amp;number=0.00221&amp;sourceID=14","0.00221")</f>
        <v>0.00221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HYPERLINK("http://141.218.60.56/~jnz1568/getInfo.php?workbook=10_05.xlsx&amp;sheet=U0&amp;row=8792&amp;col=6&amp;number=3.8&amp;sourceID=14","3.8")</f>
        <v>3.8</v>
      </c>
      <c r="G8792" s="4" t="str">
        <f>HYPERLINK("http://141.218.60.56/~jnz1568/getInfo.php?workbook=10_05.xlsx&amp;sheet=U0&amp;row=8792&amp;col=7&amp;number=0.00229&amp;sourceID=14","0.00229")</f>
        <v>0.00229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HYPERLINK("http://141.218.60.56/~jnz1568/getInfo.php?workbook=10_05.xlsx&amp;sheet=U0&amp;row=8793&amp;col=6&amp;number=3.9&amp;sourceID=14","3.9")</f>
        <v>3.9</v>
      </c>
      <c r="G8793" s="4" t="str">
        <f>HYPERLINK("http://141.218.60.56/~jnz1568/getInfo.php?workbook=10_05.xlsx&amp;sheet=U0&amp;row=8793&amp;col=7&amp;number=0.00235&amp;sourceID=14","0.00235")</f>
        <v>0.00235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HYPERLINK("http://141.218.60.56/~jnz1568/getInfo.php?workbook=10_05.xlsx&amp;sheet=U0&amp;row=8794&amp;col=6&amp;number=4&amp;sourceID=14","4")</f>
        <v>4</v>
      </c>
      <c r="G8794" s="4" t="str">
        <f>HYPERLINK("http://141.218.60.56/~jnz1568/getInfo.php?workbook=10_05.xlsx&amp;sheet=U0&amp;row=8794&amp;col=7&amp;number=0.00238&amp;sourceID=14","0.00238")</f>
        <v>0.00238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HYPERLINK("http://141.218.60.56/~jnz1568/getInfo.php?workbook=10_05.xlsx&amp;sheet=U0&amp;row=8795&amp;col=6&amp;number=4.1&amp;sourceID=14","4.1")</f>
        <v>4.1</v>
      </c>
      <c r="G8795" s="4" t="str">
        <f>HYPERLINK("http://141.218.60.56/~jnz1568/getInfo.php?workbook=10_05.xlsx&amp;sheet=U0&amp;row=8795&amp;col=7&amp;number=0.00235&amp;sourceID=14","0.00235")</f>
        <v>0.00235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HYPERLINK("http://141.218.60.56/~jnz1568/getInfo.php?workbook=10_05.xlsx&amp;sheet=U0&amp;row=8796&amp;col=6&amp;number=4.2&amp;sourceID=14","4.2")</f>
        <v>4.2</v>
      </c>
      <c r="G8796" s="4" t="str">
        <f>HYPERLINK("http://141.218.60.56/~jnz1568/getInfo.php?workbook=10_05.xlsx&amp;sheet=U0&amp;row=8796&amp;col=7&amp;number=0.00227&amp;sourceID=14","0.00227")</f>
        <v>0.00227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HYPERLINK("http://141.218.60.56/~jnz1568/getInfo.php?workbook=10_05.xlsx&amp;sheet=U0&amp;row=8797&amp;col=6&amp;number=4.3&amp;sourceID=14","4.3")</f>
        <v>4.3</v>
      </c>
      <c r="G8797" s="4" t="str">
        <f>HYPERLINK("http://141.218.60.56/~jnz1568/getInfo.php?workbook=10_05.xlsx&amp;sheet=U0&amp;row=8797&amp;col=7&amp;number=0.00217&amp;sourceID=14","0.00217")</f>
        <v>0.00217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HYPERLINK("http://141.218.60.56/~jnz1568/getInfo.php?workbook=10_05.xlsx&amp;sheet=U0&amp;row=8798&amp;col=6&amp;number=4.4&amp;sourceID=14","4.4")</f>
        <v>4.4</v>
      </c>
      <c r="G8798" s="4" t="str">
        <f>HYPERLINK("http://141.218.60.56/~jnz1568/getInfo.php?workbook=10_05.xlsx&amp;sheet=U0&amp;row=8798&amp;col=7&amp;number=0.00206&amp;sourceID=14","0.00206")</f>
        <v>0.00206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HYPERLINK("http://141.218.60.56/~jnz1568/getInfo.php?workbook=10_05.xlsx&amp;sheet=U0&amp;row=8799&amp;col=6&amp;number=4.5&amp;sourceID=14","4.5")</f>
        <v>4.5</v>
      </c>
      <c r="G8799" s="4" t="str">
        <f>HYPERLINK("http://141.218.60.56/~jnz1568/getInfo.php?workbook=10_05.xlsx&amp;sheet=U0&amp;row=8799&amp;col=7&amp;number=0.00194&amp;sourceID=14","0.00194")</f>
        <v>0.00194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HYPERLINK("http://141.218.60.56/~jnz1568/getInfo.php?workbook=10_05.xlsx&amp;sheet=U0&amp;row=8800&amp;col=6&amp;number=4.6&amp;sourceID=14","4.6")</f>
        <v>4.6</v>
      </c>
      <c r="G8800" s="4" t="str">
        <f>HYPERLINK("http://141.218.60.56/~jnz1568/getInfo.php?workbook=10_05.xlsx&amp;sheet=U0&amp;row=8800&amp;col=7&amp;number=0.00179&amp;sourceID=14","0.00179")</f>
        <v>0.00179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HYPERLINK("http://141.218.60.56/~jnz1568/getInfo.php?workbook=10_05.xlsx&amp;sheet=U0&amp;row=8801&amp;col=6&amp;number=4.7&amp;sourceID=14","4.7")</f>
        <v>4.7</v>
      </c>
      <c r="G8801" s="4" t="str">
        <f>HYPERLINK("http://141.218.60.56/~jnz1568/getInfo.php?workbook=10_05.xlsx&amp;sheet=U0&amp;row=8801&amp;col=7&amp;number=0.00162&amp;sourceID=14","0.00162")</f>
        <v>0.00162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HYPERLINK("http://141.218.60.56/~jnz1568/getInfo.php?workbook=10_05.xlsx&amp;sheet=U0&amp;row=8802&amp;col=6&amp;number=4.8&amp;sourceID=14","4.8")</f>
        <v>4.8</v>
      </c>
      <c r="G8802" s="4" t="str">
        <f>HYPERLINK("http://141.218.60.56/~jnz1568/getInfo.php?workbook=10_05.xlsx&amp;sheet=U0&amp;row=8802&amp;col=7&amp;number=0.00146&amp;sourceID=14","0.00146")</f>
        <v>0.00146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HYPERLINK("http://141.218.60.56/~jnz1568/getInfo.php?workbook=10_05.xlsx&amp;sheet=U0&amp;row=8803&amp;col=6&amp;number=4.9&amp;sourceID=14","4.9")</f>
        <v>4.9</v>
      </c>
      <c r="G8803" s="4" t="str">
        <f>HYPERLINK("http://141.218.60.56/~jnz1568/getInfo.php?workbook=10_05.xlsx&amp;sheet=U0&amp;row=8803&amp;col=7&amp;number=0.0013&amp;sourceID=14","0.0013")</f>
        <v>0.0013</v>
      </c>
    </row>
    <row r="8804" spans="1:7">
      <c r="A8804" s="3">
        <v>10</v>
      </c>
      <c r="B8804" s="3">
        <v>5</v>
      </c>
      <c r="C8804" s="3">
        <v>3</v>
      </c>
      <c r="D8804" s="3">
        <v>87</v>
      </c>
      <c r="E8804" s="3">
        <v>1</v>
      </c>
      <c r="F8804" s="4" t="str">
        <f>HYPERLINK("http://141.218.60.56/~jnz1568/getInfo.php?workbook=10_05.xlsx&amp;sheet=U0&amp;row=8804&amp;col=6&amp;number=3&amp;sourceID=14","3")</f>
        <v>3</v>
      </c>
      <c r="G8804" s="4" t="str">
        <f>HYPERLINK("http://141.218.60.56/~jnz1568/getInfo.php?workbook=10_05.xlsx&amp;sheet=U0&amp;row=8804&amp;col=7&amp;number=0.00167&amp;sourceID=14","0.00167")</f>
        <v>0.00167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HYPERLINK("http://141.218.60.56/~jnz1568/getInfo.php?workbook=10_05.xlsx&amp;sheet=U0&amp;row=8805&amp;col=6&amp;number=3.1&amp;sourceID=14","3.1")</f>
        <v>3.1</v>
      </c>
      <c r="G8805" s="4" t="str">
        <f>HYPERLINK("http://141.218.60.56/~jnz1568/getInfo.php?workbook=10_05.xlsx&amp;sheet=U0&amp;row=8805&amp;col=7&amp;number=0.00169&amp;sourceID=14","0.00169")</f>
        <v>0.00169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HYPERLINK("http://141.218.60.56/~jnz1568/getInfo.php?workbook=10_05.xlsx&amp;sheet=U0&amp;row=8806&amp;col=6&amp;number=3.2&amp;sourceID=14","3.2")</f>
        <v>3.2</v>
      </c>
      <c r="G8806" s="4" t="str">
        <f>HYPERLINK("http://141.218.60.56/~jnz1568/getInfo.php?workbook=10_05.xlsx&amp;sheet=U0&amp;row=8806&amp;col=7&amp;number=0.00171&amp;sourceID=14","0.00171")</f>
        <v>0.00171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HYPERLINK("http://141.218.60.56/~jnz1568/getInfo.php?workbook=10_05.xlsx&amp;sheet=U0&amp;row=8807&amp;col=6&amp;number=3.3&amp;sourceID=14","3.3")</f>
        <v>3.3</v>
      </c>
      <c r="G8807" s="4" t="str">
        <f>HYPERLINK("http://141.218.60.56/~jnz1568/getInfo.php?workbook=10_05.xlsx&amp;sheet=U0&amp;row=8807&amp;col=7&amp;number=0.00174&amp;sourceID=14","0.00174")</f>
        <v>0.00174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HYPERLINK("http://141.218.60.56/~jnz1568/getInfo.php?workbook=10_05.xlsx&amp;sheet=U0&amp;row=8808&amp;col=6&amp;number=3.4&amp;sourceID=14","3.4")</f>
        <v>3.4</v>
      </c>
      <c r="G8808" s="4" t="str">
        <f>HYPERLINK("http://141.218.60.56/~jnz1568/getInfo.php?workbook=10_05.xlsx&amp;sheet=U0&amp;row=8808&amp;col=7&amp;number=0.00177&amp;sourceID=14","0.00177")</f>
        <v>0.00177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HYPERLINK("http://141.218.60.56/~jnz1568/getInfo.php?workbook=10_05.xlsx&amp;sheet=U0&amp;row=8809&amp;col=6&amp;number=3.5&amp;sourceID=14","3.5")</f>
        <v>3.5</v>
      </c>
      <c r="G8809" s="4" t="str">
        <f>HYPERLINK("http://141.218.60.56/~jnz1568/getInfo.php?workbook=10_05.xlsx&amp;sheet=U0&amp;row=8809&amp;col=7&amp;number=0.00181&amp;sourceID=14","0.00181")</f>
        <v>0.00181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HYPERLINK("http://141.218.60.56/~jnz1568/getInfo.php?workbook=10_05.xlsx&amp;sheet=U0&amp;row=8810&amp;col=6&amp;number=3.6&amp;sourceID=14","3.6")</f>
        <v>3.6</v>
      </c>
      <c r="G8810" s="4" t="str">
        <f>HYPERLINK("http://141.218.60.56/~jnz1568/getInfo.php?workbook=10_05.xlsx&amp;sheet=U0&amp;row=8810&amp;col=7&amp;number=0.00185&amp;sourceID=14","0.00185")</f>
        <v>0.00185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HYPERLINK("http://141.218.60.56/~jnz1568/getInfo.php?workbook=10_05.xlsx&amp;sheet=U0&amp;row=8811&amp;col=6&amp;number=3.7&amp;sourceID=14","3.7")</f>
        <v>3.7</v>
      </c>
      <c r="G8811" s="4" t="str">
        <f>HYPERLINK("http://141.218.60.56/~jnz1568/getInfo.php?workbook=10_05.xlsx&amp;sheet=U0&amp;row=8811&amp;col=7&amp;number=0.0019&amp;sourceID=14","0.0019")</f>
        <v>0.0019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HYPERLINK("http://141.218.60.56/~jnz1568/getInfo.php?workbook=10_05.xlsx&amp;sheet=U0&amp;row=8812&amp;col=6&amp;number=3.8&amp;sourceID=14","3.8")</f>
        <v>3.8</v>
      </c>
      <c r="G8812" s="4" t="str">
        <f>HYPERLINK("http://141.218.60.56/~jnz1568/getInfo.php?workbook=10_05.xlsx&amp;sheet=U0&amp;row=8812&amp;col=7&amp;number=0.00194&amp;sourceID=14","0.00194")</f>
        <v>0.00194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HYPERLINK("http://141.218.60.56/~jnz1568/getInfo.php?workbook=10_05.xlsx&amp;sheet=U0&amp;row=8813&amp;col=6&amp;number=3.9&amp;sourceID=14","3.9")</f>
        <v>3.9</v>
      </c>
      <c r="G8813" s="4" t="str">
        <f>HYPERLINK("http://141.218.60.56/~jnz1568/getInfo.php?workbook=10_05.xlsx&amp;sheet=U0&amp;row=8813&amp;col=7&amp;number=0.00198&amp;sourceID=14","0.00198")</f>
        <v>0.00198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HYPERLINK("http://141.218.60.56/~jnz1568/getInfo.php?workbook=10_05.xlsx&amp;sheet=U0&amp;row=8814&amp;col=6&amp;number=4&amp;sourceID=14","4")</f>
        <v>4</v>
      </c>
      <c r="G8814" s="4" t="str">
        <f>HYPERLINK("http://141.218.60.56/~jnz1568/getInfo.php?workbook=10_05.xlsx&amp;sheet=U0&amp;row=8814&amp;col=7&amp;number=0.00199&amp;sourceID=14","0.00199")</f>
        <v>0.00199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HYPERLINK("http://141.218.60.56/~jnz1568/getInfo.php?workbook=10_05.xlsx&amp;sheet=U0&amp;row=8815&amp;col=6&amp;number=4.1&amp;sourceID=14","4.1")</f>
        <v>4.1</v>
      </c>
      <c r="G8815" s="4" t="str">
        <f>HYPERLINK("http://141.218.60.56/~jnz1568/getInfo.php?workbook=10_05.xlsx&amp;sheet=U0&amp;row=8815&amp;col=7&amp;number=0.00198&amp;sourceID=14","0.00198")</f>
        <v>0.00198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HYPERLINK("http://141.218.60.56/~jnz1568/getInfo.php?workbook=10_05.xlsx&amp;sheet=U0&amp;row=8816&amp;col=6&amp;number=4.2&amp;sourceID=14","4.2")</f>
        <v>4.2</v>
      </c>
      <c r="G8816" s="4" t="str">
        <f>HYPERLINK("http://141.218.60.56/~jnz1568/getInfo.php?workbook=10_05.xlsx&amp;sheet=U0&amp;row=8816&amp;col=7&amp;number=0.00193&amp;sourceID=14","0.00193")</f>
        <v>0.00193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HYPERLINK("http://141.218.60.56/~jnz1568/getInfo.php?workbook=10_05.xlsx&amp;sheet=U0&amp;row=8817&amp;col=6&amp;number=4.3&amp;sourceID=14","4.3")</f>
        <v>4.3</v>
      </c>
      <c r="G8817" s="4" t="str">
        <f>HYPERLINK("http://141.218.60.56/~jnz1568/getInfo.php?workbook=10_05.xlsx&amp;sheet=U0&amp;row=8817&amp;col=7&amp;number=0.00185&amp;sourceID=14","0.00185")</f>
        <v>0.00185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HYPERLINK("http://141.218.60.56/~jnz1568/getInfo.php?workbook=10_05.xlsx&amp;sheet=U0&amp;row=8818&amp;col=6&amp;number=4.4&amp;sourceID=14","4.4")</f>
        <v>4.4</v>
      </c>
      <c r="G8818" s="4" t="str">
        <f>HYPERLINK("http://141.218.60.56/~jnz1568/getInfo.php?workbook=10_05.xlsx&amp;sheet=U0&amp;row=8818&amp;col=7&amp;number=0.00176&amp;sourceID=14","0.00176")</f>
        <v>0.00176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HYPERLINK("http://141.218.60.56/~jnz1568/getInfo.php?workbook=10_05.xlsx&amp;sheet=U0&amp;row=8819&amp;col=6&amp;number=4.5&amp;sourceID=14","4.5")</f>
        <v>4.5</v>
      </c>
      <c r="G8819" s="4" t="str">
        <f>HYPERLINK("http://141.218.60.56/~jnz1568/getInfo.php?workbook=10_05.xlsx&amp;sheet=U0&amp;row=8819&amp;col=7&amp;number=0.00165&amp;sourceID=14","0.00165")</f>
        <v>0.00165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HYPERLINK("http://141.218.60.56/~jnz1568/getInfo.php?workbook=10_05.xlsx&amp;sheet=U0&amp;row=8820&amp;col=6&amp;number=4.6&amp;sourceID=14","4.6")</f>
        <v>4.6</v>
      </c>
      <c r="G8820" s="4" t="str">
        <f>HYPERLINK("http://141.218.60.56/~jnz1568/getInfo.php?workbook=10_05.xlsx&amp;sheet=U0&amp;row=8820&amp;col=7&amp;number=0.00152&amp;sourceID=14","0.00152")</f>
        <v>0.00152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HYPERLINK("http://141.218.60.56/~jnz1568/getInfo.php?workbook=10_05.xlsx&amp;sheet=U0&amp;row=8821&amp;col=6&amp;number=4.7&amp;sourceID=14","4.7")</f>
        <v>4.7</v>
      </c>
      <c r="G8821" s="4" t="str">
        <f>HYPERLINK("http://141.218.60.56/~jnz1568/getInfo.php?workbook=10_05.xlsx&amp;sheet=U0&amp;row=8821&amp;col=7&amp;number=0.00138&amp;sourceID=14","0.00138")</f>
        <v>0.00138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HYPERLINK("http://141.218.60.56/~jnz1568/getInfo.php?workbook=10_05.xlsx&amp;sheet=U0&amp;row=8822&amp;col=6&amp;number=4.8&amp;sourceID=14","4.8")</f>
        <v>4.8</v>
      </c>
      <c r="G8822" s="4" t="str">
        <f>HYPERLINK("http://141.218.60.56/~jnz1568/getInfo.php?workbook=10_05.xlsx&amp;sheet=U0&amp;row=8822&amp;col=7&amp;number=0.00123&amp;sourceID=14","0.00123")</f>
        <v>0.00123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HYPERLINK("http://141.218.60.56/~jnz1568/getInfo.php?workbook=10_05.xlsx&amp;sheet=U0&amp;row=8823&amp;col=6&amp;number=4.9&amp;sourceID=14","4.9")</f>
        <v>4.9</v>
      </c>
      <c r="G8823" s="4" t="str">
        <f>HYPERLINK("http://141.218.60.56/~jnz1568/getInfo.php?workbook=10_05.xlsx&amp;sheet=U0&amp;row=8823&amp;col=7&amp;number=0.0011&amp;sourceID=14","0.0011")</f>
        <v>0.0011</v>
      </c>
    </row>
    <row r="8824" spans="1:7">
      <c r="A8824" s="3">
        <v>10</v>
      </c>
      <c r="B8824" s="3">
        <v>5</v>
      </c>
      <c r="C8824" s="3">
        <v>3</v>
      </c>
      <c r="D8824" s="3">
        <v>88</v>
      </c>
      <c r="E8824" s="3">
        <v>1</v>
      </c>
      <c r="F8824" s="4" t="str">
        <f>HYPERLINK("http://141.218.60.56/~jnz1568/getInfo.php?workbook=10_05.xlsx&amp;sheet=U0&amp;row=8824&amp;col=6&amp;number=3&amp;sourceID=14","3")</f>
        <v>3</v>
      </c>
      <c r="G8824" s="4" t="str">
        <f>HYPERLINK("http://141.218.60.56/~jnz1568/getInfo.php?workbook=10_05.xlsx&amp;sheet=U0&amp;row=8824&amp;col=7&amp;number=0.0116&amp;sourceID=14","0.0116")</f>
        <v>0.0116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HYPERLINK("http://141.218.60.56/~jnz1568/getInfo.php?workbook=10_05.xlsx&amp;sheet=U0&amp;row=8825&amp;col=6&amp;number=3.1&amp;sourceID=14","3.1")</f>
        <v>3.1</v>
      </c>
      <c r="G8825" s="4" t="str">
        <f>HYPERLINK("http://141.218.60.56/~jnz1568/getInfo.php?workbook=10_05.xlsx&amp;sheet=U0&amp;row=8825&amp;col=7&amp;number=0.0116&amp;sourceID=14","0.0116")</f>
        <v>0.0116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HYPERLINK("http://141.218.60.56/~jnz1568/getInfo.php?workbook=10_05.xlsx&amp;sheet=U0&amp;row=8826&amp;col=6&amp;number=3.2&amp;sourceID=14","3.2")</f>
        <v>3.2</v>
      </c>
      <c r="G8826" s="4" t="str">
        <f>HYPERLINK("http://141.218.60.56/~jnz1568/getInfo.php?workbook=10_05.xlsx&amp;sheet=U0&amp;row=8826&amp;col=7&amp;number=0.0116&amp;sourceID=14","0.0116")</f>
        <v>0.0116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HYPERLINK("http://141.218.60.56/~jnz1568/getInfo.php?workbook=10_05.xlsx&amp;sheet=U0&amp;row=8827&amp;col=6&amp;number=3.3&amp;sourceID=14","3.3")</f>
        <v>3.3</v>
      </c>
      <c r="G8827" s="4" t="str">
        <f>HYPERLINK("http://141.218.60.56/~jnz1568/getInfo.php?workbook=10_05.xlsx&amp;sheet=U0&amp;row=8827&amp;col=7&amp;number=0.0115&amp;sourceID=14","0.0115")</f>
        <v>0.0115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HYPERLINK("http://141.218.60.56/~jnz1568/getInfo.php?workbook=10_05.xlsx&amp;sheet=U0&amp;row=8828&amp;col=6&amp;number=3.4&amp;sourceID=14","3.4")</f>
        <v>3.4</v>
      </c>
      <c r="G8828" s="4" t="str">
        <f>HYPERLINK("http://141.218.60.56/~jnz1568/getInfo.php?workbook=10_05.xlsx&amp;sheet=U0&amp;row=8828&amp;col=7&amp;number=0.0115&amp;sourceID=14","0.0115")</f>
        <v>0.0115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HYPERLINK("http://141.218.60.56/~jnz1568/getInfo.php?workbook=10_05.xlsx&amp;sheet=U0&amp;row=8829&amp;col=6&amp;number=3.5&amp;sourceID=14","3.5")</f>
        <v>3.5</v>
      </c>
      <c r="G8829" s="4" t="str">
        <f>HYPERLINK("http://141.218.60.56/~jnz1568/getInfo.php?workbook=10_05.xlsx&amp;sheet=U0&amp;row=8829&amp;col=7&amp;number=0.0115&amp;sourceID=14","0.0115")</f>
        <v>0.0115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HYPERLINK("http://141.218.60.56/~jnz1568/getInfo.php?workbook=10_05.xlsx&amp;sheet=U0&amp;row=8830&amp;col=6&amp;number=3.6&amp;sourceID=14","3.6")</f>
        <v>3.6</v>
      </c>
      <c r="G8830" s="4" t="str">
        <f>HYPERLINK("http://141.218.60.56/~jnz1568/getInfo.php?workbook=10_05.xlsx&amp;sheet=U0&amp;row=8830&amp;col=7&amp;number=0.0114&amp;sourceID=14","0.0114")</f>
        <v>0.0114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HYPERLINK("http://141.218.60.56/~jnz1568/getInfo.php?workbook=10_05.xlsx&amp;sheet=U0&amp;row=8831&amp;col=6&amp;number=3.7&amp;sourceID=14","3.7")</f>
        <v>3.7</v>
      </c>
      <c r="G8831" s="4" t="str">
        <f>HYPERLINK("http://141.218.60.56/~jnz1568/getInfo.php?workbook=10_05.xlsx&amp;sheet=U0&amp;row=8831&amp;col=7&amp;number=0.0113&amp;sourceID=14","0.0113")</f>
        <v>0.0113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HYPERLINK("http://141.218.60.56/~jnz1568/getInfo.php?workbook=10_05.xlsx&amp;sheet=U0&amp;row=8832&amp;col=6&amp;number=3.8&amp;sourceID=14","3.8")</f>
        <v>3.8</v>
      </c>
      <c r="G8832" s="4" t="str">
        <f>HYPERLINK("http://141.218.60.56/~jnz1568/getInfo.php?workbook=10_05.xlsx&amp;sheet=U0&amp;row=8832&amp;col=7&amp;number=0.0112&amp;sourceID=14","0.0112")</f>
        <v>0.0112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HYPERLINK("http://141.218.60.56/~jnz1568/getInfo.php?workbook=10_05.xlsx&amp;sheet=U0&amp;row=8833&amp;col=6&amp;number=3.9&amp;sourceID=14","3.9")</f>
        <v>3.9</v>
      </c>
      <c r="G8833" s="4" t="str">
        <f>HYPERLINK("http://141.218.60.56/~jnz1568/getInfo.php?workbook=10_05.xlsx&amp;sheet=U0&amp;row=8833&amp;col=7&amp;number=0.0111&amp;sourceID=14","0.0111")</f>
        <v>0.0111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HYPERLINK("http://141.218.60.56/~jnz1568/getInfo.php?workbook=10_05.xlsx&amp;sheet=U0&amp;row=8834&amp;col=6&amp;number=4&amp;sourceID=14","4")</f>
        <v>4</v>
      </c>
      <c r="G8834" s="4" t="str">
        <f>HYPERLINK("http://141.218.60.56/~jnz1568/getInfo.php?workbook=10_05.xlsx&amp;sheet=U0&amp;row=8834&amp;col=7&amp;number=0.0109&amp;sourceID=14","0.0109")</f>
        <v>0.0109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HYPERLINK("http://141.218.60.56/~jnz1568/getInfo.php?workbook=10_05.xlsx&amp;sheet=U0&amp;row=8835&amp;col=6&amp;number=4.1&amp;sourceID=14","4.1")</f>
        <v>4.1</v>
      </c>
      <c r="G8835" s="4" t="str">
        <f>HYPERLINK("http://141.218.60.56/~jnz1568/getInfo.php?workbook=10_05.xlsx&amp;sheet=U0&amp;row=8835&amp;col=7&amp;number=0.0107&amp;sourceID=14","0.0107")</f>
        <v>0.0107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HYPERLINK("http://141.218.60.56/~jnz1568/getInfo.php?workbook=10_05.xlsx&amp;sheet=U0&amp;row=8836&amp;col=6&amp;number=4.2&amp;sourceID=14","4.2")</f>
        <v>4.2</v>
      </c>
      <c r="G8836" s="4" t="str">
        <f>HYPERLINK("http://141.218.60.56/~jnz1568/getInfo.php?workbook=10_05.xlsx&amp;sheet=U0&amp;row=8836&amp;col=7&amp;number=0.0105&amp;sourceID=14","0.0105")</f>
        <v>0.0105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HYPERLINK("http://141.218.60.56/~jnz1568/getInfo.php?workbook=10_05.xlsx&amp;sheet=U0&amp;row=8837&amp;col=6&amp;number=4.3&amp;sourceID=14","4.3")</f>
        <v>4.3</v>
      </c>
      <c r="G8837" s="4" t="str">
        <f>HYPERLINK("http://141.218.60.56/~jnz1568/getInfo.php?workbook=10_05.xlsx&amp;sheet=U0&amp;row=8837&amp;col=7&amp;number=0.0102&amp;sourceID=14","0.0102")</f>
        <v>0.0102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HYPERLINK("http://141.218.60.56/~jnz1568/getInfo.php?workbook=10_05.xlsx&amp;sheet=U0&amp;row=8838&amp;col=6&amp;number=4.4&amp;sourceID=14","4.4")</f>
        <v>4.4</v>
      </c>
      <c r="G8838" s="4" t="str">
        <f>HYPERLINK("http://141.218.60.56/~jnz1568/getInfo.php?workbook=10_05.xlsx&amp;sheet=U0&amp;row=8838&amp;col=7&amp;number=0.00987&amp;sourceID=14","0.00987")</f>
        <v>0.00987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HYPERLINK("http://141.218.60.56/~jnz1568/getInfo.php?workbook=10_05.xlsx&amp;sheet=U0&amp;row=8839&amp;col=6&amp;number=4.5&amp;sourceID=14","4.5")</f>
        <v>4.5</v>
      </c>
      <c r="G8839" s="4" t="str">
        <f>HYPERLINK("http://141.218.60.56/~jnz1568/getInfo.php?workbook=10_05.xlsx&amp;sheet=U0&amp;row=8839&amp;col=7&amp;number=0.00944&amp;sourceID=14","0.00944")</f>
        <v>0.00944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HYPERLINK("http://141.218.60.56/~jnz1568/getInfo.php?workbook=10_05.xlsx&amp;sheet=U0&amp;row=8840&amp;col=6&amp;number=4.6&amp;sourceID=14","4.6")</f>
        <v>4.6</v>
      </c>
      <c r="G8840" s="4" t="str">
        <f>HYPERLINK("http://141.218.60.56/~jnz1568/getInfo.php?workbook=10_05.xlsx&amp;sheet=U0&amp;row=8840&amp;col=7&amp;number=0.00892&amp;sourceID=14","0.00892")</f>
        <v>0.00892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HYPERLINK("http://141.218.60.56/~jnz1568/getInfo.php?workbook=10_05.xlsx&amp;sheet=U0&amp;row=8841&amp;col=6&amp;number=4.7&amp;sourceID=14","4.7")</f>
        <v>4.7</v>
      </c>
      <c r="G8841" s="4" t="str">
        <f>HYPERLINK("http://141.218.60.56/~jnz1568/getInfo.php?workbook=10_05.xlsx&amp;sheet=U0&amp;row=8841&amp;col=7&amp;number=0.0083&amp;sourceID=14","0.0083")</f>
        <v>0.0083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HYPERLINK("http://141.218.60.56/~jnz1568/getInfo.php?workbook=10_05.xlsx&amp;sheet=U0&amp;row=8842&amp;col=6&amp;number=4.8&amp;sourceID=14","4.8")</f>
        <v>4.8</v>
      </c>
      <c r="G8842" s="4" t="str">
        <f>HYPERLINK("http://141.218.60.56/~jnz1568/getInfo.php?workbook=10_05.xlsx&amp;sheet=U0&amp;row=8842&amp;col=7&amp;number=0.0076&amp;sourceID=14","0.0076")</f>
        <v>0.0076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HYPERLINK("http://141.218.60.56/~jnz1568/getInfo.php?workbook=10_05.xlsx&amp;sheet=U0&amp;row=8843&amp;col=6&amp;number=4.9&amp;sourceID=14","4.9")</f>
        <v>4.9</v>
      </c>
      <c r="G8843" s="4" t="str">
        <f>HYPERLINK("http://141.218.60.56/~jnz1568/getInfo.php?workbook=10_05.xlsx&amp;sheet=U0&amp;row=8843&amp;col=7&amp;number=0.00687&amp;sourceID=14","0.00687")</f>
        <v>0.00687</v>
      </c>
    </row>
    <row r="8844" spans="1:7">
      <c r="A8844" s="3">
        <v>10</v>
      </c>
      <c r="B8844" s="3">
        <v>5</v>
      </c>
      <c r="C8844" s="3">
        <v>3</v>
      </c>
      <c r="D8844" s="3">
        <v>89</v>
      </c>
      <c r="E8844" s="3">
        <v>1</v>
      </c>
      <c r="F8844" s="4" t="str">
        <f>HYPERLINK("http://141.218.60.56/~jnz1568/getInfo.php?workbook=10_05.xlsx&amp;sheet=U0&amp;row=8844&amp;col=6&amp;number=3&amp;sourceID=14","3")</f>
        <v>3</v>
      </c>
      <c r="G8844" s="4" t="str">
        <f>HYPERLINK("http://141.218.60.56/~jnz1568/getInfo.php?workbook=10_05.xlsx&amp;sheet=U0&amp;row=8844&amp;col=7&amp;number=0.0375&amp;sourceID=14","0.0375")</f>
        <v>0.0375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HYPERLINK("http://141.218.60.56/~jnz1568/getInfo.php?workbook=10_05.xlsx&amp;sheet=U0&amp;row=8845&amp;col=6&amp;number=3.1&amp;sourceID=14","3.1")</f>
        <v>3.1</v>
      </c>
      <c r="G8845" s="4" t="str">
        <f>HYPERLINK("http://141.218.60.56/~jnz1568/getInfo.php?workbook=10_05.xlsx&amp;sheet=U0&amp;row=8845&amp;col=7&amp;number=0.0374&amp;sourceID=14","0.0374")</f>
        <v>0.0374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HYPERLINK("http://141.218.60.56/~jnz1568/getInfo.php?workbook=10_05.xlsx&amp;sheet=U0&amp;row=8846&amp;col=6&amp;number=3.2&amp;sourceID=14","3.2")</f>
        <v>3.2</v>
      </c>
      <c r="G8846" s="4" t="str">
        <f>HYPERLINK("http://141.218.60.56/~jnz1568/getInfo.php?workbook=10_05.xlsx&amp;sheet=U0&amp;row=8846&amp;col=7&amp;number=0.0373&amp;sourceID=14","0.0373")</f>
        <v>0.0373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HYPERLINK("http://141.218.60.56/~jnz1568/getInfo.php?workbook=10_05.xlsx&amp;sheet=U0&amp;row=8847&amp;col=6&amp;number=3.3&amp;sourceID=14","3.3")</f>
        <v>3.3</v>
      </c>
      <c r="G8847" s="4" t="str">
        <f>HYPERLINK("http://141.218.60.56/~jnz1568/getInfo.php?workbook=10_05.xlsx&amp;sheet=U0&amp;row=8847&amp;col=7&amp;number=0.0372&amp;sourceID=14","0.0372")</f>
        <v>0.0372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HYPERLINK("http://141.218.60.56/~jnz1568/getInfo.php?workbook=10_05.xlsx&amp;sheet=U0&amp;row=8848&amp;col=6&amp;number=3.4&amp;sourceID=14","3.4")</f>
        <v>3.4</v>
      </c>
      <c r="G8848" s="4" t="str">
        <f>HYPERLINK("http://141.218.60.56/~jnz1568/getInfo.php?workbook=10_05.xlsx&amp;sheet=U0&amp;row=8848&amp;col=7&amp;number=0.037&amp;sourceID=14","0.037")</f>
        <v>0.037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HYPERLINK("http://141.218.60.56/~jnz1568/getInfo.php?workbook=10_05.xlsx&amp;sheet=U0&amp;row=8849&amp;col=6&amp;number=3.5&amp;sourceID=14","3.5")</f>
        <v>3.5</v>
      </c>
      <c r="G8849" s="4" t="str">
        <f>HYPERLINK("http://141.218.60.56/~jnz1568/getInfo.php?workbook=10_05.xlsx&amp;sheet=U0&amp;row=8849&amp;col=7&amp;number=0.0368&amp;sourceID=14","0.0368")</f>
        <v>0.0368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HYPERLINK("http://141.218.60.56/~jnz1568/getInfo.php?workbook=10_05.xlsx&amp;sheet=U0&amp;row=8850&amp;col=6&amp;number=3.6&amp;sourceID=14","3.6")</f>
        <v>3.6</v>
      </c>
      <c r="G8850" s="4" t="str">
        <f>HYPERLINK("http://141.218.60.56/~jnz1568/getInfo.php?workbook=10_05.xlsx&amp;sheet=U0&amp;row=8850&amp;col=7&amp;number=0.0366&amp;sourceID=14","0.0366")</f>
        <v>0.0366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HYPERLINK("http://141.218.60.56/~jnz1568/getInfo.php?workbook=10_05.xlsx&amp;sheet=U0&amp;row=8851&amp;col=6&amp;number=3.7&amp;sourceID=14","3.7")</f>
        <v>3.7</v>
      </c>
      <c r="G8851" s="4" t="str">
        <f>HYPERLINK("http://141.218.60.56/~jnz1568/getInfo.php?workbook=10_05.xlsx&amp;sheet=U0&amp;row=8851&amp;col=7&amp;number=0.0362&amp;sourceID=14","0.0362")</f>
        <v>0.0362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HYPERLINK("http://141.218.60.56/~jnz1568/getInfo.php?workbook=10_05.xlsx&amp;sheet=U0&amp;row=8852&amp;col=6&amp;number=3.8&amp;sourceID=14","3.8")</f>
        <v>3.8</v>
      </c>
      <c r="G8852" s="4" t="str">
        <f>HYPERLINK("http://141.218.60.56/~jnz1568/getInfo.php?workbook=10_05.xlsx&amp;sheet=U0&amp;row=8852&amp;col=7&amp;number=0.0359&amp;sourceID=14","0.0359")</f>
        <v>0.0359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HYPERLINK("http://141.218.60.56/~jnz1568/getInfo.php?workbook=10_05.xlsx&amp;sheet=U0&amp;row=8853&amp;col=6&amp;number=3.9&amp;sourceID=14","3.9")</f>
        <v>3.9</v>
      </c>
      <c r="G8853" s="4" t="str">
        <f>HYPERLINK("http://141.218.60.56/~jnz1568/getInfo.php?workbook=10_05.xlsx&amp;sheet=U0&amp;row=8853&amp;col=7&amp;number=0.0354&amp;sourceID=14","0.0354")</f>
        <v>0.0354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HYPERLINK("http://141.218.60.56/~jnz1568/getInfo.php?workbook=10_05.xlsx&amp;sheet=U0&amp;row=8854&amp;col=6&amp;number=4&amp;sourceID=14","4")</f>
        <v>4</v>
      </c>
      <c r="G8854" s="4" t="str">
        <f>HYPERLINK("http://141.218.60.56/~jnz1568/getInfo.php?workbook=10_05.xlsx&amp;sheet=U0&amp;row=8854&amp;col=7&amp;number=0.0348&amp;sourceID=14","0.0348")</f>
        <v>0.0348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HYPERLINK("http://141.218.60.56/~jnz1568/getInfo.php?workbook=10_05.xlsx&amp;sheet=U0&amp;row=8855&amp;col=6&amp;number=4.1&amp;sourceID=14","4.1")</f>
        <v>4.1</v>
      </c>
      <c r="G8855" s="4" t="str">
        <f>HYPERLINK("http://141.218.60.56/~jnz1568/getInfo.php?workbook=10_05.xlsx&amp;sheet=U0&amp;row=8855&amp;col=7&amp;number=0.0341&amp;sourceID=14","0.0341")</f>
        <v>0.0341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HYPERLINK("http://141.218.60.56/~jnz1568/getInfo.php?workbook=10_05.xlsx&amp;sheet=U0&amp;row=8856&amp;col=6&amp;number=4.2&amp;sourceID=14","4.2")</f>
        <v>4.2</v>
      </c>
      <c r="G8856" s="4" t="str">
        <f>HYPERLINK("http://141.218.60.56/~jnz1568/getInfo.php?workbook=10_05.xlsx&amp;sheet=U0&amp;row=8856&amp;col=7&amp;number=0.0332&amp;sourceID=14","0.0332")</f>
        <v>0.0332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HYPERLINK("http://141.218.60.56/~jnz1568/getInfo.php?workbook=10_05.xlsx&amp;sheet=U0&amp;row=8857&amp;col=6&amp;number=4.3&amp;sourceID=14","4.3")</f>
        <v>4.3</v>
      </c>
      <c r="G8857" s="4" t="str">
        <f>HYPERLINK("http://141.218.60.56/~jnz1568/getInfo.php?workbook=10_05.xlsx&amp;sheet=U0&amp;row=8857&amp;col=7&amp;number=0.0321&amp;sourceID=14","0.0321")</f>
        <v>0.0321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HYPERLINK("http://141.218.60.56/~jnz1568/getInfo.php?workbook=10_05.xlsx&amp;sheet=U0&amp;row=8858&amp;col=6&amp;number=4.4&amp;sourceID=14","4.4")</f>
        <v>4.4</v>
      </c>
      <c r="G8858" s="4" t="str">
        <f>HYPERLINK("http://141.218.60.56/~jnz1568/getInfo.php?workbook=10_05.xlsx&amp;sheet=U0&amp;row=8858&amp;col=7&amp;number=0.0308&amp;sourceID=14","0.0308")</f>
        <v>0.0308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HYPERLINK("http://141.218.60.56/~jnz1568/getInfo.php?workbook=10_05.xlsx&amp;sheet=U0&amp;row=8859&amp;col=6&amp;number=4.5&amp;sourceID=14","4.5")</f>
        <v>4.5</v>
      </c>
      <c r="G8859" s="4" t="str">
        <f>HYPERLINK("http://141.218.60.56/~jnz1568/getInfo.php?workbook=10_05.xlsx&amp;sheet=U0&amp;row=8859&amp;col=7&amp;number=0.0293&amp;sourceID=14","0.0293")</f>
        <v>0.0293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HYPERLINK("http://141.218.60.56/~jnz1568/getInfo.php?workbook=10_05.xlsx&amp;sheet=U0&amp;row=8860&amp;col=6&amp;number=4.6&amp;sourceID=14","4.6")</f>
        <v>4.6</v>
      </c>
      <c r="G8860" s="4" t="str">
        <f>HYPERLINK("http://141.218.60.56/~jnz1568/getInfo.php?workbook=10_05.xlsx&amp;sheet=U0&amp;row=8860&amp;col=7&amp;number=0.0276&amp;sourceID=14","0.0276")</f>
        <v>0.0276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HYPERLINK("http://141.218.60.56/~jnz1568/getInfo.php?workbook=10_05.xlsx&amp;sheet=U0&amp;row=8861&amp;col=6&amp;number=4.7&amp;sourceID=14","4.7")</f>
        <v>4.7</v>
      </c>
      <c r="G8861" s="4" t="str">
        <f>HYPERLINK("http://141.218.60.56/~jnz1568/getInfo.php?workbook=10_05.xlsx&amp;sheet=U0&amp;row=8861&amp;col=7&amp;number=0.0257&amp;sourceID=14","0.0257")</f>
        <v>0.0257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HYPERLINK("http://141.218.60.56/~jnz1568/getInfo.php?workbook=10_05.xlsx&amp;sheet=U0&amp;row=8862&amp;col=6&amp;number=4.8&amp;sourceID=14","4.8")</f>
        <v>4.8</v>
      </c>
      <c r="G8862" s="4" t="str">
        <f>HYPERLINK("http://141.218.60.56/~jnz1568/getInfo.php?workbook=10_05.xlsx&amp;sheet=U0&amp;row=8862&amp;col=7&amp;number=0.0237&amp;sourceID=14","0.0237")</f>
        <v>0.0237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HYPERLINK("http://141.218.60.56/~jnz1568/getInfo.php?workbook=10_05.xlsx&amp;sheet=U0&amp;row=8863&amp;col=6&amp;number=4.9&amp;sourceID=14","4.9")</f>
        <v>4.9</v>
      </c>
      <c r="G8863" s="4" t="str">
        <f>HYPERLINK("http://141.218.60.56/~jnz1568/getInfo.php?workbook=10_05.xlsx&amp;sheet=U0&amp;row=8863&amp;col=7&amp;number=0.0216&amp;sourceID=14","0.0216")</f>
        <v>0.0216</v>
      </c>
    </row>
    <row r="8864" spans="1:7">
      <c r="A8864" s="3">
        <v>10</v>
      </c>
      <c r="B8864" s="3">
        <v>5</v>
      </c>
      <c r="C8864" s="3">
        <v>3</v>
      </c>
      <c r="D8864" s="3">
        <v>90</v>
      </c>
      <c r="E8864" s="3">
        <v>1</v>
      </c>
      <c r="F8864" s="4" t="str">
        <f>HYPERLINK("http://141.218.60.56/~jnz1568/getInfo.php?workbook=10_05.xlsx&amp;sheet=U0&amp;row=8864&amp;col=6&amp;number=3&amp;sourceID=14","3")</f>
        <v>3</v>
      </c>
      <c r="G8864" s="4" t="str">
        <f>HYPERLINK("http://141.218.60.56/~jnz1568/getInfo.php?workbook=10_05.xlsx&amp;sheet=U0&amp;row=8864&amp;col=7&amp;number=0.0204&amp;sourceID=14","0.0204")</f>
        <v>0.0204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HYPERLINK("http://141.218.60.56/~jnz1568/getInfo.php?workbook=10_05.xlsx&amp;sheet=U0&amp;row=8865&amp;col=6&amp;number=3.1&amp;sourceID=14","3.1")</f>
        <v>3.1</v>
      </c>
      <c r="G8865" s="4" t="str">
        <f>HYPERLINK("http://141.218.60.56/~jnz1568/getInfo.php?workbook=10_05.xlsx&amp;sheet=U0&amp;row=8865&amp;col=7&amp;number=0.0204&amp;sourceID=14","0.0204")</f>
        <v>0.0204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HYPERLINK("http://141.218.60.56/~jnz1568/getInfo.php?workbook=10_05.xlsx&amp;sheet=U0&amp;row=8866&amp;col=6&amp;number=3.2&amp;sourceID=14","3.2")</f>
        <v>3.2</v>
      </c>
      <c r="G8866" s="4" t="str">
        <f>HYPERLINK("http://141.218.60.56/~jnz1568/getInfo.php?workbook=10_05.xlsx&amp;sheet=U0&amp;row=8866&amp;col=7&amp;number=0.0203&amp;sourceID=14","0.0203")</f>
        <v>0.0203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HYPERLINK("http://141.218.60.56/~jnz1568/getInfo.php?workbook=10_05.xlsx&amp;sheet=U0&amp;row=8867&amp;col=6&amp;number=3.3&amp;sourceID=14","3.3")</f>
        <v>3.3</v>
      </c>
      <c r="G8867" s="4" t="str">
        <f>HYPERLINK("http://141.218.60.56/~jnz1568/getInfo.php?workbook=10_05.xlsx&amp;sheet=U0&amp;row=8867&amp;col=7&amp;number=0.0203&amp;sourceID=14","0.0203")</f>
        <v>0.0203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HYPERLINK("http://141.218.60.56/~jnz1568/getInfo.php?workbook=10_05.xlsx&amp;sheet=U0&amp;row=8868&amp;col=6&amp;number=3.4&amp;sourceID=14","3.4")</f>
        <v>3.4</v>
      </c>
      <c r="G8868" s="4" t="str">
        <f>HYPERLINK("http://141.218.60.56/~jnz1568/getInfo.php?workbook=10_05.xlsx&amp;sheet=U0&amp;row=8868&amp;col=7&amp;number=0.0202&amp;sourceID=14","0.0202")</f>
        <v>0.0202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HYPERLINK("http://141.218.60.56/~jnz1568/getInfo.php?workbook=10_05.xlsx&amp;sheet=U0&amp;row=8869&amp;col=6&amp;number=3.5&amp;sourceID=14","3.5")</f>
        <v>3.5</v>
      </c>
      <c r="G8869" s="4" t="str">
        <f>HYPERLINK("http://141.218.60.56/~jnz1568/getInfo.php?workbook=10_05.xlsx&amp;sheet=U0&amp;row=8869&amp;col=7&amp;number=0.0201&amp;sourceID=14","0.0201")</f>
        <v>0.0201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HYPERLINK("http://141.218.60.56/~jnz1568/getInfo.php?workbook=10_05.xlsx&amp;sheet=U0&amp;row=8870&amp;col=6&amp;number=3.6&amp;sourceID=14","3.6")</f>
        <v>3.6</v>
      </c>
      <c r="G8870" s="4" t="str">
        <f>HYPERLINK("http://141.218.60.56/~jnz1568/getInfo.php?workbook=10_05.xlsx&amp;sheet=U0&amp;row=8870&amp;col=7&amp;number=0.02&amp;sourceID=14","0.02")</f>
        <v>0.02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HYPERLINK("http://141.218.60.56/~jnz1568/getInfo.php?workbook=10_05.xlsx&amp;sheet=U0&amp;row=8871&amp;col=6&amp;number=3.7&amp;sourceID=14","3.7")</f>
        <v>3.7</v>
      </c>
      <c r="G8871" s="4" t="str">
        <f>HYPERLINK("http://141.218.60.56/~jnz1568/getInfo.php?workbook=10_05.xlsx&amp;sheet=U0&amp;row=8871&amp;col=7&amp;number=0.0198&amp;sourceID=14","0.0198")</f>
        <v>0.0198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HYPERLINK("http://141.218.60.56/~jnz1568/getInfo.php?workbook=10_05.xlsx&amp;sheet=U0&amp;row=8872&amp;col=6&amp;number=3.8&amp;sourceID=14","3.8")</f>
        <v>3.8</v>
      </c>
      <c r="G8872" s="4" t="str">
        <f>HYPERLINK("http://141.218.60.56/~jnz1568/getInfo.php?workbook=10_05.xlsx&amp;sheet=U0&amp;row=8872&amp;col=7&amp;number=0.0196&amp;sourceID=14","0.0196")</f>
        <v>0.0196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HYPERLINK("http://141.218.60.56/~jnz1568/getInfo.php?workbook=10_05.xlsx&amp;sheet=U0&amp;row=8873&amp;col=6&amp;number=3.9&amp;sourceID=14","3.9")</f>
        <v>3.9</v>
      </c>
      <c r="G8873" s="4" t="str">
        <f>HYPERLINK("http://141.218.60.56/~jnz1568/getInfo.php?workbook=10_05.xlsx&amp;sheet=U0&amp;row=8873&amp;col=7&amp;number=0.0193&amp;sourceID=14","0.0193")</f>
        <v>0.0193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HYPERLINK("http://141.218.60.56/~jnz1568/getInfo.php?workbook=10_05.xlsx&amp;sheet=U0&amp;row=8874&amp;col=6&amp;number=4&amp;sourceID=14","4")</f>
        <v>4</v>
      </c>
      <c r="G8874" s="4" t="str">
        <f>HYPERLINK("http://141.218.60.56/~jnz1568/getInfo.php?workbook=10_05.xlsx&amp;sheet=U0&amp;row=8874&amp;col=7&amp;number=0.019&amp;sourceID=14","0.019")</f>
        <v>0.019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HYPERLINK("http://141.218.60.56/~jnz1568/getInfo.php?workbook=10_05.xlsx&amp;sheet=U0&amp;row=8875&amp;col=6&amp;number=4.1&amp;sourceID=14","4.1")</f>
        <v>4.1</v>
      </c>
      <c r="G8875" s="4" t="str">
        <f>HYPERLINK("http://141.218.60.56/~jnz1568/getInfo.php?workbook=10_05.xlsx&amp;sheet=U0&amp;row=8875&amp;col=7&amp;number=0.0186&amp;sourceID=14","0.0186")</f>
        <v>0.0186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HYPERLINK("http://141.218.60.56/~jnz1568/getInfo.php?workbook=10_05.xlsx&amp;sheet=U0&amp;row=8876&amp;col=6&amp;number=4.2&amp;sourceID=14","4.2")</f>
        <v>4.2</v>
      </c>
      <c r="G8876" s="4" t="str">
        <f>HYPERLINK("http://141.218.60.56/~jnz1568/getInfo.php?workbook=10_05.xlsx&amp;sheet=U0&amp;row=8876&amp;col=7&amp;number=0.0181&amp;sourceID=14","0.0181")</f>
        <v>0.0181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HYPERLINK("http://141.218.60.56/~jnz1568/getInfo.php?workbook=10_05.xlsx&amp;sheet=U0&amp;row=8877&amp;col=6&amp;number=4.3&amp;sourceID=14","4.3")</f>
        <v>4.3</v>
      </c>
      <c r="G8877" s="4" t="str">
        <f>HYPERLINK("http://141.218.60.56/~jnz1568/getInfo.php?workbook=10_05.xlsx&amp;sheet=U0&amp;row=8877&amp;col=7&amp;number=0.0173&amp;sourceID=14","0.0173")</f>
        <v>0.0173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HYPERLINK("http://141.218.60.56/~jnz1568/getInfo.php?workbook=10_05.xlsx&amp;sheet=U0&amp;row=8878&amp;col=6&amp;number=4.4&amp;sourceID=14","4.4")</f>
        <v>4.4</v>
      </c>
      <c r="G8878" s="4" t="str">
        <f>HYPERLINK("http://141.218.60.56/~jnz1568/getInfo.php?workbook=10_05.xlsx&amp;sheet=U0&amp;row=8878&amp;col=7&amp;number=0.0164&amp;sourceID=14","0.0164")</f>
        <v>0.0164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HYPERLINK("http://141.218.60.56/~jnz1568/getInfo.php?workbook=10_05.xlsx&amp;sheet=U0&amp;row=8879&amp;col=6&amp;number=4.5&amp;sourceID=14","4.5")</f>
        <v>4.5</v>
      </c>
      <c r="G8879" s="4" t="str">
        <f>HYPERLINK("http://141.218.60.56/~jnz1568/getInfo.php?workbook=10_05.xlsx&amp;sheet=U0&amp;row=8879&amp;col=7&amp;number=0.0152&amp;sourceID=14","0.0152")</f>
        <v>0.0152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HYPERLINK("http://141.218.60.56/~jnz1568/getInfo.php?workbook=10_05.xlsx&amp;sheet=U0&amp;row=8880&amp;col=6&amp;number=4.6&amp;sourceID=14","4.6")</f>
        <v>4.6</v>
      </c>
      <c r="G8880" s="4" t="str">
        <f>HYPERLINK("http://141.218.60.56/~jnz1568/getInfo.php?workbook=10_05.xlsx&amp;sheet=U0&amp;row=8880&amp;col=7&amp;number=0.0138&amp;sourceID=14","0.0138")</f>
        <v>0.0138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HYPERLINK("http://141.218.60.56/~jnz1568/getInfo.php?workbook=10_05.xlsx&amp;sheet=U0&amp;row=8881&amp;col=6&amp;number=4.7&amp;sourceID=14","4.7")</f>
        <v>4.7</v>
      </c>
      <c r="G8881" s="4" t="str">
        <f>HYPERLINK("http://141.218.60.56/~jnz1568/getInfo.php?workbook=10_05.xlsx&amp;sheet=U0&amp;row=8881&amp;col=7&amp;number=0.0124&amp;sourceID=14","0.0124")</f>
        <v>0.0124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HYPERLINK("http://141.218.60.56/~jnz1568/getInfo.php?workbook=10_05.xlsx&amp;sheet=U0&amp;row=8882&amp;col=6&amp;number=4.8&amp;sourceID=14","4.8")</f>
        <v>4.8</v>
      </c>
      <c r="G8882" s="4" t="str">
        <f>HYPERLINK("http://141.218.60.56/~jnz1568/getInfo.php?workbook=10_05.xlsx&amp;sheet=U0&amp;row=8882&amp;col=7&amp;number=0.0109&amp;sourceID=14","0.0109")</f>
        <v>0.0109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HYPERLINK("http://141.218.60.56/~jnz1568/getInfo.php?workbook=10_05.xlsx&amp;sheet=U0&amp;row=8883&amp;col=6&amp;number=4.9&amp;sourceID=14","4.9")</f>
        <v>4.9</v>
      </c>
      <c r="G8883" s="4" t="str">
        <f>HYPERLINK("http://141.218.60.56/~jnz1568/getInfo.php?workbook=10_05.xlsx&amp;sheet=U0&amp;row=8883&amp;col=7&amp;number=0.00962&amp;sourceID=14","0.00962")</f>
        <v>0.00962</v>
      </c>
    </row>
    <row r="8884" spans="1:7">
      <c r="A8884" s="3">
        <v>10</v>
      </c>
      <c r="B8884" s="3">
        <v>5</v>
      </c>
      <c r="C8884" s="3">
        <v>3</v>
      </c>
      <c r="D8884" s="3">
        <v>91</v>
      </c>
      <c r="E8884" s="3">
        <v>1</v>
      </c>
      <c r="F8884" s="4" t="str">
        <f>HYPERLINK("http://141.218.60.56/~jnz1568/getInfo.php?workbook=10_05.xlsx&amp;sheet=U0&amp;row=8884&amp;col=6&amp;number=3&amp;sourceID=14","3")</f>
        <v>3</v>
      </c>
      <c r="G8884" s="4" t="str">
        <f>HYPERLINK("http://141.218.60.56/~jnz1568/getInfo.php?workbook=10_05.xlsx&amp;sheet=U0&amp;row=8884&amp;col=7&amp;number=0.0124&amp;sourceID=14","0.0124")</f>
        <v>0.0124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HYPERLINK("http://141.218.60.56/~jnz1568/getInfo.php?workbook=10_05.xlsx&amp;sheet=U0&amp;row=8885&amp;col=6&amp;number=3.1&amp;sourceID=14","3.1")</f>
        <v>3.1</v>
      </c>
      <c r="G8885" s="4" t="str">
        <f>HYPERLINK("http://141.218.60.56/~jnz1568/getInfo.php?workbook=10_05.xlsx&amp;sheet=U0&amp;row=8885&amp;col=7&amp;number=0.0123&amp;sourceID=14","0.0123")</f>
        <v>0.0123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HYPERLINK("http://141.218.60.56/~jnz1568/getInfo.php?workbook=10_05.xlsx&amp;sheet=U0&amp;row=8886&amp;col=6&amp;number=3.2&amp;sourceID=14","3.2")</f>
        <v>3.2</v>
      </c>
      <c r="G8886" s="4" t="str">
        <f>HYPERLINK("http://141.218.60.56/~jnz1568/getInfo.php?workbook=10_05.xlsx&amp;sheet=U0&amp;row=8886&amp;col=7&amp;number=0.0123&amp;sourceID=14","0.0123")</f>
        <v>0.0123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HYPERLINK("http://141.218.60.56/~jnz1568/getInfo.php?workbook=10_05.xlsx&amp;sheet=U0&amp;row=8887&amp;col=6&amp;number=3.3&amp;sourceID=14","3.3")</f>
        <v>3.3</v>
      </c>
      <c r="G8887" s="4" t="str">
        <f>HYPERLINK("http://141.218.60.56/~jnz1568/getInfo.php?workbook=10_05.xlsx&amp;sheet=U0&amp;row=8887&amp;col=7&amp;number=0.0123&amp;sourceID=14","0.0123")</f>
        <v>0.0123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HYPERLINK("http://141.218.60.56/~jnz1568/getInfo.php?workbook=10_05.xlsx&amp;sheet=U0&amp;row=8888&amp;col=6&amp;number=3.4&amp;sourceID=14","3.4")</f>
        <v>3.4</v>
      </c>
      <c r="G8888" s="4" t="str">
        <f>HYPERLINK("http://141.218.60.56/~jnz1568/getInfo.php?workbook=10_05.xlsx&amp;sheet=U0&amp;row=8888&amp;col=7&amp;number=0.0123&amp;sourceID=14","0.0123")</f>
        <v>0.0123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HYPERLINK("http://141.218.60.56/~jnz1568/getInfo.php?workbook=10_05.xlsx&amp;sheet=U0&amp;row=8889&amp;col=6&amp;number=3.5&amp;sourceID=14","3.5")</f>
        <v>3.5</v>
      </c>
      <c r="G8889" s="4" t="str">
        <f>HYPERLINK("http://141.218.60.56/~jnz1568/getInfo.php?workbook=10_05.xlsx&amp;sheet=U0&amp;row=8889&amp;col=7&amp;number=0.0123&amp;sourceID=14","0.0123")</f>
        <v>0.0123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HYPERLINK("http://141.218.60.56/~jnz1568/getInfo.php?workbook=10_05.xlsx&amp;sheet=U0&amp;row=8890&amp;col=6&amp;number=3.6&amp;sourceID=14","3.6")</f>
        <v>3.6</v>
      </c>
      <c r="G8890" s="4" t="str">
        <f>HYPERLINK("http://141.218.60.56/~jnz1568/getInfo.php?workbook=10_05.xlsx&amp;sheet=U0&amp;row=8890&amp;col=7&amp;number=0.0122&amp;sourceID=14","0.0122")</f>
        <v>0.0122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HYPERLINK("http://141.218.60.56/~jnz1568/getInfo.php?workbook=10_05.xlsx&amp;sheet=U0&amp;row=8891&amp;col=6&amp;number=3.7&amp;sourceID=14","3.7")</f>
        <v>3.7</v>
      </c>
      <c r="G8891" s="4" t="str">
        <f>HYPERLINK("http://141.218.60.56/~jnz1568/getInfo.php?workbook=10_05.xlsx&amp;sheet=U0&amp;row=8891&amp;col=7&amp;number=0.0122&amp;sourceID=14","0.0122")</f>
        <v>0.0122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HYPERLINK("http://141.218.60.56/~jnz1568/getInfo.php?workbook=10_05.xlsx&amp;sheet=U0&amp;row=8892&amp;col=6&amp;number=3.8&amp;sourceID=14","3.8")</f>
        <v>3.8</v>
      </c>
      <c r="G8892" s="4" t="str">
        <f>HYPERLINK("http://141.218.60.56/~jnz1568/getInfo.php?workbook=10_05.xlsx&amp;sheet=U0&amp;row=8892&amp;col=7&amp;number=0.0121&amp;sourceID=14","0.0121")</f>
        <v>0.0121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HYPERLINK("http://141.218.60.56/~jnz1568/getInfo.php?workbook=10_05.xlsx&amp;sheet=U0&amp;row=8893&amp;col=6&amp;number=3.9&amp;sourceID=14","3.9")</f>
        <v>3.9</v>
      </c>
      <c r="G8893" s="4" t="str">
        <f>HYPERLINK("http://141.218.60.56/~jnz1568/getInfo.php?workbook=10_05.xlsx&amp;sheet=U0&amp;row=8893&amp;col=7&amp;number=0.012&amp;sourceID=14","0.012")</f>
        <v>0.012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HYPERLINK("http://141.218.60.56/~jnz1568/getInfo.php?workbook=10_05.xlsx&amp;sheet=U0&amp;row=8894&amp;col=6&amp;number=4&amp;sourceID=14","4")</f>
        <v>4</v>
      </c>
      <c r="G8894" s="4" t="str">
        <f>HYPERLINK("http://141.218.60.56/~jnz1568/getInfo.php?workbook=10_05.xlsx&amp;sheet=U0&amp;row=8894&amp;col=7&amp;number=0.0119&amp;sourceID=14","0.0119")</f>
        <v>0.0119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HYPERLINK("http://141.218.60.56/~jnz1568/getInfo.php?workbook=10_05.xlsx&amp;sheet=U0&amp;row=8895&amp;col=6&amp;number=4.1&amp;sourceID=14","4.1")</f>
        <v>4.1</v>
      </c>
      <c r="G8895" s="4" t="str">
        <f>HYPERLINK("http://141.218.60.56/~jnz1568/getInfo.php?workbook=10_05.xlsx&amp;sheet=U0&amp;row=8895&amp;col=7&amp;number=0.0118&amp;sourceID=14","0.0118")</f>
        <v>0.0118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HYPERLINK("http://141.218.60.56/~jnz1568/getInfo.php?workbook=10_05.xlsx&amp;sheet=U0&amp;row=8896&amp;col=6&amp;number=4.2&amp;sourceID=14","4.2")</f>
        <v>4.2</v>
      </c>
      <c r="G8896" s="4" t="str">
        <f>HYPERLINK("http://141.218.60.56/~jnz1568/getInfo.php?workbook=10_05.xlsx&amp;sheet=U0&amp;row=8896&amp;col=7&amp;number=0.0116&amp;sourceID=14","0.0116")</f>
        <v>0.0116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HYPERLINK("http://141.218.60.56/~jnz1568/getInfo.php?workbook=10_05.xlsx&amp;sheet=U0&amp;row=8897&amp;col=6&amp;number=4.3&amp;sourceID=14","4.3")</f>
        <v>4.3</v>
      </c>
      <c r="G8897" s="4" t="str">
        <f>HYPERLINK("http://141.218.60.56/~jnz1568/getInfo.php?workbook=10_05.xlsx&amp;sheet=U0&amp;row=8897&amp;col=7&amp;number=0.0114&amp;sourceID=14","0.0114")</f>
        <v>0.0114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HYPERLINK("http://141.218.60.56/~jnz1568/getInfo.php?workbook=10_05.xlsx&amp;sheet=U0&amp;row=8898&amp;col=6&amp;number=4.4&amp;sourceID=14","4.4")</f>
        <v>4.4</v>
      </c>
      <c r="G8898" s="4" t="str">
        <f>HYPERLINK("http://141.218.60.56/~jnz1568/getInfo.php?workbook=10_05.xlsx&amp;sheet=U0&amp;row=8898&amp;col=7&amp;number=0.011&amp;sourceID=14","0.011")</f>
        <v>0.011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HYPERLINK("http://141.218.60.56/~jnz1568/getInfo.php?workbook=10_05.xlsx&amp;sheet=U0&amp;row=8899&amp;col=6&amp;number=4.5&amp;sourceID=14","4.5")</f>
        <v>4.5</v>
      </c>
      <c r="G8899" s="4" t="str">
        <f>HYPERLINK("http://141.218.60.56/~jnz1568/getInfo.php?workbook=10_05.xlsx&amp;sheet=U0&amp;row=8899&amp;col=7&amp;number=0.0105&amp;sourceID=14","0.0105")</f>
        <v>0.0105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HYPERLINK("http://141.218.60.56/~jnz1568/getInfo.php?workbook=10_05.xlsx&amp;sheet=U0&amp;row=8900&amp;col=6&amp;number=4.6&amp;sourceID=14","4.6")</f>
        <v>4.6</v>
      </c>
      <c r="G8900" s="4" t="str">
        <f>HYPERLINK("http://141.218.60.56/~jnz1568/getInfo.php?workbook=10_05.xlsx&amp;sheet=U0&amp;row=8900&amp;col=7&amp;number=0.00996&amp;sourceID=14","0.00996")</f>
        <v>0.00996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HYPERLINK("http://141.218.60.56/~jnz1568/getInfo.php?workbook=10_05.xlsx&amp;sheet=U0&amp;row=8901&amp;col=6&amp;number=4.7&amp;sourceID=14","4.7")</f>
        <v>4.7</v>
      </c>
      <c r="G8901" s="4" t="str">
        <f>HYPERLINK("http://141.218.60.56/~jnz1568/getInfo.php?workbook=10_05.xlsx&amp;sheet=U0&amp;row=8901&amp;col=7&amp;number=0.00934&amp;sourceID=14","0.00934")</f>
        <v>0.00934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HYPERLINK("http://141.218.60.56/~jnz1568/getInfo.php?workbook=10_05.xlsx&amp;sheet=U0&amp;row=8902&amp;col=6&amp;number=4.8&amp;sourceID=14","4.8")</f>
        <v>4.8</v>
      </c>
      <c r="G8902" s="4" t="str">
        <f>HYPERLINK("http://141.218.60.56/~jnz1568/getInfo.php?workbook=10_05.xlsx&amp;sheet=U0&amp;row=8902&amp;col=7&amp;number=0.00874&amp;sourceID=14","0.00874")</f>
        <v>0.00874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HYPERLINK("http://141.218.60.56/~jnz1568/getInfo.php?workbook=10_05.xlsx&amp;sheet=U0&amp;row=8903&amp;col=6&amp;number=4.9&amp;sourceID=14","4.9")</f>
        <v>4.9</v>
      </c>
      <c r="G8903" s="4" t="str">
        <f>HYPERLINK("http://141.218.60.56/~jnz1568/getInfo.php?workbook=10_05.xlsx&amp;sheet=U0&amp;row=8903&amp;col=7&amp;number=0.00817&amp;sourceID=14","0.00817")</f>
        <v>0.00817</v>
      </c>
    </row>
    <row r="8904" spans="1:7">
      <c r="A8904" s="3">
        <v>10</v>
      </c>
      <c r="B8904" s="3">
        <v>5</v>
      </c>
      <c r="C8904" s="3">
        <v>3</v>
      </c>
      <c r="D8904" s="3">
        <v>92</v>
      </c>
      <c r="E8904" s="3">
        <v>1</v>
      </c>
      <c r="F8904" s="4" t="str">
        <f>HYPERLINK("http://141.218.60.56/~jnz1568/getInfo.php?workbook=10_05.xlsx&amp;sheet=U0&amp;row=8904&amp;col=6&amp;number=3&amp;sourceID=14","3")</f>
        <v>3</v>
      </c>
      <c r="G8904" s="4" t="str">
        <f>HYPERLINK("http://141.218.60.56/~jnz1568/getInfo.php?workbook=10_05.xlsx&amp;sheet=U0&amp;row=8904&amp;col=7&amp;number=0.00707&amp;sourceID=14","0.00707")</f>
        <v>0.00707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HYPERLINK("http://141.218.60.56/~jnz1568/getInfo.php?workbook=10_05.xlsx&amp;sheet=U0&amp;row=8905&amp;col=6&amp;number=3.1&amp;sourceID=14","3.1")</f>
        <v>3.1</v>
      </c>
      <c r="G8905" s="4" t="str">
        <f>HYPERLINK("http://141.218.60.56/~jnz1568/getInfo.php?workbook=10_05.xlsx&amp;sheet=U0&amp;row=8905&amp;col=7&amp;number=0.00707&amp;sourceID=14","0.00707")</f>
        <v>0.00707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HYPERLINK("http://141.218.60.56/~jnz1568/getInfo.php?workbook=10_05.xlsx&amp;sheet=U0&amp;row=8906&amp;col=6&amp;number=3.2&amp;sourceID=14","3.2")</f>
        <v>3.2</v>
      </c>
      <c r="G8906" s="4" t="str">
        <f>HYPERLINK("http://141.218.60.56/~jnz1568/getInfo.php?workbook=10_05.xlsx&amp;sheet=U0&amp;row=8906&amp;col=7&amp;number=0.00707&amp;sourceID=14","0.00707")</f>
        <v>0.00707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HYPERLINK("http://141.218.60.56/~jnz1568/getInfo.php?workbook=10_05.xlsx&amp;sheet=U0&amp;row=8907&amp;col=6&amp;number=3.3&amp;sourceID=14","3.3")</f>
        <v>3.3</v>
      </c>
      <c r="G8907" s="4" t="str">
        <f>HYPERLINK("http://141.218.60.56/~jnz1568/getInfo.php?workbook=10_05.xlsx&amp;sheet=U0&amp;row=8907&amp;col=7&amp;number=0.00707&amp;sourceID=14","0.00707")</f>
        <v>0.00707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HYPERLINK("http://141.218.60.56/~jnz1568/getInfo.php?workbook=10_05.xlsx&amp;sheet=U0&amp;row=8908&amp;col=6&amp;number=3.4&amp;sourceID=14","3.4")</f>
        <v>3.4</v>
      </c>
      <c r="G8908" s="4" t="str">
        <f>HYPERLINK("http://141.218.60.56/~jnz1568/getInfo.php?workbook=10_05.xlsx&amp;sheet=U0&amp;row=8908&amp;col=7&amp;number=0.00707&amp;sourceID=14","0.00707")</f>
        <v>0.00707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HYPERLINK("http://141.218.60.56/~jnz1568/getInfo.php?workbook=10_05.xlsx&amp;sheet=U0&amp;row=8909&amp;col=6&amp;number=3.5&amp;sourceID=14","3.5")</f>
        <v>3.5</v>
      </c>
      <c r="G8909" s="4" t="str">
        <f>HYPERLINK("http://141.218.60.56/~jnz1568/getInfo.php?workbook=10_05.xlsx&amp;sheet=U0&amp;row=8909&amp;col=7&amp;number=0.00707&amp;sourceID=14","0.00707")</f>
        <v>0.00707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HYPERLINK("http://141.218.60.56/~jnz1568/getInfo.php?workbook=10_05.xlsx&amp;sheet=U0&amp;row=8910&amp;col=6&amp;number=3.6&amp;sourceID=14","3.6")</f>
        <v>3.6</v>
      </c>
      <c r="G8910" s="4" t="str">
        <f>HYPERLINK("http://141.218.60.56/~jnz1568/getInfo.php?workbook=10_05.xlsx&amp;sheet=U0&amp;row=8910&amp;col=7&amp;number=0.00707&amp;sourceID=14","0.00707")</f>
        <v>0.00707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HYPERLINK("http://141.218.60.56/~jnz1568/getInfo.php?workbook=10_05.xlsx&amp;sheet=U0&amp;row=8911&amp;col=6&amp;number=3.7&amp;sourceID=14","3.7")</f>
        <v>3.7</v>
      </c>
      <c r="G8911" s="4" t="str">
        <f>HYPERLINK("http://141.218.60.56/~jnz1568/getInfo.php?workbook=10_05.xlsx&amp;sheet=U0&amp;row=8911&amp;col=7&amp;number=0.00707&amp;sourceID=14","0.00707")</f>
        <v>0.00707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HYPERLINK("http://141.218.60.56/~jnz1568/getInfo.php?workbook=10_05.xlsx&amp;sheet=U0&amp;row=8912&amp;col=6&amp;number=3.8&amp;sourceID=14","3.8")</f>
        <v>3.8</v>
      </c>
      <c r="G8912" s="4" t="str">
        <f>HYPERLINK("http://141.218.60.56/~jnz1568/getInfo.php?workbook=10_05.xlsx&amp;sheet=U0&amp;row=8912&amp;col=7&amp;number=0.00706&amp;sourceID=14","0.00706")</f>
        <v>0.00706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HYPERLINK("http://141.218.60.56/~jnz1568/getInfo.php?workbook=10_05.xlsx&amp;sheet=U0&amp;row=8913&amp;col=6&amp;number=3.9&amp;sourceID=14","3.9")</f>
        <v>3.9</v>
      </c>
      <c r="G8913" s="4" t="str">
        <f>HYPERLINK("http://141.218.60.56/~jnz1568/getInfo.php?workbook=10_05.xlsx&amp;sheet=U0&amp;row=8913&amp;col=7&amp;number=0.00703&amp;sourceID=14","0.00703")</f>
        <v>0.00703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HYPERLINK("http://141.218.60.56/~jnz1568/getInfo.php?workbook=10_05.xlsx&amp;sheet=U0&amp;row=8914&amp;col=6&amp;number=4&amp;sourceID=14","4")</f>
        <v>4</v>
      </c>
      <c r="G8914" s="4" t="str">
        <f>HYPERLINK("http://141.218.60.56/~jnz1568/getInfo.php?workbook=10_05.xlsx&amp;sheet=U0&amp;row=8914&amp;col=7&amp;number=0.00699&amp;sourceID=14","0.00699")</f>
        <v>0.00699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HYPERLINK("http://141.218.60.56/~jnz1568/getInfo.php?workbook=10_05.xlsx&amp;sheet=U0&amp;row=8915&amp;col=6&amp;number=4.1&amp;sourceID=14","4.1")</f>
        <v>4.1</v>
      </c>
      <c r="G8915" s="4" t="str">
        <f>HYPERLINK("http://141.218.60.56/~jnz1568/getInfo.php?workbook=10_05.xlsx&amp;sheet=U0&amp;row=8915&amp;col=7&amp;number=0.0069&amp;sourceID=14","0.0069")</f>
        <v>0.0069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HYPERLINK("http://141.218.60.56/~jnz1568/getInfo.php?workbook=10_05.xlsx&amp;sheet=U0&amp;row=8916&amp;col=6&amp;number=4.2&amp;sourceID=14","4.2")</f>
        <v>4.2</v>
      </c>
      <c r="G8916" s="4" t="str">
        <f>HYPERLINK("http://141.218.60.56/~jnz1568/getInfo.php?workbook=10_05.xlsx&amp;sheet=U0&amp;row=8916&amp;col=7&amp;number=0.00675&amp;sourceID=14","0.00675")</f>
        <v>0.00675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HYPERLINK("http://141.218.60.56/~jnz1568/getInfo.php?workbook=10_05.xlsx&amp;sheet=U0&amp;row=8917&amp;col=6&amp;number=4.3&amp;sourceID=14","4.3")</f>
        <v>4.3</v>
      </c>
      <c r="G8917" s="4" t="str">
        <f>HYPERLINK("http://141.218.60.56/~jnz1568/getInfo.php?workbook=10_05.xlsx&amp;sheet=U0&amp;row=8917&amp;col=7&amp;number=0.0065&amp;sourceID=14","0.0065")</f>
        <v>0.0065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HYPERLINK("http://141.218.60.56/~jnz1568/getInfo.php?workbook=10_05.xlsx&amp;sheet=U0&amp;row=8918&amp;col=6&amp;number=4.4&amp;sourceID=14","4.4")</f>
        <v>4.4</v>
      </c>
      <c r="G8918" s="4" t="str">
        <f>HYPERLINK("http://141.218.60.56/~jnz1568/getInfo.php?workbook=10_05.xlsx&amp;sheet=U0&amp;row=8918&amp;col=7&amp;number=0.00614&amp;sourceID=14","0.00614")</f>
        <v>0.00614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HYPERLINK("http://141.218.60.56/~jnz1568/getInfo.php?workbook=10_05.xlsx&amp;sheet=U0&amp;row=8919&amp;col=6&amp;number=4.5&amp;sourceID=14","4.5")</f>
        <v>4.5</v>
      </c>
      <c r="G8919" s="4" t="str">
        <f>HYPERLINK("http://141.218.60.56/~jnz1568/getInfo.php?workbook=10_05.xlsx&amp;sheet=U0&amp;row=8919&amp;col=7&amp;number=0.00568&amp;sourceID=14","0.00568")</f>
        <v>0.00568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HYPERLINK("http://141.218.60.56/~jnz1568/getInfo.php?workbook=10_05.xlsx&amp;sheet=U0&amp;row=8920&amp;col=6&amp;number=4.6&amp;sourceID=14","4.6")</f>
        <v>4.6</v>
      </c>
      <c r="G8920" s="4" t="str">
        <f>HYPERLINK("http://141.218.60.56/~jnz1568/getInfo.php?workbook=10_05.xlsx&amp;sheet=U0&amp;row=8920&amp;col=7&amp;number=0.00518&amp;sourceID=14","0.00518")</f>
        <v>0.00518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HYPERLINK("http://141.218.60.56/~jnz1568/getInfo.php?workbook=10_05.xlsx&amp;sheet=U0&amp;row=8921&amp;col=6&amp;number=4.7&amp;sourceID=14","4.7")</f>
        <v>4.7</v>
      </c>
      <c r="G8921" s="4" t="str">
        <f>HYPERLINK("http://141.218.60.56/~jnz1568/getInfo.php?workbook=10_05.xlsx&amp;sheet=U0&amp;row=8921&amp;col=7&amp;number=0.00467&amp;sourceID=14","0.00467")</f>
        <v>0.00467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HYPERLINK("http://141.218.60.56/~jnz1568/getInfo.php?workbook=10_05.xlsx&amp;sheet=U0&amp;row=8922&amp;col=6&amp;number=4.8&amp;sourceID=14","4.8")</f>
        <v>4.8</v>
      </c>
      <c r="G8922" s="4" t="str">
        <f>HYPERLINK("http://141.218.60.56/~jnz1568/getInfo.php?workbook=10_05.xlsx&amp;sheet=U0&amp;row=8922&amp;col=7&amp;number=0.00415&amp;sourceID=14","0.00415")</f>
        <v>0.00415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HYPERLINK("http://141.218.60.56/~jnz1568/getInfo.php?workbook=10_05.xlsx&amp;sheet=U0&amp;row=8923&amp;col=6&amp;number=4.9&amp;sourceID=14","4.9")</f>
        <v>4.9</v>
      </c>
      <c r="G8923" s="4" t="str">
        <f>HYPERLINK("http://141.218.60.56/~jnz1568/getInfo.php?workbook=10_05.xlsx&amp;sheet=U0&amp;row=8923&amp;col=7&amp;number=0.00364&amp;sourceID=14","0.00364")</f>
        <v>0.00364</v>
      </c>
    </row>
    <row r="8924" spans="1:7">
      <c r="A8924" s="3">
        <v>10</v>
      </c>
      <c r="B8924" s="3">
        <v>5</v>
      </c>
      <c r="C8924" s="3">
        <v>3</v>
      </c>
      <c r="D8924" s="3">
        <v>93</v>
      </c>
      <c r="E8924" s="3">
        <v>1</v>
      </c>
      <c r="F8924" s="4" t="str">
        <f>HYPERLINK("http://141.218.60.56/~jnz1568/getInfo.php?workbook=10_05.xlsx&amp;sheet=U0&amp;row=8924&amp;col=6&amp;number=3&amp;sourceID=14","3")</f>
        <v>3</v>
      </c>
      <c r="G8924" s="4" t="str">
        <f>HYPERLINK("http://141.218.60.56/~jnz1568/getInfo.php?workbook=10_05.xlsx&amp;sheet=U0&amp;row=8924&amp;col=7&amp;number=0.0109&amp;sourceID=14","0.0109")</f>
        <v>0.0109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HYPERLINK("http://141.218.60.56/~jnz1568/getInfo.php?workbook=10_05.xlsx&amp;sheet=U0&amp;row=8925&amp;col=6&amp;number=3.1&amp;sourceID=14","3.1")</f>
        <v>3.1</v>
      </c>
      <c r="G8925" s="4" t="str">
        <f>HYPERLINK("http://141.218.60.56/~jnz1568/getInfo.php?workbook=10_05.xlsx&amp;sheet=U0&amp;row=8925&amp;col=7&amp;number=0.0109&amp;sourceID=14","0.0109")</f>
        <v>0.0109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HYPERLINK("http://141.218.60.56/~jnz1568/getInfo.php?workbook=10_05.xlsx&amp;sheet=U0&amp;row=8926&amp;col=6&amp;number=3.2&amp;sourceID=14","3.2")</f>
        <v>3.2</v>
      </c>
      <c r="G8926" s="4" t="str">
        <f>HYPERLINK("http://141.218.60.56/~jnz1568/getInfo.php?workbook=10_05.xlsx&amp;sheet=U0&amp;row=8926&amp;col=7&amp;number=0.0108&amp;sourceID=14","0.0108")</f>
        <v>0.0108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HYPERLINK("http://141.218.60.56/~jnz1568/getInfo.php?workbook=10_05.xlsx&amp;sheet=U0&amp;row=8927&amp;col=6&amp;number=3.3&amp;sourceID=14","3.3")</f>
        <v>3.3</v>
      </c>
      <c r="G8927" s="4" t="str">
        <f>HYPERLINK("http://141.218.60.56/~jnz1568/getInfo.php?workbook=10_05.xlsx&amp;sheet=U0&amp;row=8927&amp;col=7&amp;number=0.0108&amp;sourceID=14","0.0108")</f>
        <v>0.0108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HYPERLINK("http://141.218.60.56/~jnz1568/getInfo.php?workbook=10_05.xlsx&amp;sheet=U0&amp;row=8928&amp;col=6&amp;number=3.4&amp;sourceID=14","3.4")</f>
        <v>3.4</v>
      </c>
      <c r="G8928" s="4" t="str">
        <f>HYPERLINK("http://141.218.60.56/~jnz1568/getInfo.php?workbook=10_05.xlsx&amp;sheet=U0&amp;row=8928&amp;col=7&amp;number=0.0108&amp;sourceID=14","0.0108")</f>
        <v>0.0108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HYPERLINK("http://141.218.60.56/~jnz1568/getInfo.php?workbook=10_05.xlsx&amp;sheet=U0&amp;row=8929&amp;col=6&amp;number=3.5&amp;sourceID=14","3.5")</f>
        <v>3.5</v>
      </c>
      <c r="G8929" s="4" t="str">
        <f>HYPERLINK("http://141.218.60.56/~jnz1568/getInfo.php?workbook=10_05.xlsx&amp;sheet=U0&amp;row=8929&amp;col=7&amp;number=0.0107&amp;sourceID=14","0.0107")</f>
        <v>0.0107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HYPERLINK("http://141.218.60.56/~jnz1568/getInfo.php?workbook=10_05.xlsx&amp;sheet=U0&amp;row=8930&amp;col=6&amp;number=3.6&amp;sourceID=14","3.6")</f>
        <v>3.6</v>
      </c>
      <c r="G8930" s="4" t="str">
        <f>HYPERLINK("http://141.218.60.56/~jnz1568/getInfo.php?workbook=10_05.xlsx&amp;sheet=U0&amp;row=8930&amp;col=7&amp;number=0.0106&amp;sourceID=14","0.0106")</f>
        <v>0.0106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HYPERLINK("http://141.218.60.56/~jnz1568/getInfo.php?workbook=10_05.xlsx&amp;sheet=U0&amp;row=8931&amp;col=6&amp;number=3.7&amp;sourceID=14","3.7")</f>
        <v>3.7</v>
      </c>
      <c r="G8931" s="4" t="str">
        <f>HYPERLINK("http://141.218.60.56/~jnz1568/getInfo.php?workbook=10_05.xlsx&amp;sheet=U0&amp;row=8931&amp;col=7&amp;number=0.0105&amp;sourceID=14","0.0105")</f>
        <v>0.0105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HYPERLINK("http://141.218.60.56/~jnz1568/getInfo.php?workbook=10_05.xlsx&amp;sheet=U0&amp;row=8932&amp;col=6&amp;number=3.8&amp;sourceID=14","3.8")</f>
        <v>3.8</v>
      </c>
      <c r="G8932" s="4" t="str">
        <f>HYPERLINK("http://141.218.60.56/~jnz1568/getInfo.php?workbook=10_05.xlsx&amp;sheet=U0&amp;row=8932&amp;col=7&amp;number=0.0104&amp;sourceID=14","0.0104")</f>
        <v>0.0104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HYPERLINK("http://141.218.60.56/~jnz1568/getInfo.php?workbook=10_05.xlsx&amp;sheet=U0&amp;row=8933&amp;col=6&amp;number=3.9&amp;sourceID=14","3.9")</f>
        <v>3.9</v>
      </c>
      <c r="G8933" s="4" t="str">
        <f>HYPERLINK("http://141.218.60.56/~jnz1568/getInfo.php?workbook=10_05.xlsx&amp;sheet=U0&amp;row=8933&amp;col=7&amp;number=0.0102&amp;sourceID=14","0.0102")</f>
        <v>0.0102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HYPERLINK("http://141.218.60.56/~jnz1568/getInfo.php?workbook=10_05.xlsx&amp;sheet=U0&amp;row=8934&amp;col=6&amp;number=4&amp;sourceID=14","4")</f>
        <v>4</v>
      </c>
      <c r="G8934" s="4" t="str">
        <f>HYPERLINK("http://141.218.60.56/~jnz1568/getInfo.php?workbook=10_05.xlsx&amp;sheet=U0&amp;row=8934&amp;col=7&amp;number=0.01&amp;sourceID=14","0.01")</f>
        <v>0.01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HYPERLINK("http://141.218.60.56/~jnz1568/getInfo.php?workbook=10_05.xlsx&amp;sheet=U0&amp;row=8935&amp;col=6&amp;number=4.1&amp;sourceID=14","4.1")</f>
        <v>4.1</v>
      </c>
      <c r="G8935" s="4" t="str">
        <f>HYPERLINK("http://141.218.60.56/~jnz1568/getInfo.php?workbook=10_05.xlsx&amp;sheet=U0&amp;row=8935&amp;col=7&amp;number=0.00979&amp;sourceID=14","0.00979")</f>
        <v>0.00979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HYPERLINK("http://141.218.60.56/~jnz1568/getInfo.php?workbook=10_05.xlsx&amp;sheet=U0&amp;row=8936&amp;col=6&amp;number=4.2&amp;sourceID=14","4.2")</f>
        <v>4.2</v>
      </c>
      <c r="G8936" s="4" t="str">
        <f>HYPERLINK("http://141.218.60.56/~jnz1568/getInfo.php?workbook=10_05.xlsx&amp;sheet=U0&amp;row=8936&amp;col=7&amp;number=0.00949&amp;sourceID=14","0.00949")</f>
        <v>0.00949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HYPERLINK("http://141.218.60.56/~jnz1568/getInfo.php?workbook=10_05.xlsx&amp;sheet=U0&amp;row=8937&amp;col=6&amp;number=4.3&amp;sourceID=14","4.3")</f>
        <v>4.3</v>
      </c>
      <c r="G8937" s="4" t="str">
        <f>HYPERLINK("http://141.218.60.56/~jnz1568/getInfo.php?workbook=10_05.xlsx&amp;sheet=U0&amp;row=8937&amp;col=7&amp;number=0.00913&amp;sourceID=14","0.00913")</f>
        <v>0.00913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HYPERLINK("http://141.218.60.56/~jnz1568/getInfo.php?workbook=10_05.xlsx&amp;sheet=U0&amp;row=8938&amp;col=6&amp;number=4.4&amp;sourceID=14","4.4")</f>
        <v>4.4</v>
      </c>
      <c r="G8938" s="4" t="str">
        <f>HYPERLINK("http://141.218.60.56/~jnz1568/getInfo.php?workbook=10_05.xlsx&amp;sheet=U0&amp;row=8938&amp;col=7&amp;number=0.00868&amp;sourceID=14","0.00868")</f>
        <v>0.00868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HYPERLINK("http://141.218.60.56/~jnz1568/getInfo.php?workbook=10_05.xlsx&amp;sheet=U0&amp;row=8939&amp;col=6&amp;number=4.5&amp;sourceID=14","4.5")</f>
        <v>4.5</v>
      </c>
      <c r="G8939" s="4" t="str">
        <f>HYPERLINK("http://141.218.60.56/~jnz1568/getInfo.php?workbook=10_05.xlsx&amp;sheet=U0&amp;row=8939&amp;col=7&amp;number=0.00814&amp;sourceID=14","0.00814")</f>
        <v>0.00814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HYPERLINK("http://141.218.60.56/~jnz1568/getInfo.php?workbook=10_05.xlsx&amp;sheet=U0&amp;row=8940&amp;col=6&amp;number=4.6&amp;sourceID=14","4.6")</f>
        <v>4.6</v>
      </c>
      <c r="G8940" s="4" t="str">
        <f>HYPERLINK("http://141.218.60.56/~jnz1568/getInfo.php?workbook=10_05.xlsx&amp;sheet=U0&amp;row=8940&amp;col=7&amp;number=0.00755&amp;sourceID=14","0.00755")</f>
        <v>0.00755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HYPERLINK("http://141.218.60.56/~jnz1568/getInfo.php?workbook=10_05.xlsx&amp;sheet=U0&amp;row=8941&amp;col=6&amp;number=4.7&amp;sourceID=14","4.7")</f>
        <v>4.7</v>
      </c>
      <c r="G8941" s="4" t="str">
        <f>HYPERLINK("http://141.218.60.56/~jnz1568/getInfo.php?workbook=10_05.xlsx&amp;sheet=U0&amp;row=8941&amp;col=7&amp;number=0.00694&amp;sourceID=14","0.00694")</f>
        <v>0.00694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HYPERLINK("http://141.218.60.56/~jnz1568/getInfo.php?workbook=10_05.xlsx&amp;sheet=U0&amp;row=8942&amp;col=6&amp;number=4.8&amp;sourceID=14","4.8")</f>
        <v>4.8</v>
      </c>
      <c r="G8942" s="4" t="str">
        <f>HYPERLINK("http://141.218.60.56/~jnz1568/getInfo.php?workbook=10_05.xlsx&amp;sheet=U0&amp;row=8942&amp;col=7&amp;number=0.00637&amp;sourceID=14","0.00637")</f>
        <v>0.00637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HYPERLINK("http://141.218.60.56/~jnz1568/getInfo.php?workbook=10_05.xlsx&amp;sheet=U0&amp;row=8943&amp;col=6&amp;number=4.9&amp;sourceID=14","4.9")</f>
        <v>4.9</v>
      </c>
      <c r="G8943" s="4" t="str">
        <f>HYPERLINK("http://141.218.60.56/~jnz1568/getInfo.php?workbook=10_05.xlsx&amp;sheet=U0&amp;row=8943&amp;col=7&amp;number=0.00585&amp;sourceID=14","0.00585")</f>
        <v>0.00585</v>
      </c>
    </row>
    <row r="8944" spans="1:7">
      <c r="A8944" s="3">
        <v>10</v>
      </c>
      <c r="B8944" s="3">
        <v>5</v>
      </c>
      <c r="C8944" s="3">
        <v>3</v>
      </c>
      <c r="D8944" s="3">
        <v>94</v>
      </c>
      <c r="E8944" s="3">
        <v>1</v>
      </c>
      <c r="F8944" s="4" t="str">
        <f>HYPERLINK("http://141.218.60.56/~jnz1568/getInfo.php?workbook=10_05.xlsx&amp;sheet=U0&amp;row=8944&amp;col=6&amp;number=3&amp;sourceID=14","3")</f>
        <v>3</v>
      </c>
      <c r="G8944" s="4" t="str">
        <f>HYPERLINK("http://141.218.60.56/~jnz1568/getInfo.php?workbook=10_05.xlsx&amp;sheet=U0&amp;row=8944&amp;col=7&amp;number=0.0136&amp;sourceID=14","0.0136")</f>
        <v>0.0136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HYPERLINK("http://141.218.60.56/~jnz1568/getInfo.php?workbook=10_05.xlsx&amp;sheet=U0&amp;row=8945&amp;col=6&amp;number=3.1&amp;sourceID=14","3.1")</f>
        <v>3.1</v>
      </c>
      <c r="G8945" s="4" t="str">
        <f>HYPERLINK("http://141.218.60.56/~jnz1568/getInfo.php?workbook=10_05.xlsx&amp;sheet=U0&amp;row=8945&amp;col=7&amp;number=0.0136&amp;sourceID=14","0.0136")</f>
        <v>0.0136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HYPERLINK("http://141.218.60.56/~jnz1568/getInfo.php?workbook=10_05.xlsx&amp;sheet=U0&amp;row=8946&amp;col=6&amp;number=3.2&amp;sourceID=14","3.2")</f>
        <v>3.2</v>
      </c>
      <c r="G8946" s="4" t="str">
        <f>HYPERLINK("http://141.218.60.56/~jnz1568/getInfo.php?workbook=10_05.xlsx&amp;sheet=U0&amp;row=8946&amp;col=7&amp;number=0.0136&amp;sourceID=14","0.0136")</f>
        <v>0.0136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HYPERLINK("http://141.218.60.56/~jnz1568/getInfo.php?workbook=10_05.xlsx&amp;sheet=U0&amp;row=8947&amp;col=6&amp;number=3.3&amp;sourceID=14","3.3")</f>
        <v>3.3</v>
      </c>
      <c r="G8947" s="4" t="str">
        <f>HYPERLINK("http://141.218.60.56/~jnz1568/getInfo.php?workbook=10_05.xlsx&amp;sheet=U0&amp;row=8947&amp;col=7&amp;number=0.0135&amp;sourceID=14","0.0135")</f>
        <v>0.0135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HYPERLINK("http://141.218.60.56/~jnz1568/getInfo.php?workbook=10_05.xlsx&amp;sheet=U0&amp;row=8948&amp;col=6&amp;number=3.4&amp;sourceID=14","3.4")</f>
        <v>3.4</v>
      </c>
      <c r="G8948" s="4" t="str">
        <f>HYPERLINK("http://141.218.60.56/~jnz1568/getInfo.php?workbook=10_05.xlsx&amp;sheet=U0&amp;row=8948&amp;col=7&amp;number=0.0134&amp;sourceID=14","0.0134")</f>
        <v>0.0134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HYPERLINK("http://141.218.60.56/~jnz1568/getInfo.php?workbook=10_05.xlsx&amp;sheet=U0&amp;row=8949&amp;col=6&amp;number=3.5&amp;sourceID=14","3.5")</f>
        <v>3.5</v>
      </c>
      <c r="G8949" s="4" t="str">
        <f>HYPERLINK("http://141.218.60.56/~jnz1568/getInfo.php?workbook=10_05.xlsx&amp;sheet=U0&amp;row=8949&amp;col=7&amp;number=0.0134&amp;sourceID=14","0.0134")</f>
        <v>0.0134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HYPERLINK("http://141.218.60.56/~jnz1568/getInfo.php?workbook=10_05.xlsx&amp;sheet=U0&amp;row=8950&amp;col=6&amp;number=3.6&amp;sourceID=14","3.6")</f>
        <v>3.6</v>
      </c>
      <c r="G8950" s="4" t="str">
        <f>HYPERLINK("http://141.218.60.56/~jnz1568/getInfo.php?workbook=10_05.xlsx&amp;sheet=U0&amp;row=8950&amp;col=7&amp;number=0.0133&amp;sourceID=14","0.0133")</f>
        <v>0.0133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HYPERLINK("http://141.218.60.56/~jnz1568/getInfo.php?workbook=10_05.xlsx&amp;sheet=U0&amp;row=8951&amp;col=6&amp;number=3.7&amp;sourceID=14","3.7")</f>
        <v>3.7</v>
      </c>
      <c r="G8951" s="4" t="str">
        <f>HYPERLINK("http://141.218.60.56/~jnz1568/getInfo.php?workbook=10_05.xlsx&amp;sheet=U0&amp;row=8951&amp;col=7&amp;number=0.0131&amp;sourceID=14","0.0131")</f>
        <v>0.0131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HYPERLINK("http://141.218.60.56/~jnz1568/getInfo.php?workbook=10_05.xlsx&amp;sheet=U0&amp;row=8952&amp;col=6&amp;number=3.8&amp;sourceID=14","3.8")</f>
        <v>3.8</v>
      </c>
      <c r="G8952" s="4" t="str">
        <f>HYPERLINK("http://141.218.60.56/~jnz1568/getInfo.php?workbook=10_05.xlsx&amp;sheet=U0&amp;row=8952&amp;col=7&amp;number=0.013&amp;sourceID=14","0.013")</f>
        <v>0.013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HYPERLINK("http://141.218.60.56/~jnz1568/getInfo.php?workbook=10_05.xlsx&amp;sheet=U0&amp;row=8953&amp;col=6&amp;number=3.9&amp;sourceID=14","3.9")</f>
        <v>3.9</v>
      </c>
      <c r="G8953" s="4" t="str">
        <f>HYPERLINK("http://141.218.60.56/~jnz1568/getInfo.php?workbook=10_05.xlsx&amp;sheet=U0&amp;row=8953&amp;col=7&amp;number=0.0128&amp;sourceID=14","0.0128")</f>
        <v>0.0128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HYPERLINK("http://141.218.60.56/~jnz1568/getInfo.php?workbook=10_05.xlsx&amp;sheet=U0&amp;row=8954&amp;col=6&amp;number=4&amp;sourceID=14","4")</f>
        <v>4</v>
      </c>
      <c r="G8954" s="4" t="str">
        <f>HYPERLINK("http://141.218.60.56/~jnz1568/getInfo.php?workbook=10_05.xlsx&amp;sheet=U0&amp;row=8954&amp;col=7&amp;number=0.0125&amp;sourceID=14","0.0125")</f>
        <v>0.0125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HYPERLINK("http://141.218.60.56/~jnz1568/getInfo.php?workbook=10_05.xlsx&amp;sheet=U0&amp;row=8955&amp;col=6&amp;number=4.1&amp;sourceID=14","4.1")</f>
        <v>4.1</v>
      </c>
      <c r="G8955" s="4" t="str">
        <f>HYPERLINK("http://141.218.60.56/~jnz1568/getInfo.php?workbook=10_05.xlsx&amp;sheet=U0&amp;row=8955&amp;col=7&amp;number=0.0122&amp;sourceID=14","0.0122")</f>
        <v>0.0122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HYPERLINK("http://141.218.60.56/~jnz1568/getInfo.php?workbook=10_05.xlsx&amp;sheet=U0&amp;row=8956&amp;col=6&amp;number=4.2&amp;sourceID=14","4.2")</f>
        <v>4.2</v>
      </c>
      <c r="G8956" s="4" t="str">
        <f>HYPERLINK("http://141.218.60.56/~jnz1568/getInfo.php?workbook=10_05.xlsx&amp;sheet=U0&amp;row=8956&amp;col=7&amp;number=0.0118&amp;sourceID=14","0.0118")</f>
        <v>0.0118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HYPERLINK("http://141.218.60.56/~jnz1568/getInfo.php?workbook=10_05.xlsx&amp;sheet=U0&amp;row=8957&amp;col=6&amp;number=4.3&amp;sourceID=14","4.3")</f>
        <v>4.3</v>
      </c>
      <c r="G8957" s="4" t="str">
        <f>HYPERLINK("http://141.218.60.56/~jnz1568/getInfo.php?workbook=10_05.xlsx&amp;sheet=U0&amp;row=8957&amp;col=7&amp;number=0.0113&amp;sourceID=14","0.0113")</f>
        <v>0.0113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HYPERLINK("http://141.218.60.56/~jnz1568/getInfo.php?workbook=10_05.xlsx&amp;sheet=U0&amp;row=8958&amp;col=6&amp;number=4.4&amp;sourceID=14","4.4")</f>
        <v>4.4</v>
      </c>
      <c r="G8958" s="4" t="str">
        <f>HYPERLINK("http://141.218.60.56/~jnz1568/getInfo.php?workbook=10_05.xlsx&amp;sheet=U0&amp;row=8958&amp;col=7&amp;number=0.0107&amp;sourceID=14","0.0107")</f>
        <v>0.0107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HYPERLINK("http://141.218.60.56/~jnz1568/getInfo.php?workbook=10_05.xlsx&amp;sheet=U0&amp;row=8959&amp;col=6&amp;number=4.5&amp;sourceID=14","4.5")</f>
        <v>4.5</v>
      </c>
      <c r="G8959" s="4" t="str">
        <f>HYPERLINK("http://141.218.60.56/~jnz1568/getInfo.php?workbook=10_05.xlsx&amp;sheet=U0&amp;row=8959&amp;col=7&amp;number=0.00988&amp;sourceID=14","0.00988")</f>
        <v>0.00988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HYPERLINK("http://141.218.60.56/~jnz1568/getInfo.php?workbook=10_05.xlsx&amp;sheet=U0&amp;row=8960&amp;col=6&amp;number=4.6&amp;sourceID=14","4.6")</f>
        <v>4.6</v>
      </c>
      <c r="G8960" s="4" t="str">
        <f>HYPERLINK("http://141.218.60.56/~jnz1568/getInfo.php?workbook=10_05.xlsx&amp;sheet=U0&amp;row=8960&amp;col=7&amp;number=0.00895&amp;sourceID=14","0.00895")</f>
        <v>0.00895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HYPERLINK("http://141.218.60.56/~jnz1568/getInfo.php?workbook=10_05.xlsx&amp;sheet=U0&amp;row=8961&amp;col=6&amp;number=4.7&amp;sourceID=14","4.7")</f>
        <v>4.7</v>
      </c>
      <c r="G8961" s="4" t="str">
        <f>HYPERLINK("http://141.218.60.56/~jnz1568/getInfo.php?workbook=10_05.xlsx&amp;sheet=U0&amp;row=8961&amp;col=7&amp;number=0.00802&amp;sourceID=14","0.00802")</f>
        <v>0.00802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HYPERLINK("http://141.218.60.56/~jnz1568/getInfo.php?workbook=10_05.xlsx&amp;sheet=U0&amp;row=8962&amp;col=6&amp;number=4.8&amp;sourceID=14","4.8")</f>
        <v>4.8</v>
      </c>
      <c r="G8962" s="4" t="str">
        <f>HYPERLINK("http://141.218.60.56/~jnz1568/getInfo.php?workbook=10_05.xlsx&amp;sheet=U0&amp;row=8962&amp;col=7&amp;number=0.00717&amp;sourceID=14","0.00717")</f>
        <v>0.00717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HYPERLINK("http://141.218.60.56/~jnz1568/getInfo.php?workbook=10_05.xlsx&amp;sheet=U0&amp;row=8963&amp;col=6&amp;number=4.9&amp;sourceID=14","4.9")</f>
        <v>4.9</v>
      </c>
      <c r="G8963" s="4" t="str">
        <f>HYPERLINK("http://141.218.60.56/~jnz1568/getInfo.php?workbook=10_05.xlsx&amp;sheet=U0&amp;row=8963&amp;col=7&amp;number=0.00642&amp;sourceID=14","0.00642")</f>
        <v>0.00642</v>
      </c>
    </row>
    <row r="8964" spans="1:7">
      <c r="A8964" s="3">
        <v>10</v>
      </c>
      <c r="B8964" s="3">
        <v>5</v>
      </c>
      <c r="C8964" s="3">
        <v>3</v>
      </c>
      <c r="D8964" s="3">
        <v>95</v>
      </c>
      <c r="E8964" s="3">
        <v>1</v>
      </c>
      <c r="F8964" s="4" t="str">
        <f>HYPERLINK("http://141.218.60.56/~jnz1568/getInfo.php?workbook=10_05.xlsx&amp;sheet=U0&amp;row=8964&amp;col=6&amp;number=3&amp;sourceID=14","3")</f>
        <v>3</v>
      </c>
      <c r="G8964" s="4" t="str">
        <f>HYPERLINK("http://141.218.60.56/~jnz1568/getInfo.php?workbook=10_05.xlsx&amp;sheet=U0&amp;row=8964&amp;col=7&amp;number=0.0259&amp;sourceID=14","0.0259")</f>
        <v>0.0259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HYPERLINK("http://141.218.60.56/~jnz1568/getInfo.php?workbook=10_05.xlsx&amp;sheet=U0&amp;row=8965&amp;col=6&amp;number=3.1&amp;sourceID=14","3.1")</f>
        <v>3.1</v>
      </c>
      <c r="G8965" s="4" t="str">
        <f>HYPERLINK("http://141.218.60.56/~jnz1568/getInfo.php?workbook=10_05.xlsx&amp;sheet=U0&amp;row=8965&amp;col=7&amp;number=0.0258&amp;sourceID=14","0.0258")</f>
        <v>0.0258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HYPERLINK("http://141.218.60.56/~jnz1568/getInfo.php?workbook=10_05.xlsx&amp;sheet=U0&amp;row=8966&amp;col=6&amp;number=3.2&amp;sourceID=14","3.2")</f>
        <v>3.2</v>
      </c>
      <c r="G8966" s="4" t="str">
        <f>HYPERLINK("http://141.218.60.56/~jnz1568/getInfo.php?workbook=10_05.xlsx&amp;sheet=U0&amp;row=8966&amp;col=7&amp;number=0.0257&amp;sourceID=14","0.0257")</f>
        <v>0.0257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HYPERLINK("http://141.218.60.56/~jnz1568/getInfo.php?workbook=10_05.xlsx&amp;sheet=U0&amp;row=8967&amp;col=6&amp;number=3.3&amp;sourceID=14","3.3")</f>
        <v>3.3</v>
      </c>
      <c r="G8967" s="4" t="str">
        <f>HYPERLINK("http://141.218.60.56/~jnz1568/getInfo.php?workbook=10_05.xlsx&amp;sheet=U0&amp;row=8967&amp;col=7&amp;number=0.0256&amp;sourceID=14","0.0256")</f>
        <v>0.0256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HYPERLINK("http://141.218.60.56/~jnz1568/getInfo.php?workbook=10_05.xlsx&amp;sheet=U0&amp;row=8968&amp;col=6&amp;number=3.4&amp;sourceID=14","3.4")</f>
        <v>3.4</v>
      </c>
      <c r="G8968" s="4" t="str">
        <f>HYPERLINK("http://141.218.60.56/~jnz1568/getInfo.php?workbook=10_05.xlsx&amp;sheet=U0&amp;row=8968&amp;col=7&amp;number=0.0254&amp;sourceID=14","0.0254")</f>
        <v>0.0254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HYPERLINK("http://141.218.60.56/~jnz1568/getInfo.php?workbook=10_05.xlsx&amp;sheet=U0&amp;row=8969&amp;col=6&amp;number=3.5&amp;sourceID=14","3.5")</f>
        <v>3.5</v>
      </c>
      <c r="G8969" s="4" t="str">
        <f>HYPERLINK("http://141.218.60.56/~jnz1568/getInfo.php?workbook=10_05.xlsx&amp;sheet=U0&amp;row=8969&amp;col=7&amp;number=0.0252&amp;sourceID=14","0.0252")</f>
        <v>0.0252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HYPERLINK("http://141.218.60.56/~jnz1568/getInfo.php?workbook=10_05.xlsx&amp;sheet=U0&amp;row=8970&amp;col=6&amp;number=3.6&amp;sourceID=14","3.6")</f>
        <v>3.6</v>
      </c>
      <c r="G8970" s="4" t="str">
        <f>HYPERLINK("http://141.218.60.56/~jnz1568/getInfo.php?workbook=10_05.xlsx&amp;sheet=U0&amp;row=8970&amp;col=7&amp;number=0.025&amp;sourceID=14","0.025")</f>
        <v>0.025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HYPERLINK("http://141.218.60.56/~jnz1568/getInfo.php?workbook=10_05.xlsx&amp;sheet=U0&amp;row=8971&amp;col=6&amp;number=3.7&amp;sourceID=14","3.7")</f>
        <v>3.7</v>
      </c>
      <c r="G8971" s="4" t="str">
        <f>HYPERLINK("http://141.218.60.56/~jnz1568/getInfo.php?workbook=10_05.xlsx&amp;sheet=U0&amp;row=8971&amp;col=7&amp;number=0.0246&amp;sourceID=14","0.0246")</f>
        <v>0.0246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HYPERLINK("http://141.218.60.56/~jnz1568/getInfo.php?workbook=10_05.xlsx&amp;sheet=U0&amp;row=8972&amp;col=6&amp;number=3.8&amp;sourceID=14","3.8")</f>
        <v>3.8</v>
      </c>
      <c r="G8972" s="4" t="str">
        <f>HYPERLINK("http://141.218.60.56/~jnz1568/getInfo.php?workbook=10_05.xlsx&amp;sheet=U0&amp;row=8972&amp;col=7&amp;number=0.0242&amp;sourceID=14","0.0242")</f>
        <v>0.0242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HYPERLINK("http://141.218.60.56/~jnz1568/getInfo.php?workbook=10_05.xlsx&amp;sheet=U0&amp;row=8973&amp;col=6&amp;number=3.9&amp;sourceID=14","3.9")</f>
        <v>3.9</v>
      </c>
      <c r="G8973" s="4" t="str">
        <f>HYPERLINK("http://141.218.60.56/~jnz1568/getInfo.php?workbook=10_05.xlsx&amp;sheet=U0&amp;row=8973&amp;col=7&amp;number=0.0237&amp;sourceID=14","0.0237")</f>
        <v>0.0237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HYPERLINK("http://141.218.60.56/~jnz1568/getInfo.php?workbook=10_05.xlsx&amp;sheet=U0&amp;row=8974&amp;col=6&amp;number=4&amp;sourceID=14","4")</f>
        <v>4</v>
      </c>
      <c r="G8974" s="4" t="str">
        <f>HYPERLINK("http://141.218.60.56/~jnz1568/getInfo.php?workbook=10_05.xlsx&amp;sheet=U0&amp;row=8974&amp;col=7&amp;number=0.0231&amp;sourceID=14","0.0231")</f>
        <v>0.0231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HYPERLINK("http://141.218.60.56/~jnz1568/getInfo.php?workbook=10_05.xlsx&amp;sheet=U0&amp;row=8975&amp;col=6&amp;number=4.1&amp;sourceID=14","4.1")</f>
        <v>4.1</v>
      </c>
      <c r="G8975" s="4" t="str">
        <f>HYPERLINK("http://141.218.60.56/~jnz1568/getInfo.php?workbook=10_05.xlsx&amp;sheet=U0&amp;row=8975&amp;col=7&amp;number=0.0224&amp;sourceID=14","0.0224")</f>
        <v>0.0224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HYPERLINK("http://141.218.60.56/~jnz1568/getInfo.php?workbook=10_05.xlsx&amp;sheet=U0&amp;row=8976&amp;col=6&amp;number=4.2&amp;sourceID=14","4.2")</f>
        <v>4.2</v>
      </c>
      <c r="G8976" s="4" t="str">
        <f>HYPERLINK("http://141.218.60.56/~jnz1568/getInfo.php?workbook=10_05.xlsx&amp;sheet=U0&amp;row=8976&amp;col=7&amp;number=0.0215&amp;sourceID=14","0.0215")</f>
        <v>0.0215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HYPERLINK("http://141.218.60.56/~jnz1568/getInfo.php?workbook=10_05.xlsx&amp;sheet=U0&amp;row=8977&amp;col=6&amp;number=4.3&amp;sourceID=14","4.3")</f>
        <v>4.3</v>
      </c>
      <c r="G8977" s="4" t="str">
        <f>HYPERLINK("http://141.218.60.56/~jnz1568/getInfo.php?workbook=10_05.xlsx&amp;sheet=U0&amp;row=8977&amp;col=7&amp;number=0.0204&amp;sourceID=14","0.0204")</f>
        <v>0.0204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HYPERLINK("http://141.218.60.56/~jnz1568/getInfo.php?workbook=10_05.xlsx&amp;sheet=U0&amp;row=8978&amp;col=6&amp;number=4.4&amp;sourceID=14","4.4")</f>
        <v>4.4</v>
      </c>
      <c r="G8978" s="4" t="str">
        <f>HYPERLINK("http://141.218.60.56/~jnz1568/getInfo.php?workbook=10_05.xlsx&amp;sheet=U0&amp;row=8978&amp;col=7&amp;number=0.0191&amp;sourceID=14","0.0191")</f>
        <v>0.0191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HYPERLINK("http://141.218.60.56/~jnz1568/getInfo.php?workbook=10_05.xlsx&amp;sheet=U0&amp;row=8979&amp;col=6&amp;number=4.5&amp;sourceID=14","4.5")</f>
        <v>4.5</v>
      </c>
      <c r="G8979" s="4" t="str">
        <f>HYPERLINK("http://141.218.60.56/~jnz1568/getInfo.php?workbook=10_05.xlsx&amp;sheet=U0&amp;row=8979&amp;col=7&amp;number=0.0177&amp;sourceID=14","0.0177")</f>
        <v>0.0177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HYPERLINK("http://141.218.60.56/~jnz1568/getInfo.php?workbook=10_05.xlsx&amp;sheet=U0&amp;row=8980&amp;col=6&amp;number=4.6&amp;sourceID=14","4.6")</f>
        <v>4.6</v>
      </c>
      <c r="G8980" s="4" t="str">
        <f>HYPERLINK("http://141.218.60.56/~jnz1568/getInfo.php?workbook=10_05.xlsx&amp;sheet=U0&amp;row=8980&amp;col=7&amp;number=0.0162&amp;sourceID=14","0.0162")</f>
        <v>0.0162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HYPERLINK("http://141.218.60.56/~jnz1568/getInfo.php?workbook=10_05.xlsx&amp;sheet=U0&amp;row=8981&amp;col=6&amp;number=4.7&amp;sourceID=14","4.7")</f>
        <v>4.7</v>
      </c>
      <c r="G8981" s="4" t="str">
        <f>HYPERLINK("http://141.218.60.56/~jnz1568/getInfo.php?workbook=10_05.xlsx&amp;sheet=U0&amp;row=8981&amp;col=7&amp;number=0.0147&amp;sourceID=14","0.0147")</f>
        <v>0.0147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HYPERLINK("http://141.218.60.56/~jnz1568/getInfo.php?workbook=10_05.xlsx&amp;sheet=U0&amp;row=8982&amp;col=6&amp;number=4.8&amp;sourceID=14","4.8")</f>
        <v>4.8</v>
      </c>
      <c r="G8982" s="4" t="str">
        <f>HYPERLINK("http://141.218.60.56/~jnz1568/getInfo.php?workbook=10_05.xlsx&amp;sheet=U0&amp;row=8982&amp;col=7&amp;number=0.0134&amp;sourceID=14","0.0134")</f>
        <v>0.0134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HYPERLINK("http://141.218.60.56/~jnz1568/getInfo.php?workbook=10_05.xlsx&amp;sheet=U0&amp;row=8983&amp;col=6&amp;number=4.9&amp;sourceID=14","4.9")</f>
        <v>4.9</v>
      </c>
      <c r="G8983" s="4" t="str">
        <f>HYPERLINK("http://141.218.60.56/~jnz1568/getInfo.php?workbook=10_05.xlsx&amp;sheet=U0&amp;row=8983&amp;col=7&amp;number=0.0124&amp;sourceID=14","0.0124")</f>
        <v>0.0124</v>
      </c>
    </row>
    <row r="8984" spans="1:7">
      <c r="A8984" s="3">
        <v>10</v>
      </c>
      <c r="B8984" s="3">
        <v>5</v>
      </c>
      <c r="C8984" s="3">
        <v>3</v>
      </c>
      <c r="D8984" s="3">
        <v>96</v>
      </c>
      <c r="E8984" s="3">
        <v>1</v>
      </c>
      <c r="F8984" s="4" t="str">
        <f>HYPERLINK("http://141.218.60.56/~jnz1568/getInfo.php?workbook=10_05.xlsx&amp;sheet=U0&amp;row=8984&amp;col=6&amp;number=3&amp;sourceID=14","3")</f>
        <v>3</v>
      </c>
      <c r="G8984" s="4" t="str">
        <f>HYPERLINK("http://141.218.60.56/~jnz1568/getInfo.php?workbook=10_05.xlsx&amp;sheet=U0&amp;row=8984&amp;col=7&amp;number=0.00381&amp;sourceID=14","0.00381")</f>
        <v>0.00381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HYPERLINK("http://141.218.60.56/~jnz1568/getInfo.php?workbook=10_05.xlsx&amp;sheet=U0&amp;row=8985&amp;col=6&amp;number=3.1&amp;sourceID=14","3.1")</f>
        <v>3.1</v>
      </c>
      <c r="G8985" s="4" t="str">
        <f>HYPERLINK("http://141.218.60.56/~jnz1568/getInfo.php?workbook=10_05.xlsx&amp;sheet=U0&amp;row=8985&amp;col=7&amp;number=0.0038&amp;sourceID=14","0.0038")</f>
        <v>0.0038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HYPERLINK("http://141.218.60.56/~jnz1568/getInfo.php?workbook=10_05.xlsx&amp;sheet=U0&amp;row=8986&amp;col=6&amp;number=3.2&amp;sourceID=14","3.2")</f>
        <v>3.2</v>
      </c>
      <c r="G8986" s="4" t="str">
        <f>HYPERLINK("http://141.218.60.56/~jnz1568/getInfo.php?workbook=10_05.xlsx&amp;sheet=U0&amp;row=8986&amp;col=7&amp;number=0.00377&amp;sourceID=14","0.00377")</f>
        <v>0.00377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HYPERLINK("http://141.218.60.56/~jnz1568/getInfo.php?workbook=10_05.xlsx&amp;sheet=U0&amp;row=8987&amp;col=6&amp;number=3.3&amp;sourceID=14","3.3")</f>
        <v>3.3</v>
      </c>
      <c r="G8987" s="4" t="str">
        <f>HYPERLINK("http://141.218.60.56/~jnz1568/getInfo.php?workbook=10_05.xlsx&amp;sheet=U0&amp;row=8987&amp;col=7&amp;number=0.00374&amp;sourceID=14","0.00374")</f>
        <v>0.00374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HYPERLINK("http://141.218.60.56/~jnz1568/getInfo.php?workbook=10_05.xlsx&amp;sheet=U0&amp;row=8988&amp;col=6&amp;number=3.4&amp;sourceID=14","3.4")</f>
        <v>3.4</v>
      </c>
      <c r="G8988" s="4" t="str">
        <f>HYPERLINK("http://141.218.60.56/~jnz1568/getInfo.php?workbook=10_05.xlsx&amp;sheet=U0&amp;row=8988&amp;col=7&amp;number=0.00371&amp;sourceID=14","0.00371")</f>
        <v>0.00371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HYPERLINK("http://141.218.60.56/~jnz1568/getInfo.php?workbook=10_05.xlsx&amp;sheet=U0&amp;row=8989&amp;col=6&amp;number=3.5&amp;sourceID=14","3.5")</f>
        <v>3.5</v>
      </c>
      <c r="G8989" s="4" t="str">
        <f>HYPERLINK("http://141.218.60.56/~jnz1568/getInfo.php?workbook=10_05.xlsx&amp;sheet=U0&amp;row=8989&amp;col=7&amp;number=0.00366&amp;sourceID=14","0.00366")</f>
        <v>0.00366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HYPERLINK("http://141.218.60.56/~jnz1568/getInfo.php?workbook=10_05.xlsx&amp;sheet=U0&amp;row=8990&amp;col=6&amp;number=3.6&amp;sourceID=14","3.6")</f>
        <v>3.6</v>
      </c>
      <c r="G8990" s="4" t="str">
        <f>HYPERLINK("http://141.218.60.56/~jnz1568/getInfo.php?workbook=10_05.xlsx&amp;sheet=U0&amp;row=8990&amp;col=7&amp;number=0.0036&amp;sourceID=14","0.0036")</f>
        <v>0.0036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HYPERLINK("http://141.218.60.56/~jnz1568/getInfo.php?workbook=10_05.xlsx&amp;sheet=U0&amp;row=8991&amp;col=6&amp;number=3.7&amp;sourceID=14","3.7")</f>
        <v>3.7</v>
      </c>
      <c r="G8991" s="4" t="str">
        <f>HYPERLINK("http://141.218.60.56/~jnz1568/getInfo.php?workbook=10_05.xlsx&amp;sheet=U0&amp;row=8991&amp;col=7&amp;number=0.00353&amp;sourceID=14","0.00353")</f>
        <v>0.00353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HYPERLINK("http://141.218.60.56/~jnz1568/getInfo.php?workbook=10_05.xlsx&amp;sheet=U0&amp;row=8992&amp;col=6&amp;number=3.8&amp;sourceID=14","3.8")</f>
        <v>3.8</v>
      </c>
      <c r="G8992" s="4" t="str">
        <f>HYPERLINK("http://141.218.60.56/~jnz1568/getInfo.php?workbook=10_05.xlsx&amp;sheet=U0&amp;row=8992&amp;col=7&amp;number=0.00345&amp;sourceID=14","0.00345")</f>
        <v>0.00345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HYPERLINK("http://141.218.60.56/~jnz1568/getInfo.php?workbook=10_05.xlsx&amp;sheet=U0&amp;row=8993&amp;col=6&amp;number=3.9&amp;sourceID=14","3.9")</f>
        <v>3.9</v>
      </c>
      <c r="G8993" s="4" t="str">
        <f>HYPERLINK("http://141.218.60.56/~jnz1568/getInfo.php?workbook=10_05.xlsx&amp;sheet=U0&amp;row=8993&amp;col=7&amp;number=0.00334&amp;sourceID=14","0.00334")</f>
        <v>0.00334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HYPERLINK("http://141.218.60.56/~jnz1568/getInfo.php?workbook=10_05.xlsx&amp;sheet=U0&amp;row=8994&amp;col=6&amp;number=4&amp;sourceID=14","4")</f>
        <v>4</v>
      </c>
      <c r="G8994" s="4" t="str">
        <f>HYPERLINK("http://141.218.60.56/~jnz1568/getInfo.php?workbook=10_05.xlsx&amp;sheet=U0&amp;row=8994&amp;col=7&amp;number=0.00321&amp;sourceID=14","0.00321")</f>
        <v>0.00321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HYPERLINK("http://141.218.60.56/~jnz1568/getInfo.php?workbook=10_05.xlsx&amp;sheet=U0&amp;row=8995&amp;col=6&amp;number=4.1&amp;sourceID=14","4.1")</f>
        <v>4.1</v>
      </c>
      <c r="G8995" s="4" t="str">
        <f>HYPERLINK("http://141.218.60.56/~jnz1568/getInfo.php?workbook=10_05.xlsx&amp;sheet=U0&amp;row=8995&amp;col=7&amp;number=0.00306&amp;sourceID=14","0.00306")</f>
        <v>0.00306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HYPERLINK("http://141.218.60.56/~jnz1568/getInfo.php?workbook=10_05.xlsx&amp;sheet=U0&amp;row=8996&amp;col=6&amp;number=4.2&amp;sourceID=14","4.2")</f>
        <v>4.2</v>
      </c>
      <c r="G8996" s="4" t="str">
        <f>HYPERLINK("http://141.218.60.56/~jnz1568/getInfo.php?workbook=10_05.xlsx&amp;sheet=U0&amp;row=8996&amp;col=7&amp;number=0.00287&amp;sourceID=14","0.00287")</f>
        <v>0.00287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HYPERLINK("http://141.218.60.56/~jnz1568/getInfo.php?workbook=10_05.xlsx&amp;sheet=U0&amp;row=8997&amp;col=6&amp;number=4.3&amp;sourceID=14","4.3")</f>
        <v>4.3</v>
      </c>
      <c r="G8997" s="4" t="str">
        <f>HYPERLINK("http://141.218.60.56/~jnz1568/getInfo.php?workbook=10_05.xlsx&amp;sheet=U0&amp;row=8997&amp;col=7&amp;number=0.00266&amp;sourceID=14","0.00266")</f>
        <v>0.00266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HYPERLINK("http://141.218.60.56/~jnz1568/getInfo.php?workbook=10_05.xlsx&amp;sheet=U0&amp;row=8998&amp;col=6&amp;number=4.4&amp;sourceID=14","4.4")</f>
        <v>4.4</v>
      </c>
      <c r="G8998" s="4" t="str">
        <f>HYPERLINK("http://141.218.60.56/~jnz1568/getInfo.php?workbook=10_05.xlsx&amp;sheet=U0&amp;row=8998&amp;col=7&amp;number=0.00242&amp;sourceID=14","0.00242")</f>
        <v>0.00242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HYPERLINK("http://141.218.60.56/~jnz1568/getInfo.php?workbook=10_05.xlsx&amp;sheet=U0&amp;row=8999&amp;col=6&amp;number=4.5&amp;sourceID=14","4.5")</f>
        <v>4.5</v>
      </c>
      <c r="G8999" s="4" t="str">
        <f>HYPERLINK("http://141.218.60.56/~jnz1568/getInfo.php?workbook=10_05.xlsx&amp;sheet=U0&amp;row=8999&amp;col=7&amp;number=0.00217&amp;sourceID=14","0.00217")</f>
        <v>0.00217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HYPERLINK("http://141.218.60.56/~jnz1568/getInfo.php?workbook=10_05.xlsx&amp;sheet=U0&amp;row=9000&amp;col=6&amp;number=4.6&amp;sourceID=14","4.6")</f>
        <v>4.6</v>
      </c>
      <c r="G9000" s="4" t="str">
        <f>HYPERLINK("http://141.218.60.56/~jnz1568/getInfo.php?workbook=10_05.xlsx&amp;sheet=U0&amp;row=9000&amp;col=7&amp;number=0.0019&amp;sourceID=14","0.0019")</f>
        <v>0.0019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HYPERLINK("http://141.218.60.56/~jnz1568/getInfo.php?workbook=10_05.xlsx&amp;sheet=U0&amp;row=9001&amp;col=6&amp;number=4.7&amp;sourceID=14","4.7")</f>
        <v>4.7</v>
      </c>
      <c r="G9001" s="4" t="str">
        <f>HYPERLINK("http://141.218.60.56/~jnz1568/getInfo.php?workbook=10_05.xlsx&amp;sheet=U0&amp;row=9001&amp;col=7&amp;number=0.00164&amp;sourceID=14","0.00164")</f>
        <v>0.00164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HYPERLINK("http://141.218.60.56/~jnz1568/getInfo.php?workbook=10_05.xlsx&amp;sheet=U0&amp;row=9002&amp;col=6&amp;number=4.8&amp;sourceID=14","4.8")</f>
        <v>4.8</v>
      </c>
      <c r="G9002" s="4" t="str">
        <f>HYPERLINK("http://141.218.60.56/~jnz1568/getInfo.php?workbook=10_05.xlsx&amp;sheet=U0&amp;row=9002&amp;col=7&amp;number=0.00141&amp;sourceID=14","0.00141")</f>
        <v>0.00141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HYPERLINK("http://141.218.60.56/~jnz1568/getInfo.php?workbook=10_05.xlsx&amp;sheet=U0&amp;row=9003&amp;col=6&amp;number=4.9&amp;sourceID=14","4.9")</f>
        <v>4.9</v>
      </c>
      <c r="G9003" s="4" t="str">
        <f>HYPERLINK("http://141.218.60.56/~jnz1568/getInfo.php?workbook=10_05.xlsx&amp;sheet=U0&amp;row=9003&amp;col=7&amp;number=0.00121&amp;sourceID=14","0.00121")</f>
        <v>0.00121</v>
      </c>
    </row>
    <row r="9004" spans="1:7">
      <c r="A9004" s="3">
        <v>10</v>
      </c>
      <c r="B9004" s="3">
        <v>5</v>
      </c>
      <c r="C9004" s="3">
        <v>3</v>
      </c>
      <c r="D9004" s="3">
        <v>97</v>
      </c>
      <c r="E9004" s="3">
        <v>1</v>
      </c>
      <c r="F9004" s="4" t="str">
        <f>HYPERLINK("http://141.218.60.56/~jnz1568/getInfo.php?workbook=10_05.xlsx&amp;sheet=U0&amp;row=9004&amp;col=6&amp;number=3&amp;sourceID=14","3")</f>
        <v>3</v>
      </c>
      <c r="G9004" s="4" t="str">
        <f>HYPERLINK("http://141.218.60.56/~jnz1568/getInfo.php?workbook=10_05.xlsx&amp;sheet=U0&amp;row=9004&amp;col=7&amp;number=0.00374&amp;sourceID=14","0.00374")</f>
        <v>0.00374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HYPERLINK("http://141.218.60.56/~jnz1568/getInfo.php?workbook=10_05.xlsx&amp;sheet=U0&amp;row=9005&amp;col=6&amp;number=3.1&amp;sourceID=14","3.1")</f>
        <v>3.1</v>
      </c>
      <c r="G9005" s="4" t="str">
        <f>HYPERLINK("http://141.218.60.56/~jnz1568/getInfo.php?workbook=10_05.xlsx&amp;sheet=U0&amp;row=9005&amp;col=7&amp;number=0.00372&amp;sourceID=14","0.00372")</f>
        <v>0.00372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HYPERLINK("http://141.218.60.56/~jnz1568/getInfo.php?workbook=10_05.xlsx&amp;sheet=U0&amp;row=9006&amp;col=6&amp;number=3.2&amp;sourceID=14","3.2")</f>
        <v>3.2</v>
      </c>
      <c r="G9006" s="4" t="str">
        <f>HYPERLINK("http://141.218.60.56/~jnz1568/getInfo.php?workbook=10_05.xlsx&amp;sheet=U0&amp;row=9006&amp;col=7&amp;number=0.0037&amp;sourceID=14","0.0037")</f>
        <v>0.0037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HYPERLINK("http://141.218.60.56/~jnz1568/getInfo.php?workbook=10_05.xlsx&amp;sheet=U0&amp;row=9007&amp;col=6&amp;number=3.3&amp;sourceID=14","3.3")</f>
        <v>3.3</v>
      </c>
      <c r="G9007" s="4" t="str">
        <f>HYPERLINK("http://141.218.60.56/~jnz1568/getInfo.php?workbook=10_05.xlsx&amp;sheet=U0&amp;row=9007&amp;col=7&amp;number=0.00367&amp;sourceID=14","0.00367")</f>
        <v>0.00367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HYPERLINK("http://141.218.60.56/~jnz1568/getInfo.php?workbook=10_05.xlsx&amp;sheet=U0&amp;row=9008&amp;col=6&amp;number=3.4&amp;sourceID=14","3.4")</f>
        <v>3.4</v>
      </c>
      <c r="G9008" s="4" t="str">
        <f>HYPERLINK("http://141.218.60.56/~jnz1568/getInfo.php?workbook=10_05.xlsx&amp;sheet=U0&amp;row=9008&amp;col=7&amp;number=0.00363&amp;sourceID=14","0.00363")</f>
        <v>0.00363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HYPERLINK("http://141.218.60.56/~jnz1568/getInfo.php?workbook=10_05.xlsx&amp;sheet=U0&amp;row=9009&amp;col=6&amp;number=3.5&amp;sourceID=14","3.5")</f>
        <v>3.5</v>
      </c>
      <c r="G9009" s="4" t="str">
        <f>HYPERLINK("http://141.218.60.56/~jnz1568/getInfo.php?workbook=10_05.xlsx&amp;sheet=U0&amp;row=9009&amp;col=7&amp;number=0.00359&amp;sourceID=14","0.00359")</f>
        <v>0.00359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HYPERLINK("http://141.218.60.56/~jnz1568/getInfo.php?workbook=10_05.xlsx&amp;sheet=U0&amp;row=9010&amp;col=6&amp;number=3.6&amp;sourceID=14","3.6")</f>
        <v>3.6</v>
      </c>
      <c r="G9010" s="4" t="str">
        <f>HYPERLINK("http://141.218.60.56/~jnz1568/getInfo.php?workbook=10_05.xlsx&amp;sheet=U0&amp;row=9010&amp;col=7&amp;number=0.00354&amp;sourceID=14","0.00354")</f>
        <v>0.00354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HYPERLINK("http://141.218.60.56/~jnz1568/getInfo.php?workbook=10_05.xlsx&amp;sheet=U0&amp;row=9011&amp;col=6&amp;number=3.7&amp;sourceID=14","3.7")</f>
        <v>3.7</v>
      </c>
      <c r="G9011" s="4" t="str">
        <f>HYPERLINK("http://141.218.60.56/~jnz1568/getInfo.php?workbook=10_05.xlsx&amp;sheet=U0&amp;row=9011&amp;col=7&amp;number=0.00347&amp;sourceID=14","0.00347")</f>
        <v>0.00347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HYPERLINK("http://141.218.60.56/~jnz1568/getInfo.php?workbook=10_05.xlsx&amp;sheet=U0&amp;row=9012&amp;col=6&amp;number=3.8&amp;sourceID=14","3.8")</f>
        <v>3.8</v>
      </c>
      <c r="G9012" s="4" t="str">
        <f>HYPERLINK("http://141.218.60.56/~jnz1568/getInfo.php?workbook=10_05.xlsx&amp;sheet=U0&amp;row=9012&amp;col=7&amp;number=0.00339&amp;sourceID=14","0.00339")</f>
        <v>0.00339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HYPERLINK("http://141.218.60.56/~jnz1568/getInfo.php?workbook=10_05.xlsx&amp;sheet=U0&amp;row=9013&amp;col=6&amp;number=3.9&amp;sourceID=14","3.9")</f>
        <v>3.9</v>
      </c>
      <c r="G9013" s="4" t="str">
        <f>HYPERLINK("http://141.218.60.56/~jnz1568/getInfo.php?workbook=10_05.xlsx&amp;sheet=U0&amp;row=9013&amp;col=7&amp;number=0.00329&amp;sourceID=14","0.00329")</f>
        <v>0.00329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HYPERLINK("http://141.218.60.56/~jnz1568/getInfo.php?workbook=10_05.xlsx&amp;sheet=U0&amp;row=9014&amp;col=6&amp;number=4&amp;sourceID=14","4")</f>
        <v>4</v>
      </c>
      <c r="G9014" s="4" t="str">
        <f>HYPERLINK("http://141.218.60.56/~jnz1568/getInfo.php?workbook=10_05.xlsx&amp;sheet=U0&amp;row=9014&amp;col=7&amp;number=0.00316&amp;sourceID=14","0.00316")</f>
        <v>0.00316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HYPERLINK("http://141.218.60.56/~jnz1568/getInfo.php?workbook=10_05.xlsx&amp;sheet=U0&amp;row=9015&amp;col=6&amp;number=4.1&amp;sourceID=14","4.1")</f>
        <v>4.1</v>
      </c>
      <c r="G9015" s="4" t="str">
        <f>HYPERLINK("http://141.218.60.56/~jnz1568/getInfo.php?workbook=10_05.xlsx&amp;sheet=U0&amp;row=9015&amp;col=7&amp;number=0.00302&amp;sourceID=14","0.00302")</f>
        <v>0.00302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HYPERLINK("http://141.218.60.56/~jnz1568/getInfo.php?workbook=10_05.xlsx&amp;sheet=U0&amp;row=9016&amp;col=6&amp;number=4.2&amp;sourceID=14","4.2")</f>
        <v>4.2</v>
      </c>
      <c r="G9016" s="4" t="str">
        <f>HYPERLINK("http://141.218.60.56/~jnz1568/getInfo.php?workbook=10_05.xlsx&amp;sheet=U0&amp;row=9016&amp;col=7&amp;number=0.00284&amp;sourceID=14","0.00284")</f>
        <v>0.00284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HYPERLINK("http://141.218.60.56/~jnz1568/getInfo.php?workbook=10_05.xlsx&amp;sheet=U0&amp;row=9017&amp;col=6&amp;number=4.3&amp;sourceID=14","4.3")</f>
        <v>4.3</v>
      </c>
      <c r="G9017" s="4" t="str">
        <f>HYPERLINK("http://141.218.60.56/~jnz1568/getInfo.php?workbook=10_05.xlsx&amp;sheet=U0&amp;row=9017&amp;col=7&amp;number=0.00264&amp;sourceID=14","0.00264")</f>
        <v>0.00264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HYPERLINK("http://141.218.60.56/~jnz1568/getInfo.php?workbook=10_05.xlsx&amp;sheet=U0&amp;row=9018&amp;col=6&amp;number=4.4&amp;sourceID=14","4.4")</f>
        <v>4.4</v>
      </c>
      <c r="G9018" s="4" t="str">
        <f>HYPERLINK("http://141.218.60.56/~jnz1568/getInfo.php?workbook=10_05.xlsx&amp;sheet=U0&amp;row=9018&amp;col=7&amp;number=0.00241&amp;sourceID=14","0.00241")</f>
        <v>0.00241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HYPERLINK("http://141.218.60.56/~jnz1568/getInfo.php?workbook=10_05.xlsx&amp;sheet=U0&amp;row=9019&amp;col=6&amp;number=4.5&amp;sourceID=14","4.5")</f>
        <v>4.5</v>
      </c>
      <c r="G9019" s="4" t="str">
        <f>HYPERLINK("http://141.218.60.56/~jnz1568/getInfo.php?workbook=10_05.xlsx&amp;sheet=U0&amp;row=9019&amp;col=7&amp;number=0.00216&amp;sourceID=14","0.00216")</f>
        <v>0.00216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HYPERLINK("http://141.218.60.56/~jnz1568/getInfo.php?workbook=10_05.xlsx&amp;sheet=U0&amp;row=9020&amp;col=6&amp;number=4.6&amp;sourceID=14","4.6")</f>
        <v>4.6</v>
      </c>
      <c r="G9020" s="4" t="str">
        <f>HYPERLINK("http://141.218.60.56/~jnz1568/getInfo.php?workbook=10_05.xlsx&amp;sheet=U0&amp;row=9020&amp;col=7&amp;number=0.0019&amp;sourceID=14","0.0019")</f>
        <v>0.0019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HYPERLINK("http://141.218.60.56/~jnz1568/getInfo.php?workbook=10_05.xlsx&amp;sheet=U0&amp;row=9021&amp;col=6&amp;number=4.7&amp;sourceID=14","4.7")</f>
        <v>4.7</v>
      </c>
      <c r="G9021" s="4" t="str">
        <f>HYPERLINK("http://141.218.60.56/~jnz1568/getInfo.php?workbook=10_05.xlsx&amp;sheet=U0&amp;row=9021&amp;col=7&amp;number=0.00164&amp;sourceID=14","0.00164")</f>
        <v>0.00164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HYPERLINK("http://141.218.60.56/~jnz1568/getInfo.php?workbook=10_05.xlsx&amp;sheet=U0&amp;row=9022&amp;col=6&amp;number=4.8&amp;sourceID=14","4.8")</f>
        <v>4.8</v>
      </c>
      <c r="G9022" s="4" t="str">
        <f>HYPERLINK("http://141.218.60.56/~jnz1568/getInfo.php?workbook=10_05.xlsx&amp;sheet=U0&amp;row=9022&amp;col=7&amp;number=0.00141&amp;sourceID=14","0.00141")</f>
        <v>0.00141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HYPERLINK("http://141.218.60.56/~jnz1568/getInfo.php?workbook=10_05.xlsx&amp;sheet=U0&amp;row=9023&amp;col=6&amp;number=4.9&amp;sourceID=14","4.9")</f>
        <v>4.9</v>
      </c>
      <c r="G9023" s="4" t="str">
        <f>HYPERLINK("http://141.218.60.56/~jnz1568/getInfo.php?workbook=10_05.xlsx&amp;sheet=U0&amp;row=9023&amp;col=7&amp;number=0.00119&amp;sourceID=14","0.00119")</f>
        <v>0.00119</v>
      </c>
    </row>
    <row r="9024" spans="1:7">
      <c r="A9024" s="3">
        <v>10</v>
      </c>
      <c r="B9024" s="3">
        <v>5</v>
      </c>
      <c r="C9024" s="3">
        <v>3</v>
      </c>
      <c r="D9024" s="3">
        <v>98</v>
      </c>
      <c r="E9024" s="3">
        <v>1</v>
      </c>
      <c r="F9024" s="4" t="str">
        <f>HYPERLINK("http://141.218.60.56/~jnz1568/getInfo.php?workbook=10_05.xlsx&amp;sheet=U0&amp;row=9024&amp;col=6&amp;number=3&amp;sourceID=14","3")</f>
        <v>3</v>
      </c>
      <c r="G9024" s="4" t="str">
        <f>HYPERLINK("http://141.218.60.56/~jnz1568/getInfo.php?workbook=10_05.xlsx&amp;sheet=U0&amp;row=9024&amp;col=7&amp;number=0.0218&amp;sourceID=14","0.0218")</f>
        <v>0.0218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HYPERLINK("http://141.218.60.56/~jnz1568/getInfo.php?workbook=10_05.xlsx&amp;sheet=U0&amp;row=9025&amp;col=6&amp;number=3.1&amp;sourceID=14","3.1")</f>
        <v>3.1</v>
      </c>
      <c r="G9025" s="4" t="str">
        <f>HYPERLINK("http://141.218.60.56/~jnz1568/getInfo.php?workbook=10_05.xlsx&amp;sheet=U0&amp;row=9025&amp;col=7&amp;number=0.0217&amp;sourceID=14","0.0217")</f>
        <v>0.0217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HYPERLINK("http://141.218.60.56/~jnz1568/getInfo.php?workbook=10_05.xlsx&amp;sheet=U0&amp;row=9026&amp;col=6&amp;number=3.2&amp;sourceID=14","3.2")</f>
        <v>3.2</v>
      </c>
      <c r="G9026" s="4" t="str">
        <f>HYPERLINK("http://141.218.60.56/~jnz1568/getInfo.php?workbook=10_05.xlsx&amp;sheet=U0&amp;row=9026&amp;col=7&amp;number=0.0215&amp;sourceID=14","0.0215")</f>
        <v>0.0215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HYPERLINK("http://141.218.60.56/~jnz1568/getInfo.php?workbook=10_05.xlsx&amp;sheet=U0&amp;row=9027&amp;col=6&amp;number=3.3&amp;sourceID=14","3.3")</f>
        <v>3.3</v>
      </c>
      <c r="G9027" s="4" t="str">
        <f>HYPERLINK("http://141.218.60.56/~jnz1568/getInfo.php?workbook=10_05.xlsx&amp;sheet=U0&amp;row=9027&amp;col=7&amp;number=0.0214&amp;sourceID=14","0.0214")</f>
        <v>0.0214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HYPERLINK("http://141.218.60.56/~jnz1568/getInfo.php?workbook=10_05.xlsx&amp;sheet=U0&amp;row=9028&amp;col=6&amp;number=3.4&amp;sourceID=14","3.4")</f>
        <v>3.4</v>
      </c>
      <c r="G9028" s="4" t="str">
        <f>HYPERLINK("http://141.218.60.56/~jnz1568/getInfo.php?workbook=10_05.xlsx&amp;sheet=U0&amp;row=9028&amp;col=7&amp;number=0.0212&amp;sourceID=14","0.0212")</f>
        <v>0.0212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HYPERLINK("http://141.218.60.56/~jnz1568/getInfo.php?workbook=10_05.xlsx&amp;sheet=U0&amp;row=9029&amp;col=6&amp;number=3.5&amp;sourceID=14","3.5")</f>
        <v>3.5</v>
      </c>
      <c r="G9029" s="4" t="str">
        <f>HYPERLINK("http://141.218.60.56/~jnz1568/getInfo.php?workbook=10_05.xlsx&amp;sheet=U0&amp;row=9029&amp;col=7&amp;number=0.0209&amp;sourceID=14","0.0209")</f>
        <v>0.0209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HYPERLINK("http://141.218.60.56/~jnz1568/getInfo.php?workbook=10_05.xlsx&amp;sheet=U0&amp;row=9030&amp;col=6&amp;number=3.6&amp;sourceID=14","3.6")</f>
        <v>3.6</v>
      </c>
      <c r="G9030" s="4" t="str">
        <f>HYPERLINK("http://141.218.60.56/~jnz1568/getInfo.php?workbook=10_05.xlsx&amp;sheet=U0&amp;row=9030&amp;col=7&amp;number=0.0206&amp;sourceID=14","0.0206")</f>
        <v>0.0206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HYPERLINK("http://141.218.60.56/~jnz1568/getInfo.php?workbook=10_05.xlsx&amp;sheet=U0&amp;row=9031&amp;col=6&amp;number=3.7&amp;sourceID=14","3.7")</f>
        <v>3.7</v>
      </c>
      <c r="G9031" s="4" t="str">
        <f>HYPERLINK("http://141.218.60.56/~jnz1568/getInfo.php?workbook=10_05.xlsx&amp;sheet=U0&amp;row=9031&amp;col=7&amp;number=0.0202&amp;sourceID=14","0.0202")</f>
        <v>0.0202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HYPERLINK("http://141.218.60.56/~jnz1568/getInfo.php?workbook=10_05.xlsx&amp;sheet=U0&amp;row=9032&amp;col=6&amp;number=3.8&amp;sourceID=14","3.8")</f>
        <v>3.8</v>
      </c>
      <c r="G9032" s="4" t="str">
        <f>HYPERLINK("http://141.218.60.56/~jnz1568/getInfo.php?workbook=10_05.xlsx&amp;sheet=U0&amp;row=9032&amp;col=7&amp;number=0.0198&amp;sourceID=14","0.0198")</f>
        <v>0.0198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HYPERLINK("http://141.218.60.56/~jnz1568/getInfo.php?workbook=10_05.xlsx&amp;sheet=U0&amp;row=9033&amp;col=6&amp;number=3.9&amp;sourceID=14","3.9")</f>
        <v>3.9</v>
      </c>
      <c r="G9033" s="4" t="str">
        <f>HYPERLINK("http://141.218.60.56/~jnz1568/getInfo.php?workbook=10_05.xlsx&amp;sheet=U0&amp;row=9033&amp;col=7&amp;number=0.0192&amp;sourceID=14","0.0192")</f>
        <v>0.0192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HYPERLINK("http://141.218.60.56/~jnz1568/getInfo.php?workbook=10_05.xlsx&amp;sheet=U0&amp;row=9034&amp;col=6&amp;number=4&amp;sourceID=14","4")</f>
        <v>4</v>
      </c>
      <c r="G9034" s="4" t="str">
        <f>HYPERLINK("http://141.218.60.56/~jnz1568/getInfo.php?workbook=10_05.xlsx&amp;sheet=U0&amp;row=9034&amp;col=7&amp;number=0.0185&amp;sourceID=14","0.0185")</f>
        <v>0.0185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HYPERLINK("http://141.218.60.56/~jnz1568/getInfo.php?workbook=10_05.xlsx&amp;sheet=U0&amp;row=9035&amp;col=6&amp;number=4.1&amp;sourceID=14","4.1")</f>
        <v>4.1</v>
      </c>
      <c r="G9035" s="4" t="str">
        <f>HYPERLINK("http://141.218.60.56/~jnz1568/getInfo.php?workbook=10_05.xlsx&amp;sheet=U0&amp;row=9035&amp;col=7&amp;number=0.0176&amp;sourceID=14","0.0176")</f>
        <v>0.0176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HYPERLINK("http://141.218.60.56/~jnz1568/getInfo.php?workbook=10_05.xlsx&amp;sheet=U0&amp;row=9036&amp;col=6&amp;number=4.2&amp;sourceID=14","4.2")</f>
        <v>4.2</v>
      </c>
      <c r="G9036" s="4" t="str">
        <f>HYPERLINK("http://141.218.60.56/~jnz1568/getInfo.php?workbook=10_05.xlsx&amp;sheet=U0&amp;row=9036&amp;col=7&amp;number=0.0166&amp;sourceID=14","0.0166")</f>
        <v>0.0166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HYPERLINK("http://141.218.60.56/~jnz1568/getInfo.php?workbook=10_05.xlsx&amp;sheet=U0&amp;row=9037&amp;col=6&amp;number=4.3&amp;sourceID=14","4.3")</f>
        <v>4.3</v>
      </c>
      <c r="G9037" s="4" t="str">
        <f>HYPERLINK("http://141.218.60.56/~jnz1568/getInfo.php?workbook=10_05.xlsx&amp;sheet=U0&amp;row=9037&amp;col=7&amp;number=0.0154&amp;sourceID=14","0.0154")</f>
        <v>0.0154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HYPERLINK("http://141.218.60.56/~jnz1568/getInfo.php?workbook=10_05.xlsx&amp;sheet=U0&amp;row=9038&amp;col=6&amp;number=4.4&amp;sourceID=14","4.4")</f>
        <v>4.4</v>
      </c>
      <c r="G9038" s="4" t="str">
        <f>HYPERLINK("http://141.218.60.56/~jnz1568/getInfo.php?workbook=10_05.xlsx&amp;sheet=U0&amp;row=9038&amp;col=7&amp;number=0.014&amp;sourceID=14","0.014")</f>
        <v>0.014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HYPERLINK("http://141.218.60.56/~jnz1568/getInfo.php?workbook=10_05.xlsx&amp;sheet=U0&amp;row=9039&amp;col=6&amp;number=4.5&amp;sourceID=14","4.5")</f>
        <v>4.5</v>
      </c>
      <c r="G9039" s="4" t="str">
        <f>HYPERLINK("http://141.218.60.56/~jnz1568/getInfo.php?workbook=10_05.xlsx&amp;sheet=U0&amp;row=9039&amp;col=7&amp;number=0.0125&amp;sourceID=14","0.0125")</f>
        <v>0.0125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HYPERLINK("http://141.218.60.56/~jnz1568/getInfo.php?workbook=10_05.xlsx&amp;sheet=U0&amp;row=9040&amp;col=6&amp;number=4.6&amp;sourceID=14","4.6")</f>
        <v>4.6</v>
      </c>
      <c r="G9040" s="4" t="str">
        <f>HYPERLINK("http://141.218.60.56/~jnz1568/getInfo.php?workbook=10_05.xlsx&amp;sheet=U0&amp;row=9040&amp;col=7&amp;number=0.0111&amp;sourceID=14","0.0111")</f>
        <v>0.0111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HYPERLINK("http://141.218.60.56/~jnz1568/getInfo.php?workbook=10_05.xlsx&amp;sheet=U0&amp;row=9041&amp;col=6&amp;number=4.7&amp;sourceID=14","4.7")</f>
        <v>4.7</v>
      </c>
      <c r="G9041" s="4" t="str">
        <f>HYPERLINK("http://141.218.60.56/~jnz1568/getInfo.php?workbook=10_05.xlsx&amp;sheet=U0&amp;row=9041&amp;col=7&amp;number=0.00983&amp;sourceID=14","0.00983")</f>
        <v>0.00983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HYPERLINK("http://141.218.60.56/~jnz1568/getInfo.php?workbook=10_05.xlsx&amp;sheet=U0&amp;row=9042&amp;col=6&amp;number=4.8&amp;sourceID=14","4.8")</f>
        <v>4.8</v>
      </c>
      <c r="G9042" s="4" t="str">
        <f>HYPERLINK("http://141.218.60.56/~jnz1568/getInfo.php?workbook=10_05.xlsx&amp;sheet=U0&amp;row=9042&amp;col=7&amp;number=0.00871&amp;sourceID=14","0.00871")</f>
        <v>0.00871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HYPERLINK("http://141.218.60.56/~jnz1568/getInfo.php?workbook=10_05.xlsx&amp;sheet=U0&amp;row=9043&amp;col=6&amp;number=4.9&amp;sourceID=14","4.9")</f>
        <v>4.9</v>
      </c>
      <c r="G9043" s="4" t="str">
        <f>HYPERLINK("http://141.218.60.56/~jnz1568/getInfo.php?workbook=10_05.xlsx&amp;sheet=U0&amp;row=9043&amp;col=7&amp;number=0.00775&amp;sourceID=14","0.00775")</f>
        <v>0.00775</v>
      </c>
    </row>
    <row r="9044" spans="1:7">
      <c r="A9044" s="3">
        <v>10</v>
      </c>
      <c r="B9044" s="3">
        <v>5</v>
      </c>
      <c r="C9044" s="3">
        <v>3</v>
      </c>
      <c r="D9044" s="3">
        <v>99</v>
      </c>
      <c r="E9044" s="3">
        <v>1</v>
      </c>
      <c r="F9044" s="4" t="str">
        <f>HYPERLINK("http://141.218.60.56/~jnz1568/getInfo.php?workbook=10_05.xlsx&amp;sheet=U0&amp;row=9044&amp;col=6&amp;number=3&amp;sourceID=14","3")</f>
        <v>3</v>
      </c>
      <c r="G9044" s="4" t="str">
        <f>HYPERLINK("http://141.218.60.56/~jnz1568/getInfo.php?workbook=10_05.xlsx&amp;sheet=U0&amp;row=9044&amp;col=7&amp;number=0.0351&amp;sourceID=14","0.0351")</f>
        <v>0.0351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HYPERLINK("http://141.218.60.56/~jnz1568/getInfo.php?workbook=10_05.xlsx&amp;sheet=U0&amp;row=9045&amp;col=6&amp;number=3.1&amp;sourceID=14","3.1")</f>
        <v>3.1</v>
      </c>
      <c r="G9045" s="4" t="str">
        <f>HYPERLINK("http://141.218.60.56/~jnz1568/getInfo.php?workbook=10_05.xlsx&amp;sheet=U0&amp;row=9045&amp;col=7&amp;number=0.0351&amp;sourceID=14","0.0351")</f>
        <v>0.0351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HYPERLINK("http://141.218.60.56/~jnz1568/getInfo.php?workbook=10_05.xlsx&amp;sheet=U0&amp;row=9046&amp;col=6&amp;number=3.2&amp;sourceID=14","3.2")</f>
        <v>3.2</v>
      </c>
      <c r="G9046" s="4" t="str">
        <f>HYPERLINK("http://141.218.60.56/~jnz1568/getInfo.php?workbook=10_05.xlsx&amp;sheet=U0&amp;row=9046&amp;col=7&amp;number=0.0351&amp;sourceID=14","0.0351")</f>
        <v>0.0351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HYPERLINK("http://141.218.60.56/~jnz1568/getInfo.php?workbook=10_05.xlsx&amp;sheet=U0&amp;row=9047&amp;col=6&amp;number=3.3&amp;sourceID=14","3.3")</f>
        <v>3.3</v>
      </c>
      <c r="G9047" s="4" t="str">
        <f>HYPERLINK("http://141.218.60.56/~jnz1568/getInfo.php?workbook=10_05.xlsx&amp;sheet=U0&amp;row=9047&amp;col=7&amp;number=0.0351&amp;sourceID=14","0.0351")</f>
        <v>0.0351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HYPERLINK("http://141.218.60.56/~jnz1568/getInfo.php?workbook=10_05.xlsx&amp;sheet=U0&amp;row=9048&amp;col=6&amp;number=3.4&amp;sourceID=14","3.4")</f>
        <v>3.4</v>
      </c>
      <c r="G9048" s="4" t="str">
        <f>HYPERLINK("http://141.218.60.56/~jnz1568/getInfo.php?workbook=10_05.xlsx&amp;sheet=U0&amp;row=9048&amp;col=7&amp;number=0.0351&amp;sourceID=14","0.0351")</f>
        <v>0.0351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HYPERLINK("http://141.218.60.56/~jnz1568/getInfo.php?workbook=10_05.xlsx&amp;sheet=U0&amp;row=9049&amp;col=6&amp;number=3.5&amp;sourceID=14","3.5")</f>
        <v>3.5</v>
      </c>
      <c r="G9049" s="4" t="str">
        <f>HYPERLINK("http://141.218.60.56/~jnz1568/getInfo.php?workbook=10_05.xlsx&amp;sheet=U0&amp;row=9049&amp;col=7&amp;number=0.035&amp;sourceID=14","0.035")</f>
        <v>0.035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HYPERLINK("http://141.218.60.56/~jnz1568/getInfo.php?workbook=10_05.xlsx&amp;sheet=U0&amp;row=9050&amp;col=6&amp;number=3.6&amp;sourceID=14","3.6")</f>
        <v>3.6</v>
      </c>
      <c r="G9050" s="4" t="str">
        <f>HYPERLINK("http://141.218.60.56/~jnz1568/getInfo.php?workbook=10_05.xlsx&amp;sheet=U0&amp;row=9050&amp;col=7&amp;number=0.035&amp;sourceID=14","0.035")</f>
        <v>0.035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HYPERLINK("http://141.218.60.56/~jnz1568/getInfo.php?workbook=10_05.xlsx&amp;sheet=U0&amp;row=9051&amp;col=6&amp;number=3.7&amp;sourceID=14","3.7")</f>
        <v>3.7</v>
      </c>
      <c r="G9051" s="4" t="str">
        <f>HYPERLINK("http://141.218.60.56/~jnz1568/getInfo.php?workbook=10_05.xlsx&amp;sheet=U0&amp;row=9051&amp;col=7&amp;number=0.035&amp;sourceID=14","0.035")</f>
        <v>0.035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HYPERLINK("http://141.218.60.56/~jnz1568/getInfo.php?workbook=10_05.xlsx&amp;sheet=U0&amp;row=9052&amp;col=6&amp;number=3.8&amp;sourceID=14","3.8")</f>
        <v>3.8</v>
      </c>
      <c r="G9052" s="4" t="str">
        <f>HYPERLINK("http://141.218.60.56/~jnz1568/getInfo.php?workbook=10_05.xlsx&amp;sheet=U0&amp;row=9052&amp;col=7&amp;number=0.0349&amp;sourceID=14","0.0349")</f>
        <v>0.0349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HYPERLINK("http://141.218.60.56/~jnz1568/getInfo.php?workbook=10_05.xlsx&amp;sheet=U0&amp;row=9053&amp;col=6&amp;number=3.9&amp;sourceID=14","3.9")</f>
        <v>3.9</v>
      </c>
      <c r="G9053" s="4" t="str">
        <f>HYPERLINK("http://141.218.60.56/~jnz1568/getInfo.php?workbook=10_05.xlsx&amp;sheet=U0&amp;row=9053&amp;col=7&amp;number=0.0349&amp;sourceID=14","0.0349")</f>
        <v>0.0349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HYPERLINK("http://141.218.60.56/~jnz1568/getInfo.php?workbook=10_05.xlsx&amp;sheet=U0&amp;row=9054&amp;col=6&amp;number=4&amp;sourceID=14","4")</f>
        <v>4</v>
      </c>
      <c r="G9054" s="4" t="str">
        <f>HYPERLINK("http://141.218.60.56/~jnz1568/getInfo.php?workbook=10_05.xlsx&amp;sheet=U0&amp;row=9054&amp;col=7&amp;number=0.0348&amp;sourceID=14","0.0348")</f>
        <v>0.0348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HYPERLINK("http://141.218.60.56/~jnz1568/getInfo.php?workbook=10_05.xlsx&amp;sheet=U0&amp;row=9055&amp;col=6&amp;number=4.1&amp;sourceID=14","4.1")</f>
        <v>4.1</v>
      </c>
      <c r="G9055" s="4" t="str">
        <f>HYPERLINK("http://141.218.60.56/~jnz1568/getInfo.php?workbook=10_05.xlsx&amp;sheet=U0&amp;row=9055&amp;col=7&amp;number=0.0347&amp;sourceID=14","0.0347")</f>
        <v>0.0347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HYPERLINK("http://141.218.60.56/~jnz1568/getInfo.php?workbook=10_05.xlsx&amp;sheet=U0&amp;row=9056&amp;col=6&amp;number=4.2&amp;sourceID=14","4.2")</f>
        <v>4.2</v>
      </c>
      <c r="G9056" s="4" t="str">
        <f>HYPERLINK("http://141.218.60.56/~jnz1568/getInfo.php?workbook=10_05.xlsx&amp;sheet=U0&amp;row=9056&amp;col=7&amp;number=0.0346&amp;sourceID=14","0.0346")</f>
        <v>0.0346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HYPERLINK("http://141.218.60.56/~jnz1568/getInfo.php?workbook=10_05.xlsx&amp;sheet=U0&amp;row=9057&amp;col=6&amp;number=4.3&amp;sourceID=14","4.3")</f>
        <v>4.3</v>
      </c>
      <c r="G9057" s="4" t="str">
        <f>HYPERLINK("http://141.218.60.56/~jnz1568/getInfo.php?workbook=10_05.xlsx&amp;sheet=U0&amp;row=9057&amp;col=7&amp;number=0.0345&amp;sourceID=14","0.0345")</f>
        <v>0.0345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HYPERLINK("http://141.218.60.56/~jnz1568/getInfo.php?workbook=10_05.xlsx&amp;sheet=U0&amp;row=9058&amp;col=6&amp;number=4.4&amp;sourceID=14","4.4")</f>
        <v>4.4</v>
      </c>
      <c r="G9058" s="4" t="str">
        <f>HYPERLINK("http://141.218.60.56/~jnz1568/getInfo.php?workbook=10_05.xlsx&amp;sheet=U0&amp;row=9058&amp;col=7&amp;number=0.0344&amp;sourceID=14","0.0344")</f>
        <v>0.0344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HYPERLINK("http://141.218.60.56/~jnz1568/getInfo.php?workbook=10_05.xlsx&amp;sheet=U0&amp;row=9059&amp;col=6&amp;number=4.5&amp;sourceID=14","4.5")</f>
        <v>4.5</v>
      </c>
      <c r="G9059" s="4" t="str">
        <f>HYPERLINK("http://141.218.60.56/~jnz1568/getInfo.php?workbook=10_05.xlsx&amp;sheet=U0&amp;row=9059&amp;col=7&amp;number=0.0343&amp;sourceID=14","0.0343")</f>
        <v>0.0343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HYPERLINK("http://141.218.60.56/~jnz1568/getInfo.php?workbook=10_05.xlsx&amp;sheet=U0&amp;row=9060&amp;col=6&amp;number=4.6&amp;sourceID=14","4.6")</f>
        <v>4.6</v>
      </c>
      <c r="G9060" s="4" t="str">
        <f>HYPERLINK("http://141.218.60.56/~jnz1568/getInfo.php?workbook=10_05.xlsx&amp;sheet=U0&amp;row=9060&amp;col=7&amp;number=0.0343&amp;sourceID=14","0.0343")</f>
        <v>0.0343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HYPERLINK("http://141.218.60.56/~jnz1568/getInfo.php?workbook=10_05.xlsx&amp;sheet=U0&amp;row=9061&amp;col=6&amp;number=4.7&amp;sourceID=14","4.7")</f>
        <v>4.7</v>
      </c>
      <c r="G9061" s="4" t="str">
        <f>HYPERLINK("http://141.218.60.56/~jnz1568/getInfo.php?workbook=10_05.xlsx&amp;sheet=U0&amp;row=9061&amp;col=7&amp;number=0.0344&amp;sourceID=14","0.0344")</f>
        <v>0.0344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HYPERLINK("http://141.218.60.56/~jnz1568/getInfo.php?workbook=10_05.xlsx&amp;sheet=U0&amp;row=9062&amp;col=6&amp;number=4.8&amp;sourceID=14","4.8")</f>
        <v>4.8</v>
      </c>
      <c r="G9062" s="4" t="str">
        <f>HYPERLINK("http://141.218.60.56/~jnz1568/getInfo.php?workbook=10_05.xlsx&amp;sheet=U0&amp;row=9062&amp;col=7&amp;number=0.0346&amp;sourceID=14","0.0346")</f>
        <v>0.0346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HYPERLINK("http://141.218.60.56/~jnz1568/getInfo.php?workbook=10_05.xlsx&amp;sheet=U0&amp;row=9063&amp;col=6&amp;number=4.9&amp;sourceID=14","4.9")</f>
        <v>4.9</v>
      </c>
      <c r="G9063" s="4" t="str">
        <f>HYPERLINK("http://141.218.60.56/~jnz1568/getInfo.php?workbook=10_05.xlsx&amp;sheet=U0&amp;row=9063&amp;col=7&amp;number=0.0348&amp;sourceID=14","0.0348")</f>
        <v>0.0348</v>
      </c>
    </row>
    <row r="9064" spans="1:7">
      <c r="A9064" s="3">
        <v>10</v>
      </c>
      <c r="B9064" s="3">
        <v>5</v>
      </c>
      <c r="C9064" s="3">
        <v>3</v>
      </c>
      <c r="D9064" s="3">
        <v>100</v>
      </c>
      <c r="E9064" s="3">
        <v>1</v>
      </c>
      <c r="F9064" s="4" t="str">
        <f>HYPERLINK("http://141.218.60.56/~jnz1568/getInfo.php?workbook=10_05.xlsx&amp;sheet=U0&amp;row=9064&amp;col=6&amp;number=3&amp;sourceID=14","3")</f>
        <v>3</v>
      </c>
      <c r="G9064" s="4" t="str">
        <f>HYPERLINK("http://141.218.60.56/~jnz1568/getInfo.php?workbook=10_05.xlsx&amp;sheet=U0&amp;row=9064&amp;col=7&amp;number=0.0288&amp;sourceID=14","0.0288")</f>
        <v>0.0288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HYPERLINK("http://141.218.60.56/~jnz1568/getInfo.php?workbook=10_05.xlsx&amp;sheet=U0&amp;row=9065&amp;col=6&amp;number=3.1&amp;sourceID=14","3.1")</f>
        <v>3.1</v>
      </c>
      <c r="G9065" s="4" t="str">
        <f>HYPERLINK("http://141.218.60.56/~jnz1568/getInfo.php?workbook=10_05.xlsx&amp;sheet=U0&amp;row=9065&amp;col=7&amp;number=0.0288&amp;sourceID=14","0.0288")</f>
        <v>0.0288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HYPERLINK("http://141.218.60.56/~jnz1568/getInfo.php?workbook=10_05.xlsx&amp;sheet=U0&amp;row=9066&amp;col=6&amp;number=3.2&amp;sourceID=14","3.2")</f>
        <v>3.2</v>
      </c>
      <c r="G9066" s="4" t="str">
        <f>HYPERLINK("http://141.218.60.56/~jnz1568/getInfo.php?workbook=10_05.xlsx&amp;sheet=U0&amp;row=9066&amp;col=7&amp;number=0.0288&amp;sourceID=14","0.0288")</f>
        <v>0.0288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HYPERLINK("http://141.218.60.56/~jnz1568/getInfo.php?workbook=10_05.xlsx&amp;sheet=U0&amp;row=9067&amp;col=6&amp;number=3.3&amp;sourceID=14","3.3")</f>
        <v>3.3</v>
      </c>
      <c r="G9067" s="4" t="str">
        <f>HYPERLINK("http://141.218.60.56/~jnz1568/getInfo.php?workbook=10_05.xlsx&amp;sheet=U0&amp;row=9067&amp;col=7&amp;number=0.0288&amp;sourceID=14","0.0288")</f>
        <v>0.0288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HYPERLINK("http://141.218.60.56/~jnz1568/getInfo.php?workbook=10_05.xlsx&amp;sheet=U0&amp;row=9068&amp;col=6&amp;number=3.4&amp;sourceID=14","3.4")</f>
        <v>3.4</v>
      </c>
      <c r="G9068" s="4" t="str">
        <f>HYPERLINK("http://141.218.60.56/~jnz1568/getInfo.php?workbook=10_05.xlsx&amp;sheet=U0&amp;row=9068&amp;col=7&amp;number=0.0287&amp;sourceID=14","0.0287")</f>
        <v>0.0287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HYPERLINK("http://141.218.60.56/~jnz1568/getInfo.php?workbook=10_05.xlsx&amp;sheet=U0&amp;row=9069&amp;col=6&amp;number=3.5&amp;sourceID=14","3.5")</f>
        <v>3.5</v>
      </c>
      <c r="G9069" s="4" t="str">
        <f>HYPERLINK("http://141.218.60.56/~jnz1568/getInfo.php?workbook=10_05.xlsx&amp;sheet=U0&amp;row=9069&amp;col=7&amp;number=0.0287&amp;sourceID=14","0.0287")</f>
        <v>0.0287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HYPERLINK("http://141.218.60.56/~jnz1568/getInfo.php?workbook=10_05.xlsx&amp;sheet=U0&amp;row=9070&amp;col=6&amp;number=3.6&amp;sourceID=14","3.6")</f>
        <v>3.6</v>
      </c>
      <c r="G9070" s="4" t="str">
        <f>HYPERLINK("http://141.218.60.56/~jnz1568/getInfo.php?workbook=10_05.xlsx&amp;sheet=U0&amp;row=9070&amp;col=7&amp;number=0.0287&amp;sourceID=14","0.0287")</f>
        <v>0.0287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HYPERLINK("http://141.218.60.56/~jnz1568/getInfo.php?workbook=10_05.xlsx&amp;sheet=U0&amp;row=9071&amp;col=6&amp;number=3.7&amp;sourceID=14","3.7")</f>
        <v>3.7</v>
      </c>
      <c r="G9071" s="4" t="str">
        <f>HYPERLINK("http://141.218.60.56/~jnz1568/getInfo.php?workbook=10_05.xlsx&amp;sheet=U0&amp;row=9071&amp;col=7&amp;number=0.0287&amp;sourceID=14","0.0287")</f>
        <v>0.0287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HYPERLINK("http://141.218.60.56/~jnz1568/getInfo.php?workbook=10_05.xlsx&amp;sheet=U0&amp;row=9072&amp;col=6&amp;number=3.8&amp;sourceID=14","3.8")</f>
        <v>3.8</v>
      </c>
      <c r="G9072" s="4" t="str">
        <f>HYPERLINK("http://141.218.60.56/~jnz1568/getInfo.php?workbook=10_05.xlsx&amp;sheet=U0&amp;row=9072&amp;col=7&amp;number=0.0286&amp;sourceID=14","0.0286")</f>
        <v>0.0286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HYPERLINK("http://141.218.60.56/~jnz1568/getInfo.php?workbook=10_05.xlsx&amp;sheet=U0&amp;row=9073&amp;col=6&amp;number=3.9&amp;sourceID=14","3.9")</f>
        <v>3.9</v>
      </c>
      <c r="G9073" s="4" t="str">
        <f>HYPERLINK("http://141.218.60.56/~jnz1568/getInfo.php?workbook=10_05.xlsx&amp;sheet=U0&amp;row=9073&amp;col=7&amp;number=0.0286&amp;sourceID=14","0.0286")</f>
        <v>0.0286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HYPERLINK("http://141.218.60.56/~jnz1568/getInfo.php?workbook=10_05.xlsx&amp;sheet=U0&amp;row=9074&amp;col=6&amp;number=4&amp;sourceID=14","4")</f>
        <v>4</v>
      </c>
      <c r="G9074" s="4" t="str">
        <f>HYPERLINK("http://141.218.60.56/~jnz1568/getInfo.php?workbook=10_05.xlsx&amp;sheet=U0&amp;row=9074&amp;col=7&amp;number=0.0285&amp;sourceID=14","0.0285")</f>
        <v>0.0285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HYPERLINK("http://141.218.60.56/~jnz1568/getInfo.php?workbook=10_05.xlsx&amp;sheet=U0&amp;row=9075&amp;col=6&amp;number=4.1&amp;sourceID=14","4.1")</f>
        <v>4.1</v>
      </c>
      <c r="G9075" s="4" t="str">
        <f>HYPERLINK("http://141.218.60.56/~jnz1568/getInfo.php?workbook=10_05.xlsx&amp;sheet=U0&amp;row=9075&amp;col=7&amp;number=0.0284&amp;sourceID=14","0.0284")</f>
        <v>0.0284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HYPERLINK("http://141.218.60.56/~jnz1568/getInfo.php?workbook=10_05.xlsx&amp;sheet=U0&amp;row=9076&amp;col=6&amp;number=4.2&amp;sourceID=14","4.2")</f>
        <v>4.2</v>
      </c>
      <c r="G9076" s="4" t="str">
        <f>HYPERLINK("http://141.218.60.56/~jnz1568/getInfo.php?workbook=10_05.xlsx&amp;sheet=U0&amp;row=9076&amp;col=7&amp;number=0.0283&amp;sourceID=14","0.0283")</f>
        <v>0.0283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HYPERLINK("http://141.218.60.56/~jnz1568/getInfo.php?workbook=10_05.xlsx&amp;sheet=U0&amp;row=9077&amp;col=6&amp;number=4.3&amp;sourceID=14","4.3")</f>
        <v>4.3</v>
      </c>
      <c r="G9077" s="4" t="str">
        <f>HYPERLINK("http://141.218.60.56/~jnz1568/getInfo.php?workbook=10_05.xlsx&amp;sheet=U0&amp;row=9077&amp;col=7&amp;number=0.0282&amp;sourceID=14","0.0282")</f>
        <v>0.0282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HYPERLINK("http://141.218.60.56/~jnz1568/getInfo.php?workbook=10_05.xlsx&amp;sheet=U0&amp;row=9078&amp;col=6&amp;number=4.4&amp;sourceID=14","4.4")</f>
        <v>4.4</v>
      </c>
      <c r="G9078" s="4" t="str">
        <f>HYPERLINK("http://141.218.60.56/~jnz1568/getInfo.php?workbook=10_05.xlsx&amp;sheet=U0&amp;row=9078&amp;col=7&amp;number=0.028&amp;sourceID=14","0.028")</f>
        <v>0.028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HYPERLINK("http://141.218.60.56/~jnz1568/getInfo.php?workbook=10_05.xlsx&amp;sheet=U0&amp;row=9079&amp;col=6&amp;number=4.5&amp;sourceID=14","4.5")</f>
        <v>4.5</v>
      </c>
      <c r="G9079" s="4" t="str">
        <f>HYPERLINK("http://141.218.60.56/~jnz1568/getInfo.php?workbook=10_05.xlsx&amp;sheet=U0&amp;row=9079&amp;col=7&amp;number=0.0278&amp;sourceID=14","0.0278")</f>
        <v>0.0278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HYPERLINK("http://141.218.60.56/~jnz1568/getInfo.php?workbook=10_05.xlsx&amp;sheet=U0&amp;row=9080&amp;col=6&amp;number=4.6&amp;sourceID=14","4.6")</f>
        <v>4.6</v>
      </c>
      <c r="G9080" s="4" t="str">
        <f>HYPERLINK("http://141.218.60.56/~jnz1568/getInfo.php?workbook=10_05.xlsx&amp;sheet=U0&amp;row=9080&amp;col=7&amp;number=0.0276&amp;sourceID=14","0.0276")</f>
        <v>0.0276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HYPERLINK("http://141.218.60.56/~jnz1568/getInfo.php?workbook=10_05.xlsx&amp;sheet=U0&amp;row=9081&amp;col=6&amp;number=4.7&amp;sourceID=14","4.7")</f>
        <v>4.7</v>
      </c>
      <c r="G9081" s="4" t="str">
        <f>HYPERLINK("http://141.218.60.56/~jnz1568/getInfo.php?workbook=10_05.xlsx&amp;sheet=U0&amp;row=9081&amp;col=7&amp;number=0.0275&amp;sourceID=14","0.0275")</f>
        <v>0.0275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HYPERLINK("http://141.218.60.56/~jnz1568/getInfo.php?workbook=10_05.xlsx&amp;sheet=U0&amp;row=9082&amp;col=6&amp;number=4.8&amp;sourceID=14","4.8")</f>
        <v>4.8</v>
      </c>
      <c r="G9082" s="4" t="str">
        <f>HYPERLINK("http://141.218.60.56/~jnz1568/getInfo.php?workbook=10_05.xlsx&amp;sheet=U0&amp;row=9082&amp;col=7&amp;number=0.0276&amp;sourceID=14","0.0276")</f>
        <v>0.0276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HYPERLINK("http://141.218.60.56/~jnz1568/getInfo.php?workbook=10_05.xlsx&amp;sheet=U0&amp;row=9083&amp;col=6&amp;number=4.9&amp;sourceID=14","4.9")</f>
        <v>4.9</v>
      </c>
      <c r="G9083" s="4" t="str">
        <f>HYPERLINK("http://141.218.60.56/~jnz1568/getInfo.php?workbook=10_05.xlsx&amp;sheet=U0&amp;row=9083&amp;col=7&amp;number=0.0277&amp;sourceID=14","0.0277")</f>
        <v>0.0277</v>
      </c>
    </row>
    <row r="9084" spans="1:7">
      <c r="A9084" s="3">
        <v>10</v>
      </c>
      <c r="B9084" s="3">
        <v>5</v>
      </c>
      <c r="C9084" s="3">
        <v>3</v>
      </c>
      <c r="D9084" s="3">
        <v>101</v>
      </c>
      <c r="E9084" s="3">
        <v>1</v>
      </c>
      <c r="F9084" s="4" t="str">
        <f>HYPERLINK("http://141.218.60.56/~jnz1568/getInfo.php?workbook=10_05.xlsx&amp;sheet=U0&amp;row=9084&amp;col=6&amp;number=3&amp;sourceID=14","3")</f>
        <v>3</v>
      </c>
      <c r="G9084" s="4" t="str">
        <f>HYPERLINK("http://141.218.60.56/~jnz1568/getInfo.php?workbook=10_05.xlsx&amp;sheet=U0&amp;row=9084&amp;col=7&amp;number=0.0631&amp;sourceID=14","0.0631")</f>
        <v>0.0631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HYPERLINK("http://141.218.60.56/~jnz1568/getInfo.php?workbook=10_05.xlsx&amp;sheet=U0&amp;row=9085&amp;col=6&amp;number=3.1&amp;sourceID=14","3.1")</f>
        <v>3.1</v>
      </c>
      <c r="G9085" s="4" t="str">
        <f>HYPERLINK("http://141.218.60.56/~jnz1568/getInfo.php?workbook=10_05.xlsx&amp;sheet=U0&amp;row=9085&amp;col=7&amp;number=0.0628&amp;sourceID=14","0.0628")</f>
        <v>0.0628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HYPERLINK("http://141.218.60.56/~jnz1568/getInfo.php?workbook=10_05.xlsx&amp;sheet=U0&amp;row=9086&amp;col=6&amp;number=3.2&amp;sourceID=14","3.2")</f>
        <v>3.2</v>
      </c>
      <c r="G9086" s="4" t="str">
        <f>HYPERLINK("http://141.218.60.56/~jnz1568/getInfo.php?workbook=10_05.xlsx&amp;sheet=U0&amp;row=9086&amp;col=7&amp;number=0.0625&amp;sourceID=14","0.0625")</f>
        <v>0.0625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HYPERLINK("http://141.218.60.56/~jnz1568/getInfo.php?workbook=10_05.xlsx&amp;sheet=U0&amp;row=9087&amp;col=6&amp;number=3.3&amp;sourceID=14","3.3")</f>
        <v>3.3</v>
      </c>
      <c r="G9087" s="4" t="str">
        <f>HYPERLINK("http://141.218.60.56/~jnz1568/getInfo.php?workbook=10_05.xlsx&amp;sheet=U0&amp;row=9087&amp;col=7&amp;number=0.062&amp;sourceID=14","0.062")</f>
        <v>0.062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HYPERLINK("http://141.218.60.56/~jnz1568/getInfo.php?workbook=10_05.xlsx&amp;sheet=U0&amp;row=9088&amp;col=6&amp;number=3.4&amp;sourceID=14","3.4")</f>
        <v>3.4</v>
      </c>
      <c r="G9088" s="4" t="str">
        <f>HYPERLINK("http://141.218.60.56/~jnz1568/getInfo.php?workbook=10_05.xlsx&amp;sheet=U0&amp;row=9088&amp;col=7&amp;number=0.0615&amp;sourceID=14","0.0615")</f>
        <v>0.0615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HYPERLINK("http://141.218.60.56/~jnz1568/getInfo.php?workbook=10_05.xlsx&amp;sheet=U0&amp;row=9089&amp;col=6&amp;number=3.5&amp;sourceID=14","3.5")</f>
        <v>3.5</v>
      </c>
      <c r="G9089" s="4" t="str">
        <f>HYPERLINK("http://141.218.60.56/~jnz1568/getInfo.php?workbook=10_05.xlsx&amp;sheet=U0&amp;row=9089&amp;col=7&amp;number=0.0608&amp;sourceID=14","0.0608")</f>
        <v>0.0608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HYPERLINK("http://141.218.60.56/~jnz1568/getInfo.php?workbook=10_05.xlsx&amp;sheet=U0&amp;row=9090&amp;col=6&amp;number=3.6&amp;sourceID=14","3.6")</f>
        <v>3.6</v>
      </c>
      <c r="G9090" s="4" t="str">
        <f>HYPERLINK("http://141.218.60.56/~jnz1568/getInfo.php?workbook=10_05.xlsx&amp;sheet=U0&amp;row=9090&amp;col=7&amp;number=0.06&amp;sourceID=14","0.06")</f>
        <v>0.06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HYPERLINK("http://141.218.60.56/~jnz1568/getInfo.php?workbook=10_05.xlsx&amp;sheet=U0&amp;row=9091&amp;col=6&amp;number=3.7&amp;sourceID=14","3.7")</f>
        <v>3.7</v>
      </c>
      <c r="G9091" s="4" t="str">
        <f>HYPERLINK("http://141.218.60.56/~jnz1568/getInfo.php?workbook=10_05.xlsx&amp;sheet=U0&amp;row=9091&amp;col=7&amp;number=0.0589&amp;sourceID=14","0.0589")</f>
        <v>0.0589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HYPERLINK("http://141.218.60.56/~jnz1568/getInfo.php?workbook=10_05.xlsx&amp;sheet=U0&amp;row=9092&amp;col=6&amp;number=3.8&amp;sourceID=14","3.8")</f>
        <v>3.8</v>
      </c>
      <c r="G9092" s="4" t="str">
        <f>HYPERLINK("http://141.218.60.56/~jnz1568/getInfo.php?workbook=10_05.xlsx&amp;sheet=U0&amp;row=9092&amp;col=7&amp;number=0.0576&amp;sourceID=14","0.0576")</f>
        <v>0.0576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HYPERLINK("http://141.218.60.56/~jnz1568/getInfo.php?workbook=10_05.xlsx&amp;sheet=U0&amp;row=9093&amp;col=6&amp;number=3.9&amp;sourceID=14","3.9")</f>
        <v>3.9</v>
      </c>
      <c r="G9093" s="4" t="str">
        <f>HYPERLINK("http://141.218.60.56/~jnz1568/getInfo.php?workbook=10_05.xlsx&amp;sheet=U0&amp;row=9093&amp;col=7&amp;number=0.056&amp;sourceID=14","0.056")</f>
        <v>0.056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HYPERLINK("http://141.218.60.56/~jnz1568/getInfo.php?workbook=10_05.xlsx&amp;sheet=U0&amp;row=9094&amp;col=6&amp;number=4&amp;sourceID=14","4")</f>
        <v>4</v>
      </c>
      <c r="G9094" s="4" t="str">
        <f>HYPERLINK("http://141.218.60.56/~jnz1568/getInfo.php?workbook=10_05.xlsx&amp;sheet=U0&amp;row=9094&amp;col=7&amp;number=0.054&amp;sourceID=14","0.054")</f>
        <v>0.054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HYPERLINK("http://141.218.60.56/~jnz1568/getInfo.php?workbook=10_05.xlsx&amp;sheet=U0&amp;row=9095&amp;col=6&amp;number=4.1&amp;sourceID=14","4.1")</f>
        <v>4.1</v>
      </c>
      <c r="G9095" s="4" t="str">
        <f>HYPERLINK("http://141.218.60.56/~jnz1568/getInfo.php?workbook=10_05.xlsx&amp;sheet=U0&amp;row=9095&amp;col=7&amp;number=0.0516&amp;sourceID=14","0.0516")</f>
        <v>0.0516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HYPERLINK("http://141.218.60.56/~jnz1568/getInfo.php?workbook=10_05.xlsx&amp;sheet=U0&amp;row=9096&amp;col=6&amp;number=4.2&amp;sourceID=14","4.2")</f>
        <v>4.2</v>
      </c>
      <c r="G9096" s="4" t="str">
        <f>HYPERLINK("http://141.218.60.56/~jnz1568/getInfo.php?workbook=10_05.xlsx&amp;sheet=U0&amp;row=9096&amp;col=7&amp;number=0.0487&amp;sourceID=14","0.0487")</f>
        <v>0.0487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HYPERLINK("http://141.218.60.56/~jnz1568/getInfo.php?workbook=10_05.xlsx&amp;sheet=U0&amp;row=9097&amp;col=6&amp;number=4.3&amp;sourceID=14","4.3")</f>
        <v>4.3</v>
      </c>
      <c r="G9097" s="4" t="str">
        <f>HYPERLINK("http://141.218.60.56/~jnz1568/getInfo.php?workbook=10_05.xlsx&amp;sheet=U0&amp;row=9097&amp;col=7&amp;number=0.0453&amp;sourceID=14","0.0453")</f>
        <v>0.0453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HYPERLINK("http://141.218.60.56/~jnz1568/getInfo.php?workbook=10_05.xlsx&amp;sheet=U0&amp;row=9098&amp;col=6&amp;number=4.4&amp;sourceID=14","4.4")</f>
        <v>4.4</v>
      </c>
      <c r="G9098" s="4" t="str">
        <f>HYPERLINK("http://141.218.60.56/~jnz1568/getInfo.php?workbook=10_05.xlsx&amp;sheet=U0&amp;row=9098&amp;col=7&amp;number=0.0415&amp;sourceID=14","0.0415")</f>
        <v>0.0415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HYPERLINK("http://141.218.60.56/~jnz1568/getInfo.php?workbook=10_05.xlsx&amp;sheet=U0&amp;row=9099&amp;col=6&amp;number=4.5&amp;sourceID=14","4.5")</f>
        <v>4.5</v>
      </c>
      <c r="G9099" s="4" t="str">
        <f>HYPERLINK("http://141.218.60.56/~jnz1568/getInfo.php?workbook=10_05.xlsx&amp;sheet=U0&amp;row=9099&amp;col=7&amp;number=0.0374&amp;sourceID=14","0.0374")</f>
        <v>0.0374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HYPERLINK("http://141.218.60.56/~jnz1568/getInfo.php?workbook=10_05.xlsx&amp;sheet=U0&amp;row=9100&amp;col=6&amp;number=4.6&amp;sourceID=14","4.6")</f>
        <v>4.6</v>
      </c>
      <c r="G9100" s="4" t="str">
        <f>HYPERLINK("http://141.218.60.56/~jnz1568/getInfo.php?workbook=10_05.xlsx&amp;sheet=U0&amp;row=9100&amp;col=7&amp;number=0.0333&amp;sourceID=14","0.0333")</f>
        <v>0.0333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HYPERLINK("http://141.218.60.56/~jnz1568/getInfo.php?workbook=10_05.xlsx&amp;sheet=U0&amp;row=9101&amp;col=6&amp;number=4.7&amp;sourceID=14","4.7")</f>
        <v>4.7</v>
      </c>
      <c r="G9101" s="4" t="str">
        <f>HYPERLINK("http://141.218.60.56/~jnz1568/getInfo.php?workbook=10_05.xlsx&amp;sheet=U0&amp;row=9101&amp;col=7&amp;number=0.0295&amp;sourceID=14","0.0295")</f>
        <v>0.0295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HYPERLINK("http://141.218.60.56/~jnz1568/getInfo.php?workbook=10_05.xlsx&amp;sheet=U0&amp;row=9102&amp;col=6&amp;number=4.8&amp;sourceID=14","4.8")</f>
        <v>4.8</v>
      </c>
      <c r="G9102" s="4" t="str">
        <f>HYPERLINK("http://141.218.60.56/~jnz1568/getInfo.php?workbook=10_05.xlsx&amp;sheet=U0&amp;row=9102&amp;col=7&amp;number=0.0261&amp;sourceID=14","0.0261")</f>
        <v>0.0261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HYPERLINK("http://141.218.60.56/~jnz1568/getInfo.php?workbook=10_05.xlsx&amp;sheet=U0&amp;row=9103&amp;col=6&amp;number=4.9&amp;sourceID=14","4.9")</f>
        <v>4.9</v>
      </c>
      <c r="G9103" s="4" t="str">
        <f>HYPERLINK("http://141.218.60.56/~jnz1568/getInfo.php?workbook=10_05.xlsx&amp;sheet=U0&amp;row=9103&amp;col=7&amp;number=0.0232&amp;sourceID=14","0.0232")</f>
        <v>0.0232</v>
      </c>
    </row>
    <row r="9104" spans="1:7">
      <c r="A9104" s="3">
        <v>10</v>
      </c>
      <c r="B9104" s="3">
        <v>5</v>
      </c>
      <c r="C9104" s="3">
        <v>3</v>
      </c>
      <c r="D9104" s="3">
        <v>102</v>
      </c>
      <c r="E9104" s="3">
        <v>1</v>
      </c>
      <c r="F9104" s="4" t="str">
        <f>HYPERLINK("http://141.218.60.56/~jnz1568/getInfo.php?workbook=10_05.xlsx&amp;sheet=U0&amp;row=9104&amp;col=6&amp;number=3&amp;sourceID=14","3")</f>
        <v>3</v>
      </c>
      <c r="G9104" s="4" t="str">
        <f>HYPERLINK("http://141.218.60.56/~jnz1568/getInfo.php?workbook=10_05.xlsx&amp;sheet=U0&amp;row=9104&amp;col=7&amp;number=0.0104&amp;sourceID=14","0.0104")</f>
        <v>0.0104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HYPERLINK("http://141.218.60.56/~jnz1568/getInfo.php?workbook=10_05.xlsx&amp;sheet=U0&amp;row=9105&amp;col=6&amp;number=3.1&amp;sourceID=14","3.1")</f>
        <v>3.1</v>
      </c>
      <c r="G9105" s="4" t="str">
        <f>HYPERLINK("http://141.218.60.56/~jnz1568/getInfo.php?workbook=10_05.xlsx&amp;sheet=U0&amp;row=9105&amp;col=7&amp;number=0.0103&amp;sourceID=14","0.0103")</f>
        <v>0.0103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HYPERLINK("http://141.218.60.56/~jnz1568/getInfo.php?workbook=10_05.xlsx&amp;sheet=U0&amp;row=9106&amp;col=6&amp;number=3.2&amp;sourceID=14","3.2")</f>
        <v>3.2</v>
      </c>
      <c r="G9106" s="4" t="str">
        <f>HYPERLINK("http://141.218.60.56/~jnz1568/getInfo.php?workbook=10_05.xlsx&amp;sheet=U0&amp;row=9106&amp;col=7&amp;number=0.0103&amp;sourceID=14","0.0103")</f>
        <v>0.0103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HYPERLINK("http://141.218.60.56/~jnz1568/getInfo.php?workbook=10_05.xlsx&amp;sheet=U0&amp;row=9107&amp;col=6&amp;number=3.3&amp;sourceID=14","3.3")</f>
        <v>3.3</v>
      </c>
      <c r="G9107" s="4" t="str">
        <f>HYPERLINK("http://141.218.60.56/~jnz1568/getInfo.php?workbook=10_05.xlsx&amp;sheet=U0&amp;row=9107&amp;col=7&amp;number=0.0102&amp;sourceID=14","0.0102")</f>
        <v>0.0102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HYPERLINK("http://141.218.60.56/~jnz1568/getInfo.php?workbook=10_05.xlsx&amp;sheet=U0&amp;row=9108&amp;col=6&amp;number=3.4&amp;sourceID=14","3.4")</f>
        <v>3.4</v>
      </c>
      <c r="G9108" s="4" t="str">
        <f>HYPERLINK("http://141.218.60.56/~jnz1568/getInfo.php?workbook=10_05.xlsx&amp;sheet=U0&amp;row=9108&amp;col=7&amp;number=0.0101&amp;sourceID=14","0.0101")</f>
        <v>0.0101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HYPERLINK("http://141.218.60.56/~jnz1568/getInfo.php?workbook=10_05.xlsx&amp;sheet=U0&amp;row=9109&amp;col=6&amp;number=3.5&amp;sourceID=14","3.5")</f>
        <v>3.5</v>
      </c>
      <c r="G9109" s="4" t="str">
        <f>HYPERLINK("http://141.218.60.56/~jnz1568/getInfo.php?workbook=10_05.xlsx&amp;sheet=U0&amp;row=9109&amp;col=7&amp;number=0.01&amp;sourceID=14","0.01")</f>
        <v>0.01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HYPERLINK("http://141.218.60.56/~jnz1568/getInfo.php?workbook=10_05.xlsx&amp;sheet=U0&amp;row=9110&amp;col=6&amp;number=3.6&amp;sourceID=14","3.6")</f>
        <v>3.6</v>
      </c>
      <c r="G9110" s="4" t="str">
        <f>HYPERLINK("http://141.218.60.56/~jnz1568/getInfo.php?workbook=10_05.xlsx&amp;sheet=U0&amp;row=9110&amp;col=7&amp;number=0.00987&amp;sourceID=14","0.00987")</f>
        <v>0.00987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HYPERLINK("http://141.218.60.56/~jnz1568/getInfo.php?workbook=10_05.xlsx&amp;sheet=U0&amp;row=9111&amp;col=6&amp;number=3.7&amp;sourceID=14","3.7")</f>
        <v>3.7</v>
      </c>
      <c r="G9111" s="4" t="str">
        <f>HYPERLINK("http://141.218.60.56/~jnz1568/getInfo.php?workbook=10_05.xlsx&amp;sheet=U0&amp;row=9111&amp;col=7&amp;number=0.00971&amp;sourceID=14","0.00971")</f>
        <v>0.00971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HYPERLINK("http://141.218.60.56/~jnz1568/getInfo.php?workbook=10_05.xlsx&amp;sheet=U0&amp;row=9112&amp;col=6&amp;number=3.8&amp;sourceID=14","3.8")</f>
        <v>3.8</v>
      </c>
      <c r="G9112" s="4" t="str">
        <f>HYPERLINK("http://141.218.60.56/~jnz1568/getInfo.php?workbook=10_05.xlsx&amp;sheet=U0&amp;row=9112&amp;col=7&amp;number=0.00951&amp;sourceID=14","0.00951")</f>
        <v>0.00951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HYPERLINK("http://141.218.60.56/~jnz1568/getInfo.php?workbook=10_05.xlsx&amp;sheet=U0&amp;row=9113&amp;col=6&amp;number=3.9&amp;sourceID=14","3.9")</f>
        <v>3.9</v>
      </c>
      <c r="G9113" s="4" t="str">
        <f>HYPERLINK("http://141.218.60.56/~jnz1568/getInfo.php?workbook=10_05.xlsx&amp;sheet=U0&amp;row=9113&amp;col=7&amp;number=0.00927&amp;sourceID=14","0.00927")</f>
        <v>0.00927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HYPERLINK("http://141.218.60.56/~jnz1568/getInfo.php?workbook=10_05.xlsx&amp;sheet=U0&amp;row=9114&amp;col=6&amp;number=4&amp;sourceID=14","4")</f>
        <v>4</v>
      </c>
      <c r="G9114" s="4" t="str">
        <f>HYPERLINK("http://141.218.60.56/~jnz1568/getInfo.php?workbook=10_05.xlsx&amp;sheet=U0&amp;row=9114&amp;col=7&amp;number=0.00899&amp;sourceID=14","0.00899")</f>
        <v>0.00899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HYPERLINK("http://141.218.60.56/~jnz1568/getInfo.php?workbook=10_05.xlsx&amp;sheet=U0&amp;row=9115&amp;col=6&amp;number=4.1&amp;sourceID=14","4.1")</f>
        <v>4.1</v>
      </c>
      <c r="G9115" s="4" t="str">
        <f>HYPERLINK("http://141.218.60.56/~jnz1568/getInfo.php?workbook=10_05.xlsx&amp;sheet=U0&amp;row=9115&amp;col=7&amp;number=0.00866&amp;sourceID=14","0.00866")</f>
        <v>0.00866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HYPERLINK("http://141.218.60.56/~jnz1568/getInfo.php?workbook=10_05.xlsx&amp;sheet=U0&amp;row=9116&amp;col=6&amp;number=4.2&amp;sourceID=14","4.2")</f>
        <v>4.2</v>
      </c>
      <c r="G9116" s="4" t="str">
        <f>HYPERLINK("http://141.218.60.56/~jnz1568/getInfo.php?workbook=10_05.xlsx&amp;sheet=U0&amp;row=9116&amp;col=7&amp;number=0.00829&amp;sourceID=14","0.00829")</f>
        <v>0.00829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HYPERLINK("http://141.218.60.56/~jnz1568/getInfo.php?workbook=10_05.xlsx&amp;sheet=U0&amp;row=9117&amp;col=6&amp;number=4.3&amp;sourceID=14","4.3")</f>
        <v>4.3</v>
      </c>
      <c r="G9117" s="4" t="str">
        <f>HYPERLINK("http://141.218.60.56/~jnz1568/getInfo.php?workbook=10_05.xlsx&amp;sheet=U0&amp;row=9117&amp;col=7&amp;number=0.00789&amp;sourceID=14","0.00789")</f>
        <v>0.00789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HYPERLINK("http://141.218.60.56/~jnz1568/getInfo.php?workbook=10_05.xlsx&amp;sheet=U0&amp;row=9118&amp;col=6&amp;number=4.4&amp;sourceID=14","4.4")</f>
        <v>4.4</v>
      </c>
      <c r="G9118" s="4" t="str">
        <f>HYPERLINK("http://141.218.60.56/~jnz1568/getInfo.php?workbook=10_05.xlsx&amp;sheet=U0&amp;row=9118&amp;col=7&amp;number=0.00751&amp;sourceID=14","0.00751")</f>
        <v>0.00751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HYPERLINK("http://141.218.60.56/~jnz1568/getInfo.php?workbook=10_05.xlsx&amp;sheet=U0&amp;row=9119&amp;col=6&amp;number=4.5&amp;sourceID=14","4.5")</f>
        <v>4.5</v>
      </c>
      <c r="G9119" s="4" t="str">
        <f>HYPERLINK("http://141.218.60.56/~jnz1568/getInfo.php?workbook=10_05.xlsx&amp;sheet=U0&amp;row=9119&amp;col=7&amp;number=0.00716&amp;sourceID=14","0.00716")</f>
        <v>0.00716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HYPERLINK("http://141.218.60.56/~jnz1568/getInfo.php?workbook=10_05.xlsx&amp;sheet=U0&amp;row=9120&amp;col=6&amp;number=4.6&amp;sourceID=14","4.6")</f>
        <v>4.6</v>
      </c>
      <c r="G9120" s="4" t="str">
        <f>HYPERLINK("http://141.218.60.56/~jnz1568/getInfo.php?workbook=10_05.xlsx&amp;sheet=U0&amp;row=9120&amp;col=7&amp;number=0.00687&amp;sourceID=14","0.00687")</f>
        <v>0.00687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HYPERLINK("http://141.218.60.56/~jnz1568/getInfo.php?workbook=10_05.xlsx&amp;sheet=U0&amp;row=9121&amp;col=6&amp;number=4.7&amp;sourceID=14","4.7")</f>
        <v>4.7</v>
      </c>
      <c r="G9121" s="4" t="str">
        <f>HYPERLINK("http://141.218.60.56/~jnz1568/getInfo.php?workbook=10_05.xlsx&amp;sheet=U0&amp;row=9121&amp;col=7&amp;number=0.0066&amp;sourceID=14","0.0066")</f>
        <v>0.0066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HYPERLINK("http://141.218.60.56/~jnz1568/getInfo.php?workbook=10_05.xlsx&amp;sheet=U0&amp;row=9122&amp;col=6&amp;number=4.8&amp;sourceID=14","4.8")</f>
        <v>4.8</v>
      </c>
      <c r="G9122" s="4" t="str">
        <f>HYPERLINK("http://141.218.60.56/~jnz1568/getInfo.php?workbook=10_05.xlsx&amp;sheet=U0&amp;row=9122&amp;col=7&amp;number=0.00634&amp;sourceID=14","0.00634")</f>
        <v>0.00634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HYPERLINK("http://141.218.60.56/~jnz1568/getInfo.php?workbook=10_05.xlsx&amp;sheet=U0&amp;row=9123&amp;col=6&amp;number=4.9&amp;sourceID=14","4.9")</f>
        <v>4.9</v>
      </c>
      <c r="G9123" s="4" t="str">
        <f>HYPERLINK("http://141.218.60.56/~jnz1568/getInfo.php?workbook=10_05.xlsx&amp;sheet=U0&amp;row=9123&amp;col=7&amp;number=0.00609&amp;sourceID=14","0.00609")</f>
        <v>0.00609</v>
      </c>
    </row>
    <row r="9124" spans="1:7">
      <c r="A9124" s="3">
        <v>10</v>
      </c>
      <c r="B9124" s="3">
        <v>5</v>
      </c>
      <c r="C9124" s="3">
        <v>3</v>
      </c>
      <c r="D9124" s="3">
        <v>103</v>
      </c>
      <c r="E9124" s="3">
        <v>1</v>
      </c>
      <c r="F9124" s="4" t="str">
        <f>HYPERLINK("http://141.218.60.56/~jnz1568/getInfo.php?workbook=10_05.xlsx&amp;sheet=U0&amp;row=9124&amp;col=6&amp;number=3&amp;sourceID=14","3")</f>
        <v>3</v>
      </c>
      <c r="G9124" s="4" t="str">
        <f>HYPERLINK("http://141.218.60.56/~jnz1568/getInfo.php?workbook=10_05.xlsx&amp;sheet=U0&amp;row=9124&amp;col=7&amp;number=0.0337&amp;sourceID=14","0.0337")</f>
        <v>0.0337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HYPERLINK("http://141.218.60.56/~jnz1568/getInfo.php?workbook=10_05.xlsx&amp;sheet=U0&amp;row=9125&amp;col=6&amp;number=3.1&amp;sourceID=14","3.1")</f>
        <v>3.1</v>
      </c>
      <c r="G9125" s="4" t="str">
        <f>HYPERLINK("http://141.218.60.56/~jnz1568/getInfo.php?workbook=10_05.xlsx&amp;sheet=U0&amp;row=9125&amp;col=7&amp;number=0.0335&amp;sourceID=14","0.0335")</f>
        <v>0.0335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HYPERLINK("http://141.218.60.56/~jnz1568/getInfo.php?workbook=10_05.xlsx&amp;sheet=U0&amp;row=9126&amp;col=6&amp;number=3.2&amp;sourceID=14","3.2")</f>
        <v>3.2</v>
      </c>
      <c r="G9126" s="4" t="str">
        <f>HYPERLINK("http://141.218.60.56/~jnz1568/getInfo.php?workbook=10_05.xlsx&amp;sheet=U0&amp;row=9126&amp;col=7&amp;number=0.0332&amp;sourceID=14","0.0332")</f>
        <v>0.0332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HYPERLINK("http://141.218.60.56/~jnz1568/getInfo.php?workbook=10_05.xlsx&amp;sheet=U0&amp;row=9127&amp;col=6&amp;number=3.3&amp;sourceID=14","3.3")</f>
        <v>3.3</v>
      </c>
      <c r="G9127" s="4" t="str">
        <f>HYPERLINK("http://141.218.60.56/~jnz1568/getInfo.php?workbook=10_05.xlsx&amp;sheet=U0&amp;row=9127&amp;col=7&amp;number=0.0329&amp;sourceID=14","0.0329")</f>
        <v>0.0329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HYPERLINK("http://141.218.60.56/~jnz1568/getInfo.php?workbook=10_05.xlsx&amp;sheet=U0&amp;row=9128&amp;col=6&amp;number=3.4&amp;sourceID=14","3.4")</f>
        <v>3.4</v>
      </c>
      <c r="G9128" s="4" t="str">
        <f>HYPERLINK("http://141.218.60.56/~jnz1568/getInfo.php?workbook=10_05.xlsx&amp;sheet=U0&amp;row=9128&amp;col=7&amp;number=0.0324&amp;sourceID=14","0.0324")</f>
        <v>0.0324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HYPERLINK("http://141.218.60.56/~jnz1568/getInfo.php?workbook=10_05.xlsx&amp;sheet=U0&amp;row=9129&amp;col=6&amp;number=3.5&amp;sourceID=14","3.5")</f>
        <v>3.5</v>
      </c>
      <c r="G9129" s="4" t="str">
        <f>HYPERLINK("http://141.218.60.56/~jnz1568/getInfo.php?workbook=10_05.xlsx&amp;sheet=U0&amp;row=9129&amp;col=7&amp;number=0.0319&amp;sourceID=14","0.0319")</f>
        <v>0.0319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HYPERLINK("http://141.218.60.56/~jnz1568/getInfo.php?workbook=10_05.xlsx&amp;sheet=U0&amp;row=9130&amp;col=6&amp;number=3.6&amp;sourceID=14","3.6")</f>
        <v>3.6</v>
      </c>
      <c r="G9130" s="4" t="str">
        <f>HYPERLINK("http://141.218.60.56/~jnz1568/getInfo.php?workbook=10_05.xlsx&amp;sheet=U0&amp;row=9130&amp;col=7&amp;number=0.0312&amp;sourceID=14","0.0312")</f>
        <v>0.0312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HYPERLINK("http://141.218.60.56/~jnz1568/getInfo.php?workbook=10_05.xlsx&amp;sheet=U0&amp;row=9131&amp;col=6&amp;number=3.7&amp;sourceID=14","3.7")</f>
        <v>3.7</v>
      </c>
      <c r="G9131" s="4" t="str">
        <f>HYPERLINK("http://141.218.60.56/~jnz1568/getInfo.php?workbook=10_05.xlsx&amp;sheet=U0&amp;row=9131&amp;col=7&amp;number=0.0304&amp;sourceID=14","0.0304")</f>
        <v>0.0304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HYPERLINK("http://141.218.60.56/~jnz1568/getInfo.php?workbook=10_05.xlsx&amp;sheet=U0&amp;row=9132&amp;col=6&amp;number=3.8&amp;sourceID=14","3.8")</f>
        <v>3.8</v>
      </c>
      <c r="G9132" s="4" t="str">
        <f>HYPERLINK("http://141.218.60.56/~jnz1568/getInfo.php?workbook=10_05.xlsx&amp;sheet=U0&amp;row=9132&amp;col=7&amp;number=0.0294&amp;sourceID=14","0.0294")</f>
        <v>0.0294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HYPERLINK("http://141.218.60.56/~jnz1568/getInfo.php?workbook=10_05.xlsx&amp;sheet=U0&amp;row=9133&amp;col=6&amp;number=3.9&amp;sourceID=14","3.9")</f>
        <v>3.9</v>
      </c>
      <c r="G9133" s="4" t="str">
        <f>HYPERLINK("http://141.218.60.56/~jnz1568/getInfo.php?workbook=10_05.xlsx&amp;sheet=U0&amp;row=9133&amp;col=7&amp;number=0.0282&amp;sourceID=14","0.0282")</f>
        <v>0.0282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HYPERLINK("http://141.218.60.56/~jnz1568/getInfo.php?workbook=10_05.xlsx&amp;sheet=U0&amp;row=9134&amp;col=6&amp;number=4&amp;sourceID=14","4")</f>
        <v>4</v>
      </c>
      <c r="G9134" s="4" t="str">
        <f>HYPERLINK("http://141.218.60.56/~jnz1568/getInfo.php?workbook=10_05.xlsx&amp;sheet=U0&amp;row=9134&amp;col=7&amp;number=0.0267&amp;sourceID=14","0.0267")</f>
        <v>0.0267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HYPERLINK("http://141.218.60.56/~jnz1568/getInfo.php?workbook=10_05.xlsx&amp;sheet=U0&amp;row=9135&amp;col=6&amp;number=4.1&amp;sourceID=14","4.1")</f>
        <v>4.1</v>
      </c>
      <c r="G9135" s="4" t="str">
        <f>HYPERLINK("http://141.218.60.56/~jnz1568/getInfo.php?workbook=10_05.xlsx&amp;sheet=U0&amp;row=9135&amp;col=7&amp;number=0.025&amp;sourceID=14","0.025")</f>
        <v>0.025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HYPERLINK("http://141.218.60.56/~jnz1568/getInfo.php?workbook=10_05.xlsx&amp;sheet=U0&amp;row=9136&amp;col=6&amp;number=4.2&amp;sourceID=14","4.2")</f>
        <v>4.2</v>
      </c>
      <c r="G9136" s="4" t="str">
        <f>HYPERLINK("http://141.218.60.56/~jnz1568/getInfo.php?workbook=10_05.xlsx&amp;sheet=U0&amp;row=9136&amp;col=7&amp;number=0.023&amp;sourceID=14","0.023")</f>
        <v>0.023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HYPERLINK("http://141.218.60.56/~jnz1568/getInfo.php?workbook=10_05.xlsx&amp;sheet=U0&amp;row=9137&amp;col=6&amp;number=4.3&amp;sourceID=14","4.3")</f>
        <v>4.3</v>
      </c>
      <c r="G9137" s="4" t="str">
        <f>HYPERLINK("http://141.218.60.56/~jnz1568/getInfo.php?workbook=10_05.xlsx&amp;sheet=U0&amp;row=9137&amp;col=7&amp;number=0.0209&amp;sourceID=14","0.0209")</f>
        <v>0.0209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HYPERLINK("http://141.218.60.56/~jnz1568/getInfo.php?workbook=10_05.xlsx&amp;sheet=U0&amp;row=9138&amp;col=6&amp;number=4.4&amp;sourceID=14","4.4")</f>
        <v>4.4</v>
      </c>
      <c r="G9138" s="4" t="str">
        <f>HYPERLINK("http://141.218.60.56/~jnz1568/getInfo.php?workbook=10_05.xlsx&amp;sheet=U0&amp;row=9138&amp;col=7&amp;number=0.0186&amp;sourceID=14","0.0186")</f>
        <v>0.0186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HYPERLINK("http://141.218.60.56/~jnz1568/getInfo.php?workbook=10_05.xlsx&amp;sheet=U0&amp;row=9139&amp;col=6&amp;number=4.5&amp;sourceID=14","4.5")</f>
        <v>4.5</v>
      </c>
      <c r="G9139" s="4" t="str">
        <f>HYPERLINK("http://141.218.60.56/~jnz1568/getInfo.php?workbook=10_05.xlsx&amp;sheet=U0&amp;row=9139&amp;col=7&amp;number=0.0164&amp;sourceID=14","0.0164")</f>
        <v>0.0164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HYPERLINK("http://141.218.60.56/~jnz1568/getInfo.php?workbook=10_05.xlsx&amp;sheet=U0&amp;row=9140&amp;col=6&amp;number=4.6&amp;sourceID=14","4.6")</f>
        <v>4.6</v>
      </c>
      <c r="G9140" s="4" t="str">
        <f>HYPERLINK("http://141.218.60.56/~jnz1568/getInfo.php?workbook=10_05.xlsx&amp;sheet=U0&amp;row=9140&amp;col=7&amp;number=0.0143&amp;sourceID=14","0.0143")</f>
        <v>0.0143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HYPERLINK("http://141.218.60.56/~jnz1568/getInfo.php?workbook=10_05.xlsx&amp;sheet=U0&amp;row=9141&amp;col=6&amp;number=4.7&amp;sourceID=14","4.7")</f>
        <v>4.7</v>
      </c>
      <c r="G9141" s="4" t="str">
        <f>HYPERLINK("http://141.218.60.56/~jnz1568/getInfo.php?workbook=10_05.xlsx&amp;sheet=U0&amp;row=9141&amp;col=7&amp;number=0.0124&amp;sourceID=14","0.0124")</f>
        <v>0.0124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HYPERLINK("http://141.218.60.56/~jnz1568/getInfo.php?workbook=10_05.xlsx&amp;sheet=U0&amp;row=9142&amp;col=6&amp;number=4.8&amp;sourceID=14","4.8")</f>
        <v>4.8</v>
      </c>
      <c r="G9142" s="4" t="str">
        <f>HYPERLINK("http://141.218.60.56/~jnz1568/getInfo.php?workbook=10_05.xlsx&amp;sheet=U0&amp;row=9142&amp;col=7&amp;number=0.0106&amp;sourceID=14","0.0106")</f>
        <v>0.0106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HYPERLINK("http://141.218.60.56/~jnz1568/getInfo.php?workbook=10_05.xlsx&amp;sheet=U0&amp;row=9143&amp;col=6&amp;number=4.9&amp;sourceID=14","4.9")</f>
        <v>4.9</v>
      </c>
      <c r="G9143" s="4" t="str">
        <f>HYPERLINK("http://141.218.60.56/~jnz1568/getInfo.php?workbook=10_05.xlsx&amp;sheet=U0&amp;row=9143&amp;col=7&amp;number=0.00902&amp;sourceID=14","0.00902")</f>
        <v>0.00902</v>
      </c>
    </row>
    <row r="9144" spans="1:7">
      <c r="A9144" s="3">
        <v>10</v>
      </c>
      <c r="B9144" s="3">
        <v>5</v>
      </c>
      <c r="C9144" s="3">
        <v>3</v>
      </c>
      <c r="D9144" s="3">
        <v>104</v>
      </c>
      <c r="E9144" s="3">
        <v>1</v>
      </c>
      <c r="F9144" s="4" t="str">
        <f>HYPERLINK("http://141.218.60.56/~jnz1568/getInfo.php?workbook=10_05.xlsx&amp;sheet=U0&amp;row=9144&amp;col=6&amp;number=3&amp;sourceID=14","3")</f>
        <v>3</v>
      </c>
      <c r="G9144" s="4" t="str">
        <f>HYPERLINK("http://141.218.60.56/~jnz1568/getInfo.php?workbook=10_05.xlsx&amp;sheet=U0&amp;row=9144&amp;col=7&amp;number=0.00565&amp;sourceID=14","0.00565")</f>
        <v>0.00565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HYPERLINK("http://141.218.60.56/~jnz1568/getInfo.php?workbook=10_05.xlsx&amp;sheet=U0&amp;row=9145&amp;col=6&amp;number=3.1&amp;sourceID=14","3.1")</f>
        <v>3.1</v>
      </c>
      <c r="G9145" s="4" t="str">
        <f>HYPERLINK("http://141.218.60.56/~jnz1568/getInfo.php?workbook=10_05.xlsx&amp;sheet=U0&amp;row=9145&amp;col=7&amp;number=0.0056&amp;sourceID=14","0.0056")</f>
        <v>0.0056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HYPERLINK("http://141.218.60.56/~jnz1568/getInfo.php?workbook=10_05.xlsx&amp;sheet=U0&amp;row=9146&amp;col=6&amp;number=3.2&amp;sourceID=14","3.2")</f>
        <v>3.2</v>
      </c>
      <c r="G9146" s="4" t="str">
        <f>HYPERLINK("http://141.218.60.56/~jnz1568/getInfo.php?workbook=10_05.xlsx&amp;sheet=U0&amp;row=9146&amp;col=7&amp;number=0.00553&amp;sourceID=14","0.00553")</f>
        <v>0.00553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HYPERLINK("http://141.218.60.56/~jnz1568/getInfo.php?workbook=10_05.xlsx&amp;sheet=U0&amp;row=9147&amp;col=6&amp;number=3.3&amp;sourceID=14","3.3")</f>
        <v>3.3</v>
      </c>
      <c r="G9147" s="4" t="str">
        <f>HYPERLINK("http://141.218.60.56/~jnz1568/getInfo.php?workbook=10_05.xlsx&amp;sheet=U0&amp;row=9147&amp;col=7&amp;number=0.00545&amp;sourceID=14","0.00545")</f>
        <v>0.00545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HYPERLINK("http://141.218.60.56/~jnz1568/getInfo.php?workbook=10_05.xlsx&amp;sheet=U0&amp;row=9148&amp;col=6&amp;number=3.4&amp;sourceID=14","3.4")</f>
        <v>3.4</v>
      </c>
      <c r="G9148" s="4" t="str">
        <f>HYPERLINK("http://141.218.60.56/~jnz1568/getInfo.php?workbook=10_05.xlsx&amp;sheet=U0&amp;row=9148&amp;col=7&amp;number=0.00535&amp;sourceID=14","0.00535")</f>
        <v>0.00535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HYPERLINK("http://141.218.60.56/~jnz1568/getInfo.php?workbook=10_05.xlsx&amp;sheet=U0&amp;row=9149&amp;col=6&amp;number=3.5&amp;sourceID=14","3.5")</f>
        <v>3.5</v>
      </c>
      <c r="G9149" s="4" t="str">
        <f>HYPERLINK("http://141.218.60.56/~jnz1568/getInfo.php?workbook=10_05.xlsx&amp;sheet=U0&amp;row=9149&amp;col=7&amp;number=0.00522&amp;sourceID=14","0.00522")</f>
        <v>0.00522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HYPERLINK("http://141.218.60.56/~jnz1568/getInfo.php?workbook=10_05.xlsx&amp;sheet=U0&amp;row=9150&amp;col=6&amp;number=3.6&amp;sourceID=14","3.6")</f>
        <v>3.6</v>
      </c>
      <c r="G9150" s="4" t="str">
        <f>HYPERLINK("http://141.218.60.56/~jnz1568/getInfo.php?workbook=10_05.xlsx&amp;sheet=U0&amp;row=9150&amp;col=7&amp;number=0.00506&amp;sourceID=14","0.00506")</f>
        <v>0.00506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HYPERLINK("http://141.218.60.56/~jnz1568/getInfo.php?workbook=10_05.xlsx&amp;sheet=U0&amp;row=9151&amp;col=6&amp;number=3.7&amp;sourceID=14","3.7")</f>
        <v>3.7</v>
      </c>
      <c r="G9151" s="4" t="str">
        <f>HYPERLINK("http://141.218.60.56/~jnz1568/getInfo.php?workbook=10_05.xlsx&amp;sheet=U0&amp;row=9151&amp;col=7&amp;number=0.00487&amp;sourceID=14","0.00487")</f>
        <v>0.00487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HYPERLINK("http://141.218.60.56/~jnz1568/getInfo.php?workbook=10_05.xlsx&amp;sheet=U0&amp;row=9152&amp;col=6&amp;number=3.8&amp;sourceID=14","3.8")</f>
        <v>3.8</v>
      </c>
      <c r="G9152" s="4" t="str">
        <f>HYPERLINK("http://141.218.60.56/~jnz1568/getInfo.php?workbook=10_05.xlsx&amp;sheet=U0&amp;row=9152&amp;col=7&amp;number=0.00464&amp;sourceID=14","0.00464")</f>
        <v>0.00464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HYPERLINK("http://141.218.60.56/~jnz1568/getInfo.php?workbook=10_05.xlsx&amp;sheet=U0&amp;row=9153&amp;col=6&amp;number=3.9&amp;sourceID=14","3.9")</f>
        <v>3.9</v>
      </c>
      <c r="G9153" s="4" t="str">
        <f>HYPERLINK("http://141.218.60.56/~jnz1568/getInfo.php?workbook=10_05.xlsx&amp;sheet=U0&amp;row=9153&amp;col=7&amp;number=0.00437&amp;sourceID=14","0.00437")</f>
        <v>0.00437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HYPERLINK("http://141.218.60.56/~jnz1568/getInfo.php?workbook=10_05.xlsx&amp;sheet=U0&amp;row=9154&amp;col=6&amp;number=4&amp;sourceID=14","4")</f>
        <v>4</v>
      </c>
      <c r="G9154" s="4" t="str">
        <f>HYPERLINK("http://141.218.60.56/~jnz1568/getInfo.php?workbook=10_05.xlsx&amp;sheet=U0&amp;row=9154&amp;col=7&amp;number=0.00406&amp;sourceID=14","0.00406")</f>
        <v>0.00406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HYPERLINK("http://141.218.60.56/~jnz1568/getInfo.php?workbook=10_05.xlsx&amp;sheet=U0&amp;row=9155&amp;col=6&amp;number=4.1&amp;sourceID=14","4.1")</f>
        <v>4.1</v>
      </c>
      <c r="G9155" s="4" t="str">
        <f>HYPERLINK("http://141.218.60.56/~jnz1568/getInfo.php?workbook=10_05.xlsx&amp;sheet=U0&amp;row=9155&amp;col=7&amp;number=0.0037&amp;sourceID=14","0.0037")</f>
        <v>0.0037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HYPERLINK("http://141.218.60.56/~jnz1568/getInfo.php?workbook=10_05.xlsx&amp;sheet=U0&amp;row=9156&amp;col=6&amp;number=4.2&amp;sourceID=14","4.2")</f>
        <v>4.2</v>
      </c>
      <c r="G9156" s="4" t="str">
        <f>HYPERLINK("http://141.218.60.56/~jnz1568/getInfo.php?workbook=10_05.xlsx&amp;sheet=U0&amp;row=9156&amp;col=7&amp;number=0.00333&amp;sourceID=14","0.00333")</f>
        <v>0.00333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HYPERLINK("http://141.218.60.56/~jnz1568/getInfo.php?workbook=10_05.xlsx&amp;sheet=U0&amp;row=9157&amp;col=6&amp;number=4.3&amp;sourceID=14","4.3")</f>
        <v>4.3</v>
      </c>
      <c r="G9157" s="4" t="str">
        <f>HYPERLINK("http://141.218.60.56/~jnz1568/getInfo.php?workbook=10_05.xlsx&amp;sheet=U0&amp;row=9157&amp;col=7&amp;number=0.00297&amp;sourceID=14","0.00297")</f>
        <v>0.00297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HYPERLINK("http://141.218.60.56/~jnz1568/getInfo.php?workbook=10_05.xlsx&amp;sheet=U0&amp;row=9158&amp;col=6&amp;number=4.4&amp;sourceID=14","4.4")</f>
        <v>4.4</v>
      </c>
      <c r="G9158" s="4" t="str">
        <f>HYPERLINK("http://141.218.60.56/~jnz1568/getInfo.php?workbook=10_05.xlsx&amp;sheet=U0&amp;row=9158&amp;col=7&amp;number=0.00263&amp;sourceID=14","0.00263")</f>
        <v>0.00263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HYPERLINK("http://141.218.60.56/~jnz1568/getInfo.php?workbook=10_05.xlsx&amp;sheet=U0&amp;row=9159&amp;col=6&amp;number=4.5&amp;sourceID=14","4.5")</f>
        <v>4.5</v>
      </c>
      <c r="G9159" s="4" t="str">
        <f>HYPERLINK("http://141.218.60.56/~jnz1568/getInfo.php?workbook=10_05.xlsx&amp;sheet=U0&amp;row=9159&amp;col=7&amp;number=0.00231&amp;sourceID=14","0.00231")</f>
        <v>0.00231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HYPERLINK("http://141.218.60.56/~jnz1568/getInfo.php?workbook=10_05.xlsx&amp;sheet=U0&amp;row=9160&amp;col=6&amp;number=4.6&amp;sourceID=14","4.6")</f>
        <v>4.6</v>
      </c>
      <c r="G9160" s="4" t="str">
        <f>HYPERLINK("http://141.218.60.56/~jnz1568/getInfo.php?workbook=10_05.xlsx&amp;sheet=U0&amp;row=9160&amp;col=7&amp;number=0.00202&amp;sourceID=14","0.00202")</f>
        <v>0.00202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HYPERLINK("http://141.218.60.56/~jnz1568/getInfo.php?workbook=10_05.xlsx&amp;sheet=U0&amp;row=9161&amp;col=6&amp;number=4.7&amp;sourceID=14","4.7")</f>
        <v>4.7</v>
      </c>
      <c r="G9161" s="4" t="str">
        <f>HYPERLINK("http://141.218.60.56/~jnz1568/getInfo.php?workbook=10_05.xlsx&amp;sheet=U0&amp;row=9161&amp;col=7&amp;number=0.00176&amp;sourceID=14","0.00176")</f>
        <v>0.00176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HYPERLINK("http://141.218.60.56/~jnz1568/getInfo.php?workbook=10_05.xlsx&amp;sheet=U0&amp;row=9162&amp;col=6&amp;number=4.8&amp;sourceID=14","4.8")</f>
        <v>4.8</v>
      </c>
      <c r="G9162" s="4" t="str">
        <f>HYPERLINK("http://141.218.60.56/~jnz1568/getInfo.php?workbook=10_05.xlsx&amp;sheet=U0&amp;row=9162&amp;col=7&amp;number=0.00152&amp;sourceID=14","0.00152")</f>
        <v>0.00152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HYPERLINK("http://141.218.60.56/~jnz1568/getInfo.php?workbook=10_05.xlsx&amp;sheet=U0&amp;row=9163&amp;col=6&amp;number=4.9&amp;sourceID=14","4.9")</f>
        <v>4.9</v>
      </c>
      <c r="G9163" s="4" t="str">
        <f>HYPERLINK("http://141.218.60.56/~jnz1568/getInfo.php?workbook=10_05.xlsx&amp;sheet=U0&amp;row=9163&amp;col=7&amp;number=0.00132&amp;sourceID=14","0.00132")</f>
        <v>0.00132</v>
      </c>
    </row>
    <row r="9164" spans="1:7">
      <c r="A9164" s="3">
        <v>10</v>
      </c>
      <c r="B9164" s="3">
        <v>5</v>
      </c>
      <c r="C9164" s="3">
        <v>3</v>
      </c>
      <c r="D9164" s="3">
        <v>105</v>
      </c>
      <c r="E9164" s="3">
        <v>1</v>
      </c>
      <c r="F9164" s="4" t="str">
        <f>HYPERLINK("http://141.218.60.56/~jnz1568/getInfo.php?workbook=10_05.xlsx&amp;sheet=U0&amp;row=9164&amp;col=6&amp;number=3&amp;sourceID=14","3")</f>
        <v>3</v>
      </c>
      <c r="G9164" s="4" t="str">
        <f>HYPERLINK("http://141.218.60.56/~jnz1568/getInfo.php?workbook=10_05.xlsx&amp;sheet=U0&amp;row=9164&amp;col=7&amp;number=0.0109&amp;sourceID=14","0.0109")</f>
        <v>0.0109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HYPERLINK("http://141.218.60.56/~jnz1568/getInfo.php?workbook=10_05.xlsx&amp;sheet=U0&amp;row=9165&amp;col=6&amp;number=3.1&amp;sourceID=14","3.1")</f>
        <v>3.1</v>
      </c>
      <c r="G9165" s="4" t="str">
        <f>HYPERLINK("http://141.218.60.56/~jnz1568/getInfo.php?workbook=10_05.xlsx&amp;sheet=U0&amp;row=9165&amp;col=7&amp;number=0.0108&amp;sourceID=14","0.0108")</f>
        <v>0.0108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HYPERLINK("http://141.218.60.56/~jnz1568/getInfo.php?workbook=10_05.xlsx&amp;sheet=U0&amp;row=9166&amp;col=6&amp;number=3.2&amp;sourceID=14","3.2")</f>
        <v>3.2</v>
      </c>
      <c r="G9166" s="4" t="str">
        <f>HYPERLINK("http://141.218.60.56/~jnz1568/getInfo.php?workbook=10_05.xlsx&amp;sheet=U0&amp;row=9166&amp;col=7&amp;number=0.0107&amp;sourceID=14","0.0107")</f>
        <v>0.0107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HYPERLINK("http://141.218.60.56/~jnz1568/getInfo.php?workbook=10_05.xlsx&amp;sheet=U0&amp;row=9167&amp;col=6&amp;number=3.3&amp;sourceID=14","3.3")</f>
        <v>3.3</v>
      </c>
      <c r="G9167" s="4" t="str">
        <f>HYPERLINK("http://141.218.60.56/~jnz1568/getInfo.php?workbook=10_05.xlsx&amp;sheet=U0&amp;row=9167&amp;col=7&amp;number=0.0105&amp;sourceID=14","0.0105")</f>
        <v>0.0105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HYPERLINK("http://141.218.60.56/~jnz1568/getInfo.php?workbook=10_05.xlsx&amp;sheet=U0&amp;row=9168&amp;col=6&amp;number=3.4&amp;sourceID=14","3.4")</f>
        <v>3.4</v>
      </c>
      <c r="G9168" s="4" t="str">
        <f>HYPERLINK("http://141.218.60.56/~jnz1568/getInfo.php?workbook=10_05.xlsx&amp;sheet=U0&amp;row=9168&amp;col=7&amp;number=0.0103&amp;sourceID=14","0.0103")</f>
        <v>0.0103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HYPERLINK("http://141.218.60.56/~jnz1568/getInfo.php?workbook=10_05.xlsx&amp;sheet=U0&amp;row=9169&amp;col=6&amp;number=3.5&amp;sourceID=14","3.5")</f>
        <v>3.5</v>
      </c>
      <c r="G9169" s="4" t="str">
        <f>HYPERLINK("http://141.218.60.56/~jnz1568/getInfo.php?workbook=10_05.xlsx&amp;sheet=U0&amp;row=9169&amp;col=7&amp;number=0.01&amp;sourceID=14","0.01")</f>
        <v>0.01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HYPERLINK("http://141.218.60.56/~jnz1568/getInfo.php?workbook=10_05.xlsx&amp;sheet=U0&amp;row=9170&amp;col=6&amp;number=3.6&amp;sourceID=14","3.6")</f>
        <v>3.6</v>
      </c>
      <c r="G9170" s="4" t="str">
        <f>HYPERLINK("http://141.218.60.56/~jnz1568/getInfo.php?workbook=10_05.xlsx&amp;sheet=U0&amp;row=9170&amp;col=7&amp;number=0.0097&amp;sourceID=14","0.0097")</f>
        <v>0.0097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HYPERLINK("http://141.218.60.56/~jnz1568/getInfo.php?workbook=10_05.xlsx&amp;sheet=U0&amp;row=9171&amp;col=6&amp;number=3.7&amp;sourceID=14","3.7")</f>
        <v>3.7</v>
      </c>
      <c r="G9171" s="4" t="str">
        <f>HYPERLINK("http://141.218.60.56/~jnz1568/getInfo.php?workbook=10_05.xlsx&amp;sheet=U0&amp;row=9171&amp;col=7&amp;number=0.00932&amp;sourceID=14","0.00932")</f>
        <v>0.00932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HYPERLINK("http://141.218.60.56/~jnz1568/getInfo.php?workbook=10_05.xlsx&amp;sheet=U0&amp;row=9172&amp;col=6&amp;number=3.8&amp;sourceID=14","3.8")</f>
        <v>3.8</v>
      </c>
      <c r="G9172" s="4" t="str">
        <f>HYPERLINK("http://141.218.60.56/~jnz1568/getInfo.php?workbook=10_05.xlsx&amp;sheet=U0&amp;row=9172&amp;col=7&amp;number=0.00887&amp;sourceID=14","0.00887")</f>
        <v>0.00887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HYPERLINK("http://141.218.60.56/~jnz1568/getInfo.php?workbook=10_05.xlsx&amp;sheet=U0&amp;row=9173&amp;col=6&amp;number=3.9&amp;sourceID=14","3.9")</f>
        <v>3.9</v>
      </c>
      <c r="G9173" s="4" t="str">
        <f>HYPERLINK("http://141.218.60.56/~jnz1568/getInfo.php?workbook=10_05.xlsx&amp;sheet=U0&amp;row=9173&amp;col=7&amp;number=0.00836&amp;sourceID=14","0.00836")</f>
        <v>0.00836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HYPERLINK("http://141.218.60.56/~jnz1568/getInfo.php?workbook=10_05.xlsx&amp;sheet=U0&amp;row=9174&amp;col=6&amp;number=4&amp;sourceID=14","4")</f>
        <v>4</v>
      </c>
      <c r="G9174" s="4" t="str">
        <f>HYPERLINK("http://141.218.60.56/~jnz1568/getInfo.php?workbook=10_05.xlsx&amp;sheet=U0&amp;row=9174&amp;col=7&amp;number=0.0078&amp;sourceID=14","0.0078")</f>
        <v>0.0078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HYPERLINK("http://141.218.60.56/~jnz1568/getInfo.php?workbook=10_05.xlsx&amp;sheet=U0&amp;row=9175&amp;col=6&amp;number=4.1&amp;sourceID=14","4.1")</f>
        <v>4.1</v>
      </c>
      <c r="G9175" s="4" t="str">
        <f>HYPERLINK("http://141.218.60.56/~jnz1568/getInfo.php?workbook=10_05.xlsx&amp;sheet=U0&amp;row=9175&amp;col=7&amp;number=0.00724&amp;sourceID=14","0.00724")</f>
        <v>0.00724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HYPERLINK("http://141.218.60.56/~jnz1568/getInfo.php?workbook=10_05.xlsx&amp;sheet=U0&amp;row=9176&amp;col=6&amp;number=4.2&amp;sourceID=14","4.2")</f>
        <v>4.2</v>
      </c>
      <c r="G9176" s="4" t="str">
        <f>HYPERLINK("http://141.218.60.56/~jnz1568/getInfo.php?workbook=10_05.xlsx&amp;sheet=U0&amp;row=9176&amp;col=7&amp;number=0.0067&amp;sourceID=14","0.0067")</f>
        <v>0.0067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HYPERLINK("http://141.218.60.56/~jnz1568/getInfo.php?workbook=10_05.xlsx&amp;sheet=U0&amp;row=9177&amp;col=6&amp;number=4.3&amp;sourceID=14","4.3")</f>
        <v>4.3</v>
      </c>
      <c r="G9177" s="4" t="str">
        <f>HYPERLINK("http://141.218.60.56/~jnz1568/getInfo.php?workbook=10_05.xlsx&amp;sheet=U0&amp;row=9177&amp;col=7&amp;number=0.00619&amp;sourceID=14","0.00619")</f>
        <v>0.00619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HYPERLINK("http://141.218.60.56/~jnz1568/getInfo.php?workbook=10_05.xlsx&amp;sheet=U0&amp;row=9178&amp;col=6&amp;number=4.4&amp;sourceID=14","4.4")</f>
        <v>4.4</v>
      </c>
      <c r="G9178" s="4" t="str">
        <f>HYPERLINK("http://141.218.60.56/~jnz1568/getInfo.php?workbook=10_05.xlsx&amp;sheet=U0&amp;row=9178&amp;col=7&amp;number=0.00571&amp;sourceID=14","0.00571")</f>
        <v>0.00571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HYPERLINK("http://141.218.60.56/~jnz1568/getInfo.php?workbook=10_05.xlsx&amp;sheet=U0&amp;row=9179&amp;col=6&amp;number=4.5&amp;sourceID=14","4.5")</f>
        <v>4.5</v>
      </c>
      <c r="G9179" s="4" t="str">
        <f>HYPERLINK("http://141.218.60.56/~jnz1568/getInfo.php?workbook=10_05.xlsx&amp;sheet=U0&amp;row=9179&amp;col=7&amp;number=0.00523&amp;sourceID=14","0.00523")</f>
        <v>0.00523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HYPERLINK("http://141.218.60.56/~jnz1568/getInfo.php?workbook=10_05.xlsx&amp;sheet=U0&amp;row=9180&amp;col=6&amp;number=4.6&amp;sourceID=14","4.6")</f>
        <v>4.6</v>
      </c>
      <c r="G9180" s="4" t="str">
        <f>HYPERLINK("http://141.218.60.56/~jnz1568/getInfo.php?workbook=10_05.xlsx&amp;sheet=U0&amp;row=9180&amp;col=7&amp;number=0.00476&amp;sourceID=14","0.00476")</f>
        <v>0.00476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HYPERLINK("http://141.218.60.56/~jnz1568/getInfo.php?workbook=10_05.xlsx&amp;sheet=U0&amp;row=9181&amp;col=6&amp;number=4.7&amp;sourceID=14","4.7")</f>
        <v>4.7</v>
      </c>
      <c r="G9181" s="4" t="str">
        <f>HYPERLINK("http://141.218.60.56/~jnz1568/getInfo.php?workbook=10_05.xlsx&amp;sheet=U0&amp;row=9181&amp;col=7&amp;number=0.00434&amp;sourceID=14","0.00434")</f>
        <v>0.00434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HYPERLINK("http://141.218.60.56/~jnz1568/getInfo.php?workbook=10_05.xlsx&amp;sheet=U0&amp;row=9182&amp;col=6&amp;number=4.8&amp;sourceID=14","4.8")</f>
        <v>4.8</v>
      </c>
      <c r="G9182" s="4" t="str">
        <f>HYPERLINK("http://141.218.60.56/~jnz1568/getInfo.php?workbook=10_05.xlsx&amp;sheet=U0&amp;row=9182&amp;col=7&amp;number=0.00397&amp;sourceID=14","0.00397")</f>
        <v>0.00397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HYPERLINK("http://141.218.60.56/~jnz1568/getInfo.php?workbook=10_05.xlsx&amp;sheet=U0&amp;row=9183&amp;col=6&amp;number=4.9&amp;sourceID=14","4.9")</f>
        <v>4.9</v>
      </c>
      <c r="G9183" s="4" t="str">
        <f>HYPERLINK("http://141.218.60.56/~jnz1568/getInfo.php?workbook=10_05.xlsx&amp;sheet=U0&amp;row=9183&amp;col=7&amp;number=0.00367&amp;sourceID=14","0.00367")</f>
        <v>0.00367</v>
      </c>
    </row>
    <row r="9184" spans="1:7">
      <c r="A9184" s="3">
        <v>10</v>
      </c>
      <c r="B9184" s="3">
        <v>5</v>
      </c>
      <c r="C9184" s="3">
        <v>3</v>
      </c>
      <c r="D9184" s="3">
        <v>106</v>
      </c>
      <c r="E9184" s="3">
        <v>1</v>
      </c>
      <c r="F9184" s="4" t="str">
        <f>HYPERLINK("http://141.218.60.56/~jnz1568/getInfo.php?workbook=10_05.xlsx&amp;sheet=U0&amp;row=9184&amp;col=6&amp;number=3&amp;sourceID=14","3")</f>
        <v>3</v>
      </c>
      <c r="G9184" s="4" t="str">
        <f>HYPERLINK("http://141.218.60.56/~jnz1568/getInfo.php?workbook=10_05.xlsx&amp;sheet=U0&amp;row=9184&amp;col=7&amp;number=0.0277&amp;sourceID=14","0.0277")</f>
        <v>0.0277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HYPERLINK("http://141.218.60.56/~jnz1568/getInfo.php?workbook=10_05.xlsx&amp;sheet=U0&amp;row=9185&amp;col=6&amp;number=3.1&amp;sourceID=14","3.1")</f>
        <v>3.1</v>
      </c>
      <c r="G9185" s="4" t="str">
        <f>HYPERLINK("http://141.218.60.56/~jnz1568/getInfo.php?workbook=10_05.xlsx&amp;sheet=U0&amp;row=9185&amp;col=7&amp;number=0.0276&amp;sourceID=14","0.0276")</f>
        <v>0.0276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HYPERLINK("http://141.218.60.56/~jnz1568/getInfo.php?workbook=10_05.xlsx&amp;sheet=U0&amp;row=9186&amp;col=6&amp;number=3.2&amp;sourceID=14","3.2")</f>
        <v>3.2</v>
      </c>
      <c r="G9186" s="4" t="str">
        <f>HYPERLINK("http://141.218.60.56/~jnz1568/getInfo.php?workbook=10_05.xlsx&amp;sheet=U0&amp;row=9186&amp;col=7&amp;number=0.0274&amp;sourceID=14","0.0274")</f>
        <v>0.0274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HYPERLINK("http://141.218.60.56/~jnz1568/getInfo.php?workbook=10_05.xlsx&amp;sheet=U0&amp;row=9187&amp;col=6&amp;number=3.3&amp;sourceID=14","3.3")</f>
        <v>3.3</v>
      </c>
      <c r="G9187" s="4" t="str">
        <f>HYPERLINK("http://141.218.60.56/~jnz1568/getInfo.php?workbook=10_05.xlsx&amp;sheet=U0&amp;row=9187&amp;col=7&amp;number=0.0273&amp;sourceID=14","0.0273")</f>
        <v>0.0273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HYPERLINK("http://141.218.60.56/~jnz1568/getInfo.php?workbook=10_05.xlsx&amp;sheet=U0&amp;row=9188&amp;col=6&amp;number=3.4&amp;sourceID=14","3.4")</f>
        <v>3.4</v>
      </c>
      <c r="G9188" s="4" t="str">
        <f>HYPERLINK("http://141.218.60.56/~jnz1568/getInfo.php?workbook=10_05.xlsx&amp;sheet=U0&amp;row=9188&amp;col=7&amp;number=0.0271&amp;sourceID=14","0.0271")</f>
        <v>0.0271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HYPERLINK("http://141.218.60.56/~jnz1568/getInfo.php?workbook=10_05.xlsx&amp;sheet=U0&amp;row=9189&amp;col=6&amp;number=3.5&amp;sourceID=14","3.5")</f>
        <v>3.5</v>
      </c>
      <c r="G9189" s="4" t="str">
        <f>HYPERLINK("http://141.218.60.56/~jnz1568/getInfo.php?workbook=10_05.xlsx&amp;sheet=U0&amp;row=9189&amp;col=7&amp;number=0.0268&amp;sourceID=14","0.0268")</f>
        <v>0.0268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HYPERLINK("http://141.218.60.56/~jnz1568/getInfo.php?workbook=10_05.xlsx&amp;sheet=U0&amp;row=9190&amp;col=6&amp;number=3.6&amp;sourceID=14","3.6")</f>
        <v>3.6</v>
      </c>
      <c r="G9190" s="4" t="str">
        <f>HYPERLINK("http://141.218.60.56/~jnz1568/getInfo.php?workbook=10_05.xlsx&amp;sheet=U0&amp;row=9190&amp;col=7&amp;number=0.0265&amp;sourceID=14","0.0265")</f>
        <v>0.0265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HYPERLINK("http://141.218.60.56/~jnz1568/getInfo.php?workbook=10_05.xlsx&amp;sheet=U0&amp;row=9191&amp;col=6&amp;number=3.7&amp;sourceID=14","3.7")</f>
        <v>3.7</v>
      </c>
      <c r="G9191" s="4" t="str">
        <f>HYPERLINK("http://141.218.60.56/~jnz1568/getInfo.php?workbook=10_05.xlsx&amp;sheet=U0&amp;row=9191&amp;col=7&amp;number=0.0261&amp;sourceID=14","0.0261")</f>
        <v>0.0261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HYPERLINK("http://141.218.60.56/~jnz1568/getInfo.php?workbook=10_05.xlsx&amp;sheet=U0&amp;row=9192&amp;col=6&amp;number=3.8&amp;sourceID=14","3.8")</f>
        <v>3.8</v>
      </c>
      <c r="G9192" s="4" t="str">
        <f>HYPERLINK("http://141.218.60.56/~jnz1568/getInfo.php?workbook=10_05.xlsx&amp;sheet=U0&amp;row=9192&amp;col=7&amp;number=0.0256&amp;sourceID=14","0.0256")</f>
        <v>0.0256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HYPERLINK("http://141.218.60.56/~jnz1568/getInfo.php?workbook=10_05.xlsx&amp;sheet=U0&amp;row=9193&amp;col=6&amp;number=3.9&amp;sourceID=14","3.9")</f>
        <v>3.9</v>
      </c>
      <c r="G9193" s="4" t="str">
        <f>HYPERLINK("http://141.218.60.56/~jnz1568/getInfo.php?workbook=10_05.xlsx&amp;sheet=U0&amp;row=9193&amp;col=7&amp;number=0.0249&amp;sourceID=14","0.0249")</f>
        <v>0.0249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HYPERLINK("http://141.218.60.56/~jnz1568/getInfo.php?workbook=10_05.xlsx&amp;sheet=U0&amp;row=9194&amp;col=6&amp;number=4&amp;sourceID=14","4")</f>
        <v>4</v>
      </c>
      <c r="G9194" s="4" t="str">
        <f>HYPERLINK("http://141.218.60.56/~jnz1568/getInfo.php?workbook=10_05.xlsx&amp;sheet=U0&amp;row=9194&amp;col=7&amp;number=0.0242&amp;sourceID=14","0.0242")</f>
        <v>0.0242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HYPERLINK("http://141.218.60.56/~jnz1568/getInfo.php?workbook=10_05.xlsx&amp;sheet=U0&amp;row=9195&amp;col=6&amp;number=4.1&amp;sourceID=14","4.1")</f>
        <v>4.1</v>
      </c>
      <c r="G9195" s="4" t="str">
        <f>HYPERLINK("http://141.218.60.56/~jnz1568/getInfo.php?workbook=10_05.xlsx&amp;sheet=U0&amp;row=9195&amp;col=7&amp;number=0.0234&amp;sourceID=14","0.0234")</f>
        <v>0.0234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HYPERLINK("http://141.218.60.56/~jnz1568/getInfo.php?workbook=10_05.xlsx&amp;sheet=U0&amp;row=9196&amp;col=6&amp;number=4.2&amp;sourceID=14","4.2")</f>
        <v>4.2</v>
      </c>
      <c r="G9196" s="4" t="str">
        <f>HYPERLINK("http://141.218.60.56/~jnz1568/getInfo.php?workbook=10_05.xlsx&amp;sheet=U0&amp;row=9196&amp;col=7&amp;number=0.0224&amp;sourceID=14","0.0224")</f>
        <v>0.0224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HYPERLINK("http://141.218.60.56/~jnz1568/getInfo.php?workbook=10_05.xlsx&amp;sheet=U0&amp;row=9197&amp;col=6&amp;number=4.3&amp;sourceID=14","4.3")</f>
        <v>4.3</v>
      </c>
      <c r="G9197" s="4" t="str">
        <f>HYPERLINK("http://141.218.60.56/~jnz1568/getInfo.php?workbook=10_05.xlsx&amp;sheet=U0&amp;row=9197&amp;col=7&amp;number=0.0214&amp;sourceID=14","0.0214")</f>
        <v>0.0214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HYPERLINK("http://141.218.60.56/~jnz1568/getInfo.php?workbook=10_05.xlsx&amp;sheet=U0&amp;row=9198&amp;col=6&amp;number=4.4&amp;sourceID=14","4.4")</f>
        <v>4.4</v>
      </c>
      <c r="G9198" s="4" t="str">
        <f>HYPERLINK("http://141.218.60.56/~jnz1568/getInfo.php?workbook=10_05.xlsx&amp;sheet=U0&amp;row=9198&amp;col=7&amp;number=0.0205&amp;sourceID=14","0.0205")</f>
        <v>0.0205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HYPERLINK("http://141.218.60.56/~jnz1568/getInfo.php?workbook=10_05.xlsx&amp;sheet=U0&amp;row=9199&amp;col=6&amp;number=4.5&amp;sourceID=14","4.5")</f>
        <v>4.5</v>
      </c>
      <c r="G9199" s="4" t="str">
        <f>HYPERLINK("http://141.218.60.56/~jnz1568/getInfo.php?workbook=10_05.xlsx&amp;sheet=U0&amp;row=9199&amp;col=7&amp;number=0.0196&amp;sourceID=14","0.0196")</f>
        <v>0.0196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HYPERLINK("http://141.218.60.56/~jnz1568/getInfo.php?workbook=10_05.xlsx&amp;sheet=U0&amp;row=9200&amp;col=6&amp;number=4.6&amp;sourceID=14","4.6")</f>
        <v>4.6</v>
      </c>
      <c r="G9200" s="4" t="str">
        <f>HYPERLINK("http://141.218.60.56/~jnz1568/getInfo.php?workbook=10_05.xlsx&amp;sheet=U0&amp;row=9200&amp;col=7&amp;number=0.0188&amp;sourceID=14","0.0188")</f>
        <v>0.0188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HYPERLINK("http://141.218.60.56/~jnz1568/getInfo.php?workbook=10_05.xlsx&amp;sheet=U0&amp;row=9201&amp;col=6&amp;number=4.7&amp;sourceID=14","4.7")</f>
        <v>4.7</v>
      </c>
      <c r="G9201" s="4" t="str">
        <f>HYPERLINK("http://141.218.60.56/~jnz1568/getInfo.php?workbook=10_05.xlsx&amp;sheet=U0&amp;row=9201&amp;col=7&amp;number=0.0182&amp;sourceID=14","0.0182")</f>
        <v>0.0182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HYPERLINK("http://141.218.60.56/~jnz1568/getInfo.php?workbook=10_05.xlsx&amp;sheet=U0&amp;row=9202&amp;col=6&amp;number=4.8&amp;sourceID=14","4.8")</f>
        <v>4.8</v>
      </c>
      <c r="G9202" s="4" t="str">
        <f>HYPERLINK("http://141.218.60.56/~jnz1568/getInfo.php?workbook=10_05.xlsx&amp;sheet=U0&amp;row=9202&amp;col=7&amp;number=0.0175&amp;sourceID=14","0.0175")</f>
        <v>0.0175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HYPERLINK("http://141.218.60.56/~jnz1568/getInfo.php?workbook=10_05.xlsx&amp;sheet=U0&amp;row=9203&amp;col=6&amp;number=4.9&amp;sourceID=14","4.9")</f>
        <v>4.9</v>
      </c>
      <c r="G9203" s="4" t="str">
        <f>HYPERLINK("http://141.218.60.56/~jnz1568/getInfo.php?workbook=10_05.xlsx&amp;sheet=U0&amp;row=9203&amp;col=7&amp;number=0.0169&amp;sourceID=14","0.0169")</f>
        <v>0.0169</v>
      </c>
    </row>
    <row r="9204" spans="1:7">
      <c r="A9204" s="3">
        <v>10</v>
      </c>
      <c r="B9204" s="3">
        <v>5</v>
      </c>
      <c r="C9204" s="3">
        <v>3</v>
      </c>
      <c r="D9204" s="3">
        <v>107</v>
      </c>
      <c r="E9204" s="3">
        <v>1</v>
      </c>
      <c r="F9204" s="4" t="str">
        <f>HYPERLINK("http://141.218.60.56/~jnz1568/getInfo.php?workbook=10_05.xlsx&amp;sheet=U0&amp;row=9204&amp;col=6&amp;number=3&amp;sourceID=14","3")</f>
        <v>3</v>
      </c>
      <c r="G9204" s="4" t="str">
        <f>HYPERLINK("http://141.218.60.56/~jnz1568/getInfo.php?workbook=10_05.xlsx&amp;sheet=U0&amp;row=9204&amp;col=7&amp;number=0.0443&amp;sourceID=14","0.0443")</f>
        <v>0.0443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HYPERLINK("http://141.218.60.56/~jnz1568/getInfo.php?workbook=10_05.xlsx&amp;sheet=U0&amp;row=9205&amp;col=6&amp;number=3.1&amp;sourceID=14","3.1")</f>
        <v>3.1</v>
      </c>
      <c r="G9205" s="4" t="str">
        <f>HYPERLINK("http://141.218.60.56/~jnz1568/getInfo.php?workbook=10_05.xlsx&amp;sheet=U0&amp;row=9205&amp;col=7&amp;number=0.0442&amp;sourceID=14","0.0442")</f>
        <v>0.0442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HYPERLINK("http://141.218.60.56/~jnz1568/getInfo.php?workbook=10_05.xlsx&amp;sheet=U0&amp;row=9206&amp;col=6&amp;number=3.2&amp;sourceID=14","3.2")</f>
        <v>3.2</v>
      </c>
      <c r="G9206" s="4" t="str">
        <f>HYPERLINK("http://141.218.60.56/~jnz1568/getInfo.php?workbook=10_05.xlsx&amp;sheet=U0&amp;row=9206&amp;col=7&amp;number=0.044&amp;sourceID=14","0.044")</f>
        <v>0.044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HYPERLINK("http://141.218.60.56/~jnz1568/getInfo.php?workbook=10_05.xlsx&amp;sheet=U0&amp;row=9207&amp;col=6&amp;number=3.3&amp;sourceID=14","3.3")</f>
        <v>3.3</v>
      </c>
      <c r="G9207" s="4" t="str">
        <f>HYPERLINK("http://141.218.60.56/~jnz1568/getInfo.php?workbook=10_05.xlsx&amp;sheet=U0&amp;row=9207&amp;col=7&amp;number=0.0437&amp;sourceID=14","0.0437")</f>
        <v>0.0437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HYPERLINK("http://141.218.60.56/~jnz1568/getInfo.php?workbook=10_05.xlsx&amp;sheet=U0&amp;row=9208&amp;col=6&amp;number=3.4&amp;sourceID=14","3.4")</f>
        <v>3.4</v>
      </c>
      <c r="G9208" s="4" t="str">
        <f>HYPERLINK("http://141.218.60.56/~jnz1568/getInfo.php?workbook=10_05.xlsx&amp;sheet=U0&amp;row=9208&amp;col=7&amp;number=0.0434&amp;sourceID=14","0.0434")</f>
        <v>0.0434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HYPERLINK("http://141.218.60.56/~jnz1568/getInfo.php?workbook=10_05.xlsx&amp;sheet=U0&amp;row=9209&amp;col=6&amp;number=3.5&amp;sourceID=14","3.5")</f>
        <v>3.5</v>
      </c>
      <c r="G9209" s="4" t="str">
        <f>HYPERLINK("http://141.218.60.56/~jnz1568/getInfo.php?workbook=10_05.xlsx&amp;sheet=U0&amp;row=9209&amp;col=7&amp;number=0.043&amp;sourceID=14","0.043")</f>
        <v>0.043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HYPERLINK("http://141.218.60.56/~jnz1568/getInfo.php?workbook=10_05.xlsx&amp;sheet=U0&amp;row=9210&amp;col=6&amp;number=3.6&amp;sourceID=14","3.6")</f>
        <v>3.6</v>
      </c>
      <c r="G9210" s="4" t="str">
        <f>HYPERLINK("http://141.218.60.56/~jnz1568/getInfo.php?workbook=10_05.xlsx&amp;sheet=U0&amp;row=9210&amp;col=7&amp;number=0.0425&amp;sourceID=14","0.0425")</f>
        <v>0.0425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HYPERLINK("http://141.218.60.56/~jnz1568/getInfo.php?workbook=10_05.xlsx&amp;sheet=U0&amp;row=9211&amp;col=6&amp;number=3.7&amp;sourceID=14","3.7")</f>
        <v>3.7</v>
      </c>
      <c r="G9211" s="4" t="str">
        <f>HYPERLINK("http://141.218.60.56/~jnz1568/getInfo.php?workbook=10_05.xlsx&amp;sheet=U0&amp;row=9211&amp;col=7&amp;number=0.042&amp;sourceID=14","0.042")</f>
        <v>0.042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HYPERLINK("http://141.218.60.56/~jnz1568/getInfo.php?workbook=10_05.xlsx&amp;sheet=U0&amp;row=9212&amp;col=6&amp;number=3.8&amp;sourceID=14","3.8")</f>
        <v>3.8</v>
      </c>
      <c r="G9212" s="4" t="str">
        <f>HYPERLINK("http://141.218.60.56/~jnz1568/getInfo.php?workbook=10_05.xlsx&amp;sheet=U0&amp;row=9212&amp;col=7&amp;number=0.0412&amp;sourceID=14","0.0412")</f>
        <v>0.0412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HYPERLINK("http://141.218.60.56/~jnz1568/getInfo.php?workbook=10_05.xlsx&amp;sheet=U0&amp;row=9213&amp;col=6&amp;number=3.9&amp;sourceID=14","3.9")</f>
        <v>3.9</v>
      </c>
      <c r="G9213" s="4" t="str">
        <f>HYPERLINK("http://141.218.60.56/~jnz1568/getInfo.php?workbook=10_05.xlsx&amp;sheet=U0&amp;row=9213&amp;col=7&amp;number=0.0404&amp;sourceID=14","0.0404")</f>
        <v>0.0404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HYPERLINK("http://141.218.60.56/~jnz1568/getInfo.php?workbook=10_05.xlsx&amp;sheet=U0&amp;row=9214&amp;col=6&amp;number=4&amp;sourceID=14","4")</f>
        <v>4</v>
      </c>
      <c r="G9214" s="4" t="str">
        <f>HYPERLINK("http://141.218.60.56/~jnz1568/getInfo.php?workbook=10_05.xlsx&amp;sheet=U0&amp;row=9214&amp;col=7&amp;number=0.0394&amp;sourceID=14","0.0394")</f>
        <v>0.0394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HYPERLINK("http://141.218.60.56/~jnz1568/getInfo.php?workbook=10_05.xlsx&amp;sheet=U0&amp;row=9215&amp;col=6&amp;number=4.1&amp;sourceID=14","4.1")</f>
        <v>4.1</v>
      </c>
      <c r="G9215" s="4" t="str">
        <f>HYPERLINK("http://141.218.60.56/~jnz1568/getInfo.php?workbook=10_05.xlsx&amp;sheet=U0&amp;row=9215&amp;col=7&amp;number=0.0382&amp;sourceID=14","0.0382")</f>
        <v>0.0382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HYPERLINK("http://141.218.60.56/~jnz1568/getInfo.php?workbook=10_05.xlsx&amp;sheet=U0&amp;row=9216&amp;col=6&amp;number=4.2&amp;sourceID=14","4.2")</f>
        <v>4.2</v>
      </c>
      <c r="G9216" s="4" t="str">
        <f>HYPERLINK("http://141.218.60.56/~jnz1568/getInfo.php?workbook=10_05.xlsx&amp;sheet=U0&amp;row=9216&amp;col=7&amp;number=0.0368&amp;sourceID=14","0.0368")</f>
        <v>0.0368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HYPERLINK("http://141.218.60.56/~jnz1568/getInfo.php?workbook=10_05.xlsx&amp;sheet=U0&amp;row=9217&amp;col=6&amp;number=4.3&amp;sourceID=14","4.3")</f>
        <v>4.3</v>
      </c>
      <c r="G9217" s="4" t="str">
        <f>HYPERLINK("http://141.218.60.56/~jnz1568/getInfo.php?workbook=10_05.xlsx&amp;sheet=U0&amp;row=9217&amp;col=7&amp;number=0.0354&amp;sourceID=14","0.0354")</f>
        <v>0.0354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HYPERLINK("http://141.218.60.56/~jnz1568/getInfo.php?workbook=10_05.xlsx&amp;sheet=U0&amp;row=9218&amp;col=6&amp;number=4.4&amp;sourceID=14","4.4")</f>
        <v>4.4</v>
      </c>
      <c r="G9218" s="4" t="str">
        <f>HYPERLINK("http://141.218.60.56/~jnz1568/getInfo.php?workbook=10_05.xlsx&amp;sheet=U0&amp;row=9218&amp;col=7&amp;number=0.0341&amp;sourceID=14","0.0341")</f>
        <v>0.0341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HYPERLINK("http://141.218.60.56/~jnz1568/getInfo.php?workbook=10_05.xlsx&amp;sheet=U0&amp;row=9219&amp;col=6&amp;number=4.5&amp;sourceID=14","4.5")</f>
        <v>4.5</v>
      </c>
      <c r="G9219" s="4" t="str">
        <f>HYPERLINK("http://141.218.60.56/~jnz1568/getInfo.php?workbook=10_05.xlsx&amp;sheet=U0&amp;row=9219&amp;col=7&amp;number=0.033&amp;sourceID=14","0.033")</f>
        <v>0.033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HYPERLINK("http://141.218.60.56/~jnz1568/getInfo.php?workbook=10_05.xlsx&amp;sheet=U0&amp;row=9220&amp;col=6&amp;number=4.6&amp;sourceID=14","4.6")</f>
        <v>4.6</v>
      </c>
      <c r="G9220" s="4" t="str">
        <f>HYPERLINK("http://141.218.60.56/~jnz1568/getInfo.php?workbook=10_05.xlsx&amp;sheet=U0&amp;row=9220&amp;col=7&amp;number=0.0321&amp;sourceID=14","0.0321")</f>
        <v>0.0321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HYPERLINK("http://141.218.60.56/~jnz1568/getInfo.php?workbook=10_05.xlsx&amp;sheet=U0&amp;row=9221&amp;col=6&amp;number=4.7&amp;sourceID=14","4.7")</f>
        <v>4.7</v>
      </c>
      <c r="G9221" s="4" t="str">
        <f>HYPERLINK("http://141.218.60.56/~jnz1568/getInfo.php?workbook=10_05.xlsx&amp;sheet=U0&amp;row=9221&amp;col=7&amp;number=0.0314&amp;sourceID=14","0.0314")</f>
        <v>0.0314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HYPERLINK("http://141.218.60.56/~jnz1568/getInfo.php?workbook=10_05.xlsx&amp;sheet=U0&amp;row=9222&amp;col=6&amp;number=4.8&amp;sourceID=14","4.8")</f>
        <v>4.8</v>
      </c>
      <c r="G9222" s="4" t="str">
        <f>HYPERLINK("http://141.218.60.56/~jnz1568/getInfo.php?workbook=10_05.xlsx&amp;sheet=U0&amp;row=9222&amp;col=7&amp;number=0.0307&amp;sourceID=14","0.0307")</f>
        <v>0.0307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HYPERLINK("http://141.218.60.56/~jnz1568/getInfo.php?workbook=10_05.xlsx&amp;sheet=U0&amp;row=9223&amp;col=6&amp;number=4.9&amp;sourceID=14","4.9")</f>
        <v>4.9</v>
      </c>
      <c r="G9223" s="4" t="str">
        <f>HYPERLINK("http://141.218.60.56/~jnz1568/getInfo.php?workbook=10_05.xlsx&amp;sheet=U0&amp;row=9223&amp;col=7&amp;number=0.0301&amp;sourceID=14","0.0301")</f>
        <v>0.0301</v>
      </c>
    </row>
    <row r="9224" spans="1:7">
      <c r="A9224" s="3">
        <v>10</v>
      </c>
      <c r="B9224" s="3">
        <v>5</v>
      </c>
      <c r="C9224" s="3">
        <v>3</v>
      </c>
      <c r="D9224" s="3">
        <v>108</v>
      </c>
      <c r="E9224" s="3">
        <v>1</v>
      </c>
      <c r="F9224" s="4" t="str">
        <f>HYPERLINK("http://141.218.60.56/~jnz1568/getInfo.php?workbook=10_05.xlsx&amp;sheet=U0&amp;row=9224&amp;col=6&amp;number=3&amp;sourceID=14","3")</f>
        <v>3</v>
      </c>
      <c r="G9224" s="4" t="str">
        <f>HYPERLINK("http://141.218.60.56/~jnz1568/getInfo.php?workbook=10_05.xlsx&amp;sheet=U0&amp;row=9224&amp;col=7&amp;number=0.013&amp;sourceID=14","0.013")</f>
        <v>0.013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HYPERLINK("http://141.218.60.56/~jnz1568/getInfo.php?workbook=10_05.xlsx&amp;sheet=U0&amp;row=9225&amp;col=6&amp;number=3.1&amp;sourceID=14","3.1")</f>
        <v>3.1</v>
      </c>
      <c r="G9225" s="4" t="str">
        <f>HYPERLINK("http://141.218.60.56/~jnz1568/getInfo.php?workbook=10_05.xlsx&amp;sheet=U0&amp;row=9225&amp;col=7&amp;number=0.0129&amp;sourceID=14","0.0129")</f>
        <v>0.0129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HYPERLINK("http://141.218.60.56/~jnz1568/getInfo.php?workbook=10_05.xlsx&amp;sheet=U0&amp;row=9226&amp;col=6&amp;number=3.2&amp;sourceID=14","3.2")</f>
        <v>3.2</v>
      </c>
      <c r="G9226" s="4" t="str">
        <f>HYPERLINK("http://141.218.60.56/~jnz1568/getInfo.php?workbook=10_05.xlsx&amp;sheet=U0&amp;row=9226&amp;col=7&amp;number=0.0128&amp;sourceID=14","0.0128")</f>
        <v>0.0128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HYPERLINK("http://141.218.60.56/~jnz1568/getInfo.php?workbook=10_05.xlsx&amp;sheet=U0&amp;row=9227&amp;col=6&amp;number=3.3&amp;sourceID=14","3.3")</f>
        <v>3.3</v>
      </c>
      <c r="G9227" s="4" t="str">
        <f>HYPERLINK("http://141.218.60.56/~jnz1568/getInfo.php?workbook=10_05.xlsx&amp;sheet=U0&amp;row=9227&amp;col=7&amp;number=0.0126&amp;sourceID=14","0.0126")</f>
        <v>0.0126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HYPERLINK("http://141.218.60.56/~jnz1568/getInfo.php?workbook=10_05.xlsx&amp;sheet=U0&amp;row=9228&amp;col=6&amp;number=3.4&amp;sourceID=14","3.4")</f>
        <v>3.4</v>
      </c>
      <c r="G9228" s="4" t="str">
        <f>HYPERLINK("http://141.218.60.56/~jnz1568/getInfo.php?workbook=10_05.xlsx&amp;sheet=U0&amp;row=9228&amp;col=7&amp;number=0.0125&amp;sourceID=14","0.0125")</f>
        <v>0.0125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HYPERLINK("http://141.218.60.56/~jnz1568/getInfo.php?workbook=10_05.xlsx&amp;sheet=U0&amp;row=9229&amp;col=6&amp;number=3.5&amp;sourceID=14","3.5")</f>
        <v>3.5</v>
      </c>
      <c r="G9229" s="4" t="str">
        <f>HYPERLINK("http://141.218.60.56/~jnz1568/getInfo.php?workbook=10_05.xlsx&amp;sheet=U0&amp;row=9229&amp;col=7&amp;number=0.0123&amp;sourceID=14","0.0123")</f>
        <v>0.0123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HYPERLINK("http://141.218.60.56/~jnz1568/getInfo.php?workbook=10_05.xlsx&amp;sheet=U0&amp;row=9230&amp;col=6&amp;number=3.6&amp;sourceID=14","3.6")</f>
        <v>3.6</v>
      </c>
      <c r="G9230" s="4" t="str">
        <f>HYPERLINK("http://141.218.60.56/~jnz1568/getInfo.php?workbook=10_05.xlsx&amp;sheet=U0&amp;row=9230&amp;col=7&amp;number=0.012&amp;sourceID=14","0.012")</f>
        <v>0.012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HYPERLINK("http://141.218.60.56/~jnz1568/getInfo.php?workbook=10_05.xlsx&amp;sheet=U0&amp;row=9231&amp;col=6&amp;number=3.7&amp;sourceID=14","3.7")</f>
        <v>3.7</v>
      </c>
      <c r="G9231" s="4" t="str">
        <f>HYPERLINK("http://141.218.60.56/~jnz1568/getInfo.php?workbook=10_05.xlsx&amp;sheet=U0&amp;row=9231&amp;col=7&amp;number=0.0117&amp;sourceID=14","0.0117")</f>
        <v>0.0117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HYPERLINK("http://141.218.60.56/~jnz1568/getInfo.php?workbook=10_05.xlsx&amp;sheet=U0&amp;row=9232&amp;col=6&amp;number=3.8&amp;sourceID=14","3.8")</f>
        <v>3.8</v>
      </c>
      <c r="G9232" s="4" t="str">
        <f>HYPERLINK("http://141.218.60.56/~jnz1568/getInfo.php?workbook=10_05.xlsx&amp;sheet=U0&amp;row=9232&amp;col=7&amp;number=0.0113&amp;sourceID=14","0.0113")</f>
        <v>0.0113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HYPERLINK("http://141.218.60.56/~jnz1568/getInfo.php?workbook=10_05.xlsx&amp;sheet=U0&amp;row=9233&amp;col=6&amp;number=3.9&amp;sourceID=14","3.9")</f>
        <v>3.9</v>
      </c>
      <c r="G9233" s="4" t="str">
        <f>HYPERLINK("http://141.218.60.56/~jnz1568/getInfo.php?workbook=10_05.xlsx&amp;sheet=U0&amp;row=9233&amp;col=7&amp;number=0.0108&amp;sourceID=14","0.0108")</f>
        <v>0.0108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HYPERLINK("http://141.218.60.56/~jnz1568/getInfo.php?workbook=10_05.xlsx&amp;sheet=U0&amp;row=9234&amp;col=6&amp;number=4&amp;sourceID=14","4")</f>
        <v>4</v>
      </c>
      <c r="G9234" s="4" t="str">
        <f>HYPERLINK("http://141.218.60.56/~jnz1568/getInfo.php?workbook=10_05.xlsx&amp;sheet=U0&amp;row=9234&amp;col=7&amp;number=0.0103&amp;sourceID=14","0.0103")</f>
        <v>0.0103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HYPERLINK("http://141.218.60.56/~jnz1568/getInfo.php?workbook=10_05.xlsx&amp;sheet=U0&amp;row=9235&amp;col=6&amp;number=4.1&amp;sourceID=14","4.1")</f>
        <v>4.1</v>
      </c>
      <c r="G9235" s="4" t="str">
        <f>HYPERLINK("http://141.218.60.56/~jnz1568/getInfo.php?workbook=10_05.xlsx&amp;sheet=U0&amp;row=9235&amp;col=7&amp;number=0.00965&amp;sourceID=14","0.00965")</f>
        <v>0.00965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HYPERLINK("http://141.218.60.56/~jnz1568/getInfo.php?workbook=10_05.xlsx&amp;sheet=U0&amp;row=9236&amp;col=6&amp;number=4.2&amp;sourceID=14","4.2")</f>
        <v>4.2</v>
      </c>
      <c r="G9236" s="4" t="str">
        <f>HYPERLINK("http://141.218.60.56/~jnz1568/getInfo.php?workbook=10_05.xlsx&amp;sheet=U0&amp;row=9236&amp;col=7&amp;number=0.00894&amp;sourceID=14","0.00894")</f>
        <v>0.00894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HYPERLINK("http://141.218.60.56/~jnz1568/getInfo.php?workbook=10_05.xlsx&amp;sheet=U0&amp;row=9237&amp;col=6&amp;number=4.3&amp;sourceID=14","4.3")</f>
        <v>4.3</v>
      </c>
      <c r="G9237" s="4" t="str">
        <f>HYPERLINK("http://141.218.60.56/~jnz1568/getInfo.php?workbook=10_05.xlsx&amp;sheet=U0&amp;row=9237&amp;col=7&amp;number=0.00818&amp;sourceID=14","0.00818")</f>
        <v>0.00818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HYPERLINK("http://141.218.60.56/~jnz1568/getInfo.php?workbook=10_05.xlsx&amp;sheet=U0&amp;row=9238&amp;col=6&amp;number=4.4&amp;sourceID=14","4.4")</f>
        <v>4.4</v>
      </c>
      <c r="G9238" s="4" t="str">
        <f>HYPERLINK("http://141.218.60.56/~jnz1568/getInfo.php?workbook=10_05.xlsx&amp;sheet=U0&amp;row=9238&amp;col=7&amp;number=0.00745&amp;sourceID=14","0.00745")</f>
        <v>0.00745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HYPERLINK("http://141.218.60.56/~jnz1568/getInfo.php?workbook=10_05.xlsx&amp;sheet=U0&amp;row=9239&amp;col=6&amp;number=4.5&amp;sourceID=14","4.5")</f>
        <v>4.5</v>
      </c>
      <c r="G9239" s="4" t="str">
        <f>HYPERLINK("http://141.218.60.56/~jnz1568/getInfo.php?workbook=10_05.xlsx&amp;sheet=U0&amp;row=9239&amp;col=7&amp;number=0.00681&amp;sourceID=14","0.00681")</f>
        <v>0.00681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HYPERLINK("http://141.218.60.56/~jnz1568/getInfo.php?workbook=10_05.xlsx&amp;sheet=U0&amp;row=9240&amp;col=6&amp;number=4.6&amp;sourceID=14","4.6")</f>
        <v>4.6</v>
      </c>
      <c r="G9240" s="4" t="str">
        <f>HYPERLINK("http://141.218.60.56/~jnz1568/getInfo.php?workbook=10_05.xlsx&amp;sheet=U0&amp;row=9240&amp;col=7&amp;number=0.00628&amp;sourceID=14","0.00628")</f>
        <v>0.00628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HYPERLINK("http://141.218.60.56/~jnz1568/getInfo.php?workbook=10_05.xlsx&amp;sheet=U0&amp;row=9241&amp;col=6&amp;number=4.7&amp;sourceID=14","4.7")</f>
        <v>4.7</v>
      </c>
      <c r="G9241" s="4" t="str">
        <f>HYPERLINK("http://141.218.60.56/~jnz1568/getInfo.php?workbook=10_05.xlsx&amp;sheet=U0&amp;row=9241&amp;col=7&amp;number=0.00581&amp;sourceID=14","0.00581")</f>
        <v>0.00581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HYPERLINK("http://141.218.60.56/~jnz1568/getInfo.php?workbook=10_05.xlsx&amp;sheet=U0&amp;row=9242&amp;col=6&amp;number=4.8&amp;sourceID=14","4.8")</f>
        <v>4.8</v>
      </c>
      <c r="G9242" s="4" t="str">
        <f>HYPERLINK("http://141.218.60.56/~jnz1568/getInfo.php?workbook=10_05.xlsx&amp;sheet=U0&amp;row=9242&amp;col=7&amp;number=0.00534&amp;sourceID=14","0.00534")</f>
        <v>0.00534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HYPERLINK("http://141.218.60.56/~jnz1568/getInfo.php?workbook=10_05.xlsx&amp;sheet=U0&amp;row=9243&amp;col=6&amp;number=4.9&amp;sourceID=14","4.9")</f>
        <v>4.9</v>
      </c>
      <c r="G9243" s="4" t="str">
        <f>HYPERLINK("http://141.218.60.56/~jnz1568/getInfo.php?workbook=10_05.xlsx&amp;sheet=U0&amp;row=9243&amp;col=7&amp;number=0.00489&amp;sourceID=14","0.00489")</f>
        <v>0.00489</v>
      </c>
    </row>
    <row r="9244" spans="1:7">
      <c r="A9244" s="3">
        <v>10</v>
      </c>
      <c r="B9244" s="3">
        <v>5</v>
      </c>
      <c r="C9244" s="3">
        <v>3</v>
      </c>
      <c r="D9244" s="3">
        <v>109</v>
      </c>
      <c r="E9244" s="3">
        <v>1</v>
      </c>
      <c r="F9244" s="4" t="str">
        <f>HYPERLINK("http://141.218.60.56/~jnz1568/getInfo.php?workbook=10_05.xlsx&amp;sheet=U0&amp;row=9244&amp;col=6&amp;number=3&amp;sourceID=14","3")</f>
        <v>3</v>
      </c>
      <c r="G9244" s="4" t="str">
        <f>HYPERLINK("http://141.218.60.56/~jnz1568/getInfo.php?workbook=10_05.xlsx&amp;sheet=U0&amp;row=9244&amp;col=7&amp;number=0.00963&amp;sourceID=14","0.00963")</f>
        <v>0.00963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HYPERLINK("http://141.218.60.56/~jnz1568/getInfo.php?workbook=10_05.xlsx&amp;sheet=U0&amp;row=9245&amp;col=6&amp;number=3.1&amp;sourceID=14","3.1")</f>
        <v>3.1</v>
      </c>
      <c r="G9245" s="4" t="str">
        <f>HYPERLINK("http://141.218.60.56/~jnz1568/getInfo.php?workbook=10_05.xlsx&amp;sheet=U0&amp;row=9245&amp;col=7&amp;number=0.00959&amp;sourceID=14","0.00959")</f>
        <v>0.00959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HYPERLINK("http://141.218.60.56/~jnz1568/getInfo.php?workbook=10_05.xlsx&amp;sheet=U0&amp;row=9246&amp;col=6&amp;number=3.2&amp;sourceID=14","3.2")</f>
        <v>3.2</v>
      </c>
      <c r="G9246" s="4" t="str">
        <f>HYPERLINK("http://141.218.60.56/~jnz1568/getInfo.php?workbook=10_05.xlsx&amp;sheet=U0&amp;row=9246&amp;col=7&amp;number=0.00955&amp;sourceID=14","0.00955")</f>
        <v>0.00955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HYPERLINK("http://141.218.60.56/~jnz1568/getInfo.php?workbook=10_05.xlsx&amp;sheet=U0&amp;row=9247&amp;col=6&amp;number=3.3&amp;sourceID=14","3.3")</f>
        <v>3.3</v>
      </c>
      <c r="G9247" s="4" t="str">
        <f>HYPERLINK("http://141.218.60.56/~jnz1568/getInfo.php?workbook=10_05.xlsx&amp;sheet=U0&amp;row=9247&amp;col=7&amp;number=0.00949&amp;sourceID=14","0.00949")</f>
        <v>0.00949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HYPERLINK("http://141.218.60.56/~jnz1568/getInfo.php?workbook=10_05.xlsx&amp;sheet=U0&amp;row=9248&amp;col=6&amp;number=3.4&amp;sourceID=14","3.4")</f>
        <v>3.4</v>
      </c>
      <c r="G9248" s="4" t="str">
        <f>HYPERLINK("http://141.218.60.56/~jnz1568/getInfo.php?workbook=10_05.xlsx&amp;sheet=U0&amp;row=9248&amp;col=7&amp;number=0.00943&amp;sourceID=14","0.00943")</f>
        <v>0.00943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HYPERLINK("http://141.218.60.56/~jnz1568/getInfo.php?workbook=10_05.xlsx&amp;sheet=U0&amp;row=9249&amp;col=6&amp;number=3.5&amp;sourceID=14","3.5")</f>
        <v>3.5</v>
      </c>
      <c r="G9249" s="4" t="str">
        <f>HYPERLINK("http://141.218.60.56/~jnz1568/getInfo.php?workbook=10_05.xlsx&amp;sheet=U0&amp;row=9249&amp;col=7&amp;number=0.00934&amp;sourceID=14","0.00934")</f>
        <v>0.00934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HYPERLINK("http://141.218.60.56/~jnz1568/getInfo.php?workbook=10_05.xlsx&amp;sheet=U0&amp;row=9250&amp;col=6&amp;number=3.6&amp;sourceID=14","3.6")</f>
        <v>3.6</v>
      </c>
      <c r="G9250" s="4" t="str">
        <f>HYPERLINK("http://141.218.60.56/~jnz1568/getInfo.php?workbook=10_05.xlsx&amp;sheet=U0&amp;row=9250&amp;col=7&amp;number=0.00924&amp;sourceID=14","0.00924")</f>
        <v>0.00924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HYPERLINK("http://141.218.60.56/~jnz1568/getInfo.php?workbook=10_05.xlsx&amp;sheet=U0&amp;row=9251&amp;col=6&amp;number=3.7&amp;sourceID=14","3.7")</f>
        <v>3.7</v>
      </c>
      <c r="G9251" s="4" t="str">
        <f>HYPERLINK("http://141.218.60.56/~jnz1568/getInfo.php?workbook=10_05.xlsx&amp;sheet=U0&amp;row=9251&amp;col=7&amp;number=0.00911&amp;sourceID=14","0.00911")</f>
        <v>0.00911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HYPERLINK("http://141.218.60.56/~jnz1568/getInfo.php?workbook=10_05.xlsx&amp;sheet=U0&amp;row=9252&amp;col=6&amp;number=3.8&amp;sourceID=14","3.8")</f>
        <v>3.8</v>
      </c>
      <c r="G9252" s="4" t="str">
        <f>HYPERLINK("http://141.218.60.56/~jnz1568/getInfo.php?workbook=10_05.xlsx&amp;sheet=U0&amp;row=9252&amp;col=7&amp;number=0.00895&amp;sourceID=14","0.00895")</f>
        <v>0.00895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HYPERLINK("http://141.218.60.56/~jnz1568/getInfo.php?workbook=10_05.xlsx&amp;sheet=U0&amp;row=9253&amp;col=6&amp;number=3.9&amp;sourceID=14","3.9")</f>
        <v>3.9</v>
      </c>
      <c r="G9253" s="4" t="str">
        <f>HYPERLINK("http://141.218.60.56/~jnz1568/getInfo.php?workbook=10_05.xlsx&amp;sheet=U0&amp;row=9253&amp;col=7&amp;number=0.00876&amp;sourceID=14","0.00876")</f>
        <v>0.00876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HYPERLINK("http://141.218.60.56/~jnz1568/getInfo.php?workbook=10_05.xlsx&amp;sheet=U0&amp;row=9254&amp;col=6&amp;number=4&amp;sourceID=14","4")</f>
        <v>4</v>
      </c>
      <c r="G9254" s="4" t="str">
        <f>HYPERLINK("http://141.218.60.56/~jnz1568/getInfo.php?workbook=10_05.xlsx&amp;sheet=U0&amp;row=9254&amp;col=7&amp;number=0.00852&amp;sourceID=14","0.00852")</f>
        <v>0.00852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HYPERLINK("http://141.218.60.56/~jnz1568/getInfo.php?workbook=10_05.xlsx&amp;sheet=U0&amp;row=9255&amp;col=6&amp;number=4.1&amp;sourceID=14","4.1")</f>
        <v>4.1</v>
      </c>
      <c r="G9255" s="4" t="str">
        <f>HYPERLINK("http://141.218.60.56/~jnz1568/getInfo.php?workbook=10_05.xlsx&amp;sheet=U0&amp;row=9255&amp;col=7&amp;number=0.00824&amp;sourceID=14","0.00824")</f>
        <v>0.00824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HYPERLINK("http://141.218.60.56/~jnz1568/getInfo.php?workbook=10_05.xlsx&amp;sheet=U0&amp;row=9256&amp;col=6&amp;number=4.2&amp;sourceID=14","4.2")</f>
        <v>4.2</v>
      </c>
      <c r="G9256" s="4" t="str">
        <f>HYPERLINK("http://141.218.60.56/~jnz1568/getInfo.php?workbook=10_05.xlsx&amp;sheet=U0&amp;row=9256&amp;col=7&amp;number=0.00791&amp;sourceID=14","0.00791")</f>
        <v>0.00791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HYPERLINK("http://141.218.60.56/~jnz1568/getInfo.php?workbook=10_05.xlsx&amp;sheet=U0&amp;row=9257&amp;col=6&amp;number=4.3&amp;sourceID=14","4.3")</f>
        <v>4.3</v>
      </c>
      <c r="G9257" s="4" t="str">
        <f>HYPERLINK("http://141.218.60.56/~jnz1568/getInfo.php?workbook=10_05.xlsx&amp;sheet=U0&amp;row=9257&amp;col=7&amp;number=0.00753&amp;sourceID=14","0.00753")</f>
        <v>0.00753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HYPERLINK("http://141.218.60.56/~jnz1568/getInfo.php?workbook=10_05.xlsx&amp;sheet=U0&amp;row=9258&amp;col=6&amp;number=4.4&amp;sourceID=14","4.4")</f>
        <v>4.4</v>
      </c>
      <c r="G9258" s="4" t="str">
        <f>HYPERLINK("http://141.218.60.56/~jnz1568/getInfo.php?workbook=10_05.xlsx&amp;sheet=U0&amp;row=9258&amp;col=7&amp;number=0.00711&amp;sourceID=14","0.00711")</f>
        <v>0.00711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HYPERLINK("http://141.218.60.56/~jnz1568/getInfo.php?workbook=10_05.xlsx&amp;sheet=U0&amp;row=9259&amp;col=6&amp;number=4.5&amp;sourceID=14","4.5")</f>
        <v>4.5</v>
      </c>
      <c r="G9259" s="4" t="str">
        <f>HYPERLINK("http://141.218.60.56/~jnz1568/getInfo.php?workbook=10_05.xlsx&amp;sheet=U0&amp;row=9259&amp;col=7&amp;number=0.00667&amp;sourceID=14","0.00667")</f>
        <v>0.00667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HYPERLINK("http://141.218.60.56/~jnz1568/getInfo.php?workbook=10_05.xlsx&amp;sheet=U0&amp;row=9260&amp;col=6&amp;number=4.6&amp;sourceID=14","4.6")</f>
        <v>4.6</v>
      </c>
      <c r="G9260" s="4" t="str">
        <f>HYPERLINK("http://141.218.60.56/~jnz1568/getInfo.php?workbook=10_05.xlsx&amp;sheet=U0&amp;row=9260&amp;col=7&amp;number=0.00626&amp;sourceID=14","0.00626")</f>
        <v>0.00626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HYPERLINK("http://141.218.60.56/~jnz1568/getInfo.php?workbook=10_05.xlsx&amp;sheet=U0&amp;row=9261&amp;col=6&amp;number=4.7&amp;sourceID=14","4.7")</f>
        <v>4.7</v>
      </c>
      <c r="G9261" s="4" t="str">
        <f>HYPERLINK("http://141.218.60.56/~jnz1568/getInfo.php?workbook=10_05.xlsx&amp;sheet=U0&amp;row=9261&amp;col=7&amp;number=0.00592&amp;sourceID=14","0.00592")</f>
        <v>0.00592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HYPERLINK("http://141.218.60.56/~jnz1568/getInfo.php?workbook=10_05.xlsx&amp;sheet=U0&amp;row=9262&amp;col=6&amp;number=4.8&amp;sourceID=14","4.8")</f>
        <v>4.8</v>
      </c>
      <c r="G9262" s="4" t="str">
        <f>HYPERLINK("http://141.218.60.56/~jnz1568/getInfo.php?workbook=10_05.xlsx&amp;sheet=U0&amp;row=9262&amp;col=7&amp;number=0.00564&amp;sourceID=14","0.00564")</f>
        <v>0.00564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HYPERLINK("http://141.218.60.56/~jnz1568/getInfo.php?workbook=10_05.xlsx&amp;sheet=U0&amp;row=9263&amp;col=6&amp;number=4.9&amp;sourceID=14","4.9")</f>
        <v>4.9</v>
      </c>
      <c r="G9263" s="4" t="str">
        <f>HYPERLINK("http://141.218.60.56/~jnz1568/getInfo.php?workbook=10_05.xlsx&amp;sheet=U0&amp;row=9263&amp;col=7&amp;number=0.00537&amp;sourceID=14","0.00537")</f>
        <v>0.00537</v>
      </c>
    </row>
    <row r="9264" spans="1:7">
      <c r="A9264" s="3">
        <v>10</v>
      </c>
      <c r="B9264" s="3">
        <v>5</v>
      </c>
      <c r="C9264" s="3">
        <v>3</v>
      </c>
      <c r="D9264" s="3">
        <v>110</v>
      </c>
      <c r="E9264" s="3">
        <v>1</v>
      </c>
      <c r="F9264" s="4" t="str">
        <f>HYPERLINK("http://141.218.60.56/~jnz1568/getInfo.php?workbook=10_05.xlsx&amp;sheet=U0&amp;row=9264&amp;col=6&amp;number=3&amp;sourceID=14","3")</f>
        <v>3</v>
      </c>
      <c r="G9264" s="4" t="str">
        <f>HYPERLINK("http://141.218.60.56/~jnz1568/getInfo.php?workbook=10_05.xlsx&amp;sheet=U0&amp;row=9264&amp;col=7&amp;number=0.0123&amp;sourceID=14","0.0123")</f>
        <v>0.0123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HYPERLINK("http://141.218.60.56/~jnz1568/getInfo.php?workbook=10_05.xlsx&amp;sheet=U0&amp;row=9265&amp;col=6&amp;number=3.1&amp;sourceID=14","3.1")</f>
        <v>3.1</v>
      </c>
      <c r="G9265" s="4" t="str">
        <f>HYPERLINK("http://141.218.60.56/~jnz1568/getInfo.php?workbook=10_05.xlsx&amp;sheet=U0&amp;row=9265&amp;col=7&amp;number=0.0122&amp;sourceID=14","0.0122")</f>
        <v>0.0122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HYPERLINK("http://141.218.60.56/~jnz1568/getInfo.php?workbook=10_05.xlsx&amp;sheet=U0&amp;row=9266&amp;col=6&amp;number=3.2&amp;sourceID=14","3.2")</f>
        <v>3.2</v>
      </c>
      <c r="G9266" s="4" t="str">
        <f>HYPERLINK("http://141.218.60.56/~jnz1568/getInfo.php?workbook=10_05.xlsx&amp;sheet=U0&amp;row=9266&amp;col=7&amp;number=0.0122&amp;sourceID=14","0.0122")</f>
        <v>0.0122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HYPERLINK("http://141.218.60.56/~jnz1568/getInfo.php?workbook=10_05.xlsx&amp;sheet=U0&amp;row=9267&amp;col=6&amp;number=3.3&amp;sourceID=14","3.3")</f>
        <v>3.3</v>
      </c>
      <c r="G9267" s="4" t="str">
        <f>HYPERLINK("http://141.218.60.56/~jnz1568/getInfo.php?workbook=10_05.xlsx&amp;sheet=U0&amp;row=9267&amp;col=7&amp;number=0.0121&amp;sourceID=14","0.0121")</f>
        <v>0.0121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HYPERLINK("http://141.218.60.56/~jnz1568/getInfo.php?workbook=10_05.xlsx&amp;sheet=U0&amp;row=9268&amp;col=6&amp;number=3.4&amp;sourceID=14","3.4")</f>
        <v>3.4</v>
      </c>
      <c r="G9268" s="4" t="str">
        <f>HYPERLINK("http://141.218.60.56/~jnz1568/getInfo.php?workbook=10_05.xlsx&amp;sheet=U0&amp;row=9268&amp;col=7&amp;number=0.012&amp;sourceID=14","0.012")</f>
        <v>0.012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HYPERLINK("http://141.218.60.56/~jnz1568/getInfo.php?workbook=10_05.xlsx&amp;sheet=U0&amp;row=9269&amp;col=6&amp;number=3.5&amp;sourceID=14","3.5")</f>
        <v>3.5</v>
      </c>
      <c r="G9269" s="4" t="str">
        <f>HYPERLINK("http://141.218.60.56/~jnz1568/getInfo.php?workbook=10_05.xlsx&amp;sheet=U0&amp;row=9269&amp;col=7&amp;number=0.0119&amp;sourceID=14","0.0119")</f>
        <v>0.0119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HYPERLINK("http://141.218.60.56/~jnz1568/getInfo.php?workbook=10_05.xlsx&amp;sheet=U0&amp;row=9270&amp;col=6&amp;number=3.6&amp;sourceID=14","3.6")</f>
        <v>3.6</v>
      </c>
      <c r="G9270" s="4" t="str">
        <f>HYPERLINK("http://141.218.60.56/~jnz1568/getInfo.php?workbook=10_05.xlsx&amp;sheet=U0&amp;row=9270&amp;col=7&amp;number=0.0117&amp;sourceID=14","0.0117")</f>
        <v>0.0117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HYPERLINK("http://141.218.60.56/~jnz1568/getInfo.php?workbook=10_05.xlsx&amp;sheet=U0&amp;row=9271&amp;col=6&amp;number=3.7&amp;sourceID=14","3.7")</f>
        <v>3.7</v>
      </c>
      <c r="G9271" s="4" t="str">
        <f>HYPERLINK("http://141.218.60.56/~jnz1568/getInfo.php?workbook=10_05.xlsx&amp;sheet=U0&amp;row=9271&amp;col=7&amp;number=0.0116&amp;sourceID=14","0.0116")</f>
        <v>0.0116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HYPERLINK("http://141.218.60.56/~jnz1568/getInfo.php?workbook=10_05.xlsx&amp;sheet=U0&amp;row=9272&amp;col=6&amp;number=3.8&amp;sourceID=14","3.8")</f>
        <v>3.8</v>
      </c>
      <c r="G9272" s="4" t="str">
        <f>HYPERLINK("http://141.218.60.56/~jnz1568/getInfo.php?workbook=10_05.xlsx&amp;sheet=U0&amp;row=9272&amp;col=7&amp;number=0.0113&amp;sourceID=14","0.0113")</f>
        <v>0.0113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HYPERLINK("http://141.218.60.56/~jnz1568/getInfo.php?workbook=10_05.xlsx&amp;sheet=U0&amp;row=9273&amp;col=6&amp;number=3.9&amp;sourceID=14","3.9")</f>
        <v>3.9</v>
      </c>
      <c r="G9273" s="4" t="str">
        <f>HYPERLINK("http://141.218.60.56/~jnz1568/getInfo.php?workbook=10_05.xlsx&amp;sheet=U0&amp;row=9273&amp;col=7&amp;number=0.0111&amp;sourceID=14","0.0111")</f>
        <v>0.0111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HYPERLINK("http://141.218.60.56/~jnz1568/getInfo.php?workbook=10_05.xlsx&amp;sheet=U0&amp;row=9274&amp;col=6&amp;number=4&amp;sourceID=14","4")</f>
        <v>4</v>
      </c>
      <c r="G9274" s="4" t="str">
        <f>HYPERLINK("http://141.218.60.56/~jnz1568/getInfo.php?workbook=10_05.xlsx&amp;sheet=U0&amp;row=9274&amp;col=7&amp;number=0.0107&amp;sourceID=14","0.0107")</f>
        <v>0.0107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HYPERLINK("http://141.218.60.56/~jnz1568/getInfo.php?workbook=10_05.xlsx&amp;sheet=U0&amp;row=9275&amp;col=6&amp;number=4.1&amp;sourceID=14","4.1")</f>
        <v>4.1</v>
      </c>
      <c r="G9275" s="4" t="str">
        <f>HYPERLINK("http://141.218.60.56/~jnz1568/getInfo.php?workbook=10_05.xlsx&amp;sheet=U0&amp;row=9275&amp;col=7&amp;number=0.0103&amp;sourceID=14","0.0103")</f>
        <v>0.0103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HYPERLINK("http://141.218.60.56/~jnz1568/getInfo.php?workbook=10_05.xlsx&amp;sheet=U0&amp;row=9276&amp;col=6&amp;number=4.2&amp;sourceID=14","4.2")</f>
        <v>4.2</v>
      </c>
      <c r="G9276" s="4" t="str">
        <f>HYPERLINK("http://141.218.60.56/~jnz1568/getInfo.php?workbook=10_05.xlsx&amp;sheet=U0&amp;row=9276&amp;col=7&amp;number=0.00983&amp;sourceID=14","0.00983")</f>
        <v>0.00983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HYPERLINK("http://141.218.60.56/~jnz1568/getInfo.php?workbook=10_05.xlsx&amp;sheet=U0&amp;row=9277&amp;col=6&amp;number=4.3&amp;sourceID=14","4.3")</f>
        <v>4.3</v>
      </c>
      <c r="G9277" s="4" t="str">
        <f>HYPERLINK("http://141.218.60.56/~jnz1568/getInfo.php?workbook=10_05.xlsx&amp;sheet=U0&amp;row=9277&amp;col=7&amp;number=0.00927&amp;sourceID=14","0.00927")</f>
        <v>0.00927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HYPERLINK("http://141.218.60.56/~jnz1568/getInfo.php?workbook=10_05.xlsx&amp;sheet=U0&amp;row=9278&amp;col=6&amp;number=4.4&amp;sourceID=14","4.4")</f>
        <v>4.4</v>
      </c>
      <c r="G9278" s="4" t="str">
        <f>HYPERLINK("http://141.218.60.56/~jnz1568/getInfo.php?workbook=10_05.xlsx&amp;sheet=U0&amp;row=9278&amp;col=7&amp;number=0.00863&amp;sourceID=14","0.00863")</f>
        <v>0.00863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HYPERLINK("http://141.218.60.56/~jnz1568/getInfo.php?workbook=10_05.xlsx&amp;sheet=U0&amp;row=9279&amp;col=6&amp;number=4.5&amp;sourceID=14","4.5")</f>
        <v>4.5</v>
      </c>
      <c r="G9279" s="4" t="str">
        <f>HYPERLINK("http://141.218.60.56/~jnz1568/getInfo.php?workbook=10_05.xlsx&amp;sheet=U0&amp;row=9279&amp;col=7&amp;number=0.00793&amp;sourceID=14","0.00793")</f>
        <v>0.00793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HYPERLINK("http://141.218.60.56/~jnz1568/getInfo.php?workbook=10_05.xlsx&amp;sheet=U0&amp;row=9280&amp;col=6&amp;number=4.6&amp;sourceID=14","4.6")</f>
        <v>4.6</v>
      </c>
      <c r="G9280" s="4" t="str">
        <f>HYPERLINK("http://141.218.60.56/~jnz1568/getInfo.php?workbook=10_05.xlsx&amp;sheet=U0&amp;row=9280&amp;col=7&amp;number=0.0072&amp;sourceID=14","0.0072")</f>
        <v>0.0072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HYPERLINK("http://141.218.60.56/~jnz1568/getInfo.php?workbook=10_05.xlsx&amp;sheet=U0&amp;row=9281&amp;col=6&amp;number=4.7&amp;sourceID=14","4.7")</f>
        <v>4.7</v>
      </c>
      <c r="G9281" s="4" t="str">
        <f>HYPERLINK("http://141.218.60.56/~jnz1568/getInfo.php?workbook=10_05.xlsx&amp;sheet=U0&amp;row=9281&amp;col=7&amp;number=0.00651&amp;sourceID=14","0.00651")</f>
        <v>0.00651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HYPERLINK("http://141.218.60.56/~jnz1568/getInfo.php?workbook=10_05.xlsx&amp;sheet=U0&amp;row=9282&amp;col=6&amp;number=4.8&amp;sourceID=14","4.8")</f>
        <v>4.8</v>
      </c>
      <c r="G9282" s="4" t="str">
        <f>HYPERLINK("http://141.218.60.56/~jnz1568/getInfo.php?workbook=10_05.xlsx&amp;sheet=U0&amp;row=9282&amp;col=7&amp;number=0.00592&amp;sourceID=14","0.00592")</f>
        <v>0.00592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HYPERLINK("http://141.218.60.56/~jnz1568/getInfo.php?workbook=10_05.xlsx&amp;sheet=U0&amp;row=9283&amp;col=6&amp;number=4.9&amp;sourceID=14","4.9")</f>
        <v>4.9</v>
      </c>
      <c r="G9283" s="4" t="str">
        <f>HYPERLINK("http://141.218.60.56/~jnz1568/getInfo.php?workbook=10_05.xlsx&amp;sheet=U0&amp;row=9283&amp;col=7&amp;number=0.00542&amp;sourceID=14","0.00542")</f>
        <v>0.00542</v>
      </c>
    </row>
    <row r="9284" spans="1:7">
      <c r="A9284" s="3">
        <v>10</v>
      </c>
      <c r="B9284" s="3">
        <v>5</v>
      </c>
      <c r="C9284" s="3">
        <v>3</v>
      </c>
      <c r="D9284" s="3">
        <v>111</v>
      </c>
      <c r="E9284" s="3">
        <v>1</v>
      </c>
      <c r="F9284" s="4" t="str">
        <f>HYPERLINK("http://141.218.60.56/~jnz1568/getInfo.php?workbook=10_05.xlsx&amp;sheet=U0&amp;row=9284&amp;col=6&amp;number=3&amp;sourceID=14","3")</f>
        <v>3</v>
      </c>
      <c r="G9284" s="4" t="str">
        <f>HYPERLINK("http://141.218.60.56/~jnz1568/getInfo.php?workbook=10_05.xlsx&amp;sheet=U0&amp;row=9284&amp;col=7&amp;number=0.00523&amp;sourceID=14","0.00523")</f>
        <v>0.00523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HYPERLINK("http://141.218.60.56/~jnz1568/getInfo.php?workbook=10_05.xlsx&amp;sheet=U0&amp;row=9285&amp;col=6&amp;number=3.1&amp;sourceID=14","3.1")</f>
        <v>3.1</v>
      </c>
      <c r="G9285" s="4" t="str">
        <f>HYPERLINK("http://141.218.60.56/~jnz1568/getInfo.php?workbook=10_05.xlsx&amp;sheet=U0&amp;row=9285&amp;col=7&amp;number=0.0052&amp;sourceID=14","0.0052")</f>
        <v>0.0052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HYPERLINK("http://141.218.60.56/~jnz1568/getInfo.php?workbook=10_05.xlsx&amp;sheet=U0&amp;row=9286&amp;col=6&amp;number=3.2&amp;sourceID=14","3.2")</f>
        <v>3.2</v>
      </c>
      <c r="G9286" s="4" t="str">
        <f>HYPERLINK("http://141.218.60.56/~jnz1568/getInfo.php?workbook=10_05.xlsx&amp;sheet=U0&amp;row=9286&amp;col=7&amp;number=0.00516&amp;sourceID=14","0.00516")</f>
        <v>0.00516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HYPERLINK("http://141.218.60.56/~jnz1568/getInfo.php?workbook=10_05.xlsx&amp;sheet=U0&amp;row=9287&amp;col=6&amp;number=3.3&amp;sourceID=14","3.3")</f>
        <v>3.3</v>
      </c>
      <c r="G9287" s="4" t="str">
        <f>HYPERLINK("http://141.218.60.56/~jnz1568/getInfo.php?workbook=10_05.xlsx&amp;sheet=U0&amp;row=9287&amp;col=7&amp;number=0.0051&amp;sourceID=14","0.0051")</f>
        <v>0.0051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HYPERLINK("http://141.218.60.56/~jnz1568/getInfo.php?workbook=10_05.xlsx&amp;sheet=U0&amp;row=9288&amp;col=6&amp;number=3.4&amp;sourceID=14","3.4")</f>
        <v>3.4</v>
      </c>
      <c r="G9288" s="4" t="str">
        <f>HYPERLINK("http://141.218.60.56/~jnz1568/getInfo.php?workbook=10_05.xlsx&amp;sheet=U0&amp;row=9288&amp;col=7&amp;number=0.00504&amp;sourceID=14","0.00504")</f>
        <v>0.00504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HYPERLINK("http://141.218.60.56/~jnz1568/getInfo.php?workbook=10_05.xlsx&amp;sheet=U0&amp;row=9289&amp;col=6&amp;number=3.5&amp;sourceID=14","3.5")</f>
        <v>3.5</v>
      </c>
      <c r="G9289" s="4" t="str">
        <f>HYPERLINK("http://141.218.60.56/~jnz1568/getInfo.php?workbook=10_05.xlsx&amp;sheet=U0&amp;row=9289&amp;col=7&amp;number=0.00496&amp;sourceID=14","0.00496")</f>
        <v>0.00496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HYPERLINK("http://141.218.60.56/~jnz1568/getInfo.php?workbook=10_05.xlsx&amp;sheet=U0&amp;row=9290&amp;col=6&amp;number=3.6&amp;sourceID=14","3.6")</f>
        <v>3.6</v>
      </c>
      <c r="G9290" s="4" t="str">
        <f>HYPERLINK("http://141.218.60.56/~jnz1568/getInfo.php?workbook=10_05.xlsx&amp;sheet=U0&amp;row=9290&amp;col=7&amp;number=0.00486&amp;sourceID=14","0.00486")</f>
        <v>0.00486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HYPERLINK("http://141.218.60.56/~jnz1568/getInfo.php?workbook=10_05.xlsx&amp;sheet=U0&amp;row=9291&amp;col=6&amp;number=3.7&amp;sourceID=14","3.7")</f>
        <v>3.7</v>
      </c>
      <c r="G9291" s="4" t="str">
        <f>HYPERLINK("http://141.218.60.56/~jnz1568/getInfo.php?workbook=10_05.xlsx&amp;sheet=U0&amp;row=9291&amp;col=7&amp;number=0.00473&amp;sourceID=14","0.00473")</f>
        <v>0.00473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HYPERLINK("http://141.218.60.56/~jnz1568/getInfo.php?workbook=10_05.xlsx&amp;sheet=U0&amp;row=9292&amp;col=6&amp;number=3.8&amp;sourceID=14","3.8")</f>
        <v>3.8</v>
      </c>
      <c r="G9292" s="4" t="str">
        <f>HYPERLINK("http://141.218.60.56/~jnz1568/getInfo.php?workbook=10_05.xlsx&amp;sheet=U0&amp;row=9292&amp;col=7&amp;number=0.00458&amp;sourceID=14","0.00458")</f>
        <v>0.00458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HYPERLINK("http://141.218.60.56/~jnz1568/getInfo.php?workbook=10_05.xlsx&amp;sheet=U0&amp;row=9293&amp;col=6&amp;number=3.9&amp;sourceID=14","3.9")</f>
        <v>3.9</v>
      </c>
      <c r="G9293" s="4" t="str">
        <f>HYPERLINK("http://141.218.60.56/~jnz1568/getInfo.php?workbook=10_05.xlsx&amp;sheet=U0&amp;row=9293&amp;col=7&amp;number=0.00439&amp;sourceID=14","0.00439")</f>
        <v>0.00439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HYPERLINK("http://141.218.60.56/~jnz1568/getInfo.php?workbook=10_05.xlsx&amp;sheet=U0&amp;row=9294&amp;col=6&amp;number=4&amp;sourceID=14","4")</f>
        <v>4</v>
      </c>
      <c r="G9294" s="4" t="str">
        <f>HYPERLINK("http://141.218.60.56/~jnz1568/getInfo.php?workbook=10_05.xlsx&amp;sheet=U0&amp;row=9294&amp;col=7&amp;number=0.00417&amp;sourceID=14","0.00417")</f>
        <v>0.00417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HYPERLINK("http://141.218.60.56/~jnz1568/getInfo.php?workbook=10_05.xlsx&amp;sheet=U0&amp;row=9295&amp;col=6&amp;number=4.1&amp;sourceID=14","4.1")</f>
        <v>4.1</v>
      </c>
      <c r="G9295" s="4" t="str">
        <f>HYPERLINK("http://141.218.60.56/~jnz1568/getInfo.php?workbook=10_05.xlsx&amp;sheet=U0&amp;row=9295&amp;col=7&amp;number=0.00391&amp;sourceID=14","0.00391")</f>
        <v>0.00391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HYPERLINK("http://141.218.60.56/~jnz1568/getInfo.php?workbook=10_05.xlsx&amp;sheet=U0&amp;row=9296&amp;col=6&amp;number=4.2&amp;sourceID=14","4.2")</f>
        <v>4.2</v>
      </c>
      <c r="G9296" s="4" t="str">
        <f>HYPERLINK("http://141.218.60.56/~jnz1568/getInfo.php?workbook=10_05.xlsx&amp;sheet=U0&amp;row=9296&amp;col=7&amp;number=0.00361&amp;sourceID=14","0.00361")</f>
        <v>0.00361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HYPERLINK("http://141.218.60.56/~jnz1568/getInfo.php?workbook=10_05.xlsx&amp;sheet=U0&amp;row=9297&amp;col=6&amp;number=4.3&amp;sourceID=14","4.3")</f>
        <v>4.3</v>
      </c>
      <c r="G9297" s="4" t="str">
        <f>HYPERLINK("http://141.218.60.56/~jnz1568/getInfo.php?workbook=10_05.xlsx&amp;sheet=U0&amp;row=9297&amp;col=7&amp;number=0.00329&amp;sourceID=14","0.00329")</f>
        <v>0.00329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HYPERLINK("http://141.218.60.56/~jnz1568/getInfo.php?workbook=10_05.xlsx&amp;sheet=U0&amp;row=9298&amp;col=6&amp;number=4.4&amp;sourceID=14","4.4")</f>
        <v>4.4</v>
      </c>
      <c r="G9298" s="4" t="str">
        <f>HYPERLINK("http://141.218.60.56/~jnz1568/getInfo.php?workbook=10_05.xlsx&amp;sheet=U0&amp;row=9298&amp;col=7&amp;number=0.00296&amp;sourceID=14","0.00296")</f>
        <v>0.00296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HYPERLINK("http://141.218.60.56/~jnz1568/getInfo.php?workbook=10_05.xlsx&amp;sheet=U0&amp;row=9299&amp;col=6&amp;number=4.5&amp;sourceID=14","4.5")</f>
        <v>4.5</v>
      </c>
      <c r="G9299" s="4" t="str">
        <f>HYPERLINK("http://141.218.60.56/~jnz1568/getInfo.php?workbook=10_05.xlsx&amp;sheet=U0&amp;row=9299&amp;col=7&amp;number=0.00264&amp;sourceID=14","0.00264")</f>
        <v>0.00264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HYPERLINK("http://141.218.60.56/~jnz1568/getInfo.php?workbook=10_05.xlsx&amp;sheet=U0&amp;row=9300&amp;col=6&amp;number=4.6&amp;sourceID=14","4.6")</f>
        <v>4.6</v>
      </c>
      <c r="G9300" s="4" t="str">
        <f>HYPERLINK("http://141.218.60.56/~jnz1568/getInfo.php?workbook=10_05.xlsx&amp;sheet=U0&amp;row=9300&amp;col=7&amp;number=0.00236&amp;sourceID=14","0.00236")</f>
        <v>0.00236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HYPERLINK("http://141.218.60.56/~jnz1568/getInfo.php?workbook=10_05.xlsx&amp;sheet=U0&amp;row=9301&amp;col=6&amp;number=4.7&amp;sourceID=14","4.7")</f>
        <v>4.7</v>
      </c>
      <c r="G9301" s="4" t="str">
        <f>HYPERLINK("http://141.218.60.56/~jnz1568/getInfo.php?workbook=10_05.xlsx&amp;sheet=U0&amp;row=9301&amp;col=7&amp;number=0.0021&amp;sourceID=14","0.0021")</f>
        <v>0.0021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HYPERLINK("http://141.218.60.56/~jnz1568/getInfo.php?workbook=10_05.xlsx&amp;sheet=U0&amp;row=9302&amp;col=6&amp;number=4.8&amp;sourceID=14","4.8")</f>
        <v>4.8</v>
      </c>
      <c r="G9302" s="4" t="str">
        <f>HYPERLINK("http://141.218.60.56/~jnz1568/getInfo.php?workbook=10_05.xlsx&amp;sheet=U0&amp;row=9302&amp;col=7&amp;number=0.00186&amp;sourceID=14","0.00186")</f>
        <v>0.00186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HYPERLINK("http://141.218.60.56/~jnz1568/getInfo.php?workbook=10_05.xlsx&amp;sheet=U0&amp;row=9303&amp;col=6&amp;number=4.9&amp;sourceID=14","4.9")</f>
        <v>4.9</v>
      </c>
      <c r="G9303" s="4" t="str">
        <f>HYPERLINK("http://141.218.60.56/~jnz1568/getInfo.php?workbook=10_05.xlsx&amp;sheet=U0&amp;row=9303&amp;col=7&amp;number=0.00166&amp;sourceID=14","0.00166")</f>
        <v>0.00166</v>
      </c>
    </row>
    <row r="9304" spans="1:7">
      <c r="A9304" s="3">
        <v>10</v>
      </c>
      <c r="B9304" s="3">
        <v>5</v>
      </c>
      <c r="C9304" s="3">
        <v>3</v>
      </c>
      <c r="D9304" s="3">
        <v>112</v>
      </c>
      <c r="E9304" s="3">
        <v>1</v>
      </c>
      <c r="F9304" s="4" t="str">
        <f>HYPERLINK("http://141.218.60.56/~jnz1568/getInfo.php?workbook=10_05.xlsx&amp;sheet=U0&amp;row=9304&amp;col=6&amp;number=3&amp;sourceID=14","3")</f>
        <v>3</v>
      </c>
      <c r="G9304" s="4" t="str">
        <f>HYPERLINK("http://141.218.60.56/~jnz1568/getInfo.php?workbook=10_05.xlsx&amp;sheet=U0&amp;row=9304&amp;col=7&amp;number=0.0152&amp;sourceID=14","0.0152")</f>
        <v>0.0152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HYPERLINK("http://141.218.60.56/~jnz1568/getInfo.php?workbook=10_05.xlsx&amp;sheet=U0&amp;row=9305&amp;col=6&amp;number=3.1&amp;sourceID=14","3.1")</f>
        <v>3.1</v>
      </c>
      <c r="G9305" s="4" t="str">
        <f>HYPERLINK("http://141.218.60.56/~jnz1568/getInfo.php?workbook=10_05.xlsx&amp;sheet=U0&amp;row=9305&amp;col=7&amp;number=0.0151&amp;sourceID=14","0.0151")</f>
        <v>0.0151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HYPERLINK("http://141.218.60.56/~jnz1568/getInfo.php?workbook=10_05.xlsx&amp;sheet=U0&amp;row=9306&amp;col=6&amp;number=3.2&amp;sourceID=14","3.2")</f>
        <v>3.2</v>
      </c>
      <c r="G9306" s="4" t="str">
        <f>HYPERLINK("http://141.218.60.56/~jnz1568/getInfo.php?workbook=10_05.xlsx&amp;sheet=U0&amp;row=9306&amp;col=7&amp;number=0.015&amp;sourceID=14","0.015")</f>
        <v>0.015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HYPERLINK("http://141.218.60.56/~jnz1568/getInfo.php?workbook=10_05.xlsx&amp;sheet=U0&amp;row=9307&amp;col=6&amp;number=3.3&amp;sourceID=14","3.3")</f>
        <v>3.3</v>
      </c>
      <c r="G9307" s="4" t="str">
        <f>HYPERLINK("http://141.218.60.56/~jnz1568/getInfo.php?workbook=10_05.xlsx&amp;sheet=U0&amp;row=9307&amp;col=7&amp;number=0.0149&amp;sourceID=14","0.0149")</f>
        <v>0.0149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HYPERLINK("http://141.218.60.56/~jnz1568/getInfo.php?workbook=10_05.xlsx&amp;sheet=U0&amp;row=9308&amp;col=6&amp;number=3.4&amp;sourceID=14","3.4")</f>
        <v>3.4</v>
      </c>
      <c r="G9308" s="4" t="str">
        <f>HYPERLINK("http://141.218.60.56/~jnz1568/getInfo.php?workbook=10_05.xlsx&amp;sheet=U0&amp;row=9308&amp;col=7&amp;number=0.0147&amp;sourceID=14","0.0147")</f>
        <v>0.0147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HYPERLINK("http://141.218.60.56/~jnz1568/getInfo.php?workbook=10_05.xlsx&amp;sheet=U0&amp;row=9309&amp;col=6&amp;number=3.5&amp;sourceID=14","3.5")</f>
        <v>3.5</v>
      </c>
      <c r="G9309" s="4" t="str">
        <f>HYPERLINK("http://141.218.60.56/~jnz1568/getInfo.php?workbook=10_05.xlsx&amp;sheet=U0&amp;row=9309&amp;col=7&amp;number=0.0145&amp;sourceID=14","0.0145")</f>
        <v>0.0145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HYPERLINK("http://141.218.60.56/~jnz1568/getInfo.php?workbook=10_05.xlsx&amp;sheet=U0&amp;row=9310&amp;col=6&amp;number=3.6&amp;sourceID=14","3.6")</f>
        <v>3.6</v>
      </c>
      <c r="G9310" s="4" t="str">
        <f>HYPERLINK("http://141.218.60.56/~jnz1568/getInfo.php?workbook=10_05.xlsx&amp;sheet=U0&amp;row=9310&amp;col=7&amp;number=0.0143&amp;sourceID=14","0.0143")</f>
        <v>0.0143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HYPERLINK("http://141.218.60.56/~jnz1568/getInfo.php?workbook=10_05.xlsx&amp;sheet=U0&amp;row=9311&amp;col=6&amp;number=3.7&amp;sourceID=14","3.7")</f>
        <v>3.7</v>
      </c>
      <c r="G9311" s="4" t="str">
        <f>HYPERLINK("http://141.218.60.56/~jnz1568/getInfo.php?workbook=10_05.xlsx&amp;sheet=U0&amp;row=9311&amp;col=7&amp;number=0.014&amp;sourceID=14","0.014")</f>
        <v>0.014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HYPERLINK("http://141.218.60.56/~jnz1568/getInfo.php?workbook=10_05.xlsx&amp;sheet=U0&amp;row=9312&amp;col=6&amp;number=3.8&amp;sourceID=14","3.8")</f>
        <v>3.8</v>
      </c>
      <c r="G9312" s="4" t="str">
        <f>HYPERLINK("http://141.218.60.56/~jnz1568/getInfo.php?workbook=10_05.xlsx&amp;sheet=U0&amp;row=9312&amp;col=7&amp;number=0.0137&amp;sourceID=14","0.0137")</f>
        <v>0.0137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HYPERLINK("http://141.218.60.56/~jnz1568/getInfo.php?workbook=10_05.xlsx&amp;sheet=U0&amp;row=9313&amp;col=6&amp;number=3.9&amp;sourceID=14","3.9")</f>
        <v>3.9</v>
      </c>
      <c r="G9313" s="4" t="str">
        <f>HYPERLINK("http://141.218.60.56/~jnz1568/getInfo.php?workbook=10_05.xlsx&amp;sheet=U0&amp;row=9313&amp;col=7&amp;number=0.0132&amp;sourceID=14","0.0132")</f>
        <v>0.0132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HYPERLINK("http://141.218.60.56/~jnz1568/getInfo.php?workbook=10_05.xlsx&amp;sheet=U0&amp;row=9314&amp;col=6&amp;number=4&amp;sourceID=14","4")</f>
        <v>4</v>
      </c>
      <c r="G9314" s="4" t="str">
        <f>HYPERLINK("http://141.218.60.56/~jnz1568/getInfo.php?workbook=10_05.xlsx&amp;sheet=U0&amp;row=9314&amp;col=7&amp;number=0.0127&amp;sourceID=14","0.0127")</f>
        <v>0.0127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HYPERLINK("http://141.218.60.56/~jnz1568/getInfo.php?workbook=10_05.xlsx&amp;sheet=U0&amp;row=9315&amp;col=6&amp;number=4.1&amp;sourceID=14","4.1")</f>
        <v>4.1</v>
      </c>
      <c r="G9315" s="4" t="str">
        <f>HYPERLINK("http://141.218.60.56/~jnz1568/getInfo.php?workbook=10_05.xlsx&amp;sheet=U0&amp;row=9315&amp;col=7&amp;number=0.0121&amp;sourceID=14","0.0121")</f>
        <v>0.0121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HYPERLINK("http://141.218.60.56/~jnz1568/getInfo.php?workbook=10_05.xlsx&amp;sheet=U0&amp;row=9316&amp;col=6&amp;number=4.2&amp;sourceID=14","4.2")</f>
        <v>4.2</v>
      </c>
      <c r="G9316" s="4" t="str">
        <f>HYPERLINK("http://141.218.60.56/~jnz1568/getInfo.php?workbook=10_05.xlsx&amp;sheet=U0&amp;row=9316&amp;col=7&amp;number=0.0113&amp;sourceID=14","0.0113")</f>
        <v>0.0113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HYPERLINK("http://141.218.60.56/~jnz1568/getInfo.php?workbook=10_05.xlsx&amp;sheet=U0&amp;row=9317&amp;col=6&amp;number=4.3&amp;sourceID=14","4.3")</f>
        <v>4.3</v>
      </c>
      <c r="G9317" s="4" t="str">
        <f>HYPERLINK("http://141.218.60.56/~jnz1568/getInfo.php?workbook=10_05.xlsx&amp;sheet=U0&amp;row=9317&amp;col=7&amp;number=0.0105&amp;sourceID=14","0.0105")</f>
        <v>0.0105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HYPERLINK("http://141.218.60.56/~jnz1568/getInfo.php?workbook=10_05.xlsx&amp;sheet=U0&amp;row=9318&amp;col=6&amp;number=4.4&amp;sourceID=14","4.4")</f>
        <v>4.4</v>
      </c>
      <c r="G9318" s="4" t="str">
        <f>HYPERLINK("http://141.218.60.56/~jnz1568/getInfo.php?workbook=10_05.xlsx&amp;sheet=U0&amp;row=9318&amp;col=7&amp;number=0.00955&amp;sourceID=14","0.00955")</f>
        <v>0.00955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HYPERLINK("http://141.218.60.56/~jnz1568/getInfo.php?workbook=10_05.xlsx&amp;sheet=U0&amp;row=9319&amp;col=6&amp;number=4.5&amp;sourceID=14","4.5")</f>
        <v>4.5</v>
      </c>
      <c r="G9319" s="4" t="str">
        <f>HYPERLINK("http://141.218.60.56/~jnz1568/getInfo.php?workbook=10_05.xlsx&amp;sheet=U0&amp;row=9319&amp;col=7&amp;number=0.00856&amp;sourceID=14","0.00856")</f>
        <v>0.00856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HYPERLINK("http://141.218.60.56/~jnz1568/getInfo.php?workbook=10_05.xlsx&amp;sheet=U0&amp;row=9320&amp;col=6&amp;number=4.6&amp;sourceID=14","4.6")</f>
        <v>4.6</v>
      </c>
      <c r="G9320" s="4" t="str">
        <f>HYPERLINK("http://141.218.60.56/~jnz1568/getInfo.php?workbook=10_05.xlsx&amp;sheet=U0&amp;row=9320&amp;col=7&amp;number=0.00756&amp;sourceID=14","0.00756")</f>
        <v>0.00756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HYPERLINK("http://141.218.60.56/~jnz1568/getInfo.php?workbook=10_05.xlsx&amp;sheet=U0&amp;row=9321&amp;col=6&amp;number=4.7&amp;sourceID=14","4.7")</f>
        <v>4.7</v>
      </c>
      <c r="G9321" s="4" t="str">
        <f>HYPERLINK("http://141.218.60.56/~jnz1568/getInfo.php?workbook=10_05.xlsx&amp;sheet=U0&amp;row=9321&amp;col=7&amp;number=0.00662&amp;sourceID=14","0.00662")</f>
        <v>0.00662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HYPERLINK("http://141.218.60.56/~jnz1568/getInfo.php?workbook=10_05.xlsx&amp;sheet=U0&amp;row=9322&amp;col=6&amp;number=4.8&amp;sourceID=14","4.8")</f>
        <v>4.8</v>
      </c>
      <c r="G9322" s="4" t="str">
        <f>HYPERLINK("http://141.218.60.56/~jnz1568/getInfo.php?workbook=10_05.xlsx&amp;sheet=U0&amp;row=9322&amp;col=7&amp;number=0.0058&amp;sourceID=14","0.0058")</f>
        <v>0.0058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HYPERLINK("http://141.218.60.56/~jnz1568/getInfo.php?workbook=10_05.xlsx&amp;sheet=U0&amp;row=9323&amp;col=6&amp;number=4.9&amp;sourceID=14","4.9")</f>
        <v>4.9</v>
      </c>
      <c r="G9323" s="4" t="str">
        <f>HYPERLINK("http://141.218.60.56/~jnz1568/getInfo.php?workbook=10_05.xlsx&amp;sheet=U0&amp;row=9323&amp;col=7&amp;number=0.00511&amp;sourceID=14","0.00511")</f>
        <v>0.00511</v>
      </c>
    </row>
    <row r="9324" spans="1:7">
      <c r="A9324" s="3">
        <v>10</v>
      </c>
      <c r="B9324" s="3">
        <v>5</v>
      </c>
      <c r="C9324" s="3">
        <v>3</v>
      </c>
      <c r="D9324" s="3">
        <v>113</v>
      </c>
      <c r="E9324" s="3">
        <v>1</v>
      </c>
      <c r="F9324" s="4" t="str">
        <f>HYPERLINK("http://141.218.60.56/~jnz1568/getInfo.php?workbook=10_05.xlsx&amp;sheet=U0&amp;row=9324&amp;col=6&amp;number=3&amp;sourceID=14","3")</f>
        <v>3</v>
      </c>
      <c r="G9324" s="4" t="str">
        <f>HYPERLINK("http://141.218.60.56/~jnz1568/getInfo.php?workbook=10_05.xlsx&amp;sheet=U0&amp;row=9324&amp;col=7&amp;number=0.00259&amp;sourceID=14","0.00259")</f>
        <v>0.00259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HYPERLINK("http://141.218.60.56/~jnz1568/getInfo.php?workbook=10_05.xlsx&amp;sheet=U0&amp;row=9325&amp;col=6&amp;number=3.1&amp;sourceID=14","3.1")</f>
        <v>3.1</v>
      </c>
      <c r="G9325" s="4" t="str">
        <f>HYPERLINK("http://141.218.60.56/~jnz1568/getInfo.php?workbook=10_05.xlsx&amp;sheet=U0&amp;row=9325&amp;col=7&amp;number=0.00257&amp;sourceID=14","0.00257")</f>
        <v>0.00257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HYPERLINK("http://141.218.60.56/~jnz1568/getInfo.php?workbook=10_05.xlsx&amp;sheet=U0&amp;row=9326&amp;col=6&amp;number=3.2&amp;sourceID=14","3.2")</f>
        <v>3.2</v>
      </c>
      <c r="G9326" s="4" t="str">
        <f>HYPERLINK("http://141.218.60.56/~jnz1568/getInfo.php?workbook=10_05.xlsx&amp;sheet=U0&amp;row=9326&amp;col=7&amp;number=0.00256&amp;sourceID=14","0.00256")</f>
        <v>0.00256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HYPERLINK("http://141.218.60.56/~jnz1568/getInfo.php?workbook=10_05.xlsx&amp;sheet=U0&amp;row=9327&amp;col=6&amp;number=3.3&amp;sourceID=14","3.3")</f>
        <v>3.3</v>
      </c>
      <c r="G9327" s="4" t="str">
        <f>HYPERLINK("http://141.218.60.56/~jnz1568/getInfo.php?workbook=10_05.xlsx&amp;sheet=U0&amp;row=9327&amp;col=7&amp;number=0.00254&amp;sourceID=14","0.00254")</f>
        <v>0.00254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HYPERLINK("http://141.218.60.56/~jnz1568/getInfo.php?workbook=10_05.xlsx&amp;sheet=U0&amp;row=9328&amp;col=6&amp;number=3.4&amp;sourceID=14","3.4")</f>
        <v>3.4</v>
      </c>
      <c r="G9328" s="4" t="str">
        <f>HYPERLINK("http://141.218.60.56/~jnz1568/getInfo.php?workbook=10_05.xlsx&amp;sheet=U0&amp;row=9328&amp;col=7&amp;number=0.00251&amp;sourceID=14","0.00251")</f>
        <v>0.00251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HYPERLINK("http://141.218.60.56/~jnz1568/getInfo.php?workbook=10_05.xlsx&amp;sheet=U0&amp;row=9329&amp;col=6&amp;number=3.5&amp;sourceID=14","3.5")</f>
        <v>3.5</v>
      </c>
      <c r="G9329" s="4" t="str">
        <f>HYPERLINK("http://141.218.60.56/~jnz1568/getInfo.php?workbook=10_05.xlsx&amp;sheet=U0&amp;row=9329&amp;col=7&amp;number=0.00248&amp;sourceID=14","0.00248")</f>
        <v>0.00248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HYPERLINK("http://141.218.60.56/~jnz1568/getInfo.php?workbook=10_05.xlsx&amp;sheet=U0&amp;row=9330&amp;col=6&amp;number=3.6&amp;sourceID=14","3.6")</f>
        <v>3.6</v>
      </c>
      <c r="G9330" s="4" t="str">
        <f>HYPERLINK("http://141.218.60.56/~jnz1568/getInfo.php?workbook=10_05.xlsx&amp;sheet=U0&amp;row=9330&amp;col=7&amp;number=0.00244&amp;sourceID=14","0.00244")</f>
        <v>0.00244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HYPERLINK("http://141.218.60.56/~jnz1568/getInfo.php?workbook=10_05.xlsx&amp;sheet=U0&amp;row=9331&amp;col=6&amp;number=3.7&amp;sourceID=14","3.7")</f>
        <v>3.7</v>
      </c>
      <c r="G9331" s="4" t="str">
        <f>HYPERLINK("http://141.218.60.56/~jnz1568/getInfo.php?workbook=10_05.xlsx&amp;sheet=U0&amp;row=9331&amp;col=7&amp;number=0.00239&amp;sourceID=14","0.00239")</f>
        <v>0.00239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HYPERLINK("http://141.218.60.56/~jnz1568/getInfo.php?workbook=10_05.xlsx&amp;sheet=U0&amp;row=9332&amp;col=6&amp;number=3.8&amp;sourceID=14","3.8")</f>
        <v>3.8</v>
      </c>
      <c r="G9332" s="4" t="str">
        <f>HYPERLINK("http://141.218.60.56/~jnz1568/getInfo.php?workbook=10_05.xlsx&amp;sheet=U0&amp;row=9332&amp;col=7&amp;number=0.00234&amp;sourceID=14","0.00234")</f>
        <v>0.00234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HYPERLINK("http://141.218.60.56/~jnz1568/getInfo.php?workbook=10_05.xlsx&amp;sheet=U0&amp;row=9333&amp;col=6&amp;number=3.9&amp;sourceID=14","3.9")</f>
        <v>3.9</v>
      </c>
      <c r="G9333" s="4" t="str">
        <f>HYPERLINK("http://141.218.60.56/~jnz1568/getInfo.php?workbook=10_05.xlsx&amp;sheet=U0&amp;row=9333&amp;col=7&amp;number=0.00226&amp;sourceID=14","0.00226")</f>
        <v>0.00226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HYPERLINK("http://141.218.60.56/~jnz1568/getInfo.php?workbook=10_05.xlsx&amp;sheet=U0&amp;row=9334&amp;col=6&amp;number=4&amp;sourceID=14","4")</f>
        <v>4</v>
      </c>
      <c r="G9334" s="4" t="str">
        <f>HYPERLINK("http://141.218.60.56/~jnz1568/getInfo.php?workbook=10_05.xlsx&amp;sheet=U0&amp;row=9334&amp;col=7&amp;number=0.00218&amp;sourceID=14","0.00218")</f>
        <v>0.00218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HYPERLINK("http://141.218.60.56/~jnz1568/getInfo.php?workbook=10_05.xlsx&amp;sheet=U0&amp;row=9335&amp;col=6&amp;number=4.1&amp;sourceID=14","4.1")</f>
        <v>4.1</v>
      </c>
      <c r="G9335" s="4" t="str">
        <f>HYPERLINK("http://141.218.60.56/~jnz1568/getInfo.php?workbook=10_05.xlsx&amp;sheet=U0&amp;row=9335&amp;col=7&amp;number=0.00207&amp;sourceID=14","0.00207")</f>
        <v>0.00207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HYPERLINK("http://141.218.60.56/~jnz1568/getInfo.php?workbook=10_05.xlsx&amp;sheet=U0&amp;row=9336&amp;col=6&amp;number=4.2&amp;sourceID=14","4.2")</f>
        <v>4.2</v>
      </c>
      <c r="G9336" s="4" t="str">
        <f>HYPERLINK("http://141.218.60.56/~jnz1568/getInfo.php?workbook=10_05.xlsx&amp;sheet=U0&amp;row=9336&amp;col=7&amp;number=0.00195&amp;sourceID=14","0.00195")</f>
        <v>0.00195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HYPERLINK("http://141.218.60.56/~jnz1568/getInfo.php?workbook=10_05.xlsx&amp;sheet=U0&amp;row=9337&amp;col=6&amp;number=4.3&amp;sourceID=14","4.3")</f>
        <v>4.3</v>
      </c>
      <c r="G9337" s="4" t="str">
        <f>HYPERLINK("http://141.218.60.56/~jnz1568/getInfo.php?workbook=10_05.xlsx&amp;sheet=U0&amp;row=9337&amp;col=7&amp;number=0.00181&amp;sourceID=14","0.00181")</f>
        <v>0.00181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HYPERLINK("http://141.218.60.56/~jnz1568/getInfo.php?workbook=10_05.xlsx&amp;sheet=U0&amp;row=9338&amp;col=6&amp;number=4.4&amp;sourceID=14","4.4")</f>
        <v>4.4</v>
      </c>
      <c r="G9338" s="4" t="str">
        <f>HYPERLINK("http://141.218.60.56/~jnz1568/getInfo.php?workbook=10_05.xlsx&amp;sheet=U0&amp;row=9338&amp;col=7&amp;number=0.00165&amp;sourceID=14","0.00165")</f>
        <v>0.00165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HYPERLINK("http://141.218.60.56/~jnz1568/getInfo.php?workbook=10_05.xlsx&amp;sheet=U0&amp;row=9339&amp;col=6&amp;number=4.5&amp;sourceID=14","4.5")</f>
        <v>4.5</v>
      </c>
      <c r="G9339" s="4" t="str">
        <f>HYPERLINK("http://141.218.60.56/~jnz1568/getInfo.php?workbook=10_05.xlsx&amp;sheet=U0&amp;row=9339&amp;col=7&amp;number=0.00149&amp;sourceID=14","0.00149")</f>
        <v>0.00149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HYPERLINK("http://141.218.60.56/~jnz1568/getInfo.php?workbook=10_05.xlsx&amp;sheet=U0&amp;row=9340&amp;col=6&amp;number=4.6&amp;sourceID=14","4.6")</f>
        <v>4.6</v>
      </c>
      <c r="G9340" s="4" t="str">
        <f>HYPERLINK("http://141.218.60.56/~jnz1568/getInfo.php?workbook=10_05.xlsx&amp;sheet=U0&amp;row=9340&amp;col=7&amp;number=0.00133&amp;sourceID=14","0.00133")</f>
        <v>0.00133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HYPERLINK("http://141.218.60.56/~jnz1568/getInfo.php?workbook=10_05.xlsx&amp;sheet=U0&amp;row=9341&amp;col=6&amp;number=4.7&amp;sourceID=14","4.7")</f>
        <v>4.7</v>
      </c>
      <c r="G9341" s="4" t="str">
        <f>HYPERLINK("http://141.218.60.56/~jnz1568/getInfo.php?workbook=10_05.xlsx&amp;sheet=U0&amp;row=9341&amp;col=7&amp;number=0.00119&amp;sourceID=14","0.00119")</f>
        <v>0.00119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HYPERLINK("http://141.218.60.56/~jnz1568/getInfo.php?workbook=10_05.xlsx&amp;sheet=U0&amp;row=9342&amp;col=6&amp;number=4.8&amp;sourceID=14","4.8")</f>
        <v>4.8</v>
      </c>
      <c r="G9342" s="4" t="str">
        <f>HYPERLINK("http://141.218.60.56/~jnz1568/getInfo.php?workbook=10_05.xlsx&amp;sheet=U0&amp;row=9342&amp;col=7&amp;number=0.00108&amp;sourceID=14","0.00108")</f>
        <v>0.00108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HYPERLINK("http://141.218.60.56/~jnz1568/getInfo.php?workbook=10_05.xlsx&amp;sheet=U0&amp;row=9343&amp;col=6&amp;number=4.9&amp;sourceID=14","4.9")</f>
        <v>4.9</v>
      </c>
      <c r="G9343" s="4" t="str">
        <f>HYPERLINK("http://141.218.60.56/~jnz1568/getInfo.php?workbook=10_05.xlsx&amp;sheet=U0&amp;row=9343&amp;col=7&amp;number=0.00097&amp;sourceID=14","0.00097")</f>
        <v>0.00097</v>
      </c>
    </row>
    <row r="9344" spans="1:7">
      <c r="A9344" s="3">
        <v>10</v>
      </c>
      <c r="B9344" s="3">
        <v>5</v>
      </c>
      <c r="C9344" s="3">
        <v>3</v>
      </c>
      <c r="D9344" s="3">
        <v>114</v>
      </c>
      <c r="E9344" s="3">
        <v>1</v>
      </c>
      <c r="F9344" s="4" t="str">
        <f>HYPERLINK("http://141.218.60.56/~jnz1568/getInfo.php?workbook=10_05.xlsx&amp;sheet=U0&amp;row=9344&amp;col=6&amp;number=3&amp;sourceID=14","3")</f>
        <v>3</v>
      </c>
      <c r="G9344" s="4" t="str">
        <f>HYPERLINK("http://141.218.60.56/~jnz1568/getInfo.php?workbook=10_05.xlsx&amp;sheet=U0&amp;row=9344&amp;col=7&amp;number=0.00425&amp;sourceID=14","0.00425")</f>
        <v>0.00425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HYPERLINK("http://141.218.60.56/~jnz1568/getInfo.php?workbook=10_05.xlsx&amp;sheet=U0&amp;row=9345&amp;col=6&amp;number=3.1&amp;sourceID=14","3.1")</f>
        <v>3.1</v>
      </c>
      <c r="G9345" s="4" t="str">
        <f>HYPERLINK("http://141.218.60.56/~jnz1568/getInfo.php?workbook=10_05.xlsx&amp;sheet=U0&amp;row=9345&amp;col=7&amp;number=0.00423&amp;sourceID=14","0.00423")</f>
        <v>0.00423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HYPERLINK("http://141.218.60.56/~jnz1568/getInfo.php?workbook=10_05.xlsx&amp;sheet=U0&amp;row=9346&amp;col=6&amp;number=3.2&amp;sourceID=14","3.2")</f>
        <v>3.2</v>
      </c>
      <c r="G9346" s="4" t="str">
        <f>HYPERLINK("http://141.218.60.56/~jnz1568/getInfo.php?workbook=10_05.xlsx&amp;sheet=U0&amp;row=9346&amp;col=7&amp;number=0.00421&amp;sourceID=14","0.00421")</f>
        <v>0.00421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HYPERLINK("http://141.218.60.56/~jnz1568/getInfo.php?workbook=10_05.xlsx&amp;sheet=U0&amp;row=9347&amp;col=6&amp;number=3.3&amp;sourceID=14","3.3")</f>
        <v>3.3</v>
      </c>
      <c r="G9347" s="4" t="str">
        <f>HYPERLINK("http://141.218.60.56/~jnz1568/getInfo.php?workbook=10_05.xlsx&amp;sheet=U0&amp;row=9347&amp;col=7&amp;number=0.00419&amp;sourceID=14","0.00419")</f>
        <v>0.00419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HYPERLINK("http://141.218.60.56/~jnz1568/getInfo.php?workbook=10_05.xlsx&amp;sheet=U0&amp;row=9348&amp;col=6&amp;number=3.4&amp;sourceID=14","3.4")</f>
        <v>3.4</v>
      </c>
      <c r="G9348" s="4" t="str">
        <f>HYPERLINK("http://141.218.60.56/~jnz1568/getInfo.php?workbook=10_05.xlsx&amp;sheet=U0&amp;row=9348&amp;col=7&amp;number=0.00416&amp;sourceID=14","0.00416")</f>
        <v>0.00416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HYPERLINK("http://141.218.60.56/~jnz1568/getInfo.php?workbook=10_05.xlsx&amp;sheet=U0&amp;row=9349&amp;col=6&amp;number=3.5&amp;sourceID=14","3.5")</f>
        <v>3.5</v>
      </c>
      <c r="G9349" s="4" t="str">
        <f>HYPERLINK("http://141.218.60.56/~jnz1568/getInfo.php?workbook=10_05.xlsx&amp;sheet=U0&amp;row=9349&amp;col=7&amp;number=0.00412&amp;sourceID=14","0.00412")</f>
        <v>0.00412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HYPERLINK("http://141.218.60.56/~jnz1568/getInfo.php?workbook=10_05.xlsx&amp;sheet=U0&amp;row=9350&amp;col=6&amp;number=3.6&amp;sourceID=14","3.6")</f>
        <v>3.6</v>
      </c>
      <c r="G9350" s="4" t="str">
        <f>HYPERLINK("http://141.218.60.56/~jnz1568/getInfo.php?workbook=10_05.xlsx&amp;sheet=U0&amp;row=9350&amp;col=7&amp;number=0.00408&amp;sourceID=14","0.00408")</f>
        <v>0.00408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HYPERLINK("http://141.218.60.56/~jnz1568/getInfo.php?workbook=10_05.xlsx&amp;sheet=U0&amp;row=9351&amp;col=6&amp;number=3.7&amp;sourceID=14","3.7")</f>
        <v>3.7</v>
      </c>
      <c r="G9351" s="4" t="str">
        <f>HYPERLINK("http://141.218.60.56/~jnz1568/getInfo.php?workbook=10_05.xlsx&amp;sheet=U0&amp;row=9351&amp;col=7&amp;number=0.00402&amp;sourceID=14","0.00402")</f>
        <v>0.00402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HYPERLINK("http://141.218.60.56/~jnz1568/getInfo.php?workbook=10_05.xlsx&amp;sheet=U0&amp;row=9352&amp;col=6&amp;number=3.8&amp;sourceID=14","3.8")</f>
        <v>3.8</v>
      </c>
      <c r="G9352" s="4" t="str">
        <f>HYPERLINK("http://141.218.60.56/~jnz1568/getInfo.php?workbook=10_05.xlsx&amp;sheet=U0&amp;row=9352&amp;col=7&amp;number=0.00396&amp;sourceID=14","0.00396")</f>
        <v>0.00396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HYPERLINK("http://141.218.60.56/~jnz1568/getInfo.php?workbook=10_05.xlsx&amp;sheet=U0&amp;row=9353&amp;col=6&amp;number=3.9&amp;sourceID=14","3.9")</f>
        <v>3.9</v>
      </c>
      <c r="G9353" s="4" t="str">
        <f>HYPERLINK("http://141.218.60.56/~jnz1568/getInfo.php?workbook=10_05.xlsx&amp;sheet=U0&amp;row=9353&amp;col=7&amp;number=0.00387&amp;sourceID=14","0.00387")</f>
        <v>0.00387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HYPERLINK("http://141.218.60.56/~jnz1568/getInfo.php?workbook=10_05.xlsx&amp;sheet=U0&amp;row=9354&amp;col=6&amp;number=4&amp;sourceID=14","4")</f>
        <v>4</v>
      </c>
      <c r="G9354" s="4" t="str">
        <f>HYPERLINK("http://141.218.60.56/~jnz1568/getInfo.php?workbook=10_05.xlsx&amp;sheet=U0&amp;row=9354&amp;col=7&amp;number=0.00377&amp;sourceID=14","0.00377")</f>
        <v>0.00377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HYPERLINK("http://141.218.60.56/~jnz1568/getInfo.php?workbook=10_05.xlsx&amp;sheet=U0&amp;row=9355&amp;col=6&amp;number=4.1&amp;sourceID=14","4.1")</f>
        <v>4.1</v>
      </c>
      <c r="G9355" s="4" t="str">
        <f>HYPERLINK("http://141.218.60.56/~jnz1568/getInfo.php?workbook=10_05.xlsx&amp;sheet=U0&amp;row=9355&amp;col=7&amp;number=0.00365&amp;sourceID=14","0.00365")</f>
        <v>0.00365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HYPERLINK("http://141.218.60.56/~jnz1568/getInfo.php?workbook=10_05.xlsx&amp;sheet=U0&amp;row=9356&amp;col=6&amp;number=4.2&amp;sourceID=14","4.2")</f>
        <v>4.2</v>
      </c>
      <c r="G9356" s="4" t="str">
        <f>HYPERLINK("http://141.218.60.56/~jnz1568/getInfo.php?workbook=10_05.xlsx&amp;sheet=U0&amp;row=9356&amp;col=7&amp;number=0.00352&amp;sourceID=14","0.00352")</f>
        <v>0.00352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HYPERLINK("http://141.218.60.56/~jnz1568/getInfo.php?workbook=10_05.xlsx&amp;sheet=U0&amp;row=9357&amp;col=6&amp;number=4.3&amp;sourceID=14","4.3")</f>
        <v>4.3</v>
      </c>
      <c r="G9357" s="4" t="str">
        <f>HYPERLINK("http://141.218.60.56/~jnz1568/getInfo.php?workbook=10_05.xlsx&amp;sheet=U0&amp;row=9357&amp;col=7&amp;number=0.00337&amp;sourceID=14","0.00337")</f>
        <v>0.00337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HYPERLINK("http://141.218.60.56/~jnz1568/getInfo.php?workbook=10_05.xlsx&amp;sheet=U0&amp;row=9358&amp;col=6&amp;number=4.4&amp;sourceID=14","4.4")</f>
        <v>4.4</v>
      </c>
      <c r="G9358" s="4" t="str">
        <f>HYPERLINK("http://141.218.60.56/~jnz1568/getInfo.php?workbook=10_05.xlsx&amp;sheet=U0&amp;row=9358&amp;col=7&amp;number=0.00322&amp;sourceID=14","0.00322")</f>
        <v>0.00322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HYPERLINK("http://141.218.60.56/~jnz1568/getInfo.php?workbook=10_05.xlsx&amp;sheet=U0&amp;row=9359&amp;col=6&amp;number=4.5&amp;sourceID=14","4.5")</f>
        <v>4.5</v>
      </c>
      <c r="G9359" s="4" t="str">
        <f>HYPERLINK("http://141.218.60.56/~jnz1568/getInfo.php?workbook=10_05.xlsx&amp;sheet=U0&amp;row=9359&amp;col=7&amp;number=0.00307&amp;sourceID=14","0.00307")</f>
        <v>0.00307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HYPERLINK("http://141.218.60.56/~jnz1568/getInfo.php?workbook=10_05.xlsx&amp;sheet=U0&amp;row=9360&amp;col=6&amp;number=4.6&amp;sourceID=14","4.6")</f>
        <v>4.6</v>
      </c>
      <c r="G9360" s="4" t="str">
        <f>HYPERLINK("http://141.218.60.56/~jnz1568/getInfo.php?workbook=10_05.xlsx&amp;sheet=U0&amp;row=9360&amp;col=7&amp;number=0.00292&amp;sourceID=14","0.00292")</f>
        <v>0.00292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HYPERLINK("http://141.218.60.56/~jnz1568/getInfo.php?workbook=10_05.xlsx&amp;sheet=U0&amp;row=9361&amp;col=6&amp;number=4.7&amp;sourceID=14","4.7")</f>
        <v>4.7</v>
      </c>
      <c r="G9361" s="4" t="str">
        <f>HYPERLINK("http://141.218.60.56/~jnz1568/getInfo.php?workbook=10_05.xlsx&amp;sheet=U0&amp;row=9361&amp;col=7&amp;number=0.00279&amp;sourceID=14","0.00279")</f>
        <v>0.00279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HYPERLINK("http://141.218.60.56/~jnz1568/getInfo.php?workbook=10_05.xlsx&amp;sheet=U0&amp;row=9362&amp;col=6&amp;number=4.8&amp;sourceID=14","4.8")</f>
        <v>4.8</v>
      </c>
      <c r="G9362" s="4" t="str">
        <f>HYPERLINK("http://141.218.60.56/~jnz1568/getInfo.php?workbook=10_05.xlsx&amp;sheet=U0&amp;row=9362&amp;col=7&amp;number=0.00266&amp;sourceID=14","0.00266")</f>
        <v>0.00266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HYPERLINK("http://141.218.60.56/~jnz1568/getInfo.php?workbook=10_05.xlsx&amp;sheet=U0&amp;row=9363&amp;col=6&amp;number=4.9&amp;sourceID=14","4.9")</f>
        <v>4.9</v>
      </c>
      <c r="G9363" s="4" t="str">
        <f>HYPERLINK("http://141.218.60.56/~jnz1568/getInfo.php?workbook=10_05.xlsx&amp;sheet=U0&amp;row=9363&amp;col=7&amp;number=0.00254&amp;sourceID=14","0.00254")</f>
        <v>0.00254</v>
      </c>
    </row>
    <row r="9364" spans="1:7">
      <c r="A9364" s="3">
        <v>10</v>
      </c>
      <c r="B9364" s="3">
        <v>5</v>
      </c>
      <c r="C9364" s="3">
        <v>3</v>
      </c>
      <c r="D9364" s="3">
        <v>115</v>
      </c>
      <c r="E9364" s="3">
        <v>1</v>
      </c>
      <c r="F9364" s="4" t="str">
        <f>HYPERLINK("http://141.218.60.56/~jnz1568/getInfo.php?workbook=10_05.xlsx&amp;sheet=U0&amp;row=9364&amp;col=6&amp;number=3&amp;sourceID=14","3")</f>
        <v>3</v>
      </c>
      <c r="G9364" s="4" t="str">
        <f>HYPERLINK("http://141.218.60.56/~jnz1568/getInfo.php?workbook=10_05.xlsx&amp;sheet=U0&amp;row=9364&amp;col=7&amp;number=0.0101&amp;sourceID=14","0.0101")</f>
        <v>0.0101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HYPERLINK("http://141.218.60.56/~jnz1568/getInfo.php?workbook=10_05.xlsx&amp;sheet=U0&amp;row=9365&amp;col=6&amp;number=3.1&amp;sourceID=14","3.1")</f>
        <v>3.1</v>
      </c>
      <c r="G9365" s="4" t="str">
        <f>HYPERLINK("http://141.218.60.56/~jnz1568/getInfo.php?workbook=10_05.xlsx&amp;sheet=U0&amp;row=9365&amp;col=7&amp;number=0.0101&amp;sourceID=14","0.0101")</f>
        <v>0.0101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HYPERLINK("http://141.218.60.56/~jnz1568/getInfo.php?workbook=10_05.xlsx&amp;sheet=U0&amp;row=9366&amp;col=6&amp;number=3.2&amp;sourceID=14","3.2")</f>
        <v>3.2</v>
      </c>
      <c r="G9366" s="4" t="str">
        <f>HYPERLINK("http://141.218.60.56/~jnz1568/getInfo.php?workbook=10_05.xlsx&amp;sheet=U0&amp;row=9366&amp;col=7&amp;number=0.0101&amp;sourceID=14","0.0101")</f>
        <v>0.0101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HYPERLINK("http://141.218.60.56/~jnz1568/getInfo.php?workbook=10_05.xlsx&amp;sheet=U0&amp;row=9367&amp;col=6&amp;number=3.3&amp;sourceID=14","3.3")</f>
        <v>3.3</v>
      </c>
      <c r="G9367" s="4" t="str">
        <f>HYPERLINK("http://141.218.60.56/~jnz1568/getInfo.php?workbook=10_05.xlsx&amp;sheet=U0&amp;row=9367&amp;col=7&amp;number=0.0101&amp;sourceID=14","0.0101")</f>
        <v>0.0101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HYPERLINK("http://141.218.60.56/~jnz1568/getInfo.php?workbook=10_05.xlsx&amp;sheet=U0&amp;row=9368&amp;col=6&amp;number=3.4&amp;sourceID=14","3.4")</f>
        <v>3.4</v>
      </c>
      <c r="G9368" s="4" t="str">
        <f>HYPERLINK("http://141.218.60.56/~jnz1568/getInfo.php?workbook=10_05.xlsx&amp;sheet=U0&amp;row=9368&amp;col=7&amp;number=0.0101&amp;sourceID=14","0.0101")</f>
        <v>0.0101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HYPERLINK("http://141.218.60.56/~jnz1568/getInfo.php?workbook=10_05.xlsx&amp;sheet=U0&amp;row=9369&amp;col=6&amp;number=3.5&amp;sourceID=14","3.5")</f>
        <v>3.5</v>
      </c>
      <c r="G9369" s="4" t="str">
        <f>HYPERLINK("http://141.218.60.56/~jnz1568/getInfo.php?workbook=10_05.xlsx&amp;sheet=U0&amp;row=9369&amp;col=7&amp;number=0.0101&amp;sourceID=14","0.0101")</f>
        <v>0.0101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HYPERLINK("http://141.218.60.56/~jnz1568/getInfo.php?workbook=10_05.xlsx&amp;sheet=U0&amp;row=9370&amp;col=6&amp;number=3.6&amp;sourceID=14","3.6")</f>
        <v>3.6</v>
      </c>
      <c r="G9370" s="4" t="str">
        <f>HYPERLINK("http://141.218.60.56/~jnz1568/getInfo.php?workbook=10_05.xlsx&amp;sheet=U0&amp;row=9370&amp;col=7&amp;number=0.0101&amp;sourceID=14","0.0101")</f>
        <v>0.0101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HYPERLINK("http://141.218.60.56/~jnz1568/getInfo.php?workbook=10_05.xlsx&amp;sheet=U0&amp;row=9371&amp;col=6&amp;number=3.7&amp;sourceID=14","3.7")</f>
        <v>3.7</v>
      </c>
      <c r="G9371" s="4" t="str">
        <f>HYPERLINK("http://141.218.60.56/~jnz1568/getInfo.php?workbook=10_05.xlsx&amp;sheet=U0&amp;row=9371&amp;col=7&amp;number=0.01&amp;sourceID=14","0.01")</f>
        <v>0.01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HYPERLINK("http://141.218.60.56/~jnz1568/getInfo.php?workbook=10_05.xlsx&amp;sheet=U0&amp;row=9372&amp;col=6&amp;number=3.8&amp;sourceID=14","3.8")</f>
        <v>3.8</v>
      </c>
      <c r="G9372" s="4" t="str">
        <f>HYPERLINK("http://141.218.60.56/~jnz1568/getInfo.php?workbook=10_05.xlsx&amp;sheet=U0&amp;row=9372&amp;col=7&amp;number=0.01&amp;sourceID=14","0.01")</f>
        <v>0.01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HYPERLINK("http://141.218.60.56/~jnz1568/getInfo.php?workbook=10_05.xlsx&amp;sheet=U0&amp;row=9373&amp;col=6&amp;number=3.9&amp;sourceID=14","3.9")</f>
        <v>3.9</v>
      </c>
      <c r="G9373" s="4" t="str">
        <f>HYPERLINK("http://141.218.60.56/~jnz1568/getInfo.php?workbook=10_05.xlsx&amp;sheet=U0&amp;row=9373&amp;col=7&amp;number=0.00998&amp;sourceID=14","0.00998")</f>
        <v>0.00998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HYPERLINK("http://141.218.60.56/~jnz1568/getInfo.php?workbook=10_05.xlsx&amp;sheet=U0&amp;row=9374&amp;col=6&amp;number=4&amp;sourceID=14","4")</f>
        <v>4</v>
      </c>
      <c r="G9374" s="4" t="str">
        <f>HYPERLINK("http://141.218.60.56/~jnz1568/getInfo.php?workbook=10_05.xlsx&amp;sheet=U0&amp;row=9374&amp;col=7&amp;number=0.00995&amp;sourceID=14","0.00995")</f>
        <v>0.00995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HYPERLINK("http://141.218.60.56/~jnz1568/getInfo.php?workbook=10_05.xlsx&amp;sheet=U0&amp;row=9375&amp;col=6&amp;number=4.1&amp;sourceID=14","4.1")</f>
        <v>4.1</v>
      </c>
      <c r="G9375" s="4" t="str">
        <f>HYPERLINK("http://141.218.60.56/~jnz1568/getInfo.php?workbook=10_05.xlsx&amp;sheet=U0&amp;row=9375&amp;col=7&amp;number=0.0099&amp;sourceID=14","0.0099")</f>
        <v>0.0099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HYPERLINK("http://141.218.60.56/~jnz1568/getInfo.php?workbook=10_05.xlsx&amp;sheet=U0&amp;row=9376&amp;col=6&amp;number=4.2&amp;sourceID=14","4.2")</f>
        <v>4.2</v>
      </c>
      <c r="G9376" s="4" t="str">
        <f>HYPERLINK("http://141.218.60.56/~jnz1568/getInfo.php?workbook=10_05.xlsx&amp;sheet=U0&amp;row=9376&amp;col=7&amp;number=0.00985&amp;sourceID=14","0.00985")</f>
        <v>0.00985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HYPERLINK("http://141.218.60.56/~jnz1568/getInfo.php?workbook=10_05.xlsx&amp;sheet=U0&amp;row=9377&amp;col=6&amp;number=4.3&amp;sourceID=14","4.3")</f>
        <v>4.3</v>
      </c>
      <c r="G9377" s="4" t="str">
        <f>HYPERLINK("http://141.218.60.56/~jnz1568/getInfo.php?workbook=10_05.xlsx&amp;sheet=U0&amp;row=9377&amp;col=7&amp;number=0.00977&amp;sourceID=14","0.00977")</f>
        <v>0.00977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HYPERLINK("http://141.218.60.56/~jnz1568/getInfo.php?workbook=10_05.xlsx&amp;sheet=U0&amp;row=9378&amp;col=6&amp;number=4.4&amp;sourceID=14","4.4")</f>
        <v>4.4</v>
      </c>
      <c r="G9378" s="4" t="str">
        <f>HYPERLINK("http://141.218.60.56/~jnz1568/getInfo.php?workbook=10_05.xlsx&amp;sheet=U0&amp;row=9378&amp;col=7&amp;number=0.00967&amp;sourceID=14","0.00967")</f>
        <v>0.00967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HYPERLINK("http://141.218.60.56/~jnz1568/getInfo.php?workbook=10_05.xlsx&amp;sheet=U0&amp;row=9379&amp;col=6&amp;number=4.5&amp;sourceID=14","4.5")</f>
        <v>4.5</v>
      </c>
      <c r="G9379" s="4" t="str">
        <f>HYPERLINK("http://141.218.60.56/~jnz1568/getInfo.php?workbook=10_05.xlsx&amp;sheet=U0&amp;row=9379&amp;col=7&amp;number=0.00954&amp;sourceID=14","0.00954")</f>
        <v>0.00954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HYPERLINK("http://141.218.60.56/~jnz1568/getInfo.php?workbook=10_05.xlsx&amp;sheet=U0&amp;row=9380&amp;col=6&amp;number=4.6&amp;sourceID=14","4.6")</f>
        <v>4.6</v>
      </c>
      <c r="G9380" s="4" t="str">
        <f>HYPERLINK("http://141.218.60.56/~jnz1568/getInfo.php?workbook=10_05.xlsx&amp;sheet=U0&amp;row=9380&amp;col=7&amp;number=0.00939&amp;sourceID=14","0.00939")</f>
        <v>0.00939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HYPERLINK("http://141.218.60.56/~jnz1568/getInfo.php?workbook=10_05.xlsx&amp;sheet=U0&amp;row=9381&amp;col=6&amp;number=4.7&amp;sourceID=14","4.7")</f>
        <v>4.7</v>
      </c>
      <c r="G9381" s="4" t="str">
        <f>HYPERLINK("http://141.218.60.56/~jnz1568/getInfo.php?workbook=10_05.xlsx&amp;sheet=U0&amp;row=9381&amp;col=7&amp;number=0.00923&amp;sourceID=14","0.00923")</f>
        <v>0.00923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HYPERLINK("http://141.218.60.56/~jnz1568/getInfo.php?workbook=10_05.xlsx&amp;sheet=U0&amp;row=9382&amp;col=6&amp;number=4.8&amp;sourceID=14","4.8")</f>
        <v>4.8</v>
      </c>
      <c r="G9382" s="4" t="str">
        <f>HYPERLINK("http://141.218.60.56/~jnz1568/getInfo.php?workbook=10_05.xlsx&amp;sheet=U0&amp;row=9382&amp;col=7&amp;number=0.00909&amp;sourceID=14","0.00909")</f>
        <v>0.00909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HYPERLINK("http://141.218.60.56/~jnz1568/getInfo.php?workbook=10_05.xlsx&amp;sheet=U0&amp;row=9383&amp;col=6&amp;number=4.9&amp;sourceID=14","4.9")</f>
        <v>4.9</v>
      </c>
      <c r="G9383" s="4" t="str">
        <f>HYPERLINK("http://141.218.60.56/~jnz1568/getInfo.php?workbook=10_05.xlsx&amp;sheet=U0&amp;row=9383&amp;col=7&amp;number=0.00895&amp;sourceID=14","0.00895")</f>
        <v>0.00895</v>
      </c>
    </row>
    <row r="9384" spans="1:7">
      <c r="A9384" s="3">
        <v>10</v>
      </c>
      <c r="B9384" s="3">
        <v>5</v>
      </c>
      <c r="C9384" s="3">
        <v>3</v>
      </c>
      <c r="D9384" s="3">
        <v>116</v>
      </c>
      <c r="E9384" s="3">
        <v>1</v>
      </c>
      <c r="F9384" s="4" t="str">
        <f>HYPERLINK("http://141.218.60.56/~jnz1568/getInfo.php?workbook=10_05.xlsx&amp;sheet=U0&amp;row=9384&amp;col=6&amp;number=3&amp;sourceID=14","3")</f>
        <v>3</v>
      </c>
      <c r="G9384" s="4" t="str">
        <f>HYPERLINK("http://141.218.60.56/~jnz1568/getInfo.php?workbook=10_05.xlsx&amp;sheet=U0&amp;row=9384&amp;col=7&amp;number=0.0025&amp;sourceID=14","0.0025")</f>
        <v>0.0025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HYPERLINK("http://141.218.60.56/~jnz1568/getInfo.php?workbook=10_05.xlsx&amp;sheet=U0&amp;row=9385&amp;col=6&amp;number=3.1&amp;sourceID=14","3.1")</f>
        <v>3.1</v>
      </c>
      <c r="G9385" s="4" t="str">
        <f>HYPERLINK("http://141.218.60.56/~jnz1568/getInfo.php?workbook=10_05.xlsx&amp;sheet=U0&amp;row=9385&amp;col=7&amp;number=0.00249&amp;sourceID=14","0.00249")</f>
        <v>0.00249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HYPERLINK("http://141.218.60.56/~jnz1568/getInfo.php?workbook=10_05.xlsx&amp;sheet=U0&amp;row=9386&amp;col=6&amp;number=3.2&amp;sourceID=14","3.2")</f>
        <v>3.2</v>
      </c>
      <c r="G9386" s="4" t="str">
        <f>HYPERLINK("http://141.218.60.56/~jnz1568/getInfo.php?workbook=10_05.xlsx&amp;sheet=U0&amp;row=9386&amp;col=7&amp;number=0.00248&amp;sourceID=14","0.00248")</f>
        <v>0.00248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HYPERLINK("http://141.218.60.56/~jnz1568/getInfo.php?workbook=10_05.xlsx&amp;sheet=U0&amp;row=9387&amp;col=6&amp;number=3.3&amp;sourceID=14","3.3")</f>
        <v>3.3</v>
      </c>
      <c r="G9387" s="4" t="str">
        <f>HYPERLINK("http://141.218.60.56/~jnz1568/getInfo.php?workbook=10_05.xlsx&amp;sheet=U0&amp;row=9387&amp;col=7&amp;number=0.00246&amp;sourceID=14","0.00246")</f>
        <v>0.00246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HYPERLINK("http://141.218.60.56/~jnz1568/getInfo.php?workbook=10_05.xlsx&amp;sheet=U0&amp;row=9388&amp;col=6&amp;number=3.4&amp;sourceID=14","3.4")</f>
        <v>3.4</v>
      </c>
      <c r="G9388" s="4" t="str">
        <f>HYPERLINK("http://141.218.60.56/~jnz1568/getInfo.php?workbook=10_05.xlsx&amp;sheet=U0&amp;row=9388&amp;col=7&amp;number=0.00244&amp;sourceID=14","0.00244")</f>
        <v>0.00244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HYPERLINK("http://141.218.60.56/~jnz1568/getInfo.php?workbook=10_05.xlsx&amp;sheet=U0&amp;row=9389&amp;col=6&amp;number=3.5&amp;sourceID=14","3.5")</f>
        <v>3.5</v>
      </c>
      <c r="G9389" s="4" t="str">
        <f>HYPERLINK("http://141.218.60.56/~jnz1568/getInfo.php?workbook=10_05.xlsx&amp;sheet=U0&amp;row=9389&amp;col=7&amp;number=0.00241&amp;sourceID=14","0.00241")</f>
        <v>0.00241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HYPERLINK("http://141.218.60.56/~jnz1568/getInfo.php?workbook=10_05.xlsx&amp;sheet=U0&amp;row=9390&amp;col=6&amp;number=3.6&amp;sourceID=14","3.6")</f>
        <v>3.6</v>
      </c>
      <c r="G9390" s="4" t="str">
        <f>HYPERLINK("http://141.218.60.56/~jnz1568/getInfo.php?workbook=10_05.xlsx&amp;sheet=U0&amp;row=9390&amp;col=7&amp;number=0.00238&amp;sourceID=14","0.00238")</f>
        <v>0.00238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HYPERLINK("http://141.218.60.56/~jnz1568/getInfo.php?workbook=10_05.xlsx&amp;sheet=U0&amp;row=9391&amp;col=6&amp;number=3.7&amp;sourceID=14","3.7")</f>
        <v>3.7</v>
      </c>
      <c r="G9391" s="4" t="str">
        <f>HYPERLINK("http://141.218.60.56/~jnz1568/getInfo.php?workbook=10_05.xlsx&amp;sheet=U0&amp;row=9391&amp;col=7&amp;number=0.00234&amp;sourceID=14","0.00234")</f>
        <v>0.00234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HYPERLINK("http://141.218.60.56/~jnz1568/getInfo.php?workbook=10_05.xlsx&amp;sheet=U0&amp;row=9392&amp;col=6&amp;number=3.8&amp;sourceID=14","3.8")</f>
        <v>3.8</v>
      </c>
      <c r="G9392" s="4" t="str">
        <f>HYPERLINK("http://141.218.60.56/~jnz1568/getInfo.php?workbook=10_05.xlsx&amp;sheet=U0&amp;row=9392&amp;col=7&amp;number=0.00229&amp;sourceID=14","0.00229")</f>
        <v>0.00229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HYPERLINK("http://141.218.60.56/~jnz1568/getInfo.php?workbook=10_05.xlsx&amp;sheet=U0&amp;row=9393&amp;col=6&amp;number=3.9&amp;sourceID=14","3.9")</f>
        <v>3.9</v>
      </c>
      <c r="G9393" s="4" t="str">
        <f>HYPERLINK("http://141.218.60.56/~jnz1568/getInfo.php?workbook=10_05.xlsx&amp;sheet=U0&amp;row=9393&amp;col=7&amp;number=0.00223&amp;sourceID=14","0.00223")</f>
        <v>0.00223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HYPERLINK("http://141.218.60.56/~jnz1568/getInfo.php?workbook=10_05.xlsx&amp;sheet=U0&amp;row=9394&amp;col=6&amp;number=4&amp;sourceID=14","4")</f>
        <v>4</v>
      </c>
      <c r="G9394" s="4" t="str">
        <f>HYPERLINK("http://141.218.60.56/~jnz1568/getInfo.php?workbook=10_05.xlsx&amp;sheet=U0&amp;row=9394&amp;col=7&amp;number=0.00216&amp;sourceID=14","0.00216")</f>
        <v>0.00216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HYPERLINK("http://141.218.60.56/~jnz1568/getInfo.php?workbook=10_05.xlsx&amp;sheet=U0&amp;row=9395&amp;col=6&amp;number=4.1&amp;sourceID=14","4.1")</f>
        <v>4.1</v>
      </c>
      <c r="G9395" s="4" t="str">
        <f>HYPERLINK("http://141.218.60.56/~jnz1568/getInfo.php?workbook=10_05.xlsx&amp;sheet=U0&amp;row=9395&amp;col=7&amp;number=0.00207&amp;sourceID=14","0.00207")</f>
        <v>0.00207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HYPERLINK("http://141.218.60.56/~jnz1568/getInfo.php?workbook=10_05.xlsx&amp;sheet=U0&amp;row=9396&amp;col=6&amp;number=4.2&amp;sourceID=14","4.2")</f>
        <v>4.2</v>
      </c>
      <c r="G9396" s="4" t="str">
        <f>HYPERLINK("http://141.218.60.56/~jnz1568/getInfo.php?workbook=10_05.xlsx&amp;sheet=U0&amp;row=9396&amp;col=7&amp;number=0.00198&amp;sourceID=14","0.00198")</f>
        <v>0.00198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HYPERLINK("http://141.218.60.56/~jnz1568/getInfo.php?workbook=10_05.xlsx&amp;sheet=U0&amp;row=9397&amp;col=6&amp;number=4.3&amp;sourceID=14","4.3")</f>
        <v>4.3</v>
      </c>
      <c r="G9397" s="4" t="str">
        <f>HYPERLINK("http://141.218.60.56/~jnz1568/getInfo.php?workbook=10_05.xlsx&amp;sheet=U0&amp;row=9397&amp;col=7&amp;number=0.00187&amp;sourceID=14","0.00187")</f>
        <v>0.00187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HYPERLINK("http://141.218.60.56/~jnz1568/getInfo.php?workbook=10_05.xlsx&amp;sheet=U0&amp;row=9398&amp;col=6&amp;number=4.4&amp;sourceID=14","4.4")</f>
        <v>4.4</v>
      </c>
      <c r="G9398" s="4" t="str">
        <f>HYPERLINK("http://141.218.60.56/~jnz1568/getInfo.php?workbook=10_05.xlsx&amp;sheet=U0&amp;row=9398&amp;col=7&amp;number=0.00177&amp;sourceID=14","0.00177")</f>
        <v>0.00177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HYPERLINK("http://141.218.60.56/~jnz1568/getInfo.php?workbook=10_05.xlsx&amp;sheet=U0&amp;row=9399&amp;col=6&amp;number=4.5&amp;sourceID=14","4.5")</f>
        <v>4.5</v>
      </c>
      <c r="G9399" s="4" t="str">
        <f>HYPERLINK("http://141.218.60.56/~jnz1568/getInfo.php?workbook=10_05.xlsx&amp;sheet=U0&amp;row=9399&amp;col=7&amp;number=0.00168&amp;sourceID=14","0.00168")</f>
        <v>0.00168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HYPERLINK("http://141.218.60.56/~jnz1568/getInfo.php?workbook=10_05.xlsx&amp;sheet=U0&amp;row=9400&amp;col=6&amp;number=4.6&amp;sourceID=14","4.6")</f>
        <v>4.6</v>
      </c>
      <c r="G9400" s="4" t="str">
        <f>HYPERLINK("http://141.218.60.56/~jnz1568/getInfo.php?workbook=10_05.xlsx&amp;sheet=U0&amp;row=9400&amp;col=7&amp;number=0.0016&amp;sourceID=14","0.0016")</f>
        <v>0.0016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HYPERLINK("http://141.218.60.56/~jnz1568/getInfo.php?workbook=10_05.xlsx&amp;sheet=U0&amp;row=9401&amp;col=6&amp;number=4.7&amp;sourceID=14","4.7")</f>
        <v>4.7</v>
      </c>
      <c r="G9401" s="4" t="str">
        <f>HYPERLINK("http://141.218.60.56/~jnz1568/getInfo.php?workbook=10_05.xlsx&amp;sheet=U0&amp;row=9401&amp;col=7&amp;number=0.00153&amp;sourceID=14","0.00153")</f>
        <v>0.00153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HYPERLINK("http://141.218.60.56/~jnz1568/getInfo.php?workbook=10_05.xlsx&amp;sheet=U0&amp;row=9402&amp;col=6&amp;number=4.8&amp;sourceID=14","4.8")</f>
        <v>4.8</v>
      </c>
      <c r="G9402" s="4" t="str">
        <f>HYPERLINK("http://141.218.60.56/~jnz1568/getInfo.php?workbook=10_05.xlsx&amp;sheet=U0&amp;row=9402&amp;col=7&amp;number=0.00146&amp;sourceID=14","0.00146")</f>
        <v>0.00146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HYPERLINK("http://141.218.60.56/~jnz1568/getInfo.php?workbook=10_05.xlsx&amp;sheet=U0&amp;row=9403&amp;col=6&amp;number=4.9&amp;sourceID=14","4.9")</f>
        <v>4.9</v>
      </c>
      <c r="G9403" s="4" t="str">
        <f>HYPERLINK("http://141.218.60.56/~jnz1568/getInfo.php?workbook=10_05.xlsx&amp;sheet=U0&amp;row=9403&amp;col=7&amp;number=0.00139&amp;sourceID=14","0.00139")</f>
        <v>0.00139</v>
      </c>
    </row>
    <row r="9404" spans="1:7">
      <c r="A9404" s="3">
        <v>10</v>
      </c>
      <c r="B9404" s="3">
        <v>5</v>
      </c>
      <c r="C9404" s="3">
        <v>3</v>
      </c>
      <c r="D9404" s="3">
        <v>117</v>
      </c>
      <c r="E9404" s="3">
        <v>1</v>
      </c>
      <c r="F9404" s="4" t="str">
        <f>HYPERLINK("http://141.218.60.56/~jnz1568/getInfo.php?workbook=10_05.xlsx&amp;sheet=U0&amp;row=9404&amp;col=6&amp;number=3&amp;sourceID=14","3")</f>
        <v>3</v>
      </c>
      <c r="G9404" s="4" t="str">
        <f>HYPERLINK("http://141.218.60.56/~jnz1568/getInfo.php?workbook=10_05.xlsx&amp;sheet=U0&amp;row=9404&amp;col=7&amp;number=0.0301&amp;sourceID=14","0.0301")</f>
        <v>0.0301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HYPERLINK("http://141.218.60.56/~jnz1568/getInfo.php?workbook=10_05.xlsx&amp;sheet=U0&amp;row=9405&amp;col=6&amp;number=3.1&amp;sourceID=14","3.1")</f>
        <v>3.1</v>
      </c>
      <c r="G9405" s="4" t="str">
        <f>HYPERLINK("http://141.218.60.56/~jnz1568/getInfo.php?workbook=10_05.xlsx&amp;sheet=U0&amp;row=9405&amp;col=7&amp;number=0.03&amp;sourceID=14","0.03")</f>
        <v>0.03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HYPERLINK("http://141.218.60.56/~jnz1568/getInfo.php?workbook=10_05.xlsx&amp;sheet=U0&amp;row=9406&amp;col=6&amp;number=3.2&amp;sourceID=14","3.2")</f>
        <v>3.2</v>
      </c>
      <c r="G9406" s="4" t="str">
        <f>HYPERLINK("http://141.218.60.56/~jnz1568/getInfo.php?workbook=10_05.xlsx&amp;sheet=U0&amp;row=9406&amp;col=7&amp;number=0.0299&amp;sourceID=14","0.0299")</f>
        <v>0.0299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HYPERLINK("http://141.218.60.56/~jnz1568/getInfo.php?workbook=10_05.xlsx&amp;sheet=U0&amp;row=9407&amp;col=6&amp;number=3.3&amp;sourceID=14","3.3")</f>
        <v>3.3</v>
      </c>
      <c r="G9407" s="4" t="str">
        <f>HYPERLINK("http://141.218.60.56/~jnz1568/getInfo.php?workbook=10_05.xlsx&amp;sheet=U0&amp;row=9407&amp;col=7&amp;number=0.0297&amp;sourceID=14","0.0297")</f>
        <v>0.0297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HYPERLINK("http://141.218.60.56/~jnz1568/getInfo.php?workbook=10_05.xlsx&amp;sheet=U0&amp;row=9408&amp;col=6&amp;number=3.4&amp;sourceID=14","3.4")</f>
        <v>3.4</v>
      </c>
      <c r="G9408" s="4" t="str">
        <f>HYPERLINK("http://141.218.60.56/~jnz1568/getInfo.php?workbook=10_05.xlsx&amp;sheet=U0&amp;row=9408&amp;col=7&amp;number=0.0294&amp;sourceID=14","0.0294")</f>
        <v>0.0294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HYPERLINK("http://141.218.60.56/~jnz1568/getInfo.php?workbook=10_05.xlsx&amp;sheet=U0&amp;row=9409&amp;col=6&amp;number=3.5&amp;sourceID=14","3.5")</f>
        <v>3.5</v>
      </c>
      <c r="G9409" s="4" t="str">
        <f>HYPERLINK("http://141.218.60.56/~jnz1568/getInfo.php?workbook=10_05.xlsx&amp;sheet=U0&amp;row=9409&amp;col=7&amp;number=0.0291&amp;sourceID=14","0.0291")</f>
        <v>0.0291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HYPERLINK("http://141.218.60.56/~jnz1568/getInfo.php?workbook=10_05.xlsx&amp;sheet=U0&amp;row=9410&amp;col=6&amp;number=3.6&amp;sourceID=14","3.6")</f>
        <v>3.6</v>
      </c>
      <c r="G9410" s="4" t="str">
        <f>HYPERLINK("http://141.218.60.56/~jnz1568/getInfo.php?workbook=10_05.xlsx&amp;sheet=U0&amp;row=9410&amp;col=7&amp;number=0.0288&amp;sourceID=14","0.0288")</f>
        <v>0.0288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HYPERLINK("http://141.218.60.56/~jnz1568/getInfo.php?workbook=10_05.xlsx&amp;sheet=U0&amp;row=9411&amp;col=6&amp;number=3.7&amp;sourceID=14","3.7")</f>
        <v>3.7</v>
      </c>
      <c r="G9411" s="4" t="str">
        <f>HYPERLINK("http://141.218.60.56/~jnz1568/getInfo.php?workbook=10_05.xlsx&amp;sheet=U0&amp;row=9411&amp;col=7&amp;number=0.0283&amp;sourceID=14","0.0283")</f>
        <v>0.0283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HYPERLINK("http://141.218.60.56/~jnz1568/getInfo.php?workbook=10_05.xlsx&amp;sheet=U0&amp;row=9412&amp;col=6&amp;number=3.8&amp;sourceID=14","3.8")</f>
        <v>3.8</v>
      </c>
      <c r="G9412" s="4" t="str">
        <f>HYPERLINK("http://141.218.60.56/~jnz1568/getInfo.php?workbook=10_05.xlsx&amp;sheet=U0&amp;row=9412&amp;col=7&amp;number=0.0278&amp;sourceID=14","0.0278")</f>
        <v>0.0278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HYPERLINK("http://141.218.60.56/~jnz1568/getInfo.php?workbook=10_05.xlsx&amp;sheet=U0&amp;row=9413&amp;col=6&amp;number=3.9&amp;sourceID=14","3.9")</f>
        <v>3.9</v>
      </c>
      <c r="G9413" s="4" t="str">
        <f>HYPERLINK("http://141.218.60.56/~jnz1568/getInfo.php?workbook=10_05.xlsx&amp;sheet=U0&amp;row=9413&amp;col=7&amp;number=0.0271&amp;sourceID=14","0.0271")</f>
        <v>0.0271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HYPERLINK("http://141.218.60.56/~jnz1568/getInfo.php?workbook=10_05.xlsx&amp;sheet=U0&amp;row=9414&amp;col=6&amp;number=4&amp;sourceID=14","4")</f>
        <v>4</v>
      </c>
      <c r="G9414" s="4" t="str">
        <f>HYPERLINK("http://141.218.60.56/~jnz1568/getInfo.php?workbook=10_05.xlsx&amp;sheet=U0&amp;row=9414&amp;col=7&amp;number=0.0264&amp;sourceID=14","0.0264")</f>
        <v>0.0264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HYPERLINK("http://141.218.60.56/~jnz1568/getInfo.php?workbook=10_05.xlsx&amp;sheet=U0&amp;row=9415&amp;col=6&amp;number=4.1&amp;sourceID=14","4.1")</f>
        <v>4.1</v>
      </c>
      <c r="G9415" s="4" t="str">
        <f>HYPERLINK("http://141.218.60.56/~jnz1568/getInfo.php?workbook=10_05.xlsx&amp;sheet=U0&amp;row=9415&amp;col=7&amp;number=0.0255&amp;sourceID=14","0.0255")</f>
        <v>0.0255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HYPERLINK("http://141.218.60.56/~jnz1568/getInfo.php?workbook=10_05.xlsx&amp;sheet=U0&amp;row=9416&amp;col=6&amp;number=4.2&amp;sourceID=14","4.2")</f>
        <v>4.2</v>
      </c>
      <c r="G9416" s="4" t="str">
        <f>HYPERLINK("http://141.218.60.56/~jnz1568/getInfo.php?workbook=10_05.xlsx&amp;sheet=U0&amp;row=9416&amp;col=7&amp;number=0.0245&amp;sourceID=14","0.0245")</f>
        <v>0.0245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HYPERLINK("http://141.218.60.56/~jnz1568/getInfo.php?workbook=10_05.xlsx&amp;sheet=U0&amp;row=9417&amp;col=6&amp;number=4.3&amp;sourceID=14","4.3")</f>
        <v>4.3</v>
      </c>
      <c r="G9417" s="4" t="str">
        <f>HYPERLINK("http://141.218.60.56/~jnz1568/getInfo.php?workbook=10_05.xlsx&amp;sheet=U0&amp;row=9417&amp;col=7&amp;number=0.0235&amp;sourceID=14","0.0235")</f>
        <v>0.0235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HYPERLINK("http://141.218.60.56/~jnz1568/getInfo.php?workbook=10_05.xlsx&amp;sheet=U0&amp;row=9418&amp;col=6&amp;number=4.4&amp;sourceID=14","4.4")</f>
        <v>4.4</v>
      </c>
      <c r="G9418" s="4" t="str">
        <f>HYPERLINK("http://141.218.60.56/~jnz1568/getInfo.php?workbook=10_05.xlsx&amp;sheet=U0&amp;row=9418&amp;col=7&amp;number=0.0226&amp;sourceID=14","0.0226")</f>
        <v>0.0226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HYPERLINK("http://141.218.60.56/~jnz1568/getInfo.php?workbook=10_05.xlsx&amp;sheet=U0&amp;row=9419&amp;col=6&amp;number=4.5&amp;sourceID=14","4.5")</f>
        <v>4.5</v>
      </c>
      <c r="G9419" s="4" t="str">
        <f>HYPERLINK("http://141.218.60.56/~jnz1568/getInfo.php?workbook=10_05.xlsx&amp;sheet=U0&amp;row=9419&amp;col=7&amp;number=0.0219&amp;sourceID=14","0.0219")</f>
        <v>0.0219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HYPERLINK("http://141.218.60.56/~jnz1568/getInfo.php?workbook=10_05.xlsx&amp;sheet=U0&amp;row=9420&amp;col=6&amp;number=4.6&amp;sourceID=14","4.6")</f>
        <v>4.6</v>
      </c>
      <c r="G9420" s="4" t="str">
        <f>HYPERLINK("http://141.218.60.56/~jnz1568/getInfo.php?workbook=10_05.xlsx&amp;sheet=U0&amp;row=9420&amp;col=7&amp;number=0.0214&amp;sourceID=14","0.0214")</f>
        <v>0.0214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HYPERLINK("http://141.218.60.56/~jnz1568/getInfo.php?workbook=10_05.xlsx&amp;sheet=U0&amp;row=9421&amp;col=6&amp;number=4.7&amp;sourceID=14","4.7")</f>
        <v>4.7</v>
      </c>
      <c r="G9421" s="4" t="str">
        <f>HYPERLINK("http://141.218.60.56/~jnz1568/getInfo.php?workbook=10_05.xlsx&amp;sheet=U0&amp;row=9421&amp;col=7&amp;number=0.021&amp;sourceID=14","0.021")</f>
        <v>0.021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HYPERLINK("http://141.218.60.56/~jnz1568/getInfo.php?workbook=10_05.xlsx&amp;sheet=U0&amp;row=9422&amp;col=6&amp;number=4.8&amp;sourceID=14","4.8")</f>
        <v>4.8</v>
      </c>
      <c r="G9422" s="4" t="str">
        <f>HYPERLINK("http://141.218.60.56/~jnz1568/getInfo.php?workbook=10_05.xlsx&amp;sheet=U0&amp;row=9422&amp;col=7&amp;number=0.0206&amp;sourceID=14","0.0206")</f>
        <v>0.0206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HYPERLINK("http://141.218.60.56/~jnz1568/getInfo.php?workbook=10_05.xlsx&amp;sheet=U0&amp;row=9423&amp;col=6&amp;number=4.9&amp;sourceID=14","4.9")</f>
        <v>4.9</v>
      </c>
      <c r="G9423" s="4" t="str">
        <f>HYPERLINK("http://141.218.60.56/~jnz1568/getInfo.php?workbook=10_05.xlsx&amp;sheet=U0&amp;row=9423&amp;col=7&amp;number=0.0202&amp;sourceID=14","0.0202")</f>
        <v>0.0202</v>
      </c>
    </row>
    <row r="9424" spans="1:7">
      <c r="A9424" s="3">
        <v>10</v>
      </c>
      <c r="B9424" s="3">
        <v>5</v>
      </c>
      <c r="C9424" s="3">
        <v>3</v>
      </c>
      <c r="D9424" s="3">
        <v>118</v>
      </c>
      <c r="E9424" s="3">
        <v>1</v>
      </c>
      <c r="F9424" s="4" t="str">
        <f>HYPERLINK("http://141.218.60.56/~jnz1568/getInfo.php?workbook=10_05.xlsx&amp;sheet=U0&amp;row=9424&amp;col=6&amp;number=3&amp;sourceID=14","3")</f>
        <v>3</v>
      </c>
      <c r="G9424" s="4" t="str">
        <f>HYPERLINK("http://141.218.60.56/~jnz1568/getInfo.php?workbook=10_05.xlsx&amp;sheet=U0&amp;row=9424&amp;col=7&amp;number=0.0199&amp;sourceID=14","0.0199")</f>
        <v>0.0199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HYPERLINK("http://141.218.60.56/~jnz1568/getInfo.php?workbook=10_05.xlsx&amp;sheet=U0&amp;row=9425&amp;col=6&amp;number=3.1&amp;sourceID=14","3.1")</f>
        <v>3.1</v>
      </c>
      <c r="G9425" s="4" t="str">
        <f>HYPERLINK("http://141.218.60.56/~jnz1568/getInfo.php?workbook=10_05.xlsx&amp;sheet=U0&amp;row=9425&amp;col=7&amp;number=0.0197&amp;sourceID=14","0.0197")</f>
        <v>0.0197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HYPERLINK("http://141.218.60.56/~jnz1568/getInfo.php?workbook=10_05.xlsx&amp;sheet=U0&amp;row=9426&amp;col=6&amp;number=3.2&amp;sourceID=14","3.2")</f>
        <v>3.2</v>
      </c>
      <c r="G9426" s="4" t="str">
        <f>HYPERLINK("http://141.218.60.56/~jnz1568/getInfo.php?workbook=10_05.xlsx&amp;sheet=U0&amp;row=9426&amp;col=7&amp;number=0.0195&amp;sourceID=14","0.0195")</f>
        <v>0.0195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HYPERLINK("http://141.218.60.56/~jnz1568/getInfo.php?workbook=10_05.xlsx&amp;sheet=U0&amp;row=9427&amp;col=6&amp;number=3.3&amp;sourceID=14","3.3")</f>
        <v>3.3</v>
      </c>
      <c r="G9427" s="4" t="str">
        <f>HYPERLINK("http://141.218.60.56/~jnz1568/getInfo.php?workbook=10_05.xlsx&amp;sheet=U0&amp;row=9427&amp;col=7&amp;number=0.0193&amp;sourceID=14","0.0193")</f>
        <v>0.0193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HYPERLINK("http://141.218.60.56/~jnz1568/getInfo.php?workbook=10_05.xlsx&amp;sheet=U0&amp;row=9428&amp;col=6&amp;number=3.4&amp;sourceID=14","3.4")</f>
        <v>3.4</v>
      </c>
      <c r="G9428" s="4" t="str">
        <f>HYPERLINK("http://141.218.60.56/~jnz1568/getInfo.php?workbook=10_05.xlsx&amp;sheet=U0&amp;row=9428&amp;col=7&amp;number=0.019&amp;sourceID=14","0.019")</f>
        <v>0.019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HYPERLINK("http://141.218.60.56/~jnz1568/getInfo.php?workbook=10_05.xlsx&amp;sheet=U0&amp;row=9429&amp;col=6&amp;number=3.5&amp;sourceID=14","3.5")</f>
        <v>3.5</v>
      </c>
      <c r="G9429" s="4" t="str">
        <f>HYPERLINK("http://141.218.60.56/~jnz1568/getInfo.php?workbook=10_05.xlsx&amp;sheet=U0&amp;row=9429&amp;col=7&amp;number=0.0187&amp;sourceID=14","0.0187")</f>
        <v>0.0187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HYPERLINK("http://141.218.60.56/~jnz1568/getInfo.php?workbook=10_05.xlsx&amp;sheet=U0&amp;row=9430&amp;col=6&amp;number=3.6&amp;sourceID=14","3.6")</f>
        <v>3.6</v>
      </c>
      <c r="G9430" s="4" t="str">
        <f>HYPERLINK("http://141.218.60.56/~jnz1568/getInfo.php?workbook=10_05.xlsx&amp;sheet=U0&amp;row=9430&amp;col=7&amp;number=0.0182&amp;sourceID=14","0.0182")</f>
        <v>0.0182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HYPERLINK("http://141.218.60.56/~jnz1568/getInfo.php?workbook=10_05.xlsx&amp;sheet=U0&amp;row=9431&amp;col=6&amp;number=3.7&amp;sourceID=14","3.7")</f>
        <v>3.7</v>
      </c>
      <c r="G9431" s="4" t="str">
        <f>HYPERLINK("http://141.218.60.56/~jnz1568/getInfo.php?workbook=10_05.xlsx&amp;sheet=U0&amp;row=9431&amp;col=7&amp;number=0.0177&amp;sourceID=14","0.0177")</f>
        <v>0.0177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HYPERLINK("http://141.218.60.56/~jnz1568/getInfo.php?workbook=10_05.xlsx&amp;sheet=U0&amp;row=9432&amp;col=6&amp;number=3.8&amp;sourceID=14","3.8")</f>
        <v>3.8</v>
      </c>
      <c r="G9432" s="4" t="str">
        <f>HYPERLINK("http://141.218.60.56/~jnz1568/getInfo.php?workbook=10_05.xlsx&amp;sheet=U0&amp;row=9432&amp;col=7&amp;number=0.0171&amp;sourceID=14","0.0171")</f>
        <v>0.0171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HYPERLINK("http://141.218.60.56/~jnz1568/getInfo.php?workbook=10_05.xlsx&amp;sheet=U0&amp;row=9433&amp;col=6&amp;number=3.9&amp;sourceID=14","3.9")</f>
        <v>3.9</v>
      </c>
      <c r="G9433" s="4" t="str">
        <f>HYPERLINK("http://141.218.60.56/~jnz1568/getInfo.php?workbook=10_05.xlsx&amp;sheet=U0&amp;row=9433&amp;col=7&amp;number=0.0163&amp;sourceID=14","0.0163")</f>
        <v>0.0163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HYPERLINK("http://141.218.60.56/~jnz1568/getInfo.php?workbook=10_05.xlsx&amp;sheet=U0&amp;row=9434&amp;col=6&amp;number=4&amp;sourceID=14","4")</f>
        <v>4</v>
      </c>
      <c r="G9434" s="4" t="str">
        <f>HYPERLINK("http://141.218.60.56/~jnz1568/getInfo.php?workbook=10_05.xlsx&amp;sheet=U0&amp;row=9434&amp;col=7&amp;number=0.0154&amp;sourceID=14","0.0154")</f>
        <v>0.0154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HYPERLINK("http://141.218.60.56/~jnz1568/getInfo.php?workbook=10_05.xlsx&amp;sheet=U0&amp;row=9435&amp;col=6&amp;number=4.1&amp;sourceID=14","4.1")</f>
        <v>4.1</v>
      </c>
      <c r="G9435" s="4" t="str">
        <f>HYPERLINK("http://141.218.60.56/~jnz1568/getInfo.php?workbook=10_05.xlsx&amp;sheet=U0&amp;row=9435&amp;col=7&amp;number=0.0143&amp;sourceID=14","0.0143")</f>
        <v>0.0143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HYPERLINK("http://141.218.60.56/~jnz1568/getInfo.php?workbook=10_05.xlsx&amp;sheet=U0&amp;row=9436&amp;col=6&amp;number=4.2&amp;sourceID=14","4.2")</f>
        <v>4.2</v>
      </c>
      <c r="G9436" s="4" t="str">
        <f>HYPERLINK("http://141.218.60.56/~jnz1568/getInfo.php?workbook=10_05.xlsx&amp;sheet=U0&amp;row=9436&amp;col=7&amp;number=0.0132&amp;sourceID=14","0.0132")</f>
        <v>0.0132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HYPERLINK("http://141.218.60.56/~jnz1568/getInfo.php?workbook=10_05.xlsx&amp;sheet=U0&amp;row=9437&amp;col=6&amp;number=4.3&amp;sourceID=14","4.3")</f>
        <v>4.3</v>
      </c>
      <c r="G9437" s="4" t="str">
        <f>HYPERLINK("http://141.218.60.56/~jnz1568/getInfo.php?workbook=10_05.xlsx&amp;sheet=U0&amp;row=9437&amp;col=7&amp;number=0.0121&amp;sourceID=14","0.0121")</f>
        <v>0.0121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HYPERLINK("http://141.218.60.56/~jnz1568/getInfo.php?workbook=10_05.xlsx&amp;sheet=U0&amp;row=9438&amp;col=6&amp;number=4.4&amp;sourceID=14","4.4")</f>
        <v>4.4</v>
      </c>
      <c r="G9438" s="4" t="str">
        <f>HYPERLINK("http://141.218.60.56/~jnz1568/getInfo.php?workbook=10_05.xlsx&amp;sheet=U0&amp;row=9438&amp;col=7&amp;number=0.011&amp;sourceID=14","0.011")</f>
        <v>0.011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HYPERLINK("http://141.218.60.56/~jnz1568/getInfo.php?workbook=10_05.xlsx&amp;sheet=U0&amp;row=9439&amp;col=6&amp;number=4.5&amp;sourceID=14","4.5")</f>
        <v>4.5</v>
      </c>
      <c r="G9439" s="4" t="str">
        <f>HYPERLINK("http://141.218.60.56/~jnz1568/getInfo.php?workbook=10_05.xlsx&amp;sheet=U0&amp;row=9439&amp;col=7&amp;number=0.0101&amp;sourceID=14","0.0101")</f>
        <v>0.0101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HYPERLINK("http://141.218.60.56/~jnz1568/getInfo.php?workbook=10_05.xlsx&amp;sheet=U0&amp;row=9440&amp;col=6&amp;number=4.6&amp;sourceID=14","4.6")</f>
        <v>4.6</v>
      </c>
      <c r="G9440" s="4" t="str">
        <f>HYPERLINK("http://141.218.60.56/~jnz1568/getInfo.php?workbook=10_05.xlsx&amp;sheet=U0&amp;row=9440&amp;col=7&amp;number=0.00931&amp;sourceID=14","0.00931")</f>
        <v>0.00931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HYPERLINK("http://141.218.60.56/~jnz1568/getInfo.php?workbook=10_05.xlsx&amp;sheet=U0&amp;row=9441&amp;col=6&amp;number=4.7&amp;sourceID=14","4.7")</f>
        <v>4.7</v>
      </c>
      <c r="G9441" s="4" t="str">
        <f>HYPERLINK("http://141.218.60.56/~jnz1568/getInfo.php?workbook=10_05.xlsx&amp;sheet=U0&amp;row=9441&amp;col=7&amp;number=0.00857&amp;sourceID=14","0.00857")</f>
        <v>0.00857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HYPERLINK("http://141.218.60.56/~jnz1568/getInfo.php?workbook=10_05.xlsx&amp;sheet=U0&amp;row=9442&amp;col=6&amp;number=4.8&amp;sourceID=14","4.8")</f>
        <v>4.8</v>
      </c>
      <c r="G9442" s="4" t="str">
        <f>HYPERLINK("http://141.218.60.56/~jnz1568/getInfo.php?workbook=10_05.xlsx&amp;sheet=U0&amp;row=9442&amp;col=7&amp;number=0.00792&amp;sourceID=14","0.00792")</f>
        <v>0.00792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HYPERLINK("http://141.218.60.56/~jnz1568/getInfo.php?workbook=10_05.xlsx&amp;sheet=U0&amp;row=9443&amp;col=6&amp;number=4.9&amp;sourceID=14","4.9")</f>
        <v>4.9</v>
      </c>
      <c r="G9443" s="4" t="str">
        <f>HYPERLINK("http://141.218.60.56/~jnz1568/getInfo.php?workbook=10_05.xlsx&amp;sheet=U0&amp;row=9443&amp;col=7&amp;number=0.00736&amp;sourceID=14","0.00736")</f>
        <v>0.00736</v>
      </c>
    </row>
    <row r="9444" spans="1:7">
      <c r="A9444" s="3">
        <v>10</v>
      </c>
      <c r="B9444" s="3">
        <v>5</v>
      </c>
      <c r="C9444" s="3">
        <v>3</v>
      </c>
      <c r="D9444" s="3">
        <v>119</v>
      </c>
      <c r="E9444" s="3">
        <v>1</v>
      </c>
      <c r="F9444" s="4" t="str">
        <f>HYPERLINK("http://141.218.60.56/~jnz1568/getInfo.php?workbook=10_05.xlsx&amp;sheet=U0&amp;row=9444&amp;col=6&amp;number=3&amp;sourceID=14","3")</f>
        <v>3</v>
      </c>
      <c r="G9444" s="4" t="str">
        <f>HYPERLINK("http://141.218.60.56/~jnz1568/getInfo.php?workbook=10_05.xlsx&amp;sheet=U0&amp;row=9444&amp;col=7&amp;number=0.0474&amp;sourceID=14","0.0474")</f>
        <v>0.0474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HYPERLINK("http://141.218.60.56/~jnz1568/getInfo.php?workbook=10_05.xlsx&amp;sheet=U0&amp;row=9445&amp;col=6&amp;number=3.1&amp;sourceID=14","3.1")</f>
        <v>3.1</v>
      </c>
      <c r="G9445" s="4" t="str">
        <f>HYPERLINK("http://141.218.60.56/~jnz1568/getInfo.php?workbook=10_05.xlsx&amp;sheet=U0&amp;row=9445&amp;col=7&amp;number=0.0471&amp;sourceID=14","0.0471")</f>
        <v>0.0471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HYPERLINK("http://141.218.60.56/~jnz1568/getInfo.php?workbook=10_05.xlsx&amp;sheet=U0&amp;row=9446&amp;col=6&amp;number=3.2&amp;sourceID=14","3.2")</f>
        <v>3.2</v>
      </c>
      <c r="G9446" s="4" t="str">
        <f>HYPERLINK("http://141.218.60.56/~jnz1568/getInfo.php?workbook=10_05.xlsx&amp;sheet=U0&amp;row=9446&amp;col=7&amp;number=0.0468&amp;sourceID=14","0.0468")</f>
        <v>0.0468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HYPERLINK("http://141.218.60.56/~jnz1568/getInfo.php?workbook=10_05.xlsx&amp;sheet=U0&amp;row=9447&amp;col=6&amp;number=3.3&amp;sourceID=14","3.3")</f>
        <v>3.3</v>
      </c>
      <c r="G9447" s="4" t="str">
        <f>HYPERLINK("http://141.218.60.56/~jnz1568/getInfo.php?workbook=10_05.xlsx&amp;sheet=U0&amp;row=9447&amp;col=7&amp;number=0.0464&amp;sourceID=14","0.0464")</f>
        <v>0.0464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HYPERLINK("http://141.218.60.56/~jnz1568/getInfo.php?workbook=10_05.xlsx&amp;sheet=U0&amp;row=9448&amp;col=6&amp;number=3.4&amp;sourceID=14","3.4")</f>
        <v>3.4</v>
      </c>
      <c r="G9448" s="4" t="str">
        <f>HYPERLINK("http://141.218.60.56/~jnz1568/getInfo.php?workbook=10_05.xlsx&amp;sheet=U0&amp;row=9448&amp;col=7&amp;number=0.0458&amp;sourceID=14","0.0458")</f>
        <v>0.0458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HYPERLINK("http://141.218.60.56/~jnz1568/getInfo.php?workbook=10_05.xlsx&amp;sheet=U0&amp;row=9449&amp;col=6&amp;number=3.5&amp;sourceID=14","3.5")</f>
        <v>3.5</v>
      </c>
      <c r="G9449" s="4" t="str">
        <f>HYPERLINK("http://141.218.60.56/~jnz1568/getInfo.php?workbook=10_05.xlsx&amp;sheet=U0&amp;row=9449&amp;col=7&amp;number=0.0452&amp;sourceID=14","0.0452")</f>
        <v>0.0452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HYPERLINK("http://141.218.60.56/~jnz1568/getInfo.php?workbook=10_05.xlsx&amp;sheet=U0&amp;row=9450&amp;col=6&amp;number=3.6&amp;sourceID=14","3.6")</f>
        <v>3.6</v>
      </c>
      <c r="G9450" s="4" t="str">
        <f>HYPERLINK("http://141.218.60.56/~jnz1568/getInfo.php?workbook=10_05.xlsx&amp;sheet=U0&amp;row=9450&amp;col=7&amp;number=0.0444&amp;sourceID=14","0.0444")</f>
        <v>0.0444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HYPERLINK("http://141.218.60.56/~jnz1568/getInfo.php?workbook=10_05.xlsx&amp;sheet=U0&amp;row=9451&amp;col=6&amp;number=3.7&amp;sourceID=14","3.7")</f>
        <v>3.7</v>
      </c>
      <c r="G9451" s="4" t="str">
        <f>HYPERLINK("http://141.218.60.56/~jnz1568/getInfo.php?workbook=10_05.xlsx&amp;sheet=U0&amp;row=9451&amp;col=7&amp;number=0.0434&amp;sourceID=14","0.0434")</f>
        <v>0.0434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HYPERLINK("http://141.218.60.56/~jnz1568/getInfo.php?workbook=10_05.xlsx&amp;sheet=U0&amp;row=9452&amp;col=6&amp;number=3.8&amp;sourceID=14","3.8")</f>
        <v>3.8</v>
      </c>
      <c r="G9452" s="4" t="str">
        <f>HYPERLINK("http://141.218.60.56/~jnz1568/getInfo.php?workbook=10_05.xlsx&amp;sheet=U0&amp;row=9452&amp;col=7&amp;number=0.0422&amp;sourceID=14","0.0422")</f>
        <v>0.0422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HYPERLINK("http://141.218.60.56/~jnz1568/getInfo.php?workbook=10_05.xlsx&amp;sheet=U0&amp;row=9453&amp;col=6&amp;number=3.9&amp;sourceID=14","3.9")</f>
        <v>3.9</v>
      </c>
      <c r="G9453" s="4" t="str">
        <f>HYPERLINK("http://141.218.60.56/~jnz1568/getInfo.php?workbook=10_05.xlsx&amp;sheet=U0&amp;row=9453&amp;col=7&amp;number=0.0408&amp;sourceID=14","0.0408")</f>
        <v>0.0408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HYPERLINK("http://141.218.60.56/~jnz1568/getInfo.php?workbook=10_05.xlsx&amp;sheet=U0&amp;row=9454&amp;col=6&amp;number=4&amp;sourceID=14","4")</f>
        <v>4</v>
      </c>
      <c r="G9454" s="4" t="str">
        <f>HYPERLINK("http://141.218.60.56/~jnz1568/getInfo.php?workbook=10_05.xlsx&amp;sheet=U0&amp;row=9454&amp;col=7&amp;number=0.0392&amp;sourceID=14","0.0392")</f>
        <v>0.0392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HYPERLINK("http://141.218.60.56/~jnz1568/getInfo.php?workbook=10_05.xlsx&amp;sheet=U0&amp;row=9455&amp;col=6&amp;number=4.1&amp;sourceID=14","4.1")</f>
        <v>4.1</v>
      </c>
      <c r="G9455" s="4" t="str">
        <f>HYPERLINK("http://141.218.60.56/~jnz1568/getInfo.php?workbook=10_05.xlsx&amp;sheet=U0&amp;row=9455&amp;col=7&amp;number=0.0373&amp;sourceID=14","0.0373")</f>
        <v>0.0373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HYPERLINK("http://141.218.60.56/~jnz1568/getInfo.php?workbook=10_05.xlsx&amp;sheet=U0&amp;row=9456&amp;col=6&amp;number=4.2&amp;sourceID=14","4.2")</f>
        <v>4.2</v>
      </c>
      <c r="G9456" s="4" t="str">
        <f>HYPERLINK("http://141.218.60.56/~jnz1568/getInfo.php?workbook=10_05.xlsx&amp;sheet=U0&amp;row=9456&amp;col=7&amp;number=0.0354&amp;sourceID=14","0.0354")</f>
        <v>0.0354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HYPERLINK("http://141.218.60.56/~jnz1568/getInfo.php?workbook=10_05.xlsx&amp;sheet=U0&amp;row=9457&amp;col=6&amp;number=4.3&amp;sourceID=14","4.3")</f>
        <v>4.3</v>
      </c>
      <c r="G9457" s="4" t="str">
        <f>HYPERLINK("http://141.218.60.56/~jnz1568/getInfo.php?workbook=10_05.xlsx&amp;sheet=U0&amp;row=9457&amp;col=7&amp;number=0.0334&amp;sourceID=14","0.0334")</f>
        <v>0.0334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HYPERLINK("http://141.218.60.56/~jnz1568/getInfo.php?workbook=10_05.xlsx&amp;sheet=U0&amp;row=9458&amp;col=6&amp;number=4.4&amp;sourceID=14","4.4")</f>
        <v>4.4</v>
      </c>
      <c r="G9458" s="4" t="str">
        <f>HYPERLINK("http://141.218.60.56/~jnz1568/getInfo.php?workbook=10_05.xlsx&amp;sheet=U0&amp;row=9458&amp;col=7&amp;number=0.0317&amp;sourceID=14","0.0317")</f>
        <v>0.0317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HYPERLINK("http://141.218.60.56/~jnz1568/getInfo.php?workbook=10_05.xlsx&amp;sheet=U0&amp;row=9459&amp;col=6&amp;number=4.5&amp;sourceID=14","4.5")</f>
        <v>4.5</v>
      </c>
      <c r="G9459" s="4" t="str">
        <f>HYPERLINK("http://141.218.60.56/~jnz1568/getInfo.php?workbook=10_05.xlsx&amp;sheet=U0&amp;row=9459&amp;col=7&amp;number=0.0303&amp;sourceID=14","0.0303")</f>
        <v>0.0303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HYPERLINK("http://141.218.60.56/~jnz1568/getInfo.php?workbook=10_05.xlsx&amp;sheet=U0&amp;row=9460&amp;col=6&amp;number=4.6&amp;sourceID=14","4.6")</f>
        <v>4.6</v>
      </c>
      <c r="G9460" s="4" t="str">
        <f>HYPERLINK("http://141.218.60.56/~jnz1568/getInfo.php?workbook=10_05.xlsx&amp;sheet=U0&amp;row=9460&amp;col=7&amp;number=0.029&amp;sourceID=14","0.029")</f>
        <v>0.029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HYPERLINK("http://141.218.60.56/~jnz1568/getInfo.php?workbook=10_05.xlsx&amp;sheet=U0&amp;row=9461&amp;col=6&amp;number=4.7&amp;sourceID=14","4.7")</f>
        <v>4.7</v>
      </c>
      <c r="G9461" s="4" t="str">
        <f>HYPERLINK("http://141.218.60.56/~jnz1568/getInfo.php?workbook=10_05.xlsx&amp;sheet=U0&amp;row=9461&amp;col=7&amp;number=0.0279&amp;sourceID=14","0.0279")</f>
        <v>0.0279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HYPERLINK("http://141.218.60.56/~jnz1568/getInfo.php?workbook=10_05.xlsx&amp;sheet=U0&amp;row=9462&amp;col=6&amp;number=4.8&amp;sourceID=14","4.8")</f>
        <v>4.8</v>
      </c>
      <c r="G9462" s="4" t="str">
        <f>HYPERLINK("http://141.218.60.56/~jnz1568/getInfo.php?workbook=10_05.xlsx&amp;sheet=U0&amp;row=9462&amp;col=7&amp;number=0.0268&amp;sourceID=14","0.0268")</f>
        <v>0.0268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HYPERLINK("http://141.218.60.56/~jnz1568/getInfo.php?workbook=10_05.xlsx&amp;sheet=U0&amp;row=9463&amp;col=6&amp;number=4.9&amp;sourceID=14","4.9")</f>
        <v>4.9</v>
      </c>
      <c r="G9463" s="4" t="str">
        <f>HYPERLINK("http://141.218.60.56/~jnz1568/getInfo.php?workbook=10_05.xlsx&amp;sheet=U0&amp;row=9463&amp;col=7&amp;number=0.0259&amp;sourceID=14","0.0259")</f>
        <v>0.0259</v>
      </c>
    </row>
    <row r="9464" spans="1:7">
      <c r="A9464" s="3">
        <v>10</v>
      </c>
      <c r="B9464" s="3">
        <v>5</v>
      </c>
      <c r="C9464" s="3">
        <v>3</v>
      </c>
      <c r="D9464" s="3">
        <v>120</v>
      </c>
      <c r="E9464" s="3">
        <v>1</v>
      </c>
      <c r="F9464" s="4" t="str">
        <f>HYPERLINK("http://141.218.60.56/~jnz1568/getInfo.php?workbook=10_05.xlsx&amp;sheet=U0&amp;row=9464&amp;col=6&amp;number=3&amp;sourceID=14","3")</f>
        <v>3</v>
      </c>
      <c r="G9464" s="4" t="str">
        <f>HYPERLINK("http://141.218.60.56/~jnz1568/getInfo.php?workbook=10_05.xlsx&amp;sheet=U0&amp;row=9464&amp;col=7&amp;number=0.00963&amp;sourceID=14","0.00963")</f>
        <v>0.00963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HYPERLINK("http://141.218.60.56/~jnz1568/getInfo.php?workbook=10_05.xlsx&amp;sheet=U0&amp;row=9465&amp;col=6&amp;number=3.1&amp;sourceID=14","3.1")</f>
        <v>3.1</v>
      </c>
      <c r="G9465" s="4" t="str">
        <f>HYPERLINK("http://141.218.60.56/~jnz1568/getInfo.php?workbook=10_05.xlsx&amp;sheet=U0&amp;row=9465&amp;col=7&amp;number=0.00955&amp;sourceID=14","0.00955")</f>
        <v>0.00955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HYPERLINK("http://141.218.60.56/~jnz1568/getInfo.php?workbook=10_05.xlsx&amp;sheet=U0&amp;row=9466&amp;col=6&amp;number=3.2&amp;sourceID=14","3.2")</f>
        <v>3.2</v>
      </c>
      <c r="G9466" s="4" t="str">
        <f>HYPERLINK("http://141.218.60.56/~jnz1568/getInfo.php?workbook=10_05.xlsx&amp;sheet=U0&amp;row=9466&amp;col=7&amp;number=0.00946&amp;sourceID=14","0.00946")</f>
        <v>0.00946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HYPERLINK("http://141.218.60.56/~jnz1568/getInfo.php?workbook=10_05.xlsx&amp;sheet=U0&amp;row=9467&amp;col=6&amp;number=3.3&amp;sourceID=14","3.3")</f>
        <v>3.3</v>
      </c>
      <c r="G9467" s="4" t="str">
        <f>HYPERLINK("http://141.218.60.56/~jnz1568/getInfo.php?workbook=10_05.xlsx&amp;sheet=U0&amp;row=9467&amp;col=7&amp;number=0.00935&amp;sourceID=14","0.00935")</f>
        <v>0.00935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HYPERLINK("http://141.218.60.56/~jnz1568/getInfo.php?workbook=10_05.xlsx&amp;sheet=U0&amp;row=9468&amp;col=6&amp;number=3.4&amp;sourceID=14","3.4")</f>
        <v>3.4</v>
      </c>
      <c r="G9468" s="4" t="str">
        <f>HYPERLINK("http://141.218.60.56/~jnz1568/getInfo.php?workbook=10_05.xlsx&amp;sheet=U0&amp;row=9468&amp;col=7&amp;number=0.00921&amp;sourceID=14","0.00921")</f>
        <v>0.00921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HYPERLINK("http://141.218.60.56/~jnz1568/getInfo.php?workbook=10_05.xlsx&amp;sheet=U0&amp;row=9469&amp;col=6&amp;number=3.5&amp;sourceID=14","3.5")</f>
        <v>3.5</v>
      </c>
      <c r="G9469" s="4" t="str">
        <f>HYPERLINK("http://141.218.60.56/~jnz1568/getInfo.php?workbook=10_05.xlsx&amp;sheet=U0&amp;row=9469&amp;col=7&amp;number=0.00904&amp;sourceID=14","0.00904")</f>
        <v>0.00904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HYPERLINK("http://141.218.60.56/~jnz1568/getInfo.php?workbook=10_05.xlsx&amp;sheet=U0&amp;row=9470&amp;col=6&amp;number=3.6&amp;sourceID=14","3.6")</f>
        <v>3.6</v>
      </c>
      <c r="G9470" s="4" t="str">
        <f>HYPERLINK("http://141.218.60.56/~jnz1568/getInfo.php?workbook=10_05.xlsx&amp;sheet=U0&amp;row=9470&amp;col=7&amp;number=0.00882&amp;sourceID=14","0.00882")</f>
        <v>0.00882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HYPERLINK("http://141.218.60.56/~jnz1568/getInfo.php?workbook=10_05.xlsx&amp;sheet=U0&amp;row=9471&amp;col=6&amp;number=3.7&amp;sourceID=14","3.7")</f>
        <v>3.7</v>
      </c>
      <c r="G9471" s="4" t="str">
        <f>HYPERLINK("http://141.218.60.56/~jnz1568/getInfo.php?workbook=10_05.xlsx&amp;sheet=U0&amp;row=9471&amp;col=7&amp;number=0.00856&amp;sourceID=14","0.00856")</f>
        <v>0.00856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HYPERLINK("http://141.218.60.56/~jnz1568/getInfo.php?workbook=10_05.xlsx&amp;sheet=U0&amp;row=9472&amp;col=6&amp;number=3.8&amp;sourceID=14","3.8")</f>
        <v>3.8</v>
      </c>
      <c r="G9472" s="4" t="str">
        <f>HYPERLINK("http://141.218.60.56/~jnz1568/getInfo.php?workbook=10_05.xlsx&amp;sheet=U0&amp;row=9472&amp;col=7&amp;number=0.00824&amp;sourceID=14","0.00824")</f>
        <v>0.00824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HYPERLINK("http://141.218.60.56/~jnz1568/getInfo.php?workbook=10_05.xlsx&amp;sheet=U0&amp;row=9473&amp;col=6&amp;number=3.9&amp;sourceID=14","3.9")</f>
        <v>3.9</v>
      </c>
      <c r="G9473" s="4" t="str">
        <f>HYPERLINK("http://141.218.60.56/~jnz1568/getInfo.php?workbook=10_05.xlsx&amp;sheet=U0&amp;row=9473&amp;col=7&amp;number=0.00786&amp;sourceID=14","0.00786")</f>
        <v>0.00786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HYPERLINK("http://141.218.60.56/~jnz1568/getInfo.php?workbook=10_05.xlsx&amp;sheet=U0&amp;row=9474&amp;col=6&amp;number=4&amp;sourceID=14","4")</f>
        <v>4</v>
      </c>
      <c r="G9474" s="4" t="str">
        <f>HYPERLINK("http://141.218.60.56/~jnz1568/getInfo.php?workbook=10_05.xlsx&amp;sheet=U0&amp;row=9474&amp;col=7&amp;number=0.00742&amp;sourceID=14","0.00742")</f>
        <v>0.00742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HYPERLINK("http://141.218.60.56/~jnz1568/getInfo.php?workbook=10_05.xlsx&amp;sheet=U0&amp;row=9475&amp;col=6&amp;number=4.1&amp;sourceID=14","4.1")</f>
        <v>4.1</v>
      </c>
      <c r="G9475" s="4" t="str">
        <f>HYPERLINK("http://141.218.60.56/~jnz1568/getInfo.php?workbook=10_05.xlsx&amp;sheet=U0&amp;row=9475&amp;col=7&amp;number=0.00692&amp;sourceID=14","0.00692")</f>
        <v>0.00692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HYPERLINK("http://141.218.60.56/~jnz1568/getInfo.php?workbook=10_05.xlsx&amp;sheet=U0&amp;row=9476&amp;col=6&amp;number=4.2&amp;sourceID=14","4.2")</f>
        <v>4.2</v>
      </c>
      <c r="G9476" s="4" t="str">
        <f>HYPERLINK("http://141.218.60.56/~jnz1568/getInfo.php?workbook=10_05.xlsx&amp;sheet=U0&amp;row=9476&amp;col=7&amp;number=0.00638&amp;sourceID=14","0.00638")</f>
        <v>0.00638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HYPERLINK("http://141.218.60.56/~jnz1568/getInfo.php?workbook=10_05.xlsx&amp;sheet=U0&amp;row=9477&amp;col=6&amp;number=4.3&amp;sourceID=14","4.3")</f>
        <v>4.3</v>
      </c>
      <c r="G9477" s="4" t="str">
        <f>HYPERLINK("http://141.218.60.56/~jnz1568/getInfo.php?workbook=10_05.xlsx&amp;sheet=U0&amp;row=9477&amp;col=7&amp;number=0.00586&amp;sourceID=14","0.00586")</f>
        <v>0.00586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HYPERLINK("http://141.218.60.56/~jnz1568/getInfo.php?workbook=10_05.xlsx&amp;sheet=U0&amp;row=9478&amp;col=6&amp;number=4.4&amp;sourceID=14","4.4")</f>
        <v>4.4</v>
      </c>
      <c r="G9478" s="4" t="str">
        <f>HYPERLINK("http://141.218.60.56/~jnz1568/getInfo.php?workbook=10_05.xlsx&amp;sheet=U0&amp;row=9478&amp;col=7&amp;number=0.0054&amp;sourceID=14","0.0054")</f>
        <v>0.0054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HYPERLINK("http://141.218.60.56/~jnz1568/getInfo.php?workbook=10_05.xlsx&amp;sheet=U0&amp;row=9479&amp;col=6&amp;number=4.5&amp;sourceID=14","4.5")</f>
        <v>4.5</v>
      </c>
      <c r="G9479" s="4" t="str">
        <f>HYPERLINK("http://141.218.60.56/~jnz1568/getInfo.php?workbook=10_05.xlsx&amp;sheet=U0&amp;row=9479&amp;col=7&amp;number=0.005&amp;sourceID=14","0.005")</f>
        <v>0.005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HYPERLINK("http://141.218.60.56/~jnz1568/getInfo.php?workbook=10_05.xlsx&amp;sheet=U0&amp;row=9480&amp;col=6&amp;number=4.6&amp;sourceID=14","4.6")</f>
        <v>4.6</v>
      </c>
      <c r="G9480" s="4" t="str">
        <f>HYPERLINK("http://141.218.60.56/~jnz1568/getInfo.php?workbook=10_05.xlsx&amp;sheet=U0&amp;row=9480&amp;col=7&amp;number=0.00467&amp;sourceID=14","0.00467")</f>
        <v>0.00467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HYPERLINK("http://141.218.60.56/~jnz1568/getInfo.php?workbook=10_05.xlsx&amp;sheet=U0&amp;row=9481&amp;col=6&amp;number=4.7&amp;sourceID=14","4.7")</f>
        <v>4.7</v>
      </c>
      <c r="G9481" s="4" t="str">
        <f>HYPERLINK("http://141.218.60.56/~jnz1568/getInfo.php?workbook=10_05.xlsx&amp;sheet=U0&amp;row=9481&amp;col=7&amp;number=0.00434&amp;sourceID=14","0.00434")</f>
        <v>0.00434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HYPERLINK("http://141.218.60.56/~jnz1568/getInfo.php?workbook=10_05.xlsx&amp;sheet=U0&amp;row=9482&amp;col=6&amp;number=4.8&amp;sourceID=14","4.8")</f>
        <v>4.8</v>
      </c>
      <c r="G9482" s="4" t="str">
        <f>HYPERLINK("http://141.218.60.56/~jnz1568/getInfo.php?workbook=10_05.xlsx&amp;sheet=U0&amp;row=9482&amp;col=7&amp;number=0.00404&amp;sourceID=14","0.00404")</f>
        <v>0.00404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HYPERLINK("http://141.218.60.56/~jnz1568/getInfo.php?workbook=10_05.xlsx&amp;sheet=U0&amp;row=9483&amp;col=6&amp;number=4.9&amp;sourceID=14","4.9")</f>
        <v>4.9</v>
      </c>
      <c r="G9483" s="4" t="str">
        <f>HYPERLINK("http://141.218.60.56/~jnz1568/getInfo.php?workbook=10_05.xlsx&amp;sheet=U0&amp;row=9483&amp;col=7&amp;number=0.00377&amp;sourceID=14","0.00377")</f>
        <v>0.00377</v>
      </c>
    </row>
    <row r="9484" spans="1:7">
      <c r="A9484" s="3">
        <v>10</v>
      </c>
      <c r="B9484" s="3">
        <v>5</v>
      </c>
      <c r="C9484" s="3">
        <v>3</v>
      </c>
      <c r="D9484" s="3">
        <v>121</v>
      </c>
      <c r="E9484" s="3">
        <v>1</v>
      </c>
      <c r="F9484" s="4" t="str">
        <f>HYPERLINK("http://141.218.60.56/~jnz1568/getInfo.php?workbook=10_05.xlsx&amp;sheet=U0&amp;row=9484&amp;col=6&amp;number=3&amp;sourceID=14","3")</f>
        <v>3</v>
      </c>
      <c r="G9484" s="4" t="str">
        <f>HYPERLINK("http://141.218.60.56/~jnz1568/getInfo.php?workbook=10_05.xlsx&amp;sheet=U0&amp;row=9484&amp;col=7&amp;number=0.0231&amp;sourceID=14","0.0231")</f>
        <v>0.0231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HYPERLINK("http://141.218.60.56/~jnz1568/getInfo.php?workbook=10_05.xlsx&amp;sheet=U0&amp;row=9485&amp;col=6&amp;number=3.1&amp;sourceID=14","3.1")</f>
        <v>3.1</v>
      </c>
      <c r="G9485" s="4" t="str">
        <f>HYPERLINK("http://141.218.60.56/~jnz1568/getInfo.php?workbook=10_05.xlsx&amp;sheet=U0&amp;row=9485&amp;col=7&amp;number=0.0229&amp;sourceID=14","0.0229")</f>
        <v>0.0229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HYPERLINK("http://141.218.60.56/~jnz1568/getInfo.php?workbook=10_05.xlsx&amp;sheet=U0&amp;row=9486&amp;col=6&amp;number=3.2&amp;sourceID=14","3.2")</f>
        <v>3.2</v>
      </c>
      <c r="G9486" s="4" t="str">
        <f>HYPERLINK("http://141.218.60.56/~jnz1568/getInfo.php?workbook=10_05.xlsx&amp;sheet=U0&amp;row=9486&amp;col=7&amp;number=0.0227&amp;sourceID=14","0.0227")</f>
        <v>0.0227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HYPERLINK("http://141.218.60.56/~jnz1568/getInfo.php?workbook=10_05.xlsx&amp;sheet=U0&amp;row=9487&amp;col=6&amp;number=3.3&amp;sourceID=14","3.3")</f>
        <v>3.3</v>
      </c>
      <c r="G9487" s="4" t="str">
        <f>HYPERLINK("http://141.218.60.56/~jnz1568/getInfo.php?workbook=10_05.xlsx&amp;sheet=U0&amp;row=9487&amp;col=7&amp;number=0.0224&amp;sourceID=14","0.0224")</f>
        <v>0.0224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HYPERLINK("http://141.218.60.56/~jnz1568/getInfo.php?workbook=10_05.xlsx&amp;sheet=U0&amp;row=9488&amp;col=6&amp;number=3.4&amp;sourceID=14","3.4")</f>
        <v>3.4</v>
      </c>
      <c r="G9488" s="4" t="str">
        <f>HYPERLINK("http://141.218.60.56/~jnz1568/getInfo.php?workbook=10_05.xlsx&amp;sheet=U0&amp;row=9488&amp;col=7&amp;number=0.022&amp;sourceID=14","0.022")</f>
        <v>0.022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HYPERLINK("http://141.218.60.56/~jnz1568/getInfo.php?workbook=10_05.xlsx&amp;sheet=U0&amp;row=9489&amp;col=6&amp;number=3.5&amp;sourceID=14","3.5")</f>
        <v>3.5</v>
      </c>
      <c r="G9489" s="4" t="str">
        <f>HYPERLINK("http://141.218.60.56/~jnz1568/getInfo.php?workbook=10_05.xlsx&amp;sheet=U0&amp;row=9489&amp;col=7&amp;number=0.0216&amp;sourceID=14","0.0216")</f>
        <v>0.0216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HYPERLINK("http://141.218.60.56/~jnz1568/getInfo.php?workbook=10_05.xlsx&amp;sheet=U0&amp;row=9490&amp;col=6&amp;number=3.6&amp;sourceID=14","3.6")</f>
        <v>3.6</v>
      </c>
      <c r="G9490" s="4" t="str">
        <f>HYPERLINK("http://141.218.60.56/~jnz1568/getInfo.php?workbook=10_05.xlsx&amp;sheet=U0&amp;row=9490&amp;col=7&amp;number=0.0211&amp;sourceID=14","0.0211")</f>
        <v>0.0211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HYPERLINK("http://141.218.60.56/~jnz1568/getInfo.php?workbook=10_05.xlsx&amp;sheet=U0&amp;row=9491&amp;col=6&amp;number=3.7&amp;sourceID=14","3.7")</f>
        <v>3.7</v>
      </c>
      <c r="G9491" s="4" t="str">
        <f>HYPERLINK("http://141.218.60.56/~jnz1568/getInfo.php?workbook=10_05.xlsx&amp;sheet=U0&amp;row=9491&amp;col=7&amp;number=0.0204&amp;sourceID=14","0.0204")</f>
        <v>0.0204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HYPERLINK("http://141.218.60.56/~jnz1568/getInfo.php?workbook=10_05.xlsx&amp;sheet=U0&amp;row=9492&amp;col=6&amp;number=3.8&amp;sourceID=14","3.8")</f>
        <v>3.8</v>
      </c>
      <c r="G9492" s="4" t="str">
        <f>HYPERLINK("http://141.218.60.56/~jnz1568/getInfo.php?workbook=10_05.xlsx&amp;sheet=U0&amp;row=9492&amp;col=7&amp;number=0.0196&amp;sourceID=14","0.0196")</f>
        <v>0.0196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HYPERLINK("http://141.218.60.56/~jnz1568/getInfo.php?workbook=10_05.xlsx&amp;sheet=U0&amp;row=9493&amp;col=6&amp;number=3.9&amp;sourceID=14","3.9")</f>
        <v>3.9</v>
      </c>
      <c r="G9493" s="4" t="str">
        <f>HYPERLINK("http://141.218.60.56/~jnz1568/getInfo.php?workbook=10_05.xlsx&amp;sheet=U0&amp;row=9493&amp;col=7&amp;number=0.0187&amp;sourceID=14","0.0187")</f>
        <v>0.0187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HYPERLINK("http://141.218.60.56/~jnz1568/getInfo.php?workbook=10_05.xlsx&amp;sheet=U0&amp;row=9494&amp;col=6&amp;number=4&amp;sourceID=14","4")</f>
        <v>4</v>
      </c>
      <c r="G9494" s="4" t="str">
        <f>HYPERLINK("http://141.218.60.56/~jnz1568/getInfo.php?workbook=10_05.xlsx&amp;sheet=U0&amp;row=9494&amp;col=7&amp;number=0.0176&amp;sourceID=14","0.0176")</f>
        <v>0.0176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HYPERLINK("http://141.218.60.56/~jnz1568/getInfo.php?workbook=10_05.xlsx&amp;sheet=U0&amp;row=9495&amp;col=6&amp;number=4.1&amp;sourceID=14","4.1")</f>
        <v>4.1</v>
      </c>
      <c r="G9495" s="4" t="str">
        <f>HYPERLINK("http://141.218.60.56/~jnz1568/getInfo.php?workbook=10_05.xlsx&amp;sheet=U0&amp;row=9495&amp;col=7&amp;number=0.0163&amp;sourceID=14","0.0163")</f>
        <v>0.0163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HYPERLINK("http://141.218.60.56/~jnz1568/getInfo.php?workbook=10_05.xlsx&amp;sheet=U0&amp;row=9496&amp;col=6&amp;number=4.2&amp;sourceID=14","4.2")</f>
        <v>4.2</v>
      </c>
      <c r="G9496" s="4" t="str">
        <f>HYPERLINK("http://141.218.60.56/~jnz1568/getInfo.php?workbook=10_05.xlsx&amp;sheet=U0&amp;row=9496&amp;col=7&amp;number=0.015&amp;sourceID=14","0.015")</f>
        <v>0.015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HYPERLINK("http://141.218.60.56/~jnz1568/getInfo.php?workbook=10_05.xlsx&amp;sheet=U0&amp;row=9497&amp;col=6&amp;number=4.3&amp;sourceID=14","4.3")</f>
        <v>4.3</v>
      </c>
      <c r="G9497" s="4" t="str">
        <f>HYPERLINK("http://141.218.60.56/~jnz1568/getInfo.php?workbook=10_05.xlsx&amp;sheet=U0&amp;row=9497&amp;col=7&amp;number=0.0137&amp;sourceID=14","0.0137")</f>
        <v>0.0137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HYPERLINK("http://141.218.60.56/~jnz1568/getInfo.php?workbook=10_05.xlsx&amp;sheet=U0&amp;row=9498&amp;col=6&amp;number=4.4&amp;sourceID=14","4.4")</f>
        <v>4.4</v>
      </c>
      <c r="G9498" s="4" t="str">
        <f>HYPERLINK("http://141.218.60.56/~jnz1568/getInfo.php?workbook=10_05.xlsx&amp;sheet=U0&amp;row=9498&amp;col=7&amp;number=0.0125&amp;sourceID=14","0.0125")</f>
        <v>0.0125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HYPERLINK("http://141.218.60.56/~jnz1568/getInfo.php?workbook=10_05.xlsx&amp;sheet=U0&amp;row=9499&amp;col=6&amp;number=4.5&amp;sourceID=14","4.5")</f>
        <v>4.5</v>
      </c>
      <c r="G9499" s="4" t="str">
        <f>HYPERLINK("http://141.218.60.56/~jnz1568/getInfo.php?workbook=10_05.xlsx&amp;sheet=U0&amp;row=9499&amp;col=7&amp;number=0.0115&amp;sourceID=14","0.0115")</f>
        <v>0.0115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HYPERLINK("http://141.218.60.56/~jnz1568/getInfo.php?workbook=10_05.xlsx&amp;sheet=U0&amp;row=9500&amp;col=6&amp;number=4.6&amp;sourceID=14","4.6")</f>
        <v>4.6</v>
      </c>
      <c r="G9500" s="4" t="str">
        <f>HYPERLINK("http://141.218.60.56/~jnz1568/getInfo.php?workbook=10_05.xlsx&amp;sheet=U0&amp;row=9500&amp;col=7&amp;number=0.0106&amp;sourceID=14","0.0106")</f>
        <v>0.0106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HYPERLINK("http://141.218.60.56/~jnz1568/getInfo.php?workbook=10_05.xlsx&amp;sheet=U0&amp;row=9501&amp;col=6&amp;number=4.7&amp;sourceID=14","4.7")</f>
        <v>4.7</v>
      </c>
      <c r="G9501" s="4" t="str">
        <f>HYPERLINK("http://141.218.60.56/~jnz1568/getInfo.php?workbook=10_05.xlsx&amp;sheet=U0&amp;row=9501&amp;col=7&amp;number=0.00985&amp;sourceID=14","0.00985")</f>
        <v>0.00985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HYPERLINK("http://141.218.60.56/~jnz1568/getInfo.php?workbook=10_05.xlsx&amp;sheet=U0&amp;row=9502&amp;col=6&amp;number=4.8&amp;sourceID=14","4.8")</f>
        <v>4.8</v>
      </c>
      <c r="G9502" s="4" t="str">
        <f>HYPERLINK("http://141.218.60.56/~jnz1568/getInfo.php?workbook=10_05.xlsx&amp;sheet=U0&amp;row=9502&amp;col=7&amp;number=0.00913&amp;sourceID=14","0.00913")</f>
        <v>0.00913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HYPERLINK("http://141.218.60.56/~jnz1568/getInfo.php?workbook=10_05.xlsx&amp;sheet=U0&amp;row=9503&amp;col=6&amp;number=4.9&amp;sourceID=14","4.9")</f>
        <v>4.9</v>
      </c>
      <c r="G9503" s="4" t="str">
        <f>HYPERLINK("http://141.218.60.56/~jnz1568/getInfo.php?workbook=10_05.xlsx&amp;sheet=U0&amp;row=9503&amp;col=7&amp;number=0.0085&amp;sourceID=14","0.0085")</f>
        <v>0.0085</v>
      </c>
    </row>
    <row r="9504" spans="1:7">
      <c r="A9504" s="3">
        <v>10</v>
      </c>
      <c r="B9504" s="3">
        <v>5</v>
      </c>
      <c r="C9504" s="3">
        <v>3</v>
      </c>
      <c r="D9504" s="3">
        <v>122</v>
      </c>
      <c r="E9504" s="3">
        <v>1</v>
      </c>
      <c r="F9504" s="4" t="str">
        <f>HYPERLINK("http://141.218.60.56/~jnz1568/getInfo.php?workbook=10_05.xlsx&amp;sheet=U0&amp;row=9504&amp;col=6&amp;number=3&amp;sourceID=14","3")</f>
        <v>3</v>
      </c>
      <c r="G9504" s="4" t="str">
        <f>HYPERLINK("http://141.218.60.56/~jnz1568/getInfo.php?workbook=10_05.xlsx&amp;sheet=U0&amp;row=9504&amp;col=7&amp;number=0.0284&amp;sourceID=14","0.0284")</f>
        <v>0.0284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HYPERLINK("http://141.218.60.56/~jnz1568/getInfo.php?workbook=10_05.xlsx&amp;sheet=U0&amp;row=9505&amp;col=6&amp;number=3.1&amp;sourceID=14","3.1")</f>
        <v>3.1</v>
      </c>
      <c r="G9505" s="4" t="str">
        <f>HYPERLINK("http://141.218.60.56/~jnz1568/getInfo.php?workbook=10_05.xlsx&amp;sheet=U0&amp;row=9505&amp;col=7&amp;number=0.0281&amp;sourceID=14","0.0281")</f>
        <v>0.0281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HYPERLINK("http://141.218.60.56/~jnz1568/getInfo.php?workbook=10_05.xlsx&amp;sheet=U0&amp;row=9506&amp;col=6&amp;number=3.2&amp;sourceID=14","3.2")</f>
        <v>3.2</v>
      </c>
      <c r="G9506" s="4" t="str">
        <f>HYPERLINK("http://141.218.60.56/~jnz1568/getInfo.php?workbook=10_05.xlsx&amp;sheet=U0&amp;row=9506&amp;col=7&amp;number=0.0278&amp;sourceID=14","0.0278")</f>
        <v>0.0278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HYPERLINK("http://141.218.60.56/~jnz1568/getInfo.php?workbook=10_05.xlsx&amp;sheet=U0&amp;row=9507&amp;col=6&amp;number=3.3&amp;sourceID=14","3.3")</f>
        <v>3.3</v>
      </c>
      <c r="G9507" s="4" t="str">
        <f>HYPERLINK("http://141.218.60.56/~jnz1568/getInfo.php?workbook=10_05.xlsx&amp;sheet=U0&amp;row=9507&amp;col=7&amp;number=0.0274&amp;sourceID=14","0.0274")</f>
        <v>0.0274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HYPERLINK("http://141.218.60.56/~jnz1568/getInfo.php?workbook=10_05.xlsx&amp;sheet=U0&amp;row=9508&amp;col=6&amp;number=3.4&amp;sourceID=14","3.4")</f>
        <v>3.4</v>
      </c>
      <c r="G9508" s="4" t="str">
        <f>HYPERLINK("http://141.218.60.56/~jnz1568/getInfo.php?workbook=10_05.xlsx&amp;sheet=U0&amp;row=9508&amp;col=7&amp;number=0.0269&amp;sourceID=14","0.0269")</f>
        <v>0.0269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HYPERLINK("http://141.218.60.56/~jnz1568/getInfo.php?workbook=10_05.xlsx&amp;sheet=U0&amp;row=9509&amp;col=6&amp;number=3.5&amp;sourceID=14","3.5")</f>
        <v>3.5</v>
      </c>
      <c r="G9509" s="4" t="str">
        <f>HYPERLINK("http://141.218.60.56/~jnz1568/getInfo.php?workbook=10_05.xlsx&amp;sheet=U0&amp;row=9509&amp;col=7&amp;number=0.0263&amp;sourceID=14","0.0263")</f>
        <v>0.0263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HYPERLINK("http://141.218.60.56/~jnz1568/getInfo.php?workbook=10_05.xlsx&amp;sheet=U0&amp;row=9510&amp;col=6&amp;number=3.6&amp;sourceID=14","3.6")</f>
        <v>3.6</v>
      </c>
      <c r="G9510" s="4" t="str">
        <f>HYPERLINK("http://141.218.60.56/~jnz1568/getInfo.php?workbook=10_05.xlsx&amp;sheet=U0&amp;row=9510&amp;col=7&amp;number=0.0256&amp;sourceID=14","0.0256")</f>
        <v>0.0256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HYPERLINK("http://141.218.60.56/~jnz1568/getInfo.php?workbook=10_05.xlsx&amp;sheet=U0&amp;row=9511&amp;col=6&amp;number=3.7&amp;sourceID=14","3.7")</f>
        <v>3.7</v>
      </c>
      <c r="G9511" s="4" t="str">
        <f>HYPERLINK("http://141.218.60.56/~jnz1568/getInfo.php?workbook=10_05.xlsx&amp;sheet=U0&amp;row=9511&amp;col=7&amp;number=0.0246&amp;sourceID=14","0.0246")</f>
        <v>0.0246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HYPERLINK("http://141.218.60.56/~jnz1568/getInfo.php?workbook=10_05.xlsx&amp;sheet=U0&amp;row=9512&amp;col=6&amp;number=3.8&amp;sourceID=14","3.8")</f>
        <v>3.8</v>
      </c>
      <c r="G9512" s="4" t="str">
        <f>HYPERLINK("http://141.218.60.56/~jnz1568/getInfo.php?workbook=10_05.xlsx&amp;sheet=U0&amp;row=9512&amp;col=7&amp;number=0.0236&amp;sourceID=14","0.0236")</f>
        <v>0.0236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HYPERLINK("http://141.218.60.56/~jnz1568/getInfo.php?workbook=10_05.xlsx&amp;sheet=U0&amp;row=9513&amp;col=6&amp;number=3.9&amp;sourceID=14","3.9")</f>
        <v>3.9</v>
      </c>
      <c r="G9513" s="4" t="str">
        <f>HYPERLINK("http://141.218.60.56/~jnz1568/getInfo.php?workbook=10_05.xlsx&amp;sheet=U0&amp;row=9513&amp;col=7&amp;number=0.0223&amp;sourceID=14","0.0223")</f>
        <v>0.0223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HYPERLINK("http://141.218.60.56/~jnz1568/getInfo.php?workbook=10_05.xlsx&amp;sheet=U0&amp;row=9514&amp;col=6&amp;number=4&amp;sourceID=14","4")</f>
        <v>4</v>
      </c>
      <c r="G9514" s="4" t="str">
        <f>HYPERLINK("http://141.218.60.56/~jnz1568/getInfo.php?workbook=10_05.xlsx&amp;sheet=U0&amp;row=9514&amp;col=7&amp;number=0.0208&amp;sourceID=14","0.0208")</f>
        <v>0.0208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HYPERLINK("http://141.218.60.56/~jnz1568/getInfo.php?workbook=10_05.xlsx&amp;sheet=U0&amp;row=9515&amp;col=6&amp;number=4.1&amp;sourceID=14","4.1")</f>
        <v>4.1</v>
      </c>
      <c r="G9515" s="4" t="str">
        <f>HYPERLINK("http://141.218.60.56/~jnz1568/getInfo.php?workbook=10_05.xlsx&amp;sheet=U0&amp;row=9515&amp;col=7&amp;number=0.0192&amp;sourceID=14","0.0192")</f>
        <v>0.0192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HYPERLINK("http://141.218.60.56/~jnz1568/getInfo.php?workbook=10_05.xlsx&amp;sheet=U0&amp;row=9516&amp;col=6&amp;number=4.2&amp;sourceID=14","4.2")</f>
        <v>4.2</v>
      </c>
      <c r="G9516" s="4" t="str">
        <f>HYPERLINK("http://141.218.60.56/~jnz1568/getInfo.php?workbook=10_05.xlsx&amp;sheet=U0&amp;row=9516&amp;col=7&amp;number=0.0175&amp;sourceID=14","0.0175")</f>
        <v>0.0175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HYPERLINK("http://141.218.60.56/~jnz1568/getInfo.php?workbook=10_05.xlsx&amp;sheet=U0&amp;row=9517&amp;col=6&amp;number=4.3&amp;sourceID=14","4.3")</f>
        <v>4.3</v>
      </c>
      <c r="G9517" s="4" t="str">
        <f>HYPERLINK("http://141.218.60.56/~jnz1568/getInfo.php?workbook=10_05.xlsx&amp;sheet=U0&amp;row=9517&amp;col=7&amp;number=0.016&amp;sourceID=14","0.016")</f>
        <v>0.016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HYPERLINK("http://141.218.60.56/~jnz1568/getInfo.php?workbook=10_05.xlsx&amp;sheet=U0&amp;row=9518&amp;col=6&amp;number=4.4&amp;sourceID=14","4.4")</f>
        <v>4.4</v>
      </c>
      <c r="G9518" s="4" t="str">
        <f>HYPERLINK("http://141.218.60.56/~jnz1568/getInfo.php?workbook=10_05.xlsx&amp;sheet=U0&amp;row=9518&amp;col=7&amp;number=0.0148&amp;sourceID=14","0.0148")</f>
        <v>0.0148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HYPERLINK("http://141.218.60.56/~jnz1568/getInfo.php?workbook=10_05.xlsx&amp;sheet=U0&amp;row=9519&amp;col=6&amp;number=4.5&amp;sourceID=14","4.5")</f>
        <v>4.5</v>
      </c>
      <c r="G9519" s="4" t="str">
        <f>HYPERLINK("http://141.218.60.56/~jnz1568/getInfo.php?workbook=10_05.xlsx&amp;sheet=U0&amp;row=9519&amp;col=7&amp;number=0.0137&amp;sourceID=14","0.0137")</f>
        <v>0.0137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HYPERLINK("http://141.218.60.56/~jnz1568/getInfo.php?workbook=10_05.xlsx&amp;sheet=U0&amp;row=9520&amp;col=6&amp;number=4.6&amp;sourceID=14","4.6")</f>
        <v>4.6</v>
      </c>
      <c r="G9520" s="4" t="str">
        <f>HYPERLINK("http://141.218.60.56/~jnz1568/getInfo.php?workbook=10_05.xlsx&amp;sheet=U0&amp;row=9520&amp;col=7&amp;number=0.0128&amp;sourceID=14","0.0128")</f>
        <v>0.0128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HYPERLINK("http://141.218.60.56/~jnz1568/getInfo.php?workbook=10_05.xlsx&amp;sheet=U0&amp;row=9521&amp;col=6&amp;number=4.7&amp;sourceID=14","4.7")</f>
        <v>4.7</v>
      </c>
      <c r="G9521" s="4" t="str">
        <f>HYPERLINK("http://141.218.60.56/~jnz1568/getInfo.php?workbook=10_05.xlsx&amp;sheet=U0&amp;row=9521&amp;col=7&amp;number=0.0118&amp;sourceID=14","0.0118")</f>
        <v>0.0118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HYPERLINK("http://141.218.60.56/~jnz1568/getInfo.php?workbook=10_05.xlsx&amp;sheet=U0&amp;row=9522&amp;col=6&amp;number=4.8&amp;sourceID=14","4.8")</f>
        <v>4.8</v>
      </c>
      <c r="G9522" s="4" t="str">
        <f>HYPERLINK("http://141.218.60.56/~jnz1568/getInfo.php?workbook=10_05.xlsx&amp;sheet=U0&amp;row=9522&amp;col=7&amp;number=0.011&amp;sourceID=14","0.011")</f>
        <v>0.011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HYPERLINK("http://141.218.60.56/~jnz1568/getInfo.php?workbook=10_05.xlsx&amp;sheet=U0&amp;row=9523&amp;col=6&amp;number=4.9&amp;sourceID=14","4.9")</f>
        <v>4.9</v>
      </c>
      <c r="G9523" s="4" t="str">
        <f>HYPERLINK("http://141.218.60.56/~jnz1568/getInfo.php?workbook=10_05.xlsx&amp;sheet=U0&amp;row=9523&amp;col=7&amp;number=0.0103&amp;sourceID=14","0.0103")</f>
        <v>0.0103</v>
      </c>
    </row>
    <row r="9524" spans="1:7">
      <c r="A9524" s="3">
        <v>10</v>
      </c>
      <c r="B9524" s="3">
        <v>5</v>
      </c>
      <c r="C9524" s="3">
        <v>3</v>
      </c>
      <c r="D9524" s="3">
        <v>123</v>
      </c>
      <c r="E9524" s="3">
        <v>1</v>
      </c>
      <c r="F9524" s="4" t="str">
        <f>HYPERLINK("http://141.218.60.56/~jnz1568/getInfo.php?workbook=10_05.xlsx&amp;sheet=U0&amp;row=9524&amp;col=6&amp;number=3&amp;sourceID=14","3")</f>
        <v>3</v>
      </c>
      <c r="G9524" s="4" t="str">
        <f>HYPERLINK("http://141.218.60.56/~jnz1568/getInfo.php?workbook=10_05.xlsx&amp;sheet=U0&amp;row=9524&amp;col=7&amp;number=0.0156&amp;sourceID=14","0.0156")</f>
        <v>0.0156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HYPERLINK("http://141.218.60.56/~jnz1568/getInfo.php?workbook=10_05.xlsx&amp;sheet=U0&amp;row=9525&amp;col=6&amp;number=3.1&amp;sourceID=14","3.1")</f>
        <v>3.1</v>
      </c>
      <c r="G9525" s="4" t="str">
        <f>HYPERLINK("http://141.218.60.56/~jnz1568/getInfo.php?workbook=10_05.xlsx&amp;sheet=U0&amp;row=9525&amp;col=7&amp;number=0.0155&amp;sourceID=14","0.0155")</f>
        <v>0.0155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HYPERLINK("http://141.218.60.56/~jnz1568/getInfo.php?workbook=10_05.xlsx&amp;sheet=U0&amp;row=9526&amp;col=6&amp;number=3.2&amp;sourceID=14","3.2")</f>
        <v>3.2</v>
      </c>
      <c r="G9526" s="4" t="str">
        <f>HYPERLINK("http://141.218.60.56/~jnz1568/getInfo.php?workbook=10_05.xlsx&amp;sheet=U0&amp;row=9526&amp;col=7&amp;number=0.0153&amp;sourceID=14","0.0153")</f>
        <v>0.0153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HYPERLINK("http://141.218.60.56/~jnz1568/getInfo.php?workbook=10_05.xlsx&amp;sheet=U0&amp;row=9527&amp;col=6&amp;number=3.3&amp;sourceID=14","3.3")</f>
        <v>3.3</v>
      </c>
      <c r="G9527" s="4" t="str">
        <f>HYPERLINK("http://141.218.60.56/~jnz1568/getInfo.php?workbook=10_05.xlsx&amp;sheet=U0&amp;row=9527&amp;col=7&amp;number=0.0152&amp;sourceID=14","0.0152")</f>
        <v>0.0152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HYPERLINK("http://141.218.60.56/~jnz1568/getInfo.php?workbook=10_05.xlsx&amp;sheet=U0&amp;row=9528&amp;col=6&amp;number=3.4&amp;sourceID=14","3.4")</f>
        <v>3.4</v>
      </c>
      <c r="G9528" s="4" t="str">
        <f>HYPERLINK("http://141.218.60.56/~jnz1568/getInfo.php?workbook=10_05.xlsx&amp;sheet=U0&amp;row=9528&amp;col=7&amp;number=0.0149&amp;sourceID=14","0.0149")</f>
        <v>0.0149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HYPERLINK("http://141.218.60.56/~jnz1568/getInfo.php?workbook=10_05.xlsx&amp;sheet=U0&amp;row=9529&amp;col=6&amp;number=3.5&amp;sourceID=14","3.5")</f>
        <v>3.5</v>
      </c>
      <c r="G9529" s="4" t="str">
        <f>HYPERLINK("http://141.218.60.56/~jnz1568/getInfo.php?workbook=10_05.xlsx&amp;sheet=U0&amp;row=9529&amp;col=7&amp;number=0.0147&amp;sourceID=14","0.0147")</f>
        <v>0.0147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HYPERLINK("http://141.218.60.56/~jnz1568/getInfo.php?workbook=10_05.xlsx&amp;sheet=U0&amp;row=9530&amp;col=6&amp;number=3.6&amp;sourceID=14","3.6")</f>
        <v>3.6</v>
      </c>
      <c r="G9530" s="4" t="str">
        <f>HYPERLINK("http://141.218.60.56/~jnz1568/getInfo.php?workbook=10_05.xlsx&amp;sheet=U0&amp;row=9530&amp;col=7&amp;number=0.0143&amp;sourceID=14","0.0143")</f>
        <v>0.0143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HYPERLINK("http://141.218.60.56/~jnz1568/getInfo.php?workbook=10_05.xlsx&amp;sheet=U0&amp;row=9531&amp;col=6&amp;number=3.7&amp;sourceID=14","3.7")</f>
        <v>3.7</v>
      </c>
      <c r="G9531" s="4" t="str">
        <f>HYPERLINK("http://141.218.60.56/~jnz1568/getInfo.php?workbook=10_05.xlsx&amp;sheet=U0&amp;row=9531&amp;col=7&amp;number=0.0139&amp;sourceID=14","0.0139")</f>
        <v>0.0139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HYPERLINK("http://141.218.60.56/~jnz1568/getInfo.php?workbook=10_05.xlsx&amp;sheet=U0&amp;row=9532&amp;col=6&amp;number=3.8&amp;sourceID=14","3.8")</f>
        <v>3.8</v>
      </c>
      <c r="G9532" s="4" t="str">
        <f>HYPERLINK("http://141.218.60.56/~jnz1568/getInfo.php?workbook=10_05.xlsx&amp;sheet=U0&amp;row=9532&amp;col=7&amp;number=0.0134&amp;sourceID=14","0.0134")</f>
        <v>0.0134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HYPERLINK("http://141.218.60.56/~jnz1568/getInfo.php?workbook=10_05.xlsx&amp;sheet=U0&amp;row=9533&amp;col=6&amp;number=3.9&amp;sourceID=14","3.9")</f>
        <v>3.9</v>
      </c>
      <c r="G9533" s="4" t="str">
        <f>HYPERLINK("http://141.218.60.56/~jnz1568/getInfo.php?workbook=10_05.xlsx&amp;sheet=U0&amp;row=9533&amp;col=7&amp;number=0.0128&amp;sourceID=14","0.0128")</f>
        <v>0.0128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HYPERLINK("http://141.218.60.56/~jnz1568/getInfo.php?workbook=10_05.xlsx&amp;sheet=U0&amp;row=9534&amp;col=6&amp;number=4&amp;sourceID=14","4")</f>
        <v>4</v>
      </c>
      <c r="G9534" s="4" t="str">
        <f>HYPERLINK("http://141.218.60.56/~jnz1568/getInfo.php?workbook=10_05.xlsx&amp;sheet=U0&amp;row=9534&amp;col=7&amp;number=0.0121&amp;sourceID=14","0.0121")</f>
        <v>0.0121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HYPERLINK("http://141.218.60.56/~jnz1568/getInfo.php?workbook=10_05.xlsx&amp;sheet=U0&amp;row=9535&amp;col=6&amp;number=4.1&amp;sourceID=14","4.1")</f>
        <v>4.1</v>
      </c>
      <c r="G9535" s="4" t="str">
        <f>HYPERLINK("http://141.218.60.56/~jnz1568/getInfo.php?workbook=10_05.xlsx&amp;sheet=U0&amp;row=9535&amp;col=7&amp;number=0.0112&amp;sourceID=14","0.0112")</f>
        <v>0.0112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HYPERLINK("http://141.218.60.56/~jnz1568/getInfo.php?workbook=10_05.xlsx&amp;sheet=U0&amp;row=9536&amp;col=6&amp;number=4.2&amp;sourceID=14","4.2")</f>
        <v>4.2</v>
      </c>
      <c r="G9536" s="4" t="str">
        <f>HYPERLINK("http://141.218.60.56/~jnz1568/getInfo.php?workbook=10_05.xlsx&amp;sheet=U0&amp;row=9536&amp;col=7&amp;number=0.0104&amp;sourceID=14","0.0104")</f>
        <v>0.0104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HYPERLINK("http://141.218.60.56/~jnz1568/getInfo.php?workbook=10_05.xlsx&amp;sheet=U0&amp;row=9537&amp;col=6&amp;number=4.3&amp;sourceID=14","4.3")</f>
        <v>4.3</v>
      </c>
      <c r="G9537" s="4" t="str">
        <f>HYPERLINK("http://141.218.60.56/~jnz1568/getInfo.php?workbook=10_05.xlsx&amp;sheet=U0&amp;row=9537&amp;col=7&amp;number=0.00951&amp;sourceID=14","0.00951")</f>
        <v>0.00951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HYPERLINK("http://141.218.60.56/~jnz1568/getInfo.php?workbook=10_05.xlsx&amp;sheet=U0&amp;row=9538&amp;col=6&amp;number=4.4&amp;sourceID=14","4.4")</f>
        <v>4.4</v>
      </c>
      <c r="G9538" s="4" t="str">
        <f>HYPERLINK("http://141.218.60.56/~jnz1568/getInfo.php?workbook=10_05.xlsx&amp;sheet=U0&amp;row=9538&amp;col=7&amp;number=0.00872&amp;sourceID=14","0.00872")</f>
        <v>0.00872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HYPERLINK("http://141.218.60.56/~jnz1568/getInfo.php?workbook=10_05.xlsx&amp;sheet=U0&amp;row=9539&amp;col=6&amp;number=4.5&amp;sourceID=14","4.5")</f>
        <v>4.5</v>
      </c>
      <c r="G9539" s="4" t="str">
        <f>HYPERLINK("http://141.218.60.56/~jnz1568/getInfo.php?workbook=10_05.xlsx&amp;sheet=U0&amp;row=9539&amp;col=7&amp;number=0.00803&amp;sourceID=14","0.00803")</f>
        <v>0.00803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HYPERLINK("http://141.218.60.56/~jnz1568/getInfo.php?workbook=10_05.xlsx&amp;sheet=U0&amp;row=9540&amp;col=6&amp;number=4.6&amp;sourceID=14","4.6")</f>
        <v>4.6</v>
      </c>
      <c r="G9540" s="4" t="str">
        <f>HYPERLINK("http://141.218.60.56/~jnz1568/getInfo.php?workbook=10_05.xlsx&amp;sheet=U0&amp;row=9540&amp;col=7&amp;number=0.00743&amp;sourceID=14","0.00743")</f>
        <v>0.00743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HYPERLINK("http://141.218.60.56/~jnz1568/getInfo.php?workbook=10_05.xlsx&amp;sheet=U0&amp;row=9541&amp;col=6&amp;number=4.7&amp;sourceID=14","4.7")</f>
        <v>4.7</v>
      </c>
      <c r="G9541" s="4" t="str">
        <f>HYPERLINK("http://141.218.60.56/~jnz1568/getInfo.php?workbook=10_05.xlsx&amp;sheet=U0&amp;row=9541&amp;col=7&amp;number=0.00687&amp;sourceID=14","0.00687")</f>
        <v>0.00687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HYPERLINK("http://141.218.60.56/~jnz1568/getInfo.php?workbook=10_05.xlsx&amp;sheet=U0&amp;row=9542&amp;col=6&amp;number=4.8&amp;sourceID=14","4.8")</f>
        <v>4.8</v>
      </c>
      <c r="G9542" s="4" t="str">
        <f>HYPERLINK("http://141.218.60.56/~jnz1568/getInfo.php?workbook=10_05.xlsx&amp;sheet=U0&amp;row=9542&amp;col=7&amp;number=0.00634&amp;sourceID=14","0.00634")</f>
        <v>0.00634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HYPERLINK("http://141.218.60.56/~jnz1568/getInfo.php?workbook=10_05.xlsx&amp;sheet=U0&amp;row=9543&amp;col=6&amp;number=4.9&amp;sourceID=14","4.9")</f>
        <v>4.9</v>
      </c>
      <c r="G9543" s="4" t="str">
        <f>HYPERLINK("http://141.218.60.56/~jnz1568/getInfo.php?workbook=10_05.xlsx&amp;sheet=U0&amp;row=9543&amp;col=7&amp;number=0.00588&amp;sourceID=14","0.00588")</f>
        <v>0.00588</v>
      </c>
    </row>
    <row r="9544" spans="1:7">
      <c r="A9544" s="3">
        <v>10</v>
      </c>
      <c r="B9544" s="3">
        <v>5</v>
      </c>
      <c r="C9544" s="3">
        <v>3</v>
      </c>
      <c r="D9544" s="3">
        <v>124</v>
      </c>
      <c r="E9544" s="3">
        <v>1</v>
      </c>
      <c r="F9544" s="4" t="str">
        <f>HYPERLINK("http://141.218.60.56/~jnz1568/getInfo.php?workbook=10_05.xlsx&amp;sheet=U0&amp;row=9544&amp;col=6&amp;number=3&amp;sourceID=14","3")</f>
        <v>3</v>
      </c>
      <c r="G9544" s="4" t="str">
        <f>HYPERLINK("http://141.218.60.56/~jnz1568/getInfo.php?workbook=10_05.xlsx&amp;sheet=U0&amp;row=9544&amp;col=7&amp;number=0.0112&amp;sourceID=14","0.0112")</f>
        <v>0.0112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HYPERLINK("http://141.218.60.56/~jnz1568/getInfo.php?workbook=10_05.xlsx&amp;sheet=U0&amp;row=9545&amp;col=6&amp;number=3.1&amp;sourceID=14","3.1")</f>
        <v>3.1</v>
      </c>
      <c r="G9545" s="4" t="str">
        <f>HYPERLINK("http://141.218.60.56/~jnz1568/getInfo.php?workbook=10_05.xlsx&amp;sheet=U0&amp;row=9545&amp;col=7&amp;number=0.0111&amp;sourceID=14","0.0111")</f>
        <v>0.0111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HYPERLINK("http://141.218.60.56/~jnz1568/getInfo.php?workbook=10_05.xlsx&amp;sheet=U0&amp;row=9546&amp;col=6&amp;number=3.2&amp;sourceID=14","3.2")</f>
        <v>3.2</v>
      </c>
      <c r="G9546" s="4" t="str">
        <f>HYPERLINK("http://141.218.60.56/~jnz1568/getInfo.php?workbook=10_05.xlsx&amp;sheet=U0&amp;row=9546&amp;col=7&amp;number=0.011&amp;sourceID=14","0.011")</f>
        <v>0.011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HYPERLINK("http://141.218.60.56/~jnz1568/getInfo.php?workbook=10_05.xlsx&amp;sheet=U0&amp;row=9547&amp;col=6&amp;number=3.3&amp;sourceID=14","3.3")</f>
        <v>3.3</v>
      </c>
      <c r="G9547" s="4" t="str">
        <f>HYPERLINK("http://141.218.60.56/~jnz1568/getInfo.php?workbook=10_05.xlsx&amp;sheet=U0&amp;row=9547&amp;col=7&amp;number=0.0108&amp;sourceID=14","0.0108")</f>
        <v>0.0108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HYPERLINK("http://141.218.60.56/~jnz1568/getInfo.php?workbook=10_05.xlsx&amp;sheet=U0&amp;row=9548&amp;col=6&amp;number=3.4&amp;sourceID=14","3.4")</f>
        <v>3.4</v>
      </c>
      <c r="G9548" s="4" t="str">
        <f>HYPERLINK("http://141.218.60.56/~jnz1568/getInfo.php?workbook=10_05.xlsx&amp;sheet=U0&amp;row=9548&amp;col=7&amp;number=0.0106&amp;sourceID=14","0.0106")</f>
        <v>0.0106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HYPERLINK("http://141.218.60.56/~jnz1568/getInfo.php?workbook=10_05.xlsx&amp;sheet=U0&amp;row=9549&amp;col=6&amp;number=3.5&amp;sourceID=14","3.5")</f>
        <v>3.5</v>
      </c>
      <c r="G9549" s="4" t="str">
        <f>HYPERLINK("http://141.218.60.56/~jnz1568/getInfo.php?workbook=10_05.xlsx&amp;sheet=U0&amp;row=9549&amp;col=7&amp;number=0.0103&amp;sourceID=14","0.0103")</f>
        <v>0.0103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HYPERLINK("http://141.218.60.56/~jnz1568/getInfo.php?workbook=10_05.xlsx&amp;sheet=U0&amp;row=9550&amp;col=6&amp;number=3.6&amp;sourceID=14","3.6")</f>
        <v>3.6</v>
      </c>
      <c r="G9550" s="4" t="str">
        <f>HYPERLINK("http://141.218.60.56/~jnz1568/getInfo.php?workbook=10_05.xlsx&amp;sheet=U0&amp;row=9550&amp;col=7&amp;number=0.00999&amp;sourceID=14","0.00999")</f>
        <v>0.00999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HYPERLINK("http://141.218.60.56/~jnz1568/getInfo.php?workbook=10_05.xlsx&amp;sheet=U0&amp;row=9551&amp;col=6&amp;number=3.7&amp;sourceID=14","3.7")</f>
        <v>3.7</v>
      </c>
      <c r="G9551" s="4" t="str">
        <f>HYPERLINK("http://141.218.60.56/~jnz1568/getInfo.php?workbook=10_05.xlsx&amp;sheet=U0&amp;row=9551&amp;col=7&amp;number=0.00959&amp;sourceID=14","0.00959")</f>
        <v>0.00959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HYPERLINK("http://141.218.60.56/~jnz1568/getInfo.php?workbook=10_05.xlsx&amp;sheet=U0&amp;row=9552&amp;col=6&amp;number=3.8&amp;sourceID=14","3.8")</f>
        <v>3.8</v>
      </c>
      <c r="G9552" s="4" t="str">
        <f>HYPERLINK("http://141.218.60.56/~jnz1568/getInfo.php?workbook=10_05.xlsx&amp;sheet=U0&amp;row=9552&amp;col=7&amp;number=0.0091&amp;sourceID=14","0.0091")</f>
        <v>0.0091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HYPERLINK("http://141.218.60.56/~jnz1568/getInfo.php?workbook=10_05.xlsx&amp;sheet=U0&amp;row=9553&amp;col=6&amp;number=3.9&amp;sourceID=14","3.9")</f>
        <v>3.9</v>
      </c>
      <c r="G9553" s="4" t="str">
        <f>HYPERLINK("http://141.218.60.56/~jnz1568/getInfo.php?workbook=10_05.xlsx&amp;sheet=U0&amp;row=9553&amp;col=7&amp;number=0.00853&amp;sourceID=14","0.00853")</f>
        <v>0.00853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HYPERLINK("http://141.218.60.56/~jnz1568/getInfo.php?workbook=10_05.xlsx&amp;sheet=U0&amp;row=9554&amp;col=6&amp;number=4&amp;sourceID=14","4")</f>
        <v>4</v>
      </c>
      <c r="G9554" s="4" t="str">
        <f>HYPERLINK("http://141.218.60.56/~jnz1568/getInfo.php?workbook=10_05.xlsx&amp;sheet=U0&amp;row=9554&amp;col=7&amp;number=0.00788&amp;sourceID=14","0.00788")</f>
        <v>0.00788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HYPERLINK("http://141.218.60.56/~jnz1568/getInfo.php?workbook=10_05.xlsx&amp;sheet=U0&amp;row=9555&amp;col=6&amp;number=4.1&amp;sourceID=14","4.1")</f>
        <v>4.1</v>
      </c>
      <c r="G9555" s="4" t="str">
        <f>HYPERLINK("http://141.218.60.56/~jnz1568/getInfo.php?workbook=10_05.xlsx&amp;sheet=U0&amp;row=9555&amp;col=7&amp;number=0.00716&amp;sourceID=14","0.00716")</f>
        <v>0.00716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HYPERLINK("http://141.218.60.56/~jnz1568/getInfo.php?workbook=10_05.xlsx&amp;sheet=U0&amp;row=9556&amp;col=6&amp;number=4.2&amp;sourceID=14","4.2")</f>
        <v>4.2</v>
      </c>
      <c r="G9556" s="4" t="str">
        <f>HYPERLINK("http://141.218.60.56/~jnz1568/getInfo.php?workbook=10_05.xlsx&amp;sheet=U0&amp;row=9556&amp;col=7&amp;number=0.00644&amp;sourceID=14","0.00644")</f>
        <v>0.00644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HYPERLINK("http://141.218.60.56/~jnz1568/getInfo.php?workbook=10_05.xlsx&amp;sheet=U0&amp;row=9557&amp;col=6&amp;number=4.3&amp;sourceID=14","4.3")</f>
        <v>4.3</v>
      </c>
      <c r="G9557" s="4" t="str">
        <f>HYPERLINK("http://141.218.60.56/~jnz1568/getInfo.php?workbook=10_05.xlsx&amp;sheet=U0&amp;row=9557&amp;col=7&amp;number=0.00578&amp;sourceID=14","0.00578")</f>
        <v>0.00578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HYPERLINK("http://141.218.60.56/~jnz1568/getInfo.php?workbook=10_05.xlsx&amp;sheet=U0&amp;row=9558&amp;col=6&amp;number=4.4&amp;sourceID=14","4.4")</f>
        <v>4.4</v>
      </c>
      <c r="G9558" s="4" t="str">
        <f>HYPERLINK("http://141.218.60.56/~jnz1568/getInfo.php?workbook=10_05.xlsx&amp;sheet=U0&amp;row=9558&amp;col=7&amp;number=0.00521&amp;sourceID=14","0.00521")</f>
        <v>0.00521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HYPERLINK("http://141.218.60.56/~jnz1568/getInfo.php?workbook=10_05.xlsx&amp;sheet=U0&amp;row=9559&amp;col=6&amp;number=4.5&amp;sourceID=14","4.5")</f>
        <v>4.5</v>
      </c>
      <c r="G9559" s="4" t="str">
        <f>HYPERLINK("http://141.218.60.56/~jnz1568/getInfo.php?workbook=10_05.xlsx&amp;sheet=U0&amp;row=9559&amp;col=7&amp;number=0.00473&amp;sourceID=14","0.00473")</f>
        <v>0.00473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HYPERLINK("http://141.218.60.56/~jnz1568/getInfo.php?workbook=10_05.xlsx&amp;sheet=U0&amp;row=9560&amp;col=6&amp;number=4.6&amp;sourceID=14","4.6")</f>
        <v>4.6</v>
      </c>
      <c r="G9560" s="4" t="str">
        <f>HYPERLINK("http://141.218.60.56/~jnz1568/getInfo.php?workbook=10_05.xlsx&amp;sheet=U0&amp;row=9560&amp;col=7&amp;number=0.00431&amp;sourceID=14","0.00431")</f>
        <v>0.00431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HYPERLINK("http://141.218.60.56/~jnz1568/getInfo.php?workbook=10_05.xlsx&amp;sheet=U0&amp;row=9561&amp;col=6&amp;number=4.7&amp;sourceID=14","4.7")</f>
        <v>4.7</v>
      </c>
      <c r="G9561" s="4" t="str">
        <f>HYPERLINK("http://141.218.60.56/~jnz1568/getInfo.php?workbook=10_05.xlsx&amp;sheet=U0&amp;row=9561&amp;col=7&amp;number=0.0039&amp;sourceID=14","0.0039")</f>
        <v>0.0039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HYPERLINK("http://141.218.60.56/~jnz1568/getInfo.php?workbook=10_05.xlsx&amp;sheet=U0&amp;row=9562&amp;col=6&amp;number=4.8&amp;sourceID=14","4.8")</f>
        <v>4.8</v>
      </c>
      <c r="G9562" s="4" t="str">
        <f>HYPERLINK("http://141.218.60.56/~jnz1568/getInfo.php?workbook=10_05.xlsx&amp;sheet=U0&amp;row=9562&amp;col=7&amp;number=0.00354&amp;sourceID=14","0.00354")</f>
        <v>0.00354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HYPERLINK("http://141.218.60.56/~jnz1568/getInfo.php?workbook=10_05.xlsx&amp;sheet=U0&amp;row=9563&amp;col=6&amp;number=4.9&amp;sourceID=14","4.9")</f>
        <v>4.9</v>
      </c>
      <c r="G9563" s="4" t="str">
        <f>HYPERLINK("http://141.218.60.56/~jnz1568/getInfo.php?workbook=10_05.xlsx&amp;sheet=U0&amp;row=9563&amp;col=7&amp;number=0.00323&amp;sourceID=14","0.00323")</f>
        <v>0.00323</v>
      </c>
    </row>
    <row r="9564" spans="1:7">
      <c r="A9564" s="3">
        <v>10</v>
      </c>
      <c r="B9564" s="3">
        <v>5</v>
      </c>
      <c r="C9564" s="3">
        <v>3</v>
      </c>
      <c r="D9564" s="3">
        <v>125</v>
      </c>
      <c r="E9564" s="3">
        <v>1</v>
      </c>
      <c r="F9564" s="4" t="str">
        <f>HYPERLINK("http://141.218.60.56/~jnz1568/getInfo.php?workbook=10_05.xlsx&amp;sheet=U0&amp;row=9564&amp;col=6&amp;number=3&amp;sourceID=14","3")</f>
        <v>3</v>
      </c>
      <c r="G9564" s="4" t="str">
        <f>HYPERLINK("http://141.218.60.56/~jnz1568/getInfo.php?workbook=10_05.xlsx&amp;sheet=U0&amp;row=9564&amp;col=7&amp;number=0.0121&amp;sourceID=14","0.0121")</f>
        <v>0.0121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HYPERLINK("http://141.218.60.56/~jnz1568/getInfo.php?workbook=10_05.xlsx&amp;sheet=U0&amp;row=9565&amp;col=6&amp;number=3.1&amp;sourceID=14","3.1")</f>
        <v>3.1</v>
      </c>
      <c r="G9565" s="4" t="str">
        <f>HYPERLINK("http://141.218.60.56/~jnz1568/getInfo.php?workbook=10_05.xlsx&amp;sheet=U0&amp;row=9565&amp;col=7&amp;number=0.012&amp;sourceID=14","0.012")</f>
        <v>0.012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HYPERLINK("http://141.218.60.56/~jnz1568/getInfo.php?workbook=10_05.xlsx&amp;sheet=U0&amp;row=9566&amp;col=6&amp;number=3.2&amp;sourceID=14","3.2")</f>
        <v>3.2</v>
      </c>
      <c r="G9566" s="4" t="str">
        <f>HYPERLINK("http://141.218.60.56/~jnz1568/getInfo.php?workbook=10_05.xlsx&amp;sheet=U0&amp;row=9566&amp;col=7&amp;number=0.0119&amp;sourceID=14","0.0119")</f>
        <v>0.0119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HYPERLINK("http://141.218.60.56/~jnz1568/getInfo.php?workbook=10_05.xlsx&amp;sheet=U0&amp;row=9567&amp;col=6&amp;number=3.3&amp;sourceID=14","3.3")</f>
        <v>3.3</v>
      </c>
      <c r="G9567" s="4" t="str">
        <f>HYPERLINK("http://141.218.60.56/~jnz1568/getInfo.php?workbook=10_05.xlsx&amp;sheet=U0&amp;row=9567&amp;col=7&amp;number=0.0118&amp;sourceID=14","0.0118")</f>
        <v>0.0118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HYPERLINK("http://141.218.60.56/~jnz1568/getInfo.php?workbook=10_05.xlsx&amp;sheet=U0&amp;row=9568&amp;col=6&amp;number=3.4&amp;sourceID=14","3.4")</f>
        <v>3.4</v>
      </c>
      <c r="G9568" s="4" t="str">
        <f>HYPERLINK("http://141.218.60.56/~jnz1568/getInfo.php?workbook=10_05.xlsx&amp;sheet=U0&amp;row=9568&amp;col=7&amp;number=0.0116&amp;sourceID=14","0.0116")</f>
        <v>0.0116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HYPERLINK("http://141.218.60.56/~jnz1568/getInfo.php?workbook=10_05.xlsx&amp;sheet=U0&amp;row=9569&amp;col=6&amp;number=3.5&amp;sourceID=14","3.5")</f>
        <v>3.5</v>
      </c>
      <c r="G9569" s="4" t="str">
        <f>HYPERLINK("http://141.218.60.56/~jnz1568/getInfo.php?workbook=10_05.xlsx&amp;sheet=U0&amp;row=9569&amp;col=7&amp;number=0.0114&amp;sourceID=14","0.0114")</f>
        <v>0.0114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HYPERLINK("http://141.218.60.56/~jnz1568/getInfo.php?workbook=10_05.xlsx&amp;sheet=U0&amp;row=9570&amp;col=6&amp;number=3.6&amp;sourceID=14","3.6")</f>
        <v>3.6</v>
      </c>
      <c r="G9570" s="4" t="str">
        <f>HYPERLINK("http://141.218.60.56/~jnz1568/getInfo.php?workbook=10_05.xlsx&amp;sheet=U0&amp;row=9570&amp;col=7&amp;number=0.0112&amp;sourceID=14","0.0112")</f>
        <v>0.0112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HYPERLINK("http://141.218.60.56/~jnz1568/getInfo.php?workbook=10_05.xlsx&amp;sheet=U0&amp;row=9571&amp;col=6&amp;number=3.7&amp;sourceID=14","3.7")</f>
        <v>3.7</v>
      </c>
      <c r="G9571" s="4" t="str">
        <f>HYPERLINK("http://141.218.60.56/~jnz1568/getInfo.php?workbook=10_05.xlsx&amp;sheet=U0&amp;row=9571&amp;col=7&amp;number=0.0109&amp;sourceID=14","0.0109")</f>
        <v>0.0109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HYPERLINK("http://141.218.60.56/~jnz1568/getInfo.php?workbook=10_05.xlsx&amp;sheet=U0&amp;row=9572&amp;col=6&amp;number=3.8&amp;sourceID=14","3.8")</f>
        <v>3.8</v>
      </c>
      <c r="G9572" s="4" t="str">
        <f>HYPERLINK("http://141.218.60.56/~jnz1568/getInfo.php?workbook=10_05.xlsx&amp;sheet=U0&amp;row=9572&amp;col=7&amp;number=0.0105&amp;sourceID=14","0.0105")</f>
        <v>0.0105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HYPERLINK("http://141.218.60.56/~jnz1568/getInfo.php?workbook=10_05.xlsx&amp;sheet=U0&amp;row=9573&amp;col=6&amp;number=3.9&amp;sourceID=14","3.9")</f>
        <v>3.9</v>
      </c>
      <c r="G9573" s="4" t="str">
        <f>HYPERLINK("http://141.218.60.56/~jnz1568/getInfo.php?workbook=10_05.xlsx&amp;sheet=U0&amp;row=9573&amp;col=7&amp;number=0.01&amp;sourceID=14","0.01")</f>
        <v>0.01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HYPERLINK("http://141.218.60.56/~jnz1568/getInfo.php?workbook=10_05.xlsx&amp;sheet=U0&amp;row=9574&amp;col=6&amp;number=4&amp;sourceID=14","4")</f>
        <v>4</v>
      </c>
      <c r="G9574" s="4" t="str">
        <f>HYPERLINK("http://141.218.60.56/~jnz1568/getInfo.php?workbook=10_05.xlsx&amp;sheet=U0&amp;row=9574&amp;col=7&amp;number=0.00952&amp;sourceID=14","0.00952")</f>
        <v>0.00952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HYPERLINK("http://141.218.60.56/~jnz1568/getInfo.php?workbook=10_05.xlsx&amp;sheet=U0&amp;row=9575&amp;col=6&amp;number=4.1&amp;sourceID=14","4.1")</f>
        <v>4.1</v>
      </c>
      <c r="G9575" s="4" t="str">
        <f>HYPERLINK("http://141.218.60.56/~jnz1568/getInfo.php?workbook=10_05.xlsx&amp;sheet=U0&amp;row=9575&amp;col=7&amp;number=0.00897&amp;sourceID=14","0.00897")</f>
        <v>0.00897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HYPERLINK("http://141.218.60.56/~jnz1568/getInfo.php?workbook=10_05.xlsx&amp;sheet=U0&amp;row=9576&amp;col=6&amp;number=4.2&amp;sourceID=14","4.2")</f>
        <v>4.2</v>
      </c>
      <c r="G9576" s="4" t="str">
        <f>HYPERLINK("http://141.218.60.56/~jnz1568/getInfo.php?workbook=10_05.xlsx&amp;sheet=U0&amp;row=9576&amp;col=7&amp;number=0.00841&amp;sourceID=14","0.00841")</f>
        <v>0.00841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HYPERLINK("http://141.218.60.56/~jnz1568/getInfo.php?workbook=10_05.xlsx&amp;sheet=U0&amp;row=9577&amp;col=6&amp;number=4.3&amp;sourceID=14","4.3")</f>
        <v>4.3</v>
      </c>
      <c r="G9577" s="4" t="str">
        <f>HYPERLINK("http://141.218.60.56/~jnz1568/getInfo.php?workbook=10_05.xlsx&amp;sheet=U0&amp;row=9577&amp;col=7&amp;number=0.00791&amp;sourceID=14","0.00791")</f>
        <v>0.00791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HYPERLINK("http://141.218.60.56/~jnz1568/getInfo.php?workbook=10_05.xlsx&amp;sheet=U0&amp;row=9578&amp;col=6&amp;number=4.4&amp;sourceID=14","4.4")</f>
        <v>4.4</v>
      </c>
      <c r="G9578" s="4" t="str">
        <f>HYPERLINK("http://141.218.60.56/~jnz1568/getInfo.php?workbook=10_05.xlsx&amp;sheet=U0&amp;row=9578&amp;col=7&amp;number=0.00747&amp;sourceID=14","0.00747")</f>
        <v>0.00747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HYPERLINK("http://141.218.60.56/~jnz1568/getInfo.php?workbook=10_05.xlsx&amp;sheet=U0&amp;row=9579&amp;col=6&amp;number=4.5&amp;sourceID=14","4.5")</f>
        <v>4.5</v>
      </c>
      <c r="G9579" s="4" t="str">
        <f>HYPERLINK("http://141.218.60.56/~jnz1568/getInfo.php?workbook=10_05.xlsx&amp;sheet=U0&amp;row=9579&amp;col=7&amp;number=0.00711&amp;sourceID=14","0.00711")</f>
        <v>0.00711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HYPERLINK("http://141.218.60.56/~jnz1568/getInfo.php?workbook=10_05.xlsx&amp;sheet=U0&amp;row=9580&amp;col=6&amp;number=4.6&amp;sourceID=14","4.6")</f>
        <v>4.6</v>
      </c>
      <c r="G9580" s="4" t="str">
        <f>HYPERLINK("http://141.218.60.56/~jnz1568/getInfo.php?workbook=10_05.xlsx&amp;sheet=U0&amp;row=9580&amp;col=7&amp;number=0.00675&amp;sourceID=14","0.00675")</f>
        <v>0.00675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HYPERLINK("http://141.218.60.56/~jnz1568/getInfo.php?workbook=10_05.xlsx&amp;sheet=U0&amp;row=9581&amp;col=6&amp;number=4.7&amp;sourceID=14","4.7")</f>
        <v>4.7</v>
      </c>
      <c r="G9581" s="4" t="str">
        <f>HYPERLINK("http://141.218.60.56/~jnz1568/getInfo.php?workbook=10_05.xlsx&amp;sheet=U0&amp;row=9581&amp;col=7&amp;number=0.00638&amp;sourceID=14","0.00638")</f>
        <v>0.00638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HYPERLINK("http://141.218.60.56/~jnz1568/getInfo.php?workbook=10_05.xlsx&amp;sheet=U0&amp;row=9582&amp;col=6&amp;number=4.8&amp;sourceID=14","4.8")</f>
        <v>4.8</v>
      </c>
      <c r="G9582" s="4" t="str">
        <f>HYPERLINK("http://141.218.60.56/~jnz1568/getInfo.php?workbook=10_05.xlsx&amp;sheet=U0&amp;row=9582&amp;col=7&amp;number=0.00602&amp;sourceID=14","0.00602")</f>
        <v>0.00602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HYPERLINK("http://141.218.60.56/~jnz1568/getInfo.php?workbook=10_05.xlsx&amp;sheet=U0&amp;row=9583&amp;col=6&amp;number=4.9&amp;sourceID=14","4.9")</f>
        <v>4.9</v>
      </c>
      <c r="G9583" s="4" t="str">
        <f>HYPERLINK("http://141.218.60.56/~jnz1568/getInfo.php?workbook=10_05.xlsx&amp;sheet=U0&amp;row=9583&amp;col=7&amp;number=0.0057&amp;sourceID=14","0.0057")</f>
        <v>0.0057</v>
      </c>
    </row>
    <row r="9584" spans="1:7">
      <c r="A9584" s="3">
        <v>10</v>
      </c>
      <c r="B9584" s="3">
        <v>5</v>
      </c>
      <c r="C9584" s="3">
        <v>3</v>
      </c>
      <c r="D9584" s="3">
        <v>126</v>
      </c>
      <c r="E9584" s="3">
        <v>1</v>
      </c>
      <c r="F9584" s="4" t="str">
        <f>HYPERLINK("http://141.218.60.56/~jnz1568/getInfo.php?workbook=10_05.xlsx&amp;sheet=U0&amp;row=9584&amp;col=6&amp;number=3&amp;sourceID=14","3")</f>
        <v>3</v>
      </c>
      <c r="G9584" s="4" t="str">
        <f>HYPERLINK("http://141.218.60.56/~jnz1568/getInfo.php?workbook=10_05.xlsx&amp;sheet=U0&amp;row=9584&amp;col=7&amp;number=0.0139&amp;sourceID=14","0.0139")</f>
        <v>0.0139</v>
      </c>
    </row>
    <row r="9585" spans="1:7">
      <c r="A9585" s="3"/>
      <c r="B9585" s="3"/>
      <c r="C9585" s="3"/>
      <c r="D9585" s="3"/>
      <c r="E9585" s="3">
        <v>2</v>
      </c>
      <c r="F9585" s="4" t="str">
        <f>HYPERLINK("http://141.218.60.56/~jnz1568/getInfo.php?workbook=10_05.xlsx&amp;sheet=U0&amp;row=9585&amp;col=6&amp;number=3.1&amp;sourceID=14","3.1")</f>
        <v>3.1</v>
      </c>
      <c r="G9585" s="4" t="str">
        <f>HYPERLINK("http://141.218.60.56/~jnz1568/getInfo.php?workbook=10_05.xlsx&amp;sheet=U0&amp;row=9585&amp;col=7&amp;number=0.0137&amp;sourceID=14","0.0137")</f>
        <v>0.0137</v>
      </c>
    </row>
    <row r="9586" spans="1:7">
      <c r="A9586" s="3"/>
      <c r="B9586" s="3"/>
      <c r="C9586" s="3"/>
      <c r="D9586" s="3"/>
      <c r="E9586" s="3">
        <v>3</v>
      </c>
      <c r="F9586" s="4" t="str">
        <f>HYPERLINK("http://141.218.60.56/~jnz1568/getInfo.php?workbook=10_05.xlsx&amp;sheet=U0&amp;row=9586&amp;col=6&amp;number=3.2&amp;sourceID=14","3.2")</f>
        <v>3.2</v>
      </c>
      <c r="G9586" s="4" t="str">
        <f>HYPERLINK("http://141.218.60.56/~jnz1568/getInfo.php?workbook=10_05.xlsx&amp;sheet=U0&amp;row=9586&amp;col=7&amp;number=0.0135&amp;sourceID=14","0.0135")</f>
        <v>0.0135</v>
      </c>
    </row>
    <row r="9587" spans="1:7">
      <c r="A9587" s="3"/>
      <c r="B9587" s="3"/>
      <c r="C9587" s="3"/>
      <c r="D9587" s="3"/>
      <c r="E9587" s="3">
        <v>4</v>
      </c>
      <c r="F9587" s="4" t="str">
        <f>HYPERLINK("http://141.218.60.56/~jnz1568/getInfo.php?workbook=10_05.xlsx&amp;sheet=U0&amp;row=9587&amp;col=6&amp;number=3.3&amp;sourceID=14","3.3")</f>
        <v>3.3</v>
      </c>
      <c r="G9587" s="4" t="str">
        <f>HYPERLINK("http://141.218.60.56/~jnz1568/getInfo.php?workbook=10_05.xlsx&amp;sheet=U0&amp;row=9587&amp;col=7&amp;number=0.0133&amp;sourceID=14","0.0133")</f>
        <v>0.0133</v>
      </c>
    </row>
    <row r="9588" spans="1:7">
      <c r="A9588" s="3"/>
      <c r="B9588" s="3"/>
      <c r="C9588" s="3"/>
      <c r="D9588" s="3"/>
      <c r="E9588" s="3">
        <v>5</v>
      </c>
      <c r="F9588" s="4" t="str">
        <f>HYPERLINK("http://141.218.60.56/~jnz1568/getInfo.php?workbook=10_05.xlsx&amp;sheet=U0&amp;row=9588&amp;col=6&amp;number=3.4&amp;sourceID=14","3.4")</f>
        <v>3.4</v>
      </c>
      <c r="G9588" s="4" t="str">
        <f>HYPERLINK("http://141.218.60.56/~jnz1568/getInfo.php?workbook=10_05.xlsx&amp;sheet=U0&amp;row=9588&amp;col=7&amp;number=0.013&amp;sourceID=14","0.013")</f>
        <v>0.013</v>
      </c>
    </row>
    <row r="9589" spans="1:7">
      <c r="A9589" s="3"/>
      <c r="B9589" s="3"/>
      <c r="C9589" s="3"/>
      <c r="D9589" s="3"/>
      <c r="E9589" s="3">
        <v>6</v>
      </c>
      <c r="F9589" s="4" t="str">
        <f>HYPERLINK("http://141.218.60.56/~jnz1568/getInfo.php?workbook=10_05.xlsx&amp;sheet=U0&amp;row=9589&amp;col=6&amp;number=3.5&amp;sourceID=14","3.5")</f>
        <v>3.5</v>
      </c>
      <c r="G9589" s="4" t="str">
        <f>HYPERLINK("http://141.218.60.56/~jnz1568/getInfo.php?workbook=10_05.xlsx&amp;sheet=U0&amp;row=9589&amp;col=7&amp;number=0.0126&amp;sourceID=14","0.0126")</f>
        <v>0.0126</v>
      </c>
    </row>
    <row r="9590" spans="1:7">
      <c r="A9590" s="3"/>
      <c r="B9590" s="3"/>
      <c r="C9590" s="3"/>
      <c r="D9590" s="3"/>
      <c r="E9590" s="3">
        <v>7</v>
      </c>
      <c r="F9590" s="4" t="str">
        <f>HYPERLINK("http://141.218.60.56/~jnz1568/getInfo.php?workbook=10_05.xlsx&amp;sheet=U0&amp;row=9590&amp;col=6&amp;number=3.6&amp;sourceID=14","3.6")</f>
        <v>3.6</v>
      </c>
      <c r="G9590" s="4" t="str">
        <f>HYPERLINK("http://141.218.60.56/~jnz1568/getInfo.php?workbook=10_05.xlsx&amp;sheet=U0&amp;row=9590&amp;col=7&amp;number=0.0121&amp;sourceID=14","0.0121")</f>
        <v>0.0121</v>
      </c>
    </row>
    <row r="9591" spans="1:7">
      <c r="A9591" s="3"/>
      <c r="B9591" s="3"/>
      <c r="C9591" s="3"/>
      <c r="D9591" s="3"/>
      <c r="E9591" s="3">
        <v>8</v>
      </c>
      <c r="F9591" s="4" t="str">
        <f>HYPERLINK("http://141.218.60.56/~jnz1568/getInfo.php?workbook=10_05.xlsx&amp;sheet=U0&amp;row=9591&amp;col=6&amp;number=3.7&amp;sourceID=14","3.7")</f>
        <v>3.7</v>
      </c>
      <c r="G9591" s="4" t="str">
        <f>HYPERLINK("http://141.218.60.56/~jnz1568/getInfo.php?workbook=10_05.xlsx&amp;sheet=U0&amp;row=9591&amp;col=7&amp;number=0.0116&amp;sourceID=14","0.0116")</f>
        <v>0.0116</v>
      </c>
    </row>
    <row r="9592" spans="1:7">
      <c r="A9592" s="3"/>
      <c r="B9592" s="3"/>
      <c r="C9592" s="3"/>
      <c r="D9592" s="3"/>
      <c r="E9592" s="3">
        <v>9</v>
      </c>
      <c r="F9592" s="4" t="str">
        <f>HYPERLINK("http://141.218.60.56/~jnz1568/getInfo.php?workbook=10_05.xlsx&amp;sheet=U0&amp;row=9592&amp;col=6&amp;number=3.8&amp;sourceID=14","3.8")</f>
        <v>3.8</v>
      </c>
      <c r="G9592" s="4" t="str">
        <f>HYPERLINK("http://141.218.60.56/~jnz1568/getInfo.php?workbook=10_05.xlsx&amp;sheet=U0&amp;row=9592&amp;col=7&amp;number=0.0109&amp;sourceID=14","0.0109")</f>
        <v>0.0109</v>
      </c>
    </row>
    <row r="9593" spans="1:7">
      <c r="A9593" s="3"/>
      <c r="B9593" s="3"/>
      <c r="C9593" s="3"/>
      <c r="D9593" s="3"/>
      <c r="E9593" s="3">
        <v>10</v>
      </c>
      <c r="F9593" s="4" t="str">
        <f>HYPERLINK("http://141.218.60.56/~jnz1568/getInfo.php?workbook=10_05.xlsx&amp;sheet=U0&amp;row=9593&amp;col=6&amp;number=3.9&amp;sourceID=14","3.9")</f>
        <v>3.9</v>
      </c>
      <c r="G9593" s="4" t="str">
        <f>HYPERLINK("http://141.218.60.56/~jnz1568/getInfo.php?workbook=10_05.xlsx&amp;sheet=U0&amp;row=9593&amp;col=7&amp;number=0.0102&amp;sourceID=14","0.0102")</f>
        <v>0.0102</v>
      </c>
    </row>
    <row r="9594" spans="1:7">
      <c r="A9594" s="3"/>
      <c r="B9594" s="3"/>
      <c r="C9594" s="3"/>
      <c r="D9594" s="3"/>
      <c r="E9594" s="3">
        <v>11</v>
      </c>
      <c r="F9594" s="4" t="str">
        <f>HYPERLINK("http://141.218.60.56/~jnz1568/getInfo.php?workbook=10_05.xlsx&amp;sheet=U0&amp;row=9594&amp;col=6&amp;number=4&amp;sourceID=14","4")</f>
        <v>4</v>
      </c>
      <c r="G9594" s="4" t="str">
        <f>HYPERLINK("http://141.218.60.56/~jnz1568/getInfo.php?workbook=10_05.xlsx&amp;sheet=U0&amp;row=9594&amp;col=7&amp;number=0.00935&amp;sourceID=14","0.00935")</f>
        <v>0.00935</v>
      </c>
    </row>
    <row r="9595" spans="1:7">
      <c r="A9595" s="3"/>
      <c r="B9595" s="3"/>
      <c r="C9595" s="3"/>
      <c r="D9595" s="3"/>
      <c r="E9595" s="3">
        <v>12</v>
      </c>
      <c r="F9595" s="4" t="str">
        <f>HYPERLINK("http://141.218.60.56/~jnz1568/getInfo.php?workbook=10_05.xlsx&amp;sheet=U0&amp;row=9595&amp;col=6&amp;number=4.1&amp;sourceID=14","4.1")</f>
        <v>4.1</v>
      </c>
      <c r="G9595" s="4" t="str">
        <f>HYPERLINK("http://141.218.60.56/~jnz1568/getInfo.php?workbook=10_05.xlsx&amp;sheet=U0&amp;row=9595&amp;col=7&amp;number=0.00852&amp;sourceID=14","0.00852")</f>
        <v>0.00852</v>
      </c>
    </row>
    <row r="9596" spans="1:7">
      <c r="A9596" s="3"/>
      <c r="B9596" s="3"/>
      <c r="C9596" s="3"/>
      <c r="D9596" s="3"/>
      <c r="E9596" s="3">
        <v>13</v>
      </c>
      <c r="F9596" s="4" t="str">
        <f>HYPERLINK("http://141.218.60.56/~jnz1568/getInfo.php?workbook=10_05.xlsx&amp;sheet=U0&amp;row=9596&amp;col=6&amp;number=4.2&amp;sourceID=14","4.2")</f>
        <v>4.2</v>
      </c>
      <c r="G9596" s="4" t="str">
        <f>HYPERLINK("http://141.218.60.56/~jnz1568/getInfo.php?workbook=10_05.xlsx&amp;sheet=U0&amp;row=9596&amp;col=7&amp;number=0.00778&amp;sourceID=14","0.00778")</f>
        <v>0.00778</v>
      </c>
    </row>
    <row r="9597" spans="1:7">
      <c r="A9597" s="3"/>
      <c r="B9597" s="3"/>
      <c r="C9597" s="3"/>
      <c r="D9597" s="3"/>
      <c r="E9597" s="3">
        <v>14</v>
      </c>
      <c r="F9597" s="4" t="str">
        <f>HYPERLINK("http://141.218.60.56/~jnz1568/getInfo.php?workbook=10_05.xlsx&amp;sheet=U0&amp;row=9597&amp;col=6&amp;number=4.3&amp;sourceID=14","4.3")</f>
        <v>4.3</v>
      </c>
      <c r="G9597" s="4" t="str">
        <f>HYPERLINK("http://141.218.60.56/~jnz1568/getInfo.php?workbook=10_05.xlsx&amp;sheet=U0&amp;row=9597&amp;col=7&amp;number=0.00718&amp;sourceID=14","0.00718")</f>
        <v>0.00718</v>
      </c>
    </row>
    <row r="9598" spans="1:7">
      <c r="A9598" s="3"/>
      <c r="B9598" s="3"/>
      <c r="C9598" s="3"/>
      <c r="D9598" s="3"/>
      <c r="E9598" s="3">
        <v>15</v>
      </c>
      <c r="F9598" s="4" t="str">
        <f>HYPERLINK("http://141.218.60.56/~jnz1568/getInfo.php?workbook=10_05.xlsx&amp;sheet=U0&amp;row=9598&amp;col=6&amp;number=4.4&amp;sourceID=14","4.4")</f>
        <v>4.4</v>
      </c>
      <c r="G9598" s="4" t="str">
        <f>HYPERLINK("http://141.218.60.56/~jnz1568/getInfo.php?workbook=10_05.xlsx&amp;sheet=U0&amp;row=9598&amp;col=7&amp;number=0.00672&amp;sourceID=14","0.00672")</f>
        <v>0.00672</v>
      </c>
    </row>
    <row r="9599" spans="1:7">
      <c r="A9599" s="3"/>
      <c r="B9599" s="3"/>
      <c r="C9599" s="3"/>
      <c r="D9599" s="3"/>
      <c r="E9599" s="3">
        <v>16</v>
      </c>
      <c r="F9599" s="4" t="str">
        <f>HYPERLINK("http://141.218.60.56/~jnz1568/getInfo.php?workbook=10_05.xlsx&amp;sheet=U0&amp;row=9599&amp;col=6&amp;number=4.5&amp;sourceID=14","4.5")</f>
        <v>4.5</v>
      </c>
      <c r="G9599" s="4" t="str">
        <f>HYPERLINK("http://141.218.60.56/~jnz1568/getInfo.php?workbook=10_05.xlsx&amp;sheet=U0&amp;row=9599&amp;col=7&amp;number=0.00631&amp;sourceID=14","0.00631")</f>
        <v>0.00631</v>
      </c>
    </row>
    <row r="9600" spans="1:7">
      <c r="A9600" s="3"/>
      <c r="B9600" s="3"/>
      <c r="C9600" s="3"/>
      <c r="D9600" s="3"/>
      <c r="E9600" s="3">
        <v>17</v>
      </c>
      <c r="F9600" s="4" t="str">
        <f>HYPERLINK("http://141.218.60.56/~jnz1568/getInfo.php?workbook=10_05.xlsx&amp;sheet=U0&amp;row=9600&amp;col=6&amp;number=4.6&amp;sourceID=14","4.6")</f>
        <v>4.6</v>
      </c>
      <c r="G9600" s="4" t="str">
        <f>HYPERLINK("http://141.218.60.56/~jnz1568/getInfo.php?workbook=10_05.xlsx&amp;sheet=U0&amp;row=9600&amp;col=7&amp;number=0.00582&amp;sourceID=14","0.00582")</f>
        <v>0.00582</v>
      </c>
    </row>
    <row r="9601" spans="1:7">
      <c r="A9601" s="3"/>
      <c r="B9601" s="3"/>
      <c r="C9601" s="3"/>
      <c r="D9601" s="3"/>
      <c r="E9601" s="3">
        <v>18</v>
      </c>
      <c r="F9601" s="4" t="str">
        <f>HYPERLINK("http://141.218.60.56/~jnz1568/getInfo.php?workbook=10_05.xlsx&amp;sheet=U0&amp;row=9601&amp;col=6&amp;number=4.7&amp;sourceID=14","4.7")</f>
        <v>4.7</v>
      </c>
      <c r="G9601" s="4" t="str">
        <f>HYPERLINK("http://141.218.60.56/~jnz1568/getInfo.php?workbook=10_05.xlsx&amp;sheet=U0&amp;row=9601&amp;col=7&amp;number=0.00534&amp;sourceID=14","0.00534")</f>
        <v>0.00534</v>
      </c>
    </row>
    <row r="9602" spans="1:7">
      <c r="A9602" s="3"/>
      <c r="B9602" s="3"/>
      <c r="C9602" s="3"/>
      <c r="D9602" s="3"/>
      <c r="E9602" s="3">
        <v>19</v>
      </c>
      <c r="F9602" s="4" t="str">
        <f>HYPERLINK("http://141.218.60.56/~jnz1568/getInfo.php?workbook=10_05.xlsx&amp;sheet=U0&amp;row=9602&amp;col=6&amp;number=4.8&amp;sourceID=14","4.8")</f>
        <v>4.8</v>
      </c>
      <c r="G9602" s="4" t="str">
        <f>HYPERLINK("http://141.218.60.56/~jnz1568/getInfo.php?workbook=10_05.xlsx&amp;sheet=U0&amp;row=9602&amp;col=7&amp;number=0.00497&amp;sourceID=14","0.00497")</f>
        <v>0.00497</v>
      </c>
    </row>
    <row r="9603" spans="1:7">
      <c r="A9603" s="3"/>
      <c r="B9603" s="3"/>
      <c r="C9603" s="3"/>
      <c r="D9603" s="3"/>
      <c r="E9603" s="3">
        <v>20</v>
      </c>
      <c r="F9603" s="4" t="str">
        <f>HYPERLINK("http://141.218.60.56/~jnz1568/getInfo.php?workbook=10_05.xlsx&amp;sheet=U0&amp;row=9603&amp;col=6&amp;number=4.9&amp;sourceID=14","4.9")</f>
        <v>4.9</v>
      </c>
      <c r="G9603" s="4" t="str">
        <f>HYPERLINK("http://141.218.60.56/~jnz1568/getInfo.php?workbook=10_05.xlsx&amp;sheet=U0&amp;row=9603&amp;col=7&amp;number=0.0047&amp;sourceID=14","0.0047")</f>
        <v>0.0047</v>
      </c>
    </row>
    <row r="9604" spans="1:7">
      <c r="A9604" s="3">
        <v>10</v>
      </c>
      <c r="B9604" s="3">
        <v>5</v>
      </c>
      <c r="C9604" s="3">
        <v>3</v>
      </c>
      <c r="D9604" s="3">
        <v>127</v>
      </c>
      <c r="E9604" s="3">
        <v>1</v>
      </c>
      <c r="F9604" s="4" t="str">
        <f>HYPERLINK("http://141.218.60.56/~jnz1568/getInfo.php?workbook=10_05.xlsx&amp;sheet=U0&amp;row=9604&amp;col=6&amp;number=3&amp;sourceID=14","3")</f>
        <v>3</v>
      </c>
      <c r="G9604" s="4" t="str">
        <f>HYPERLINK("http://141.218.60.56/~jnz1568/getInfo.php?workbook=10_05.xlsx&amp;sheet=U0&amp;row=9604&amp;col=7&amp;number=0.00183&amp;sourceID=14","0.00183")</f>
        <v>0.00183</v>
      </c>
    </row>
    <row r="9605" spans="1:7">
      <c r="A9605" s="3"/>
      <c r="B9605" s="3"/>
      <c r="C9605" s="3"/>
      <c r="D9605" s="3"/>
      <c r="E9605" s="3">
        <v>2</v>
      </c>
      <c r="F9605" s="4" t="str">
        <f>HYPERLINK("http://141.218.60.56/~jnz1568/getInfo.php?workbook=10_05.xlsx&amp;sheet=U0&amp;row=9605&amp;col=6&amp;number=3.1&amp;sourceID=14","3.1")</f>
        <v>3.1</v>
      </c>
      <c r="G9605" s="4" t="str">
        <f>HYPERLINK("http://141.218.60.56/~jnz1568/getInfo.php?workbook=10_05.xlsx&amp;sheet=U0&amp;row=9605&amp;col=7&amp;number=0.00182&amp;sourceID=14","0.00182")</f>
        <v>0.00182</v>
      </c>
    </row>
    <row r="9606" spans="1:7">
      <c r="A9606" s="3"/>
      <c r="B9606" s="3"/>
      <c r="C9606" s="3"/>
      <c r="D9606" s="3"/>
      <c r="E9606" s="3">
        <v>3</v>
      </c>
      <c r="F9606" s="4" t="str">
        <f>HYPERLINK("http://141.218.60.56/~jnz1568/getInfo.php?workbook=10_05.xlsx&amp;sheet=U0&amp;row=9606&amp;col=6&amp;number=3.2&amp;sourceID=14","3.2")</f>
        <v>3.2</v>
      </c>
      <c r="G9606" s="4" t="str">
        <f>HYPERLINK("http://141.218.60.56/~jnz1568/getInfo.php?workbook=10_05.xlsx&amp;sheet=U0&amp;row=9606&amp;col=7&amp;number=0.0018&amp;sourceID=14","0.0018")</f>
        <v>0.0018</v>
      </c>
    </row>
    <row r="9607" spans="1:7">
      <c r="A9607" s="3"/>
      <c r="B9607" s="3"/>
      <c r="C9607" s="3"/>
      <c r="D9607" s="3"/>
      <c r="E9607" s="3">
        <v>4</v>
      </c>
      <c r="F9607" s="4" t="str">
        <f>HYPERLINK("http://141.218.60.56/~jnz1568/getInfo.php?workbook=10_05.xlsx&amp;sheet=U0&amp;row=9607&amp;col=6&amp;number=3.3&amp;sourceID=14","3.3")</f>
        <v>3.3</v>
      </c>
      <c r="G9607" s="4" t="str">
        <f>HYPERLINK("http://141.218.60.56/~jnz1568/getInfo.php?workbook=10_05.xlsx&amp;sheet=U0&amp;row=9607&amp;col=7&amp;number=0.00179&amp;sourceID=14","0.00179")</f>
        <v>0.00179</v>
      </c>
    </row>
    <row r="9608" spans="1:7">
      <c r="A9608" s="3"/>
      <c r="B9608" s="3"/>
      <c r="C9608" s="3"/>
      <c r="D9608" s="3"/>
      <c r="E9608" s="3">
        <v>5</v>
      </c>
      <c r="F9608" s="4" t="str">
        <f>HYPERLINK("http://141.218.60.56/~jnz1568/getInfo.php?workbook=10_05.xlsx&amp;sheet=U0&amp;row=9608&amp;col=6&amp;number=3.4&amp;sourceID=14","3.4")</f>
        <v>3.4</v>
      </c>
      <c r="G9608" s="4" t="str">
        <f>HYPERLINK("http://141.218.60.56/~jnz1568/getInfo.php?workbook=10_05.xlsx&amp;sheet=U0&amp;row=9608&amp;col=7&amp;number=0.00177&amp;sourceID=14","0.00177")</f>
        <v>0.00177</v>
      </c>
    </row>
    <row r="9609" spans="1:7">
      <c r="A9609" s="3"/>
      <c r="B9609" s="3"/>
      <c r="C9609" s="3"/>
      <c r="D9609" s="3"/>
      <c r="E9609" s="3">
        <v>6</v>
      </c>
      <c r="F9609" s="4" t="str">
        <f>HYPERLINK("http://141.218.60.56/~jnz1568/getInfo.php?workbook=10_05.xlsx&amp;sheet=U0&amp;row=9609&amp;col=6&amp;number=3.5&amp;sourceID=14","3.5")</f>
        <v>3.5</v>
      </c>
      <c r="G9609" s="4" t="str">
        <f>HYPERLINK("http://141.218.60.56/~jnz1568/getInfo.php?workbook=10_05.xlsx&amp;sheet=U0&amp;row=9609&amp;col=7&amp;number=0.00174&amp;sourceID=14","0.00174")</f>
        <v>0.00174</v>
      </c>
    </row>
    <row r="9610" spans="1:7">
      <c r="A9610" s="3"/>
      <c r="B9610" s="3"/>
      <c r="C9610" s="3"/>
      <c r="D9610" s="3"/>
      <c r="E9610" s="3">
        <v>7</v>
      </c>
      <c r="F9610" s="4" t="str">
        <f>HYPERLINK("http://141.218.60.56/~jnz1568/getInfo.php?workbook=10_05.xlsx&amp;sheet=U0&amp;row=9610&amp;col=6&amp;number=3.6&amp;sourceID=14","3.6")</f>
        <v>3.6</v>
      </c>
      <c r="G9610" s="4" t="str">
        <f>HYPERLINK("http://141.218.60.56/~jnz1568/getInfo.php?workbook=10_05.xlsx&amp;sheet=U0&amp;row=9610&amp;col=7&amp;number=0.00171&amp;sourceID=14","0.00171")</f>
        <v>0.00171</v>
      </c>
    </row>
    <row r="9611" spans="1:7">
      <c r="A9611" s="3"/>
      <c r="B9611" s="3"/>
      <c r="C9611" s="3"/>
      <c r="D9611" s="3"/>
      <c r="E9611" s="3">
        <v>8</v>
      </c>
      <c r="F9611" s="4" t="str">
        <f>HYPERLINK("http://141.218.60.56/~jnz1568/getInfo.php?workbook=10_05.xlsx&amp;sheet=U0&amp;row=9611&amp;col=6&amp;number=3.7&amp;sourceID=14","3.7")</f>
        <v>3.7</v>
      </c>
      <c r="G9611" s="4" t="str">
        <f>HYPERLINK("http://141.218.60.56/~jnz1568/getInfo.php?workbook=10_05.xlsx&amp;sheet=U0&amp;row=9611&amp;col=7&amp;number=0.00167&amp;sourceID=14","0.00167")</f>
        <v>0.00167</v>
      </c>
    </row>
    <row r="9612" spans="1:7">
      <c r="A9612" s="3"/>
      <c r="B9612" s="3"/>
      <c r="C9612" s="3"/>
      <c r="D9612" s="3"/>
      <c r="E9612" s="3">
        <v>9</v>
      </c>
      <c r="F9612" s="4" t="str">
        <f>HYPERLINK("http://141.218.60.56/~jnz1568/getInfo.php?workbook=10_05.xlsx&amp;sheet=U0&amp;row=9612&amp;col=6&amp;number=3.8&amp;sourceID=14","3.8")</f>
        <v>3.8</v>
      </c>
      <c r="G9612" s="4" t="str">
        <f>HYPERLINK("http://141.218.60.56/~jnz1568/getInfo.php?workbook=10_05.xlsx&amp;sheet=U0&amp;row=9612&amp;col=7&amp;number=0.00163&amp;sourceID=14","0.00163")</f>
        <v>0.00163</v>
      </c>
    </row>
    <row r="9613" spans="1:7">
      <c r="A9613" s="3"/>
      <c r="B9613" s="3"/>
      <c r="C9613" s="3"/>
      <c r="D9613" s="3"/>
      <c r="E9613" s="3">
        <v>10</v>
      </c>
      <c r="F9613" s="4" t="str">
        <f>HYPERLINK("http://141.218.60.56/~jnz1568/getInfo.php?workbook=10_05.xlsx&amp;sheet=U0&amp;row=9613&amp;col=6&amp;number=3.9&amp;sourceID=14","3.9")</f>
        <v>3.9</v>
      </c>
      <c r="G9613" s="4" t="str">
        <f>HYPERLINK("http://141.218.60.56/~jnz1568/getInfo.php?workbook=10_05.xlsx&amp;sheet=U0&amp;row=9613&amp;col=7&amp;number=0.00157&amp;sourceID=14","0.00157")</f>
        <v>0.00157</v>
      </c>
    </row>
    <row r="9614" spans="1:7">
      <c r="A9614" s="3"/>
      <c r="B9614" s="3"/>
      <c r="C9614" s="3"/>
      <c r="D9614" s="3"/>
      <c r="E9614" s="3">
        <v>11</v>
      </c>
      <c r="F9614" s="4" t="str">
        <f>HYPERLINK("http://141.218.60.56/~jnz1568/getInfo.php?workbook=10_05.xlsx&amp;sheet=U0&amp;row=9614&amp;col=6&amp;number=4&amp;sourceID=14","4")</f>
        <v>4</v>
      </c>
      <c r="G9614" s="4" t="str">
        <f>HYPERLINK("http://141.218.60.56/~jnz1568/getInfo.php?workbook=10_05.xlsx&amp;sheet=U0&amp;row=9614&amp;col=7&amp;number=0.0015&amp;sourceID=14","0.0015")</f>
        <v>0.0015</v>
      </c>
    </row>
    <row r="9615" spans="1:7">
      <c r="A9615" s="3"/>
      <c r="B9615" s="3"/>
      <c r="C9615" s="3"/>
      <c r="D9615" s="3"/>
      <c r="E9615" s="3">
        <v>12</v>
      </c>
      <c r="F9615" s="4" t="str">
        <f>HYPERLINK("http://141.218.60.56/~jnz1568/getInfo.php?workbook=10_05.xlsx&amp;sheet=U0&amp;row=9615&amp;col=6&amp;number=4.1&amp;sourceID=14","4.1")</f>
        <v>4.1</v>
      </c>
      <c r="G9615" s="4" t="str">
        <f>HYPERLINK("http://141.218.60.56/~jnz1568/getInfo.php?workbook=10_05.xlsx&amp;sheet=U0&amp;row=9615&amp;col=7&amp;number=0.00143&amp;sourceID=14","0.00143")</f>
        <v>0.00143</v>
      </c>
    </row>
    <row r="9616" spans="1:7">
      <c r="A9616" s="3"/>
      <c r="B9616" s="3"/>
      <c r="C9616" s="3"/>
      <c r="D9616" s="3"/>
      <c r="E9616" s="3">
        <v>13</v>
      </c>
      <c r="F9616" s="4" t="str">
        <f>HYPERLINK("http://141.218.60.56/~jnz1568/getInfo.php?workbook=10_05.xlsx&amp;sheet=U0&amp;row=9616&amp;col=6&amp;number=4.2&amp;sourceID=14","4.2")</f>
        <v>4.2</v>
      </c>
      <c r="G9616" s="4" t="str">
        <f>HYPERLINK("http://141.218.60.56/~jnz1568/getInfo.php?workbook=10_05.xlsx&amp;sheet=U0&amp;row=9616&amp;col=7&amp;number=0.00135&amp;sourceID=14","0.00135")</f>
        <v>0.00135</v>
      </c>
    </row>
    <row r="9617" spans="1:7">
      <c r="A9617" s="3"/>
      <c r="B9617" s="3"/>
      <c r="C9617" s="3"/>
      <c r="D9617" s="3"/>
      <c r="E9617" s="3">
        <v>14</v>
      </c>
      <c r="F9617" s="4" t="str">
        <f>HYPERLINK("http://141.218.60.56/~jnz1568/getInfo.php?workbook=10_05.xlsx&amp;sheet=U0&amp;row=9617&amp;col=6&amp;number=4.3&amp;sourceID=14","4.3")</f>
        <v>4.3</v>
      </c>
      <c r="G9617" s="4" t="str">
        <f>HYPERLINK("http://141.218.60.56/~jnz1568/getInfo.php?workbook=10_05.xlsx&amp;sheet=U0&amp;row=9617&amp;col=7&amp;number=0.00126&amp;sourceID=14","0.00126")</f>
        <v>0.00126</v>
      </c>
    </row>
    <row r="9618" spans="1:7">
      <c r="A9618" s="3"/>
      <c r="B9618" s="3"/>
      <c r="C9618" s="3"/>
      <c r="D9618" s="3"/>
      <c r="E9618" s="3">
        <v>15</v>
      </c>
      <c r="F9618" s="4" t="str">
        <f>HYPERLINK("http://141.218.60.56/~jnz1568/getInfo.php?workbook=10_05.xlsx&amp;sheet=U0&amp;row=9618&amp;col=6&amp;number=4.4&amp;sourceID=14","4.4")</f>
        <v>4.4</v>
      </c>
      <c r="G9618" s="4" t="str">
        <f>HYPERLINK("http://141.218.60.56/~jnz1568/getInfo.php?workbook=10_05.xlsx&amp;sheet=U0&amp;row=9618&amp;col=7&amp;number=0.00119&amp;sourceID=14","0.00119")</f>
        <v>0.00119</v>
      </c>
    </row>
    <row r="9619" spans="1:7">
      <c r="A9619" s="3"/>
      <c r="B9619" s="3"/>
      <c r="C9619" s="3"/>
      <c r="D9619" s="3"/>
      <c r="E9619" s="3">
        <v>16</v>
      </c>
      <c r="F9619" s="4" t="str">
        <f>HYPERLINK("http://141.218.60.56/~jnz1568/getInfo.php?workbook=10_05.xlsx&amp;sheet=U0&amp;row=9619&amp;col=6&amp;number=4.5&amp;sourceID=14","4.5")</f>
        <v>4.5</v>
      </c>
      <c r="G9619" s="4" t="str">
        <f>HYPERLINK("http://141.218.60.56/~jnz1568/getInfo.php?workbook=10_05.xlsx&amp;sheet=U0&amp;row=9619&amp;col=7&amp;number=0.00113&amp;sourceID=14","0.00113")</f>
        <v>0.00113</v>
      </c>
    </row>
    <row r="9620" spans="1:7">
      <c r="A9620" s="3"/>
      <c r="B9620" s="3"/>
      <c r="C9620" s="3"/>
      <c r="D9620" s="3"/>
      <c r="E9620" s="3">
        <v>17</v>
      </c>
      <c r="F9620" s="4" t="str">
        <f>HYPERLINK("http://141.218.60.56/~jnz1568/getInfo.php?workbook=10_05.xlsx&amp;sheet=U0&amp;row=9620&amp;col=6&amp;number=4.6&amp;sourceID=14","4.6")</f>
        <v>4.6</v>
      </c>
      <c r="G9620" s="4" t="str">
        <f>HYPERLINK("http://141.218.60.56/~jnz1568/getInfo.php?workbook=10_05.xlsx&amp;sheet=U0&amp;row=9620&amp;col=7&amp;number=0.00109&amp;sourceID=14","0.00109")</f>
        <v>0.00109</v>
      </c>
    </row>
    <row r="9621" spans="1:7">
      <c r="A9621" s="3"/>
      <c r="B9621" s="3"/>
      <c r="C9621" s="3"/>
      <c r="D9621" s="3"/>
      <c r="E9621" s="3">
        <v>18</v>
      </c>
      <c r="F9621" s="4" t="str">
        <f>HYPERLINK("http://141.218.60.56/~jnz1568/getInfo.php?workbook=10_05.xlsx&amp;sheet=U0&amp;row=9621&amp;col=6&amp;number=4.7&amp;sourceID=14","4.7")</f>
        <v>4.7</v>
      </c>
      <c r="G9621" s="4" t="str">
        <f>HYPERLINK("http://141.218.60.56/~jnz1568/getInfo.php?workbook=10_05.xlsx&amp;sheet=U0&amp;row=9621&amp;col=7&amp;number=0.00105&amp;sourceID=14","0.00105")</f>
        <v>0.00105</v>
      </c>
    </row>
    <row r="9622" spans="1:7">
      <c r="A9622" s="3"/>
      <c r="B9622" s="3"/>
      <c r="C9622" s="3"/>
      <c r="D9622" s="3"/>
      <c r="E9622" s="3">
        <v>19</v>
      </c>
      <c r="F9622" s="4" t="str">
        <f>HYPERLINK("http://141.218.60.56/~jnz1568/getInfo.php?workbook=10_05.xlsx&amp;sheet=U0&amp;row=9622&amp;col=6&amp;number=4.8&amp;sourceID=14","4.8")</f>
        <v>4.8</v>
      </c>
      <c r="G9622" s="4" t="str">
        <f>HYPERLINK("http://141.218.60.56/~jnz1568/getInfo.php?workbook=10_05.xlsx&amp;sheet=U0&amp;row=9622&amp;col=7&amp;number=0.000999&amp;sourceID=14","0.000999")</f>
        <v>0.000999</v>
      </c>
    </row>
    <row r="9623" spans="1:7">
      <c r="A9623" s="3"/>
      <c r="B9623" s="3"/>
      <c r="C9623" s="3"/>
      <c r="D9623" s="3"/>
      <c r="E9623" s="3">
        <v>20</v>
      </c>
      <c r="F9623" s="4" t="str">
        <f>HYPERLINK("http://141.218.60.56/~jnz1568/getInfo.php?workbook=10_05.xlsx&amp;sheet=U0&amp;row=9623&amp;col=6&amp;number=4.9&amp;sourceID=14","4.9")</f>
        <v>4.9</v>
      </c>
      <c r="G9623" s="4" t="str">
        <f>HYPERLINK("http://141.218.60.56/~jnz1568/getInfo.php?workbook=10_05.xlsx&amp;sheet=U0&amp;row=9623&amp;col=7&amp;number=0.000938&amp;sourceID=14","0.000938")</f>
        <v>0.000938</v>
      </c>
    </row>
    <row r="9624" spans="1:7">
      <c r="A9624" s="3">
        <v>10</v>
      </c>
      <c r="B9624" s="3">
        <v>5</v>
      </c>
      <c r="C9624" s="3">
        <v>3</v>
      </c>
      <c r="D9624" s="3">
        <v>128</v>
      </c>
      <c r="E9624" s="3">
        <v>1</v>
      </c>
      <c r="F9624" s="4" t="str">
        <f>HYPERLINK("http://141.218.60.56/~jnz1568/getInfo.php?workbook=10_05.xlsx&amp;sheet=U0&amp;row=9624&amp;col=6&amp;number=3&amp;sourceID=14","3")</f>
        <v>3</v>
      </c>
      <c r="G9624" s="4" t="str">
        <f>HYPERLINK("http://141.218.60.56/~jnz1568/getInfo.php?workbook=10_05.xlsx&amp;sheet=U0&amp;row=9624&amp;col=7&amp;number=0.00254&amp;sourceID=14","0.00254")</f>
        <v>0.00254</v>
      </c>
    </row>
    <row r="9625" spans="1:7">
      <c r="A9625" s="3"/>
      <c r="B9625" s="3"/>
      <c r="C9625" s="3"/>
      <c r="D9625" s="3"/>
      <c r="E9625" s="3">
        <v>2</v>
      </c>
      <c r="F9625" s="4" t="str">
        <f>HYPERLINK("http://141.218.60.56/~jnz1568/getInfo.php?workbook=10_05.xlsx&amp;sheet=U0&amp;row=9625&amp;col=6&amp;number=3.1&amp;sourceID=14","3.1")</f>
        <v>3.1</v>
      </c>
      <c r="G9625" s="4" t="str">
        <f>HYPERLINK("http://141.218.60.56/~jnz1568/getInfo.php?workbook=10_05.xlsx&amp;sheet=U0&amp;row=9625&amp;col=7&amp;number=0.00251&amp;sourceID=14","0.00251")</f>
        <v>0.00251</v>
      </c>
    </row>
    <row r="9626" spans="1:7">
      <c r="A9626" s="3"/>
      <c r="B9626" s="3"/>
      <c r="C9626" s="3"/>
      <c r="D9626" s="3"/>
      <c r="E9626" s="3">
        <v>3</v>
      </c>
      <c r="F9626" s="4" t="str">
        <f>HYPERLINK("http://141.218.60.56/~jnz1568/getInfo.php?workbook=10_05.xlsx&amp;sheet=U0&amp;row=9626&amp;col=6&amp;number=3.2&amp;sourceID=14","3.2")</f>
        <v>3.2</v>
      </c>
      <c r="G9626" s="4" t="str">
        <f>HYPERLINK("http://141.218.60.56/~jnz1568/getInfo.php?workbook=10_05.xlsx&amp;sheet=U0&amp;row=9626&amp;col=7&amp;number=0.00248&amp;sourceID=14","0.00248")</f>
        <v>0.00248</v>
      </c>
    </row>
    <row r="9627" spans="1:7">
      <c r="A9627" s="3"/>
      <c r="B9627" s="3"/>
      <c r="C9627" s="3"/>
      <c r="D9627" s="3"/>
      <c r="E9627" s="3">
        <v>4</v>
      </c>
      <c r="F9627" s="4" t="str">
        <f>HYPERLINK("http://141.218.60.56/~jnz1568/getInfo.php?workbook=10_05.xlsx&amp;sheet=U0&amp;row=9627&amp;col=6&amp;number=3.3&amp;sourceID=14","3.3")</f>
        <v>3.3</v>
      </c>
      <c r="G9627" s="4" t="str">
        <f>HYPERLINK("http://141.218.60.56/~jnz1568/getInfo.php?workbook=10_05.xlsx&amp;sheet=U0&amp;row=9627&amp;col=7&amp;number=0.00244&amp;sourceID=14","0.00244")</f>
        <v>0.00244</v>
      </c>
    </row>
    <row r="9628" spans="1:7">
      <c r="A9628" s="3"/>
      <c r="B9628" s="3"/>
      <c r="C9628" s="3"/>
      <c r="D9628" s="3"/>
      <c r="E9628" s="3">
        <v>5</v>
      </c>
      <c r="F9628" s="4" t="str">
        <f>HYPERLINK("http://141.218.60.56/~jnz1568/getInfo.php?workbook=10_05.xlsx&amp;sheet=U0&amp;row=9628&amp;col=6&amp;number=3.4&amp;sourceID=14","3.4")</f>
        <v>3.4</v>
      </c>
      <c r="G9628" s="4" t="str">
        <f>HYPERLINK("http://141.218.60.56/~jnz1568/getInfo.php?workbook=10_05.xlsx&amp;sheet=U0&amp;row=9628&amp;col=7&amp;number=0.00238&amp;sourceID=14","0.00238")</f>
        <v>0.00238</v>
      </c>
    </row>
    <row r="9629" spans="1:7">
      <c r="A9629" s="3"/>
      <c r="B9629" s="3"/>
      <c r="C9629" s="3"/>
      <c r="D9629" s="3"/>
      <c r="E9629" s="3">
        <v>6</v>
      </c>
      <c r="F9629" s="4" t="str">
        <f>HYPERLINK("http://141.218.60.56/~jnz1568/getInfo.php?workbook=10_05.xlsx&amp;sheet=U0&amp;row=9629&amp;col=6&amp;number=3.5&amp;sourceID=14","3.5")</f>
        <v>3.5</v>
      </c>
      <c r="G9629" s="4" t="str">
        <f>HYPERLINK("http://141.218.60.56/~jnz1568/getInfo.php?workbook=10_05.xlsx&amp;sheet=U0&amp;row=9629&amp;col=7&amp;number=0.00232&amp;sourceID=14","0.00232")</f>
        <v>0.00232</v>
      </c>
    </row>
    <row r="9630" spans="1:7">
      <c r="A9630" s="3"/>
      <c r="B9630" s="3"/>
      <c r="C9630" s="3"/>
      <c r="D9630" s="3"/>
      <c r="E9630" s="3">
        <v>7</v>
      </c>
      <c r="F9630" s="4" t="str">
        <f>HYPERLINK("http://141.218.60.56/~jnz1568/getInfo.php?workbook=10_05.xlsx&amp;sheet=U0&amp;row=9630&amp;col=6&amp;number=3.6&amp;sourceID=14","3.6")</f>
        <v>3.6</v>
      </c>
      <c r="G9630" s="4" t="str">
        <f>HYPERLINK("http://141.218.60.56/~jnz1568/getInfo.php?workbook=10_05.xlsx&amp;sheet=U0&amp;row=9630&amp;col=7&amp;number=0.00224&amp;sourceID=14","0.00224")</f>
        <v>0.00224</v>
      </c>
    </row>
    <row r="9631" spans="1:7">
      <c r="A9631" s="3"/>
      <c r="B9631" s="3"/>
      <c r="C9631" s="3"/>
      <c r="D9631" s="3"/>
      <c r="E9631" s="3">
        <v>8</v>
      </c>
      <c r="F9631" s="4" t="str">
        <f>HYPERLINK("http://141.218.60.56/~jnz1568/getInfo.php?workbook=10_05.xlsx&amp;sheet=U0&amp;row=9631&amp;col=6&amp;number=3.7&amp;sourceID=14","3.7")</f>
        <v>3.7</v>
      </c>
      <c r="G9631" s="4" t="str">
        <f>HYPERLINK("http://141.218.60.56/~jnz1568/getInfo.php?workbook=10_05.xlsx&amp;sheet=U0&amp;row=9631&amp;col=7&amp;number=0.00215&amp;sourceID=14","0.00215")</f>
        <v>0.00215</v>
      </c>
    </row>
    <row r="9632" spans="1:7">
      <c r="A9632" s="3"/>
      <c r="B9632" s="3"/>
      <c r="C9632" s="3"/>
      <c r="D9632" s="3"/>
      <c r="E9632" s="3">
        <v>9</v>
      </c>
      <c r="F9632" s="4" t="str">
        <f>HYPERLINK("http://141.218.60.56/~jnz1568/getInfo.php?workbook=10_05.xlsx&amp;sheet=U0&amp;row=9632&amp;col=6&amp;number=3.8&amp;sourceID=14","3.8")</f>
        <v>3.8</v>
      </c>
      <c r="G9632" s="4" t="str">
        <f>HYPERLINK("http://141.218.60.56/~jnz1568/getInfo.php?workbook=10_05.xlsx&amp;sheet=U0&amp;row=9632&amp;col=7&amp;number=0.00203&amp;sourceID=14","0.00203")</f>
        <v>0.00203</v>
      </c>
    </row>
    <row r="9633" spans="1:7">
      <c r="A9633" s="3"/>
      <c r="B9633" s="3"/>
      <c r="C9633" s="3"/>
      <c r="D9633" s="3"/>
      <c r="E9633" s="3">
        <v>10</v>
      </c>
      <c r="F9633" s="4" t="str">
        <f>HYPERLINK("http://141.218.60.56/~jnz1568/getInfo.php?workbook=10_05.xlsx&amp;sheet=U0&amp;row=9633&amp;col=6&amp;number=3.9&amp;sourceID=14","3.9")</f>
        <v>3.9</v>
      </c>
      <c r="G9633" s="4" t="str">
        <f>HYPERLINK("http://141.218.60.56/~jnz1568/getInfo.php?workbook=10_05.xlsx&amp;sheet=U0&amp;row=9633&amp;col=7&amp;number=0.00191&amp;sourceID=14","0.00191")</f>
        <v>0.00191</v>
      </c>
    </row>
    <row r="9634" spans="1:7">
      <c r="A9634" s="3"/>
      <c r="B9634" s="3"/>
      <c r="C9634" s="3"/>
      <c r="D9634" s="3"/>
      <c r="E9634" s="3">
        <v>11</v>
      </c>
      <c r="F9634" s="4" t="str">
        <f>HYPERLINK("http://141.218.60.56/~jnz1568/getInfo.php?workbook=10_05.xlsx&amp;sheet=U0&amp;row=9634&amp;col=6&amp;number=4&amp;sourceID=14","4")</f>
        <v>4</v>
      </c>
      <c r="G9634" s="4" t="str">
        <f>HYPERLINK("http://141.218.60.56/~jnz1568/getInfo.php?workbook=10_05.xlsx&amp;sheet=U0&amp;row=9634&amp;col=7&amp;number=0.00176&amp;sourceID=14","0.00176")</f>
        <v>0.00176</v>
      </c>
    </row>
    <row r="9635" spans="1:7">
      <c r="A9635" s="3"/>
      <c r="B9635" s="3"/>
      <c r="C9635" s="3"/>
      <c r="D9635" s="3"/>
      <c r="E9635" s="3">
        <v>12</v>
      </c>
      <c r="F9635" s="4" t="str">
        <f>HYPERLINK("http://141.218.60.56/~jnz1568/getInfo.php?workbook=10_05.xlsx&amp;sheet=U0&amp;row=9635&amp;col=6&amp;number=4.1&amp;sourceID=14","4.1")</f>
        <v>4.1</v>
      </c>
      <c r="G9635" s="4" t="str">
        <f>HYPERLINK("http://141.218.60.56/~jnz1568/getInfo.php?workbook=10_05.xlsx&amp;sheet=U0&amp;row=9635&amp;col=7&amp;number=0.00162&amp;sourceID=14","0.00162")</f>
        <v>0.00162</v>
      </c>
    </row>
    <row r="9636" spans="1:7">
      <c r="A9636" s="3"/>
      <c r="B9636" s="3"/>
      <c r="C9636" s="3"/>
      <c r="D9636" s="3"/>
      <c r="E9636" s="3">
        <v>13</v>
      </c>
      <c r="F9636" s="4" t="str">
        <f>HYPERLINK("http://141.218.60.56/~jnz1568/getInfo.php?workbook=10_05.xlsx&amp;sheet=U0&amp;row=9636&amp;col=6&amp;number=4.2&amp;sourceID=14","4.2")</f>
        <v>4.2</v>
      </c>
      <c r="G9636" s="4" t="str">
        <f>HYPERLINK("http://141.218.60.56/~jnz1568/getInfo.php?workbook=10_05.xlsx&amp;sheet=U0&amp;row=9636&amp;col=7&amp;number=0.00148&amp;sourceID=14","0.00148")</f>
        <v>0.00148</v>
      </c>
    </row>
    <row r="9637" spans="1:7">
      <c r="A9637" s="3"/>
      <c r="B9637" s="3"/>
      <c r="C9637" s="3"/>
      <c r="D9637" s="3"/>
      <c r="E9637" s="3">
        <v>14</v>
      </c>
      <c r="F9637" s="4" t="str">
        <f>HYPERLINK("http://141.218.60.56/~jnz1568/getInfo.php?workbook=10_05.xlsx&amp;sheet=U0&amp;row=9637&amp;col=6&amp;number=4.3&amp;sourceID=14","4.3")</f>
        <v>4.3</v>
      </c>
      <c r="G9637" s="4" t="str">
        <f>HYPERLINK("http://141.218.60.56/~jnz1568/getInfo.php?workbook=10_05.xlsx&amp;sheet=U0&amp;row=9637&amp;col=7&amp;number=0.00136&amp;sourceID=14","0.00136")</f>
        <v>0.00136</v>
      </c>
    </row>
    <row r="9638" spans="1:7">
      <c r="A9638" s="3"/>
      <c r="B9638" s="3"/>
      <c r="C9638" s="3"/>
      <c r="D9638" s="3"/>
      <c r="E9638" s="3">
        <v>15</v>
      </c>
      <c r="F9638" s="4" t="str">
        <f>HYPERLINK("http://141.218.60.56/~jnz1568/getInfo.php?workbook=10_05.xlsx&amp;sheet=U0&amp;row=9638&amp;col=6&amp;number=4.4&amp;sourceID=14","4.4")</f>
        <v>4.4</v>
      </c>
      <c r="G9638" s="4" t="str">
        <f>HYPERLINK("http://141.218.60.56/~jnz1568/getInfo.php?workbook=10_05.xlsx&amp;sheet=U0&amp;row=9638&amp;col=7&amp;number=0.00127&amp;sourceID=14","0.00127")</f>
        <v>0.00127</v>
      </c>
    </row>
    <row r="9639" spans="1:7">
      <c r="A9639" s="3"/>
      <c r="B9639" s="3"/>
      <c r="C9639" s="3"/>
      <c r="D9639" s="3"/>
      <c r="E9639" s="3">
        <v>16</v>
      </c>
      <c r="F9639" s="4" t="str">
        <f>HYPERLINK("http://141.218.60.56/~jnz1568/getInfo.php?workbook=10_05.xlsx&amp;sheet=U0&amp;row=9639&amp;col=6&amp;number=4.5&amp;sourceID=14","4.5")</f>
        <v>4.5</v>
      </c>
      <c r="G9639" s="4" t="str">
        <f>HYPERLINK("http://141.218.60.56/~jnz1568/getInfo.php?workbook=10_05.xlsx&amp;sheet=U0&amp;row=9639&amp;col=7&amp;number=0.00117&amp;sourceID=14","0.00117")</f>
        <v>0.00117</v>
      </c>
    </row>
    <row r="9640" spans="1:7">
      <c r="A9640" s="3"/>
      <c r="B9640" s="3"/>
      <c r="C9640" s="3"/>
      <c r="D9640" s="3"/>
      <c r="E9640" s="3">
        <v>17</v>
      </c>
      <c r="F9640" s="4" t="str">
        <f>HYPERLINK("http://141.218.60.56/~jnz1568/getInfo.php?workbook=10_05.xlsx&amp;sheet=U0&amp;row=9640&amp;col=6&amp;number=4.6&amp;sourceID=14","4.6")</f>
        <v>4.6</v>
      </c>
      <c r="G9640" s="4" t="str">
        <f>HYPERLINK("http://141.218.60.56/~jnz1568/getInfo.php?workbook=10_05.xlsx&amp;sheet=U0&amp;row=9640&amp;col=7&amp;number=0.00107&amp;sourceID=14","0.00107")</f>
        <v>0.00107</v>
      </c>
    </row>
    <row r="9641" spans="1:7">
      <c r="A9641" s="3"/>
      <c r="B9641" s="3"/>
      <c r="C9641" s="3"/>
      <c r="D9641" s="3"/>
      <c r="E9641" s="3">
        <v>18</v>
      </c>
      <c r="F9641" s="4" t="str">
        <f>HYPERLINK("http://141.218.60.56/~jnz1568/getInfo.php?workbook=10_05.xlsx&amp;sheet=U0&amp;row=9641&amp;col=6&amp;number=4.7&amp;sourceID=14","4.7")</f>
        <v>4.7</v>
      </c>
      <c r="G9641" s="4" t="str">
        <f>HYPERLINK("http://141.218.60.56/~jnz1568/getInfo.php?workbook=10_05.xlsx&amp;sheet=U0&amp;row=9641&amp;col=7&amp;number=0.000976&amp;sourceID=14","0.000976")</f>
        <v>0.000976</v>
      </c>
    </row>
    <row r="9642" spans="1:7">
      <c r="A9642" s="3"/>
      <c r="B9642" s="3"/>
      <c r="C9642" s="3"/>
      <c r="D9642" s="3"/>
      <c r="E9642" s="3">
        <v>19</v>
      </c>
      <c r="F9642" s="4" t="str">
        <f>HYPERLINK("http://141.218.60.56/~jnz1568/getInfo.php?workbook=10_05.xlsx&amp;sheet=U0&amp;row=9642&amp;col=6&amp;number=4.8&amp;sourceID=14","4.8")</f>
        <v>4.8</v>
      </c>
      <c r="G9642" s="4" t="str">
        <f>HYPERLINK("http://141.218.60.56/~jnz1568/getInfo.php?workbook=10_05.xlsx&amp;sheet=U0&amp;row=9642&amp;col=7&amp;number=0.000899&amp;sourceID=14","0.000899")</f>
        <v>0.000899</v>
      </c>
    </row>
    <row r="9643" spans="1:7">
      <c r="A9643" s="3"/>
      <c r="B9643" s="3"/>
      <c r="C9643" s="3"/>
      <c r="D9643" s="3"/>
      <c r="E9643" s="3">
        <v>20</v>
      </c>
      <c r="F9643" s="4" t="str">
        <f>HYPERLINK("http://141.218.60.56/~jnz1568/getInfo.php?workbook=10_05.xlsx&amp;sheet=U0&amp;row=9643&amp;col=6&amp;number=4.9&amp;sourceID=14","4.9")</f>
        <v>4.9</v>
      </c>
      <c r="G9643" s="4" t="str">
        <f>HYPERLINK("http://141.218.60.56/~jnz1568/getInfo.php?workbook=10_05.xlsx&amp;sheet=U0&amp;row=9643&amp;col=7&amp;number=0.000838&amp;sourceID=14","0.000838")</f>
        <v>0.000838</v>
      </c>
    </row>
    <row r="9644" spans="1:7">
      <c r="A9644" s="3">
        <v>10</v>
      </c>
      <c r="B9644" s="3">
        <v>5</v>
      </c>
      <c r="C9644" s="3">
        <v>3</v>
      </c>
      <c r="D9644" s="3">
        <v>129</v>
      </c>
      <c r="E9644" s="3">
        <v>1</v>
      </c>
      <c r="F9644" s="4" t="str">
        <f>HYPERLINK("http://141.218.60.56/~jnz1568/getInfo.php?workbook=10_05.xlsx&amp;sheet=U0&amp;row=9644&amp;col=6&amp;number=3&amp;sourceID=14","3")</f>
        <v>3</v>
      </c>
      <c r="G9644" s="4" t="str">
        <f>HYPERLINK("http://141.218.60.56/~jnz1568/getInfo.php?workbook=10_05.xlsx&amp;sheet=U0&amp;row=9644&amp;col=7&amp;number=0.0189&amp;sourceID=14","0.0189")</f>
        <v>0.0189</v>
      </c>
    </row>
    <row r="9645" spans="1:7">
      <c r="A9645" s="3"/>
      <c r="B9645" s="3"/>
      <c r="C9645" s="3"/>
      <c r="D9645" s="3"/>
      <c r="E9645" s="3">
        <v>2</v>
      </c>
      <c r="F9645" s="4" t="str">
        <f>HYPERLINK("http://141.218.60.56/~jnz1568/getInfo.php?workbook=10_05.xlsx&amp;sheet=U0&amp;row=9645&amp;col=6&amp;number=3.1&amp;sourceID=14","3.1")</f>
        <v>3.1</v>
      </c>
      <c r="G9645" s="4" t="str">
        <f>HYPERLINK("http://141.218.60.56/~jnz1568/getInfo.php?workbook=10_05.xlsx&amp;sheet=U0&amp;row=9645&amp;col=7&amp;number=0.0187&amp;sourceID=14","0.0187")</f>
        <v>0.0187</v>
      </c>
    </row>
    <row r="9646" spans="1:7">
      <c r="A9646" s="3"/>
      <c r="B9646" s="3"/>
      <c r="C9646" s="3"/>
      <c r="D9646" s="3"/>
      <c r="E9646" s="3">
        <v>3</v>
      </c>
      <c r="F9646" s="4" t="str">
        <f>HYPERLINK("http://141.218.60.56/~jnz1568/getInfo.php?workbook=10_05.xlsx&amp;sheet=U0&amp;row=9646&amp;col=6&amp;number=3.2&amp;sourceID=14","3.2")</f>
        <v>3.2</v>
      </c>
      <c r="G9646" s="4" t="str">
        <f>HYPERLINK("http://141.218.60.56/~jnz1568/getInfo.php?workbook=10_05.xlsx&amp;sheet=U0&amp;row=9646&amp;col=7&amp;number=0.0185&amp;sourceID=14","0.0185")</f>
        <v>0.0185</v>
      </c>
    </row>
    <row r="9647" spans="1:7">
      <c r="A9647" s="3"/>
      <c r="B9647" s="3"/>
      <c r="C9647" s="3"/>
      <c r="D9647" s="3"/>
      <c r="E9647" s="3">
        <v>4</v>
      </c>
      <c r="F9647" s="4" t="str">
        <f>HYPERLINK("http://141.218.60.56/~jnz1568/getInfo.php?workbook=10_05.xlsx&amp;sheet=U0&amp;row=9647&amp;col=6&amp;number=3.3&amp;sourceID=14","3.3")</f>
        <v>3.3</v>
      </c>
      <c r="G9647" s="4" t="str">
        <f>HYPERLINK("http://141.218.60.56/~jnz1568/getInfo.php?workbook=10_05.xlsx&amp;sheet=U0&amp;row=9647&amp;col=7&amp;number=0.0183&amp;sourceID=14","0.0183")</f>
        <v>0.0183</v>
      </c>
    </row>
    <row r="9648" spans="1:7">
      <c r="A9648" s="3"/>
      <c r="B9648" s="3"/>
      <c r="C9648" s="3"/>
      <c r="D9648" s="3"/>
      <c r="E9648" s="3">
        <v>5</v>
      </c>
      <c r="F9648" s="4" t="str">
        <f>HYPERLINK("http://141.218.60.56/~jnz1568/getInfo.php?workbook=10_05.xlsx&amp;sheet=U0&amp;row=9648&amp;col=6&amp;number=3.4&amp;sourceID=14","3.4")</f>
        <v>3.4</v>
      </c>
      <c r="G9648" s="4" t="str">
        <f>HYPERLINK("http://141.218.60.56/~jnz1568/getInfo.php?workbook=10_05.xlsx&amp;sheet=U0&amp;row=9648&amp;col=7&amp;number=0.0179&amp;sourceID=14","0.0179")</f>
        <v>0.0179</v>
      </c>
    </row>
    <row r="9649" spans="1:7">
      <c r="A9649" s="3"/>
      <c r="B9649" s="3"/>
      <c r="C9649" s="3"/>
      <c r="D9649" s="3"/>
      <c r="E9649" s="3">
        <v>6</v>
      </c>
      <c r="F9649" s="4" t="str">
        <f>HYPERLINK("http://141.218.60.56/~jnz1568/getInfo.php?workbook=10_05.xlsx&amp;sheet=U0&amp;row=9649&amp;col=6&amp;number=3.5&amp;sourceID=14","3.5")</f>
        <v>3.5</v>
      </c>
      <c r="G9649" s="4" t="str">
        <f>HYPERLINK("http://141.218.60.56/~jnz1568/getInfo.php?workbook=10_05.xlsx&amp;sheet=U0&amp;row=9649&amp;col=7&amp;number=0.0175&amp;sourceID=14","0.0175")</f>
        <v>0.0175</v>
      </c>
    </row>
    <row r="9650" spans="1:7">
      <c r="A9650" s="3"/>
      <c r="B9650" s="3"/>
      <c r="C9650" s="3"/>
      <c r="D9650" s="3"/>
      <c r="E9650" s="3">
        <v>7</v>
      </c>
      <c r="F9650" s="4" t="str">
        <f>HYPERLINK("http://141.218.60.56/~jnz1568/getInfo.php?workbook=10_05.xlsx&amp;sheet=U0&amp;row=9650&amp;col=6&amp;number=3.6&amp;sourceID=14","3.6")</f>
        <v>3.6</v>
      </c>
      <c r="G9650" s="4" t="str">
        <f>HYPERLINK("http://141.218.60.56/~jnz1568/getInfo.php?workbook=10_05.xlsx&amp;sheet=U0&amp;row=9650&amp;col=7&amp;number=0.017&amp;sourceID=14","0.017")</f>
        <v>0.017</v>
      </c>
    </row>
    <row r="9651" spans="1:7">
      <c r="A9651" s="3"/>
      <c r="B9651" s="3"/>
      <c r="C9651" s="3"/>
      <c r="D9651" s="3"/>
      <c r="E9651" s="3">
        <v>8</v>
      </c>
      <c r="F9651" s="4" t="str">
        <f>HYPERLINK("http://141.218.60.56/~jnz1568/getInfo.php?workbook=10_05.xlsx&amp;sheet=U0&amp;row=9651&amp;col=6&amp;number=3.7&amp;sourceID=14","3.7")</f>
        <v>3.7</v>
      </c>
      <c r="G9651" s="4" t="str">
        <f>HYPERLINK("http://141.218.60.56/~jnz1568/getInfo.php?workbook=10_05.xlsx&amp;sheet=U0&amp;row=9651&amp;col=7&amp;number=0.0165&amp;sourceID=14","0.0165")</f>
        <v>0.0165</v>
      </c>
    </row>
    <row r="9652" spans="1:7">
      <c r="A9652" s="3"/>
      <c r="B9652" s="3"/>
      <c r="C9652" s="3"/>
      <c r="D9652" s="3"/>
      <c r="E9652" s="3">
        <v>9</v>
      </c>
      <c r="F9652" s="4" t="str">
        <f>HYPERLINK("http://141.218.60.56/~jnz1568/getInfo.php?workbook=10_05.xlsx&amp;sheet=U0&amp;row=9652&amp;col=6&amp;number=3.8&amp;sourceID=14","3.8")</f>
        <v>3.8</v>
      </c>
      <c r="G9652" s="4" t="str">
        <f>HYPERLINK("http://141.218.60.56/~jnz1568/getInfo.php?workbook=10_05.xlsx&amp;sheet=U0&amp;row=9652&amp;col=7&amp;number=0.0158&amp;sourceID=14","0.0158")</f>
        <v>0.0158</v>
      </c>
    </row>
    <row r="9653" spans="1:7">
      <c r="A9653" s="3"/>
      <c r="B9653" s="3"/>
      <c r="C9653" s="3"/>
      <c r="D9653" s="3"/>
      <c r="E9653" s="3">
        <v>10</v>
      </c>
      <c r="F9653" s="4" t="str">
        <f>HYPERLINK("http://141.218.60.56/~jnz1568/getInfo.php?workbook=10_05.xlsx&amp;sheet=U0&amp;row=9653&amp;col=6&amp;number=3.9&amp;sourceID=14","3.9")</f>
        <v>3.9</v>
      </c>
      <c r="G9653" s="4" t="str">
        <f>HYPERLINK("http://141.218.60.56/~jnz1568/getInfo.php?workbook=10_05.xlsx&amp;sheet=U0&amp;row=9653&amp;col=7&amp;number=0.015&amp;sourceID=14","0.015")</f>
        <v>0.015</v>
      </c>
    </row>
    <row r="9654" spans="1:7">
      <c r="A9654" s="3"/>
      <c r="B9654" s="3"/>
      <c r="C9654" s="3"/>
      <c r="D9654" s="3"/>
      <c r="E9654" s="3">
        <v>11</v>
      </c>
      <c r="F9654" s="4" t="str">
        <f>HYPERLINK("http://141.218.60.56/~jnz1568/getInfo.php?workbook=10_05.xlsx&amp;sheet=U0&amp;row=9654&amp;col=6&amp;number=4&amp;sourceID=14","4")</f>
        <v>4</v>
      </c>
      <c r="G9654" s="4" t="str">
        <f>HYPERLINK("http://141.218.60.56/~jnz1568/getInfo.php?workbook=10_05.xlsx&amp;sheet=U0&amp;row=9654&amp;col=7&amp;number=0.0141&amp;sourceID=14","0.0141")</f>
        <v>0.0141</v>
      </c>
    </row>
    <row r="9655" spans="1:7">
      <c r="A9655" s="3"/>
      <c r="B9655" s="3"/>
      <c r="C9655" s="3"/>
      <c r="D9655" s="3"/>
      <c r="E9655" s="3">
        <v>12</v>
      </c>
      <c r="F9655" s="4" t="str">
        <f>HYPERLINK("http://141.218.60.56/~jnz1568/getInfo.php?workbook=10_05.xlsx&amp;sheet=U0&amp;row=9655&amp;col=6&amp;number=4.1&amp;sourceID=14","4.1")</f>
        <v>4.1</v>
      </c>
      <c r="G9655" s="4" t="str">
        <f>HYPERLINK("http://141.218.60.56/~jnz1568/getInfo.php?workbook=10_05.xlsx&amp;sheet=U0&amp;row=9655&amp;col=7&amp;number=0.0132&amp;sourceID=14","0.0132")</f>
        <v>0.0132</v>
      </c>
    </row>
    <row r="9656" spans="1:7">
      <c r="A9656" s="3"/>
      <c r="B9656" s="3"/>
      <c r="C9656" s="3"/>
      <c r="D9656" s="3"/>
      <c r="E9656" s="3">
        <v>13</v>
      </c>
      <c r="F9656" s="4" t="str">
        <f>HYPERLINK("http://141.218.60.56/~jnz1568/getInfo.php?workbook=10_05.xlsx&amp;sheet=U0&amp;row=9656&amp;col=6&amp;number=4.2&amp;sourceID=14","4.2")</f>
        <v>4.2</v>
      </c>
      <c r="G9656" s="4" t="str">
        <f>HYPERLINK("http://141.218.60.56/~jnz1568/getInfo.php?workbook=10_05.xlsx&amp;sheet=U0&amp;row=9656&amp;col=7&amp;number=0.0123&amp;sourceID=14","0.0123")</f>
        <v>0.0123</v>
      </c>
    </row>
    <row r="9657" spans="1:7">
      <c r="A9657" s="3"/>
      <c r="B9657" s="3"/>
      <c r="C9657" s="3"/>
      <c r="D9657" s="3"/>
      <c r="E9657" s="3">
        <v>14</v>
      </c>
      <c r="F9657" s="4" t="str">
        <f>HYPERLINK("http://141.218.60.56/~jnz1568/getInfo.php?workbook=10_05.xlsx&amp;sheet=U0&amp;row=9657&amp;col=6&amp;number=4.3&amp;sourceID=14","4.3")</f>
        <v>4.3</v>
      </c>
      <c r="G9657" s="4" t="str">
        <f>HYPERLINK("http://141.218.60.56/~jnz1568/getInfo.php?workbook=10_05.xlsx&amp;sheet=U0&amp;row=9657&amp;col=7&amp;number=0.0116&amp;sourceID=14","0.0116")</f>
        <v>0.0116</v>
      </c>
    </row>
    <row r="9658" spans="1:7">
      <c r="A9658" s="3"/>
      <c r="B9658" s="3"/>
      <c r="C9658" s="3"/>
      <c r="D9658" s="3"/>
      <c r="E9658" s="3">
        <v>15</v>
      </c>
      <c r="F9658" s="4" t="str">
        <f>HYPERLINK("http://141.218.60.56/~jnz1568/getInfo.php?workbook=10_05.xlsx&amp;sheet=U0&amp;row=9658&amp;col=6&amp;number=4.4&amp;sourceID=14","4.4")</f>
        <v>4.4</v>
      </c>
      <c r="G9658" s="4" t="str">
        <f>HYPERLINK("http://141.218.60.56/~jnz1568/getInfo.php?workbook=10_05.xlsx&amp;sheet=U0&amp;row=9658&amp;col=7&amp;number=0.0111&amp;sourceID=14","0.0111")</f>
        <v>0.0111</v>
      </c>
    </row>
    <row r="9659" spans="1:7">
      <c r="A9659" s="3"/>
      <c r="B9659" s="3"/>
      <c r="C9659" s="3"/>
      <c r="D9659" s="3"/>
      <c r="E9659" s="3">
        <v>16</v>
      </c>
      <c r="F9659" s="4" t="str">
        <f>HYPERLINK("http://141.218.60.56/~jnz1568/getInfo.php?workbook=10_05.xlsx&amp;sheet=U0&amp;row=9659&amp;col=6&amp;number=4.5&amp;sourceID=14","4.5")</f>
        <v>4.5</v>
      </c>
      <c r="G9659" s="4" t="str">
        <f>HYPERLINK("http://141.218.60.56/~jnz1568/getInfo.php?workbook=10_05.xlsx&amp;sheet=U0&amp;row=9659&amp;col=7&amp;number=0.0105&amp;sourceID=14","0.0105")</f>
        <v>0.0105</v>
      </c>
    </row>
    <row r="9660" spans="1:7">
      <c r="A9660" s="3"/>
      <c r="B9660" s="3"/>
      <c r="C9660" s="3"/>
      <c r="D9660" s="3"/>
      <c r="E9660" s="3">
        <v>17</v>
      </c>
      <c r="F9660" s="4" t="str">
        <f>HYPERLINK("http://141.218.60.56/~jnz1568/getInfo.php?workbook=10_05.xlsx&amp;sheet=U0&amp;row=9660&amp;col=6&amp;number=4.6&amp;sourceID=14","4.6")</f>
        <v>4.6</v>
      </c>
      <c r="G9660" s="4" t="str">
        <f>HYPERLINK("http://141.218.60.56/~jnz1568/getInfo.php?workbook=10_05.xlsx&amp;sheet=U0&amp;row=9660&amp;col=7&amp;number=0.00991&amp;sourceID=14","0.00991")</f>
        <v>0.00991</v>
      </c>
    </row>
    <row r="9661" spans="1:7">
      <c r="A9661" s="3"/>
      <c r="B9661" s="3"/>
      <c r="C9661" s="3"/>
      <c r="D9661" s="3"/>
      <c r="E9661" s="3">
        <v>18</v>
      </c>
      <c r="F9661" s="4" t="str">
        <f>HYPERLINK("http://141.218.60.56/~jnz1568/getInfo.php?workbook=10_05.xlsx&amp;sheet=U0&amp;row=9661&amp;col=6&amp;number=4.7&amp;sourceID=14","4.7")</f>
        <v>4.7</v>
      </c>
      <c r="G9661" s="4" t="str">
        <f>HYPERLINK("http://141.218.60.56/~jnz1568/getInfo.php?workbook=10_05.xlsx&amp;sheet=U0&amp;row=9661&amp;col=7&amp;number=0.00928&amp;sourceID=14","0.00928")</f>
        <v>0.00928</v>
      </c>
    </row>
    <row r="9662" spans="1:7">
      <c r="A9662" s="3"/>
      <c r="B9662" s="3"/>
      <c r="C9662" s="3"/>
      <c r="D9662" s="3"/>
      <c r="E9662" s="3">
        <v>19</v>
      </c>
      <c r="F9662" s="4" t="str">
        <f>HYPERLINK("http://141.218.60.56/~jnz1568/getInfo.php?workbook=10_05.xlsx&amp;sheet=U0&amp;row=9662&amp;col=6&amp;number=4.8&amp;sourceID=14","4.8")</f>
        <v>4.8</v>
      </c>
      <c r="G9662" s="4" t="str">
        <f>HYPERLINK("http://141.218.60.56/~jnz1568/getInfo.php?workbook=10_05.xlsx&amp;sheet=U0&amp;row=9662&amp;col=7&amp;number=0.00879&amp;sourceID=14","0.00879")</f>
        <v>0.00879</v>
      </c>
    </row>
    <row r="9663" spans="1:7">
      <c r="A9663" s="3"/>
      <c r="B9663" s="3"/>
      <c r="C9663" s="3"/>
      <c r="D9663" s="3"/>
      <c r="E9663" s="3">
        <v>20</v>
      </c>
      <c r="F9663" s="4" t="str">
        <f>HYPERLINK("http://141.218.60.56/~jnz1568/getInfo.php?workbook=10_05.xlsx&amp;sheet=U0&amp;row=9663&amp;col=6&amp;number=4.9&amp;sourceID=14","4.9")</f>
        <v>4.9</v>
      </c>
      <c r="G9663" s="4" t="str">
        <f>HYPERLINK("http://141.218.60.56/~jnz1568/getInfo.php?workbook=10_05.xlsx&amp;sheet=U0&amp;row=9663&amp;col=7&amp;number=0.00841&amp;sourceID=14","0.00841")</f>
        <v>0.00841</v>
      </c>
    </row>
    <row r="9664" spans="1:7">
      <c r="A9664" s="3">
        <v>10</v>
      </c>
      <c r="B9664" s="3">
        <v>5</v>
      </c>
      <c r="C9664" s="3">
        <v>3</v>
      </c>
      <c r="D9664" s="3">
        <v>130</v>
      </c>
      <c r="E9664" s="3">
        <v>1</v>
      </c>
      <c r="F9664" s="4" t="str">
        <f>HYPERLINK("http://141.218.60.56/~jnz1568/getInfo.php?workbook=10_05.xlsx&amp;sheet=U0&amp;row=9664&amp;col=6&amp;number=3&amp;sourceID=14","3")</f>
        <v>3</v>
      </c>
      <c r="G9664" s="4" t="str">
        <f>HYPERLINK("http://141.218.60.56/~jnz1568/getInfo.php?workbook=10_05.xlsx&amp;sheet=U0&amp;row=9664&amp;col=7&amp;number=0.0156&amp;sourceID=14","0.0156")</f>
        <v>0.0156</v>
      </c>
    </row>
    <row r="9665" spans="1:7">
      <c r="A9665" s="3"/>
      <c r="B9665" s="3"/>
      <c r="C9665" s="3"/>
      <c r="D9665" s="3"/>
      <c r="E9665" s="3">
        <v>2</v>
      </c>
      <c r="F9665" s="4" t="str">
        <f>HYPERLINK("http://141.218.60.56/~jnz1568/getInfo.php?workbook=10_05.xlsx&amp;sheet=U0&amp;row=9665&amp;col=6&amp;number=3.1&amp;sourceID=14","3.1")</f>
        <v>3.1</v>
      </c>
      <c r="G9665" s="4" t="str">
        <f>HYPERLINK("http://141.218.60.56/~jnz1568/getInfo.php?workbook=10_05.xlsx&amp;sheet=U0&amp;row=9665&amp;col=7&amp;number=0.0154&amp;sourceID=14","0.0154")</f>
        <v>0.0154</v>
      </c>
    </row>
    <row r="9666" spans="1:7">
      <c r="A9666" s="3"/>
      <c r="B9666" s="3"/>
      <c r="C9666" s="3"/>
      <c r="D9666" s="3"/>
      <c r="E9666" s="3">
        <v>3</v>
      </c>
      <c r="F9666" s="4" t="str">
        <f>HYPERLINK("http://141.218.60.56/~jnz1568/getInfo.php?workbook=10_05.xlsx&amp;sheet=U0&amp;row=9666&amp;col=6&amp;number=3.2&amp;sourceID=14","3.2")</f>
        <v>3.2</v>
      </c>
      <c r="G9666" s="4" t="str">
        <f>HYPERLINK("http://141.218.60.56/~jnz1568/getInfo.php?workbook=10_05.xlsx&amp;sheet=U0&amp;row=9666&amp;col=7&amp;number=0.0153&amp;sourceID=14","0.0153")</f>
        <v>0.0153</v>
      </c>
    </row>
    <row r="9667" spans="1:7">
      <c r="A9667" s="3"/>
      <c r="B9667" s="3"/>
      <c r="C9667" s="3"/>
      <c r="D9667" s="3"/>
      <c r="E9667" s="3">
        <v>4</v>
      </c>
      <c r="F9667" s="4" t="str">
        <f>HYPERLINK("http://141.218.60.56/~jnz1568/getInfo.php?workbook=10_05.xlsx&amp;sheet=U0&amp;row=9667&amp;col=6&amp;number=3.3&amp;sourceID=14","3.3")</f>
        <v>3.3</v>
      </c>
      <c r="G9667" s="4" t="str">
        <f>HYPERLINK("http://141.218.60.56/~jnz1568/getInfo.php?workbook=10_05.xlsx&amp;sheet=U0&amp;row=9667&amp;col=7&amp;number=0.0151&amp;sourceID=14","0.0151")</f>
        <v>0.0151</v>
      </c>
    </row>
    <row r="9668" spans="1:7">
      <c r="A9668" s="3"/>
      <c r="B9668" s="3"/>
      <c r="C9668" s="3"/>
      <c r="D9668" s="3"/>
      <c r="E9668" s="3">
        <v>5</v>
      </c>
      <c r="F9668" s="4" t="str">
        <f>HYPERLINK("http://141.218.60.56/~jnz1568/getInfo.php?workbook=10_05.xlsx&amp;sheet=U0&amp;row=9668&amp;col=6&amp;number=3.4&amp;sourceID=14","3.4")</f>
        <v>3.4</v>
      </c>
      <c r="G9668" s="4" t="str">
        <f>HYPERLINK("http://141.218.60.56/~jnz1568/getInfo.php?workbook=10_05.xlsx&amp;sheet=U0&amp;row=9668&amp;col=7&amp;number=0.0149&amp;sourceID=14","0.0149")</f>
        <v>0.0149</v>
      </c>
    </row>
    <row r="9669" spans="1:7">
      <c r="A9669" s="3"/>
      <c r="B9669" s="3"/>
      <c r="C9669" s="3"/>
      <c r="D9669" s="3"/>
      <c r="E9669" s="3">
        <v>6</v>
      </c>
      <c r="F9669" s="4" t="str">
        <f>HYPERLINK("http://141.218.60.56/~jnz1568/getInfo.php?workbook=10_05.xlsx&amp;sheet=U0&amp;row=9669&amp;col=6&amp;number=3.5&amp;sourceID=14","3.5")</f>
        <v>3.5</v>
      </c>
      <c r="G9669" s="4" t="str">
        <f>HYPERLINK("http://141.218.60.56/~jnz1568/getInfo.php?workbook=10_05.xlsx&amp;sheet=U0&amp;row=9669&amp;col=7&amp;number=0.0147&amp;sourceID=14","0.0147")</f>
        <v>0.0147</v>
      </c>
    </row>
    <row r="9670" spans="1:7">
      <c r="A9670" s="3"/>
      <c r="B9670" s="3"/>
      <c r="C9670" s="3"/>
      <c r="D9670" s="3"/>
      <c r="E9670" s="3">
        <v>7</v>
      </c>
      <c r="F9670" s="4" t="str">
        <f>HYPERLINK("http://141.218.60.56/~jnz1568/getInfo.php?workbook=10_05.xlsx&amp;sheet=U0&amp;row=9670&amp;col=6&amp;number=3.6&amp;sourceID=14","3.6")</f>
        <v>3.6</v>
      </c>
      <c r="G9670" s="4" t="str">
        <f>HYPERLINK("http://141.218.60.56/~jnz1568/getInfo.php?workbook=10_05.xlsx&amp;sheet=U0&amp;row=9670&amp;col=7&amp;number=0.0143&amp;sourceID=14","0.0143")</f>
        <v>0.0143</v>
      </c>
    </row>
    <row r="9671" spans="1:7">
      <c r="A9671" s="3"/>
      <c r="B9671" s="3"/>
      <c r="C9671" s="3"/>
      <c r="D9671" s="3"/>
      <c r="E9671" s="3">
        <v>8</v>
      </c>
      <c r="F9671" s="4" t="str">
        <f>HYPERLINK("http://141.218.60.56/~jnz1568/getInfo.php?workbook=10_05.xlsx&amp;sheet=U0&amp;row=9671&amp;col=6&amp;number=3.7&amp;sourceID=14","3.7")</f>
        <v>3.7</v>
      </c>
      <c r="G9671" s="4" t="str">
        <f>HYPERLINK("http://141.218.60.56/~jnz1568/getInfo.php?workbook=10_05.xlsx&amp;sheet=U0&amp;row=9671&amp;col=7&amp;number=0.0139&amp;sourceID=14","0.0139")</f>
        <v>0.0139</v>
      </c>
    </row>
    <row r="9672" spans="1:7">
      <c r="A9672" s="3"/>
      <c r="B9672" s="3"/>
      <c r="C9672" s="3"/>
      <c r="D9672" s="3"/>
      <c r="E9672" s="3">
        <v>9</v>
      </c>
      <c r="F9672" s="4" t="str">
        <f>HYPERLINK("http://141.218.60.56/~jnz1568/getInfo.php?workbook=10_05.xlsx&amp;sheet=U0&amp;row=9672&amp;col=6&amp;number=3.8&amp;sourceID=14","3.8")</f>
        <v>3.8</v>
      </c>
      <c r="G9672" s="4" t="str">
        <f>HYPERLINK("http://141.218.60.56/~jnz1568/getInfo.php?workbook=10_05.xlsx&amp;sheet=U0&amp;row=9672&amp;col=7&amp;number=0.0135&amp;sourceID=14","0.0135")</f>
        <v>0.0135</v>
      </c>
    </row>
    <row r="9673" spans="1:7">
      <c r="A9673" s="3"/>
      <c r="B9673" s="3"/>
      <c r="C9673" s="3"/>
      <c r="D9673" s="3"/>
      <c r="E9673" s="3">
        <v>10</v>
      </c>
      <c r="F9673" s="4" t="str">
        <f>HYPERLINK("http://141.218.60.56/~jnz1568/getInfo.php?workbook=10_05.xlsx&amp;sheet=U0&amp;row=9673&amp;col=6&amp;number=3.9&amp;sourceID=14","3.9")</f>
        <v>3.9</v>
      </c>
      <c r="G9673" s="4" t="str">
        <f>HYPERLINK("http://141.218.60.56/~jnz1568/getInfo.php?workbook=10_05.xlsx&amp;sheet=U0&amp;row=9673&amp;col=7&amp;number=0.0129&amp;sourceID=14","0.0129")</f>
        <v>0.0129</v>
      </c>
    </row>
    <row r="9674" spans="1:7">
      <c r="A9674" s="3"/>
      <c r="B9674" s="3"/>
      <c r="C9674" s="3"/>
      <c r="D9674" s="3"/>
      <c r="E9674" s="3">
        <v>11</v>
      </c>
      <c r="F9674" s="4" t="str">
        <f>HYPERLINK("http://141.218.60.56/~jnz1568/getInfo.php?workbook=10_05.xlsx&amp;sheet=U0&amp;row=9674&amp;col=6&amp;number=4&amp;sourceID=14","4")</f>
        <v>4</v>
      </c>
      <c r="G9674" s="4" t="str">
        <f>HYPERLINK("http://141.218.60.56/~jnz1568/getInfo.php?workbook=10_05.xlsx&amp;sheet=U0&amp;row=9674&amp;col=7&amp;number=0.0123&amp;sourceID=14","0.0123")</f>
        <v>0.0123</v>
      </c>
    </row>
    <row r="9675" spans="1:7">
      <c r="A9675" s="3"/>
      <c r="B9675" s="3"/>
      <c r="C9675" s="3"/>
      <c r="D9675" s="3"/>
      <c r="E9675" s="3">
        <v>12</v>
      </c>
      <c r="F9675" s="4" t="str">
        <f>HYPERLINK("http://141.218.60.56/~jnz1568/getInfo.php?workbook=10_05.xlsx&amp;sheet=U0&amp;row=9675&amp;col=6&amp;number=4.1&amp;sourceID=14","4.1")</f>
        <v>4.1</v>
      </c>
      <c r="G9675" s="4" t="str">
        <f>HYPERLINK("http://141.218.60.56/~jnz1568/getInfo.php?workbook=10_05.xlsx&amp;sheet=U0&amp;row=9675&amp;col=7&amp;number=0.0116&amp;sourceID=14","0.0116")</f>
        <v>0.0116</v>
      </c>
    </row>
    <row r="9676" spans="1:7">
      <c r="A9676" s="3"/>
      <c r="B9676" s="3"/>
      <c r="C9676" s="3"/>
      <c r="D9676" s="3"/>
      <c r="E9676" s="3">
        <v>13</v>
      </c>
      <c r="F9676" s="4" t="str">
        <f>HYPERLINK("http://141.218.60.56/~jnz1568/getInfo.php?workbook=10_05.xlsx&amp;sheet=U0&amp;row=9676&amp;col=6&amp;number=4.2&amp;sourceID=14","4.2")</f>
        <v>4.2</v>
      </c>
      <c r="G9676" s="4" t="str">
        <f>HYPERLINK("http://141.218.60.56/~jnz1568/getInfo.php?workbook=10_05.xlsx&amp;sheet=U0&amp;row=9676&amp;col=7&amp;number=0.0109&amp;sourceID=14","0.0109")</f>
        <v>0.0109</v>
      </c>
    </row>
    <row r="9677" spans="1:7">
      <c r="A9677" s="3"/>
      <c r="B9677" s="3"/>
      <c r="C9677" s="3"/>
      <c r="D9677" s="3"/>
      <c r="E9677" s="3">
        <v>14</v>
      </c>
      <c r="F9677" s="4" t="str">
        <f>HYPERLINK("http://141.218.60.56/~jnz1568/getInfo.php?workbook=10_05.xlsx&amp;sheet=U0&amp;row=9677&amp;col=6&amp;number=4.3&amp;sourceID=14","4.3")</f>
        <v>4.3</v>
      </c>
      <c r="G9677" s="4" t="str">
        <f>HYPERLINK("http://141.218.60.56/~jnz1568/getInfo.php?workbook=10_05.xlsx&amp;sheet=U0&amp;row=9677&amp;col=7&amp;number=0.0102&amp;sourceID=14","0.0102")</f>
        <v>0.0102</v>
      </c>
    </row>
    <row r="9678" spans="1:7">
      <c r="A9678" s="3"/>
      <c r="B9678" s="3"/>
      <c r="C9678" s="3"/>
      <c r="D9678" s="3"/>
      <c r="E9678" s="3">
        <v>15</v>
      </c>
      <c r="F9678" s="4" t="str">
        <f>HYPERLINK("http://141.218.60.56/~jnz1568/getInfo.php?workbook=10_05.xlsx&amp;sheet=U0&amp;row=9678&amp;col=6&amp;number=4.4&amp;sourceID=14","4.4")</f>
        <v>4.4</v>
      </c>
      <c r="G9678" s="4" t="str">
        <f>HYPERLINK("http://141.218.60.56/~jnz1568/getInfo.php?workbook=10_05.xlsx&amp;sheet=U0&amp;row=9678&amp;col=7&amp;number=0.00962&amp;sourceID=14","0.00962")</f>
        <v>0.00962</v>
      </c>
    </row>
    <row r="9679" spans="1:7">
      <c r="A9679" s="3"/>
      <c r="B9679" s="3"/>
      <c r="C9679" s="3"/>
      <c r="D9679" s="3"/>
      <c r="E9679" s="3">
        <v>16</v>
      </c>
      <c r="F9679" s="4" t="str">
        <f>HYPERLINK("http://141.218.60.56/~jnz1568/getInfo.php?workbook=10_05.xlsx&amp;sheet=U0&amp;row=9679&amp;col=6&amp;number=4.5&amp;sourceID=14","4.5")</f>
        <v>4.5</v>
      </c>
      <c r="G9679" s="4" t="str">
        <f>HYPERLINK("http://141.218.60.56/~jnz1568/getInfo.php?workbook=10_05.xlsx&amp;sheet=U0&amp;row=9679&amp;col=7&amp;number=0.00912&amp;sourceID=14","0.00912")</f>
        <v>0.00912</v>
      </c>
    </row>
    <row r="9680" spans="1:7">
      <c r="A9680" s="3"/>
      <c r="B9680" s="3"/>
      <c r="C9680" s="3"/>
      <c r="D9680" s="3"/>
      <c r="E9680" s="3">
        <v>17</v>
      </c>
      <c r="F9680" s="4" t="str">
        <f>HYPERLINK("http://141.218.60.56/~jnz1568/getInfo.php?workbook=10_05.xlsx&amp;sheet=U0&amp;row=9680&amp;col=6&amp;number=4.6&amp;sourceID=14","4.6")</f>
        <v>4.6</v>
      </c>
      <c r="G9680" s="4" t="str">
        <f>HYPERLINK("http://141.218.60.56/~jnz1568/getInfo.php?workbook=10_05.xlsx&amp;sheet=U0&amp;row=9680&amp;col=7&amp;number=0.00863&amp;sourceID=14","0.00863")</f>
        <v>0.00863</v>
      </c>
    </row>
    <row r="9681" spans="1:7">
      <c r="A9681" s="3"/>
      <c r="B9681" s="3"/>
      <c r="C9681" s="3"/>
      <c r="D9681" s="3"/>
      <c r="E9681" s="3">
        <v>18</v>
      </c>
      <c r="F9681" s="4" t="str">
        <f>HYPERLINK("http://141.218.60.56/~jnz1568/getInfo.php?workbook=10_05.xlsx&amp;sheet=U0&amp;row=9681&amp;col=6&amp;number=4.7&amp;sourceID=14","4.7")</f>
        <v>4.7</v>
      </c>
      <c r="G9681" s="4" t="str">
        <f>HYPERLINK("http://141.218.60.56/~jnz1568/getInfo.php?workbook=10_05.xlsx&amp;sheet=U0&amp;row=9681&amp;col=7&amp;number=0.00813&amp;sourceID=14","0.00813")</f>
        <v>0.00813</v>
      </c>
    </row>
    <row r="9682" spans="1:7">
      <c r="A9682" s="3"/>
      <c r="B9682" s="3"/>
      <c r="C9682" s="3"/>
      <c r="D9682" s="3"/>
      <c r="E9682" s="3">
        <v>19</v>
      </c>
      <c r="F9682" s="4" t="str">
        <f>HYPERLINK("http://141.218.60.56/~jnz1568/getInfo.php?workbook=10_05.xlsx&amp;sheet=U0&amp;row=9682&amp;col=6&amp;number=4.8&amp;sourceID=14","4.8")</f>
        <v>4.8</v>
      </c>
      <c r="G9682" s="4" t="str">
        <f>HYPERLINK("http://141.218.60.56/~jnz1568/getInfo.php?workbook=10_05.xlsx&amp;sheet=U0&amp;row=9682&amp;col=7&amp;number=0.00766&amp;sourceID=14","0.00766")</f>
        <v>0.00766</v>
      </c>
    </row>
    <row r="9683" spans="1:7">
      <c r="A9683" s="3"/>
      <c r="B9683" s="3"/>
      <c r="C9683" s="3"/>
      <c r="D9683" s="3"/>
      <c r="E9683" s="3">
        <v>20</v>
      </c>
      <c r="F9683" s="4" t="str">
        <f>HYPERLINK("http://141.218.60.56/~jnz1568/getInfo.php?workbook=10_05.xlsx&amp;sheet=U0&amp;row=9683&amp;col=6&amp;number=4.9&amp;sourceID=14","4.9")</f>
        <v>4.9</v>
      </c>
      <c r="G9683" s="4" t="str">
        <f>HYPERLINK("http://141.218.60.56/~jnz1568/getInfo.php?workbook=10_05.xlsx&amp;sheet=U0&amp;row=9683&amp;col=7&amp;number=0.00726&amp;sourceID=14","0.00726")</f>
        <v>0.00726</v>
      </c>
    </row>
    <row r="9684" spans="1:7">
      <c r="A9684" s="3">
        <v>10</v>
      </c>
      <c r="B9684" s="3">
        <v>5</v>
      </c>
      <c r="C9684" s="3">
        <v>3</v>
      </c>
      <c r="D9684" s="3">
        <v>131</v>
      </c>
      <c r="E9684" s="3">
        <v>1</v>
      </c>
      <c r="F9684" s="4" t="str">
        <f>HYPERLINK("http://141.218.60.56/~jnz1568/getInfo.php?workbook=10_05.xlsx&amp;sheet=U0&amp;row=9684&amp;col=6&amp;number=3&amp;sourceID=14","3")</f>
        <v>3</v>
      </c>
      <c r="G9684" s="4" t="str">
        <f>HYPERLINK("http://141.218.60.56/~jnz1568/getInfo.php?workbook=10_05.xlsx&amp;sheet=U0&amp;row=9684&amp;col=7&amp;number=0.0495&amp;sourceID=14","0.0495")</f>
        <v>0.0495</v>
      </c>
    </row>
    <row r="9685" spans="1:7">
      <c r="A9685" s="3"/>
      <c r="B9685" s="3"/>
      <c r="C9685" s="3"/>
      <c r="D9685" s="3"/>
      <c r="E9685" s="3">
        <v>2</v>
      </c>
      <c r="F9685" s="4" t="str">
        <f>HYPERLINK("http://141.218.60.56/~jnz1568/getInfo.php?workbook=10_05.xlsx&amp;sheet=U0&amp;row=9685&amp;col=6&amp;number=3.1&amp;sourceID=14","3.1")</f>
        <v>3.1</v>
      </c>
      <c r="G9685" s="4" t="str">
        <f>HYPERLINK("http://141.218.60.56/~jnz1568/getInfo.php?workbook=10_05.xlsx&amp;sheet=U0&amp;row=9685&amp;col=7&amp;number=0.0493&amp;sourceID=14","0.0493")</f>
        <v>0.0493</v>
      </c>
    </row>
    <row r="9686" spans="1:7">
      <c r="A9686" s="3"/>
      <c r="B9686" s="3"/>
      <c r="C9686" s="3"/>
      <c r="D9686" s="3"/>
      <c r="E9686" s="3">
        <v>3</v>
      </c>
      <c r="F9686" s="4" t="str">
        <f>HYPERLINK("http://141.218.60.56/~jnz1568/getInfo.php?workbook=10_05.xlsx&amp;sheet=U0&amp;row=9686&amp;col=6&amp;number=3.2&amp;sourceID=14","3.2")</f>
        <v>3.2</v>
      </c>
      <c r="G9686" s="4" t="str">
        <f>HYPERLINK("http://141.218.60.56/~jnz1568/getInfo.php?workbook=10_05.xlsx&amp;sheet=U0&amp;row=9686&amp;col=7&amp;number=0.049&amp;sourceID=14","0.049")</f>
        <v>0.049</v>
      </c>
    </row>
    <row r="9687" spans="1:7">
      <c r="A9687" s="3"/>
      <c r="B9687" s="3"/>
      <c r="C9687" s="3"/>
      <c r="D9687" s="3"/>
      <c r="E9687" s="3">
        <v>4</v>
      </c>
      <c r="F9687" s="4" t="str">
        <f>HYPERLINK("http://141.218.60.56/~jnz1568/getInfo.php?workbook=10_05.xlsx&amp;sheet=U0&amp;row=9687&amp;col=6&amp;number=3.3&amp;sourceID=14","3.3")</f>
        <v>3.3</v>
      </c>
      <c r="G9687" s="4" t="str">
        <f>HYPERLINK("http://141.218.60.56/~jnz1568/getInfo.php?workbook=10_05.xlsx&amp;sheet=U0&amp;row=9687&amp;col=7&amp;number=0.0487&amp;sourceID=14","0.0487")</f>
        <v>0.0487</v>
      </c>
    </row>
    <row r="9688" spans="1:7">
      <c r="A9688" s="3"/>
      <c r="B9688" s="3"/>
      <c r="C9688" s="3"/>
      <c r="D9688" s="3"/>
      <c r="E9688" s="3">
        <v>5</v>
      </c>
      <c r="F9688" s="4" t="str">
        <f>HYPERLINK("http://141.218.60.56/~jnz1568/getInfo.php?workbook=10_05.xlsx&amp;sheet=U0&amp;row=9688&amp;col=6&amp;number=3.4&amp;sourceID=14","3.4")</f>
        <v>3.4</v>
      </c>
      <c r="G9688" s="4" t="str">
        <f>HYPERLINK("http://141.218.60.56/~jnz1568/getInfo.php?workbook=10_05.xlsx&amp;sheet=U0&amp;row=9688&amp;col=7&amp;number=0.0483&amp;sourceID=14","0.0483")</f>
        <v>0.0483</v>
      </c>
    </row>
    <row r="9689" spans="1:7">
      <c r="A9689" s="3"/>
      <c r="B9689" s="3"/>
      <c r="C9689" s="3"/>
      <c r="D9689" s="3"/>
      <c r="E9689" s="3">
        <v>6</v>
      </c>
      <c r="F9689" s="4" t="str">
        <f>HYPERLINK("http://141.218.60.56/~jnz1568/getInfo.php?workbook=10_05.xlsx&amp;sheet=U0&amp;row=9689&amp;col=6&amp;number=3.5&amp;sourceID=14","3.5")</f>
        <v>3.5</v>
      </c>
      <c r="G9689" s="4" t="str">
        <f>HYPERLINK("http://141.218.60.56/~jnz1568/getInfo.php?workbook=10_05.xlsx&amp;sheet=U0&amp;row=9689&amp;col=7&amp;number=0.0479&amp;sourceID=14","0.0479")</f>
        <v>0.0479</v>
      </c>
    </row>
    <row r="9690" spans="1:7">
      <c r="A9690" s="3"/>
      <c r="B9690" s="3"/>
      <c r="C9690" s="3"/>
      <c r="D9690" s="3"/>
      <c r="E9690" s="3">
        <v>7</v>
      </c>
      <c r="F9690" s="4" t="str">
        <f>HYPERLINK("http://141.218.60.56/~jnz1568/getInfo.php?workbook=10_05.xlsx&amp;sheet=U0&amp;row=9690&amp;col=6&amp;number=3.6&amp;sourceID=14","3.6")</f>
        <v>3.6</v>
      </c>
      <c r="G9690" s="4" t="str">
        <f>HYPERLINK("http://141.218.60.56/~jnz1568/getInfo.php?workbook=10_05.xlsx&amp;sheet=U0&amp;row=9690&amp;col=7&amp;number=0.0473&amp;sourceID=14","0.0473")</f>
        <v>0.0473</v>
      </c>
    </row>
    <row r="9691" spans="1:7">
      <c r="A9691" s="3"/>
      <c r="B9691" s="3"/>
      <c r="C9691" s="3"/>
      <c r="D9691" s="3"/>
      <c r="E9691" s="3">
        <v>8</v>
      </c>
      <c r="F9691" s="4" t="str">
        <f>HYPERLINK("http://141.218.60.56/~jnz1568/getInfo.php?workbook=10_05.xlsx&amp;sheet=U0&amp;row=9691&amp;col=6&amp;number=3.7&amp;sourceID=14","3.7")</f>
        <v>3.7</v>
      </c>
      <c r="G9691" s="4" t="str">
        <f>HYPERLINK("http://141.218.60.56/~jnz1568/getInfo.php?workbook=10_05.xlsx&amp;sheet=U0&amp;row=9691&amp;col=7&amp;number=0.0466&amp;sourceID=14","0.0466")</f>
        <v>0.0466</v>
      </c>
    </row>
    <row r="9692" spans="1:7">
      <c r="A9692" s="3"/>
      <c r="B9692" s="3"/>
      <c r="C9692" s="3"/>
      <c r="D9692" s="3"/>
      <c r="E9692" s="3">
        <v>9</v>
      </c>
      <c r="F9692" s="4" t="str">
        <f>HYPERLINK("http://141.218.60.56/~jnz1568/getInfo.php?workbook=10_05.xlsx&amp;sheet=U0&amp;row=9692&amp;col=6&amp;number=3.8&amp;sourceID=14","3.8")</f>
        <v>3.8</v>
      </c>
      <c r="G9692" s="4" t="str">
        <f>HYPERLINK("http://141.218.60.56/~jnz1568/getInfo.php?workbook=10_05.xlsx&amp;sheet=U0&amp;row=9692&amp;col=7&amp;number=0.0457&amp;sourceID=14","0.0457")</f>
        <v>0.0457</v>
      </c>
    </row>
    <row r="9693" spans="1:7">
      <c r="A9693" s="3"/>
      <c r="B9693" s="3"/>
      <c r="C9693" s="3"/>
      <c r="D9693" s="3"/>
      <c r="E9693" s="3">
        <v>10</v>
      </c>
      <c r="F9693" s="4" t="str">
        <f>HYPERLINK("http://141.218.60.56/~jnz1568/getInfo.php?workbook=10_05.xlsx&amp;sheet=U0&amp;row=9693&amp;col=6&amp;number=3.9&amp;sourceID=14","3.9")</f>
        <v>3.9</v>
      </c>
      <c r="G9693" s="4" t="str">
        <f>HYPERLINK("http://141.218.60.56/~jnz1568/getInfo.php?workbook=10_05.xlsx&amp;sheet=U0&amp;row=9693&amp;col=7&amp;number=0.0447&amp;sourceID=14","0.0447")</f>
        <v>0.0447</v>
      </c>
    </row>
    <row r="9694" spans="1:7">
      <c r="A9694" s="3"/>
      <c r="B9694" s="3"/>
      <c r="C9694" s="3"/>
      <c r="D9694" s="3"/>
      <c r="E9694" s="3">
        <v>11</v>
      </c>
      <c r="F9694" s="4" t="str">
        <f>HYPERLINK("http://141.218.60.56/~jnz1568/getInfo.php?workbook=10_05.xlsx&amp;sheet=U0&amp;row=9694&amp;col=6&amp;number=4&amp;sourceID=14","4")</f>
        <v>4</v>
      </c>
      <c r="G9694" s="4" t="str">
        <f>HYPERLINK("http://141.218.60.56/~jnz1568/getInfo.php?workbook=10_05.xlsx&amp;sheet=U0&amp;row=9694&amp;col=7&amp;number=0.0435&amp;sourceID=14","0.0435")</f>
        <v>0.0435</v>
      </c>
    </row>
    <row r="9695" spans="1:7">
      <c r="A9695" s="3"/>
      <c r="B9695" s="3"/>
      <c r="C9695" s="3"/>
      <c r="D9695" s="3"/>
      <c r="E9695" s="3">
        <v>12</v>
      </c>
      <c r="F9695" s="4" t="str">
        <f>HYPERLINK("http://141.218.60.56/~jnz1568/getInfo.php?workbook=10_05.xlsx&amp;sheet=U0&amp;row=9695&amp;col=6&amp;number=4.1&amp;sourceID=14","4.1")</f>
        <v>4.1</v>
      </c>
      <c r="G9695" s="4" t="str">
        <f>HYPERLINK("http://141.218.60.56/~jnz1568/getInfo.php?workbook=10_05.xlsx&amp;sheet=U0&amp;row=9695&amp;col=7&amp;number=0.0423&amp;sourceID=14","0.0423")</f>
        <v>0.0423</v>
      </c>
    </row>
    <row r="9696" spans="1:7">
      <c r="A9696" s="3"/>
      <c r="B9696" s="3"/>
      <c r="C9696" s="3"/>
      <c r="D9696" s="3"/>
      <c r="E9696" s="3">
        <v>13</v>
      </c>
      <c r="F9696" s="4" t="str">
        <f>HYPERLINK("http://141.218.60.56/~jnz1568/getInfo.php?workbook=10_05.xlsx&amp;sheet=U0&amp;row=9696&amp;col=6&amp;number=4.2&amp;sourceID=14","4.2")</f>
        <v>4.2</v>
      </c>
      <c r="G9696" s="4" t="str">
        <f>HYPERLINK("http://141.218.60.56/~jnz1568/getInfo.php?workbook=10_05.xlsx&amp;sheet=U0&amp;row=9696&amp;col=7&amp;number=0.041&amp;sourceID=14","0.041")</f>
        <v>0.041</v>
      </c>
    </row>
    <row r="9697" spans="1:7">
      <c r="A9697" s="3"/>
      <c r="B9697" s="3"/>
      <c r="C9697" s="3"/>
      <c r="D9697" s="3"/>
      <c r="E9697" s="3">
        <v>14</v>
      </c>
      <c r="F9697" s="4" t="str">
        <f>HYPERLINK("http://141.218.60.56/~jnz1568/getInfo.php?workbook=10_05.xlsx&amp;sheet=U0&amp;row=9697&amp;col=6&amp;number=4.3&amp;sourceID=14","4.3")</f>
        <v>4.3</v>
      </c>
      <c r="G9697" s="4" t="str">
        <f>HYPERLINK("http://141.218.60.56/~jnz1568/getInfo.php?workbook=10_05.xlsx&amp;sheet=U0&amp;row=9697&amp;col=7&amp;number=0.0399&amp;sourceID=14","0.0399")</f>
        <v>0.0399</v>
      </c>
    </row>
    <row r="9698" spans="1:7">
      <c r="A9698" s="3"/>
      <c r="B9698" s="3"/>
      <c r="C9698" s="3"/>
      <c r="D9698" s="3"/>
      <c r="E9698" s="3">
        <v>15</v>
      </c>
      <c r="F9698" s="4" t="str">
        <f>HYPERLINK("http://141.218.60.56/~jnz1568/getInfo.php?workbook=10_05.xlsx&amp;sheet=U0&amp;row=9698&amp;col=6&amp;number=4.4&amp;sourceID=14","4.4")</f>
        <v>4.4</v>
      </c>
      <c r="G9698" s="4" t="str">
        <f>HYPERLINK("http://141.218.60.56/~jnz1568/getInfo.php?workbook=10_05.xlsx&amp;sheet=U0&amp;row=9698&amp;col=7&amp;number=0.0392&amp;sourceID=14","0.0392")</f>
        <v>0.0392</v>
      </c>
    </row>
    <row r="9699" spans="1:7">
      <c r="A9699" s="3"/>
      <c r="B9699" s="3"/>
      <c r="C9699" s="3"/>
      <c r="D9699" s="3"/>
      <c r="E9699" s="3">
        <v>16</v>
      </c>
      <c r="F9699" s="4" t="str">
        <f>HYPERLINK("http://141.218.60.56/~jnz1568/getInfo.php?workbook=10_05.xlsx&amp;sheet=U0&amp;row=9699&amp;col=6&amp;number=4.5&amp;sourceID=14","4.5")</f>
        <v>4.5</v>
      </c>
      <c r="G9699" s="4" t="str">
        <f>HYPERLINK("http://141.218.60.56/~jnz1568/getInfo.php?workbook=10_05.xlsx&amp;sheet=U0&amp;row=9699&amp;col=7&amp;number=0.0389&amp;sourceID=14","0.0389")</f>
        <v>0.0389</v>
      </c>
    </row>
    <row r="9700" spans="1:7">
      <c r="A9700" s="3"/>
      <c r="B9700" s="3"/>
      <c r="C9700" s="3"/>
      <c r="D9700" s="3"/>
      <c r="E9700" s="3">
        <v>17</v>
      </c>
      <c r="F9700" s="4" t="str">
        <f>HYPERLINK("http://141.218.60.56/~jnz1568/getInfo.php?workbook=10_05.xlsx&amp;sheet=U0&amp;row=9700&amp;col=6&amp;number=4.6&amp;sourceID=14","4.6")</f>
        <v>4.6</v>
      </c>
      <c r="G9700" s="4" t="str">
        <f>HYPERLINK("http://141.218.60.56/~jnz1568/getInfo.php?workbook=10_05.xlsx&amp;sheet=U0&amp;row=9700&amp;col=7&amp;number=0.0386&amp;sourceID=14","0.0386")</f>
        <v>0.0386</v>
      </c>
    </row>
    <row r="9701" spans="1:7">
      <c r="A9701" s="3"/>
      <c r="B9701" s="3"/>
      <c r="C9701" s="3"/>
      <c r="D9701" s="3"/>
      <c r="E9701" s="3">
        <v>18</v>
      </c>
      <c r="F9701" s="4" t="str">
        <f>HYPERLINK("http://141.218.60.56/~jnz1568/getInfo.php?workbook=10_05.xlsx&amp;sheet=U0&amp;row=9701&amp;col=6&amp;number=4.7&amp;sourceID=14","4.7")</f>
        <v>4.7</v>
      </c>
      <c r="G9701" s="4" t="str">
        <f>HYPERLINK("http://141.218.60.56/~jnz1568/getInfo.php?workbook=10_05.xlsx&amp;sheet=U0&amp;row=9701&amp;col=7&amp;number=0.0381&amp;sourceID=14","0.0381")</f>
        <v>0.0381</v>
      </c>
    </row>
    <row r="9702" spans="1:7">
      <c r="A9702" s="3"/>
      <c r="B9702" s="3"/>
      <c r="C9702" s="3"/>
      <c r="D9702" s="3"/>
      <c r="E9702" s="3">
        <v>19</v>
      </c>
      <c r="F9702" s="4" t="str">
        <f>HYPERLINK("http://141.218.60.56/~jnz1568/getInfo.php?workbook=10_05.xlsx&amp;sheet=U0&amp;row=9702&amp;col=6&amp;number=4.8&amp;sourceID=14","4.8")</f>
        <v>4.8</v>
      </c>
      <c r="G9702" s="4" t="str">
        <f>HYPERLINK("http://141.218.60.56/~jnz1568/getInfo.php?workbook=10_05.xlsx&amp;sheet=U0&amp;row=9702&amp;col=7&amp;number=0.0375&amp;sourceID=14","0.0375")</f>
        <v>0.0375</v>
      </c>
    </row>
    <row r="9703" spans="1:7">
      <c r="A9703" s="3"/>
      <c r="B9703" s="3"/>
      <c r="C9703" s="3"/>
      <c r="D9703" s="3"/>
      <c r="E9703" s="3">
        <v>20</v>
      </c>
      <c r="F9703" s="4" t="str">
        <f>HYPERLINK("http://141.218.60.56/~jnz1568/getInfo.php?workbook=10_05.xlsx&amp;sheet=U0&amp;row=9703&amp;col=6&amp;number=4.9&amp;sourceID=14","4.9")</f>
        <v>4.9</v>
      </c>
      <c r="G9703" s="4" t="str">
        <f>HYPERLINK("http://141.218.60.56/~jnz1568/getInfo.php?workbook=10_05.xlsx&amp;sheet=U0&amp;row=9703&amp;col=7&amp;number=0.037&amp;sourceID=14","0.037")</f>
        <v>0.037</v>
      </c>
    </row>
    <row r="9704" spans="1:7">
      <c r="A9704" s="3">
        <v>10</v>
      </c>
      <c r="B9704" s="3">
        <v>5</v>
      </c>
      <c r="C9704" s="3">
        <v>3</v>
      </c>
      <c r="D9704" s="3">
        <v>132</v>
      </c>
      <c r="E9704" s="3">
        <v>1</v>
      </c>
      <c r="F9704" s="4" t="str">
        <f>HYPERLINK("http://141.218.60.56/~jnz1568/getInfo.php?workbook=10_05.xlsx&amp;sheet=U0&amp;row=9704&amp;col=6&amp;number=3&amp;sourceID=14","3")</f>
        <v>3</v>
      </c>
      <c r="G9704" s="4" t="str">
        <f>HYPERLINK("http://141.218.60.56/~jnz1568/getInfo.php?workbook=10_05.xlsx&amp;sheet=U0&amp;row=9704&amp;col=7&amp;number=0.0184&amp;sourceID=14","0.0184")</f>
        <v>0.0184</v>
      </c>
    </row>
    <row r="9705" spans="1:7">
      <c r="A9705" s="3"/>
      <c r="B9705" s="3"/>
      <c r="C9705" s="3"/>
      <c r="D9705" s="3"/>
      <c r="E9705" s="3">
        <v>2</v>
      </c>
      <c r="F9705" s="4" t="str">
        <f>HYPERLINK("http://141.218.60.56/~jnz1568/getInfo.php?workbook=10_05.xlsx&amp;sheet=U0&amp;row=9705&amp;col=6&amp;number=3.1&amp;sourceID=14","3.1")</f>
        <v>3.1</v>
      </c>
      <c r="G9705" s="4" t="str">
        <f>HYPERLINK("http://141.218.60.56/~jnz1568/getInfo.php?workbook=10_05.xlsx&amp;sheet=U0&amp;row=9705&amp;col=7&amp;number=0.0182&amp;sourceID=14","0.0182")</f>
        <v>0.0182</v>
      </c>
    </row>
    <row r="9706" spans="1:7">
      <c r="A9706" s="3"/>
      <c r="B9706" s="3"/>
      <c r="C9706" s="3"/>
      <c r="D9706" s="3"/>
      <c r="E9706" s="3">
        <v>3</v>
      </c>
      <c r="F9706" s="4" t="str">
        <f>HYPERLINK("http://141.218.60.56/~jnz1568/getInfo.php?workbook=10_05.xlsx&amp;sheet=U0&amp;row=9706&amp;col=6&amp;number=3.2&amp;sourceID=14","3.2")</f>
        <v>3.2</v>
      </c>
      <c r="G9706" s="4" t="str">
        <f>HYPERLINK("http://141.218.60.56/~jnz1568/getInfo.php?workbook=10_05.xlsx&amp;sheet=U0&amp;row=9706&amp;col=7&amp;number=0.018&amp;sourceID=14","0.018")</f>
        <v>0.018</v>
      </c>
    </row>
    <row r="9707" spans="1:7">
      <c r="A9707" s="3"/>
      <c r="B9707" s="3"/>
      <c r="C9707" s="3"/>
      <c r="D9707" s="3"/>
      <c r="E9707" s="3">
        <v>4</v>
      </c>
      <c r="F9707" s="4" t="str">
        <f>HYPERLINK("http://141.218.60.56/~jnz1568/getInfo.php?workbook=10_05.xlsx&amp;sheet=U0&amp;row=9707&amp;col=6&amp;number=3.3&amp;sourceID=14","3.3")</f>
        <v>3.3</v>
      </c>
      <c r="G9707" s="4" t="str">
        <f>HYPERLINK("http://141.218.60.56/~jnz1568/getInfo.php?workbook=10_05.xlsx&amp;sheet=U0&amp;row=9707&amp;col=7&amp;number=0.0177&amp;sourceID=14","0.0177")</f>
        <v>0.0177</v>
      </c>
    </row>
    <row r="9708" spans="1:7">
      <c r="A9708" s="3"/>
      <c r="B9708" s="3"/>
      <c r="C9708" s="3"/>
      <c r="D9708" s="3"/>
      <c r="E9708" s="3">
        <v>5</v>
      </c>
      <c r="F9708" s="4" t="str">
        <f>HYPERLINK("http://141.218.60.56/~jnz1568/getInfo.php?workbook=10_05.xlsx&amp;sheet=U0&amp;row=9708&amp;col=6&amp;number=3.4&amp;sourceID=14","3.4")</f>
        <v>3.4</v>
      </c>
      <c r="G9708" s="4" t="str">
        <f>HYPERLINK("http://141.218.60.56/~jnz1568/getInfo.php?workbook=10_05.xlsx&amp;sheet=U0&amp;row=9708&amp;col=7&amp;number=0.0174&amp;sourceID=14","0.0174")</f>
        <v>0.0174</v>
      </c>
    </row>
    <row r="9709" spans="1:7">
      <c r="A9709" s="3"/>
      <c r="B9709" s="3"/>
      <c r="C9709" s="3"/>
      <c r="D9709" s="3"/>
      <c r="E9709" s="3">
        <v>6</v>
      </c>
      <c r="F9709" s="4" t="str">
        <f>HYPERLINK("http://141.218.60.56/~jnz1568/getInfo.php?workbook=10_05.xlsx&amp;sheet=U0&amp;row=9709&amp;col=6&amp;number=3.5&amp;sourceID=14","3.5")</f>
        <v>3.5</v>
      </c>
      <c r="G9709" s="4" t="str">
        <f>HYPERLINK("http://141.218.60.56/~jnz1568/getInfo.php?workbook=10_05.xlsx&amp;sheet=U0&amp;row=9709&amp;col=7&amp;number=0.017&amp;sourceID=14","0.017")</f>
        <v>0.017</v>
      </c>
    </row>
    <row r="9710" spans="1:7">
      <c r="A9710" s="3"/>
      <c r="B9710" s="3"/>
      <c r="C9710" s="3"/>
      <c r="D9710" s="3"/>
      <c r="E9710" s="3">
        <v>7</v>
      </c>
      <c r="F9710" s="4" t="str">
        <f>HYPERLINK("http://141.218.60.56/~jnz1568/getInfo.php?workbook=10_05.xlsx&amp;sheet=U0&amp;row=9710&amp;col=6&amp;number=3.6&amp;sourceID=14","3.6")</f>
        <v>3.6</v>
      </c>
      <c r="G9710" s="4" t="str">
        <f>HYPERLINK("http://141.218.60.56/~jnz1568/getInfo.php?workbook=10_05.xlsx&amp;sheet=U0&amp;row=9710&amp;col=7&amp;number=0.0165&amp;sourceID=14","0.0165")</f>
        <v>0.0165</v>
      </c>
    </row>
    <row r="9711" spans="1:7">
      <c r="A9711" s="3"/>
      <c r="B9711" s="3"/>
      <c r="C9711" s="3"/>
      <c r="D9711" s="3"/>
      <c r="E9711" s="3">
        <v>8</v>
      </c>
      <c r="F9711" s="4" t="str">
        <f>HYPERLINK("http://141.218.60.56/~jnz1568/getInfo.php?workbook=10_05.xlsx&amp;sheet=U0&amp;row=9711&amp;col=6&amp;number=3.7&amp;sourceID=14","3.7")</f>
        <v>3.7</v>
      </c>
      <c r="G9711" s="4" t="str">
        <f>HYPERLINK("http://141.218.60.56/~jnz1568/getInfo.php?workbook=10_05.xlsx&amp;sheet=U0&amp;row=9711&amp;col=7&amp;number=0.0158&amp;sourceID=14","0.0158")</f>
        <v>0.0158</v>
      </c>
    </row>
    <row r="9712" spans="1:7">
      <c r="A9712" s="3"/>
      <c r="B9712" s="3"/>
      <c r="C9712" s="3"/>
      <c r="D9712" s="3"/>
      <c r="E9712" s="3">
        <v>9</v>
      </c>
      <c r="F9712" s="4" t="str">
        <f>HYPERLINK("http://141.218.60.56/~jnz1568/getInfo.php?workbook=10_05.xlsx&amp;sheet=U0&amp;row=9712&amp;col=6&amp;number=3.8&amp;sourceID=14","3.8")</f>
        <v>3.8</v>
      </c>
      <c r="G9712" s="4" t="str">
        <f>HYPERLINK("http://141.218.60.56/~jnz1568/getInfo.php?workbook=10_05.xlsx&amp;sheet=U0&amp;row=9712&amp;col=7&amp;number=0.0151&amp;sourceID=14","0.0151")</f>
        <v>0.0151</v>
      </c>
    </row>
    <row r="9713" spans="1:7">
      <c r="A9713" s="3"/>
      <c r="B9713" s="3"/>
      <c r="C9713" s="3"/>
      <c r="D9713" s="3"/>
      <c r="E9713" s="3">
        <v>10</v>
      </c>
      <c r="F9713" s="4" t="str">
        <f>HYPERLINK("http://141.218.60.56/~jnz1568/getInfo.php?workbook=10_05.xlsx&amp;sheet=U0&amp;row=9713&amp;col=6&amp;number=3.9&amp;sourceID=14","3.9")</f>
        <v>3.9</v>
      </c>
      <c r="G9713" s="4" t="str">
        <f>HYPERLINK("http://141.218.60.56/~jnz1568/getInfo.php?workbook=10_05.xlsx&amp;sheet=U0&amp;row=9713&amp;col=7&amp;number=0.0142&amp;sourceID=14","0.0142")</f>
        <v>0.0142</v>
      </c>
    </row>
    <row r="9714" spans="1:7">
      <c r="A9714" s="3"/>
      <c r="B9714" s="3"/>
      <c r="C9714" s="3"/>
      <c r="D9714" s="3"/>
      <c r="E9714" s="3">
        <v>11</v>
      </c>
      <c r="F9714" s="4" t="str">
        <f>HYPERLINK("http://141.218.60.56/~jnz1568/getInfo.php?workbook=10_05.xlsx&amp;sheet=U0&amp;row=9714&amp;col=6&amp;number=4&amp;sourceID=14","4")</f>
        <v>4</v>
      </c>
      <c r="G9714" s="4" t="str">
        <f>HYPERLINK("http://141.218.60.56/~jnz1568/getInfo.php?workbook=10_05.xlsx&amp;sheet=U0&amp;row=9714&amp;col=7&amp;number=0.0132&amp;sourceID=14","0.0132")</f>
        <v>0.0132</v>
      </c>
    </row>
    <row r="9715" spans="1:7">
      <c r="A9715" s="3"/>
      <c r="B9715" s="3"/>
      <c r="C9715" s="3"/>
      <c r="D9715" s="3"/>
      <c r="E9715" s="3">
        <v>12</v>
      </c>
      <c r="F9715" s="4" t="str">
        <f>HYPERLINK("http://141.218.60.56/~jnz1568/getInfo.php?workbook=10_05.xlsx&amp;sheet=U0&amp;row=9715&amp;col=6&amp;number=4.1&amp;sourceID=14","4.1")</f>
        <v>4.1</v>
      </c>
      <c r="G9715" s="4" t="str">
        <f>HYPERLINK("http://141.218.60.56/~jnz1568/getInfo.php?workbook=10_05.xlsx&amp;sheet=U0&amp;row=9715&amp;col=7&amp;number=0.0122&amp;sourceID=14","0.0122")</f>
        <v>0.0122</v>
      </c>
    </row>
    <row r="9716" spans="1:7">
      <c r="A9716" s="3"/>
      <c r="B9716" s="3"/>
      <c r="C9716" s="3"/>
      <c r="D9716" s="3"/>
      <c r="E9716" s="3">
        <v>13</v>
      </c>
      <c r="F9716" s="4" t="str">
        <f>HYPERLINK("http://141.218.60.56/~jnz1568/getInfo.php?workbook=10_05.xlsx&amp;sheet=U0&amp;row=9716&amp;col=6&amp;number=4.2&amp;sourceID=14","4.2")</f>
        <v>4.2</v>
      </c>
      <c r="G9716" s="4" t="str">
        <f>HYPERLINK("http://141.218.60.56/~jnz1568/getInfo.php?workbook=10_05.xlsx&amp;sheet=U0&amp;row=9716&amp;col=7&amp;number=0.0111&amp;sourceID=14","0.0111")</f>
        <v>0.0111</v>
      </c>
    </row>
    <row r="9717" spans="1:7">
      <c r="A9717" s="3"/>
      <c r="B9717" s="3"/>
      <c r="C9717" s="3"/>
      <c r="D9717" s="3"/>
      <c r="E9717" s="3">
        <v>14</v>
      </c>
      <c r="F9717" s="4" t="str">
        <f>HYPERLINK("http://141.218.60.56/~jnz1568/getInfo.php?workbook=10_05.xlsx&amp;sheet=U0&amp;row=9717&amp;col=6&amp;number=4.3&amp;sourceID=14","4.3")</f>
        <v>4.3</v>
      </c>
      <c r="G9717" s="4" t="str">
        <f>HYPERLINK("http://141.218.60.56/~jnz1568/getInfo.php?workbook=10_05.xlsx&amp;sheet=U0&amp;row=9717&amp;col=7&amp;number=0.0101&amp;sourceID=14","0.0101")</f>
        <v>0.0101</v>
      </c>
    </row>
    <row r="9718" spans="1:7">
      <c r="A9718" s="3"/>
      <c r="B9718" s="3"/>
      <c r="C9718" s="3"/>
      <c r="D9718" s="3"/>
      <c r="E9718" s="3">
        <v>15</v>
      </c>
      <c r="F9718" s="4" t="str">
        <f>HYPERLINK("http://141.218.60.56/~jnz1568/getInfo.php?workbook=10_05.xlsx&amp;sheet=U0&amp;row=9718&amp;col=6&amp;number=4.4&amp;sourceID=14","4.4")</f>
        <v>4.4</v>
      </c>
      <c r="G9718" s="4" t="str">
        <f>HYPERLINK("http://141.218.60.56/~jnz1568/getInfo.php?workbook=10_05.xlsx&amp;sheet=U0&amp;row=9718&amp;col=7&amp;number=0.00936&amp;sourceID=14","0.00936")</f>
        <v>0.00936</v>
      </c>
    </row>
    <row r="9719" spans="1:7">
      <c r="A9719" s="3"/>
      <c r="B9719" s="3"/>
      <c r="C9719" s="3"/>
      <c r="D9719" s="3"/>
      <c r="E9719" s="3">
        <v>16</v>
      </c>
      <c r="F9719" s="4" t="str">
        <f>HYPERLINK("http://141.218.60.56/~jnz1568/getInfo.php?workbook=10_05.xlsx&amp;sheet=U0&amp;row=9719&amp;col=6&amp;number=4.5&amp;sourceID=14","4.5")</f>
        <v>4.5</v>
      </c>
      <c r="G9719" s="4" t="str">
        <f>HYPERLINK("http://141.218.60.56/~jnz1568/getInfo.php?workbook=10_05.xlsx&amp;sheet=U0&amp;row=9719&amp;col=7&amp;number=0.00874&amp;sourceID=14","0.00874")</f>
        <v>0.00874</v>
      </c>
    </row>
    <row r="9720" spans="1:7">
      <c r="A9720" s="3"/>
      <c r="B9720" s="3"/>
      <c r="C9720" s="3"/>
      <c r="D9720" s="3"/>
      <c r="E9720" s="3">
        <v>17</v>
      </c>
      <c r="F9720" s="4" t="str">
        <f>HYPERLINK("http://141.218.60.56/~jnz1568/getInfo.php?workbook=10_05.xlsx&amp;sheet=U0&amp;row=9720&amp;col=6&amp;number=4.6&amp;sourceID=14","4.6")</f>
        <v>4.6</v>
      </c>
      <c r="G9720" s="4" t="str">
        <f>HYPERLINK("http://141.218.60.56/~jnz1568/getInfo.php?workbook=10_05.xlsx&amp;sheet=U0&amp;row=9720&amp;col=7&amp;number=0.00818&amp;sourceID=14","0.00818")</f>
        <v>0.00818</v>
      </c>
    </row>
    <row r="9721" spans="1:7">
      <c r="A9721" s="3"/>
      <c r="B9721" s="3"/>
      <c r="C9721" s="3"/>
      <c r="D9721" s="3"/>
      <c r="E9721" s="3">
        <v>18</v>
      </c>
      <c r="F9721" s="4" t="str">
        <f>HYPERLINK("http://141.218.60.56/~jnz1568/getInfo.php?workbook=10_05.xlsx&amp;sheet=U0&amp;row=9721&amp;col=6&amp;number=4.7&amp;sourceID=14","4.7")</f>
        <v>4.7</v>
      </c>
      <c r="G9721" s="4" t="str">
        <f>HYPERLINK("http://141.218.60.56/~jnz1568/getInfo.php?workbook=10_05.xlsx&amp;sheet=U0&amp;row=9721&amp;col=7&amp;number=0.00762&amp;sourceID=14","0.00762")</f>
        <v>0.00762</v>
      </c>
    </row>
    <row r="9722" spans="1:7">
      <c r="A9722" s="3"/>
      <c r="B9722" s="3"/>
      <c r="C9722" s="3"/>
      <c r="D9722" s="3"/>
      <c r="E9722" s="3">
        <v>19</v>
      </c>
      <c r="F9722" s="4" t="str">
        <f>HYPERLINK("http://141.218.60.56/~jnz1568/getInfo.php?workbook=10_05.xlsx&amp;sheet=U0&amp;row=9722&amp;col=6&amp;number=4.8&amp;sourceID=14","4.8")</f>
        <v>4.8</v>
      </c>
      <c r="G9722" s="4" t="str">
        <f>HYPERLINK("http://141.218.60.56/~jnz1568/getInfo.php?workbook=10_05.xlsx&amp;sheet=U0&amp;row=9722&amp;col=7&amp;number=0.00711&amp;sourceID=14","0.00711")</f>
        <v>0.00711</v>
      </c>
    </row>
    <row r="9723" spans="1:7">
      <c r="A9723" s="3"/>
      <c r="B9723" s="3"/>
      <c r="C9723" s="3"/>
      <c r="D9723" s="3"/>
      <c r="E9723" s="3">
        <v>20</v>
      </c>
      <c r="F9723" s="4" t="str">
        <f>HYPERLINK("http://141.218.60.56/~jnz1568/getInfo.php?workbook=10_05.xlsx&amp;sheet=U0&amp;row=9723&amp;col=6&amp;number=4.9&amp;sourceID=14","4.9")</f>
        <v>4.9</v>
      </c>
      <c r="G9723" s="4" t="str">
        <f>HYPERLINK("http://141.218.60.56/~jnz1568/getInfo.php?workbook=10_05.xlsx&amp;sheet=U0&amp;row=9723&amp;col=7&amp;number=0.00669&amp;sourceID=14","0.00669")</f>
        <v>0.00669</v>
      </c>
    </row>
    <row r="9724" spans="1:7">
      <c r="A9724" s="3">
        <v>10</v>
      </c>
      <c r="B9724" s="3">
        <v>5</v>
      </c>
      <c r="C9724" s="3">
        <v>3</v>
      </c>
      <c r="D9724" s="3">
        <v>133</v>
      </c>
      <c r="E9724" s="3">
        <v>1</v>
      </c>
      <c r="F9724" s="4" t="str">
        <f>HYPERLINK("http://141.218.60.56/~jnz1568/getInfo.php?workbook=10_05.xlsx&amp;sheet=U0&amp;row=9724&amp;col=6&amp;number=3&amp;sourceID=14","3")</f>
        <v>3</v>
      </c>
      <c r="G9724" s="4" t="str">
        <f>HYPERLINK("http://141.218.60.56/~jnz1568/getInfo.php?workbook=10_05.xlsx&amp;sheet=U0&amp;row=9724&amp;col=7&amp;number=0.0139&amp;sourceID=14","0.0139")</f>
        <v>0.0139</v>
      </c>
    </row>
    <row r="9725" spans="1:7">
      <c r="A9725" s="3"/>
      <c r="B9725" s="3"/>
      <c r="C9725" s="3"/>
      <c r="D9725" s="3"/>
      <c r="E9725" s="3">
        <v>2</v>
      </c>
      <c r="F9725" s="4" t="str">
        <f>HYPERLINK("http://141.218.60.56/~jnz1568/getInfo.php?workbook=10_05.xlsx&amp;sheet=U0&amp;row=9725&amp;col=6&amp;number=3.1&amp;sourceID=14","3.1")</f>
        <v>3.1</v>
      </c>
      <c r="G9725" s="4" t="str">
        <f>HYPERLINK("http://141.218.60.56/~jnz1568/getInfo.php?workbook=10_05.xlsx&amp;sheet=U0&amp;row=9725&amp;col=7&amp;number=0.0137&amp;sourceID=14","0.0137")</f>
        <v>0.0137</v>
      </c>
    </row>
    <row r="9726" spans="1:7">
      <c r="A9726" s="3"/>
      <c r="B9726" s="3"/>
      <c r="C9726" s="3"/>
      <c r="D9726" s="3"/>
      <c r="E9726" s="3">
        <v>3</v>
      </c>
      <c r="F9726" s="4" t="str">
        <f>HYPERLINK("http://141.218.60.56/~jnz1568/getInfo.php?workbook=10_05.xlsx&amp;sheet=U0&amp;row=9726&amp;col=6&amp;number=3.2&amp;sourceID=14","3.2")</f>
        <v>3.2</v>
      </c>
      <c r="G9726" s="4" t="str">
        <f>HYPERLINK("http://141.218.60.56/~jnz1568/getInfo.php?workbook=10_05.xlsx&amp;sheet=U0&amp;row=9726&amp;col=7&amp;number=0.0136&amp;sourceID=14","0.0136")</f>
        <v>0.0136</v>
      </c>
    </row>
    <row r="9727" spans="1:7">
      <c r="A9727" s="3"/>
      <c r="B9727" s="3"/>
      <c r="C9727" s="3"/>
      <c r="D9727" s="3"/>
      <c r="E9727" s="3">
        <v>4</v>
      </c>
      <c r="F9727" s="4" t="str">
        <f>HYPERLINK("http://141.218.60.56/~jnz1568/getInfo.php?workbook=10_05.xlsx&amp;sheet=U0&amp;row=9727&amp;col=6&amp;number=3.3&amp;sourceID=14","3.3")</f>
        <v>3.3</v>
      </c>
      <c r="G9727" s="4" t="str">
        <f>HYPERLINK("http://141.218.60.56/~jnz1568/getInfo.php?workbook=10_05.xlsx&amp;sheet=U0&amp;row=9727&amp;col=7&amp;number=0.0134&amp;sourceID=14","0.0134")</f>
        <v>0.0134</v>
      </c>
    </row>
    <row r="9728" spans="1:7">
      <c r="A9728" s="3"/>
      <c r="B9728" s="3"/>
      <c r="C9728" s="3"/>
      <c r="D9728" s="3"/>
      <c r="E9728" s="3">
        <v>5</v>
      </c>
      <c r="F9728" s="4" t="str">
        <f>HYPERLINK("http://141.218.60.56/~jnz1568/getInfo.php?workbook=10_05.xlsx&amp;sheet=U0&amp;row=9728&amp;col=6&amp;number=3.4&amp;sourceID=14","3.4")</f>
        <v>3.4</v>
      </c>
      <c r="G9728" s="4" t="str">
        <f>HYPERLINK("http://141.218.60.56/~jnz1568/getInfo.php?workbook=10_05.xlsx&amp;sheet=U0&amp;row=9728&amp;col=7&amp;number=0.0132&amp;sourceID=14","0.0132")</f>
        <v>0.0132</v>
      </c>
    </row>
    <row r="9729" spans="1:7">
      <c r="A9729" s="3"/>
      <c r="B9729" s="3"/>
      <c r="C9729" s="3"/>
      <c r="D9729" s="3"/>
      <c r="E9729" s="3">
        <v>6</v>
      </c>
      <c r="F9729" s="4" t="str">
        <f>HYPERLINK("http://141.218.60.56/~jnz1568/getInfo.php?workbook=10_05.xlsx&amp;sheet=U0&amp;row=9729&amp;col=6&amp;number=3.5&amp;sourceID=14","3.5")</f>
        <v>3.5</v>
      </c>
      <c r="G9729" s="4" t="str">
        <f>HYPERLINK("http://141.218.60.56/~jnz1568/getInfo.php?workbook=10_05.xlsx&amp;sheet=U0&amp;row=9729&amp;col=7&amp;number=0.0129&amp;sourceID=14","0.0129")</f>
        <v>0.0129</v>
      </c>
    </row>
    <row r="9730" spans="1:7">
      <c r="A9730" s="3"/>
      <c r="B9730" s="3"/>
      <c r="C9730" s="3"/>
      <c r="D9730" s="3"/>
      <c r="E9730" s="3">
        <v>7</v>
      </c>
      <c r="F9730" s="4" t="str">
        <f>HYPERLINK("http://141.218.60.56/~jnz1568/getInfo.php?workbook=10_05.xlsx&amp;sheet=U0&amp;row=9730&amp;col=6&amp;number=3.6&amp;sourceID=14","3.6")</f>
        <v>3.6</v>
      </c>
      <c r="G9730" s="4" t="str">
        <f>HYPERLINK("http://141.218.60.56/~jnz1568/getInfo.php?workbook=10_05.xlsx&amp;sheet=U0&amp;row=9730&amp;col=7&amp;number=0.0126&amp;sourceID=14","0.0126")</f>
        <v>0.0126</v>
      </c>
    </row>
    <row r="9731" spans="1:7">
      <c r="A9731" s="3"/>
      <c r="B9731" s="3"/>
      <c r="C9731" s="3"/>
      <c r="D9731" s="3"/>
      <c r="E9731" s="3">
        <v>8</v>
      </c>
      <c r="F9731" s="4" t="str">
        <f>HYPERLINK("http://141.218.60.56/~jnz1568/getInfo.php?workbook=10_05.xlsx&amp;sheet=U0&amp;row=9731&amp;col=6&amp;number=3.7&amp;sourceID=14","3.7")</f>
        <v>3.7</v>
      </c>
      <c r="G9731" s="4" t="str">
        <f>HYPERLINK("http://141.218.60.56/~jnz1568/getInfo.php?workbook=10_05.xlsx&amp;sheet=U0&amp;row=9731&amp;col=7&amp;number=0.0122&amp;sourceID=14","0.0122")</f>
        <v>0.0122</v>
      </c>
    </row>
    <row r="9732" spans="1:7">
      <c r="A9732" s="3"/>
      <c r="B9732" s="3"/>
      <c r="C9732" s="3"/>
      <c r="D9732" s="3"/>
      <c r="E9732" s="3">
        <v>9</v>
      </c>
      <c r="F9732" s="4" t="str">
        <f>HYPERLINK("http://141.218.60.56/~jnz1568/getInfo.php?workbook=10_05.xlsx&amp;sheet=U0&amp;row=9732&amp;col=6&amp;number=3.8&amp;sourceID=14","3.8")</f>
        <v>3.8</v>
      </c>
      <c r="G9732" s="4" t="str">
        <f>HYPERLINK("http://141.218.60.56/~jnz1568/getInfo.php?workbook=10_05.xlsx&amp;sheet=U0&amp;row=9732&amp;col=7&amp;number=0.0117&amp;sourceID=14","0.0117")</f>
        <v>0.0117</v>
      </c>
    </row>
    <row r="9733" spans="1:7">
      <c r="A9733" s="3"/>
      <c r="B9733" s="3"/>
      <c r="C9733" s="3"/>
      <c r="D9733" s="3"/>
      <c r="E9733" s="3">
        <v>10</v>
      </c>
      <c r="F9733" s="4" t="str">
        <f>HYPERLINK("http://141.218.60.56/~jnz1568/getInfo.php?workbook=10_05.xlsx&amp;sheet=U0&amp;row=9733&amp;col=6&amp;number=3.9&amp;sourceID=14","3.9")</f>
        <v>3.9</v>
      </c>
      <c r="G9733" s="4" t="str">
        <f>HYPERLINK("http://141.218.60.56/~jnz1568/getInfo.php?workbook=10_05.xlsx&amp;sheet=U0&amp;row=9733&amp;col=7&amp;number=0.0112&amp;sourceID=14","0.0112")</f>
        <v>0.0112</v>
      </c>
    </row>
    <row r="9734" spans="1:7">
      <c r="A9734" s="3"/>
      <c r="B9734" s="3"/>
      <c r="C9734" s="3"/>
      <c r="D9734" s="3"/>
      <c r="E9734" s="3">
        <v>11</v>
      </c>
      <c r="F9734" s="4" t="str">
        <f>HYPERLINK("http://141.218.60.56/~jnz1568/getInfo.php?workbook=10_05.xlsx&amp;sheet=U0&amp;row=9734&amp;col=6&amp;number=4&amp;sourceID=14","4")</f>
        <v>4</v>
      </c>
      <c r="G9734" s="4" t="str">
        <f>HYPERLINK("http://141.218.60.56/~jnz1568/getInfo.php?workbook=10_05.xlsx&amp;sheet=U0&amp;row=9734&amp;col=7&amp;number=0.0105&amp;sourceID=14","0.0105")</f>
        <v>0.0105</v>
      </c>
    </row>
    <row r="9735" spans="1:7">
      <c r="A9735" s="3"/>
      <c r="B9735" s="3"/>
      <c r="C9735" s="3"/>
      <c r="D9735" s="3"/>
      <c r="E9735" s="3">
        <v>12</v>
      </c>
      <c r="F9735" s="4" t="str">
        <f>HYPERLINK("http://141.218.60.56/~jnz1568/getInfo.php?workbook=10_05.xlsx&amp;sheet=U0&amp;row=9735&amp;col=6&amp;number=4.1&amp;sourceID=14","4.1")</f>
        <v>4.1</v>
      </c>
      <c r="G9735" s="4" t="str">
        <f>HYPERLINK("http://141.218.60.56/~jnz1568/getInfo.php?workbook=10_05.xlsx&amp;sheet=U0&amp;row=9735&amp;col=7&amp;number=0.00988&amp;sourceID=14","0.00988")</f>
        <v>0.00988</v>
      </c>
    </row>
    <row r="9736" spans="1:7">
      <c r="A9736" s="3"/>
      <c r="B9736" s="3"/>
      <c r="C9736" s="3"/>
      <c r="D9736" s="3"/>
      <c r="E9736" s="3">
        <v>13</v>
      </c>
      <c r="F9736" s="4" t="str">
        <f>HYPERLINK("http://141.218.60.56/~jnz1568/getInfo.php?workbook=10_05.xlsx&amp;sheet=U0&amp;row=9736&amp;col=6&amp;number=4.2&amp;sourceID=14","4.2")</f>
        <v>4.2</v>
      </c>
      <c r="G9736" s="4" t="str">
        <f>HYPERLINK("http://141.218.60.56/~jnz1568/getInfo.php?workbook=10_05.xlsx&amp;sheet=U0&amp;row=9736&amp;col=7&amp;number=0.00923&amp;sourceID=14","0.00923")</f>
        <v>0.00923</v>
      </c>
    </row>
    <row r="9737" spans="1:7">
      <c r="A9737" s="3"/>
      <c r="B9737" s="3"/>
      <c r="C9737" s="3"/>
      <c r="D9737" s="3"/>
      <c r="E9737" s="3">
        <v>14</v>
      </c>
      <c r="F9737" s="4" t="str">
        <f>HYPERLINK("http://141.218.60.56/~jnz1568/getInfo.php?workbook=10_05.xlsx&amp;sheet=U0&amp;row=9737&amp;col=6&amp;number=4.3&amp;sourceID=14","4.3")</f>
        <v>4.3</v>
      </c>
      <c r="G9737" s="4" t="str">
        <f>HYPERLINK("http://141.218.60.56/~jnz1568/getInfo.php?workbook=10_05.xlsx&amp;sheet=U0&amp;row=9737&amp;col=7&amp;number=0.0086&amp;sourceID=14","0.0086")</f>
        <v>0.0086</v>
      </c>
    </row>
    <row r="9738" spans="1:7">
      <c r="A9738" s="3"/>
      <c r="B9738" s="3"/>
      <c r="C9738" s="3"/>
      <c r="D9738" s="3"/>
      <c r="E9738" s="3">
        <v>15</v>
      </c>
      <c r="F9738" s="4" t="str">
        <f>HYPERLINK("http://141.218.60.56/~jnz1568/getInfo.php?workbook=10_05.xlsx&amp;sheet=U0&amp;row=9738&amp;col=6&amp;number=4.4&amp;sourceID=14","4.4")</f>
        <v>4.4</v>
      </c>
      <c r="G9738" s="4" t="str">
        <f>HYPERLINK("http://141.218.60.56/~jnz1568/getInfo.php?workbook=10_05.xlsx&amp;sheet=U0&amp;row=9738&amp;col=7&amp;number=0.00803&amp;sourceID=14","0.00803")</f>
        <v>0.00803</v>
      </c>
    </row>
    <row r="9739" spans="1:7">
      <c r="A9739" s="3"/>
      <c r="B9739" s="3"/>
      <c r="C9739" s="3"/>
      <c r="D9739" s="3"/>
      <c r="E9739" s="3">
        <v>16</v>
      </c>
      <c r="F9739" s="4" t="str">
        <f>HYPERLINK("http://141.218.60.56/~jnz1568/getInfo.php?workbook=10_05.xlsx&amp;sheet=U0&amp;row=9739&amp;col=6&amp;number=4.5&amp;sourceID=14","4.5")</f>
        <v>4.5</v>
      </c>
      <c r="G9739" s="4" t="str">
        <f>HYPERLINK("http://141.218.60.56/~jnz1568/getInfo.php?workbook=10_05.xlsx&amp;sheet=U0&amp;row=9739&amp;col=7&amp;number=0.00755&amp;sourceID=14","0.00755")</f>
        <v>0.00755</v>
      </c>
    </row>
    <row r="9740" spans="1:7">
      <c r="A9740" s="3"/>
      <c r="B9740" s="3"/>
      <c r="C9740" s="3"/>
      <c r="D9740" s="3"/>
      <c r="E9740" s="3">
        <v>17</v>
      </c>
      <c r="F9740" s="4" t="str">
        <f>HYPERLINK("http://141.218.60.56/~jnz1568/getInfo.php?workbook=10_05.xlsx&amp;sheet=U0&amp;row=9740&amp;col=6&amp;number=4.6&amp;sourceID=14","4.6")</f>
        <v>4.6</v>
      </c>
      <c r="G9740" s="4" t="str">
        <f>HYPERLINK("http://141.218.60.56/~jnz1568/getInfo.php?workbook=10_05.xlsx&amp;sheet=U0&amp;row=9740&amp;col=7&amp;number=0.00714&amp;sourceID=14","0.00714")</f>
        <v>0.00714</v>
      </c>
    </row>
    <row r="9741" spans="1:7">
      <c r="A9741" s="3"/>
      <c r="B9741" s="3"/>
      <c r="C9741" s="3"/>
      <c r="D9741" s="3"/>
      <c r="E9741" s="3">
        <v>18</v>
      </c>
      <c r="F9741" s="4" t="str">
        <f>HYPERLINK("http://141.218.60.56/~jnz1568/getInfo.php?workbook=10_05.xlsx&amp;sheet=U0&amp;row=9741&amp;col=6&amp;number=4.7&amp;sourceID=14","4.7")</f>
        <v>4.7</v>
      </c>
      <c r="G9741" s="4" t="str">
        <f>HYPERLINK("http://141.218.60.56/~jnz1568/getInfo.php?workbook=10_05.xlsx&amp;sheet=U0&amp;row=9741&amp;col=7&amp;number=0.00678&amp;sourceID=14","0.00678")</f>
        <v>0.00678</v>
      </c>
    </row>
    <row r="9742" spans="1:7">
      <c r="A9742" s="3"/>
      <c r="B9742" s="3"/>
      <c r="C9742" s="3"/>
      <c r="D9742" s="3"/>
      <c r="E9742" s="3">
        <v>19</v>
      </c>
      <c r="F9742" s="4" t="str">
        <f>HYPERLINK("http://141.218.60.56/~jnz1568/getInfo.php?workbook=10_05.xlsx&amp;sheet=U0&amp;row=9742&amp;col=6&amp;number=4.8&amp;sourceID=14","4.8")</f>
        <v>4.8</v>
      </c>
      <c r="G9742" s="4" t="str">
        <f>HYPERLINK("http://141.218.60.56/~jnz1568/getInfo.php?workbook=10_05.xlsx&amp;sheet=U0&amp;row=9742&amp;col=7&amp;number=0.00645&amp;sourceID=14","0.00645")</f>
        <v>0.00645</v>
      </c>
    </row>
    <row r="9743" spans="1:7">
      <c r="A9743" s="3"/>
      <c r="B9743" s="3"/>
      <c r="C9743" s="3"/>
      <c r="D9743" s="3"/>
      <c r="E9743" s="3">
        <v>20</v>
      </c>
      <c r="F9743" s="4" t="str">
        <f>HYPERLINK("http://141.218.60.56/~jnz1568/getInfo.php?workbook=10_05.xlsx&amp;sheet=U0&amp;row=9743&amp;col=6&amp;number=4.9&amp;sourceID=14","4.9")</f>
        <v>4.9</v>
      </c>
      <c r="G9743" s="4" t="str">
        <f>HYPERLINK("http://141.218.60.56/~jnz1568/getInfo.php?workbook=10_05.xlsx&amp;sheet=U0&amp;row=9743&amp;col=7&amp;number=0.00617&amp;sourceID=14","0.00617")</f>
        <v>0.00617</v>
      </c>
    </row>
    <row r="9744" spans="1:7">
      <c r="A9744" s="3">
        <v>10</v>
      </c>
      <c r="B9744" s="3">
        <v>5</v>
      </c>
      <c r="C9744" s="3">
        <v>3</v>
      </c>
      <c r="D9744" s="3">
        <v>134</v>
      </c>
      <c r="E9744" s="3">
        <v>1</v>
      </c>
      <c r="F9744" s="4" t="str">
        <f>HYPERLINK("http://141.218.60.56/~jnz1568/getInfo.php?workbook=10_05.xlsx&amp;sheet=U0&amp;row=9744&amp;col=6&amp;number=3&amp;sourceID=14","3")</f>
        <v>3</v>
      </c>
      <c r="G9744" s="4" t="str">
        <f>HYPERLINK("http://141.218.60.56/~jnz1568/getInfo.php?workbook=10_05.xlsx&amp;sheet=U0&amp;row=9744&amp;col=7&amp;number=0.00916&amp;sourceID=14","0.00916")</f>
        <v>0.00916</v>
      </c>
    </row>
    <row r="9745" spans="1:7">
      <c r="A9745" s="3"/>
      <c r="B9745" s="3"/>
      <c r="C9745" s="3"/>
      <c r="D9745" s="3"/>
      <c r="E9745" s="3">
        <v>2</v>
      </c>
      <c r="F9745" s="4" t="str">
        <f>HYPERLINK("http://141.218.60.56/~jnz1568/getInfo.php?workbook=10_05.xlsx&amp;sheet=U0&amp;row=9745&amp;col=6&amp;number=3.1&amp;sourceID=14","3.1")</f>
        <v>3.1</v>
      </c>
      <c r="G9745" s="4" t="str">
        <f>HYPERLINK("http://141.218.60.56/~jnz1568/getInfo.php?workbook=10_05.xlsx&amp;sheet=U0&amp;row=9745&amp;col=7&amp;number=0.00912&amp;sourceID=14","0.00912")</f>
        <v>0.00912</v>
      </c>
    </row>
    <row r="9746" spans="1:7">
      <c r="A9746" s="3"/>
      <c r="B9746" s="3"/>
      <c r="C9746" s="3"/>
      <c r="D9746" s="3"/>
      <c r="E9746" s="3">
        <v>3</v>
      </c>
      <c r="F9746" s="4" t="str">
        <f>HYPERLINK("http://141.218.60.56/~jnz1568/getInfo.php?workbook=10_05.xlsx&amp;sheet=U0&amp;row=9746&amp;col=6&amp;number=3.2&amp;sourceID=14","3.2")</f>
        <v>3.2</v>
      </c>
      <c r="G9746" s="4" t="str">
        <f>HYPERLINK("http://141.218.60.56/~jnz1568/getInfo.php?workbook=10_05.xlsx&amp;sheet=U0&amp;row=9746&amp;col=7&amp;number=0.00906&amp;sourceID=14","0.00906")</f>
        <v>0.00906</v>
      </c>
    </row>
    <row r="9747" spans="1:7">
      <c r="A9747" s="3"/>
      <c r="B9747" s="3"/>
      <c r="C9747" s="3"/>
      <c r="D9747" s="3"/>
      <c r="E9747" s="3">
        <v>4</v>
      </c>
      <c r="F9747" s="4" t="str">
        <f>HYPERLINK("http://141.218.60.56/~jnz1568/getInfo.php?workbook=10_05.xlsx&amp;sheet=U0&amp;row=9747&amp;col=6&amp;number=3.3&amp;sourceID=14","3.3")</f>
        <v>3.3</v>
      </c>
      <c r="G9747" s="4" t="str">
        <f>HYPERLINK("http://141.218.60.56/~jnz1568/getInfo.php?workbook=10_05.xlsx&amp;sheet=U0&amp;row=9747&amp;col=7&amp;number=0.00898&amp;sourceID=14","0.00898")</f>
        <v>0.00898</v>
      </c>
    </row>
    <row r="9748" spans="1:7">
      <c r="A9748" s="3"/>
      <c r="B9748" s="3"/>
      <c r="C9748" s="3"/>
      <c r="D9748" s="3"/>
      <c r="E9748" s="3">
        <v>5</v>
      </c>
      <c r="F9748" s="4" t="str">
        <f>HYPERLINK("http://141.218.60.56/~jnz1568/getInfo.php?workbook=10_05.xlsx&amp;sheet=U0&amp;row=9748&amp;col=6&amp;number=3.4&amp;sourceID=14","3.4")</f>
        <v>3.4</v>
      </c>
      <c r="G9748" s="4" t="str">
        <f>HYPERLINK("http://141.218.60.56/~jnz1568/getInfo.php?workbook=10_05.xlsx&amp;sheet=U0&amp;row=9748&amp;col=7&amp;number=0.00889&amp;sourceID=14","0.00889")</f>
        <v>0.00889</v>
      </c>
    </row>
    <row r="9749" spans="1:7">
      <c r="A9749" s="3"/>
      <c r="B9749" s="3"/>
      <c r="C9749" s="3"/>
      <c r="D9749" s="3"/>
      <c r="E9749" s="3">
        <v>6</v>
      </c>
      <c r="F9749" s="4" t="str">
        <f>HYPERLINK("http://141.218.60.56/~jnz1568/getInfo.php?workbook=10_05.xlsx&amp;sheet=U0&amp;row=9749&amp;col=6&amp;number=3.5&amp;sourceID=14","3.5")</f>
        <v>3.5</v>
      </c>
      <c r="G9749" s="4" t="str">
        <f>HYPERLINK("http://141.218.60.56/~jnz1568/getInfo.php?workbook=10_05.xlsx&amp;sheet=U0&amp;row=9749&amp;col=7&amp;number=0.00878&amp;sourceID=14","0.00878")</f>
        <v>0.00878</v>
      </c>
    </row>
    <row r="9750" spans="1:7">
      <c r="A9750" s="3"/>
      <c r="B9750" s="3"/>
      <c r="C9750" s="3"/>
      <c r="D9750" s="3"/>
      <c r="E9750" s="3">
        <v>7</v>
      </c>
      <c r="F9750" s="4" t="str">
        <f>HYPERLINK("http://141.218.60.56/~jnz1568/getInfo.php?workbook=10_05.xlsx&amp;sheet=U0&amp;row=9750&amp;col=6&amp;number=3.6&amp;sourceID=14","3.6")</f>
        <v>3.6</v>
      </c>
      <c r="G9750" s="4" t="str">
        <f>HYPERLINK("http://141.218.60.56/~jnz1568/getInfo.php?workbook=10_05.xlsx&amp;sheet=U0&amp;row=9750&amp;col=7&amp;number=0.00864&amp;sourceID=14","0.00864")</f>
        <v>0.00864</v>
      </c>
    </row>
    <row r="9751" spans="1:7">
      <c r="A9751" s="3"/>
      <c r="B9751" s="3"/>
      <c r="C9751" s="3"/>
      <c r="D9751" s="3"/>
      <c r="E9751" s="3">
        <v>8</v>
      </c>
      <c r="F9751" s="4" t="str">
        <f>HYPERLINK("http://141.218.60.56/~jnz1568/getInfo.php?workbook=10_05.xlsx&amp;sheet=U0&amp;row=9751&amp;col=6&amp;number=3.7&amp;sourceID=14","3.7")</f>
        <v>3.7</v>
      </c>
      <c r="G9751" s="4" t="str">
        <f>HYPERLINK("http://141.218.60.56/~jnz1568/getInfo.php?workbook=10_05.xlsx&amp;sheet=U0&amp;row=9751&amp;col=7&amp;number=0.00848&amp;sourceID=14","0.00848")</f>
        <v>0.00848</v>
      </c>
    </row>
    <row r="9752" spans="1:7">
      <c r="A9752" s="3"/>
      <c r="B9752" s="3"/>
      <c r="C9752" s="3"/>
      <c r="D9752" s="3"/>
      <c r="E9752" s="3">
        <v>9</v>
      </c>
      <c r="F9752" s="4" t="str">
        <f>HYPERLINK("http://141.218.60.56/~jnz1568/getInfo.php?workbook=10_05.xlsx&amp;sheet=U0&amp;row=9752&amp;col=6&amp;number=3.8&amp;sourceID=14","3.8")</f>
        <v>3.8</v>
      </c>
      <c r="G9752" s="4" t="str">
        <f>HYPERLINK("http://141.218.60.56/~jnz1568/getInfo.php?workbook=10_05.xlsx&amp;sheet=U0&amp;row=9752&amp;col=7&amp;number=0.00828&amp;sourceID=14","0.00828")</f>
        <v>0.00828</v>
      </c>
    </row>
    <row r="9753" spans="1:7">
      <c r="A9753" s="3"/>
      <c r="B9753" s="3"/>
      <c r="C9753" s="3"/>
      <c r="D9753" s="3"/>
      <c r="E9753" s="3">
        <v>10</v>
      </c>
      <c r="F9753" s="4" t="str">
        <f>HYPERLINK("http://141.218.60.56/~jnz1568/getInfo.php?workbook=10_05.xlsx&amp;sheet=U0&amp;row=9753&amp;col=6&amp;number=3.9&amp;sourceID=14","3.9")</f>
        <v>3.9</v>
      </c>
      <c r="G9753" s="4" t="str">
        <f>HYPERLINK("http://141.218.60.56/~jnz1568/getInfo.php?workbook=10_05.xlsx&amp;sheet=U0&amp;row=9753&amp;col=7&amp;number=0.00805&amp;sourceID=14","0.00805")</f>
        <v>0.00805</v>
      </c>
    </row>
    <row r="9754" spans="1:7">
      <c r="A9754" s="3"/>
      <c r="B9754" s="3"/>
      <c r="C9754" s="3"/>
      <c r="D9754" s="3"/>
      <c r="E9754" s="3">
        <v>11</v>
      </c>
      <c r="F9754" s="4" t="str">
        <f>HYPERLINK("http://141.218.60.56/~jnz1568/getInfo.php?workbook=10_05.xlsx&amp;sheet=U0&amp;row=9754&amp;col=6&amp;number=4&amp;sourceID=14","4")</f>
        <v>4</v>
      </c>
      <c r="G9754" s="4" t="str">
        <f>HYPERLINK("http://141.218.60.56/~jnz1568/getInfo.php?workbook=10_05.xlsx&amp;sheet=U0&amp;row=9754&amp;col=7&amp;number=0.00779&amp;sourceID=14","0.00779")</f>
        <v>0.00779</v>
      </c>
    </row>
    <row r="9755" spans="1:7">
      <c r="A9755" s="3"/>
      <c r="B9755" s="3"/>
      <c r="C9755" s="3"/>
      <c r="D9755" s="3"/>
      <c r="E9755" s="3">
        <v>12</v>
      </c>
      <c r="F9755" s="4" t="str">
        <f>HYPERLINK("http://141.218.60.56/~jnz1568/getInfo.php?workbook=10_05.xlsx&amp;sheet=U0&amp;row=9755&amp;col=6&amp;number=4.1&amp;sourceID=14","4.1")</f>
        <v>4.1</v>
      </c>
      <c r="G9755" s="4" t="str">
        <f>HYPERLINK("http://141.218.60.56/~jnz1568/getInfo.php?workbook=10_05.xlsx&amp;sheet=U0&amp;row=9755&amp;col=7&amp;number=0.00753&amp;sourceID=14","0.00753")</f>
        <v>0.00753</v>
      </c>
    </row>
    <row r="9756" spans="1:7">
      <c r="A9756" s="3"/>
      <c r="B9756" s="3"/>
      <c r="C9756" s="3"/>
      <c r="D9756" s="3"/>
      <c r="E9756" s="3">
        <v>13</v>
      </c>
      <c r="F9756" s="4" t="str">
        <f>HYPERLINK("http://141.218.60.56/~jnz1568/getInfo.php?workbook=10_05.xlsx&amp;sheet=U0&amp;row=9756&amp;col=6&amp;number=4.2&amp;sourceID=14","4.2")</f>
        <v>4.2</v>
      </c>
      <c r="G9756" s="4" t="str">
        <f>HYPERLINK("http://141.218.60.56/~jnz1568/getInfo.php?workbook=10_05.xlsx&amp;sheet=U0&amp;row=9756&amp;col=7&amp;number=0.00728&amp;sourceID=14","0.00728")</f>
        <v>0.00728</v>
      </c>
    </row>
    <row r="9757" spans="1:7">
      <c r="A9757" s="3"/>
      <c r="B9757" s="3"/>
      <c r="C9757" s="3"/>
      <c r="D9757" s="3"/>
      <c r="E9757" s="3">
        <v>14</v>
      </c>
      <c r="F9757" s="4" t="str">
        <f>HYPERLINK("http://141.218.60.56/~jnz1568/getInfo.php?workbook=10_05.xlsx&amp;sheet=U0&amp;row=9757&amp;col=6&amp;number=4.3&amp;sourceID=14","4.3")</f>
        <v>4.3</v>
      </c>
      <c r="G9757" s="4" t="str">
        <f>HYPERLINK("http://141.218.60.56/~jnz1568/getInfo.php?workbook=10_05.xlsx&amp;sheet=U0&amp;row=9757&amp;col=7&amp;number=0.00707&amp;sourceID=14","0.00707")</f>
        <v>0.00707</v>
      </c>
    </row>
    <row r="9758" spans="1:7">
      <c r="A9758" s="3"/>
      <c r="B9758" s="3"/>
      <c r="C9758" s="3"/>
      <c r="D9758" s="3"/>
      <c r="E9758" s="3">
        <v>15</v>
      </c>
      <c r="F9758" s="4" t="str">
        <f>HYPERLINK("http://141.218.60.56/~jnz1568/getInfo.php?workbook=10_05.xlsx&amp;sheet=U0&amp;row=9758&amp;col=6&amp;number=4.4&amp;sourceID=14","4.4")</f>
        <v>4.4</v>
      </c>
      <c r="G9758" s="4" t="str">
        <f>HYPERLINK("http://141.218.60.56/~jnz1568/getInfo.php?workbook=10_05.xlsx&amp;sheet=U0&amp;row=9758&amp;col=7&amp;number=0.0069&amp;sourceID=14","0.0069")</f>
        <v>0.0069</v>
      </c>
    </row>
    <row r="9759" spans="1:7">
      <c r="A9759" s="3"/>
      <c r="B9759" s="3"/>
      <c r="C9759" s="3"/>
      <c r="D9759" s="3"/>
      <c r="E9759" s="3">
        <v>16</v>
      </c>
      <c r="F9759" s="4" t="str">
        <f>HYPERLINK("http://141.218.60.56/~jnz1568/getInfo.php?workbook=10_05.xlsx&amp;sheet=U0&amp;row=9759&amp;col=6&amp;number=4.5&amp;sourceID=14","4.5")</f>
        <v>4.5</v>
      </c>
      <c r="G9759" s="4" t="str">
        <f>HYPERLINK("http://141.218.60.56/~jnz1568/getInfo.php?workbook=10_05.xlsx&amp;sheet=U0&amp;row=9759&amp;col=7&amp;number=0.00674&amp;sourceID=14","0.00674")</f>
        <v>0.00674</v>
      </c>
    </row>
    <row r="9760" spans="1:7">
      <c r="A9760" s="3"/>
      <c r="B9760" s="3"/>
      <c r="C9760" s="3"/>
      <c r="D9760" s="3"/>
      <c r="E9760" s="3">
        <v>17</v>
      </c>
      <c r="F9760" s="4" t="str">
        <f>HYPERLINK("http://141.218.60.56/~jnz1568/getInfo.php?workbook=10_05.xlsx&amp;sheet=U0&amp;row=9760&amp;col=6&amp;number=4.6&amp;sourceID=14","4.6")</f>
        <v>4.6</v>
      </c>
      <c r="G9760" s="4" t="str">
        <f>HYPERLINK("http://141.218.60.56/~jnz1568/getInfo.php?workbook=10_05.xlsx&amp;sheet=U0&amp;row=9760&amp;col=7&amp;number=0.00656&amp;sourceID=14","0.00656")</f>
        <v>0.00656</v>
      </c>
    </row>
    <row r="9761" spans="1:7">
      <c r="A9761" s="3"/>
      <c r="B9761" s="3"/>
      <c r="C9761" s="3"/>
      <c r="D9761" s="3"/>
      <c r="E9761" s="3">
        <v>18</v>
      </c>
      <c r="F9761" s="4" t="str">
        <f>HYPERLINK("http://141.218.60.56/~jnz1568/getInfo.php?workbook=10_05.xlsx&amp;sheet=U0&amp;row=9761&amp;col=6&amp;number=4.7&amp;sourceID=14","4.7")</f>
        <v>4.7</v>
      </c>
      <c r="G9761" s="4" t="str">
        <f>HYPERLINK("http://141.218.60.56/~jnz1568/getInfo.php?workbook=10_05.xlsx&amp;sheet=U0&amp;row=9761&amp;col=7&amp;number=0.00636&amp;sourceID=14","0.00636")</f>
        <v>0.00636</v>
      </c>
    </row>
    <row r="9762" spans="1:7">
      <c r="A9762" s="3"/>
      <c r="B9762" s="3"/>
      <c r="C9762" s="3"/>
      <c r="D9762" s="3"/>
      <c r="E9762" s="3">
        <v>19</v>
      </c>
      <c r="F9762" s="4" t="str">
        <f>HYPERLINK("http://141.218.60.56/~jnz1568/getInfo.php?workbook=10_05.xlsx&amp;sheet=U0&amp;row=9762&amp;col=6&amp;number=4.8&amp;sourceID=14","4.8")</f>
        <v>4.8</v>
      </c>
      <c r="G9762" s="4" t="str">
        <f>HYPERLINK("http://141.218.60.56/~jnz1568/getInfo.php?workbook=10_05.xlsx&amp;sheet=U0&amp;row=9762&amp;col=7&amp;number=0.00619&amp;sourceID=14","0.00619")</f>
        <v>0.00619</v>
      </c>
    </row>
    <row r="9763" spans="1:7">
      <c r="A9763" s="3"/>
      <c r="B9763" s="3"/>
      <c r="C9763" s="3"/>
      <c r="D9763" s="3"/>
      <c r="E9763" s="3">
        <v>20</v>
      </c>
      <c r="F9763" s="4" t="str">
        <f>HYPERLINK("http://141.218.60.56/~jnz1568/getInfo.php?workbook=10_05.xlsx&amp;sheet=U0&amp;row=9763&amp;col=6&amp;number=4.9&amp;sourceID=14","4.9")</f>
        <v>4.9</v>
      </c>
      <c r="G9763" s="4" t="str">
        <f>HYPERLINK("http://141.218.60.56/~jnz1568/getInfo.php?workbook=10_05.xlsx&amp;sheet=U0&amp;row=9763&amp;col=7&amp;number=0.00604&amp;sourceID=14","0.00604")</f>
        <v>0.00604</v>
      </c>
    </row>
    <row r="9764" spans="1:7">
      <c r="A9764" s="3">
        <v>10</v>
      </c>
      <c r="B9764" s="3">
        <v>5</v>
      </c>
      <c r="C9764" s="3">
        <v>3</v>
      </c>
      <c r="D9764" s="3">
        <v>135</v>
      </c>
      <c r="E9764" s="3">
        <v>1</v>
      </c>
      <c r="F9764" s="4" t="str">
        <f>HYPERLINK("http://141.218.60.56/~jnz1568/getInfo.php?workbook=10_05.xlsx&amp;sheet=U0&amp;row=9764&amp;col=6&amp;number=3&amp;sourceID=14","3")</f>
        <v>3</v>
      </c>
      <c r="G9764" s="4" t="str">
        <f>HYPERLINK("http://141.218.60.56/~jnz1568/getInfo.php?workbook=10_05.xlsx&amp;sheet=U0&amp;row=9764&amp;col=7&amp;number=0.0124&amp;sourceID=14","0.0124")</f>
        <v>0.0124</v>
      </c>
    </row>
    <row r="9765" spans="1:7">
      <c r="A9765" s="3"/>
      <c r="B9765" s="3"/>
      <c r="C9765" s="3"/>
      <c r="D9765" s="3"/>
      <c r="E9765" s="3">
        <v>2</v>
      </c>
      <c r="F9765" s="4" t="str">
        <f>HYPERLINK("http://141.218.60.56/~jnz1568/getInfo.php?workbook=10_05.xlsx&amp;sheet=U0&amp;row=9765&amp;col=6&amp;number=3.1&amp;sourceID=14","3.1")</f>
        <v>3.1</v>
      </c>
      <c r="G9765" s="4" t="str">
        <f>HYPERLINK("http://141.218.60.56/~jnz1568/getInfo.php?workbook=10_05.xlsx&amp;sheet=U0&amp;row=9765&amp;col=7&amp;number=0.0124&amp;sourceID=14","0.0124")</f>
        <v>0.0124</v>
      </c>
    </row>
    <row r="9766" spans="1:7">
      <c r="A9766" s="3"/>
      <c r="B9766" s="3"/>
      <c r="C9766" s="3"/>
      <c r="D9766" s="3"/>
      <c r="E9766" s="3">
        <v>3</v>
      </c>
      <c r="F9766" s="4" t="str">
        <f>HYPERLINK("http://141.218.60.56/~jnz1568/getInfo.php?workbook=10_05.xlsx&amp;sheet=U0&amp;row=9766&amp;col=6&amp;number=3.2&amp;sourceID=14","3.2")</f>
        <v>3.2</v>
      </c>
      <c r="G9766" s="4" t="str">
        <f>HYPERLINK("http://141.218.60.56/~jnz1568/getInfo.php?workbook=10_05.xlsx&amp;sheet=U0&amp;row=9766&amp;col=7&amp;number=0.0123&amp;sourceID=14","0.0123")</f>
        <v>0.0123</v>
      </c>
    </row>
    <row r="9767" spans="1:7">
      <c r="A9767" s="3"/>
      <c r="B9767" s="3"/>
      <c r="C9767" s="3"/>
      <c r="D9767" s="3"/>
      <c r="E9767" s="3">
        <v>4</v>
      </c>
      <c r="F9767" s="4" t="str">
        <f>HYPERLINK("http://141.218.60.56/~jnz1568/getInfo.php?workbook=10_05.xlsx&amp;sheet=U0&amp;row=9767&amp;col=6&amp;number=3.3&amp;sourceID=14","3.3")</f>
        <v>3.3</v>
      </c>
      <c r="G9767" s="4" t="str">
        <f>HYPERLINK("http://141.218.60.56/~jnz1568/getInfo.php?workbook=10_05.xlsx&amp;sheet=U0&amp;row=9767&amp;col=7&amp;number=0.0122&amp;sourceID=14","0.0122")</f>
        <v>0.0122</v>
      </c>
    </row>
    <row r="9768" spans="1:7">
      <c r="A9768" s="3"/>
      <c r="B9768" s="3"/>
      <c r="C9768" s="3"/>
      <c r="D9768" s="3"/>
      <c r="E9768" s="3">
        <v>5</v>
      </c>
      <c r="F9768" s="4" t="str">
        <f>HYPERLINK("http://141.218.60.56/~jnz1568/getInfo.php?workbook=10_05.xlsx&amp;sheet=U0&amp;row=9768&amp;col=6&amp;number=3.4&amp;sourceID=14","3.4")</f>
        <v>3.4</v>
      </c>
      <c r="G9768" s="4" t="str">
        <f>HYPERLINK("http://141.218.60.56/~jnz1568/getInfo.php?workbook=10_05.xlsx&amp;sheet=U0&amp;row=9768&amp;col=7&amp;number=0.012&amp;sourceID=14","0.012")</f>
        <v>0.012</v>
      </c>
    </row>
    <row r="9769" spans="1:7">
      <c r="A9769" s="3"/>
      <c r="B9769" s="3"/>
      <c r="C9769" s="3"/>
      <c r="D9769" s="3"/>
      <c r="E9769" s="3">
        <v>6</v>
      </c>
      <c r="F9769" s="4" t="str">
        <f>HYPERLINK("http://141.218.60.56/~jnz1568/getInfo.php?workbook=10_05.xlsx&amp;sheet=U0&amp;row=9769&amp;col=6&amp;number=3.5&amp;sourceID=14","3.5")</f>
        <v>3.5</v>
      </c>
      <c r="G9769" s="4" t="str">
        <f>HYPERLINK("http://141.218.60.56/~jnz1568/getInfo.php?workbook=10_05.xlsx&amp;sheet=U0&amp;row=9769&amp;col=7&amp;number=0.0119&amp;sourceID=14","0.0119")</f>
        <v>0.0119</v>
      </c>
    </row>
    <row r="9770" spans="1:7">
      <c r="A9770" s="3"/>
      <c r="B9770" s="3"/>
      <c r="C9770" s="3"/>
      <c r="D9770" s="3"/>
      <c r="E9770" s="3">
        <v>7</v>
      </c>
      <c r="F9770" s="4" t="str">
        <f>HYPERLINK("http://141.218.60.56/~jnz1568/getInfo.php?workbook=10_05.xlsx&amp;sheet=U0&amp;row=9770&amp;col=6&amp;number=3.6&amp;sourceID=14","3.6")</f>
        <v>3.6</v>
      </c>
      <c r="G9770" s="4" t="str">
        <f>HYPERLINK("http://141.218.60.56/~jnz1568/getInfo.php?workbook=10_05.xlsx&amp;sheet=U0&amp;row=9770&amp;col=7&amp;number=0.0117&amp;sourceID=14","0.0117")</f>
        <v>0.0117</v>
      </c>
    </row>
    <row r="9771" spans="1:7">
      <c r="A9771" s="3"/>
      <c r="B9771" s="3"/>
      <c r="C9771" s="3"/>
      <c r="D9771" s="3"/>
      <c r="E9771" s="3">
        <v>8</v>
      </c>
      <c r="F9771" s="4" t="str">
        <f>HYPERLINK("http://141.218.60.56/~jnz1568/getInfo.php?workbook=10_05.xlsx&amp;sheet=U0&amp;row=9771&amp;col=6&amp;number=3.7&amp;sourceID=14","3.7")</f>
        <v>3.7</v>
      </c>
      <c r="G9771" s="4" t="str">
        <f>HYPERLINK("http://141.218.60.56/~jnz1568/getInfo.php?workbook=10_05.xlsx&amp;sheet=U0&amp;row=9771&amp;col=7&amp;number=0.0115&amp;sourceID=14","0.0115")</f>
        <v>0.0115</v>
      </c>
    </row>
    <row r="9772" spans="1:7">
      <c r="A9772" s="3"/>
      <c r="B9772" s="3"/>
      <c r="C9772" s="3"/>
      <c r="D9772" s="3"/>
      <c r="E9772" s="3">
        <v>9</v>
      </c>
      <c r="F9772" s="4" t="str">
        <f>HYPERLINK("http://141.218.60.56/~jnz1568/getInfo.php?workbook=10_05.xlsx&amp;sheet=U0&amp;row=9772&amp;col=6&amp;number=3.8&amp;sourceID=14","3.8")</f>
        <v>3.8</v>
      </c>
      <c r="G9772" s="4" t="str">
        <f>HYPERLINK("http://141.218.60.56/~jnz1568/getInfo.php?workbook=10_05.xlsx&amp;sheet=U0&amp;row=9772&amp;col=7&amp;number=0.0112&amp;sourceID=14","0.0112")</f>
        <v>0.0112</v>
      </c>
    </row>
    <row r="9773" spans="1:7">
      <c r="A9773" s="3"/>
      <c r="B9773" s="3"/>
      <c r="C9773" s="3"/>
      <c r="D9773" s="3"/>
      <c r="E9773" s="3">
        <v>10</v>
      </c>
      <c r="F9773" s="4" t="str">
        <f>HYPERLINK("http://141.218.60.56/~jnz1568/getInfo.php?workbook=10_05.xlsx&amp;sheet=U0&amp;row=9773&amp;col=6&amp;number=3.9&amp;sourceID=14","3.9")</f>
        <v>3.9</v>
      </c>
      <c r="G9773" s="4" t="str">
        <f>HYPERLINK("http://141.218.60.56/~jnz1568/getInfo.php?workbook=10_05.xlsx&amp;sheet=U0&amp;row=9773&amp;col=7&amp;number=0.0108&amp;sourceID=14","0.0108")</f>
        <v>0.0108</v>
      </c>
    </row>
    <row r="9774" spans="1:7">
      <c r="A9774" s="3"/>
      <c r="B9774" s="3"/>
      <c r="C9774" s="3"/>
      <c r="D9774" s="3"/>
      <c r="E9774" s="3">
        <v>11</v>
      </c>
      <c r="F9774" s="4" t="str">
        <f>HYPERLINK("http://141.218.60.56/~jnz1568/getInfo.php?workbook=10_05.xlsx&amp;sheet=U0&amp;row=9774&amp;col=6&amp;number=4&amp;sourceID=14","4")</f>
        <v>4</v>
      </c>
      <c r="G9774" s="4" t="str">
        <f>HYPERLINK("http://141.218.60.56/~jnz1568/getInfo.php?workbook=10_05.xlsx&amp;sheet=U0&amp;row=9774&amp;col=7&amp;number=0.0105&amp;sourceID=14","0.0105")</f>
        <v>0.0105</v>
      </c>
    </row>
    <row r="9775" spans="1:7">
      <c r="A9775" s="3"/>
      <c r="B9775" s="3"/>
      <c r="C9775" s="3"/>
      <c r="D9775" s="3"/>
      <c r="E9775" s="3">
        <v>12</v>
      </c>
      <c r="F9775" s="4" t="str">
        <f>HYPERLINK("http://141.218.60.56/~jnz1568/getInfo.php?workbook=10_05.xlsx&amp;sheet=U0&amp;row=9775&amp;col=6&amp;number=4.1&amp;sourceID=14","4.1")</f>
        <v>4.1</v>
      </c>
      <c r="G9775" s="4" t="str">
        <f>HYPERLINK("http://141.218.60.56/~jnz1568/getInfo.php?workbook=10_05.xlsx&amp;sheet=U0&amp;row=9775&amp;col=7&amp;number=0.0101&amp;sourceID=14","0.0101")</f>
        <v>0.0101</v>
      </c>
    </row>
    <row r="9776" spans="1:7">
      <c r="A9776" s="3"/>
      <c r="B9776" s="3"/>
      <c r="C9776" s="3"/>
      <c r="D9776" s="3"/>
      <c r="E9776" s="3">
        <v>13</v>
      </c>
      <c r="F9776" s="4" t="str">
        <f>HYPERLINK("http://141.218.60.56/~jnz1568/getInfo.php?workbook=10_05.xlsx&amp;sheet=U0&amp;row=9776&amp;col=6&amp;number=4.2&amp;sourceID=14","4.2")</f>
        <v>4.2</v>
      </c>
      <c r="G9776" s="4" t="str">
        <f>HYPERLINK("http://141.218.60.56/~jnz1568/getInfo.php?workbook=10_05.xlsx&amp;sheet=U0&amp;row=9776&amp;col=7&amp;number=0.00971&amp;sourceID=14","0.00971")</f>
        <v>0.00971</v>
      </c>
    </row>
    <row r="9777" spans="1:7">
      <c r="A9777" s="3"/>
      <c r="B9777" s="3"/>
      <c r="C9777" s="3"/>
      <c r="D9777" s="3"/>
      <c r="E9777" s="3">
        <v>14</v>
      </c>
      <c r="F9777" s="4" t="str">
        <f>HYPERLINK("http://141.218.60.56/~jnz1568/getInfo.php?workbook=10_05.xlsx&amp;sheet=U0&amp;row=9777&amp;col=6&amp;number=4.3&amp;sourceID=14","4.3")</f>
        <v>4.3</v>
      </c>
      <c r="G9777" s="4" t="str">
        <f>HYPERLINK("http://141.218.60.56/~jnz1568/getInfo.php?workbook=10_05.xlsx&amp;sheet=U0&amp;row=9777&amp;col=7&amp;number=0.0094&amp;sourceID=14","0.0094")</f>
        <v>0.0094</v>
      </c>
    </row>
    <row r="9778" spans="1:7">
      <c r="A9778" s="3"/>
      <c r="B9778" s="3"/>
      <c r="C9778" s="3"/>
      <c r="D9778" s="3"/>
      <c r="E9778" s="3">
        <v>15</v>
      </c>
      <c r="F9778" s="4" t="str">
        <f>HYPERLINK("http://141.218.60.56/~jnz1568/getInfo.php?workbook=10_05.xlsx&amp;sheet=U0&amp;row=9778&amp;col=6&amp;number=4.4&amp;sourceID=14","4.4")</f>
        <v>4.4</v>
      </c>
      <c r="G9778" s="4" t="str">
        <f>HYPERLINK("http://141.218.60.56/~jnz1568/getInfo.php?workbook=10_05.xlsx&amp;sheet=U0&amp;row=9778&amp;col=7&amp;number=0.00918&amp;sourceID=14","0.00918")</f>
        <v>0.00918</v>
      </c>
    </row>
    <row r="9779" spans="1:7">
      <c r="A9779" s="3"/>
      <c r="B9779" s="3"/>
      <c r="C9779" s="3"/>
      <c r="D9779" s="3"/>
      <c r="E9779" s="3">
        <v>16</v>
      </c>
      <c r="F9779" s="4" t="str">
        <f>HYPERLINK("http://141.218.60.56/~jnz1568/getInfo.php?workbook=10_05.xlsx&amp;sheet=U0&amp;row=9779&amp;col=6&amp;number=4.5&amp;sourceID=14","4.5")</f>
        <v>4.5</v>
      </c>
      <c r="G9779" s="4" t="str">
        <f>HYPERLINK("http://141.218.60.56/~jnz1568/getInfo.php?workbook=10_05.xlsx&amp;sheet=U0&amp;row=9779&amp;col=7&amp;number=0.00901&amp;sourceID=14","0.00901")</f>
        <v>0.00901</v>
      </c>
    </row>
    <row r="9780" spans="1:7">
      <c r="A9780" s="3"/>
      <c r="B9780" s="3"/>
      <c r="C9780" s="3"/>
      <c r="D9780" s="3"/>
      <c r="E9780" s="3">
        <v>17</v>
      </c>
      <c r="F9780" s="4" t="str">
        <f>HYPERLINK("http://141.218.60.56/~jnz1568/getInfo.php?workbook=10_05.xlsx&amp;sheet=U0&amp;row=9780&amp;col=6&amp;number=4.6&amp;sourceID=14","4.6")</f>
        <v>4.6</v>
      </c>
      <c r="G9780" s="4" t="str">
        <f>HYPERLINK("http://141.218.60.56/~jnz1568/getInfo.php?workbook=10_05.xlsx&amp;sheet=U0&amp;row=9780&amp;col=7&amp;number=0.00883&amp;sourceID=14","0.00883")</f>
        <v>0.00883</v>
      </c>
    </row>
    <row r="9781" spans="1:7">
      <c r="A9781" s="3"/>
      <c r="B9781" s="3"/>
      <c r="C9781" s="3"/>
      <c r="D9781" s="3"/>
      <c r="E9781" s="3">
        <v>18</v>
      </c>
      <c r="F9781" s="4" t="str">
        <f>HYPERLINK("http://141.218.60.56/~jnz1568/getInfo.php?workbook=10_05.xlsx&amp;sheet=U0&amp;row=9781&amp;col=6&amp;number=4.7&amp;sourceID=14","4.7")</f>
        <v>4.7</v>
      </c>
      <c r="G9781" s="4" t="str">
        <f>HYPERLINK("http://141.218.60.56/~jnz1568/getInfo.php?workbook=10_05.xlsx&amp;sheet=U0&amp;row=9781&amp;col=7&amp;number=0.0086&amp;sourceID=14","0.0086")</f>
        <v>0.0086</v>
      </c>
    </row>
    <row r="9782" spans="1:7">
      <c r="A9782" s="3"/>
      <c r="B9782" s="3"/>
      <c r="C9782" s="3"/>
      <c r="D9782" s="3"/>
      <c r="E9782" s="3">
        <v>19</v>
      </c>
      <c r="F9782" s="4" t="str">
        <f>HYPERLINK("http://141.218.60.56/~jnz1568/getInfo.php?workbook=10_05.xlsx&amp;sheet=U0&amp;row=9782&amp;col=6&amp;number=4.8&amp;sourceID=14","4.8")</f>
        <v>4.8</v>
      </c>
      <c r="G9782" s="4" t="str">
        <f>HYPERLINK("http://141.218.60.56/~jnz1568/getInfo.php?workbook=10_05.xlsx&amp;sheet=U0&amp;row=9782&amp;col=7&amp;number=0.00837&amp;sourceID=14","0.00837")</f>
        <v>0.00837</v>
      </c>
    </row>
    <row r="9783" spans="1:7">
      <c r="A9783" s="3"/>
      <c r="B9783" s="3"/>
      <c r="C9783" s="3"/>
      <c r="D9783" s="3"/>
      <c r="E9783" s="3">
        <v>20</v>
      </c>
      <c r="F9783" s="4" t="str">
        <f>HYPERLINK("http://141.218.60.56/~jnz1568/getInfo.php?workbook=10_05.xlsx&amp;sheet=U0&amp;row=9783&amp;col=6&amp;number=4.9&amp;sourceID=14","4.9")</f>
        <v>4.9</v>
      </c>
      <c r="G9783" s="4" t="str">
        <f>HYPERLINK("http://141.218.60.56/~jnz1568/getInfo.php?workbook=10_05.xlsx&amp;sheet=U0&amp;row=9783&amp;col=7&amp;number=0.00818&amp;sourceID=14","0.00818")</f>
        <v>0.00818</v>
      </c>
    </row>
    <row r="9784" spans="1:7">
      <c r="A9784" s="3">
        <v>10</v>
      </c>
      <c r="B9784" s="3">
        <v>5</v>
      </c>
      <c r="C9784" s="3">
        <v>3</v>
      </c>
      <c r="D9784" s="3">
        <v>136</v>
      </c>
      <c r="E9784" s="3">
        <v>1</v>
      </c>
      <c r="F9784" s="4" t="str">
        <f>HYPERLINK("http://141.218.60.56/~jnz1568/getInfo.php?workbook=10_05.xlsx&amp;sheet=U0&amp;row=9784&amp;col=6&amp;number=3&amp;sourceID=14","3")</f>
        <v>3</v>
      </c>
      <c r="G9784" s="4" t="str">
        <f>HYPERLINK("http://141.218.60.56/~jnz1568/getInfo.php?workbook=10_05.xlsx&amp;sheet=U0&amp;row=9784&amp;col=7&amp;number=0.0133&amp;sourceID=14","0.0133")</f>
        <v>0.0133</v>
      </c>
    </row>
    <row r="9785" spans="1:7">
      <c r="A9785" s="3"/>
      <c r="B9785" s="3"/>
      <c r="C9785" s="3"/>
      <c r="D9785" s="3"/>
      <c r="E9785" s="3">
        <v>2</v>
      </c>
      <c r="F9785" s="4" t="str">
        <f>HYPERLINK("http://141.218.60.56/~jnz1568/getInfo.php?workbook=10_05.xlsx&amp;sheet=U0&amp;row=9785&amp;col=6&amp;number=3.1&amp;sourceID=14","3.1")</f>
        <v>3.1</v>
      </c>
      <c r="G9785" s="4" t="str">
        <f>HYPERLINK("http://141.218.60.56/~jnz1568/getInfo.php?workbook=10_05.xlsx&amp;sheet=U0&amp;row=9785&amp;col=7&amp;number=0.0132&amp;sourceID=14","0.0132")</f>
        <v>0.0132</v>
      </c>
    </row>
    <row r="9786" spans="1:7">
      <c r="A9786" s="3"/>
      <c r="B9786" s="3"/>
      <c r="C9786" s="3"/>
      <c r="D9786" s="3"/>
      <c r="E9786" s="3">
        <v>3</v>
      </c>
      <c r="F9786" s="4" t="str">
        <f>HYPERLINK("http://141.218.60.56/~jnz1568/getInfo.php?workbook=10_05.xlsx&amp;sheet=U0&amp;row=9786&amp;col=6&amp;number=3.2&amp;sourceID=14","3.2")</f>
        <v>3.2</v>
      </c>
      <c r="G9786" s="4" t="str">
        <f>HYPERLINK("http://141.218.60.56/~jnz1568/getInfo.php?workbook=10_05.xlsx&amp;sheet=U0&amp;row=9786&amp;col=7&amp;number=0.0131&amp;sourceID=14","0.0131")</f>
        <v>0.0131</v>
      </c>
    </row>
    <row r="9787" spans="1:7">
      <c r="A9787" s="3"/>
      <c r="B9787" s="3"/>
      <c r="C9787" s="3"/>
      <c r="D9787" s="3"/>
      <c r="E9787" s="3">
        <v>4</v>
      </c>
      <c r="F9787" s="4" t="str">
        <f>HYPERLINK("http://141.218.60.56/~jnz1568/getInfo.php?workbook=10_05.xlsx&amp;sheet=U0&amp;row=9787&amp;col=6&amp;number=3.3&amp;sourceID=14","3.3")</f>
        <v>3.3</v>
      </c>
      <c r="G9787" s="4" t="str">
        <f>HYPERLINK("http://141.218.60.56/~jnz1568/getInfo.php?workbook=10_05.xlsx&amp;sheet=U0&amp;row=9787&amp;col=7&amp;number=0.013&amp;sourceID=14","0.013")</f>
        <v>0.013</v>
      </c>
    </row>
    <row r="9788" spans="1:7">
      <c r="A9788" s="3"/>
      <c r="B9788" s="3"/>
      <c r="C9788" s="3"/>
      <c r="D9788" s="3"/>
      <c r="E9788" s="3">
        <v>5</v>
      </c>
      <c r="F9788" s="4" t="str">
        <f>HYPERLINK("http://141.218.60.56/~jnz1568/getInfo.php?workbook=10_05.xlsx&amp;sheet=U0&amp;row=9788&amp;col=6&amp;number=3.4&amp;sourceID=14","3.4")</f>
        <v>3.4</v>
      </c>
      <c r="G9788" s="4" t="str">
        <f>HYPERLINK("http://141.218.60.56/~jnz1568/getInfo.php?workbook=10_05.xlsx&amp;sheet=U0&amp;row=9788&amp;col=7&amp;number=0.0128&amp;sourceID=14","0.0128")</f>
        <v>0.0128</v>
      </c>
    </row>
    <row r="9789" spans="1:7">
      <c r="A9789" s="3"/>
      <c r="B9789" s="3"/>
      <c r="C9789" s="3"/>
      <c r="D9789" s="3"/>
      <c r="E9789" s="3">
        <v>6</v>
      </c>
      <c r="F9789" s="4" t="str">
        <f>HYPERLINK("http://141.218.60.56/~jnz1568/getInfo.php?workbook=10_05.xlsx&amp;sheet=U0&amp;row=9789&amp;col=6&amp;number=3.5&amp;sourceID=14","3.5")</f>
        <v>3.5</v>
      </c>
      <c r="G9789" s="4" t="str">
        <f>HYPERLINK("http://141.218.60.56/~jnz1568/getInfo.php?workbook=10_05.xlsx&amp;sheet=U0&amp;row=9789&amp;col=7&amp;number=0.0126&amp;sourceID=14","0.0126")</f>
        <v>0.0126</v>
      </c>
    </row>
    <row r="9790" spans="1:7">
      <c r="A9790" s="3"/>
      <c r="B9790" s="3"/>
      <c r="C9790" s="3"/>
      <c r="D9790" s="3"/>
      <c r="E9790" s="3">
        <v>7</v>
      </c>
      <c r="F9790" s="4" t="str">
        <f>HYPERLINK("http://141.218.60.56/~jnz1568/getInfo.php?workbook=10_05.xlsx&amp;sheet=U0&amp;row=9790&amp;col=6&amp;number=3.6&amp;sourceID=14","3.6")</f>
        <v>3.6</v>
      </c>
      <c r="G9790" s="4" t="str">
        <f>HYPERLINK("http://141.218.60.56/~jnz1568/getInfo.php?workbook=10_05.xlsx&amp;sheet=U0&amp;row=9790&amp;col=7&amp;number=0.0124&amp;sourceID=14","0.0124")</f>
        <v>0.0124</v>
      </c>
    </row>
    <row r="9791" spans="1:7">
      <c r="A9791" s="3"/>
      <c r="B9791" s="3"/>
      <c r="C9791" s="3"/>
      <c r="D9791" s="3"/>
      <c r="E9791" s="3">
        <v>8</v>
      </c>
      <c r="F9791" s="4" t="str">
        <f>HYPERLINK("http://141.218.60.56/~jnz1568/getInfo.php?workbook=10_05.xlsx&amp;sheet=U0&amp;row=9791&amp;col=6&amp;number=3.7&amp;sourceID=14","3.7")</f>
        <v>3.7</v>
      </c>
      <c r="G9791" s="4" t="str">
        <f>HYPERLINK("http://141.218.60.56/~jnz1568/getInfo.php?workbook=10_05.xlsx&amp;sheet=U0&amp;row=9791&amp;col=7&amp;number=0.0121&amp;sourceID=14","0.0121")</f>
        <v>0.0121</v>
      </c>
    </row>
    <row r="9792" spans="1:7">
      <c r="A9792" s="3"/>
      <c r="B9792" s="3"/>
      <c r="C9792" s="3"/>
      <c r="D9792" s="3"/>
      <c r="E9792" s="3">
        <v>9</v>
      </c>
      <c r="F9792" s="4" t="str">
        <f>HYPERLINK("http://141.218.60.56/~jnz1568/getInfo.php?workbook=10_05.xlsx&amp;sheet=U0&amp;row=9792&amp;col=6&amp;number=3.8&amp;sourceID=14","3.8")</f>
        <v>3.8</v>
      </c>
      <c r="G9792" s="4" t="str">
        <f>HYPERLINK("http://141.218.60.56/~jnz1568/getInfo.php?workbook=10_05.xlsx&amp;sheet=U0&amp;row=9792&amp;col=7&amp;number=0.0118&amp;sourceID=14","0.0118")</f>
        <v>0.0118</v>
      </c>
    </row>
    <row r="9793" spans="1:7">
      <c r="A9793" s="3"/>
      <c r="B9793" s="3"/>
      <c r="C9793" s="3"/>
      <c r="D9793" s="3"/>
      <c r="E9793" s="3">
        <v>10</v>
      </c>
      <c r="F9793" s="4" t="str">
        <f>HYPERLINK("http://141.218.60.56/~jnz1568/getInfo.php?workbook=10_05.xlsx&amp;sheet=U0&amp;row=9793&amp;col=6&amp;number=3.9&amp;sourceID=14","3.9")</f>
        <v>3.9</v>
      </c>
      <c r="G9793" s="4" t="str">
        <f>HYPERLINK("http://141.218.60.56/~jnz1568/getInfo.php?workbook=10_05.xlsx&amp;sheet=U0&amp;row=9793&amp;col=7&amp;number=0.0114&amp;sourceID=14","0.0114")</f>
        <v>0.0114</v>
      </c>
    </row>
    <row r="9794" spans="1:7">
      <c r="A9794" s="3"/>
      <c r="B9794" s="3"/>
      <c r="C9794" s="3"/>
      <c r="D9794" s="3"/>
      <c r="E9794" s="3">
        <v>11</v>
      </c>
      <c r="F9794" s="4" t="str">
        <f>HYPERLINK("http://141.218.60.56/~jnz1568/getInfo.php?workbook=10_05.xlsx&amp;sheet=U0&amp;row=9794&amp;col=6&amp;number=4&amp;sourceID=14","4")</f>
        <v>4</v>
      </c>
      <c r="G9794" s="4" t="str">
        <f>HYPERLINK("http://141.218.60.56/~jnz1568/getInfo.php?workbook=10_05.xlsx&amp;sheet=U0&amp;row=9794&amp;col=7&amp;number=0.011&amp;sourceID=14","0.011")</f>
        <v>0.011</v>
      </c>
    </row>
    <row r="9795" spans="1:7">
      <c r="A9795" s="3"/>
      <c r="B9795" s="3"/>
      <c r="C9795" s="3"/>
      <c r="D9795" s="3"/>
      <c r="E9795" s="3">
        <v>12</v>
      </c>
      <c r="F9795" s="4" t="str">
        <f>HYPERLINK("http://141.218.60.56/~jnz1568/getInfo.php?workbook=10_05.xlsx&amp;sheet=U0&amp;row=9795&amp;col=6&amp;number=4.1&amp;sourceID=14","4.1")</f>
        <v>4.1</v>
      </c>
      <c r="G9795" s="4" t="str">
        <f>HYPERLINK("http://141.218.60.56/~jnz1568/getInfo.php?workbook=10_05.xlsx&amp;sheet=U0&amp;row=9795&amp;col=7&amp;number=0.0106&amp;sourceID=14","0.0106")</f>
        <v>0.0106</v>
      </c>
    </row>
    <row r="9796" spans="1:7">
      <c r="A9796" s="3"/>
      <c r="B9796" s="3"/>
      <c r="C9796" s="3"/>
      <c r="D9796" s="3"/>
      <c r="E9796" s="3">
        <v>13</v>
      </c>
      <c r="F9796" s="4" t="str">
        <f>HYPERLINK("http://141.218.60.56/~jnz1568/getInfo.php?workbook=10_05.xlsx&amp;sheet=U0&amp;row=9796&amp;col=6&amp;number=4.2&amp;sourceID=14","4.2")</f>
        <v>4.2</v>
      </c>
      <c r="G9796" s="4" t="str">
        <f>HYPERLINK("http://141.218.60.56/~jnz1568/getInfo.php?workbook=10_05.xlsx&amp;sheet=U0&amp;row=9796&amp;col=7&amp;number=0.0101&amp;sourceID=14","0.0101")</f>
        <v>0.0101</v>
      </c>
    </row>
    <row r="9797" spans="1:7">
      <c r="A9797" s="3"/>
      <c r="B9797" s="3"/>
      <c r="C9797" s="3"/>
      <c r="D9797" s="3"/>
      <c r="E9797" s="3">
        <v>14</v>
      </c>
      <c r="F9797" s="4" t="str">
        <f>HYPERLINK("http://141.218.60.56/~jnz1568/getInfo.php?workbook=10_05.xlsx&amp;sheet=U0&amp;row=9797&amp;col=6&amp;number=4.3&amp;sourceID=14","4.3")</f>
        <v>4.3</v>
      </c>
      <c r="G9797" s="4" t="str">
        <f>HYPERLINK("http://141.218.60.56/~jnz1568/getInfo.php?workbook=10_05.xlsx&amp;sheet=U0&amp;row=9797&amp;col=7&amp;number=0.00981&amp;sourceID=14","0.00981")</f>
        <v>0.00981</v>
      </c>
    </row>
    <row r="9798" spans="1:7">
      <c r="A9798" s="3"/>
      <c r="B9798" s="3"/>
      <c r="C9798" s="3"/>
      <c r="D9798" s="3"/>
      <c r="E9798" s="3">
        <v>15</v>
      </c>
      <c r="F9798" s="4" t="str">
        <f>HYPERLINK("http://141.218.60.56/~jnz1568/getInfo.php?workbook=10_05.xlsx&amp;sheet=U0&amp;row=9798&amp;col=6&amp;number=4.4&amp;sourceID=14","4.4")</f>
        <v>4.4</v>
      </c>
      <c r="G9798" s="4" t="str">
        <f>HYPERLINK("http://141.218.60.56/~jnz1568/getInfo.php?workbook=10_05.xlsx&amp;sheet=U0&amp;row=9798&amp;col=7&amp;number=0.0096&amp;sourceID=14","0.0096")</f>
        <v>0.0096</v>
      </c>
    </row>
    <row r="9799" spans="1:7">
      <c r="A9799" s="3"/>
      <c r="B9799" s="3"/>
      <c r="C9799" s="3"/>
      <c r="D9799" s="3"/>
      <c r="E9799" s="3">
        <v>16</v>
      </c>
      <c r="F9799" s="4" t="str">
        <f>HYPERLINK("http://141.218.60.56/~jnz1568/getInfo.php?workbook=10_05.xlsx&amp;sheet=U0&amp;row=9799&amp;col=6&amp;number=4.5&amp;sourceID=14","4.5")</f>
        <v>4.5</v>
      </c>
      <c r="G9799" s="4" t="str">
        <f>HYPERLINK("http://141.218.60.56/~jnz1568/getInfo.php?workbook=10_05.xlsx&amp;sheet=U0&amp;row=9799&amp;col=7&amp;number=0.00946&amp;sourceID=14","0.00946")</f>
        <v>0.00946</v>
      </c>
    </row>
    <row r="9800" spans="1:7">
      <c r="A9800" s="3"/>
      <c r="B9800" s="3"/>
      <c r="C9800" s="3"/>
      <c r="D9800" s="3"/>
      <c r="E9800" s="3">
        <v>17</v>
      </c>
      <c r="F9800" s="4" t="str">
        <f>HYPERLINK("http://141.218.60.56/~jnz1568/getInfo.php?workbook=10_05.xlsx&amp;sheet=U0&amp;row=9800&amp;col=6&amp;number=4.6&amp;sourceID=14","4.6")</f>
        <v>4.6</v>
      </c>
      <c r="G9800" s="4" t="str">
        <f>HYPERLINK("http://141.218.60.56/~jnz1568/getInfo.php?workbook=10_05.xlsx&amp;sheet=U0&amp;row=9800&amp;col=7&amp;number=0.0093&amp;sourceID=14","0.0093")</f>
        <v>0.0093</v>
      </c>
    </row>
    <row r="9801" spans="1:7">
      <c r="A9801" s="3"/>
      <c r="B9801" s="3"/>
      <c r="C9801" s="3"/>
      <c r="D9801" s="3"/>
      <c r="E9801" s="3">
        <v>18</v>
      </c>
      <c r="F9801" s="4" t="str">
        <f>HYPERLINK("http://141.218.60.56/~jnz1568/getInfo.php?workbook=10_05.xlsx&amp;sheet=U0&amp;row=9801&amp;col=6&amp;number=4.7&amp;sourceID=14","4.7")</f>
        <v>4.7</v>
      </c>
      <c r="G9801" s="4" t="str">
        <f>HYPERLINK("http://141.218.60.56/~jnz1568/getInfo.php?workbook=10_05.xlsx&amp;sheet=U0&amp;row=9801&amp;col=7&amp;number=0.00907&amp;sourceID=14","0.00907")</f>
        <v>0.00907</v>
      </c>
    </row>
    <row r="9802" spans="1:7">
      <c r="A9802" s="3"/>
      <c r="B9802" s="3"/>
      <c r="C9802" s="3"/>
      <c r="D9802" s="3"/>
      <c r="E9802" s="3">
        <v>19</v>
      </c>
      <c r="F9802" s="4" t="str">
        <f>HYPERLINK("http://141.218.60.56/~jnz1568/getInfo.php?workbook=10_05.xlsx&amp;sheet=U0&amp;row=9802&amp;col=6&amp;number=4.8&amp;sourceID=14","4.8")</f>
        <v>4.8</v>
      </c>
      <c r="G9802" s="4" t="str">
        <f>HYPERLINK("http://141.218.60.56/~jnz1568/getInfo.php?workbook=10_05.xlsx&amp;sheet=U0&amp;row=9802&amp;col=7&amp;number=0.00884&amp;sourceID=14","0.00884")</f>
        <v>0.00884</v>
      </c>
    </row>
    <row r="9803" spans="1:7">
      <c r="A9803" s="3"/>
      <c r="B9803" s="3"/>
      <c r="C9803" s="3"/>
      <c r="D9803" s="3"/>
      <c r="E9803" s="3">
        <v>20</v>
      </c>
      <c r="F9803" s="4" t="str">
        <f>HYPERLINK("http://141.218.60.56/~jnz1568/getInfo.php?workbook=10_05.xlsx&amp;sheet=U0&amp;row=9803&amp;col=6&amp;number=4.9&amp;sourceID=14","4.9")</f>
        <v>4.9</v>
      </c>
      <c r="G9803" s="4" t="str">
        <f>HYPERLINK("http://141.218.60.56/~jnz1568/getInfo.php?workbook=10_05.xlsx&amp;sheet=U0&amp;row=9803&amp;col=7&amp;number=0.00869&amp;sourceID=14","0.00869")</f>
        <v>0.00869</v>
      </c>
    </row>
    <row r="9804" spans="1:7">
      <c r="A9804" s="3">
        <v>10</v>
      </c>
      <c r="B9804" s="3">
        <v>5</v>
      </c>
      <c r="C9804" s="3">
        <v>3</v>
      </c>
      <c r="D9804" s="3">
        <v>137</v>
      </c>
      <c r="E9804" s="3">
        <v>1</v>
      </c>
      <c r="F9804" s="4" t="str">
        <f>HYPERLINK("http://141.218.60.56/~jnz1568/getInfo.php?workbook=10_05.xlsx&amp;sheet=U0&amp;row=9804&amp;col=6&amp;number=3&amp;sourceID=14","3")</f>
        <v>3</v>
      </c>
      <c r="G9804" s="4" t="str">
        <f>HYPERLINK("http://141.218.60.56/~jnz1568/getInfo.php?workbook=10_05.xlsx&amp;sheet=U0&amp;row=9804&amp;col=7&amp;number=0.00536&amp;sourceID=14","0.00536")</f>
        <v>0.00536</v>
      </c>
    </row>
    <row r="9805" spans="1:7">
      <c r="A9805" s="3"/>
      <c r="B9805" s="3"/>
      <c r="C9805" s="3"/>
      <c r="D9805" s="3"/>
      <c r="E9805" s="3">
        <v>2</v>
      </c>
      <c r="F9805" s="4" t="str">
        <f>HYPERLINK("http://141.218.60.56/~jnz1568/getInfo.php?workbook=10_05.xlsx&amp;sheet=U0&amp;row=9805&amp;col=6&amp;number=3.1&amp;sourceID=14","3.1")</f>
        <v>3.1</v>
      </c>
      <c r="G9805" s="4" t="str">
        <f>HYPERLINK("http://141.218.60.56/~jnz1568/getInfo.php?workbook=10_05.xlsx&amp;sheet=U0&amp;row=9805&amp;col=7&amp;number=0.00531&amp;sourceID=14","0.00531")</f>
        <v>0.00531</v>
      </c>
    </row>
    <row r="9806" spans="1:7">
      <c r="A9806" s="3"/>
      <c r="B9806" s="3"/>
      <c r="C9806" s="3"/>
      <c r="D9806" s="3"/>
      <c r="E9806" s="3">
        <v>3</v>
      </c>
      <c r="F9806" s="4" t="str">
        <f>HYPERLINK("http://141.218.60.56/~jnz1568/getInfo.php?workbook=10_05.xlsx&amp;sheet=U0&amp;row=9806&amp;col=6&amp;number=3.2&amp;sourceID=14","3.2")</f>
        <v>3.2</v>
      </c>
      <c r="G9806" s="4" t="str">
        <f>HYPERLINK("http://141.218.60.56/~jnz1568/getInfo.php?workbook=10_05.xlsx&amp;sheet=U0&amp;row=9806&amp;col=7&amp;number=0.00524&amp;sourceID=14","0.00524")</f>
        <v>0.00524</v>
      </c>
    </row>
    <row r="9807" spans="1:7">
      <c r="A9807" s="3"/>
      <c r="B9807" s="3"/>
      <c r="C9807" s="3"/>
      <c r="D9807" s="3"/>
      <c r="E9807" s="3">
        <v>4</v>
      </c>
      <c r="F9807" s="4" t="str">
        <f>HYPERLINK("http://141.218.60.56/~jnz1568/getInfo.php?workbook=10_05.xlsx&amp;sheet=U0&amp;row=9807&amp;col=6&amp;number=3.3&amp;sourceID=14","3.3")</f>
        <v>3.3</v>
      </c>
      <c r="G9807" s="4" t="str">
        <f>HYPERLINK("http://141.218.60.56/~jnz1568/getInfo.php?workbook=10_05.xlsx&amp;sheet=U0&amp;row=9807&amp;col=7&amp;number=0.00516&amp;sourceID=14","0.00516")</f>
        <v>0.00516</v>
      </c>
    </row>
    <row r="9808" spans="1:7">
      <c r="A9808" s="3"/>
      <c r="B9808" s="3"/>
      <c r="C9808" s="3"/>
      <c r="D9808" s="3"/>
      <c r="E9808" s="3">
        <v>5</v>
      </c>
      <c r="F9808" s="4" t="str">
        <f>HYPERLINK("http://141.218.60.56/~jnz1568/getInfo.php?workbook=10_05.xlsx&amp;sheet=U0&amp;row=9808&amp;col=6&amp;number=3.4&amp;sourceID=14","3.4")</f>
        <v>3.4</v>
      </c>
      <c r="G9808" s="4" t="str">
        <f>HYPERLINK("http://141.218.60.56/~jnz1568/getInfo.php?workbook=10_05.xlsx&amp;sheet=U0&amp;row=9808&amp;col=7&amp;number=0.00506&amp;sourceID=14","0.00506")</f>
        <v>0.00506</v>
      </c>
    </row>
    <row r="9809" spans="1:7">
      <c r="A9809" s="3"/>
      <c r="B9809" s="3"/>
      <c r="C9809" s="3"/>
      <c r="D9809" s="3"/>
      <c r="E9809" s="3">
        <v>6</v>
      </c>
      <c r="F9809" s="4" t="str">
        <f>HYPERLINK("http://141.218.60.56/~jnz1568/getInfo.php?workbook=10_05.xlsx&amp;sheet=U0&amp;row=9809&amp;col=6&amp;number=3.5&amp;sourceID=14","3.5")</f>
        <v>3.5</v>
      </c>
      <c r="G9809" s="4" t="str">
        <f>HYPERLINK("http://141.218.60.56/~jnz1568/getInfo.php?workbook=10_05.xlsx&amp;sheet=U0&amp;row=9809&amp;col=7&amp;number=0.00493&amp;sourceID=14","0.00493")</f>
        <v>0.00493</v>
      </c>
    </row>
    <row r="9810" spans="1:7">
      <c r="A9810" s="3"/>
      <c r="B9810" s="3"/>
      <c r="C9810" s="3"/>
      <c r="D9810" s="3"/>
      <c r="E9810" s="3">
        <v>7</v>
      </c>
      <c r="F9810" s="4" t="str">
        <f>HYPERLINK("http://141.218.60.56/~jnz1568/getInfo.php?workbook=10_05.xlsx&amp;sheet=U0&amp;row=9810&amp;col=6&amp;number=3.6&amp;sourceID=14","3.6")</f>
        <v>3.6</v>
      </c>
      <c r="G9810" s="4" t="str">
        <f>HYPERLINK("http://141.218.60.56/~jnz1568/getInfo.php?workbook=10_05.xlsx&amp;sheet=U0&amp;row=9810&amp;col=7&amp;number=0.00478&amp;sourceID=14","0.00478")</f>
        <v>0.00478</v>
      </c>
    </row>
    <row r="9811" spans="1:7">
      <c r="A9811" s="3"/>
      <c r="B9811" s="3"/>
      <c r="C9811" s="3"/>
      <c r="D9811" s="3"/>
      <c r="E9811" s="3">
        <v>8</v>
      </c>
      <c r="F9811" s="4" t="str">
        <f>HYPERLINK("http://141.218.60.56/~jnz1568/getInfo.php?workbook=10_05.xlsx&amp;sheet=U0&amp;row=9811&amp;col=6&amp;number=3.7&amp;sourceID=14","3.7")</f>
        <v>3.7</v>
      </c>
      <c r="G9811" s="4" t="str">
        <f>HYPERLINK("http://141.218.60.56/~jnz1568/getInfo.php?workbook=10_05.xlsx&amp;sheet=U0&amp;row=9811&amp;col=7&amp;number=0.0046&amp;sourceID=14","0.0046")</f>
        <v>0.0046</v>
      </c>
    </row>
    <row r="9812" spans="1:7">
      <c r="A9812" s="3"/>
      <c r="B9812" s="3"/>
      <c r="C9812" s="3"/>
      <c r="D9812" s="3"/>
      <c r="E9812" s="3">
        <v>9</v>
      </c>
      <c r="F9812" s="4" t="str">
        <f>HYPERLINK("http://141.218.60.56/~jnz1568/getInfo.php?workbook=10_05.xlsx&amp;sheet=U0&amp;row=9812&amp;col=6&amp;number=3.8&amp;sourceID=14","3.8")</f>
        <v>3.8</v>
      </c>
      <c r="G9812" s="4" t="str">
        <f>HYPERLINK("http://141.218.60.56/~jnz1568/getInfo.php?workbook=10_05.xlsx&amp;sheet=U0&amp;row=9812&amp;col=7&amp;number=0.00438&amp;sourceID=14","0.00438")</f>
        <v>0.00438</v>
      </c>
    </row>
    <row r="9813" spans="1:7">
      <c r="A9813" s="3"/>
      <c r="B9813" s="3"/>
      <c r="C9813" s="3"/>
      <c r="D9813" s="3"/>
      <c r="E9813" s="3">
        <v>10</v>
      </c>
      <c r="F9813" s="4" t="str">
        <f>HYPERLINK("http://141.218.60.56/~jnz1568/getInfo.php?workbook=10_05.xlsx&amp;sheet=U0&amp;row=9813&amp;col=6&amp;number=3.9&amp;sourceID=14","3.9")</f>
        <v>3.9</v>
      </c>
      <c r="G9813" s="4" t="str">
        <f>HYPERLINK("http://141.218.60.56/~jnz1568/getInfo.php?workbook=10_05.xlsx&amp;sheet=U0&amp;row=9813&amp;col=7&amp;number=0.00414&amp;sourceID=14","0.00414")</f>
        <v>0.00414</v>
      </c>
    </row>
    <row r="9814" spans="1:7">
      <c r="A9814" s="3"/>
      <c r="B9814" s="3"/>
      <c r="C9814" s="3"/>
      <c r="D9814" s="3"/>
      <c r="E9814" s="3">
        <v>11</v>
      </c>
      <c r="F9814" s="4" t="str">
        <f>HYPERLINK("http://141.218.60.56/~jnz1568/getInfo.php?workbook=10_05.xlsx&amp;sheet=U0&amp;row=9814&amp;col=6&amp;number=4&amp;sourceID=14","4")</f>
        <v>4</v>
      </c>
      <c r="G9814" s="4" t="str">
        <f>HYPERLINK("http://141.218.60.56/~jnz1568/getInfo.php?workbook=10_05.xlsx&amp;sheet=U0&amp;row=9814&amp;col=7&amp;number=0.00388&amp;sourceID=14","0.00388")</f>
        <v>0.00388</v>
      </c>
    </row>
    <row r="9815" spans="1:7">
      <c r="A9815" s="3"/>
      <c r="B9815" s="3"/>
      <c r="C9815" s="3"/>
      <c r="D9815" s="3"/>
      <c r="E9815" s="3">
        <v>12</v>
      </c>
      <c r="F9815" s="4" t="str">
        <f>HYPERLINK("http://141.218.60.56/~jnz1568/getInfo.php?workbook=10_05.xlsx&amp;sheet=U0&amp;row=9815&amp;col=6&amp;number=4.1&amp;sourceID=14","4.1")</f>
        <v>4.1</v>
      </c>
      <c r="G9815" s="4" t="str">
        <f>HYPERLINK("http://141.218.60.56/~jnz1568/getInfo.php?workbook=10_05.xlsx&amp;sheet=U0&amp;row=9815&amp;col=7&amp;number=0.00362&amp;sourceID=14","0.00362")</f>
        <v>0.00362</v>
      </c>
    </row>
    <row r="9816" spans="1:7">
      <c r="A9816" s="3"/>
      <c r="B9816" s="3"/>
      <c r="C9816" s="3"/>
      <c r="D9816" s="3"/>
      <c r="E9816" s="3">
        <v>13</v>
      </c>
      <c r="F9816" s="4" t="str">
        <f>HYPERLINK("http://141.218.60.56/~jnz1568/getInfo.php?workbook=10_05.xlsx&amp;sheet=U0&amp;row=9816&amp;col=6&amp;number=4.2&amp;sourceID=14","4.2")</f>
        <v>4.2</v>
      </c>
      <c r="G9816" s="4" t="str">
        <f>HYPERLINK("http://141.218.60.56/~jnz1568/getInfo.php?workbook=10_05.xlsx&amp;sheet=U0&amp;row=9816&amp;col=7&amp;number=0.0034&amp;sourceID=14","0.0034")</f>
        <v>0.0034</v>
      </c>
    </row>
    <row r="9817" spans="1:7">
      <c r="A9817" s="3"/>
      <c r="B9817" s="3"/>
      <c r="C9817" s="3"/>
      <c r="D9817" s="3"/>
      <c r="E9817" s="3">
        <v>14</v>
      </c>
      <c r="F9817" s="4" t="str">
        <f>HYPERLINK("http://141.218.60.56/~jnz1568/getInfo.php?workbook=10_05.xlsx&amp;sheet=U0&amp;row=9817&amp;col=6&amp;number=4.3&amp;sourceID=14","4.3")</f>
        <v>4.3</v>
      </c>
      <c r="G9817" s="4" t="str">
        <f>HYPERLINK("http://141.218.60.56/~jnz1568/getInfo.php?workbook=10_05.xlsx&amp;sheet=U0&amp;row=9817&amp;col=7&amp;number=0.00325&amp;sourceID=14","0.00325")</f>
        <v>0.00325</v>
      </c>
    </row>
    <row r="9818" spans="1:7">
      <c r="A9818" s="3"/>
      <c r="B9818" s="3"/>
      <c r="C9818" s="3"/>
      <c r="D9818" s="3"/>
      <c r="E9818" s="3">
        <v>15</v>
      </c>
      <c r="F9818" s="4" t="str">
        <f>HYPERLINK("http://141.218.60.56/~jnz1568/getInfo.php?workbook=10_05.xlsx&amp;sheet=U0&amp;row=9818&amp;col=6&amp;number=4.4&amp;sourceID=14","4.4")</f>
        <v>4.4</v>
      </c>
      <c r="G9818" s="4" t="str">
        <f>HYPERLINK("http://141.218.60.56/~jnz1568/getInfo.php?workbook=10_05.xlsx&amp;sheet=U0&amp;row=9818&amp;col=7&amp;number=0.00316&amp;sourceID=14","0.00316")</f>
        <v>0.00316</v>
      </c>
    </row>
    <row r="9819" spans="1:7">
      <c r="A9819" s="3"/>
      <c r="B9819" s="3"/>
      <c r="C9819" s="3"/>
      <c r="D9819" s="3"/>
      <c r="E9819" s="3">
        <v>16</v>
      </c>
      <c r="F9819" s="4" t="str">
        <f>HYPERLINK("http://141.218.60.56/~jnz1568/getInfo.php?workbook=10_05.xlsx&amp;sheet=U0&amp;row=9819&amp;col=6&amp;number=4.5&amp;sourceID=14","4.5")</f>
        <v>4.5</v>
      </c>
      <c r="G9819" s="4" t="str">
        <f>HYPERLINK("http://141.218.60.56/~jnz1568/getInfo.php?workbook=10_05.xlsx&amp;sheet=U0&amp;row=9819&amp;col=7&amp;number=0.00308&amp;sourceID=14","0.00308")</f>
        <v>0.00308</v>
      </c>
    </row>
    <row r="9820" spans="1:7">
      <c r="A9820" s="3"/>
      <c r="B9820" s="3"/>
      <c r="C9820" s="3"/>
      <c r="D9820" s="3"/>
      <c r="E9820" s="3">
        <v>17</v>
      </c>
      <c r="F9820" s="4" t="str">
        <f>HYPERLINK("http://141.218.60.56/~jnz1568/getInfo.php?workbook=10_05.xlsx&amp;sheet=U0&amp;row=9820&amp;col=6&amp;number=4.6&amp;sourceID=14","4.6")</f>
        <v>4.6</v>
      </c>
      <c r="G9820" s="4" t="str">
        <f>HYPERLINK("http://141.218.60.56/~jnz1568/getInfo.php?workbook=10_05.xlsx&amp;sheet=U0&amp;row=9820&amp;col=7&amp;number=0.00297&amp;sourceID=14","0.00297")</f>
        <v>0.00297</v>
      </c>
    </row>
    <row r="9821" spans="1:7">
      <c r="A9821" s="3"/>
      <c r="B9821" s="3"/>
      <c r="C9821" s="3"/>
      <c r="D9821" s="3"/>
      <c r="E9821" s="3">
        <v>18</v>
      </c>
      <c r="F9821" s="4" t="str">
        <f>HYPERLINK("http://141.218.60.56/~jnz1568/getInfo.php?workbook=10_05.xlsx&amp;sheet=U0&amp;row=9821&amp;col=6&amp;number=4.7&amp;sourceID=14","4.7")</f>
        <v>4.7</v>
      </c>
      <c r="G9821" s="4" t="str">
        <f>HYPERLINK("http://141.218.60.56/~jnz1568/getInfo.php?workbook=10_05.xlsx&amp;sheet=U0&amp;row=9821&amp;col=7&amp;number=0.00285&amp;sourceID=14","0.00285")</f>
        <v>0.00285</v>
      </c>
    </row>
    <row r="9822" spans="1:7">
      <c r="A9822" s="3"/>
      <c r="B9822" s="3"/>
      <c r="C9822" s="3"/>
      <c r="D9822" s="3"/>
      <c r="E9822" s="3">
        <v>19</v>
      </c>
      <c r="F9822" s="4" t="str">
        <f>HYPERLINK("http://141.218.60.56/~jnz1568/getInfo.php?workbook=10_05.xlsx&amp;sheet=U0&amp;row=9822&amp;col=6&amp;number=4.8&amp;sourceID=14","4.8")</f>
        <v>4.8</v>
      </c>
      <c r="G9822" s="4" t="str">
        <f>HYPERLINK("http://141.218.60.56/~jnz1568/getInfo.php?workbook=10_05.xlsx&amp;sheet=U0&amp;row=9822&amp;col=7&amp;number=0.00274&amp;sourceID=14","0.00274")</f>
        <v>0.00274</v>
      </c>
    </row>
    <row r="9823" spans="1:7">
      <c r="A9823" s="3"/>
      <c r="B9823" s="3"/>
      <c r="C9823" s="3"/>
      <c r="D9823" s="3"/>
      <c r="E9823" s="3">
        <v>20</v>
      </c>
      <c r="F9823" s="4" t="str">
        <f>HYPERLINK("http://141.218.60.56/~jnz1568/getInfo.php?workbook=10_05.xlsx&amp;sheet=U0&amp;row=9823&amp;col=6&amp;number=4.9&amp;sourceID=14","4.9")</f>
        <v>4.9</v>
      </c>
      <c r="G9823" s="4" t="str">
        <f>HYPERLINK("http://141.218.60.56/~jnz1568/getInfo.php?workbook=10_05.xlsx&amp;sheet=U0&amp;row=9823&amp;col=7&amp;number=0.00268&amp;sourceID=14","0.00268")</f>
        <v>0.00268</v>
      </c>
    </row>
    <row r="9824" spans="1:7">
      <c r="A9824" s="3">
        <v>10</v>
      </c>
      <c r="B9824" s="3">
        <v>5</v>
      </c>
      <c r="C9824" s="3">
        <v>3</v>
      </c>
      <c r="D9824" s="3">
        <v>138</v>
      </c>
      <c r="E9824" s="3">
        <v>1</v>
      </c>
      <c r="F9824" s="4" t="str">
        <f>HYPERLINK("http://141.218.60.56/~jnz1568/getInfo.php?workbook=10_05.xlsx&amp;sheet=U0&amp;row=9824&amp;col=6&amp;number=3&amp;sourceID=14","3")</f>
        <v>3</v>
      </c>
      <c r="G9824" s="4" t="str">
        <f>HYPERLINK("http://141.218.60.56/~jnz1568/getInfo.php?workbook=10_05.xlsx&amp;sheet=U0&amp;row=9824&amp;col=7&amp;number=0.000613&amp;sourceID=14","0.000613")</f>
        <v>0.000613</v>
      </c>
    </row>
    <row r="9825" spans="1:7">
      <c r="A9825" s="3"/>
      <c r="B9825" s="3"/>
      <c r="C9825" s="3"/>
      <c r="D9825" s="3"/>
      <c r="E9825" s="3">
        <v>2</v>
      </c>
      <c r="F9825" s="4" t="str">
        <f>HYPERLINK("http://141.218.60.56/~jnz1568/getInfo.php?workbook=10_05.xlsx&amp;sheet=U0&amp;row=9825&amp;col=6&amp;number=3.1&amp;sourceID=14","3.1")</f>
        <v>3.1</v>
      </c>
      <c r="G9825" s="4" t="str">
        <f>HYPERLINK("http://141.218.60.56/~jnz1568/getInfo.php?workbook=10_05.xlsx&amp;sheet=U0&amp;row=9825&amp;col=7&amp;number=0.00061&amp;sourceID=14","0.00061")</f>
        <v>0.00061</v>
      </c>
    </row>
    <row r="9826" spans="1:7">
      <c r="A9826" s="3"/>
      <c r="B9826" s="3"/>
      <c r="C9826" s="3"/>
      <c r="D9826" s="3"/>
      <c r="E9826" s="3">
        <v>3</v>
      </c>
      <c r="F9826" s="4" t="str">
        <f>HYPERLINK("http://141.218.60.56/~jnz1568/getInfo.php?workbook=10_05.xlsx&amp;sheet=U0&amp;row=9826&amp;col=6&amp;number=3.2&amp;sourceID=14","3.2")</f>
        <v>3.2</v>
      </c>
      <c r="G9826" s="4" t="str">
        <f>HYPERLINK("http://141.218.60.56/~jnz1568/getInfo.php?workbook=10_05.xlsx&amp;sheet=U0&amp;row=9826&amp;col=7&amp;number=0.000606&amp;sourceID=14","0.000606")</f>
        <v>0.000606</v>
      </c>
    </row>
    <row r="9827" spans="1:7">
      <c r="A9827" s="3"/>
      <c r="B9827" s="3"/>
      <c r="C9827" s="3"/>
      <c r="D9827" s="3"/>
      <c r="E9827" s="3">
        <v>4</v>
      </c>
      <c r="F9827" s="4" t="str">
        <f>HYPERLINK("http://141.218.60.56/~jnz1568/getInfo.php?workbook=10_05.xlsx&amp;sheet=U0&amp;row=9827&amp;col=6&amp;number=3.3&amp;sourceID=14","3.3")</f>
        <v>3.3</v>
      </c>
      <c r="G9827" s="4" t="str">
        <f>HYPERLINK("http://141.218.60.56/~jnz1568/getInfo.php?workbook=10_05.xlsx&amp;sheet=U0&amp;row=9827&amp;col=7&amp;number=0.000601&amp;sourceID=14","0.000601")</f>
        <v>0.000601</v>
      </c>
    </row>
    <row r="9828" spans="1:7">
      <c r="A9828" s="3"/>
      <c r="B9828" s="3"/>
      <c r="C9828" s="3"/>
      <c r="D9828" s="3"/>
      <c r="E9828" s="3">
        <v>5</v>
      </c>
      <c r="F9828" s="4" t="str">
        <f>HYPERLINK("http://141.218.60.56/~jnz1568/getInfo.php?workbook=10_05.xlsx&amp;sheet=U0&amp;row=9828&amp;col=6&amp;number=3.4&amp;sourceID=14","3.4")</f>
        <v>3.4</v>
      </c>
      <c r="G9828" s="4" t="str">
        <f>HYPERLINK("http://141.218.60.56/~jnz1568/getInfo.php?workbook=10_05.xlsx&amp;sheet=U0&amp;row=9828&amp;col=7&amp;number=0.000595&amp;sourceID=14","0.000595")</f>
        <v>0.000595</v>
      </c>
    </row>
    <row r="9829" spans="1:7">
      <c r="A9829" s="3"/>
      <c r="B9829" s="3"/>
      <c r="C9829" s="3"/>
      <c r="D9829" s="3"/>
      <c r="E9829" s="3">
        <v>6</v>
      </c>
      <c r="F9829" s="4" t="str">
        <f>HYPERLINK("http://141.218.60.56/~jnz1568/getInfo.php?workbook=10_05.xlsx&amp;sheet=U0&amp;row=9829&amp;col=6&amp;number=3.5&amp;sourceID=14","3.5")</f>
        <v>3.5</v>
      </c>
      <c r="G9829" s="4" t="str">
        <f>HYPERLINK("http://141.218.60.56/~jnz1568/getInfo.php?workbook=10_05.xlsx&amp;sheet=U0&amp;row=9829&amp;col=7&amp;number=0.000587&amp;sourceID=14","0.000587")</f>
        <v>0.000587</v>
      </c>
    </row>
    <row r="9830" spans="1:7">
      <c r="A9830" s="3"/>
      <c r="B9830" s="3"/>
      <c r="C9830" s="3"/>
      <c r="D9830" s="3"/>
      <c r="E9830" s="3">
        <v>7</v>
      </c>
      <c r="F9830" s="4" t="str">
        <f>HYPERLINK("http://141.218.60.56/~jnz1568/getInfo.php?workbook=10_05.xlsx&amp;sheet=U0&amp;row=9830&amp;col=6&amp;number=3.6&amp;sourceID=14","3.6")</f>
        <v>3.6</v>
      </c>
      <c r="G9830" s="4" t="str">
        <f>HYPERLINK("http://141.218.60.56/~jnz1568/getInfo.php?workbook=10_05.xlsx&amp;sheet=U0&amp;row=9830&amp;col=7&amp;number=0.000578&amp;sourceID=14","0.000578")</f>
        <v>0.000578</v>
      </c>
    </row>
    <row r="9831" spans="1:7">
      <c r="A9831" s="3"/>
      <c r="B9831" s="3"/>
      <c r="C9831" s="3"/>
      <c r="D9831" s="3"/>
      <c r="E9831" s="3">
        <v>8</v>
      </c>
      <c r="F9831" s="4" t="str">
        <f>HYPERLINK("http://141.218.60.56/~jnz1568/getInfo.php?workbook=10_05.xlsx&amp;sheet=U0&amp;row=9831&amp;col=6&amp;number=3.7&amp;sourceID=14","3.7")</f>
        <v>3.7</v>
      </c>
      <c r="G9831" s="4" t="str">
        <f>HYPERLINK("http://141.218.60.56/~jnz1568/getInfo.php?workbook=10_05.xlsx&amp;sheet=U0&amp;row=9831&amp;col=7&amp;number=0.000566&amp;sourceID=14","0.000566")</f>
        <v>0.000566</v>
      </c>
    </row>
    <row r="9832" spans="1:7">
      <c r="A9832" s="3"/>
      <c r="B9832" s="3"/>
      <c r="C9832" s="3"/>
      <c r="D9832" s="3"/>
      <c r="E9832" s="3">
        <v>9</v>
      </c>
      <c r="F9832" s="4" t="str">
        <f>HYPERLINK("http://141.218.60.56/~jnz1568/getInfo.php?workbook=10_05.xlsx&amp;sheet=U0&amp;row=9832&amp;col=6&amp;number=3.8&amp;sourceID=14","3.8")</f>
        <v>3.8</v>
      </c>
      <c r="G9832" s="4" t="str">
        <f>HYPERLINK("http://141.218.60.56/~jnz1568/getInfo.php?workbook=10_05.xlsx&amp;sheet=U0&amp;row=9832&amp;col=7&amp;number=0.000552&amp;sourceID=14","0.000552")</f>
        <v>0.000552</v>
      </c>
    </row>
    <row r="9833" spans="1:7">
      <c r="A9833" s="3"/>
      <c r="B9833" s="3"/>
      <c r="C9833" s="3"/>
      <c r="D9833" s="3"/>
      <c r="E9833" s="3">
        <v>10</v>
      </c>
      <c r="F9833" s="4" t="str">
        <f>HYPERLINK("http://141.218.60.56/~jnz1568/getInfo.php?workbook=10_05.xlsx&amp;sheet=U0&amp;row=9833&amp;col=6&amp;number=3.9&amp;sourceID=14","3.9")</f>
        <v>3.9</v>
      </c>
      <c r="G9833" s="4" t="str">
        <f>HYPERLINK("http://141.218.60.56/~jnz1568/getInfo.php?workbook=10_05.xlsx&amp;sheet=U0&amp;row=9833&amp;col=7&amp;number=0.000535&amp;sourceID=14","0.000535")</f>
        <v>0.000535</v>
      </c>
    </row>
    <row r="9834" spans="1:7">
      <c r="A9834" s="3"/>
      <c r="B9834" s="3"/>
      <c r="C9834" s="3"/>
      <c r="D9834" s="3"/>
      <c r="E9834" s="3">
        <v>11</v>
      </c>
      <c r="F9834" s="4" t="str">
        <f>HYPERLINK("http://141.218.60.56/~jnz1568/getInfo.php?workbook=10_05.xlsx&amp;sheet=U0&amp;row=9834&amp;col=6&amp;number=4&amp;sourceID=14","4")</f>
        <v>4</v>
      </c>
      <c r="G9834" s="4" t="str">
        <f>HYPERLINK("http://141.218.60.56/~jnz1568/getInfo.php?workbook=10_05.xlsx&amp;sheet=U0&amp;row=9834&amp;col=7&amp;number=0.000514&amp;sourceID=14","0.000514")</f>
        <v>0.000514</v>
      </c>
    </row>
    <row r="9835" spans="1:7">
      <c r="A9835" s="3"/>
      <c r="B9835" s="3"/>
      <c r="C9835" s="3"/>
      <c r="D9835" s="3"/>
      <c r="E9835" s="3">
        <v>12</v>
      </c>
      <c r="F9835" s="4" t="str">
        <f>HYPERLINK("http://141.218.60.56/~jnz1568/getInfo.php?workbook=10_05.xlsx&amp;sheet=U0&amp;row=9835&amp;col=6&amp;number=4.1&amp;sourceID=14","4.1")</f>
        <v>4.1</v>
      </c>
      <c r="G9835" s="4" t="str">
        <f>HYPERLINK("http://141.218.60.56/~jnz1568/getInfo.php?workbook=10_05.xlsx&amp;sheet=U0&amp;row=9835&amp;col=7&amp;number=0.00049&amp;sourceID=14","0.00049")</f>
        <v>0.00049</v>
      </c>
    </row>
    <row r="9836" spans="1:7">
      <c r="A9836" s="3"/>
      <c r="B9836" s="3"/>
      <c r="C9836" s="3"/>
      <c r="D9836" s="3"/>
      <c r="E9836" s="3">
        <v>13</v>
      </c>
      <c r="F9836" s="4" t="str">
        <f>HYPERLINK("http://141.218.60.56/~jnz1568/getInfo.php?workbook=10_05.xlsx&amp;sheet=U0&amp;row=9836&amp;col=6&amp;number=4.2&amp;sourceID=14","4.2")</f>
        <v>4.2</v>
      </c>
      <c r="G9836" s="4" t="str">
        <f>HYPERLINK("http://141.218.60.56/~jnz1568/getInfo.php?workbook=10_05.xlsx&amp;sheet=U0&amp;row=9836&amp;col=7&amp;number=0.000463&amp;sourceID=14","0.000463")</f>
        <v>0.000463</v>
      </c>
    </row>
    <row r="9837" spans="1:7">
      <c r="A9837" s="3"/>
      <c r="B9837" s="3"/>
      <c r="C9837" s="3"/>
      <c r="D9837" s="3"/>
      <c r="E9837" s="3">
        <v>14</v>
      </c>
      <c r="F9837" s="4" t="str">
        <f>HYPERLINK("http://141.218.60.56/~jnz1568/getInfo.php?workbook=10_05.xlsx&amp;sheet=U0&amp;row=9837&amp;col=6&amp;number=4.3&amp;sourceID=14","4.3")</f>
        <v>4.3</v>
      </c>
      <c r="G9837" s="4" t="str">
        <f>HYPERLINK("http://141.218.60.56/~jnz1568/getInfo.php?workbook=10_05.xlsx&amp;sheet=U0&amp;row=9837&amp;col=7&amp;number=0.000435&amp;sourceID=14","0.000435")</f>
        <v>0.000435</v>
      </c>
    </row>
    <row r="9838" spans="1:7">
      <c r="A9838" s="3"/>
      <c r="B9838" s="3"/>
      <c r="C9838" s="3"/>
      <c r="D9838" s="3"/>
      <c r="E9838" s="3">
        <v>15</v>
      </c>
      <c r="F9838" s="4" t="str">
        <f>HYPERLINK("http://141.218.60.56/~jnz1568/getInfo.php?workbook=10_05.xlsx&amp;sheet=U0&amp;row=9838&amp;col=6&amp;number=4.4&amp;sourceID=14","4.4")</f>
        <v>4.4</v>
      </c>
      <c r="G9838" s="4" t="str">
        <f>HYPERLINK("http://141.218.60.56/~jnz1568/getInfo.php?workbook=10_05.xlsx&amp;sheet=U0&amp;row=9838&amp;col=7&amp;number=0.000408&amp;sourceID=14","0.000408")</f>
        <v>0.000408</v>
      </c>
    </row>
    <row r="9839" spans="1:7">
      <c r="A9839" s="3"/>
      <c r="B9839" s="3"/>
      <c r="C9839" s="3"/>
      <c r="D9839" s="3"/>
      <c r="E9839" s="3">
        <v>16</v>
      </c>
      <c r="F9839" s="4" t="str">
        <f>HYPERLINK("http://141.218.60.56/~jnz1568/getInfo.php?workbook=10_05.xlsx&amp;sheet=U0&amp;row=9839&amp;col=6&amp;number=4.5&amp;sourceID=14","4.5")</f>
        <v>4.5</v>
      </c>
      <c r="G9839" s="4" t="str">
        <f>HYPERLINK("http://141.218.60.56/~jnz1568/getInfo.php?workbook=10_05.xlsx&amp;sheet=U0&amp;row=9839&amp;col=7&amp;number=0.000384&amp;sourceID=14","0.000384")</f>
        <v>0.000384</v>
      </c>
    </row>
    <row r="9840" spans="1:7">
      <c r="A9840" s="3"/>
      <c r="B9840" s="3"/>
      <c r="C9840" s="3"/>
      <c r="D9840" s="3"/>
      <c r="E9840" s="3">
        <v>17</v>
      </c>
      <c r="F9840" s="4" t="str">
        <f>HYPERLINK("http://141.218.60.56/~jnz1568/getInfo.php?workbook=10_05.xlsx&amp;sheet=U0&amp;row=9840&amp;col=6&amp;number=4.6&amp;sourceID=14","4.6")</f>
        <v>4.6</v>
      </c>
      <c r="G9840" s="4" t="str">
        <f>HYPERLINK("http://141.218.60.56/~jnz1568/getInfo.php?workbook=10_05.xlsx&amp;sheet=U0&amp;row=9840&amp;col=7&amp;number=0.000365&amp;sourceID=14","0.000365")</f>
        <v>0.000365</v>
      </c>
    </row>
    <row r="9841" spans="1:7">
      <c r="A9841" s="3"/>
      <c r="B9841" s="3"/>
      <c r="C9841" s="3"/>
      <c r="D9841" s="3"/>
      <c r="E9841" s="3">
        <v>18</v>
      </c>
      <c r="F9841" s="4" t="str">
        <f>HYPERLINK("http://141.218.60.56/~jnz1568/getInfo.php?workbook=10_05.xlsx&amp;sheet=U0&amp;row=9841&amp;col=6&amp;number=4.7&amp;sourceID=14","4.7")</f>
        <v>4.7</v>
      </c>
      <c r="G9841" s="4" t="str">
        <f>HYPERLINK("http://141.218.60.56/~jnz1568/getInfo.php?workbook=10_05.xlsx&amp;sheet=U0&amp;row=9841&amp;col=7&amp;number=0.000347&amp;sourceID=14","0.000347")</f>
        <v>0.000347</v>
      </c>
    </row>
    <row r="9842" spans="1:7">
      <c r="A9842" s="3"/>
      <c r="B9842" s="3"/>
      <c r="C9842" s="3"/>
      <c r="D9842" s="3"/>
      <c r="E9842" s="3">
        <v>19</v>
      </c>
      <c r="F9842" s="4" t="str">
        <f>HYPERLINK("http://141.218.60.56/~jnz1568/getInfo.php?workbook=10_05.xlsx&amp;sheet=U0&amp;row=9842&amp;col=6&amp;number=4.8&amp;sourceID=14","4.8")</f>
        <v>4.8</v>
      </c>
      <c r="G9842" s="4" t="str">
        <f>HYPERLINK("http://141.218.60.56/~jnz1568/getInfo.php?workbook=10_05.xlsx&amp;sheet=U0&amp;row=9842&amp;col=7&amp;number=0.000329&amp;sourceID=14","0.000329")</f>
        <v>0.000329</v>
      </c>
    </row>
    <row r="9843" spans="1:7">
      <c r="A9843" s="3"/>
      <c r="B9843" s="3"/>
      <c r="C9843" s="3"/>
      <c r="D9843" s="3"/>
      <c r="E9843" s="3">
        <v>20</v>
      </c>
      <c r="F9843" s="4" t="str">
        <f>HYPERLINK("http://141.218.60.56/~jnz1568/getInfo.php?workbook=10_05.xlsx&amp;sheet=U0&amp;row=9843&amp;col=6&amp;number=4.9&amp;sourceID=14","4.9")</f>
        <v>4.9</v>
      </c>
      <c r="G9843" s="4" t="str">
        <f>HYPERLINK("http://141.218.60.56/~jnz1568/getInfo.php?workbook=10_05.xlsx&amp;sheet=U0&amp;row=9843&amp;col=7&amp;number=0.00031&amp;sourceID=14","0.00031")</f>
        <v>0.00031</v>
      </c>
    </row>
    <row r="9844" spans="1:7">
      <c r="A9844" s="3">
        <v>10</v>
      </c>
      <c r="B9844" s="3">
        <v>5</v>
      </c>
      <c r="C9844" s="3">
        <v>3</v>
      </c>
      <c r="D9844" s="3">
        <v>139</v>
      </c>
      <c r="E9844" s="3">
        <v>1</v>
      </c>
      <c r="F9844" s="4" t="str">
        <f>HYPERLINK("http://141.218.60.56/~jnz1568/getInfo.php?workbook=10_05.xlsx&amp;sheet=U0&amp;row=9844&amp;col=6&amp;number=3&amp;sourceID=14","3")</f>
        <v>3</v>
      </c>
      <c r="G9844" s="4" t="str">
        <f>HYPERLINK("http://141.218.60.56/~jnz1568/getInfo.php?workbook=10_05.xlsx&amp;sheet=U0&amp;row=9844&amp;col=7&amp;number=0.000568&amp;sourceID=14","0.000568")</f>
        <v>0.000568</v>
      </c>
    </row>
    <row r="9845" spans="1:7">
      <c r="A9845" s="3"/>
      <c r="B9845" s="3"/>
      <c r="C9845" s="3"/>
      <c r="D9845" s="3"/>
      <c r="E9845" s="3">
        <v>2</v>
      </c>
      <c r="F9845" s="4" t="str">
        <f>HYPERLINK("http://141.218.60.56/~jnz1568/getInfo.php?workbook=10_05.xlsx&amp;sheet=U0&amp;row=9845&amp;col=6&amp;number=3.1&amp;sourceID=14","3.1")</f>
        <v>3.1</v>
      </c>
      <c r="G9845" s="4" t="str">
        <f>HYPERLINK("http://141.218.60.56/~jnz1568/getInfo.php?workbook=10_05.xlsx&amp;sheet=U0&amp;row=9845&amp;col=7&amp;number=0.000564&amp;sourceID=14","0.000564")</f>
        <v>0.000564</v>
      </c>
    </row>
    <row r="9846" spans="1:7">
      <c r="A9846" s="3"/>
      <c r="B9846" s="3"/>
      <c r="C9846" s="3"/>
      <c r="D9846" s="3"/>
      <c r="E9846" s="3">
        <v>3</v>
      </c>
      <c r="F9846" s="4" t="str">
        <f>HYPERLINK("http://141.218.60.56/~jnz1568/getInfo.php?workbook=10_05.xlsx&amp;sheet=U0&amp;row=9846&amp;col=6&amp;number=3.2&amp;sourceID=14","3.2")</f>
        <v>3.2</v>
      </c>
      <c r="G9846" s="4" t="str">
        <f>HYPERLINK("http://141.218.60.56/~jnz1568/getInfo.php?workbook=10_05.xlsx&amp;sheet=U0&amp;row=9846&amp;col=7&amp;number=0.00056&amp;sourceID=14","0.00056")</f>
        <v>0.00056</v>
      </c>
    </row>
    <row r="9847" spans="1:7">
      <c r="A9847" s="3"/>
      <c r="B9847" s="3"/>
      <c r="C9847" s="3"/>
      <c r="D9847" s="3"/>
      <c r="E9847" s="3">
        <v>4</v>
      </c>
      <c r="F9847" s="4" t="str">
        <f>HYPERLINK("http://141.218.60.56/~jnz1568/getInfo.php?workbook=10_05.xlsx&amp;sheet=U0&amp;row=9847&amp;col=6&amp;number=3.3&amp;sourceID=14","3.3")</f>
        <v>3.3</v>
      </c>
      <c r="G9847" s="4" t="str">
        <f>HYPERLINK("http://141.218.60.56/~jnz1568/getInfo.php?workbook=10_05.xlsx&amp;sheet=U0&amp;row=9847&amp;col=7&amp;number=0.000554&amp;sourceID=14","0.000554")</f>
        <v>0.000554</v>
      </c>
    </row>
    <row r="9848" spans="1:7">
      <c r="A9848" s="3"/>
      <c r="B9848" s="3"/>
      <c r="C9848" s="3"/>
      <c r="D9848" s="3"/>
      <c r="E9848" s="3">
        <v>5</v>
      </c>
      <c r="F9848" s="4" t="str">
        <f>HYPERLINK("http://141.218.60.56/~jnz1568/getInfo.php?workbook=10_05.xlsx&amp;sheet=U0&amp;row=9848&amp;col=6&amp;number=3.4&amp;sourceID=14","3.4")</f>
        <v>3.4</v>
      </c>
      <c r="G9848" s="4" t="str">
        <f>HYPERLINK("http://141.218.60.56/~jnz1568/getInfo.php?workbook=10_05.xlsx&amp;sheet=U0&amp;row=9848&amp;col=7&amp;number=0.000546&amp;sourceID=14","0.000546")</f>
        <v>0.000546</v>
      </c>
    </row>
    <row r="9849" spans="1:7">
      <c r="A9849" s="3"/>
      <c r="B9849" s="3"/>
      <c r="C9849" s="3"/>
      <c r="D9849" s="3"/>
      <c r="E9849" s="3">
        <v>6</v>
      </c>
      <c r="F9849" s="4" t="str">
        <f>HYPERLINK("http://141.218.60.56/~jnz1568/getInfo.php?workbook=10_05.xlsx&amp;sheet=U0&amp;row=9849&amp;col=6&amp;number=3.5&amp;sourceID=14","3.5")</f>
        <v>3.5</v>
      </c>
      <c r="G9849" s="4" t="str">
        <f>HYPERLINK("http://141.218.60.56/~jnz1568/getInfo.php?workbook=10_05.xlsx&amp;sheet=U0&amp;row=9849&amp;col=7&amp;number=0.000537&amp;sourceID=14","0.000537")</f>
        <v>0.000537</v>
      </c>
    </row>
    <row r="9850" spans="1:7">
      <c r="A9850" s="3"/>
      <c r="B9850" s="3"/>
      <c r="C9850" s="3"/>
      <c r="D9850" s="3"/>
      <c r="E9850" s="3">
        <v>7</v>
      </c>
      <c r="F9850" s="4" t="str">
        <f>HYPERLINK("http://141.218.60.56/~jnz1568/getInfo.php?workbook=10_05.xlsx&amp;sheet=U0&amp;row=9850&amp;col=6&amp;number=3.6&amp;sourceID=14","3.6")</f>
        <v>3.6</v>
      </c>
      <c r="G9850" s="4" t="str">
        <f>HYPERLINK("http://141.218.60.56/~jnz1568/getInfo.php?workbook=10_05.xlsx&amp;sheet=U0&amp;row=9850&amp;col=7&amp;number=0.000526&amp;sourceID=14","0.000526")</f>
        <v>0.000526</v>
      </c>
    </row>
    <row r="9851" spans="1:7">
      <c r="A9851" s="3"/>
      <c r="B9851" s="3"/>
      <c r="C9851" s="3"/>
      <c r="D9851" s="3"/>
      <c r="E9851" s="3">
        <v>8</v>
      </c>
      <c r="F9851" s="4" t="str">
        <f>HYPERLINK("http://141.218.60.56/~jnz1568/getInfo.php?workbook=10_05.xlsx&amp;sheet=U0&amp;row=9851&amp;col=6&amp;number=3.7&amp;sourceID=14","3.7")</f>
        <v>3.7</v>
      </c>
      <c r="G9851" s="4" t="str">
        <f>HYPERLINK("http://141.218.60.56/~jnz1568/getInfo.php?workbook=10_05.xlsx&amp;sheet=U0&amp;row=9851&amp;col=7&amp;number=0.000512&amp;sourceID=14","0.000512")</f>
        <v>0.000512</v>
      </c>
    </row>
    <row r="9852" spans="1:7">
      <c r="A9852" s="3"/>
      <c r="B9852" s="3"/>
      <c r="C9852" s="3"/>
      <c r="D9852" s="3"/>
      <c r="E9852" s="3">
        <v>9</v>
      </c>
      <c r="F9852" s="4" t="str">
        <f>HYPERLINK("http://141.218.60.56/~jnz1568/getInfo.php?workbook=10_05.xlsx&amp;sheet=U0&amp;row=9852&amp;col=6&amp;number=3.8&amp;sourceID=14","3.8")</f>
        <v>3.8</v>
      </c>
      <c r="G9852" s="4" t="str">
        <f>HYPERLINK("http://141.218.60.56/~jnz1568/getInfo.php?workbook=10_05.xlsx&amp;sheet=U0&amp;row=9852&amp;col=7&amp;number=0.000494&amp;sourceID=14","0.000494")</f>
        <v>0.000494</v>
      </c>
    </row>
    <row r="9853" spans="1:7">
      <c r="A9853" s="3"/>
      <c r="B9853" s="3"/>
      <c r="C9853" s="3"/>
      <c r="D9853" s="3"/>
      <c r="E9853" s="3">
        <v>10</v>
      </c>
      <c r="F9853" s="4" t="str">
        <f>HYPERLINK("http://141.218.60.56/~jnz1568/getInfo.php?workbook=10_05.xlsx&amp;sheet=U0&amp;row=9853&amp;col=6&amp;number=3.9&amp;sourceID=14","3.9")</f>
        <v>3.9</v>
      </c>
      <c r="G9853" s="4" t="str">
        <f>HYPERLINK("http://141.218.60.56/~jnz1568/getInfo.php?workbook=10_05.xlsx&amp;sheet=U0&amp;row=9853&amp;col=7&amp;number=0.000473&amp;sourceID=14","0.000473")</f>
        <v>0.000473</v>
      </c>
    </row>
    <row r="9854" spans="1:7">
      <c r="A9854" s="3"/>
      <c r="B9854" s="3"/>
      <c r="C9854" s="3"/>
      <c r="D9854" s="3"/>
      <c r="E9854" s="3">
        <v>11</v>
      </c>
      <c r="F9854" s="4" t="str">
        <f>HYPERLINK("http://141.218.60.56/~jnz1568/getInfo.php?workbook=10_05.xlsx&amp;sheet=U0&amp;row=9854&amp;col=6&amp;number=4&amp;sourceID=14","4")</f>
        <v>4</v>
      </c>
      <c r="G9854" s="4" t="str">
        <f>HYPERLINK("http://141.218.60.56/~jnz1568/getInfo.php?workbook=10_05.xlsx&amp;sheet=U0&amp;row=9854&amp;col=7&amp;number=0.000448&amp;sourceID=14","0.000448")</f>
        <v>0.000448</v>
      </c>
    </row>
    <row r="9855" spans="1:7">
      <c r="A9855" s="3"/>
      <c r="B9855" s="3"/>
      <c r="C9855" s="3"/>
      <c r="D9855" s="3"/>
      <c r="E9855" s="3">
        <v>12</v>
      </c>
      <c r="F9855" s="4" t="str">
        <f>HYPERLINK("http://141.218.60.56/~jnz1568/getInfo.php?workbook=10_05.xlsx&amp;sheet=U0&amp;row=9855&amp;col=6&amp;number=4.1&amp;sourceID=14","4.1")</f>
        <v>4.1</v>
      </c>
      <c r="G9855" s="4" t="str">
        <f>HYPERLINK("http://141.218.60.56/~jnz1568/getInfo.php?workbook=10_05.xlsx&amp;sheet=U0&amp;row=9855&amp;col=7&amp;number=0.000419&amp;sourceID=14","0.000419")</f>
        <v>0.000419</v>
      </c>
    </row>
    <row r="9856" spans="1:7">
      <c r="A9856" s="3"/>
      <c r="B9856" s="3"/>
      <c r="C9856" s="3"/>
      <c r="D9856" s="3"/>
      <c r="E9856" s="3">
        <v>13</v>
      </c>
      <c r="F9856" s="4" t="str">
        <f>HYPERLINK("http://141.218.60.56/~jnz1568/getInfo.php?workbook=10_05.xlsx&amp;sheet=U0&amp;row=9856&amp;col=6&amp;number=4.2&amp;sourceID=14","4.2")</f>
        <v>4.2</v>
      </c>
      <c r="G9856" s="4" t="str">
        <f>HYPERLINK("http://141.218.60.56/~jnz1568/getInfo.php?workbook=10_05.xlsx&amp;sheet=U0&amp;row=9856&amp;col=7&amp;number=0.000386&amp;sourceID=14","0.000386")</f>
        <v>0.000386</v>
      </c>
    </row>
    <row r="9857" spans="1:7">
      <c r="A9857" s="3"/>
      <c r="B9857" s="3"/>
      <c r="C9857" s="3"/>
      <c r="D9857" s="3"/>
      <c r="E9857" s="3">
        <v>14</v>
      </c>
      <c r="F9857" s="4" t="str">
        <f>HYPERLINK("http://141.218.60.56/~jnz1568/getInfo.php?workbook=10_05.xlsx&amp;sheet=U0&amp;row=9857&amp;col=6&amp;number=4.3&amp;sourceID=14","4.3")</f>
        <v>4.3</v>
      </c>
      <c r="G9857" s="4" t="str">
        <f>HYPERLINK("http://141.218.60.56/~jnz1568/getInfo.php?workbook=10_05.xlsx&amp;sheet=U0&amp;row=9857&amp;col=7&amp;number=0.000352&amp;sourceID=14","0.000352")</f>
        <v>0.000352</v>
      </c>
    </row>
    <row r="9858" spans="1:7">
      <c r="A9858" s="3"/>
      <c r="B9858" s="3"/>
      <c r="C9858" s="3"/>
      <c r="D9858" s="3"/>
      <c r="E9858" s="3">
        <v>15</v>
      </c>
      <c r="F9858" s="4" t="str">
        <f>HYPERLINK("http://141.218.60.56/~jnz1568/getInfo.php?workbook=10_05.xlsx&amp;sheet=U0&amp;row=9858&amp;col=6&amp;number=4.4&amp;sourceID=14","4.4")</f>
        <v>4.4</v>
      </c>
      <c r="G9858" s="4" t="str">
        <f>HYPERLINK("http://141.218.60.56/~jnz1568/getInfo.php?workbook=10_05.xlsx&amp;sheet=U0&amp;row=9858&amp;col=7&amp;number=0.000318&amp;sourceID=14","0.000318")</f>
        <v>0.000318</v>
      </c>
    </row>
    <row r="9859" spans="1:7">
      <c r="A9859" s="3"/>
      <c r="B9859" s="3"/>
      <c r="C9859" s="3"/>
      <c r="D9859" s="3"/>
      <c r="E9859" s="3">
        <v>16</v>
      </c>
      <c r="F9859" s="4" t="str">
        <f>HYPERLINK("http://141.218.60.56/~jnz1568/getInfo.php?workbook=10_05.xlsx&amp;sheet=U0&amp;row=9859&amp;col=6&amp;number=4.5&amp;sourceID=14","4.5")</f>
        <v>4.5</v>
      </c>
      <c r="G9859" s="4" t="str">
        <f>HYPERLINK("http://141.218.60.56/~jnz1568/getInfo.php?workbook=10_05.xlsx&amp;sheet=U0&amp;row=9859&amp;col=7&amp;number=0.000289&amp;sourceID=14","0.000289")</f>
        <v>0.000289</v>
      </c>
    </row>
    <row r="9860" spans="1:7">
      <c r="A9860" s="3"/>
      <c r="B9860" s="3"/>
      <c r="C9860" s="3"/>
      <c r="D9860" s="3"/>
      <c r="E9860" s="3">
        <v>17</v>
      </c>
      <c r="F9860" s="4" t="str">
        <f>HYPERLINK("http://141.218.60.56/~jnz1568/getInfo.php?workbook=10_05.xlsx&amp;sheet=U0&amp;row=9860&amp;col=6&amp;number=4.6&amp;sourceID=14","4.6")</f>
        <v>4.6</v>
      </c>
      <c r="G9860" s="4" t="str">
        <f>HYPERLINK("http://141.218.60.56/~jnz1568/getInfo.php?workbook=10_05.xlsx&amp;sheet=U0&amp;row=9860&amp;col=7&amp;number=0.000265&amp;sourceID=14","0.000265")</f>
        <v>0.000265</v>
      </c>
    </row>
    <row r="9861" spans="1:7">
      <c r="A9861" s="3"/>
      <c r="B9861" s="3"/>
      <c r="C9861" s="3"/>
      <c r="D9861" s="3"/>
      <c r="E9861" s="3">
        <v>18</v>
      </c>
      <c r="F9861" s="4" t="str">
        <f>HYPERLINK("http://141.218.60.56/~jnz1568/getInfo.php?workbook=10_05.xlsx&amp;sheet=U0&amp;row=9861&amp;col=6&amp;number=4.7&amp;sourceID=14","4.7")</f>
        <v>4.7</v>
      </c>
      <c r="G9861" s="4" t="str">
        <f>HYPERLINK("http://141.218.60.56/~jnz1568/getInfo.php?workbook=10_05.xlsx&amp;sheet=U0&amp;row=9861&amp;col=7&amp;number=0.000244&amp;sourceID=14","0.000244")</f>
        <v>0.000244</v>
      </c>
    </row>
    <row r="9862" spans="1:7">
      <c r="A9862" s="3"/>
      <c r="B9862" s="3"/>
      <c r="C9862" s="3"/>
      <c r="D9862" s="3"/>
      <c r="E9862" s="3">
        <v>19</v>
      </c>
      <c r="F9862" s="4" t="str">
        <f>HYPERLINK("http://141.218.60.56/~jnz1568/getInfo.php?workbook=10_05.xlsx&amp;sheet=U0&amp;row=9862&amp;col=6&amp;number=4.8&amp;sourceID=14","4.8")</f>
        <v>4.8</v>
      </c>
      <c r="G9862" s="4" t="str">
        <f>HYPERLINK("http://141.218.60.56/~jnz1568/getInfo.php?workbook=10_05.xlsx&amp;sheet=U0&amp;row=9862&amp;col=7&amp;number=0.000224&amp;sourceID=14","0.000224")</f>
        <v>0.000224</v>
      </c>
    </row>
    <row r="9863" spans="1:7">
      <c r="A9863" s="3"/>
      <c r="B9863" s="3"/>
      <c r="C9863" s="3"/>
      <c r="D9863" s="3"/>
      <c r="E9863" s="3">
        <v>20</v>
      </c>
      <c r="F9863" s="4" t="str">
        <f>HYPERLINK("http://141.218.60.56/~jnz1568/getInfo.php?workbook=10_05.xlsx&amp;sheet=U0&amp;row=9863&amp;col=6&amp;number=4.9&amp;sourceID=14","4.9")</f>
        <v>4.9</v>
      </c>
      <c r="G9863" s="4" t="str">
        <f>HYPERLINK("http://141.218.60.56/~jnz1568/getInfo.php?workbook=10_05.xlsx&amp;sheet=U0&amp;row=9863&amp;col=7&amp;number=0.000204&amp;sourceID=14","0.000204")</f>
        <v>0.000204</v>
      </c>
    </row>
    <row r="9864" spans="1:7">
      <c r="A9864" s="3">
        <v>10</v>
      </c>
      <c r="B9864" s="3">
        <v>5</v>
      </c>
      <c r="C9864" s="3">
        <v>3</v>
      </c>
      <c r="D9864" s="3">
        <v>140</v>
      </c>
      <c r="E9864" s="3">
        <v>1</v>
      </c>
      <c r="F9864" s="4" t="str">
        <f>HYPERLINK("http://141.218.60.56/~jnz1568/getInfo.php?workbook=10_05.xlsx&amp;sheet=U0&amp;row=9864&amp;col=6&amp;number=3&amp;sourceID=14","3")</f>
        <v>3</v>
      </c>
      <c r="G9864" s="4" t="str">
        <f>HYPERLINK("http://141.218.60.56/~jnz1568/getInfo.php?workbook=10_05.xlsx&amp;sheet=U0&amp;row=9864&amp;col=7&amp;number=0.0035&amp;sourceID=14","0.0035")</f>
        <v>0.0035</v>
      </c>
    </row>
    <row r="9865" spans="1:7">
      <c r="A9865" s="3"/>
      <c r="B9865" s="3"/>
      <c r="C9865" s="3"/>
      <c r="D9865" s="3"/>
      <c r="E9865" s="3">
        <v>2</v>
      </c>
      <c r="F9865" s="4" t="str">
        <f>HYPERLINK("http://141.218.60.56/~jnz1568/getInfo.php?workbook=10_05.xlsx&amp;sheet=U0&amp;row=9865&amp;col=6&amp;number=3.1&amp;sourceID=14","3.1")</f>
        <v>3.1</v>
      </c>
      <c r="G9865" s="4" t="str">
        <f>HYPERLINK("http://141.218.60.56/~jnz1568/getInfo.php?workbook=10_05.xlsx&amp;sheet=U0&amp;row=9865&amp;col=7&amp;number=0.00348&amp;sourceID=14","0.00348")</f>
        <v>0.00348</v>
      </c>
    </row>
    <row r="9866" spans="1:7">
      <c r="A9866" s="3"/>
      <c r="B9866" s="3"/>
      <c r="C9866" s="3"/>
      <c r="D9866" s="3"/>
      <c r="E9866" s="3">
        <v>3</v>
      </c>
      <c r="F9866" s="4" t="str">
        <f>HYPERLINK("http://141.218.60.56/~jnz1568/getInfo.php?workbook=10_05.xlsx&amp;sheet=U0&amp;row=9866&amp;col=6&amp;number=3.2&amp;sourceID=14","3.2")</f>
        <v>3.2</v>
      </c>
      <c r="G9866" s="4" t="str">
        <f>HYPERLINK("http://141.218.60.56/~jnz1568/getInfo.php?workbook=10_05.xlsx&amp;sheet=U0&amp;row=9866&amp;col=7&amp;number=0.00346&amp;sourceID=14","0.00346")</f>
        <v>0.00346</v>
      </c>
    </row>
    <row r="9867" spans="1:7">
      <c r="A9867" s="3"/>
      <c r="B9867" s="3"/>
      <c r="C9867" s="3"/>
      <c r="D9867" s="3"/>
      <c r="E9867" s="3">
        <v>4</v>
      </c>
      <c r="F9867" s="4" t="str">
        <f>HYPERLINK("http://141.218.60.56/~jnz1568/getInfo.php?workbook=10_05.xlsx&amp;sheet=U0&amp;row=9867&amp;col=6&amp;number=3.3&amp;sourceID=14","3.3")</f>
        <v>3.3</v>
      </c>
      <c r="G9867" s="4" t="str">
        <f>HYPERLINK("http://141.218.60.56/~jnz1568/getInfo.php?workbook=10_05.xlsx&amp;sheet=U0&amp;row=9867&amp;col=7&amp;number=0.00343&amp;sourceID=14","0.00343")</f>
        <v>0.00343</v>
      </c>
    </row>
    <row r="9868" spans="1:7">
      <c r="A9868" s="3"/>
      <c r="B9868" s="3"/>
      <c r="C9868" s="3"/>
      <c r="D9868" s="3"/>
      <c r="E9868" s="3">
        <v>5</v>
      </c>
      <c r="F9868" s="4" t="str">
        <f>HYPERLINK("http://141.218.60.56/~jnz1568/getInfo.php?workbook=10_05.xlsx&amp;sheet=U0&amp;row=9868&amp;col=6&amp;number=3.4&amp;sourceID=14","3.4")</f>
        <v>3.4</v>
      </c>
      <c r="G9868" s="4" t="str">
        <f>HYPERLINK("http://141.218.60.56/~jnz1568/getInfo.php?workbook=10_05.xlsx&amp;sheet=U0&amp;row=9868&amp;col=7&amp;number=0.00339&amp;sourceID=14","0.00339")</f>
        <v>0.00339</v>
      </c>
    </row>
    <row r="9869" spans="1:7">
      <c r="A9869" s="3"/>
      <c r="B9869" s="3"/>
      <c r="C9869" s="3"/>
      <c r="D9869" s="3"/>
      <c r="E9869" s="3">
        <v>6</v>
      </c>
      <c r="F9869" s="4" t="str">
        <f>HYPERLINK("http://141.218.60.56/~jnz1568/getInfo.php?workbook=10_05.xlsx&amp;sheet=U0&amp;row=9869&amp;col=6&amp;number=3.5&amp;sourceID=14","3.5")</f>
        <v>3.5</v>
      </c>
      <c r="G9869" s="4" t="str">
        <f>HYPERLINK("http://141.218.60.56/~jnz1568/getInfo.php?workbook=10_05.xlsx&amp;sheet=U0&amp;row=9869&amp;col=7&amp;number=0.00334&amp;sourceID=14","0.00334")</f>
        <v>0.00334</v>
      </c>
    </row>
    <row r="9870" spans="1:7">
      <c r="A9870" s="3"/>
      <c r="B9870" s="3"/>
      <c r="C9870" s="3"/>
      <c r="D9870" s="3"/>
      <c r="E9870" s="3">
        <v>7</v>
      </c>
      <c r="F9870" s="4" t="str">
        <f>HYPERLINK("http://141.218.60.56/~jnz1568/getInfo.php?workbook=10_05.xlsx&amp;sheet=U0&amp;row=9870&amp;col=6&amp;number=3.6&amp;sourceID=14","3.6")</f>
        <v>3.6</v>
      </c>
      <c r="G9870" s="4" t="str">
        <f>HYPERLINK("http://141.218.60.56/~jnz1568/getInfo.php?workbook=10_05.xlsx&amp;sheet=U0&amp;row=9870&amp;col=7&amp;number=0.00329&amp;sourceID=14","0.00329")</f>
        <v>0.00329</v>
      </c>
    </row>
    <row r="9871" spans="1:7">
      <c r="A9871" s="3"/>
      <c r="B9871" s="3"/>
      <c r="C9871" s="3"/>
      <c r="D9871" s="3"/>
      <c r="E9871" s="3">
        <v>8</v>
      </c>
      <c r="F9871" s="4" t="str">
        <f>HYPERLINK("http://141.218.60.56/~jnz1568/getInfo.php?workbook=10_05.xlsx&amp;sheet=U0&amp;row=9871&amp;col=6&amp;number=3.7&amp;sourceID=14","3.7")</f>
        <v>3.7</v>
      </c>
      <c r="G9871" s="4" t="str">
        <f>HYPERLINK("http://141.218.60.56/~jnz1568/getInfo.php?workbook=10_05.xlsx&amp;sheet=U0&amp;row=9871&amp;col=7&amp;number=0.00322&amp;sourceID=14","0.00322")</f>
        <v>0.00322</v>
      </c>
    </row>
    <row r="9872" spans="1:7">
      <c r="A9872" s="3"/>
      <c r="B9872" s="3"/>
      <c r="C9872" s="3"/>
      <c r="D9872" s="3"/>
      <c r="E9872" s="3">
        <v>9</v>
      </c>
      <c r="F9872" s="4" t="str">
        <f>HYPERLINK("http://141.218.60.56/~jnz1568/getInfo.php?workbook=10_05.xlsx&amp;sheet=U0&amp;row=9872&amp;col=6&amp;number=3.8&amp;sourceID=14","3.8")</f>
        <v>3.8</v>
      </c>
      <c r="G9872" s="4" t="str">
        <f>HYPERLINK("http://141.218.60.56/~jnz1568/getInfo.php?workbook=10_05.xlsx&amp;sheet=U0&amp;row=9872&amp;col=7&amp;number=0.00313&amp;sourceID=14","0.00313")</f>
        <v>0.00313</v>
      </c>
    </row>
    <row r="9873" spans="1:7">
      <c r="A9873" s="3"/>
      <c r="B9873" s="3"/>
      <c r="C9873" s="3"/>
      <c r="D9873" s="3"/>
      <c r="E9873" s="3">
        <v>10</v>
      </c>
      <c r="F9873" s="4" t="str">
        <f>HYPERLINK("http://141.218.60.56/~jnz1568/getInfo.php?workbook=10_05.xlsx&amp;sheet=U0&amp;row=9873&amp;col=6&amp;number=3.9&amp;sourceID=14","3.9")</f>
        <v>3.9</v>
      </c>
      <c r="G9873" s="4" t="str">
        <f>HYPERLINK("http://141.218.60.56/~jnz1568/getInfo.php?workbook=10_05.xlsx&amp;sheet=U0&amp;row=9873&amp;col=7&amp;number=0.00302&amp;sourceID=14","0.00302")</f>
        <v>0.00302</v>
      </c>
    </row>
    <row r="9874" spans="1:7">
      <c r="A9874" s="3"/>
      <c r="B9874" s="3"/>
      <c r="C9874" s="3"/>
      <c r="D9874" s="3"/>
      <c r="E9874" s="3">
        <v>11</v>
      </c>
      <c r="F9874" s="4" t="str">
        <f>HYPERLINK("http://141.218.60.56/~jnz1568/getInfo.php?workbook=10_05.xlsx&amp;sheet=U0&amp;row=9874&amp;col=6&amp;number=4&amp;sourceID=14","4")</f>
        <v>4</v>
      </c>
      <c r="G9874" s="4" t="str">
        <f>HYPERLINK("http://141.218.60.56/~jnz1568/getInfo.php?workbook=10_05.xlsx&amp;sheet=U0&amp;row=9874&amp;col=7&amp;number=0.0029&amp;sourceID=14","0.0029")</f>
        <v>0.0029</v>
      </c>
    </row>
    <row r="9875" spans="1:7">
      <c r="A9875" s="3"/>
      <c r="B9875" s="3"/>
      <c r="C9875" s="3"/>
      <c r="D9875" s="3"/>
      <c r="E9875" s="3">
        <v>12</v>
      </c>
      <c r="F9875" s="4" t="str">
        <f>HYPERLINK("http://141.218.60.56/~jnz1568/getInfo.php?workbook=10_05.xlsx&amp;sheet=U0&amp;row=9875&amp;col=6&amp;number=4.1&amp;sourceID=14","4.1")</f>
        <v>4.1</v>
      </c>
      <c r="G9875" s="4" t="str">
        <f>HYPERLINK("http://141.218.60.56/~jnz1568/getInfo.php?workbook=10_05.xlsx&amp;sheet=U0&amp;row=9875&amp;col=7&amp;number=0.00275&amp;sourceID=14","0.00275")</f>
        <v>0.00275</v>
      </c>
    </row>
    <row r="9876" spans="1:7">
      <c r="A9876" s="3"/>
      <c r="B9876" s="3"/>
      <c r="C9876" s="3"/>
      <c r="D9876" s="3"/>
      <c r="E9876" s="3">
        <v>13</v>
      </c>
      <c r="F9876" s="4" t="str">
        <f>HYPERLINK("http://141.218.60.56/~jnz1568/getInfo.php?workbook=10_05.xlsx&amp;sheet=U0&amp;row=9876&amp;col=6&amp;number=4.2&amp;sourceID=14","4.2")</f>
        <v>4.2</v>
      </c>
      <c r="G9876" s="4" t="str">
        <f>HYPERLINK("http://141.218.60.56/~jnz1568/getInfo.php?workbook=10_05.xlsx&amp;sheet=U0&amp;row=9876&amp;col=7&amp;number=0.00259&amp;sourceID=14","0.00259")</f>
        <v>0.00259</v>
      </c>
    </row>
    <row r="9877" spans="1:7">
      <c r="A9877" s="3"/>
      <c r="B9877" s="3"/>
      <c r="C9877" s="3"/>
      <c r="D9877" s="3"/>
      <c r="E9877" s="3">
        <v>14</v>
      </c>
      <c r="F9877" s="4" t="str">
        <f>HYPERLINK("http://141.218.60.56/~jnz1568/getInfo.php?workbook=10_05.xlsx&amp;sheet=U0&amp;row=9877&amp;col=6&amp;number=4.3&amp;sourceID=14","4.3")</f>
        <v>4.3</v>
      </c>
      <c r="G9877" s="4" t="str">
        <f>HYPERLINK("http://141.218.60.56/~jnz1568/getInfo.php?workbook=10_05.xlsx&amp;sheet=U0&amp;row=9877&amp;col=7&amp;number=0.00242&amp;sourceID=14","0.00242")</f>
        <v>0.00242</v>
      </c>
    </row>
    <row r="9878" spans="1:7">
      <c r="A9878" s="3"/>
      <c r="B9878" s="3"/>
      <c r="C9878" s="3"/>
      <c r="D9878" s="3"/>
      <c r="E9878" s="3">
        <v>15</v>
      </c>
      <c r="F9878" s="4" t="str">
        <f>HYPERLINK("http://141.218.60.56/~jnz1568/getInfo.php?workbook=10_05.xlsx&amp;sheet=U0&amp;row=9878&amp;col=6&amp;number=4.4&amp;sourceID=14","4.4")</f>
        <v>4.4</v>
      </c>
      <c r="G9878" s="4" t="str">
        <f>HYPERLINK("http://141.218.60.56/~jnz1568/getInfo.php?workbook=10_05.xlsx&amp;sheet=U0&amp;row=9878&amp;col=7&amp;number=0.00226&amp;sourceID=14","0.00226")</f>
        <v>0.00226</v>
      </c>
    </row>
    <row r="9879" spans="1:7">
      <c r="A9879" s="3"/>
      <c r="B9879" s="3"/>
      <c r="C9879" s="3"/>
      <c r="D9879" s="3"/>
      <c r="E9879" s="3">
        <v>16</v>
      </c>
      <c r="F9879" s="4" t="str">
        <f>HYPERLINK("http://141.218.60.56/~jnz1568/getInfo.php?workbook=10_05.xlsx&amp;sheet=U0&amp;row=9879&amp;col=6&amp;number=4.5&amp;sourceID=14","4.5")</f>
        <v>4.5</v>
      </c>
      <c r="G9879" s="4" t="str">
        <f>HYPERLINK("http://141.218.60.56/~jnz1568/getInfo.php?workbook=10_05.xlsx&amp;sheet=U0&amp;row=9879&amp;col=7&amp;number=0.00212&amp;sourceID=14","0.00212")</f>
        <v>0.00212</v>
      </c>
    </row>
    <row r="9880" spans="1:7">
      <c r="A9880" s="3"/>
      <c r="B9880" s="3"/>
      <c r="C9880" s="3"/>
      <c r="D9880" s="3"/>
      <c r="E9880" s="3">
        <v>17</v>
      </c>
      <c r="F9880" s="4" t="str">
        <f>HYPERLINK("http://141.218.60.56/~jnz1568/getInfo.php?workbook=10_05.xlsx&amp;sheet=U0&amp;row=9880&amp;col=6&amp;number=4.6&amp;sourceID=14","4.6")</f>
        <v>4.6</v>
      </c>
      <c r="G9880" s="4" t="str">
        <f>HYPERLINK("http://141.218.60.56/~jnz1568/getInfo.php?workbook=10_05.xlsx&amp;sheet=U0&amp;row=9880&amp;col=7&amp;number=0.002&amp;sourceID=14","0.002")</f>
        <v>0.002</v>
      </c>
    </row>
    <row r="9881" spans="1:7">
      <c r="A9881" s="3"/>
      <c r="B9881" s="3"/>
      <c r="C9881" s="3"/>
      <c r="D9881" s="3"/>
      <c r="E9881" s="3">
        <v>18</v>
      </c>
      <c r="F9881" s="4" t="str">
        <f>HYPERLINK("http://141.218.60.56/~jnz1568/getInfo.php?workbook=10_05.xlsx&amp;sheet=U0&amp;row=9881&amp;col=6&amp;number=4.7&amp;sourceID=14","4.7")</f>
        <v>4.7</v>
      </c>
      <c r="G9881" s="4" t="str">
        <f>HYPERLINK("http://141.218.60.56/~jnz1568/getInfo.php?workbook=10_05.xlsx&amp;sheet=U0&amp;row=9881&amp;col=7&amp;number=0.0019&amp;sourceID=14","0.0019")</f>
        <v>0.0019</v>
      </c>
    </row>
    <row r="9882" spans="1:7">
      <c r="A9882" s="3"/>
      <c r="B9882" s="3"/>
      <c r="C9882" s="3"/>
      <c r="D9882" s="3"/>
      <c r="E9882" s="3">
        <v>19</v>
      </c>
      <c r="F9882" s="4" t="str">
        <f>HYPERLINK("http://141.218.60.56/~jnz1568/getInfo.php?workbook=10_05.xlsx&amp;sheet=U0&amp;row=9882&amp;col=6&amp;number=4.8&amp;sourceID=14","4.8")</f>
        <v>4.8</v>
      </c>
      <c r="G9882" s="4" t="str">
        <f>HYPERLINK("http://141.218.60.56/~jnz1568/getInfo.php?workbook=10_05.xlsx&amp;sheet=U0&amp;row=9882&amp;col=7&amp;number=0.00179&amp;sourceID=14","0.00179")</f>
        <v>0.00179</v>
      </c>
    </row>
    <row r="9883" spans="1:7">
      <c r="A9883" s="3"/>
      <c r="B9883" s="3"/>
      <c r="C9883" s="3"/>
      <c r="D9883" s="3"/>
      <c r="E9883" s="3">
        <v>20</v>
      </c>
      <c r="F9883" s="4" t="str">
        <f>HYPERLINK("http://141.218.60.56/~jnz1568/getInfo.php?workbook=10_05.xlsx&amp;sheet=U0&amp;row=9883&amp;col=6&amp;number=4.9&amp;sourceID=14","4.9")</f>
        <v>4.9</v>
      </c>
      <c r="G9883" s="4" t="str">
        <f>HYPERLINK("http://141.218.60.56/~jnz1568/getInfo.php?workbook=10_05.xlsx&amp;sheet=U0&amp;row=9883&amp;col=7&amp;number=0.00169&amp;sourceID=14","0.00169")</f>
        <v>0.00169</v>
      </c>
    </row>
    <row r="9884" spans="1:7">
      <c r="A9884" s="3">
        <v>10</v>
      </c>
      <c r="B9884" s="3">
        <v>5</v>
      </c>
      <c r="C9884" s="3">
        <v>3</v>
      </c>
      <c r="D9884" s="3">
        <v>141</v>
      </c>
      <c r="E9884" s="3">
        <v>1</v>
      </c>
      <c r="F9884" s="4" t="str">
        <f>HYPERLINK("http://141.218.60.56/~jnz1568/getInfo.php?workbook=10_05.xlsx&amp;sheet=U0&amp;row=9884&amp;col=6&amp;number=3&amp;sourceID=14","3")</f>
        <v>3</v>
      </c>
      <c r="G9884" s="4" t="str">
        <f>HYPERLINK("http://141.218.60.56/~jnz1568/getInfo.php?workbook=10_05.xlsx&amp;sheet=U0&amp;row=9884&amp;col=7&amp;number=0.0528&amp;sourceID=14","0.0528")</f>
        <v>0.0528</v>
      </c>
    </row>
    <row r="9885" spans="1:7">
      <c r="A9885" s="3"/>
      <c r="B9885" s="3"/>
      <c r="C9885" s="3"/>
      <c r="D9885" s="3"/>
      <c r="E9885" s="3">
        <v>2</v>
      </c>
      <c r="F9885" s="4" t="str">
        <f>HYPERLINK("http://141.218.60.56/~jnz1568/getInfo.php?workbook=10_05.xlsx&amp;sheet=U0&amp;row=9885&amp;col=6&amp;number=3.1&amp;sourceID=14","3.1")</f>
        <v>3.1</v>
      </c>
      <c r="G9885" s="4" t="str">
        <f>HYPERLINK("http://141.218.60.56/~jnz1568/getInfo.php?workbook=10_05.xlsx&amp;sheet=U0&amp;row=9885&amp;col=7&amp;number=0.0528&amp;sourceID=14","0.0528")</f>
        <v>0.0528</v>
      </c>
    </row>
    <row r="9886" spans="1:7">
      <c r="A9886" s="3"/>
      <c r="B9886" s="3"/>
      <c r="C9886" s="3"/>
      <c r="D9886" s="3"/>
      <c r="E9886" s="3">
        <v>3</v>
      </c>
      <c r="F9886" s="4" t="str">
        <f>HYPERLINK("http://141.218.60.56/~jnz1568/getInfo.php?workbook=10_05.xlsx&amp;sheet=U0&amp;row=9886&amp;col=6&amp;number=3.2&amp;sourceID=14","3.2")</f>
        <v>3.2</v>
      </c>
      <c r="G9886" s="4" t="str">
        <f>HYPERLINK("http://141.218.60.56/~jnz1568/getInfo.php?workbook=10_05.xlsx&amp;sheet=U0&amp;row=9886&amp;col=7&amp;number=0.0528&amp;sourceID=14","0.0528")</f>
        <v>0.0528</v>
      </c>
    </row>
    <row r="9887" spans="1:7">
      <c r="A9887" s="3"/>
      <c r="B9887" s="3"/>
      <c r="C9887" s="3"/>
      <c r="D9887" s="3"/>
      <c r="E9887" s="3">
        <v>4</v>
      </c>
      <c r="F9887" s="4" t="str">
        <f>HYPERLINK("http://141.218.60.56/~jnz1568/getInfo.php?workbook=10_05.xlsx&amp;sheet=U0&amp;row=9887&amp;col=6&amp;number=3.3&amp;sourceID=14","3.3")</f>
        <v>3.3</v>
      </c>
      <c r="G9887" s="4" t="str">
        <f>HYPERLINK("http://141.218.60.56/~jnz1568/getInfo.php?workbook=10_05.xlsx&amp;sheet=U0&amp;row=9887&amp;col=7&amp;number=0.0528&amp;sourceID=14","0.0528")</f>
        <v>0.0528</v>
      </c>
    </row>
    <row r="9888" spans="1:7">
      <c r="A9888" s="3"/>
      <c r="B9888" s="3"/>
      <c r="C9888" s="3"/>
      <c r="D9888" s="3"/>
      <c r="E9888" s="3">
        <v>5</v>
      </c>
      <c r="F9888" s="4" t="str">
        <f>HYPERLINK("http://141.218.60.56/~jnz1568/getInfo.php?workbook=10_05.xlsx&amp;sheet=U0&amp;row=9888&amp;col=6&amp;number=3.4&amp;sourceID=14","3.4")</f>
        <v>3.4</v>
      </c>
      <c r="G9888" s="4" t="str">
        <f>HYPERLINK("http://141.218.60.56/~jnz1568/getInfo.php?workbook=10_05.xlsx&amp;sheet=U0&amp;row=9888&amp;col=7&amp;number=0.0528&amp;sourceID=14","0.0528")</f>
        <v>0.0528</v>
      </c>
    </row>
    <row r="9889" spans="1:7">
      <c r="A9889" s="3"/>
      <c r="B9889" s="3"/>
      <c r="C9889" s="3"/>
      <c r="D9889" s="3"/>
      <c r="E9889" s="3">
        <v>6</v>
      </c>
      <c r="F9889" s="4" t="str">
        <f>HYPERLINK("http://141.218.60.56/~jnz1568/getInfo.php?workbook=10_05.xlsx&amp;sheet=U0&amp;row=9889&amp;col=6&amp;number=3.5&amp;sourceID=14","3.5")</f>
        <v>3.5</v>
      </c>
      <c r="G9889" s="4" t="str">
        <f>HYPERLINK("http://141.218.60.56/~jnz1568/getInfo.php?workbook=10_05.xlsx&amp;sheet=U0&amp;row=9889&amp;col=7&amp;number=0.0528&amp;sourceID=14","0.0528")</f>
        <v>0.0528</v>
      </c>
    </row>
    <row r="9890" spans="1:7">
      <c r="A9890" s="3"/>
      <c r="B9890" s="3"/>
      <c r="C9890" s="3"/>
      <c r="D9890" s="3"/>
      <c r="E9890" s="3">
        <v>7</v>
      </c>
      <c r="F9890" s="4" t="str">
        <f>HYPERLINK("http://141.218.60.56/~jnz1568/getInfo.php?workbook=10_05.xlsx&amp;sheet=U0&amp;row=9890&amp;col=6&amp;number=3.6&amp;sourceID=14","3.6")</f>
        <v>3.6</v>
      </c>
      <c r="G9890" s="4" t="str">
        <f>HYPERLINK("http://141.218.60.56/~jnz1568/getInfo.php?workbook=10_05.xlsx&amp;sheet=U0&amp;row=9890&amp;col=7&amp;number=0.0528&amp;sourceID=14","0.0528")</f>
        <v>0.0528</v>
      </c>
    </row>
    <row r="9891" spans="1:7">
      <c r="A9891" s="3"/>
      <c r="B9891" s="3"/>
      <c r="C9891" s="3"/>
      <c r="D9891" s="3"/>
      <c r="E9891" s="3">
        <v>8</v>
      </c>
      <c r="F9891" s="4" t="str">
        <f>HYPERLINK("http://141.218.60.56/~jnz1568/getInfo.php?workbook=10_05.xlsx&amp;sheet=U0&amp;row=9891&amp;col=6&amp;number=3.7&amp;sourceID=14","3.7")</f>
        <v>3.7</v>
      </c>
      <c r="G9891" s="4" t="str">
        <f>HYPERLINK("http://141.218.60.56/~jnz1568/getInfo.php?workbook=10_05.xlsx&amp;sheet=U0&amp;row=9891&amp;col=7&amp;number=0.0527&amp;sourceID=14","0.0527")</f>
        <v>0.0527</v>
      </c>
    </row>
    <row r="9892" spans="1:7">
      <c r="A9892" s="3"/>
      <c r="B9892" s="3"/>
      <c r="C9892" s="3"/>
      <c r="D9892" s="3"/>
      <c r="E9892" s="3">
        <v>9</v>
      </c>
      <c r="F9892" s="4" t="str">
        <f>HYPERLINK("http://141.218.60.56/~jnz1568/getInfo.php?workbook=10_05.xlsx&amp;sheet=U0&amp;row=9892&amp;col=6&amp;number=3.8&amp;sourceID=14","3.8")</f>
        <v>3.8</v>
      </c>
      <c r="G9892" s="4" t="str">
        <f>HYPERLINK("http://141.218.60.56/~jnz1568/getInfo.php?workbook=10_05.xlsx&amp;sheet=U0&amp;row=9892&amp;col=7&amp;number=0.0527&amp;sourceID=14","0.0527")</f>
        <v>0.0527</v>
      </c>
    </row>
    <row r="9893" spans="1:7">
      <c r="A9893" s="3"/>
      <c r="B9893" s="3"/>
      <c r="C9893" s="3"/>
      <c r="D9893" s="3"/>
      <c r="E9893" s="3">
        <v>10</v>
      </c>
      <c r="F9893" s="4" t="str">
        <f>HYPERLINK("http://141.218.60.56/~jnz1568/getInfo.php?workbook=10_05.xlsx&amp;sheet=U0&amp;row=9893&amp;col=6&amp;number=3.9&amp;sourceID=14","3.9")</f>
        <v>3.9</v>
      </c>
      <c r="G9893" s="4" t="str">
        <f>HYPERLINK("http://141.218.60.56/~jnz1568/getInfo.php?workbook=10_05.xlsx&amp;sheet=U0&amp;row=9893&amp;col=7&amp;number=0.0527&amp;sourceID=14","0.0527")</f>
        <v>0.0527</v>
      </c>
    </row>
    <row r="9894" spans="1:7">
      <c r="A9894" s="3"/>
      <c r="B9894" s="3"/>
      <c r="C9894" s="3"/>
      <c r="D9894" s="3"/>
      <c r="E9894" s="3">
        <v>11</v>
      </c>
      <c r="F9894" s="4" t="str">
        <f>HYPERLINK("http://141.218.60.56/~jnz1568/getInfo.php?workbook=10_05.xlsx&amp;sheet=U0&amp;row=9894&amp;col=6&amp;number=4&amp;sourceID=14","4")</f>
        <v>4</v>
      </c>
      <c r="G9894" s="4" t="str">
        <f>HYPERLINK("http://141.218.60.56/~jnz1568/getInfo.php?workbook=10_05.xlsx&amp;sheet=U0&amp;row=9894&amp;col=7&amp;number=0.0527&amp;sourceID=14","0.0527")</f>
        <v>0.0527</v>
      </c>
    </row>
    <row r="9895" spans="1:7">
      <c r="A9895" s="3"/>
      <c r="B9895" s="3"/>
      <c r="C9895" s="3"/>
      <c r="D9895" s="3"/>
      <c r="E9895" s="3">
        <v>12</v>
      </c>
      <c r="F9895" s="4" t="str">
        <f>HYPERLINK("http://141.218.60.56/~jnz1568/getInfo.php?workbook=10_05.xlsx&amp;sheet=U0&amp;row=9895&amp;col=6&amp;number=4.1&amp;sourceID=14","4.1")</f>
        <v>4.1</v>
      </c>
      <c r="G9895" s="4" t="str">
        <f>HYPERLINK("http://141.218.60.56/~jnz1568/getInfo.php?workbook=10_05.xlsx&amp;sheet=U0&amp;row=9895&amp;col=7&amp;number=0.0527&amp;sourceID=14","0.0527")</f>
        <v>0.0527</v>
      </c>
    </row>
    <row r="9896" spans="1:7">
      <c r="A9896" s="3"/>
      <c r="B9896" s="3"/>
      <c r="C9896" s="3"/>
      <c r="D9896" s="3"/>
      <c r="E9896" s="3">
        <v>13</v>
      </c>
      <c r="F9896" s="4" t="str">
        <f>HYPERLINK("http://141.218.60.56/~jnz1568/getInfo.php?workbook=10_05.xlsx&amp;sheet=U0&amp;row=9896&amp;col=6&amp;number=4.2&amp;sourceID=14","4.2")</f>
        <v>4.2</v>
      </c>
      <c r="G9896" s="4" t="str">
        <f>HYPERLINK("http://141.218.60.56/~jnz1568/getInfo.php?workbook=10_05.xlsx&amp;sheet=U0&amp;row=9896&amp;col=7&amp;number=0.0527&amp;sourceID=14","0.0527")</f>
        <v>0.0527</v>
      </c>
    </row>
    <row r="9897" spans="1:7">
      <c r="A9897" s="3"/>
      <c r="B9897" s="3"/>
      <c r="C9897" s="3"/>
      <c r="D9897" s="3"/>
      <c r="E9897" s="3">
        <v>14</v>
      </c>
      <c r="F9897" s="4" t="str">
        <f>HYPERLINK("http://141.218.60.56/~jnz1568/getInfo.php?workbook=10_05.xlsx&amp;sheet=U0&amp;row=9897&amp;col=6&amp;number=4.3&amp;sourceID=14","4.3")</f>
        <v>4.3</v>
      </c>
      <c r="G9897" s="4" t="str">
        <f>HYPERLINK("http://141.218.60.56/~jnz1568/getInfo.php?workbook=10_05.xlsx&amp;sheet=U0&amp;row=9897&amp;col=7&amp;number=0.0528&amp;sourceID=14","0.0528")</f>
        <v>0.0528</v>
      </c>
    </row>
    <row r="9898" spans="1:7">
      <c r="A9898" s="3"/>
      <c r="B9898" s="3"/>
      <c r="C9898" s="3"/>
      <c r="D9898" s="3"/>
      <c r="E9898" s="3">
        <v>15</v>
      </c>
      <c r="F9898" s="4" t="str">
        <f>HYPERLINK("http://141.218.60.56/~jnz1568/getInfo.php?workbook=10_05.xlsx&amp;sheet=U0&amp;row=9898&amp;col=6&amp;number=4.4&amp;sourceID=14","4.4")</f>
        <v>4.4</v>
      </c>
      <c r="G9898" s="4" t="str">
        <f>HYPERLINK("http://141.218.60.56/~jnz1568/getInfo.php?workbook=10_05.xlsx&amp;sheet=U0&amp;row=9898&amp;col=7&amp;number=0.0529&amp;sourceID=14","0.0529")</f>
        <v>0.0529</v>
      </c>
    </row>
    <row r="9899" spans="1:7">
      <c r="A9899" s="3"/>
      <c r="B9899" s="3"/>
      <c r="C9899" s="3"/>
      <c r="D9899" s="3"/>
      <c r="E9899" s="3">
        <v>16</v>
      </c>
      <c r="F9899" s="4" t="str">
        <f>HYPERLINK("http://141.218.60.56/~jnz1568/getInfo.php?workbook=10_05.xlsx&amp;sheet=U0&amp;row=9899&amp;col=6&amp;number=4.5&amp;sourceID=14","4.5")</f>
        <v>4.5</v>
      </c>
      <c r="G9899" s="4" t="str">
        <f>HYPERLINK("http://141.218.60.56/~jnz1568/getInfo.php?workbook=10_05.xlsx&amp;sheet=U0&amp;row=9899&amp;col=7&amp;number=0.0533&amp;sourceID=14","0.0533")</f>
        <v>0.0533</v>
      </c>
    </row>
    <row r="9900" spans="1:7">
      <c r="A9900" s="3"/>
      <c r="B9900" s="3"/>
      <c r="C9900" s="3"/>
      <c r="D9900" s="3"/>
      <c r="E9900" s="3">
        <v>17</v>
      </c>
      <c r="F9900" s="4" t="str">
        <f>HYPERLINK("http://141.218.60.56/~jnz1568/getInfo.php?workbook=10_05.xlsx&amp;sheet=U0&amp;row=9900&amp;col=6&amp;number=4.6&amp;sourceID=14","4.6")</f>
        <v>4.6</v>
      </c>
      <c r="G9900" s="4" t="str">
        <f>HYPERLINK("http://141.218.60.56/~jnz1568/getInfo.php?workbook=10_05.xlsx&amp;sheet=U0&amp;row=9900&amp;col=7&amp;number=0.0538&amp;sourceID=14","0.0538")</f>
        <v>0.0538</v>
      </c>
    </row>
    <row r="9901" spans="1:7">
      <c r="A9901" s="3"/>
      <c r="B9901" s="3"/>
      <c r="C9901" s="3"/>
      <c r="D9901" s="3"/>
      <c r="E9901" s="3">
        <v>18</v>
      </c>
      <c r="F9901" s="4" t="str">
        <f>HYPERLINK("http://141.218.60.56/~jnz1568/getInfo.php?workbook=10_05.xlsx&amp;sheet=U0&amp;row=9901&amp;col=6&amp;number=4.7&amp;sourceID=14","4.7")</f>
        <v>4.7</v>
      </c>
      <c r="G9901" s="4" t="str">
        <f>HYPERLINK("http://141.218.60.56/~jnz1568/getInfo.php?workbook=10_05.xlsx&amp;sheet=U0&amp;row=9901&amp;col=7&amp;number=0.0544&amp;sourceID=14","0.0544")</f>
        <v>0.0544</v>
      </c>
    </row>
    <row r="9902" spans="1:7">
      <c r="A9902" s="3"/>
      <c r="B9902" s="3"/>
      <c r="C9902" s="3"/>
      <c r="D9902" s="3"/>
      <c r="E9902" s="3">
        <v>19</v>
      </c>
      <c r="F9902" s="4" t="str">
        <f>HYPERLINK("http://141.218.60.56/~jnz1568/getInfo.php?workbook=10_05.xlsx&amp;sheet=U0&amp;row=9902&amp;col=6&amp;number=4.8&amp;sourceID=14","4.8")</f>
        <v>4.8</v>
      </c>
      <c r="G9902" s="4" t="str">
        <f>HYPERLINK("http://141.218.60.56/~jnz1568/getInfo.php?workbook=10_05.xlsx&amp;sheet=U0&amp;row=9902&amp;col=7&amp;number=0.055&amp;sourceID=14","0.055")</f>
        <v>0.055</v>
      </c>
    </row>
    <row r="9903" spans="1:7">
      <c r="A9903" s="3"/>
      <c r="B9903" s="3"/>
      <c r="C9903" s="3"/>
      <c r="D9903" s="3"/>
      <c r="E9903" s="3">
        <v>20</v>
      </c>
      <c r="F9903" s="4" t="str">
        <f>HYPERLINK("http://141.218.60.56/~jnz1568/getInfo.php?workbook=10_05.xlsx&amp;sheet=U0&amp;row=9903&amp;col=6&amp;number=4.9&amp;sourceID=14","4.9")</f>
        <v>4.9</v>
      </c>
      <c r="G9903" s="4" t="str">
        <f>HYPERLINK("http://141.218.60.56/~jnz1568/getInfo.php?workbook=10_05.xlsx&amp;sheet=U0&amp;row=9903&amp;col=7&amp;number=0.0558&amp;sourceID=14","0.0558")</f>
        <v>0.0558</v>
      </c>
    </row>
    <row r="9904" spans="1:7">
      <c r="A9904" s="3">
        <v>10</v>
      </c>
      <c r="B9904" s="3">
        <v>5</v>
      </c>
      <c r="C9904" s="3">
        <v>3</v>
      </c>
      <c r="D9904" s="3">
        <v>142</v>
      </c>
      <c r="E9904" s="3">
        <v>1</v>
      </c>
      <c r="F9904" s="4" t="str">
        <f>HYPERLINK("http://141.218.60.56/~jnz1568/getInfo.php?workbook=10_05.xlsx&amp;sheet=U0&amp;row=9904&amp;col=6&amp;number=3&amp;sourceID=14","3")</f>
        <v>3</v>
      </c>
      <c r="G9904" s="4" t="str">
        <f>HYPERLINK("http://141.218.60.56/~jnz1568/getInfo.php?workbook=10_05.xlsx&amp;sheet=U0&amp;row=9904&amp;col=7&amp;number=0.0658&amp;sourceID=14","0.0658")</f>
        <v>0.0658</v>
      </c>
    </row>
    <row r="9905" spans="1:7">
      <c r="A9905" s="3"/>
      <c r="B9905" s="3"/>
      <c r="C9905" s="3"/>
      <c r="D9905" s="3"/>
      <c r="E9905" s="3">
        <v>2</v>
      </c>
      <c r="F9905" s="4" t="str">
        <f>HYPERLINK("http://141.218.60.56/~jnz1568/getInfo.php?workbook=10_05.xlsx&amp;sheet=U0&amp;row=9905&amp;col=6&amp;number=3.1&amp;sourceID=14","3.1")</f>
        <v>3.1</v>
      </c>
      <c r="G9905" s="4" t="str">
        <f>HYPERLINK("http://141.218.60.56/~jnz1568/getInfo.php?workbook=10_05.xlsx&amp;sheet=U0&amp;row=9905&amp;col=7&amp;number=0.0658&amp;sourceID=14","0.0658")</f>
        <v>0.0658</v>
      </c>
    </row>
    <row r="9906" spans="1:7">
      <c r="A9906" s="3"/>
      <c r="B9906" s="3"/>
      <c r="C9906" s="3"/>
      <c r="D9906" s="3"/>
      <c r="E9906" s="3">
        <v>3</v>
      </c>
      <c r="F9906" s="4" t="str">
        <f>HYPERLINK("http://141.218.60.56/~jnz1568/getInfo.php?workbook=10_05.xlsx&amp;sheet=U0&amp;row=9906&amp;col=6&amp;number=3.2&amp;sourceID=14","3.2")</f>
        <v>3.2</v>
      </c>
      <c r="G9906" s="4" t="str">
        <f>HYPERLINK("http://141.218.60.56/~jnz1568/getInfo.php?workbook=10_05.xlsx&amp;sheet=U0&amp;row=9906&amp;col=7&amp;number=0.0659&amp;sourceID=14","0.0659")</f>
        <v>0.0659</v>
      </c>
    </row>
    <row r="9907" spans="1:7">
      <c r="A9907" s="3"/>
      <c r="B9907" s="3"/>
      <c r="C9907" s="3"/>
      <c r="D9907" s="3"/>
      <c r="E9907" s="3">
        <v>4</v>
      </c>
      <c r="F9907" s="4" t="str">
        <f>HYPERLINK("http://141.218.60.56/~jnz1568/getInfo.php?workbook=10_05.xlsx&amp;sheet=U0&amp;row=9907&amp;col=6&amp;number=3.3&amp;sourceID=14","3.3")</f>
        <v>3.3</v>
      </c>
      <c r="G9907" s="4" t="str">
        <f>HYPERLINK("http://141.218.60.56/~jnz1568/getInfo.php?workbook=10_05.xlsx&amp;sheet=U0&amp;row=9907&amp;col=7&amp;number=0.0659&amp;sourceID=14","0.0659")</f>
        <v>0.0659</v>
      </c>
    </row>
    <row r="9908" spans="1:7">
      <c r="A9908" s="3"/>
      <c r="B9908" s="3"/>
      <c r="C9908" s="3"/>
      <c r="D9908" s="3"/>
      <c r="E9908" s="3">
        <v>5</v>
      </c>
      <c r="F9908" s="4" t="str">
        <f>HYPERLINK("http://141.218.60.56/~jnz1568/getInfo.php?workbook=10_05.xlsx&amp;sheet=U0&amp;row=9908&amp;col=6&amp;number=3.4&amp;sourceID=14","3.4")</f>
        <v>3.4</v>
      </c>
      <c r="G9908" s="4" t="str">
        <f>HYPERLINK("http://141.218.60.56/~jnz1568/getInfo.php?workbook=10_05.xlsx&amp;sheet=U0&amp;row=9908&amp;col=7&amp;number=0.066&amp;sourceID=14","0.066")</f>
        <v>0.066</v>
      </c>
    </row>
    <row r="9909" spans="1:7">
      <c r="A9909" s="3"/>
      <c r="B9909" s="3"/>
      <c r="C9909" s="3"/>
      <c r="D9909" s="3"/>
      <c r="E9909" s="3">
        <v>6</v>
      </c>
      <c r="F9909" s="4" t="str">
        <f>HYPERLINK("http://141.218.60.56/~jnz1568/getInfo.php?workbook=10_05.xlsx&amp;sheet=U0&amp;row=9909&amp;col=6&amp;number=3.5&amp;sourceID=14","3.5")</f>
        <v>3.5</v>
      </c>
      <c r="G9909" s="4" t="str">
        <f>HYPERLINK("http://141.218.60.56/~jnz1568/getInfo.php?workbook=10_05.xlsx&amp;sheet=U0&amp;row=9909&amp;col=7&amp;number=0.0661&amp;sourceID=14","0.0661")</f>
        <v>0.0661</v>
      </c>
    </row>
    <row r="9910" spans="1:7">
      <c r="A9910" s="3"/>
      <c r="B9910" s="3"/>
      <c r="C9910" s="3"/>
      <c r="D9910" s="3"/>
      <c r="E9910" s="3">
        <v>7</v>
      </c>
      <c r="F9910" s="4" t="str">
        <f>HYPERLINK("http://141.218.60.56/~jnz1568/getInfo.php?workbook=10_05.xlsx&amp;sheet=U0&amp;row=9910&amp;col=6&amp;number=3.6&amp;sourceID=14","3.6")</f>
        <v>3.6</v>
      </c>
      <c r="G9910" s="4" t="str">
        <f>HYPERLINK("http://141.218.60.56/~jnz1568/getInfo.php?workbook=10_05.xlsx&amp;sheet=U0&amp;row=9910&amp;col=7&amp;number=0.0662&amp;sourceID=14","0.0662")</f>
        <v>0.0662</v>
      </c>
    </row>
    <row r="9911" spans="1:7">
      <c r="A9911" s="3"/>
      <c r="B9911" s="3"/>
      <c r="C9911" s="3"/>
      <c r="D9911" s="3"/>
      <c r="E9911" s="3">
        <v>8</v>
      </c>
      <c r="F9911" s="4" t="str">
        <f>HYPERLINK("http://141.218.60.56/~jnz1568/getInfo.php?workbook=10_05.xlsx&amp;sheet=U0&amp;row=9911&amp;col=6&amp;number=3.7&amp;sourceID=14","3.7")</f>
        <v>3.7</v>
      </c>
      <c r="G9911" s="4" t="str">
        <f>HYPERLINK("http://141.218.60.56/~jnz1568/getInfo.php?workbook=10_05.xlsx&amp;sheet=U0&amp;row=9911&amp;col=7&amp;number=0.0664&amp;sourceID=14","0.0664")</f>
        <v>0.0664</v>
      </c>
    </row>
    <row r="9912" spans="1:7">
      <c r="A9912" s="3"/>
      <c r="B9912" s="3"/>
      <c r="C9912" s="3"/>
      <c r="D9912" s="3"/>
      <c r="E9912" s="3">
        <v>9</v>
      </c>
      <c r="F9912" s="4" t="str">
        <f>HYPERLINK("http://141.218.60.56/~jnz1568/getInfo.php?workbook=10_05.xlsx&amp;sheet=U0&amp;row=9912&amp;col=6&amp;number=3.8&amp;sourceID=14","3.8")</f>
        <v>3.8</v>
      </c>
      <c r="G9912" s="4" t="str">
        <f>HYPERLINK("http://141.218.60.56/~jnz1568/getInfo.php?workbook=10_05.xlsx&amp;sheet=U0&amp;row=9912&amp;col=7&amp;number=0.0665&amp;sourceID=14","0.0665")</f>
        <v>0.0665</v>
      </c>
    </row>
    <row r="9913" spans="1:7">
      <c r="A9913" s="3"/>
      <c r="B9913" s="3"/>
      <c r="C9913" s="3"/>
      <c r="D9913" s="3"/>
      <c r="E9913" s="3">
        <v>10</v>
      </c>
      <c r="F9913" s="4" t="str">
        <f>HYPERLINK("http://141.218.60.56/~jnz1568/getInfo.php?workbook=10_05.xlsx&amp;sheet=U0&amp;row=9913&amp;col=6&amp;number=3.9&amp;sourceID=14","3.9")</f>
        <v>3.9</v>
      </c>
      <c r="G9913" s="4" t="str">
        <f>HYPERLINK("http://141.218.60.56/~jnz1568/getInfo.php?workbook=10_05.xlsx&amp;sheet=U0&amp;row=9913&amp;col=7&amp;number=0.0667&amp;sourceID=14","0.0667")</f>
        <v>0.0667</v>
      </c>
    </row>
    <row r="9914" spans="1:7">
      <c r="A9914" s="3"/>
      <c r="B9914" s="3"/>
      <c r="C9914" s="3"/>
      <c r="D9914" s="3"/>
      <c r="E9914" s="3">
        <v>11</v>
      </c>
      <c r="F9914" s="4" t="str">
        <f>HYPERLINK("http://141.218.60.56/~jnz1568/getInfo.php?workbook=10_05.xlsx&amp;sheet=U0&amp;row=9914&amp;col=6&amp;number=4&amp;sourceID=14","4")</f>
        <v>4</v>
      </c>
      <c r="G9914" s="4" t="str">
        <f>HYPERLINK("http://141.218.60.56/~jnz1568/getInfo.php?workbook=10_05.xlsx&amp;sheet=U0&amp;row=9914&amp;col=7&amp;number=0.067&amp;sourceID=14","0.067")</f>
        <v>0.067</v>
      </c>
    </row>
    <row r="9915" spans="1:7">
      <c r="A9915" s="3"/>
      <c r="B9915" s="3"/>
      <c r="C9915" s="3"/>
      <c r="D9915" s="3"/>
      <c r="E9915" s="3">
        <v>12</v>
      </c>
      <c r="F9915" s="4" t="str">
        <f>HYPERLINK("http://141.218.60.56/~jnz1568/getInfo.php?workbook=10_05.xlsx&amp;sheet=U0&amp;row=9915&amp;col=6&amp;number=4.1&amp;sourceID=14","4.1")</f>
        <v>4.1</v>
      </c>
      <c r="G9915" s="4" t="str">
        <f>HYPERLINK("http://141.218.60.56/~jnz1568/getInfo.php?workbook=10_05.xlsx&amp;sheet=U0&amp;row=9915&amp;col=7&amp;number=0.0673&amp;sourceID=14","0.0673")</f>
        <v>0.0673</v>
      </c>
    </row>
    <row r="9916" spans="1:7">
      <c r="A9916" s="3"/>
      <c r="B9916" s="3"/>
      <c r="C9916" s="3"/>
      <c r="D9916" s="3"/>
      <c r="E9916" s="3">
        <v>13</v>
      </c>
      <c r="F9916" s="4" t="str">
        <f>HYPERLINK("http://141.218.60.56/~jnz1568/getInfo.php?workbook=10_05.xlsx&amp;sheet=U0&amp;row=9916&amp;col=6&amp;number=4.2&amp;sourceID=14","4.2")</f>
        <v>4.2</v>
      </c>
      <c r="G9916" s="4" t="str">
        <f>HYPERLINK("http://141.218.60.56/~jnz1568/getInfo.php?workbook=10_05.xlsx&amp;sheet=U0&amp;row=9916&amp;col=7&amp;number=0.0676&amp;sourceID=14","0.0676")</f>
        <v>0.0676</v>
      </c>
    </row>
    <row r="9917" spans="1:7">
      <c r="A9917" s="3"/>
      <c r="B9917" s="3"/>
      <c r="C9917" s="3"/>
      <c r="D9917" s="3"/>
      <c r="E9917" s="3">
        <v>14</v>
      </c>
      <c r="F9917" s="4" t="str">
        <f>HYPERLINK("http://141.218.60.56/~jnz1568/getInfo.php?workbook=10_05.xlsx&amp;sheet=U0&amp;row=9917&amp;col=6&amp;number=4.3&amp;sourceID=14","4.3")</f>
        <v>4.3</v>
      </c>
      <c r="G9917" s="4" t="str">
        <f>HYPERLINK("http://141.218.60.56/~jnz1568/getInfo.php?workbook=10_05.xlsx&amp;sheet=U0&amp;row=9917&amp;col=7&amp;number=0.068&amp;sourceID=14","0.068")</f>
        <v>0.068</v>
      </c>
    </row>
    <row r="9918" spans="1:7">
      <c r="A9918" s="3"/>
      <c r="B9918" s="3"/>
      <c r="C9918" s="3"/>
      <c r="D9918" s="3"/>
      <c r="E9918" s="3">
        <v>15</v>
      </c>
      <c r="F9918" s="4" t="str">
        <f>HYPERLINK("http://141.218.60.56/~jnz1568/getInfo.php?workbook=10_05.xlsx&amp;sheet=U0&amp;row=9918&amp;col=6&amp;number=4.4&amp;sourceID=14","4.4")</f>
        <v>4.4</v>
      </c>
      <c r="G9918" s="4" t="str">
        <f>HYPERLINK("http://141.218.60.56/~jnz1568/getInfo.php?workbook=10_05.xlsx&amp;sheet=U0&amp;row=9918&amp;col=7&amp;number=0.0684&amp;sourceID=14","0.0684")</f>
        <v>0.0684</v>
      </c>
    </row>
    <row r="9919" spans="1:7">
      <c r="A9919" s="3"/>
      <c r="B9919" s="3"/>
      <c r="C9919" s="3"/>
      <c r="D9919" s="3"/>
      <c r="E9919" s="3">
        <v>16</v>
      </c>
      <c r="F9919" s="4" t="str">
        <f>HYPERLINK("http://141.218.60.56/~jnz1568/getInfo.php?workbook=10_05.xlsx&amp;sheet=U0&amp;row=9919&amp;col=6&amp;number=4.5&amp;sourceID=14","4.5")</f>
        <v>4.5</v>
      </c>
      <c r="G9919" s="4" t="str">
        <f>HYPERLINK("http://141.218.60.56/~jnz1568/getInfo.php?workbook=10_05.xlsx&amp;sheet=U0&amp;row=9919&amp;col=7&amp;number=0.0688&amp;sourceID=14","0.0688")</f>
        <v>0.0688</v>
      </c>
    </row>
    <row r="9920" spans="1:7">
      <c r="A9920" s="3"/>
      <c r="B9920" s="3"/>
      <c r="C9920" s="3"/>
      <c r="D9920" s="3"/>
      <c r="E9920" s="3">
        <v>17</v>
      </c>
      <c r="F9920" s="4" t="str">
        <f>HYPERLINK("http://141.218.60.56/~jnz1568/getInfo.php?workbook=10_05.xlsx&amp;sheet=U0&amp;row=9920&amp;col=6&amp;number=4.6&amp;sourceID=14","4.6")</f>
        <v>4.6</v>
      </c>
      <c r="G9920" s="4" t="str">
        <f>HYPERLINK("http://141.218.60.56/~jnz1568/getInfo.php?workbook=10_05.xlsx&amp;sheet=U0&amp;row=9920&amp;col=7&amp;number=0.0693&amp;sourceID=14","0.0693")</f>
        <v>0.0693</v>
      </c>
    </row>
    <row r="9921" spans="1:7">
      <c r="A9921" s="3"/>
      <c r="B9921" s="3"/>
      <c r="C9921" s="3"/>
      <c r="D9921" s="3"/>
      <c r="E9921" s="3">
        <v>18</v>
      </c>
      <c r="F9921" s="4" t="str">
        <f>HYPERLINK("http://141.218.60.56/~jnz1568/getInfo.php?workbook=10_05.xlsx&amp;sheet=U0&amp;row=9921&amp;col=6&amp;number=4.7&amp;sourceID=14","4.7")</f>
        <v>4.7</v>
      </c>
      <c r="G9921" s="4" t="str">
        <f>HYPERLINK("http://141.218.60.56/~jnz1568/getInfo.php?workbook=10_05.xlsx&amp;sheet=U0&amp;row=9921&amp;col=7&amp;number=0.0698&amp;sourceID=14","0.0698")</f>
        <v>0.0698</v>
      </c>
    </row>
    <row r="9922" spans="1:7">
      <c r="A9922" s="3"/>
      <c r="B9922" s="3"/>
      <c r="C9922" s="3"/>
      <c r="D9922" s="3"/>
      <c r="E9922" s="3">
        <v>19</v>
      </c>
      <c r="F9922" s="4" t="str">
        <f>HYPERLINK("http://141.218.60.56/~jnz1568/getInfo.php?workbook=10_05.xlsx&amp;sheet=U0&amp;row=9922&amp;col=6&amp;number=4.8&amp;sourceID=14","4.8")</f>
        <v>4.8</v>
      </c>
      <c r="G9922" s="4" t="str">
        <f>HYPERLINK("http://141.218.60.56/~jnz1568/getInfo.php?workbook=10_05.xlsx&amp;sheet=U0&amp;row=9922&amp;col=7&amp;number=0.0706&amp;sourceID=14","0.0706")</f>
        <v>0.0706</v>
      </c>
    </row>
    <row r="9923" spans="1:7">
      <c r="A9923" s="3"/>
      <c r="B9923" s="3"/>
      <c r="C9923" s="3"/>
      <c r="D9923" s="3"/>
      <c r="E9923" s="3">
        <v>20</v>
      </c>
      <c r="F9923" s="4" t="str">
        <f>HYPERLINK("http://141.218.60.56/~jnz1568/getInfo.php?workbook=10_05.xlsx&amp;sheet=U0&amp;row=9923&amp;col=6&amp;number=4.9&amp;sourceID=14","4.9")</f>
        <v>4.9</v>
      </c>
      <c r="G9923" s="4" t="str">
        <f>HYPERLINK("http://141.218.60.56/~jnz1568/getInfo.php?workbook=10_05.xlsx&amp;sheet=U0&amp;row=9923&amp;col=7&amp;number=0.0717&amp;sourceID=14","0.0717")</f>
        <v>0.0717</v>
      </c>
    </row>
    <row r="9924" spans="1:7">
      <c r="A9924" s="3">
        <v>10</v>
      </c>
      <c r="B9924" s="3">
        <v>5</v>
      </c>
      <c r="C9924" s="3">
        <v>3</v>
      </c>
      <c r="D9924" s="3">
        <v>143</v>
      </c>
      <c r="E9924" s="3">
        <v>1</v>
      </c>
      <c r="F9924" s="4" t="str">
        <f>HYPERLINK("http://141.218.60.56/~jnz1568/getInfo.php?workbook=10_05.xlsx&amp;sheet=U0&amp;row=9924&amp;col=6&amp;number=3&amp;sourceID=14","3")</f>
        <v>3</v>
      </c>
      <c r="G9924" s="4" t="str">
        <f>HYPERLINK("http://141.218.60.56/~jnz1568/getInfo.php?workbook=10_05.xlsx&amp;sheet=U0&amp;row=9924&amp;col=7&amp;number=0.0104&amp;sourceID=14","0.0104")</f>
        <v>0.0104</v>
      </c>
    </row>
    <row r="9925" spans="1:7">
      <c r="A9925" s="3"/>
      <c r="B9925" s="3"/>
      <c r="C9925" s="3"/>
      <c r="D9925" s="3"/>
      <c r="E9925" s="3">
        <v>2</v>
      </c>
      <c r="F9925" s="4" t="str">
        <f>HYPERLINK("http://141.218.60.56/~jnz1568/getInfo.php?workbook=10_05.xlsx&amp;sheet=U0&amp;row=9925&amp;col=6&amp;number=3.1&amp;sourceID=14","3.1")</f>
        <v>3.1</v>
      </c>
      <c r="G9925" s="4" t="str">
        <f>HYPERLINK("http://141.218.60.56/~jnz1568/getInfo.php?workbook=10_05.xlsx&amp;sheet=U0&amp;row=9925&amp;col=7&amp;number=0.0104&amp;sourceID=14","0.0104")</f>
        <v>0.0104</v>
      </c>
    </row>
    <row r="9926" spans="1:7">
      <c r="A9926" s="3"/>
      <c r="B9926" s="3"/>
      <c r="C9926" s="3"/>
      <c r="D9926" s="3"/>
      <c r="E9926" s="3">
        <v>3</v>
      </c>
      <c r="F9926" s="4" t="str">
        <f>HYPERLINK("http://141.218.60.56/~jnz1568/getInfo.php?workbook=10_05.xlsx&amp;sheet=U0&amp;row=9926&amp;col=6&amp;number=3.2&amp;sourceID=14","3.2")</f>
        <v>3.2</v>
      </c>
      <c r="G9926" s="4" t="str">
        <f>HYPERLINK("http://141.218.60.56/~jnz1568/getInfo.php?workbook=10_05.xlsx&amp;sheet=U0&amp;row=9926&amp;col=7&amp;number=0.0104&amp;sourceID=14","0.0104")</f>
        <v>0.0104</v>
      </c>
    </row>
    <row r="9927" spans="1:7">
      <c r="A9927" s="3"/>
      <c r="B9927" s="3"/>
      <c r="C9927" s="3"/>
      <c r="D9927" s="3"/>
      <c r="E9927" s="3">
        <v>4</v>
      </c>
      <c r="F9927" s="4" t="str">
        <f>HYPERLINK("http://141.218.60.56/~jnz1568/getInfo.php?workbook=10_05.xlsx&amp;sheet=U0&amp;row=9927&amp;col=6&amp;number=3.3&amp;sourceID=14","3.3")</f>
        <v>3.3</v>
      </c>
      <c r="G9927" s="4" t="str">
        <f>HYPERLINK("http://141.218.60.56/~jnz1568/getInfo.php?workbook=10_05.xlsx&amp;sheet=U0&amp;row=9927&amp;col=7&amp;number=0.0104&amp;sourceID=14","0.0104")</f>
        <v>0.0104</v>
      </c>
    </row>
    <row r="9928" spans="1:7">
      <c r="A9928" s="3"/>
      <c r="B9928" s="3"/>
      <c r="C9928" s="3"/>
      <c r="D9928" s="3"/>
      <c r="E9928" s="3">
        <v>5</v>
      </c>
      <c r="F9928" s="4" t="str">
        <f>HYPERLINK("http://141.218.60.56/~jnz1568/getInfo.php?workbook=10_05.xlsx&amp;sheet=U0&amp;row=9928&amp;col=6&amp;number=3.4&amp;sourceID=14","3.4")</f>
        <v>3.4</v>
      </c>
      <c r="G9928" s="4" t="str">
        <f>HYPERLINK("http://141.218.60.56/~jnz1568/getInfo.php?workbook=10_05.xlsx&amp;sheet=U0&amp;row=9928&amp;col=7&amp;number=0.0104&amp;sourceID=14","0.0104")</f>
        <v>0.0104</v>
      </c>
    </row>
    <row r="9929" spans="1:7">
      <c r="A9929" s="3"/>
      <c r="B9929" s="3"/>
      <c r="C9929" s="3"/>
      <c r="D9929" s="3"/>
      <c r="E9929" s="3">
        <v>6</v>
      </c>
      <c r="F9929" s="4" t="str">
        <f>HYPERLINK("http://141.218.60.56/~jnz1568/getInfo.php?workbook=10_05.xlsx&amp;sheet=U0&amp;row=9929&amp;col=6&amp;number=3.5&amp;sourceID=14","3.5")</f>
        <v>3.5</v>
      </c>
      <c r="G9929" s="4" t="str">
        <f>HYPERLINK("http://141.218.60.56/~jnz1568/getInfo.php?workbook=10_05.xlsx&amp;sheet=U0&amp;row=9929&amp;col=7&amp;number=0.0104&amp;sourceID=14","0.0104")</f>
        <v>0.0104</v>
      </c>
    </row>
    <row r="9930" spans="1:7">
      <c r="A9930" s="3"/>
      <c r="B9930" s="3"/>
      <c r="C9930" s="3"/>
      <c r="D9930" s="3"/>
      <c r="E9930" s="3">
        <v>7</v>
      </c>
      <c r="F9930" s="4" t="str">
        <f>HYPERLINK("http://141.218.60.56/~jnz1568/getInfo.php?workbook=10_05.xlsx&amp;sheet=U0&amp;row=9930&amp;col=6&amp;number=3.6&amp;sourceID=14","3.6")</f>
        <v>3.6</v>
      </c>
      <c r="G9930" s="4" t="str">
        <f>HYPERLINK("http://141.218.60.56/~jnz1568/getInfo.php?workbook=10_05.xlsx&amp;sheet=U0&amp;row=9930&amp;col=7&amp;number=0.0103&amp;sourceID=14","0.0103")</f>
        <v>0.0103</v>
      </c>
    </row>
    <row r="9931" spans="1:7">
      <c r="A9931" s="3"/>
      <c r="B9931" s="3"/>
      <c r="C9931" s="3"/>
      <c r="D9931" s="3"/>
      <c r="E9931" s="3">
        <v>8</v>
      </c>
      <c r="F9931" s="4" t="str">
        <f>HYPERLINK("http://141.218.60.56/~jnz1568/getInfo.php?workbook=10_05.xlsx&amp;sheet=U0&amp;row=9931&amp;col=6&amp;number=3.7&amp;sourceID=14","3.7")</f>
        <v>3.7</v>
      </c>
      <c r="G9931" s="4" t="str">
        <f>HYPERLINK("http://141.218.60.56/~jnz1568/getInfo.php?workbook=10_05.xlsx&amp;sheet=U0&amp;row=9931&amp;col=7&amp;number=0.0103&amp;sourceID=14","0.0103")</f>
        <v>0.0103</v>
      </c>
    </row>
    <row r="9932" spans="1:7">
      <c r="A9932" s="3"/>
      <c r="B9932" s="3"/>
      <c r="C9932" s="3"/>
      <c r="D9932" s="3"/>
      <c r="E9932" s="3">
        <v>9</v>
      </c>
      <c r="F9932" s="4" t="str">
        <f>HYPERLINK("http://141.218.60.56/~jnz1568/getInfo.php?workbook=10_05.xlsx&amp;sheet=U0&amp;row=9932&amp;col=6&amp;number=3.8&amp;sourceID=14","3.8")</f>
        <v>3.8</v>
      </c>
      <c r="G9932" s="4" t="str">
        <f>HYPERLINK("http://141.218.60.56/~jnz1568/getInfo.php?workbook=10_05.xlsx&amp;sheet=U0&amp;row=9932&amp;col=7&amp;number=0.0103&amp;sourceID=14","0.0103")</f>
        <v>0.0103</v>
      </c>
    </row>
    <row r="9933" spans="1:7">
      <c r="A9933" s="3"/>
      <c r="B9933" s="3"/>
      <c r="C9933" s="3"/>
      <c r="D9933" s="3"/>
      <c r="E9933" s="3">
        <v>10</v>
      </c>
      <c r="F9933" s="4" t="str">
        <f>HYPERLINK("http://141.218.60.56/~jnz1568/getInfo.php?workbook=10_05.xlsx&amp;sheet=U0&amp;row=9933&amp;col=6&amp;number=3.9&amp;sourceID=14","3.9")</f>
        <v>3.9</v>
      </c>
      <c r="G9933" s="4" t="str">
        <f>HYPERLINK("http://141.218.60.56/~jnz1568/getInfo.php?workbook=10_05.xlsx&amp;sheet=U0&amp;row=9933&amp;col=7&amp;number=0.0102&amp;sourceID=14","0.0102")</f>
        <v>0.0102</v>
      </c>
    </row>
    <row r="9934" spans="1:7">
      <c r="A9934" s="3"/>
      <c r="B9934" s="3"/>
      <c r="C9934" s="3"/>
      <c r="D9934" s="3"/>
      <c r="E9934" s="3">
        <v>11</v>
      </c>
      <c r="F9934" s="4" t="str">
        <f>HYPERLINK("http://141.218.60.56/~jnz1568/getInfo.php?workbook=10_05.xlsx&amp;sheet=U0&amp;row=9934&amp;col=6&amp;number=4&amp;sourceID=14","4")</f>
        <v>4</v>
      </c>
      <c r="G9934" s="4" t="str">
        <f>HYPERLINK("http://141.218.60.56/~jnz1568/getInfo.php?workbook=10_05.xlsx&amp;sheet=U0&amp;row=9934&amp;col=7&amp;number=0.0102&amp;sourceID=14","0.0102")</f>
        <v>0.0102</v>
      </c>
    </row>
    <row r="9935" spans="1:7">
      <c r="A9935" s="3"/>
      <c r="B9935" s="3"/>
      <c r="C9935" s="3"/>
      <c r="D9935" s="3"/>
      <c r="E9935" s="3">
        <v>12</v>
      </c>
      <c r="F9935" s="4" t="str">
        <f>HYPERLINK("http://141.218.60.56/~jnz1568/getInfo.php?workbook=10_05.xlsx&amp;sheet=U0&amp;row=9935&amp;col=6&amp;number=4.1&amp;sourceID=14","4.1")</f>
        <v>4.1</v>
      </c>
      <c r="G9935" s="4" t="str">
        <f>HYPERLINK("http://141.218.60.56/~jnz1568/getInfo.php?workbook=10_05.xlsx&amp;sheet=U0&amp;row=9935&amp;col=7&amp;number=0.0102&amp;sourceID=14","0.0102")</f>
        <v>0.0102</v>
      </c>
    </row>
    <row r="9936" spans="1:7">
      <c r="A9936" s="3"/>
      <c r="B9936" s="3"/>
      <c r="C9936" s="3"/>
      <c r="D9936" s="3"/>
      <c r="E9936" s="3">
        <v>13</v>
      </c>
      <c r="F9936" s="4" t="str">
        <f>HYPERLINK("http://141.218.60.56/~jnz1568/getInfo.php?workbook=10_05.xlsx&amp;sheet=U0&amp;row=9936&amp;col=6&amp;number=4.2&amp;sourceID=14","4.2")</f>
        <v>4.2</v>
      </c>
      <c r="G9936" s="4" t="str">
        <f>HYPERLINK("http://141.218.60.56/~jnz1568/getInfo.php?workbook=10_05.xlsx&amp;sheet=U0&amp;row=9936&amp;col=7&amp;number=0.0101&amp;sourceID=14","0.0101")</f>
        <v>0.0101</v>
      </c>
    </row>
    <row r="9937" spans="1:7">
      <c r="A9937" s="3"/>
      <c r="B9937" s="3"/>
      <c r="C9937" s="3"/>
      <c r="D9937" s="3"/>
      <c r="E9937" s="3">
        <v>14</v>
      </c>
      <c r="F9937" s="4" t="str">
        <f>HYPERLINK("http://141.218.60.56/~jnz1568/getInfo.php?workbook=10_05.xlsx&amp;sheet=U0&amp;row=9937&amp;col=6&amp;number=4.3&amp;sourceID=14","4.3")</f>
        <v>4.3</v>
      </c>
      <c r="G9937" s="4" t="str">
        <f>HYPERLINK("http://141.218.60.56/~jnz1568/getInfo.php?workbook=10_05.xlsx&amp;sheet=U0&amp;row=9937&amp;col=7&amp;number=0.01&amp;sourceID=14","0.01")</f>
        <v>0.01</v>
      </c>
    </row>
    <row r="9938" spans="1:7">
      <c r="A9938" s="3"/>
      <c r="B9938" s="3"/>
      <c r="C9938" s="3"/>
      <c r="D9938" s="3"/>
      <c r="E9938" s="3">
        <v>15</v>
      </c>
      <c r="F9938" s="4" t="str">
        <f>HYPERLINK("http://141.218.60.56/~jnz1568/getInfo.php?workbook=10_05.xlsx&amp;sheet=U0&amp;row=9938&amp;col=6&amp;number=4.4&amp;sourceID=14","4.4")</f>
        <v>4.4</v>
      </c>
      <c r="G9938" s="4" t="str">
        <f>HYPERLINK("http://141.218.60.56/~jnz1568/getInfo.php?workbook=10_05.xlsx&amp;sheet=U0&amp;row=9938&amp;col=7&amp;number=0.00999&amp;sourceID=14","0.00999")</f>
        <v>0.00999</v>
      </c>
    </row>
    <row r="9939" spans="1:7">
      <c r="A9939" s="3"/>
      <c r="B9939" s="3"/>
      <c r="C9939" s="3"/>
      <c r="D9939" s="3"/>
      <c r="E9939" s="3">
        <v>16</v>
      </c>
      <c r="F9939" s="4" t="str">
        <f>HYPERLINK("http://141.218.60.56/~jnz1568/getInfo.php?workbook=10_05.xlsx&amp;sheet=U0&amp;row=9939&amp;col=6&amp;number=4.5&amp;sourceID=14","4.5")</f>
        <v>4.5</v>
      </c>
      <c r="G9939" s="4" t="str">
        <f>HYPERLINK("http://141.218.60.56/~jnz1568/getInfo.php?workbook=10_05.xlsx&amp;sheet=U0&amp;row=9939&amp;col=7&amp;number=0.00993&amp;sourceID=14","0.00993")</f>
        <v>0.00993</v>
      </c>
    </row>
    <row r="9940" spans="1:7">
      <c r="A9940" s="3"/>
      <c r="B9940" s="3"/>
      <c r="C9940" s="3"/>
      <c r="D9940" s="3"/>
      <c r="E9940" s="3">
        <v>17</v>
      </c>
      <c r="F9940" s="4" t="str">
        <f>HYPERLINK("http://141.218.60.56/~jnz1568/getInfo.php?workbook=10_05.xlsx&amp;sheet=U0&amp;row=9940&amp;col=6&amp;number=4.6&amp;sourceID=14","4.6")</f>
        <v>4.6</v>
      </c>
      <c r="G9940" s="4" t="str">
        <f>HYPERLINK("http://141.218.60.56/~jnz1568/getInfo.php?workbook=10_05.xlsx&amp;sheet=U0&amp;row=9940&amp;col=7&amp;number=0.00987&amp;sourceID=14","0.00987")</f>
        <v>0.00987</v>
      </c>
    </row>
    <row r="9941" spans="1:7">
      <c r="A9941" s="3"/>
      <c r="B9941" s="3"/>
      <c r="C9941" s="3"/>
      <c r="D9941" s="3"/>
      <c r="E9941" s="3">
        <v>18</v>
      </c>
      <c r="F9941" s="4" t="str">
        <f>HYPERLINK("http://141.218.60.56/~jnz1568/getInfo.php?workbook=10_05.xlsx&amp;sheet=U0&amp;row=9941&amp;col=6&amp;number=4.7&amp;sourceID=14","4.7")</f>
        <v>4.7</v>
      </c>
      <c r="G9941" s="4" t="str">
        <f>HYPERLINK("http://141.218.60.56/~jnz1568/getInfo.php?workbook=10_05.xlsx&amp;sheet=U0&amp;row=9941&amp;col=7&amp;number=0.0098&amp;sourceID=14","0.0098")</f>
        <v>0.0098</v>
      </c>
    </row>
    <row r="9942" spans="1:7">
      <c r="A9942" s="3"/>
      <c r="B9942" s="3"/>
      <c r="C9942" s="3"/>
      <c r="D9942" s="3"/>
      <c r="E9942" s="3">
        <v>19</v>
      </c>
      <c r="F9942" s="4" t="str">
        <f>HYPERLINK("http://141.218.60.56/~jnz1568/getInfo.php?workbook=10_05.xlsx&amp;sheet=U0&amp;row=9942&amp;col=6&amp;number=4.8&amp;sourceID=14","4.8")</f>
        <v>4.8</v>
      </c>
      <c r="G9942" s="4" t="str">
        <f>HYPERLINK("http://141.218.60.56/~jnz1568/getInfo.php?workbook=10_05.xlsx&amp;sheet=U0&amp;row=9942&amp;col=7&amp;number=0.00971&amp;sourceID=14","0.00971")</f>
        <v>0.00971</v>
      </c>
    </row>
    <row r="9943" spans="1:7">
      <c r="A9943" s="3"/>
      <c r="B9943" s="3"/>
      <c r="C9943" s="3"/>
      <c r="D9943" s="3"/>
      <c r="E9943" s="3">
        <v>20</v>
      </c>
      <c r="F9943" s="4" t="str">
        <f>HYPERLINK("http://141.218.60.56/~jnz1568/getInfo.php?workbook=10_05.xlsx&amp;sheet=U0&amp;row=9943&amp;col=6&amp;number=4.9&amp;sourceID=14","4.9")</f>
        <v>4.9</v>
      </c>
      <c r="G9943" s="4" t="str">
        <f>HYPERLINK("http://141.218.60.56/~jnz1568/getInfo.php?workbook=10_05.xlsx&amp;sheet=U0&amp;row=9943&amp;col=7&amp;number=0.00958&amp;sourceID=14","0.00958")</f>
        <v>0.00958</v>
      </c>
    </row>
    <row r="9944" spans="1:7">
      <c r="A9944" s="3">
        <v>10</v>
      </c>
      <c r="B9944" s="3">
        <v>5</v>
      </c>
      <c r="C9944" s="3">
        <v>3</v>
      </c>
      <c r="D9944" s="3">
        <v>144</v>
      </c>
      <c r="E9944" s="3">
        <v>1</v>
      </c>
      <c r="F9944" s="4" t="str">
        <f>HYPERLINK("http://141.218.60.56/~jnz1568/getInfo.php?workbook=10_05.xlsx&amp;sheet=U0&amp;row=9944&amp;col=6&amp;number=3&amp;sourceID=14","3")</f>
        <v>3</v>
      </c>
      <c r="G9944" s="4" t="str">
        <f>HYPERLINK("http://141.218.60.56/~jnz1568/getInfo.php?workbook=10_05.xlsx&amp;sheet=U0&amp;row=9944&amp;col=7&amp;number=0.00673&amp;sourceID=14","0.00673")</f>
        <v>0.00673</v>
      </c>
    </row>
    <row r="9945" spans="1:7">
      <c r="A9945" s="3"/>
      <c r="B9945" s="3"/>
      <c r="C9945" s="3"/>
      <c r="D9945" s="3"/>
      <c r="E9945" s="3">
        <v>2</v>
      </c>
      <c r="F9945" s="4" t="str">
        <f>HYPERLINK("http://141.218.60.56/~jnz1568/getInfo.php?workbook=10_05.xlsx&amp;sheet=U0&amp;row=9945&amp;col=6&amp;number=3.1&amp;sourceID=14","3.1")</f>
        <v>3.1</v>
      </c>
      <c r="G9945" s="4" t="str">
        <f>HYPERLINK("http://141.218.60.56/~jnz1568/getInfo.php?workbook=10_05.xlsx&amp;sheet=U0&amp;row=9945&amp;col=7&amp;number=0.00672&amp;sourceID=14","0.00672")</f>
        <v>0.00672</v>
      </c>
    </row>
    <row r="9946" spans="1:7">
      <c r="A9946" s="3"/>
      <c r="B9946" s="3"/>
      <c r="C9946" s="3"/>
      <c r="D9946" s="3"/>
      <c r="E9946" s="3">
        <v>3</v>
      </c>
      <c r="F9946" s="4" t="str">
        <f>HYPERLINK("http://141.218.60.56/~jnz1568/getInfo.php?workbook=10_05.xlsx&amp;sheet=U0&amp;row=9946&amp;col=6&amp;number=3.2&amp;sourceID=14","3.2")</f>
        <v>3.2</v>
      </c>
      <c r="G9946" s="4" t="str">
        <f>HYPERLINK("http://141.218.60.56/~jnz1568/getInfo.php?workbook=10_05.xlsx&amp;sheet=U0&amp;row=9946&amp;col=7&amp;number=0.00671&amp;sourceID=14","0.00671")</f>
        <v>0.00671</v>
      </c>
    </row>
    <row r="9947" spans="1:7">
      <c r="A9947" s="3"/>
      <c r="B9947" s="3"/>
      <c r="C9947" s="3"/>
      <c r="D9947" s="3"/>
      <c r="E9947" s="3">
        <v>4</v>
      </c>
      <c r="F9947" s="4" t="str">
        <f>HYPERLINK("http://141.218.60.56/~jnz1568/getInfo.php?workbook=10_05.xlsx&amp;sheet=U0&amp;row=9947&amp;col=6&amp;number=3.3&amp;sourceID=14","3.3")</f>
        <v>3.3</v>
      </c>
      <c r="G9947" s="4" t="str">
        <f>HYPERLINK("http://141.218.60.56/~jnz1568/getInfo.php?workbook=10_05.xlsx&amp;sheet=U0&amp;row=9947&amp;col=7&amp;number=0.00671&amp;sourceID=14","0.00671")</f>
        <v>0.00671</v>
      </c>
    </row>
    <row r="9948" spans="1:7">
      <c r="A9948" s="3"/>
      <c r="B9948" s="3"/>
      <c r="C9948" s="3"/>
      <c r="D9948" s="3"/>
      <c r="E9948" s="3">
        <v>5</v>
      </c>
      <c r="F9948" s="4" t="str">
        <f>HYPERLINK("http://141.218.60.56/~jnz1568/getInfo.php?workbook=10_05.xlsx&amp;sheet=U0&amp;row=9948&amp;col=6&amp;number=3.4&amp;sourceID=14","3.4")</f>
        <v>3.4</v>
      </c>
      <c r="G9948" s="4" t="str">
        <f>HYPERLINK("http://141.218.60.56/~jnz1568/getInfo.php?workbook=10_05.xlsx&amp;sheet=U0&amp;row=9948&amp;col=7&amp;number=0.0067&amp;sourceID=14","0.0067")</f>
        <v>0.0067</v>
      </c>
    </row>
    <row r="9949" spans="1:7">
      <c r="A9949" s="3"/>
      <c r="B9949" s="3"/>
      <c r="C9949" s="3"/>
      <c r="D9949" s="3"/>
      <c r="E9949" s="3">
        <v>6</v>
      </c>
      <c r="F9949" s="4" t="str">
        <f>HYPERLINK("http://141.218.60.56/~jnz1568/getInfo.php?workbook=10_05.xlsx&amp;sheet=U0&amp;row=9949&amp;col=6&amp;number=3.5&amp;sourceID=14","3.5")</f>
        <v>3.5</v>
      </c>
      <c r="G9949" s="4" t="str">
        <f>HYPERLINK("http://141.218.60.56/~jnz1568/getInfo.php?workbook=10_05.xlsx&amp;sheet=U0&amp;row=9949&amp;col=7&amp;number=0.00668&amp;sourceID=14","0.00668")</f>
        <v>0.00668</v>
      </c>
    </row>
    <row r="9950" spans="1:7">
      <c r="A9950" s="3"/>
      <c r="B9950" s="3"/>
      <c r="C9950" s="3"/>
      <c r="D9950" s="3"/>
      <c r="E9950" s="3">
        <v>7</v>
      </c>
      <c r="F9950" s="4" t="str">
        <f>HYPERLINK("http://141.218.60.56/~jnz1568/getInfo.php?workbook=10_05.xlsx&amp;sheet=U0&amp;row=9950&amp;col=6&amp;number=3.6&amp;sourceID=14","3.6")</f>
        <v>3.6</v>
      </c>
      <c r="G9950" s="4" t="str">
        <f>HYPERLINK("http://141.218.60.56/~jnz1568/getInfo.php?workbook=10_05.xlsx&amp;sheet=U0&amp;row=9950&amp;col=7&amp;number=0.00667&amp;sourceID=14","0.00667")</f>
        <v>0.00667</v>
      </c>
    </row>
    <row r="9951" spans="1:7">
      <c r="A9951" s="3"/>
      <c r="B9951" s="3"/>
      <c r="C9951" s="3"/>
      <c r="D9951" s="3"/>
      <c r="E9951" s="3">
        <v>8</v>
      </c>
      <c r="F9951" s="4" t="str">
        <f>HYPERLINK("http://141.218.60.56/~jnz1568/getInfo.php?workbook=10_05.xlsx&amp;sheet=U0&amp;row=9951&amp;col=6&amp;number=3.7&amp;sourceID=14","3.7")</f>
        <v>3.7</v>
      </c>
      <c r="G9951" s="4" t="str">
        <f>HYPERLINK("http://141.218.60.56/~jnz1568/getInfo.php?workbook=10_05.xlsx&amp;sheet=U0&amp;row=9951&amp;col=7&amp;number=0.00665&amp;sourceID=14","0.00665")</f>
        <v>0.00665</v>
      </c>
    </row>
    <row r="9952" spans="1:7">
      <c r="A9952" s="3"/>
      <c r="B9952" s="3"/>
      <c r="C9952" s="3"/>
      <c r="D9952" s="3"/>
      <c r="E9952" s="3">
        <v>9</v>
      </c>
      <c r="F9952" s="4" t="str">
        <f>HYPERLINK("http://141.218.60.56/~jnz1568/getInfo.php?workbook=10_05.xlsx&amp;sheet=U0&amp;row=9952&amp;col=6&amp;number=3.8&amp;sourceID=14","3.8")</f>
        <v>3.8</v>
      </c>
      <c r="G9952" s="4" t="str">
        <f>HYPERLINK("http://141.218.60.56/~jnz1568/getInfo.php?workbook=10_05.xlsx&amp;sheet=U0&amp;row=9952&amp;col=7&amp;number=0.00662&amp;sourceID=14","0.00662")</f>
        <v>0.00662</v>
      </c>
    </row>
    <row r="9953" spans="1:7">
      <c r="A9953" s="3"/>
      <c r="B9953" s="3"/>
      <c r="C9953" s="3"/>
      <c r="D9953" s="3"/>
      <c r="E9953" s="3">
        <v>10</v>
      </c>
      <c r="F9953" s="4" t="str">
        <f>HYPERLINK("http://141.218.60.56/~jnz1568/getInfo.php?workbook=10_05.xlsx&amp;sheet=U0&amp;row=9953&amp;col=6&amp;number=3.9&amp;sourceID=14","3.9")</f>
        <v>3.9</v>
      </c>
      <c r="G9953" s="4" t="str">
        <f>HYPERLINK("http://141.218.60.56/~jnz1568/getInfo.php?workbook=10_05.xlsx&amp;sheet=U0&amp;row=9953&amp;col=7&amp;number=0.00659&amp;sourceID=14","0.00659")</f>
        <v>0.00659</v>
      </c>
    </row>
    <row r="9954" spans="1:7">
      <c r="A9954" s="3"/>
      <c r="B9954" s="3"/>
      <c r="C9954" s="3"/>
      <c r="D9954" s="3"/>
      <c r="E9954" s="3">
        <v>11</v>
      </c>
      <c r="F9954" s="4" t="str">
        <f>HYPERLINK("http://141.218.60.56/~jnz1568/getInfo.php?workbook=10_05.xlsx&amp;sheet=U0&amp;row=9954&amp;col=6&amp;number=4&amp;sourceID=14","4")</f>
        <v>4</v>
      </c>
      <c r="G9954" s="4" t="str">
        <f>HYPERLINK("http://141.218.60.56/~jnz1568/getInfo.php?workbook=10_05.xlsx&amp;sheet=U0&amp;row=9954&amp;col=7&amp;number=0.00656&amp;sourceID=14","0.00656")</f>
        <v>0.00656</v>
      </c>
    </row>
    <row r="9955" spans="1:7">
      <c r="A9955" s="3"/>
      <c r="B9955" s="3"/>
      <c r="C9955" s="3"/>
      <c r="D9955" s="3"/>
      <c r="E9955" s="3">
        <v>12</v>
      </c>
      <c r="F9955" s="4" t="str">
        <f>HYPERLINK("http://141.218.60.56/~jnz1568/getInfo.php?workbook=10_05.xlsx&amp;sheet=U0&amp;row=9955&amp;col=6&amp;number=4.1&amp;sourceID=14","4.1")</f>
        <v>4.1</v>
      </c>
      <c r="G9955" s="4" t="str">
        <f>HYPERLINK("http://141.218.60.56/~jnz1568/getInfo.php?workbook=10_05.xlsx&amp;sheet=U0&amp;row=9955&amp;col=7&amp;number=0.00652&amp;sourceID=14","0.00652")</f>
        <v>0.00652</v>
      </c>
    </row>
    <row r="9956" spans="1:7">
      <c r="A9956" s="3"/>
      <c r="B9956" s="3"/>
      <c r="C9956" s="3"/>
      <c r="D9956" s="3"/>
      <c r="E9956" s="3">
        <v>13</v>
      </c>
      <c r="F9956" s="4" t="str">
        <f>HYPERLINK("http://141.218.60.56/~jnz1568/getInfo.php?workbook=10_05.xlsx&amp;sheet=U0&amp;row=9956&amp;col=6&amp;number=4.2&amp;sourceID=14","4.2")</f>
        <v>4.2</v>
      </c>
      <c r="G9956" s="4" t="str">
        <f>HYPERLINK("http://141.218.60.56/~jnz1568/getInfo.php?workbook=10_05.xlsx&amp;sheet=U0&amp;row=9956&amp;col=7&amp;number=0.00647&amp;sourceID=14","0.00647")</f>
        <v>0.00647</v>
      </c>
    </row>
    <row r="9957" spans="1:7">
      <c r="A9957" s="3"/>
      <c r="B9957" s="3"/>
      <c r="C9957" s="3"/>
      <c r="D9957" s="3"/>
      <c r="E9957" s="3">
        <v>14</v>
      </c>
      <c r="F9957" s="4" t="str">
        <f>HYPERLINK("http://141.218.60.56/~jnz1568/getInfo.php?workbook=10_05.xlsx&amp;sheet=U0&amp;row=9957&amp;col=6&amp;number=4.3&amp;sourceID=14","4.3")</f>
        <v>4.3</v>
      </c>
      <c r="G9957" s="4" t="str">
        <f>HYPERLINK("http://141.218.60.56/~jnz1568/getInfo.php?workbook=10_05.xlsx&amp;sheet=U0&amp;row=9957&amp;col=7&amp;number=0.00642&amp;sourceID=14","0.00642")</f>
        <v>0.00642</v>
      </c>
    </row>
    <row r="9958" spans="1:7">
      <c r="A9958" s="3"/>
      <c r="B9958" s="3"/>
      <c r="C9958" s="3"/>
      <c r="D9958" s="3"/>
      <c r="E9958" s="3">
        <v>15</v>
      </c>
      <c r="F9958" s="4" t="str">
        <f>HYPERLINK("http://141.218.60.56/~jnz1568/getInfo.php?workbook=10_05.xlsx&amp;sheet=U0&amp;row=9958&amp;col=6&amp;number=4.4&amp;sourceID=14","4.4")</f>
        <v>4.4</v>
      </c>
      <c r="G9958" s="4" t="str">
        <f>HYPERLINK("http://141.218.60.56/~jnz1568/getInfo.php?workbook=10_05.xlsx&amp;sheet=U0&amp;row=9958&amp;col=7&amp;number=0.00636&amp;sourceID=14","0.00636")</f>
        <v>0.00636</v>
      </c>
    </row>
    <row r="9959" spans="1:7">
      <c r="A9959" s="3"/>
      <c r="B9959" s="3"/>
      <c r="C9959" s="3"/>
      <c r="D9959" s="3"/>
      <c r="E9959" s="3">
        <v>16</v>
      </c>
      <c r="F9959" s="4" t="str">
        <f>HYPERLINK("http://141.218.60.56/~jnz1568/getInfo.php?workbook=10_05.xlsx&amp;sheet=U0&amp;row=9959&amp;col=6&amp;number=4.5&amp;sourceID=14","4.5")</f>
        <v>4.5</v>
      </c>
      <c r="G9959" s="4" t="str">
        <f>HYPERLINK("http://141.218.60.56/~jnz1568/getInfo.php?workbook=10_05.xlsx&amp;sheet=U0&amp;row=9959&amp;col=7&amp;number=0.0063&amp;sourceID=14","0.0063")</f>
        <v>0.0063</v>
      </c>
    </row>
    <row r="9960" spans="1:7">
      <c r="A9960" s="3"/>
      <c r="B9960" s="3"/>
      <c r="C9960" s="3"/>
      <c r="D9960" s="3"/>
      <c r="E9960" s="3">
        <v>17</v>
      </c>
      <c r="F9960" s="4" t="str">
        <f>HYPERLINK("http://141.218.60.56/~jnz1568/getInfo.php?workbook=10_05.xlsx&amp;sheet=U0&amp;row=9960&amp;col=6&amp;number=4.6&amp;sourceID=14","4.6")</f>
        <v>4.6</v>
      </c>
      <c r="G9960" s="4" t="str">
        <f>HYPERLINK("http://141.218.60.56/~jnz1568/getInfo.php?workbook=10_05.xlsx&amp;sheet=U0&amp;row=9960&amp;col=7&amp;number=0.00625&amp;sourceID=14","0.00625")</f>
        <v>0.00625</v>
      </c>
    </row>
    <row r="9961" spans="1:7">
      <c r="A9961" s="3"/>
      <c r="B9961" s="3"/>
      <c r="C9961" s="3"/>
      <c r="D9961" s="3"/>
      <c r="E9961" s="3">
        <v>18</v>
      </c>
      <c r="F9961" s="4" t="str">
        <f>HYPERLINK("http://141.218.60.56/~jnz1568/getInfo.php?workbook=10_05.xlsx&amp;sheet=U0&amp;row=9961&amp;col=6&amp;number=4.7&amp;sourceID=14","4.7")</f>
        <v>4.7</v>
      </c>
      <c r="G9961" s="4" t="str">
        <f>HYPERLINK("http://141.218.60.56/~jnz1568/getInfo.php?workbook=10_05.xlsx&amp;sheet=U0&amp;row=9961&amp;col=7&amp;number=0.00618&amp;sourceID=14","0.00618")</f>
        <v>0.00618</v>
      </c>
    </row>
    <row r="9962" spans="1:7">
      <c r="A9962" s="3"/>
      <c r="B9962" s="3"/>
      <c r="C9962" s="3"/>
      <c r="D9962" s="3"/>
      <c r="E9962" s="3">
        <v>19</v>
      </c>
      <c r="F9962" s="4" t="str">
        <f>HYPERLINK("http://141.218.60.56/~jnz1568/getInfo.php?workbook=10_05.xlsx&amp;sheet=U0&amp;row=9962&amp;col=6&amp;number=4.8&amp;sourceID=14","4.8")</f>
        <v>4.8</v>
      </c>
      <c r="G9962" s="4" t="str">
        <f>HYPERLINK("http://141.218.60.56/~jnz1568/getInfo.php?workbook=10_05.xlsx&amp;sheet=U0&amp;row=9962&amp;col=7&amp;number=0.00611&amp;sourceID=14","0.00611")</f>
        <v>0.00611</v>
      </c>
    </row>
    <row r="9963" spans="1:7">
      <c r="A9963" s="3"/>
      <c r="B9963" s="3"/>
      <c r="C9963" s="3"/>
      <c r="D9963" s="3"/>
      <c r="E9963" s="3">
        <v>20</v>
      </c>
      <c r="F9963" s="4" t="str">
        <f>HYPERLINK("http://141.218.60.56/~jnz1568/getInfo.php?workbook=10_05.xlsx&amp;sheet=U0&amp;row=9963&amp;col=6&amp;number=4.9&amp;sourceID=14","4.9")</f>
        <v>4.9</v>
      </c>
      <c r="G9963" s="4" t="str">
        <f>HYPERLINK("http://141.218.60.56/~jnz1568/getInfo.php?workbook=10_05.xlsx&amp;sheet=U0&amp;row=9963&amp;col=7&amp;number=0.00602&amp;sourceID=14","0.00602")</f>
        <v>0.00602</v>
      </c>
    </row>
    <row r="9964" spans="1:7">
      <c r="A9964" s="3">
        <v>10</v>
      </c>
      <c r="B9964" s="3">
        <v>5</v>
      </c>
      <c r="C9964" s="3">
        <v>3</v>
      </c>
      <c r="D9964" s="3">
        <v>145</v>
      </c>
      <c r="E9964" s="3">
        <v>1</v>
      </c>
      <c r="F9964" s="4" t="str">
        <f>HYPERLINK("http://141.218.60.56/~jnz1568/getInfo.php?workbook=10_05.xlsx&amp;sheet=U0&amp;row=9964&amp;col=6&amp;number=3&amp;sourceID=14","3")</f>
        <v>3</v>
      </c>
      <c r="G9964" s="4" t="str">
        <f>HYPERLINK("http://141.218.60.56/~jnz1568/getInfo.php?workbook=10_05.xlsx&amp;sheet=U0&amp;row=9964&amp;col=7&amp;number=0.0106&amp;sourceID=14","0.0106")</f>
        <v>0.0106</v>
      </c>
    </row>
    <row r="9965" spans="1:7">
      <c r="A9965" s="3"/>
      <c r="B9965" s="3"/>
      <c r="C9965" s="3"/>
      <c r="D9965" s="3"/>
      <c r="E9965" s="3">
        <v>2</v>
      </c>
      <c r="F9965" s="4" t="str">
        <f>HYPERLINK("http://141.218.60.56/~jnz1568/getInfo.php?workbook=10_05.xlsx&amp;sheet=U0&amp;row=9965&amp;col=6&amp;number=3.1&amp;sourceID=14","3.1")</f>
        <v>3.1</v>
      </c>
      <c r="G9965" s="4" t="str">
        <f>HYPERLINK("http://141.218.60.56/~jnz1568/getInfo.php?workbook=10_05.xlsx&amp;sheet=U0&amp;row=9965&amp;col=7&amp;number=0.0106&amp;sourceID=14","0.0106")</f>
        <v>0.0106</v>
      </c>
    </row>
    <row r="9966" spans="1:7">
      <c r="A9966" s="3"/>
      <c r="B9966" s="3"/>
      <c r="C9966" s="3"/>
      <c r="D9966" s="3"/>
      <c r="E9966" s="3">
        <v>3</v>
      </c>
      <c r="F9966" s="4" t="str">
        <f>HYPERLINK("http://141.218.60.56/~jnz1568/getInfo.php?workbook=10_05.xlsx&amp;sheet=U0&amp;row=9966&amp;col=6&amp;number=3.2&amp;sourceID=14","3.2")</f>
        <v>3.2</v>
      </c>
      <c r="G9966" s="4" t="str">
        <f>HYPERLINK("http://141.218.60.56/~jnz1568/getInfo.php?workbook=10_05.xlsx&amp;sheet=U0&amp;row=9966&amp;col=7&amp;number=0.0106&amp;sourceID=14","0.0106")</f>
        <v>0.0106</v>
      </c>
    </row>
    <row r="9967" spans="1:7">
      <c r="A9967" s="3"/>
      <c r="B9967" s="3"/>
      <c r="C9967" s="3"/>
      <c r="D9967" s="3"/>
      <c r="E9967" s="3">
        <v>4</v>
      </c>
      <c r="F9967" s="4" t="str">
        <f>HYPERLINK("http://141.218.60.56/~jnz1568/getInfo.php?workbook=10_05.xlsx&amp;sheet=U0&amp;row=9967&amp;col=6&amp;number=3.3&amp;sourceID=14","3.3")</f>
        <v>3.3</v>
      </c>
      <c r="G9967" s="4" t="str">
        <f>HYPERLINK("http://141.218.60.56/~jnz1568/getInfo.php?workbook=10_05.xlsx&amp;sheet=U0&amp;row=9967&amp;col=7&amp;number=0.0106&amp;sourceID=14","0.0106")</f>
        <v>0.0106</v>
      </c>
    </row>
    <row r="9968" spans="1:7">
      <c r="A9968" s="3"/>
      <c r="B9968" s="3"/>
      <c r="C9968" s="3"/>
      <c r="D9968" s="3"/>
      <c r="E9968" s="3">
        <v>5</v>
      </c>
      <c r="F9968" s="4" t="str">
        <f>HYPERLINK("http://141.218.60.56/~jnz1568/getInfo.php?workbook=10_05.xlsx&amp;sheet=U0&amp;row=9968&amp;col=6&amp;number=3.4&amp;sourceID=14","3.4")</f>
        <v>3.4</v>
      </c>
      <c r="G9968" s="4" t="str">
        <f>HYPERLINK("http://141.218.60.56/~jnz1568/getInfo.php?workbook=10_05.xlsx&amp;sheet=U0&amp;row=9968&amp;col=7&amp;number=0.0106&amp;sourceID=14","0.0106")</f>
        <v>0.0106</v>
      </c>
    </row>
    <row r="9969" spans="1:7">
      <c r="A9969" s="3"/>
      <c r="B9969" s="3"/>
      <c r="C9969" s="3"/>
      <c r="D9969" s="3"/>
      <c r="E9969" s="3">
        <v>6</v>
      </c>
      <c r="F9969" s="4" t="str">
        <f>HYPERLINK("http://141.218.60.56/~jnz1568/getInfo.php?workbook=10_05.xlsx&amp;sheet=U0&amp;row=9969&amp;col=6&amp;number=3.5&amp;sourceID=14","3.5")</f>
        <v>3.5</v>
      </c>
      <c r="G9969" s="4" t="str">
        <f>HYPERLINK("http://141.218.60.56/~jnz1568/getInfo.php?workbook=10_05.xlsx&amp;sheet=U0&amp;row=9969&amp;col=7&amp;number=0.0106&amp;sourceID=14","0.0106")</f>
        <v>0.0106</v>
      </c>
    </row>
    <row r="9970" spans="1:7">
      <c r="A9970" s="3"/>
      <c r="B9970" s="3"/>
      <c r="C9970" s="3"/>
      <c r="D9970" s="3"/>
      <c r="E9970" s="3">
        <v>7</v>
      </c>
      <c r="F9970" s="4" t="str">
        <f>HYPERLINK("http://141.218.60.56/~jnz1568/getInfo.php?workbook=10_05.xlsx&amp;sheet=U0&amp;row=9970&amp;col=6&amp;number=3.6&amp;sourceID=14","3.6")</f>
        <v>3.6</v>
      </c>
      <c r="G9970" s="4" t="str">
        <f>HYPERLINK("http://141.218.60.56/~jnz1568/getInfo.php?workbook=10_05.xlsx&amp;sheet=U0&amp;row=9970&amp;col=7&amp;number=0.0106&amp;sourceID=14","0.0106")</f>
        <v>0.0106</v>
      </c>
    </row>
    <row r="9971" spans="1:7">
      <c r="A9971" s="3"/>
      <c r="B9971" s="3"/>
      <c r="C9971" s="3"/>
      <c r="D9971" s="3"/>
      <c r="E9971" s="3">
        <v>8</v>
      </c>
      <c r="F9971" s="4" t="str">
        <f>HYPERLINK("http://141.218.60.56/~jnz1568/getInfo.php?workbook=10_05.xlsx&amp;sheet=U0&amp;row=9971&amp;col=6&amp;number=3.7&amp;sourceID=14","3.7")</f>
        <v>3.7</v>
      </c>
      <c r="G9971" s="4" t="str">
        <f>HYPERLINK("http://141.218.60.56/~jnz1568/getInfo.php?workbook=10_05.xlsx&amp;sheet=U0&amp;row=9971&amp;col=7&amp;number=0.0106&amp;sourceID=14","0.0106")</f>
        <v>0.0106</v>
      </c>
    </row>
    <row r="9972" spans="1:7">
      <c r="A9972" s="3"/>
      <c r="B9972" s="3"/>
      <c r="C9972" s="3"/>
      <c r="D9972" s="3"/>
      <c r="E9972" s="3">
        <v>9</v>
      </c>
      <c r="F9972" s="4" t="str">
        <f>HYPERLINK("http://141.218.60.56/~jnz1568/getInfo.php?workbook=10_05.xlsx&amp;sheet=U0&amp;row=9972&amp;col=6&amp;number=3.8&amp;sourceID=14","3.8")</f>
        <v>3.8</v>
      </c>
      <c r="G9972" s="4" t="str">
        <f>HYPERLINK("http://141.218.60.56/~jnz1568/getInfo.php?workbook=10_05.xlsx&amp;sheet=U0&amp;row=9972&amp;col=7&amp;number=0.0106&amp;sourceID=14","0.0106")</f>
        <v>0.0106</v>
      </c>
    </row>
    <row r="9973" spans="1:7">
      <c r="A9973" s="3"/>
      <c r="B9973" s="3"/>
      <c r="C9973" s="3"/>
      <c r="D9973" s="3"/>
      <c r="E9973" s="3">
        <v>10</v>
      </c>
      <c r="F9973" s="4" t="str">
        <f>HYPERLINK("http://141.218.60.56/~jnz1568/getInfo.php?workbook=10_05.xlsx&amp;sheet=U0&amp;row=9973&amp;col=6&amp;number=3.9&amp;sourceID=14","3.9")</f>
        <v>3.9</v>
      </c>
      <c r="G9973" s="4" t="str">
        <f>HYPERLINK("http://141.218.60.56/~jnz1568/getInfo.php?workbook=10_05.xlsx&amp;sheet=U0&amp;row=9973&amp;col=7&amp;number=0.0105&amp;sourceID=14","0.0105")</f>
        <v>0.0105</v>
      </c>
    </row>
    <row r="9974" spans="1:7">
      <c r="A9974" s="3"/>
      <c r="B9974" s="3"/>
      <c r="C9974" s="3"/>
      <c r="D9974" s="3"/>
      <c r="E9974" s="3">
        <v>11</v>
      </c>
      <c r="F9974" s="4" t="str">
        <f>HYPERLINK("http://141.218.60.56/~jnz1568/getInfo.php?workbook=10_05.xlsx&amp;sheet=U0&amp;row=9974&amp;col=6&amp;number=4&amp;sourceID=14","4")</f>
        <v>4</v>
      </c>
      <c r="G9974" s="4" t="str">
        <f>HYPERLINK("http://141.218.60.56/~jnz1568/getInfo.php?workbook=10_05.xlsx&amp;sheet=U0&amp;row=9974&amp;col=7&amp;number=0.0105&amp;sourceID=14","0.0105")</f>
        <v>0.0105</v>
      </c>
    </row>
    <row r="9975" spans="1:7">
      <c r="A9975" s="3"/>
      <c r="B9975" s="3"/>
      <c r="C9975" s="3"/>
      <c r="D9975" s="3"/>
      <c r="E9975" s="3">
        <v>12</v>
      </c>
      <c r="F9975" s="4" t="str">
        <f>HYPERLINK("http://141.218.60.56/~jnz1568/getInfo.php?workbook=10_05.xlsx&amp;sheet=U0&amp;row=9975&amp;col=6&amp;number=4.1&amp;sourceID=14","4.1")</f>
        <v>4.1</v>
      </c>
      <c r="G9975" s="4" t="str">
        <f>HYPERLINK("http://141.218.60.56/~jnz1568/getInfo.php?workbook=10_05.xlsx&amp;sheet=U0&amp;row=9975&amp;col=7&amp;number=0.0105&amp;sourceID=14","0.0105")</f>
        <v>0.0105</v>
      </c>
    </row>
    <row r="9976" spans="1:7">
      <c r="A9976" s="3"/>
      <c r="B9976" s="3"/>
      <c r="C9976" s="3"/>
      <c r="D9976" s="3"/>
      <c r="E9976" s="3">
        <v>13</v>
      </c>
      <c r="F9976" s="4" t="str">
        <f>HYPERLINK("http://141.218.60.56/~jnz1568/getInfo.php?workbook=10_05.xlsx&amp;sheet=U0&amp;row=9976&amp;col=6&amp;number=4.2&amp;sourceID=14","4.2")</f>
        <v>4.2</v>
      </c>
      <c r="G9976" s="4" t="str">
        <f>HYPERLINK("http://141.218.60.56/~jnz1568/getInfo.php?workbook=10_05.xlsx&amp;sheet=U0&amp;row=9976&amp;col=7&amp;number=0.0104&amp;sourceID=14","0.0104")</f>
        <v>0.0104</v>
      </c>
    </row>
    <row r="9977" spans="1:7">
      <c r="A9977" s="3"/>
      <c r="B9977" s="3"/>
      <c r="C9977" s="3"/>
      <c r="D9977" s="3"/>
      <c r="E9977" s="3">
        <v>14</v>
      </c>
      <c r="F9977" s="4" t="str">
        <f>HYPERLINK("http://141.218.60.56/~jnz1568/getInfo.php?workbook=10_05.xlsx&amp;sheet=U0&amp;row=9977&amp;col=6&amp;number=4.3&amp;sourceID=14","4.3")</f>
        <v>4.3</v>
      </c>
      <c r="G9977" s="4" t="str">
        <f>HYPERLINK("http://141.218.60.56/~jnz1568/getInfo.php?workbook=10_05.xlsx&amp;sheet=U0&amp;row=9977&amp;col=7&amp;number=0.0104&amp;sourceID=14","0.0104")</f>
        <v>0.0104</v>
      </c>
    </row>
    <row r="9978" spans="1:7">
      <c r="A9978" s="3"/>
      <c r="B9978" s="3"/>
      <c r="C9978" s="3"/>
      <c r="D9978" s="3"/>
      <c r="E9978" s="3">
        <v>15</v>
      </c>
      <c r="F9978" s="4" t="str">
        <f>HYPERLINK("http://141.218.60.56/~jnz1568/getInfo.php?workbook=10_05.xlsx&amp;sheet=U0&amp;row=9978&amp;col=6&amp;number=4.4&amp;sourceID=14","4.4")</f>
        <v>4.4</v>
      </c>
      <c r="G9978" s="4" t="str">
        <f>HYPERLINK("http://141.218.60.56/~jnz1568/getInfo.php?workbook=10_05.xlsx&amp;sheet=U0&amp;row=9978&amp;col=7&amp;number=0.0104&amp;sourceID=14","0.0104")</f>
        <v>0.0104</v>
      </c>
    </row>
    <row r="9979" spans="1:7">
      <c r="A9979" s="3"/>
      <c r="B9979" s="3"/>
      <c r="C9979" s="3"/>
      <c r="D9979" s="3"/>
      <c r="E9979" s="3">
        <v>16</v>
      </c>
      <c r="F9979" s="4" t="str">
        <f>HYPERLINK("http://141.218.60.56/~jnz1568/getInfo.php?workbook=10_05.xlsx&amp;sheet=U0&amp;row=9979&amp;col=6&amp;number=4.5&amp;sourceID=14","4.5")</f>
        <v>4.5</v>
      </c>
      <c r="G9979" s="4" t="str">
        <f>HYPERLINK("http://141.218.60.56/~jnz1568/getInfo.php?workbook=10_05.xlsx&amp;sheet=U0&amp;row=9979&amp;col=7&amp;number=0.0104&amp;sourceID=14","0.0104")</f>
        <v>0.0104</v>
      </c>
    </row>
    <row r="9980" spans="1:7">
      <c r="A9980" s="3"/>
      <c r="B9980" s="3"/>
      <c r="C9980" s="3"/>
      <c r="D9980" s="3"/>
      <c r="E9980" s="3">
        <v>17</v>
      </c>
      <c r="F9980" s="4" t="str">
        <f>HYPERLINK("http://141.218.60.56/~jnz1568/getInfo.php?workbook=10_05.xlsx&amp;sheet=U0&amp;row=9980&amp;col=6&amp;number=4.6&amp;sourceID=14","4.6")</f>
        <v>4.6</v>
      </c>
      <c r="G9980" s="4" t="str">
        <f>HYPERLINK("http://141.218.60.56/~jnz1568/getInfo.php?workbook=10_05.xlsx&amp;sheet=U0&amp;row=9980&amp;col=7&amp;number=0.0104&amp;sourceID=14","0.0104")</f>
        <v>0.0104</v>
      </c>
    </row>
    <row r="9981" spans="1:7">
      <c r="A9981" s="3"/>
      <c r="B9981" s="3"/>
      <c r="C9981" s="3"/>
      <c r="D9981" s="3"/>
      <c r="E9981" s="3">
        <v>18</v>
      </c>
      <c r="F9981" s="4" t="str">
        <f>HYPERLINK("http://141.218.60.56/~jnz1568/getInfo.php?workbook=10_05.xlsx&amp;sheet=U0&amp;row=9981&amp;col=6&amp;number=4.7&amp;sourceID=14","4.7")</f>
        <v>4.7</v>
      </c>
      <c r="G9981" s="4" t="str">
        <f>HYPERLINK("http://141.218.60.56/~jnz1568/getInfo.php?workbook=10_05.xlsx&amp;sheet=U0&amp;row=9981&amp;col=7&amp;number=0.0104&amp;sourceID=14","0.0104")</f>
        <v>0.0104</v>
      </c>
    </row>
    <row r="9982" spans="1:7">
      <c r="A9982" s="3"/>
      <c r="B9982" s="3"/>
      <c r="C9982" s="3"/>
      <c r="D9982" s="3"/>
      <c r="E9982" s="3">
        <v>19</v>
      </c>
      <c r="F9982" s="4" t="str">
        <f>HYPERLINK("http://141.218.60.56/~jnz1568/getInfo.php?workbook=10_05.xlsx&amp;sheet=U0&amp;row=9982&amp;col=6&amp;number=4.8&amp;sourceID=14","4.8")</f>
        <v>4.8</v>
      </c>
      <c r="G9982" s="4" t="str">
        <f>HYPERLINK("http://141.218.60.56/~jnz1568/getInfo.php?workbook=10_05.xlsx&amp;sheet=U0&amp;row=9982&amp;col=7&amp;number=0.0104&amp;sourceID=14","0.0104")</f>
        <v>0.0104</v>
      </c>
    </row>
    <row r="9983" spans="1:7">
      <c r="A9983" s="3"/>
      <c r="B9983" s="3"/>
      <c r="C9983" s="3"/>
      <c r="D9983" s="3"/>
      <c r="E9983" s="3">
        <v>20</v>
      </c>
      <c r="F9983" s="4" t="str">
        <f>HYPERLINK("http://141.218.60.56/~jnz1568/getInfo.php?workbook=10_05.xlsx&amp;sheet=U0&amp;row=9983&amp;col=6&amp;number=4.9&amp;sourceID=14","4.9")</f>
        <v>4.9</v>
      </c>
      <c r="G9983" s="4" t="str">
        <f>HYPERLINK("http://141.218.60.56/~jnz1568/getInfo.php?workbook=10_05.xlsx&amp;sheet=U0&amp;row=9983&amp;col=7&amp;number=0.0105&amp;sourceID=14","0.0105")</f>
        <v>0.0105</v>
      </c>
    </row>
    <row r="9984" spans="1:7">
      <c r="A9984" s="3">
        <v>10</v>
      </c>
      <c r="B9984" s="3">
        <v>5</v>
      </c>
      <c r="C9984" s="3">
        <v>3</v>
      </c>
      <c r="D9984" s="3">
        <v>146</v>
      </c>
      <c r="E9984" s="3">
        <v>1</v>
      </c>
      <c r="F9984" s="4" t="str">
        <f>HYPERLINK("http://141.218.60.56/~jnz1568/getInfo.php?workbook=10_05.xlsx&amp;sheet=U0&amp;row=9984&amp;col=6&amp;number=3&amp;sourceID=14","3")</f>
        <v>3</v>
      </c>
      <c r="G9984" s="4" t="str">
        <f>HYPERLINK("http://141.218.60.56/~jnz1568/getInfo.php?workbook=10_05.xlsx&amp;sheet=U0&amp;row=9984&amp;col=7&amp;number=0.00619&amp;sourceID=14","0.00619")</f>
        <v>0.00619</v>
      </c>
    </row>
    <row r="9985" spans="1:7">
      <c r="A9985" s="3"/>
      <c r="B9985" s="3"/>
      <c r="C9985" s="3"/>
      <c r="D9985" s="3"/>
      <c r="E9985" s="3">
        <v>2</v>
      </c>
      <c r="F9985" s="4" t="str">
        <f>HYPERLINK("http://141.218.60.56/~jnz1568/getInfo.php?workbook=10_05.xlsx&amp;sheet=U0&amp;row=9985&amp;col=6&amp;number=3.1&amp;sourceID=14","3.1")</f>
        <v>3.1</v>
      </c>
      <c r="G9985" s="4" t="str">
        <f>HYPERLINK("http://141.218.60.56/~jnz1568/getInfo.php?workbook=10_05.xlsx&amp;sheet=U0&amp;row=9985&amp;col=7&amp;number=0.00619&amp;sourceID=14","0.00619")</f>
        <v>0.00619</v>
      </c>
    </row>
    <row r="9986" spans="1:7">
      <c r="A9986" s="3"/>
      <c r="B9986" s="3"/>
      <c r="C9986" s="3"/>
      <c r="D9986" s="3"/>
      <c r="E9986" s="3">
        <v>3</v>
      </c>
      <c r="F9986" s="4" t="str">
        <f>HYPERLINK("http://141.218.60.56/~jnz1568/getInfo.php?workbook=10_05.xlsx&amp;sheet=U0&amp;row=9986&amp;col=6&amp;number=3.2&amp;sourceID=14","3.2")</f>
        <v>3.2</v>
      </c>
      <c r="G9986" s="4" t="str">
        <f>HYPERLINK("http://141.218.60.56/~jnz1568/getInfo.php?workbook=10_05.xlsx&amp;sheet=U0&amp;row=9986&amp;col=7&amp;number=0.00619&amp;sourceID=14","0.00619")</f>
        <v>0.00619</v>
      </c>
    </row>
    <row r="9987" spans="1:7">
      <c r="A9987" s="3"/>
      <c r="B9987" s="3"/>
      <c r="C9987" s="3"/>
      <c r="D9987" s="3"/>
      <c r="E9987" s="3">
        <v>4</v>
      </c>
      <c r="F9987" s="4" t="str">
        <f>HYPERLINK("http://141.218.60.56/~jnz1568/getInfo.php?workbook=10_05.xlsx&amp;sheet=U0&amp;row=9987&amp;col=6&amp;number=3.3&amp;sourceID=14","3.3")</f>
        <v>3.3</v>
      </c>
      <c r="G9987" s="4" t="str">
        <f>HYPERLINK("http://141.218.60.56/~jnz1568/getInfo.php?workbook=10_05.xlsx&amp;sheet=U0&amp;row=9987&amp;col=7&amp;number=0.00618&amp;sourceID=14","0.00618")</f>
        <v>0.00618</v>
      </c>
    </row>
    <row r="9988" spans="1:7">
      <c r="A9988" s="3"/>
      <c r="B9988" s="3"/>
      <c r="C9988" s="3"/>
      <c r="D9988" s="3"/>
      <c r="E9988" s="3">
        <v>5</v>
      </c>
      <c r="F9988" s="4" t="str">
        <f>HYPERLINK("http://141.218.60.56/~jnz1568/getInfo.php?workbook=10_05.xlsx&amp;sheet=U0&amp;row=9988&amp;col=6&amp;number=3.4&amp;sourceID=14","3.4")</f>
        <v>3.4</v>
      </c>
      <c r="G9988" s="4" t="str">
        <f>HYPERLINK("http://141.218.60.56/~jnz1568/getInfo.php?workbook=10_05.xlsx&amp;sheet=U0&amp;row=9988&amp;col=7&amp;number=0.00618&amp;sourceID=14","0.00618")</f>
        <v>0.00618</v>
      </c>
    </row>
    <row r="9989" spans="1:7">
      <c r="A9989" s="3"/>
      <c r="B9989" s="3"/>
      <c r="C9989" s="3"/>
      <c r="D9989" s="3"/>
      <c r="E9989" s="3">
        <v>6</v>
      </c>
      <c r="F9989" s="4" t="str">
        <f>HYPERLINK("http://141.218.60.56/~jnz1568/getInfo.php?workbook=10_05.xlsx&amp;sheet=U0&amp;row=9989&amp;col=6&amp;number=3.5&amp;sourceID=14","3.5")</f>
        <v>3.5</v>
      </c>
      <c r="G9989" s="4" t="str">
        <f>HYPERLINK("http://141.218.60.56/~jnz1568/getInfo.php?workbook=10_05.xlsx&amp;sheet=U0&amp;row=9989&amp;col=7&amp;number=0.00618&amp;sourceID=14","0.00618")</f>
        <v>0.00618</v>
      </c>
    </row>
    <row r="9990" spans="1:7">
      <c r="A9990" s="3"/>
      <c r="B9990" s="3"/>
      <c r="C9990" s="3"/>
      <c r="D9990" s="3"/>
      <c r="E9990" s="3">
        <v>7</v>
      </c>
      <c r="F9990" s="4" t="str">
        <f>HYPERLINK("http://141.218.60.56/~jnz1568/getInfo.php?workbook=10_05.xlsx&amp;sheet=U0&amp;row=9990&amp;col=6&amp;number=3.6&amp;sourceID=14","3.6")</f>
        <v>3.6</v>
      </c>
      <c r="G9990" s="4" t="str">
        <f>HYPERLINK("http://141.218.60.56/~jnz1568/getInfo.php?workbook=10_05.xlsx&amp;sheet=U0&amp;row=9990&amp;col=7&amp;number=0.00617&amp;sourceID=14","0.00617")</f>
        <v>0.00617</v>
      </c>
    </row>
    <row r="9991" spans="1:7">
      <c r="A9991" s="3"/>
      <c r="B9991" s="3"/>
      <c r="C9991" s="3"/>
      <c r="D9991" s="3"/>
      <c r="E9991" s="3">
        <v>8</v>
      </c>
      <c r="F9991" s="4" t="str">
        <f>HYPERLINK("http://141.218.60.56/~jnz1568/getInfo.php?workbook=10_05.xlsx&amp;sheet=U0&amp;row=9991&amp;col=6&amp;number=3.7&amp;sourceID=14","3.7")</f>
        <v>3.7</v>
      </c>
      <c r="G9991" s="4" t="str">
        <f>HYPERLINK("http://141.218.60.56/~jnz1568/getInfo.php?workbook=10_05.xlsx&amp;sheet=U0&amp;row=9991&amp;col=7&amp;number=0.00617&amp;sourceID=14","0.00617")</f>
        <v>0.00617</v>
      </c>
    </row>
    <row r="9992" spans="1:7">
      <c r="A9992" s="3"/>
      <c r="B9992" s="3"/>
      <c r="C9992" s="3"/>
      <c r="D9992" s="3"/>
      <c r="E9992" s="3">
        <v>9</v>
      </c>
      <c r="F9992" s="4" t="str">
        <f>HYPERLINK("http://141.218.60.56/~jnz1568/getInfo.php?workbook=10_05.xlsx&amp;sheet=U0&amp;row=9992&amp;col=6&amp;number=3.8&amp;sourceID=14","3.8")</f>
        <v>3.8</v>
      </c>
      <c r="G9992" s="4" t="str">
        <f>HYPERLINK("http://141.218.60.56/~jnz1568/getInfo.php?workbook=10_05.xlsx&amp;sheet=U0&amp;row=9992&amp;col=7&amp;number=0.00616&amp;sourceID=14","0.00616")</f>
        <v>0.00616</v>
      </c>
    </row>
    <row r="9993" spans="1:7">
      <c r="A9993" s="3"/>
      <c r="B9993" s="3"/>
      <c r="C9993" s="3"/>
      <c r="D9993" s="3"/>
      <c r="E9993" s="3">
        <v>10</v>
      </c>
      <c r="F9993" s="4" t="str">
        <f>HYPERLINK("http://141.218.60.56/~jnz1568/getInfo.php?workbook=10_05.xlsx&amp;sheet=U0&amp;row=9993&amp;col=6&amp;number=3.9&amp;sourceID=14","3.9")</f>
        <v>3.9</v>
      </c>
      <c r="G9993" s="4" t="str">
        <f>HYPERLINK("http://141.218.60.56/~jnz1568/getInfo.php?workbook=10_05.xlsx&amp;sheet=U0&amp;row=9993&amp;col=7&amp;number=0.00615&amp;sourceID=14","0.00615")</f>
        <v>0.00615</v>
      </c>
    </row>
    <row r="9994" spans="1:7">
      <c r="A9994" s="3"/>
      <c r="B9994" s="3"/>
      <c r="C9994" s="3"/>
      <c r="D9994" s="3"/>
      <c r="E9994" s="3">
        <v>11</v>
      </c>
      <c r="F9994" s="4" t="str">
        <f>HYPERLINK("http://141.218.60.56/~jnz1568/getInfo.php?workbook=10_05.xlsx&amp;sheet=U0&amp;row=9994&amp;col=6&amp;number=4&amp;sourceID=14","4")</f>
        <v>4</v>
      </c>
      <c r="G9994" s="4" t="str">
        <f>HYPERLINK("http://141.218.60.56/~jnz1568/getInfo.php?workbook=10_05.xlsx&amp;sheet=U0&amp;row=9994&amp;col=7&amp;number=0.00614&amp;sourceID=14","0.00614")</f>
        <v>0.00614</v>
      </c>
    </row>
    <row r="9995" spans="1:7">
      <c r="A9995" s="3"/>
      <c r="B9995" s="3"/>
      <c r="C9995" s="3"/>
      <c r="D9995" s="3"/>
      <c r="E9995" s="3">
        <v>12</v>
      </c>
      <c r="F9995" s="4" t="str">
        <f>HYPERLINK("http://141.218.60.56/~jnz1568/getInfo.php?workbook=10_05.xlsx&amp;sheet=U0&amp;row=9995&amp;col=6&amp;number=4.1&amp;sourceID=14","4.1")</f>
        <v>4.1</v>
      </c>
      <c r="G9995" s="4" t="str">
        <f>HYPERLINK("http://141.218.60.56/~jnz1568/getInfo.php?workbook=10_05.xlsx&amp;sheet=U0&amp;row=9995&amp;col=7&amp;number=0.00613&amp;sourceID=14","0.00613")</f>
        <v>0.00613</v>
      </c>
    </row>
    <row r="9996" spans="1:7">
      <c r="A9996" s="3"/>
      <c r="B9996" s="3"/>
      <c r="C9996" s="3"/>
      <c r="D9996" s="3"/>
      <c r="E9996" s="3">
        <v>13</v>
      </c>
      <c r="F9996" s="4" t="str">
        <f>HYPERLINK("http://141.218.60.56/~jnz1568/getInfo.php?workbook=10_05.xlsx&amp;sheet=U0&amp;row=9996&amp;col=6&amp;number=4.2&amp;sourceID=14","4.2")</f>
        <v>4.2</v>
      </c>
      <c r="G9996" s="4" t="str">
        <f>HYPERLINK("http://141.218.60.56/~jnz1568/getInfo.php?workbook=10_05.xlsx&amp;sheet=U0&amp;row=9996&amp;col=7&amp;number=0.00611&amp;sourceID=14","0.00611")</f>
        <v>0.00611</v>
      </c>
    </row>
    <row r="9997" spans="1:7">
      <c r="A9997" s="3"/>
      <c r="B9997" s="3"/>
      <c r="C9997" s="3"/>
      <c r="D9997" s="3"/>
      <c r="E9997" s="3">
        <v>14</v>
      </c>
      <c r="F9997" s="4" t="str">
        <f>HYPERLINK("http://141.218.60.56/~jnz1568/getInfo.php?workbook=10_05.xlsx&amp;sheet=U0&amp;row=9997&amp;col=6&amp;number=4.3&amp;sourceID=14","4.3")</f>
        <v>4.3</v>
      </c>
      <c r="G9997" s="4" t="str">
        <f>HYPERLINK("http://141.218.60.56/~jnz1568/getInfo.php?workbook=10_05.xlsx&amp;sheet=U0&amp;row=9997&amp;col=7&amp;number=0.00609&amp;sourceID=14","0.00609")</f>
        <v>0.00609</v>
      </c>
    </row>
    <row r="9998" spans="1:7">
      <c r="A9998" s="3"/>
      <c r="B9998" s="3"/>
      <c r="C9998" s="3"/>
      <c r="D9998" s="3"/>
      <c r="E9998" s="3">
        <v>15</v>
      </c>
      <c r="F9998" s="4" t="str">
        <f>HYPERLINK("http://141.218.60.56/~jnz1568/getInfo.php?workbook=10_05.xlsx&amp;sheet=U0&amp;row=9998&amp;col=6&amp;number=4.4&amp;sourceID=14","4.4")</f>
        <v>4.4</v>
      </c>
      <c r="G9998" s="4" t="str">
        <f>HYPERLINK("http://141.218.60.56/~jnz1568/getInfo.php?workbook=10_05.xlsx&amp;sheet=U0&amp;row=9998&amp;col=7&amp;number=0.00606&amp;sourceID=14","0.00606")</f>
        <v>0.00606</v>
      </c>
    </row>
    <row r="9999" spans="1:7">
      <c r="A9999" s="3"/>
      <c r="B9999" s="3"/>
      <c r="C9999" s="3"/>
      <c r="D9999" s="3"/>
      <c r="E9999" s="3">
        <v>16</v>
      </c>
      <c r="F9999" s="4" t="str">
        <f>HYPERLINK("http://141.218.60.56/~jnz1568/getInfo.php?workbook=10_05.xlsx&amp;sheet=U0&amp;row=9999&amp;col=6&amp;number=4.5&amp;sourceID=14","4.5")</f>
        <v>4.5</v>
      </c>
      <c r="G9999" s="4" t="str">
        <f>HYPERLINK("http://141.218.60.56/~jnz1568/getInfo.php?workbook=10_05.xlsx&amp;sheet=U0&amp;row=9999&amp;col=7&amp;number=0.00602&amp;sourceID=14","0.00602")</f>
        <v>0.00602</v>
      </c>
    </row>
    <row r="10000" spans="1:7">
      <c r="A10000" s="3"/>
      <c r="B10000" s="3"/>
      <c r="C10000" s="3"/>
      <c r="D10000" s="3"/>
      <c r="E10000" s="3">
        <v>17</v>
      </c>
      <c r="F10000" s="4" t="str">
        <f>HYPERLINK("http://141.218.60.56/~jnz1568/getInfo.php?workbook=10_05.xlsx&amp;sheet=U0&amp;row=10000&amp;col=6&amp;number=4.6&amp;sourceID=14","4.6")</f>
        <v>4.6</v>
      </c>
      <c r="G10000" s="4" t="str">
        <f>HYPERLINK("http://141.218.60.56/~jnz1568/getInfo.php?workbook=10_05.xlsx&amp;sheet=U0&amp;row=10000&amp;col=7&amp;number=0.00598&amp;sourceID=14","0.00598")</f>
        <v>0.00598</v>
      </c>
    </row>
    <row r="10001" spans="1:7">
      <c r="A10001" s="3"/>
      <c r="B10001" s="3"/>
      <c r="C10001" s="3"/>
      <c r="D10001" s="3"/>
      <c r="E10001" s="3">
        <v>18</v>
      </c>
      <c r="F10001" s="4" t="str">
        <f>HYPERLINK("http://141.218.60.56/~jnz1568/getInfo.php?workbook=10_05.xlsx&amp;sheet=U0&amp;row=10001&amp;col=6&amp;number=4.7&amp;sourceID=14","4.7")</f>
        <v>4.7</v>
      </c>
      <c r="G10001" s="4" t="str">
        <f>HYPERLINK("http://141.218.60.56/~jnz1568/getInfo.php?workbook=10_05.xlsx&amp;sheet=U0&amp;row=10001&amp;col=7&amp;number=0.00594&amp;sourceID=14","0.00594")</f>
        <v>0.00594</v>
      </c>
    </row>
    <row r="10002" spans="1:7">
      <c r="A10002" s="3"/>
      <c r="B10002" s="3"/>
      <c r="C10002" s="3"/>
      <c r="D10002" s="3"/>
      <c r="E10002" s="3">
        <v>19</v>
      </c>
      <c r="F10002" s="4" t="str">
        <f>HYPERLINK("http://141.218.60.56/~jnz1568/getInfo.php?workbook=10_05.xlsx&amp;sheet=U0&amp;row=10002&amp;col=6&amp;number=4.8&amp;sourceID=14","4.8")</f>
        <v>4.8</v>
      </c>
      <c r="G10002" s="4" t="str">
        <f>HYPERLINK("http://141.218.60.56/~jnz1568/getInfo.php?workbook=10_05.xlsx&amp;sheet=U0&amp;row=10002&amp;col=7&amp;number=0.00589&amp;sourceID=14","0.00589")</f>
        <v>0.00589</v>
      </c>
    </row>
    <row r="10003" spans="1:7">
      <c r="A10003" s="3"/>
      <c r="B10003" s="3"/>
      <c r="C10003" s="3"/>
      <c r="D10003" s="3"/>
      <c r="E10003" s="3">
        <v>20</v>
      </c>
      <c r="F10003" s="4" t="str">
        <f>HYPERLINK("http://141.218.60.56/~jnz1568/getInfo.php?workbook=10_05.xlsx&amp;sheet=U0&amp;row=10003&amp;col=6&amp;number=4.9&amp;sourceID=14","4.9")</f>
        <v>4.9</v>
      </c>
      <c r="G10003" s="4" t="str">
        <f>HYPERLINK("http://141.218.60.56/~jnz1568/getInfo.php?workbook=10_05.xlsx&amp;sheet=U0&amp;row=10003&amp;col=7&amp;number=0.00584&amp;sourceID=14","0.00584")</f>
        <v>0.00584</v>
      </c>
    </row>
    <row r="10004" spans="1:7">
      <c r="A10004" s="3">
        <v>10</v>
      </c>
      <c r="B10004" s="3">
        <v>5</v>
      </c>
      <c r="C10004" s="3">
        <v>3</v>
      </c>
      <c r="D10004" s="3">
        <v>147</v>
      </c>
      <c r="E10004" s="3">
        <v>1</v>
      </c>
      <c r="F10004" s="4" t="str">
        <f>HYPERLINK("http://141.218.60.56/~jnz1568/getInfo.php?workbook=10_05.xlsx&amp;sheet=U0&amp;row=10004&amp;col=6&amp;number=3&amp;sourceID=14","3")</f>
        <v>3</v>
      </c>
      <c r="G10004" s="4" t="str">
        <f>HYPERLINK("http://141.218.60.56/~jnz1568/getInfo.php?workbook=10_05.xlsx&amp;sheet=U0&amp;row=10004&amp;col=7&amp;number=0.00575&amp;sourceID=14","0.00575")</f>
        <v>0.00575</v>
      </c>
    </row>
    <row r="10005" spans="1:7">
      <c r="A10005" s="3"/>
      <c r="B10005" s="3"/>
      <c r="C10005" s="3"/>
      <c r="D10005" s="3"/>
      <c r="E10005" s="3">
        <v>2</v>
      </c>
      <c r="F10005" s="4" t="str">
        <f>HYPERLINK("http://141.218.60.56/~jnz1568/getInfo.php?workbook=10_05.xlsx&amp;sheet=U0&amp;row=10005&amp;col=6&amp;number=3.1&amp;sourceID=14","3.1")</f>
        <v>3.1</v>
      </c>
      <c r="G10005" s="4" t="str">
        <f>HYPERLINK("http://141.218.60.56/~jnz1568/getInfo.php?workbook=10_05.xlsx&amp;sheet=U0&amp;row=10005&amp;col=7&amp;number=0.00575&amp;sourceID=14","0.00575")</f>
        <v>0.00575</v>
      </c>
    </row>
    <row r="10006" spans="1:7">
      <c r="A10006" s="3"/>
      <c r="B10006" s="3"/>
      <c r="C10006" s="3"/>
      <c r="D10006" s="3"/>
      <c r="E10006" s="3">
        <v>3</v>
      </c>
      <c r="F10006" s="4" t="str">
        <f>HYPERLINK("http://141.218.60.56/~jnz1568/getInfo.php?workbook=10_05.xlsx&amp;sheet=U0&amp;row=10006&amp;col=6&amp;number=3.2&amp;sourceID=14","3.2")</f>
        <v>3.2</v>
      </c>
      <c r="G10006" s="4" t="str">
        <f>HYPERLINK("http://141.218.60.56/~jnz1568/getInfo.php?workbook=10_05.xlsx&amp;sheet=U0&amp;row=10006&amp;col=7&amp;number=0.00575&amp;sourceID=14","0.00575")</f>
        <v>0.00575</v>
      </c>
    </row>
    <row r="10007" spans="1:7">
      <c r="A10007" s="3"/>
      <c r="B10007" s="3"/>
      <c r="C10007" s="3"/>
      <c r="D10007" s="3"/>
      <c r="E10007" s="3">
        <v>4</v>
      </c>
      <c r="F10007" s="4" t="str">
        <f>HYPERLINK("http://141.218.60.56/~jnz1568/getInfo.php?workbook=10_05.xlsx&amp;sheet=U0&amp;row=10007&amp;col=6&amp;number=3.3&amp;sourceID=14","3.3")</f>
        <v>3.3</v>
      </c>
      <c r="G10007" s="4" t="str">
        <f>HYPERLINK("http://141.218.60.56/~jnz1568/getInfo.php?workbook=10_05.xlsx&amp;sheet=U0&amp;row=10007&amp;col=7&amp;number=0.00575&amp;sourceID=14","0.00575")</f>
        <v>0.00575</v>
      </c>
    </row>
    <row r="10008" spans="1:7">
      <c r="A10008" s="3"/>
      <c r="B10008" s="3"/>
      <c r="C10008" s="3"/>
      <c r="D10008" s="3"/>
      <c r="E10008" s="3">
        <v>5</v>
      </c>
      <c r="F10008" s="4" t="str">
        <f>HYPERLINK("http://141.218.60.56/~jnz1568/getInfo.php?workbook=10_05.xlsx&amp;sheet=U0&amp;row=10008&amp;col=6&amp;number=3.4&amp;sourceID=14","3.4")</f>
        <v>3.4</v>
      </c>
      <c r="G10008" s="4" t="str">
        <f>HYPERLINK("http://141.218.60.56/~jnz1568/getInfo.php?workbook=10_05.xlsx&amp;sheet=U0&amp;row=10008&amp;col=7&amp;number=0.00575&amp;sourceID=14","0.00575")</f>
        <v>0.00575</v>
      </c>
    </row>
    <row r="10009" spans="1:7">
      <c r="A10009" s="3"/>
      <c r="B10009" s="3"/>
      <c r="C10009" s="3"/>
      <c r="D10009" s="3"/>
      <c r="E10009" s="3">
        <v>6</v>
      </c>
      <c r="F10009" s="4" t="str">
        <f>HYPERLINK("http://141.218.60.56/~jnz1568/getInfo.php?workbook=10_05.xlsx&amp;sheet=U0&amp;row=10009&amp;col=6&amp;number=3.5&amp;sourceID=14","3.5")</f>
        <v>3.5</v>
      </c>
      <c r="G10009" s="4" t="str">
        <f>HYPERLINK("http://141.218.60.56/~jnz1568/getInfo.php?workbook=10_05.xlsx&amp;sheet=U0&amp;row=10009&amp;col=7&amp;number=0.00576&amp;sourceID=14","0.00576")</f>
        <v>0.00576</v>
      </c>
    </row>
    <row r="10010" spans="1:7">
      <c r="A10010" s="3"/>
      <c r="B10010" s="3"/>
      <c r="C10010" s="3"/>
      <c r="D10010" s="3"/>
      <c r="E10010" s="3">
        <v>7</v>
      </c>
      <c r="F10010" s="4" t="str">
        <f>HYPERLINK("http://141.218.60.56/~jnz1568/getInfo.php?workbook=10_05.xlsx&amp;sheet=U0&amp;row=10010&amp;col=6&amp;number=3.6&amp;sourceID=14","3.6")</f>
        <v>3.6</v>
      </c>
      <c r="G10010" s="4" t="str">
        <f>HYPERLINK("http://141.218.60.56/~jnz1568/getInfo.php?workbook=10_05.xlsx&amp;sheet=U0&amp;row=10010&amp;col=7&amp;number=0.00576&amp;sourceID=14","0.00576")</f>
        <v>0.00576</v>
      </c>
    </row>
    <row r="10011" spans="1:7">
      <c r="A10011" s="3"/>
      <c r="B10011" s="3"/>
      <c r="C10011" s="3"/>
      <c r="D10011" s="3"/>
      <c r="E10011" s="3">
        <v>8</v>
      </c>
      <c r="F10011" s="4" t="str">
        <f>HYPERLINK("http://141.218.60.56/~jnz1568/getInfo.php?workbook=10_05.xlsx&amp;sheet=U0&amp;row=10011&amp;col=6&amp;number=3.7&amp;sourceID=14","3.7")</f>
        <v>3.7</v>
      </c>
      <c r="G10011" s="4" t="str">
        <f>HYPERLINK("http://141.218.60.56/~jnz1568/getInfo.php?workbook=10_05.xlsx&amp;sheet=U0&amp;row=10011&amp;col=7&amp;number=0.00576&amp;sourceID=14","0.00576")</f>
        <v>0.00576</v>
      </c>
    </row>
    <row r="10012" spans="1:7">
      <c r="A10012" s="3"/>
      <c r="B10012" s="3"/>
      <c r="C10012" s="3"/>
      <c r="D10012" s="3"/>
      <c r="E10012" s="3">
        <v>9</v>
      </c>
      <c r="F10012" s="4" t="str">
        <f>HYPERLINK("http://141.218.60.56/~jnz1568/getInfo.php?workbook=10_05.xlsx&amp;sheet=U0&amp;row=10012&amp;col=6&amp;number=3.8&amp;sourceID=14","3.8")</f>
        <v>3.8</v>
      </c>
      <c r="G10012" s="4" t="str">
        <f>HYPERLINK("http://141.218.60.56/~jnz1568/getInfo.php?workbook=10_05.xlsx&amp;sheet=U0&amp;row=10012&amp;col=7&amp;number=0.00577&amp;sourceID=14","0.00577")</f>
        <v>0.00577</v>
      </c>
    </row>
    <row r="10013" spans="1:7">
      <c r="A10013" s="3"/>
      <c r="B10013" s="3"/>
      <c r="C10013" s="3"/>
      <c r="D10013" s="3"/>
      <c r="E10013" s="3">
        <v>10</v>
      </c>
      <c r="F10013" s="4" t="str">
        <f>HYPERLINK("http://141.218.60.56/~jnz1568/getInfo.php?workbook=10_05.xlsx&amp;sheet=U0&amp;row=10013&amp;col=6&amp;number=3.9&amp;sourceID=14","3.9")</f>
        <v>3.9</v>
      </c>
      <c r="G10013" s="4" t="str">
        <f>HYPERLINK("http://141.218.60.56/~jnz1568/getInfo.php?workbook=10_05.xlsx&amp;sheet=U0&amp;row=10013&amp;col=7&amp;number=0.00577&amp;sourceID=14","0.00577")</f>
        <v>0.00577</v>
      </c>
    </row>
    <row r="10014" spans="1:7">
      <c r="A10014" s="3"/>
      <c r="B10014" s="3"/>
      <c r="C10014" s="3"/>
      <c r="D10014" s="3"/>
      <c r="E10014" s="3">
        <v>11</v>
      </c>
      <c r="F10014" s="4" t="str">
        <f>HYPERLINK("http://141.218.60.56/~jnz1568/getInfo.php?workbook=10_05.xlsx&amp;sheet=U0&amp;row=10014&amp;col=6&amp;number=4&amp;sourceID=14","4")</f>
        <v>4</v>
      </c>
      <c r="G10014" s="4" t="str">
        <f>HYPERLINK("http://141.218.60.56/~jnz1568/getInfo.php?workbook=10_05.xlsx&amp;sheet=U0&amp;row=10014&amp;col=7&amp;number=0.00577&amp;sourceID=14","0.00577")</f>
        <v>0.00577</v>
      </c>
    </row>
    <row r="10015" spans="1:7">
      <c r="A10015" s="3"/>
      <c r="B10015" s="3"/>
      <c r="C10015" s="3"/>
      <c r="D10015" s="3"/>
      <c r="E10015" s="3">
        <v>12</v>
      </c>
      <c r="F10015" s="4" t="str">
        <f>HYPERLINK("http://141.218.60.56/~jnz1568/getInfo.php?workbook=10_05.xlsx&amp;sheet=U0&amp;row=10015&amp;col=6&amp;number=4.1&amp;sourceID=14","4.1")</f>
        <v>4.1</v>
      </c>
      <c r="G10015" s="4" t="str">
        <f>HYPERLINK("http://141.218.60.56/~jnz1568/getInfo.php?workbook=10_05.xlsx&amp;sheet=U0&amp;row=10015&amp;col=7&amp;number=0.00577&amp;sourceID=14","0.00577")</f>
        <v>0.00577</v>
      </c>
    </row>
    <row r="10016" spans="1:7">
      <c r="A10016" s="3"/>
      <c r="B10016" s="3"/>
      <c r="C10016" s="3"/>
      <c r="D10016" s="3"/>
      <c r="E10016" s="3">
        <v>13</v>
      </c>
      <c r="F10016" s="4" t="str">
        <f>HYPERLINK("http://141.218.60.56/~jnz1568/getInfo.php?workbook=10_05.xlsx&amp;sheet=U0&amp;row=10016&amp;col=6&amp;number=4.2&amp;sourceID=14","4.2")</f>
        <v>4.2</v>
      </c>
      <c r="G10016" s="4" t="str">
        <f>HYPERLINK("http://141.218.60.56/~jnz1568/getInfo.php?workbook=10_05.xlsx&amp;sheet=U0&amp;row=10016&amp;col=7&amp;number=0.00577&amp;sourceID=14","0.00577")</f>
        <v>0.00577</v>
      </c>
    </row>
    <row r="10017" spans="1:7">
      <c r="A10017" s="3"/>
      <c r="B10017" s="3"/>
      <c r="C10017" s="3"/>
      <c r="D10017" s="3"/>
      <c r="E10017" s="3">
        <v>14</v>
      </c>
      <c r="F10017" s="4" t="str">
        <f>HYPERLINK("http://141.218.60.56/~jnz1568/getInfo.php?workbook=10_05.xlsx&amp;sheet=U0&amp;row=10017&amp;col=6&amp;number=4.3&amp;sourceID=14","4.3")</f>
        <v>4.3</v>
      </c>
      <c r="G10017" s="4" t="str">
        <f>HYPERLINK("http://141.218.60.56/~jnz1568/getInfo.php?workbook=10_05.xlsx&amp;sheet=U0&amp;row=10017&amp;col=7&amp;number=0.00576&amp;sourceID=14","0.00576")</f>
        <v>0.00576</v>
      </c>
    </row>
    <row r="10018" spans="1:7">
      <c r="A10018" s="3"/>
      <c r="B10018" s="3"/>
      <c r="C10018" s="3"/>
      <c r="D10018" s="3"/>
      <c r="E10018" s="3">
        <v>15</v>
      </c>
      <c r="F10018" s="4" t="str">
        <f>HYPERLINK("http://141.218.60.56/~jnz1568/getInfo.php?workbook=10_05.xlsx&amp;sheet=U0&amp;row=10018&amp;col=6&amp;number=4.4&amp;sourceID=14","4.4")</f>
        <v>4.4</v>
      </c>
      <c r="G10018" s="4" t="str">
        <f>HYPERLINK("http://141.218.60.56/~jnz1568/getInfo.php?workbook=10_05.xlsx&amp;sheet=U0&amp;row=10018&amp;col=7&amp;number=0.00574&amp;sourceID=14","0.00574")</f>
        <v>0.00574</v>
      </c>
    </row>
    <row r="10019" spans="1:7">
      <c r="A10019" s="3"/>
      <c r="B10019" s="3"/>
      <c r="C10019" s="3"/>
      <c r="D10019" s="3"/>
      <c r="E10019" s="3">
        <v>16</v>
      </c>
      <c r="F10019" s="4" t="str">
        <f>HYPERLINK("http://141.218.60.56/~jnz1568/getInfo.php?workbook=10_05.xlsx&amp;sheet=U0&amp;row=10019&amp;col=6&amp;number=4.5&amp;sourceID=14","4.5")</f>
        <v>4.5</v>
      </c>
      <c r="G10019" s="4" t="str">
        <f>HYPERLINK("http://141.218.60.56/~jnz1568/getInfo.php?workbook=10_05.xlsx&amp;sheet=U0&amp;row=10019&amp;col=7&amp;number=0.00569&amp;sourceID=14","0.00569")</f>
        <v>0.00569</v>
      </c>
    </row>
    <row r="10020" spans="1:7">
      <c r="A10020" s="3"/>
      <c r="B10020" s="3"/>
      <c r="C10020" s="3"/>
      <c r="D10020" s="3"/>
      <c r="E10020" s="3">
        <v>17</v>
      </c>
      <c r="F10020" s="4" t="str">
        <f>HYPERLINK("http://141.218.60.56/~jnz1568/getInfo.php?workbook=10_05.xlsx&amp;sheet=U0&amp;row=10020&amp;col=6&amp;number=4.6&amp;sourceID=14","4.6")</f>
        <v>4.6</v>
      </c>
      <c r="G10020" s="4" t="str">
        <f>HYPERLINK("http://141.218.60.56/~jnz1568/getInfo.php?workbook=10_05.xlsx&amp;sheet=U0&amp;row=10020&amp;col=7&amp;number=0.00563&amp;sourceID=14","0.00563")</f>
        <v>0.00563</v>
      </c>
    </row>
    <row r="10021" spans="1:7">
      <c r="A10021" s="3"/>
      <c r="B10021" s="3"/>
      <c r="C10021" s="3"/>
      <c r="D10021" s="3"/>
      <c r="E10021" s="3">
        <v>18</v>
      </c>
      <c r="F10021" s="4" t="str">
        <f>HYPERLINK("http://141.218.60.56/~jnz1568/getInfo.php?workbook=10_05.xlsx&amp;sheet=U0&amp;row=10021&amp;col=6&amp;number=4.7&amp;sourceID=14","4.7")</f>
        <v>4.7</v>
      </c>
      <c r="G10021" s="4" t="str">
        <f>HYPERLINK("http://141.218.60.56/~jnz1568/getInfo.php?workbook=10_05.xlsx&amp;sheet=U0&amp;row=10021&amp;col=7&amp;number=0.00556&amp;sourceID=14","0.00556")</f>
        <v>0.00556</v>
      </c>
    </row>
    <row r="10022" spans="1:7">
      <c r="A10022" s="3"/>
      <c r="B10022" s="3"/>
      <c r="C10022" s="3"/>
      <c r="D10022" s="3"/>
      <c r="E10022" s="3">
        <v>19</v>
      </c>
      <c r="F10022" s="4" t="str">
        <f>HYPERLINK("http://141.218.60.56/~jnz1568/getInfo.php?workbook=10_05.xlsx&amp;sheet=U0&amp;row=10022&amp;col=6&amp;number=4.8&amp;sourceID=14","4.8")</f>
        <v>4.8</v>
      </c>
      <c r="G10022" s="4" t="str">
        <f>HYPERLINK("http://141.218.60.56/~jnz1568/getInfo.php?workbook=10_05.xlsx&amp;sheet=U0&amp;row=10022&amp;col=7&amp;number=0.00549&amp;sourceID=14","0.00549")</f>
        <v>0.00549</v>
      </c>
    </row>
    <row r="10023" spans="1:7">
      <c r="A10023" s="3"/>
      <c r="B10023" s="3"/>
      <c r="C10023" s="3"/>
      <c r="D10023" s="3"/>
      <c r="E10023" s="3">
        <v>20</v>
      </c>
      <c r="F10023" s="4" t="str">
        <f>HYPERLINK("http://141.218.60.56/~jnz1568/getInfo.php?workbook=10_05.xlsx&amp;sheet=U0&amp;row=10023&amp;col=6&amp;number=4.9&amp;sourceID=14","4.9")</f>
        <v>4.9</v>
      </c>
      <c r="G10023" s="4" t="str">
        <f>HYPERLINK("http://141.218.60.56/~jnz1568/getInfo.php?workbook=10_05.xlsx&amp;sheet=U0&amp;row=10023&amp;col=7&amp;number=0.00541&amp;sourceID=14","0.00541")</f>
        <v>0.00541</v>
      </c>
    </row>
    <row r="10024" spans="1:7">
      <c r="A10024" s="3">
        <v>10</v>
      </c>
      <c r="B10024" s="3">
        <v>5</v>
      </c>
      <c r="C10024" s="3">
        <v>3</v>
      </c>
      <c r="D10024" s="3">
        <v>148</v>
      </c>
      <c r="E10024" s="3">
        <v>1</v>
      </c>
      <c r="F10024" s="4" t="str">
        <f>HYPERLINK("http://141.218.60.56/~jnz1568/getInfo.php?workbook=10_05.xlsx&amp;sheet=U0&amp;row=10024&amp;col=6&amp;number=3&amp;sourceID=14","3")</f>
        <v>3</v>
      </c>
      <c r="G10024" s="4" t="str">
        <f>HYPERLINK("http://141.218.60.56/~jnz1568/getInfo.php?workbook=10_05.xlsx&amp;sheet=U0&amp;row=10024&amp;col=7&amp;number=0.0134&amp;sourceID=14","0.0134")</f>
        <v>0.0134</v>
      </c>
    </row>
    <row r="10025" spans="1:7">
      <c r="A10025" s="3"/>
      <c r="B10025" s="3"/>
      <c r="C10025" s="3"/>
      <c r="D10025" s="3"/>
      <c r="E10025" s="3">
        <v>2</v>
      </c>
      <c r="F10025" s="4" t="str">
        <f>HYPERLINK("http://141.218.60.56/~jnz1568/getInfo.php?workbook=10_05.xlsx&amp;sheet=U0&amp;row=10025&amp;col=6&amp;number=3.1&amp;sourceID=14","3.1")</f>
        <v>3.1</v>
      </c>
      <c r="G10025" s="4" t="str">
        <f>HYPERLINK("http://141.218.60.56/~jnz1568/getInfo.php?workbook=10_05.xlsx&amp;sheet=U0&amp;row=10025&amp;col=7&amp;number=0.0134&amp;sourceID=14","0.0134")</f>
        <v>0.0134</v>
      </c>
    </row>
    <row r="10026" spans="1:7">
      <c r="A10026" s="3"/>
      <c r="B10026" s="3"/>
      <c r="C10026" s="3"/>
      <c r="D10026" s="3"/>
      <c r="E10026" s="3">
        <v>3</v>
      </c>
      <c r="F10026" s="4" t="str">
        <f>HYPERLINK("http://141.218.60.56/~jnz1568/getInfo.php?workbook=10_05.xlsx&amp;sheet=U0&amp;row=10026&amp;col=6&amp;number=3.2&amp;sourceID=14","3.2")</f>
        <v>3.2</v>
      </c>
      <c r="G10026" s="4" t="str">
        <f>HYPERLINK("http://141.218.60.56/~jnz1568/getInfo.php?workbook=10_05.xlsx&amp;sheet=U0&amp;row=10026&amp;col=7&amp;number=0.0134&amp;sourceID=14","0.0134")</f>
        <v>0.0134</v>
      </c>
    </row>
    <row r="10027" spans="1:7">
      <c r="A10027" s="3"/>
      <c r="B10027" s="3"/>
      <c r="C10027" s="3"/>
      <c r="D10027" s="3"/>
      <c r="E10027" s="3">
        <v>4</v>
      </c>
      <c r="F10027" s="4" t="str">
        <f>HYPERLINK("http://141.218.60.56/~jnz1568/getInfo.php?workbook=10_05.xlsx&amp;sheet=U0&amp;row=10027&amp;col=6&amp;number=3.3&amp;sourceID=14","3.3")</f>
        <v>3.3</v>
      </c>
      <c r="G10027" s="4" t="str">
        <f>HYPERLINK("http://141.218.60.56/~jnz1568/getInfo.php?workbook=10_05.xlsx&amp;sheet=U0&amp;row=10027&amp;col=7&amp;number=0.0134&amp;sourceID=14","0.0134")</f>
        <v>0.0134</v>
      </c>
    </row>
    <row r="10028" spans="1:7">
      <c r="A10028" s="3"/>
      <c r="B10028" s="3"/>
      <c r="C10028" s="3"/>
      <c r="D10028" s="3"/>
      <c r="E10028" s="3">
        <v>5</v>
      </c>
      <c r="F10028" s="4" t="str">
        <f>HYPERLINK("http://141.218.60.56/~jnz1568/getInfo.php?workbook=10_05.xlsx&amp;sheet=U0&amp;row=10028&amp;col=6&amp;number=3.4&amp;sourceID=14","3.4")</f>
        <v>3.4</v>
      </c>
      <c r="G10028" s="4" t="str">
        <f>HYPERLINK("http://141.218.60.56/~jnz1568/getInfo.php?workbook=10_05.xlsx&amp;sheet=U0&amp;row=10028&amp;col=7&amp;number=0.0135&amp;sourceID=14","0.0135")</f>
        <v>0.0135</v>
      </c>
    </row>
    <row r="10029" spans="1:7">
      <c r="A10029" s="3"/>
      <c r="B10029" s="3"/>
      <c r="C10029" s="3"/>
      <c r="D10029" s="3"/>
      <c r="E10029" s="3">
        <v>6</v>
      </c>
      <c r="F10029" s="4" t="str">
        <f>HYPERLINK("http://141.218.60.56/~jnz1568/getInfo.php?workbook=10_05.xlsx&amp;sheet=U0&amp;row=10029&amp;col=6&amp;number=3.5&amp;sourceID=14","3.5")</f>
        <v>3.5</v>
      </c>
      <c r="G10029" s="4" t="str">
        <f>HYPERLINK("http://141.218.60.56/~jnz1568/getInfo.php?workbook=10_05.xlsx&amp;sheet=U0&amp;row=10029&amp;col=7&amp;number=0.0135&amp;sourceID=14","0.0135")</f>
        <v>0.0135</v>
      </c>
    </row>
    <row r="10030" spans="1:7">
      <c r="A10030" s="3"/>
      <c r="B10030" s="3"/>
      <c r="C10030" s="3"/>
      <c r="D10030" s="3"/>
      <c r="E10030" s="3">
        <v>7</v>
      </c>
      <c r="F10030" s="4" t="str">
        <f>HYPERLINK("http://141.218.60.56/~jnz1568/getInfo.php?workbook=10_05.xlsx&amp;sheet=U0&amp;row=10030&amp;col=6&amp;number=3.6&amp;sourceID=14","3.6")</f>
        <v>3.6</v>
      </c>
      <c r="G10030" s="4" t="str">
        <f>HYPERLINK("http://141.218.60.56/~jnz1568/getInfo.php?workbook=10_05.xlsx&amp;sheet=U0&amp;row=10030&amp;col=7&amp;number=0.0135&amp;sourceID=14","0.0135")</f>
        <v>0.0135</v>
      </c>
    </row>
    <row r="10031" spans="1:7">
      <c r="A10031" s="3"/>
      <c r="B10031" s="3"/>
      <c r="C10031" s="3"/>
      <c r="D10031" s="3"/>
      <c r="E10031" s="3">
        <v>8</v>
      </c>
      <c r="F10031" s="4" t="str">
        <f>HYPERLINK("http://141.218.60.56/~jnz1568/getInfo.php?workbook=10_05.xlsx&amp;sheet=U0&amp;row=10031&amp;col=6&amp;number=3.7&amp;sourceID=14","3.7")</f>
        <v>3.7</v>
      </c>
      <c r="G10031" s="4" t="str">
        <f>HYPERLINK("http://141.218.60.56/~jnz1568/getInfo.php?workbook=10_05.xlsx&amp;sheet=U0&amp;row=10031&amp;col=7&amp;number=0.0135&amp;sourceID=14","0.0135")</f>
        <v>0.0135</v>
      </c>
    </row>
    <row r="10032" spans="1:7">
      <c r="A10032" s="3"/>
      <c r="B10032" s="3"/>
      <c r="C10032" s="3"/>
      <c r="D10032" s="3"/>
      <c r="E10032" s="3">
        <v>9</v>
      </c>
      <c r="F10032" s="4" t="str">
        <f>HYPERLINK("http://141.218.60.56/~jnz1568/getInfo.php?workbook=10_05.xlsx&amp;sheet=U0&amp;row=10032&amp;col=6&amp;number=3.8&amp;sourceID=14","3.8")</f>
        <v>3.8</v>
      </c>
      <c r="G10032" s="4" t="str">
        <f>HYPERLINK("http://141.218.60.56/~jnz1568/getInfo.php?workbook=10_05.xlsx&amp;sheet=U0&amp;row=10032&amp;col=7&amp;number=0.0135&amp;sourceID=14","0.0135")</f>
        <v>0.0135</v>
      </c>
    </row>
    <row r="10033" spans="1:7">
      <c r="A10033" s="3"/>
      <c r="B10033" s="3"/>
      <c r="C10033" s="3"/>
      <c r="D10033" s="3"/>
      <c r="E10033" s="3">
        <v>10</v>
      </c>
      <c r="F10033" s="4" t="str">
        <f>HYPERLINK("http://141.218.60.56/~jnz1568/getInfo.php?workbook=10_05.xlsx&amp;sheet=U0&amp;row=10033&amp;col=6&amp;number=3.9&amp;sourceID=14","3.9")</f>
        <v>3.9</v>
      </c>
      <c r="G10033" s="4" t="str">
        <f>HYPERLINK("http://141.218.60.56/~jnz1568/getInfo.php?workbook=10_05.xlsx&amp;sheet=U0&amp;row=10033&amp;col=7&amp;number=0.0136&amp;sourceID=14","0.0136")</f>
        <v>0.0136</v>
      </c>
    </row>
    <row r="10034" spans="1:7">
      <c r="A10034" s="3"/>
      <c r="B10034" s="3"/>
      <c r="C10034" s="3"/>
      <c r="D10034" s="3"/>
      <c r="E10034" s="3">
        <v>11</v>
      </c>
      <c r="F10034" s="4" t="str">
        <f>HYPERLINK("http://141.218.60.56/~jnz1568/getInfo.php?workbook=10_05.xlsx&amp;sheet=U0&amp;row=10034&amp;col=6&amp;number=4&amp;sourceID=14","4")</f>
        <v>4</v>
      </c>
      <c r="G10034" s="4" t="str">
        <f>HYPERLINK("http://141.218.60.56/~jnz1568/getInfo.php?workbook=10_05.xlsx&amp;sheet=U0&amp;row=10034&amp;col=7&amp;number=0.0136&amp;sourceID=14","0.0136")</f>
        <v>0.0136</v>
      </c>
    </row>
    <row r="10035" spans="1:7">
      <c r="A10035" s="3"/>
      <c r="B10035" s="3"/>
      <c r="C10035" s="3"/>
      <c r="D10035" s="3"/>
      <c r="E10035" s="3">
        <v>12</v>
      </c>
      <c r="F10035" s="4" t="str">
        <f>HYPERLINK("http://141.218.60.56/~jnz1568/getInfo.php?workbook=10_05.xlsx&amp;sheet=U0&amp;row=10035&amp;col=6&amp;number=4.1&amp;sourceID=14","4.1")</f>
        <v>4.1</v>
      </c>
      <c r="G10035" s="4" t="str">
        <f>HYPERLINK("http://141.218.60.56/~jnz1568/getInfo.php?workbook=10_05.xlsx&amp;sheet=U0&amp;row=10035&amp;col=7&amp;number=0.0136&amp;sourceID=14","0.0136")</f>
        <v>0.0136</v>
      </c>
    </row>
    <row r="10036" spans="1:7">
      <c r="A10036" s="3"/>
      <c r="B10036" s="3"/>
      <c r="C10036" s="3"/>
      <c r="D10036" s="3"/>
      <c r="E10036" s="3">
        <v>13</v>
      </c>
      <c r="F10036" s="4" t="str">
        <f>HYPERLINK("http://141.218.60.56/~jnz1568/getInfo.php?workbook=10_05.xlsx&amp;sheet=U0&amp;row=10036&amp;col=6&amp;number=4.2&amp;sourceID=14","4.2")</f>
        <v>4.2</v>
      </c>
      <c r="G10036" s="4" t="str">
        <f>HYPERLINK("http://141.218.60.56/~jnz1568/getInfo.php?workbook=10_05.xlsx&amp;sheet=U0&amp;row=10036&amp;col=7&amp;number=0.0137&amp;sourceID=14","0.0137")</f>
        <v>0.0137</v>
      </c>
    </row>
    <row r="10037" spans="1:7">
      <c r="A10037" s="3"/>
      <c r="B10037" s="3"/>
      <c r="C10037" s="3"/>
      <c r="D10037" s="3"/>
      <c r="E10037" s="3">
        <v>14</v>
      </c>
      <c r="F10037" s="4" t="str">
        <f>HYPERLINK("http://141.218.60.56/~jnz1568/getInfo.php?workbook=10_05.xlsx&amp;sheet=U0&amp;row=10037&amp;col=6&amp;number=4.3&amp;sourceID=14","4.3")</f>
        <v>4.3</v>
      </c>
      <c r="G10037" s="4" t="str">
        <f>HYPERLINK("http://141.218.60.56/~jnz1568/getInfo.php?workbook=10_05.xlsx&amp;sheet=U0&amp;row=10037&amp;col=7&amp;number=0.0138&amp;sourceID=14","0.0138")</f>
        <v>0.0138</v>
      </c>
    </row>
    <row r="10038" spans="1:7">
      <c r="A10038" s="3"/>
      <c r="B10038" s="3"/>
      <c r="C10038" s="3"/>
      <c r="D10038" s="3"/>
      <c r="E10038" s="3">
        <v>15</v>
      </c>
      <c r="F10038" s="4" t="str">
        <f>HYPERLINK("http://141.218.60.56/~jnz1568/getInfo.php?workbook=10_05.xlsx&amp;sheet=U0&amp;row=10038&amp;col=6&amp;number=4.4&amp;sourceID=14","4.4")</f>
        <v>4.4</v>
      </c>
      <c r="G10038" s="4" t="str">
        <f>HYPERLINK("http://141.218.60.56/~jnz1568/getInfo.php?workbook=10_05.xlsx&amp;sheet=U0&amp;row=10038&amp;col=7&amp;number=0.0138&amp;sourceID=14","0.0138")</f>
        <v>0.0138</v>
      </c>
    </row>
    <row r="10039" spans="1:7">
      <c r="A10039" s="3"/>
      <c r="B10039" s="3"/>
      <c r="C10039" s="3"/>
      <c r="D10039" s="3"/>
      <c r="E10039" s="3">
        <v>16</v>
      </c>
      <c r="F10039" s="4" t="str">
        <f>HYPERLINK("http://141.218.60.56/~jnz1568/getInfo.php?workbook=10_05.xlsx&amp;sheet=U0&amp;row=10039&amp;col=6&amp;number=4.5&amp;sourceID=14","4.5")</f>
        <v>4.5</v>
      </c>
      <c r="G10039" s="4" t="str">
        <f>HYPERLINK("http://141.218.60.56/~jnz1568/getInfo.php?workbook=10_05.xlsx&amp;sheet=U0&amp;row=10039&amp;col=7&amp;number=0.0138&amp;sourceID=14","0.0138")</f>
        <v>0.0138</v>
      </c>
    </row>
    <row r="10040" spans="1:7">
      <c r="A10040" s="3"/>
      <c r="B10040" s="3"/>
      <c r="C10040" s="3"/>
      <c r="D10040" s="3"/>
      <c r="E10040" s="3">
        <v>17</v>
      </c>
      <c r="F10040" s="4" t="str">
        <f>HYPERLINK("http://141.218.60.56/~jnz1568/getInfo.php?workbook=10_05.xlsx&amp;sheet=U0&amp;row=10040&amp;col=6&amp;number=4.6&amp;sourceID=14","4.6")</f>
        <v>4.6</v>
      </c>
      <c r="G10040" s="4" t="str">
        <f>HYPERLINK("http://141.218.60.56/~jnz1568/getInfo.php?workbook=10_05.xlsx&amp;sheet=U0&amp;row=10040&amp;col=7&amp;number=0.0139&amp;sourceID=14","0.0139")</f>
        <v>0.0139</v>
      </c>
    </row>
    <row r="10041" spans="1:7">
      <c r="A10041" s="3"/>
      <c r="B10041" s="3"/>
      <c r="C10041" s="3"/>
      <c r="D10041" s="3"/>
      <c r="E10041" s="3">
        <v>18</v>
      </c>
      <c r="F10041" s="4" t="str">
        <f>HYPERLINK("http://141.218.60.56/~jnz1568/getInfo.php?workbook=10_05.xlsx&amp;sheet=U0&amp;row=10041&amp;col=6&amp;number=4.7&amp;sourceID=14","4.7")</f>
        <v>4.7</v>
      </c>
      <c r="G10041" s="4" t="str">
        <f>HYPERLINK("http://141.218.60.56/~jnz1568/getInfo.php?workbook=10_05.xlsx&amp;sheet=U0&amp;row=10041&amp;col=7&amp;number=0.0139&amp;sourceID=14","0.0139")</f>
        <v>0.0139</v>
      </c>
    </row>
    <row r="10042" spans="1:7">
      <c r="A10042" s="3"/>
      <c r="B10042" s="3"/>
      <c r="C10042" s="3"/>
      <c r="D10042" s="3"/>
      <c r="E10042" s="3">
        <v>19</v>
      </c>
      <c r="F10042" s="4" t="str">
        <f>HYPERLINK("http://141.218.60.56/~jnz1568/getInfo.php?workbook=10_05.xlsx&amp;sheet=U0&amp;row=10042&amp;col=6&amp;number=4.8&amp;sourceID=14","4.8")</f>
        <v>4.8</v>
      </c>
      <c r="G10042" s="4" t="str">
        <f>HYPERLINK("http://141.218.60.56/~jnz1568/getInfo.php?workbook=10_05.xlsx&amp;sheet=U0&amp;row=10042&amp;col=7&amp;number=0.0139&amp;sourceID=14","0.0139")</f>
        <v>0.0139</v>
      </c>
    </row>
    <row r="10043" spans="1:7">
      <c r="A10043" s="3"/>
      <c r="B10043" s="3"/>
      <c r="C10043" s="3"/>
      <c r="D10043" s="3"/>
      <c r="E10043" s="3">
        <v>20</v>
      </c>
      <c r="F10043" s="4" t="str">
        <f>HYPERLINK("http://141.218.60.56/~jnz1568/getInfo.php?workbook=10_05.xlsx&amp;sheet=U0&amp;row=10043&amp;col=6&amp;number=4.9&amp;sourceID=14","4.9")</f>
        <v>4.9</v>
      </c>
      <c r="G10043" s="4" t="str">
        <f>HYPERLINK("http://141.218.60.56/~jnz1568/getInfo.php?workbook=10_05.xlsx&amp;sheet=U0&amp;row=10043&amp;col=7&amp;number=0.014&amp;sourceID=14","0.014")</f>
        <v>0.014</v>
      </c>
    </row>
    <row r="10044" spans="1:7">
      <c r="A10044" s="3">
        <v>10</v>
      </c>
      <c r="B10044" s="3">
        <v>5</v>
      </c>
      <c r="C10044" s="3">
        <v>3</v>
      </c>
      <c r="D10044" s="3">
        <v>149</v>
      </c>
      <c r="E10044" s="3">
        <v>1</v>
      </c>
      <c r="F10044" s="4" t="str">
        <f>HYPERLINK("http://141.218.60.56/~jnz1568/getInfo.php?workbook=10_05.xlsx&amp;sheet=U0&amp;row=10044&amp;col=6&amp;number=3&amp;sourceID=14","3")</f>
        <v>3</v>
      </c>
      <c r="G10044" s="4" t="str">
        <f>HYPERLINK("http://141.218.60.56/~jnz1568/getInfo.php?workbook=10_05.xlsx&amp;sheet=U0&amp;row=10044&amp;col=7&amp;number=0.00351&amp;sourceID=14","0.00351")</f>
        <v>0.00351</v>
      </c>
    </row>
    <row r="10045" spans="1:7">
      <c r="A10045" s="3"/>
      <c r="B10045" s="3"/>
      <c r="C10045" s="3"/>
      <c r="D10045" s="3"/>
      <c r="E10045" s="3">
        <v>2</v>
      </c>
      <c r="F10045" s="4" t="str">
        <f>HYPERLINK("http://141.218.60.56/~jnz1568/getInfo.php?workbook=10_05.xlsx&amp;sheet=U0&amp;row=10045&amp;col=6&amp;number=3.1&amp;sourceID=14","3.1")</f>
        <v>3.1</v>
      </c>
      <c r="G10045" s="4" t="str">
        <f>HYPERLINK("http://141.218.60.56/~jnz1568/getInfo.php?workbook=10_05.xlsx&amp;sheet=U0&amp;row=10045&amp;col=7&amp;number=0.00351&amp;sourceID=14","0.00351")</f>
        <v>0.00351</v>
      </c>
    </row>
    <row r="10046" spans="1:7">
      <c r="A10046" s="3"/>
      <c r="B10046" s="3"/>
      <c r="C10046" s="3"/>
      <c r="D10046" s="3"/>
      <c r="E10046" s="3">
        <v>3</v>
      </c>
      <c r="F10046" s="4" t="str">
        <f>HYPERLINK("http://141.218.60.56/~jnz1568/getInfo.php?workbook=10_05.xlsx&amp;sheet=U0&amp;row=10046&amp;col=6&amp;number=3.2&amp;sourceID=14","3.2")</f>
        <v>3.2</v>
      </c>
      <c r="G10046" s="4" t="str">
        <f>HYPERLINK("http://141.218.60.56/~jnz1568/getInfo.php?workbook=10_05.xlsx&amp;sheet=U0&amp;row=10046&amp;col=7&amp;number=0.00351&amp;sourceID=14","0.00351")</f>
        <v>0.00351</v>
      </c>
    </row>
    <row r="10047" spans="1:7">
      <c r="A10047" s="3"/>
      <c r="B10047" s="3"/>
      <c r="C10047" s="3"/>
      <c r="D10047" s="3"/>
      <c r="E10047" s="3">
        <v>4</v>
      </c>
      <c r="F10047" s="4" t="str">
        <f>HYPERLINK("http://141.218.60.56/~jnz1568/getInfo.php?workbook=10_05.xlsx&amp;sheet=U0&amp;row=10047&amp;col=6&amp;number=3.3&amp;sourceID=14","3.3")</f>
        <v>3.3</v>
      </c>
      <c r="G10047" s="4" t="str">
        <f>HYPERLINK("http://141.218.60.56/~jnz1568/getInfo.php?workbook=10_05.xlsx&amp;sheet=U0&amp;row=10047&amp;col=7&amp;number=0.00352&amp;sourceID=14","0.00352")</f>
        <v>0.00352</v>
      </c>
    </row>
    <row r="10048" spans="1:7">
      <c r="A10048" s="3"/>
      <c r="B10048" s="3"/>
      <c r="C10048" s="3"/>
      <c r="D10048" s="3"/>
      <c r="E10048" s="3">
        <v>5</v>
      </c>
      <c r="F10048" s="4" t="str">
        <f>HYPERLINK("http://141.218.60.56/~jnz1568/getInfo.php?workbook=10_05.xlsx&amp;sheet=U0&amp;row=10048&amp;col=6&amp;number=3.4&amp;sourceID=14","3.4")</f>
        <v>3.4</v>
      </c>
      <c r="G10048" s="4" t="str">
        <f>HYPERLINK("http://141.218.60.56/~jnz1568/getInfo.php?workbook=10_05.xlsx&amp;sheet=U0&amp;row=10048&amp;col=7&amp;number=0.00352&amp;sourceID=14","0.00352")</f>
        <v>0.00352</v>
      </c>
    </row>
    <row r="10049" spans="1:7">
      <c r="A10049" s="3"/>
      <c r="B10049" s="3"/>
      <c r="C10049" s="3"/>
      <c r="D10049" s="3"/>
      <c r="E10049" s="3">
        <v>6</v>
      </c>
      <c r="F10049" s="4" t="str">
        <f>HYPERLINK("http://141.218.60.56/~jnz1568/getInfo.php?workbook=10_05.xlsx&amp;sheet=U0&amp;row=10049&amp;col=6&amp;number=3.5&amp;sourceID=14","3.5")</f>
        <v>3.5</v>
      </c>
      <c r="G10049" s="4" t="str">
        <f>HYPERLINK("http://141.218.60.56/~jnz1568/getInfo.php?workbook=10_05.xlsx&amp;sheet=U0&amp;row=10049&amp;col=7&amp;number=0.00352&amp;sourceID=14","0.00352")</f>
        <v>0.00352</v>
      </c>
    </row>
    <row r="10050" spans="1:7">
      <c r="A10050" s="3"/>
      <c r="B10050" s="3"/>
      <c r="C10050" s="3"/>
      <c r="D10050" s="3"/>
      <c r="E10050" s="3">
        <v>7</v>
      </c>
      <c r="F10050" s="4" t="str">
        <f>HYPERLINK("http://141.218.60.56/~jnz1568/getInfo.php?workbook=10_05.xlsx&amp;sheet=U0&amp;row=10050&amp;col=6&amp;number=3.6&amp;sourceID=14","3.6")</f>
        <v>3.6</v>
      </c>
      <c r="G10050" s="4" t="str">
        <f>HYPERLINK("http://141.218.60.56/~jnz1568/getInfo.php?workbook=10_05.xlsx&amp;sheet=U0&amp;row=10050&amp;col=7&amp;number=0.00353&amp;sourceID=14","0.00353")</f>
        <v>0.00353</v>
      </c>
    </row>
    <row r="10051" spans="1:7">
      <c r="A10051" s="3"/>
      <c r="B10051" s="3"/>
      <c r="C10051" s="3"/>
      <c r="D10051" s="3"/>
      <c r="E10051" s="3">
        <v>8</v>
      </c>
      <c r="F10051" s="4" t="str">
        <f>HYPERLINK("http://141.218.60.56/~jnz1568/getInfo.php?workbook=10_05.xlsx&amp;sheet=U0&amp;row=10051&amp;col=6&amp;number=3.7&amp;sourceID=14","3.7")</f>
        <v>3.7</v>
      </c>
      <c r="G10051" s="4" t="str">
        <f>HYPERLINK("http://141.218.60.56/~jnz1568/getInfo.php?workbook=10_05.xlsx&amp;sheet=U0&amp;row=10051&amp;col=7&amp;number=0.00353&amp;sourceID=14","0.00353")</f>
        <v>0.00353</v>
      </c>
    </row>
    <row r="10052" spans="1:7">
      <c r="A10052" s="3"/>
      <c r="B10052" s="3"/>
      <c r="C10052" s="3"/>
      <c r="D10052" s="3"/>
      <c r="E10052" s="3">
        <v>9</v>
      </c>
      <c r="F10052" s="4" t="str">
        <f>HYPERLINK("http://141.218.60.56/~jnz1568/getInfo.php?workbook=10_05.xlsx&amp;sheet=U0&amp;row=10052&amp;col=6&amp;number=3.8&amp;sourceID=14","3.8")</f>
        <v>3.8</v>
      </c>
      <c r="G10052" s="4" t="str">
        <f>HYPERLINK("http://141.218.60.56/~jnz1568/getInfo.php?workbook=10_05.xlsx&amp;sheet=U0&amp;row=10052&amp;col=7&amp;number=0.00354&amp;sourceID=14","0.00354")</f>
        <v>0.00354</v>
      </c>
    </row>
    <row r="10053" spans="1:7">
      <c r="A10053" s="3"/>
      <c r="B10053" s="3"/>
      <c r="C10053" s="3"/>
      <c r="D10053" s="3"/>
      <c r="E10053" s="3">
        <v>10</v>
      </c>
      <c r="F10053" s="4" t="str">
        <f>HYPERLINK("http://141.218.60.56/~jnz1568/getInfo.php?workbook=10_05.xlsx&amp;sheet=U0&amp;row=10053&amp;col=6&amp;number=3.9&amp;sourceID=14","3.9")</f>
        <v>3.9</v>
      </c>
      <c r="G10053" s="4" t="str">
        <f>HYPERLINK("http://141.218.60.56/~jnz1568/getInfo.php?workbook=10_05.xlsx&amp;sheet=U0&amp;row=10053&amp;col=7&amp;number=0.00354&amp;sourceID=14","0.00354")</f>
        <v>0.00354</v>
      </c>
    </row>
    <row r="10054" spans="1:7">
      <c r="A10054" s="3"/>
      <c r="B10054" s="3"/>
      <c r="C10054" s="3"/>
      <c r="D10054" s="3"/>
      <c r="E10054" s="3">
        <v>11</v>
      </c>
      <c r="F10054" s="4" t="str">
        <f>HYPERLINK("http://141.218.60.56/~jnz1568/getInfo.php?workbook=10_05.xlsx&amp;sheet=U0&amp;row=10054&amp;col=6&amp;number=4&amp;sourceID=14","4")</f>
        <v>4</v>
      </c>
      <c r="G10054" s="4" t="str">
        <f>HYPERLINK("http://141.218.60.56/~jnz1568/getInfo.php?workbook=10_05.xlsx&amp;sheet=U0&amp;row=10054&amp;col=7&amp;number=0.00355&amp;sourceID=14","0.00355")</f>
        <v>0.00355</v>
      </c>
    </row>
    <row r="10055" spans="1:7">
      <c r="A10055" s="3"/>
      <c r="B10055" s="3"/>
      <c r="C10055" s="3"/>
      <c r="D10055" s="3"/>
      <c r="E10055" s="3">
        <v>12</v>
      </c>
      <c r="F10055" s="4" t="str">
        <f>HYPERLINK("http://141.218.60.56/~jnz1568/getInfo.php?workbook=10_05.xlsx&amp;sheet=U0&amp;row=10055&amp;col=6&amp;number=4.1&amp;sourceID=14","4.1")</f>
        <v>4.1</v>
      </c>
      <c r="G10055" s="4" t="str">
        <f>HYPERLINK("http://141.218.60.56/~jnz1568/getInfo.php?workbook=10_05.xlsx&amp;sheet=U0&amp;row=10055&amp;col=7&amp;number=0.00356&amp;sourceID=14","0.00356")</f>
        <v>0.00356</v>
      </c>
    </row>
    <row r="10056" spans="1:7">
      <c r="A10056" s="3"/>
      <c r="B10056" s="3"/>
      <c r="C10056" s="3"/>
      <c r="D10056" s="3"/>
      <c r="E10056" s="3">
        <v>13</v>
      </c>
      <c r="F10056" s="4" t="str">
        <f>HYPERLINK("http://141.218.60.56/~jnz1568/getInfo.php?workbook=10_05.xlsx&amp;sheet=U0&amp;row=10056&amp;col=6&amp;number=4.2&amp;sourceID=14","4.2")</f>
        <v>4.2</v>
      </c>
      <c r="G10056" s="4" t="str">
        <f>HYPERLINK("http://141.218.60.56/~jnz1568/getInfo.php?workbook=10_05.xlsx&amp;sheet=U0&amp;row=10056&amp;col=7&amp;number=0.00358&amp;sourceID=14","0.00358")</f>
        <v>0.00358</v>
      </c>
    </row>
    <row r="10057" spans="1:7">
      <c r="A10057" s="3"/>
      <c r="B10057" s="3"/>
      <c r="C10057" s="3"/>
      <c r="D10057" s="3"/>
      <c r="E10057" s="3">
        <v>14</v>
      </c>
      <c r="F10057" s="4" t="str">
        <f>HYPERLINK("http://141.218.60.56/~jnz1568/getInfo.php?workbook=10_05.xlsx&amp;sheet=U0&amp;row=10057&amp;col=6&amp;number=4.3&amp;sourceID=14","4.3")</f>
        <v>4.3</v>
      </c>
      <c r="G10057" s="4" t="str">
        <f>HYPERLINK("http://141.218.60.56/~jnz1568/getInfo.php?workbook=10_05.xlsx&amp;sheet=U0&amp;row=10057&amp;col=7&amp;number=0.0036&amp;sourceID=14","0.0036")</f>
        <v>0.0036</v>
      </c>
    </row>
    <row r="10058" spans="1:7">
      <c r="A10058" s="3"/>
      <c r="B10058" s="3"/>
      <c r="C10058" s="3"/>
      <c r="D10058" s="3"/>
      <c r="E10058" s="3">
        <v>15</v>
      </c>
      <c r="F10058" s="4" t="str">
        <f>HYPERLINK("http://141.218.60.56/~jnz1568/getInfo.php?workbook=10_05.xlsx&amp;sheet=U0&amp;row=10058&amp;col=6&amp;number=4.4&amp;sourceID=14","4.4")</f>
        <v>4.4</v>
      </c>
      <c r="G10058" s="4" t="str">
        <f>HYPERLINK("http://141.218.60.56/~jnz1568/getInfo.php?workbook=10_05.xlsx&amp;sheet=U0&amp;row=10058&amp;col=7&amp;number=0.00361&amp;sourceID=14","0.00361")</f>
        <v>0.00361</v>
      </c>
    </row>
    <row r="10059" spans="1:7">
      <c r="A10059" s="3"/>
      <c r="B10059" s="3"/>
      <c r="C10059" s="3"/>
      <c r="D10059" s="3"/>
      <c r="E10059" s="3">
        <v>16</v>
      </c>
      <c r="F10059" s="4" t="str">
        <f>HYPERLINK("http://141.218.60.56/~jnz1568/getInfo.php?workbook=10_05.xlsx&amp;sheet=U0&amp;row=10059&amp;col=6&amp;number=4.5&amp;sourceID=14","4.5")</f>
        <v>4.5</v>
      </c>
      <c r="G10059" s="4" t="str">
        <f>HYPERLINK("http://141.218.60.56/~jnz1568/getInfo.php?workbook=10_05.xlsx&amp;sheet=U0&amp;row=10059&amp;col=7&amp;number=0.00364&amp;sourceID=14","0.00364")</f>
        <v>0.00364</v>
      </c>
    </row>
    <row r="10060" spans="1:7">
      <c r="A10060" s="3"/>
      <c r="B10060" s="3"/>
      <c r="C10060" s="3"/>
      <c r="D10060" s="3"/>
      <c r="E10060" s="3">
        <v>17</v>
      </c>
      <c r="F10060" s="4" t="str">
        <f>HYPERLINK("http://141.218.60.56/~jnz1568/getInfo.php?workbook=10_05.xlsx&amp;sheet=U0&amp;row=10060&amp;col=6&amp;number=4.6&amp;sourceID=14","4.6")</f>
        <v>4.6</v>
      </c>
      <c r="G10060" s="4" t="str">
        <f>HYPERLINK("http://141.218.60.56/~jnz1568/getInfo.php?workbook=10_05.xlsx&amp;sheet=U0&amp;row=10060&amp;col=7&amp;number=0.00366&amp;sourceID=14","0.00366")</f>
        <v>0.00366</v>
      </c>
    </row>
    <row r="10061" spans="1:7">
      <c r="A10061" s="3"/>
      <c r="B10061" s="3"/>
      <c r="C10061" s="3"/>
      <c r="D10061" s="3"/>
      <c r="E10061" s="3">
        <v>18</v>
      </c>
      <c r="F10061" s="4" t="str">
        <f>HYPERLINK("http://141.218.60.56/~jnz1568/getInfo.php?workbook=10_05.xlsx&amp;sheet=U0&amp;row=10061&amp;col=6&amp;number=4.7&amp;sourceID=14","4.7")</f>
        <v>4.7</v>
      </c>
      <c r="G10061" s="4" t="str">
        <f>HYPERLINK("http://141.218.60.56/~jnz1568/getInfo.php?workbook=10_05.xlsx&amp;sheet=U0&amp;row=10061&amp;col=7&amp;number=0.00369&amp;sourceID=14","0.00369")</f>
        <v>0.00369</v>
      </c>
    </row>
    <row r="10062" spans="1:7">
      <c r="A10062" s="3"/>
      <c r="B10062" s="3"/>
      <c r="C10062" s="3"/>
      <c r="D10062" s="3"/>
      <c r="E10062" s="3">
        <v>19</v>
      </c>
      <c r="F10062" s="4" t="str">
        <f>HYPERLINK("http://141.218.60.56/~jnz1568/getInfo.php?workbook=10_05.xlsx&amp;sheet=U0&amp;row=10062&amp;col=6&amp;number=4.8&amp;sourceID=14","4.8")</f>
        <v>4.8</v>
      </c>
      <c r="G10062" s="4" t="str">
        <f>HYPERLINK("http://141.218.60.56/~jnz1568/getInfo.php?workbook=10_05.xlsx&amp;sheet=U0&amp;row=10062&amp;col=7&amp;number=0.00371&amp;sourceID=14","0.00371")</f>
        <v>0.00371</v>
      </c>
    </row>
    <row r="10063" spans="1:7">
      <c r="A10063" s="3"/>
      <c r="B10063" s="3"/>
      <c r="C10063" s="3"/>
      <c r="D10063" s="3"/>
      <c r="E10063" s="3">
        <v>20</v>
      </c>
      <c r="F10063" s="4" t="str">
        <f>HYPERLINK("http://141.218.60.56/~jnz1568/getInfo.php?workbook=10_05.xlsx&amp;sheet=U0&amp;row=10063&amp;col=6&amp;number=4.9&amp;sourceID=14","4.9")</f>
        <v>4.9</v>
      </c>
      <c r="G10063" s="4" t="str">
        <f>HYPERLINK("http://141.218.60.56/~jnz1568/getInfo.php?workbook=10_05.xlsx&amp;sheet=U0&amp;row=10063&amp;col=7&amp;number=0.00373&amp;sourceID=14","0.00373")</f>
        <v>0.00373</v>
      </c>
    </row>
    <row r="10064" spans="1:7">
      <c r="A10064" s="3">
        <v>10</v>
      </c>
      <c r="B10064" s="3">
        <v>5</v>
      </c>
      <c r="C10064" s="3">
        <v>3</v>
      </c>
      <c r="D10064" s="3">
        <v>150</v>
      </c>
      <c r="E10064" s="3">
        <v>1</v>
      </c>
      <c r="F10064" s="4" t="str">
        <f>HYPERLINK("http://141.218.60.56/~jnz1568/getInfo.php?workbook=10_05.xlsx&amp;sheet=U0&amp;row=10064&amp;col=6&amp;number=3&amp;sourceID=14","3")</f>
        <v>3</v>
      </c>
      <c r="G10064" s="4" t="str">
        <f>HYPERLINK("http://141.218.60.56/~jnz1568/getInfo.php?workbook=10_05.xlsx&amp;sheet=U0&amp;row=10064&amp;col=7&amp;number=0.000574&amp;sourceID=14","0.000574")</f>
        <v>0.000574</v>
      </c>
    </row>
    <row r="10065" spans="1:7">
      <c r="A10065" s="3"/>
      <c r="B10065" s="3"/>
      <c r="C10065" s="3"/>
      <c r="D10065" s="3"/>
      <c r="E10065" s="3">
        <v>2</v>
      </c>
      <c r="F10065" s="4" t="str">
        <f>HYPERLINK("http://141.218.60.56/~jnz1568/getInfo.php?workbook=10_05.xlsx&amp;sheet=U0&amp;row=10065&amp;col=6&amp;number=3.1&amp;sourceID=14","3.1")</f>
        <v>3.1</v>
      </c>
      <c r="G10065" s="4" t="str">
        <f>HYPERLINK("http://141.218.60.56/~jnz1568/getInfo.php?workbook=10_05.xlsx&amp;sheet=U0&amp;row=10065&amp;col=7&amp;number=0.000572&amp;sourceID=14","0.000572")</f>
        <v>0.000572</v>
      </c>
    </row>
    <row r="10066" spans="1:7">
      <c r="A10066" s="3"/>
      <c r="B10066" s="3"/>
      <c r="C10066" s="3"/>
      <c r="D10066" s="3"/>
      <c r="E10066" s="3">
        <v>3</v>
      </c>
      <c r="F10066" s="4" t="str">
        <f>HYPERLINK("http://141.218.60.56/~jnz1568/getInfo.php?workbook=10_05.xlsx&amp;sheet=U0&amp;row=10066&amp;col=6&amp;number=3.2&amp;sourceID=14","3.2")</f>
        <v>3.2</v>
      </c>
      <c r="G10066" s="4" t="str">
        <f>HYPERLINK("http://141.218.60.56/~jnz1568/getInfo.php?workbook=10_05.xlsx&amp;sheet=U0&amp;row=10066&amp;col=7&amp;number=0.000569&amp;sourceID=14","0.000569")</f>
        <v>0.000569</v>
      </c>
    </row>
    <row r="10067" spans="1:7">
      <c r="A10067" s="3"/>
      <c r="B10067" s="3"/>
      <c r="C10067" s="3"/>
      <c r="D10067" s="3"/>
      <c r="E10067" s="3">
        <v>4</v>
      </c>
      <c r="F10067" s="4" t="str">
        <f>HYPERLINK("http://141.218.60.56/~jnz1568/getInfo.php?workbook=10_05.xlsx&amp;sheet=U0&amp;row=10067&amp;col=6&amp;number=3.3&amp;sourceID=14","3.3")</f>
        <v>3.3</v>
      </c>
      <c r="G10067" s="4" t="str">
        <f>HYPERLINK("http://141.218.60.56/~jnz1568/getInfo.php?workbook=10_05.xlsx&amp;sheet=U0&amp;row=10067&amp;col=7&amp;number=0.000566&amp;sourceID=14","0.000566")</f>
        <v>0.000566</v>
      </c>
    </row>
    <row r="10068" spans="1:7">
      <c r="A10068" s="3"/>
      <c r="B10068" s="3"/>
      <c r="C10068" s="3"/>
      <c r="D10068" s="3"/>
      <c r="E10068" s="3">
        <v>5</v>
      </c>
      <c r="F10068" s="4" t="str">
        <f>HYPERLINK("http://141.218.60.56/~jnz1568/getInfo.php?workbook=10_05.xlsx&amp;sheet=U0&amp;row=10068&amp;col=6&amp;number=3.4&amp;sourceID=14","3.4")</f>
        <v>3.4</v>
      </c>
      <c r="G10068" s="4" t="str">
        <f>HYPERLINK("http://141.218.60.56/~jnz1568/getInfo.php?workbook=10_05.xlsx&amp;sheet=U0&amp;row=10068&amp;col=7&amp;number=0.000561&amp;sourceID=14","0.000561")</f>
        <v>0.000561</v>
      </c>
    </row>
    <row r="10069" spans="1:7">
      <c r="A10069" s="3"/>
      <c r="B10069" s="3"/>
      <c r="C10069" s="3"/>
      <c r="D10069" s="3"/>
      <c r="E10069" s="3">
        <v>6</v>
      </c>
      <c r="F10069" s="4" t="str">
        <f>HYPERLINK("http://141.218.60.56/~jnz1568/getInfo.php?workbook=10_05.xlsx&amp;sheet=U0&amp;row=10069&amp;col=6&amp;number=3.5&amp;sourceID=14","3.5")</f>
        <v>3.5</v>
      </c>
      <c r="G10069" s="4" t="str">
        <f>HYPERLINK("http://141.218.60.56/~jnz1568/getInfo.php?workbook=10_05.xlsx&amp;sheet=U0&amp;row=10069&amp;col=7&amp;number=0.000556&amp;sourceID=14","0.000556")</f>
        <v>0.000556</v>
      </c>
    </row>
    <row r="10070" spans="1:7">
      <c r="A10070" s="3"/>
      <c r="B10070" s="3"/>
      <c r="C10070" s="3"/>
      <c r="D10070" s="3"/>
      <c r="E10070" s="3">
        <v>7</v>
      </c>
      <c r="F10070" s="4" t="str">
        <f>HYPERLINK("http://141.218.60.56/~jnz1568/getInfo.php?workbook=10_05.xlsx&amp;sheet=U0&amp;row=10070&amp;col=6&amp;number=3.6&amp;sourceID=14","3.6")</f>
        <v>3.6</v>
      </c>
      <c r="G10070" s="4" t="str">
        <f>HYPERLINK("http://141.218.60.56/~jnz1568/getInfo.php?workbook=10_05.xlsx&amp;sheet=U0&amp;row=10070&amp;col=7&amp;number=0.000549&amp;sourceID=14","0.000549")</f>
        <v>0.000549</v>
      </c>
    </row>
    <row r="10071" spans="1:7">
      <c r="A10071" s="3"/>
      <c r="B10071" s="3"/>
      <c r="C10071" s="3"/>
      <c r="D10071" s="3"/>
      <c r="E10071" s="3">
        <v>8</v>
      </c>
      <c r="F10071" s="4" t="str">
        <f>HYPERLINK("http://141.218.60.56/~jnz1568/getInfo.php?workbook=10_05.xlsx&amp;sheet=U0&amp;row=10071&amp;col=6&amp;number=3.7&amp;sourceID=14","3.7")</f>
        <v>3.7</v>
      </c>
      <c r="G10071" s="4" t="str">
        <f>HYPERLINK("http://141.218.60.56/~jnz1568/getInfo.php?workbook=10_05.xlsx&amp;sheet=U0&amp;row=10071&amp;col=7&amp;number=0.00054&amp;sourceID=14","0.00054")</f>
        <v>0.00054</v>
      </c>
    </row>
    <row r="10072" spans="1:7">
      <c r="A10072" s="3"/>
      <c r="B10072" s="3"/>
      <c r="C10072" s="3"/>
      <c r="D10072" s="3"/>
      <c r="E10072" s="3">
        <v>9</v>
      </c>
      <c r="F10072" s="4" t="str">
        <f>HYPERLINK("http://141.218.60.56/~jnz1568/getInfo.php?workbook=10_05.xlsx&amp;sheet=U0&amp;row=10072&amp;col=6&amp;number=3.8&amp;sourceID=14","3.8")</f>
        <v>3.8</v>
      </c>
      <c r="G10072" s="4" t="str">
        <f>HYPERLINK("http://141.218.60.56/~jnz1568/getInfo.php?workbook=10_05.xlsx&amp;sheet=U0&amp;row=10072&amp;col=7&amp;number=0.00053&amp;sourceID=14","0.00053")</f>
        <v>0.00053</v>
      </c>
    </row>
    <row r="10073" spans="1:7">
      <c r="A10073" s="3"/>
      <c r="B10073" s="3"/>
      <c r="C10073" s="3"/>
      <c r="D10073" s="3"/>
      <c r="E10073" s="3">
        <v>10</v>
      </c>
      <c r="F10073" s="4" t="str">
        <f>HYPERLINK("http://141.218.60.56/~jnz1568/getInfo.php?workbook=10_05.xlsx&amp;sheet=U0&amp;row=10073&amp;col=6&amp;number=3.9&amp;sourceID=14","3.9")</f>
        <v>3.9</v>
      </c>
      <c r="G10073" s="4" t="str">
        <f>HYPERLINK("http://141.218.60.56/~jnz1568/getInfo.php?workbook=10_05.xlsx&amp;sheet=U0&amp;row=10073&amp;col=7&amp;number=0.000517&amp;sourceID=14","0.000517")</f>
        <v>0.000517</v>
      </c>
    </row>
    <row r="10074" spans="1:7">
      <c r="A10074" s="3"/>
      <c r="B10074" s="3"/>
      <c r="C10074" s="3"/>
      <c r="D10074" s="3"/>
      <c r="E10074" s="3">
        <v>11</v>
      </c>
      <c r="F10074" s="4" t="str">
        <f>HYPERLINK("http://141.218.60.56/~jnz1568/getInfo.php?workbook=10_05.xlsx&amp;sheet=U0&amp;row=10074&amp;col=6&amp;number=4&amp;sourceID=14","4")</f>
        <v>4</v>
      </c>
      <c r="G10074" s="4" t="str">
        <f>HYPERLINK("http://141.218.60.56/~jnz1568/getInfo.php?workbook=10_05.xlsx&amp;sheet=U0&amp;row=10074&amp;col=7&amp;number=0.000503&amp;sourceID=14","0.000503")</f>
        <v>0.000503</v>
      </c>
    </row>
    <row r="10075" spans="1:7">
      <c r="A10075" s="3"/>
      <c r="B10075" s="3"/>
      <c r="C10075" s="3"/>
      <c r="D10075" s="3"/>
      <c r="E10075" s="3">
        <v>12</v>
      </c>
      <c r="F10075" s="4" t="str">
        <f>HYPERLINK("http://141.218.60.56/~jnz1568/getInfo.php?workbook=10_05.xlsx&amp;sheet=U0&amp;row=10075&amp;col=6&amp;number=4.1&amp;sourceID=14","4.1")</f>
        <v>4.1</v>
      </c>
      <c r="G10075" s="4" t="str">
        <f>HYPERLINK("http://141.218.60.56/~jnz1568/getInfo.php?workbook=10_05.xlsx&amp;sheet=U0&amp;row=10075&amp;col=7&amp;number=0.000486&amp;sourceID=14","0.000486")</f>
        <v>0.000486</v>
      </c>
    </row>
    <row r="10076" spans="1:7">
      <c r="A10076" s="3"/>
      <c r="B10076" s="3"/>
      <c r="C10076" s="3"/>
      <c r="D10076" s="3"/>
      <c r="E10076" s="3">
        <v>13</v>
      </c>
      <c r="F10076" s="4" t="str">
        <f>HYPERLINK("http://141.218.60.56/~jnz1568/getInfo.php?workbook=10_05.xlsx&amp;sheet=U0&amp;row=10076&amp;col=6&amp;number=4.2&amp;sourceID=14","4.2")</f>
        <v>4.2</v>
      </c>
      <c r="G10076" s="4" t="str">
        <f>HYPERLINK("http://141.218.60.56/~jnz1568/getInfo.php?workbook=10_05.xlsx&amp;sheet=U0&amp;row=10076&amp;col=7&amp;number=0.000468&amp;sourceID=14","0.000468")</f>
        <v>0.000468</v>
      </c>
    </row>
    <row r="10077" spans="1:7">
      <c r="A10077" s="3"/>
      <c r="B10077" s="3"/>
      <c r="C10077" s="3"/>
      <c r="D10077" s="3"/>
      <c r="E10077" s="3">
        <v>14</v>
      </c>
      <c r="F10077" s="4" t="str">
        <f>HYPERLINK("http://141.218.60.56/~jnz1568/getInfo.php?workbook=10_05.xlsx&amp;sheet=U0&amp;row=10077&amp;col=6&amp;number=4.3&amp;sourceID=14","4.3")</f>
        <v>4.3</v>
      </c>
      <c r="G10077" s="4" t="str">
        <f>HYPERLINK("http://141.218.60.56/~jnz1568/getInfo.php?workbook=10_05.xlsx&amp;sheet=U0&amp;row=10077&amp;col=7&amp;number=0.000449&amp;sourceID=14","0.000449")</f>
        <v>0.000449</v>
      </c>
    </row>
    <row r="10078" spans="1:7">
      <c r="A10078" s="3"/>
      <c r="B10078" s="3"/>
      <c r="C10078" s="3"/>
      <c r="D10078" s="3"/>
      <c r="E10078" s="3">
        <v>15</v>
      </c>
      <c r="F10078" s="4" t="str">
        <f>HYPERLINK("http://141.218.60.56/~jnz1568/getInfo.php?workbook=10_05.xlsx&amp;sheet=U0&amp;row=10078&amp;col=6&amp;number=4.4&amp;sourceID=14","4.4")</f>
        <v>4.4</v>
      </c>
      <c r="G10078" s="4" t="str">
        <f>HYPERLINK("http://141.218.60.56/~jnz1568/getInfo.php?workbook=10_05.xlsx&amp;sheet=U0&amp;row=10078&amp;col=7&amp;number=0.000433&amp;sourceID=14","0.000433")</f>
        <v>0.000433</v>
      </c>
    </row>
    <row r="10079" spans="1:7">
      <c r="A10079" s="3"/>
      <c r="B10079" s="3"/>
      <c r="C10079" s="3"/>
      <c r="D10079" s="3"/>
      <c r="E10079" s="3">
        <v>16</v>
      </c>
      <c r="F10079" s="4" t="str">
        <f>HYPERLINK("http://141.218.60.56/~jnz1568/getInfo.php?workbook=10_05.xlsx&amp;sheet=U0&amp;row=10079&amp;col=6&amp;number=4.5&amp;sourceID=14","4.5")</f>
        <v>4.5</v>
      </c>
      <c r="G10079" s="4" t="str">
        <f>HYPERLINK("http://141.218.60.56/~jnz1568/getInfo.php?workbook=10_05.xlsx&amp;sheet=U0&amp;row=10079&amp;col=7&amp;number=0.000422&amp;sourceID=14","0.000422")</f>
        <v>0.000422</v>
      </c>
    </row>
    <row r="10080" spans="1:7">
      <c r="A10080" s="3"/>
      <c r="B10080" s="3"/>
      <c r="C10080" s="3"/>
      <c r="D10080" s="3"/>
      <c r="E10080" s="3">
        <v>17</v>
      </c>
      <c r="F10080" s="4" t="str">
        <f>HYPERLINK("http://141.218.60.56/~jnz1568/getInfo.php?workbook=10_05.xlsx&amp;sheet=U0&amp;row=10080&amp;col=6&amp;number=4.6&amp;sourceID=14","4.6")</f>
        <v>4.6</v>
      </c>
      <c r="G10080" s="4" t="str">
        <f>HYPERLINK("http://141.218.60.56/~jnz1568/getInfo.php?workbook=10_05.xlsx&amp;sheet=U0&amp;row=10080&amp;col=7&amp;number=0.000415&amp;sourceID=14","0.000415")</f>
        <v>0.000415</v>
      </c>
    </row>
    <row r="10081" spans="1:7">
      <c r="A10081" s="3"/>
      <c r="B10081" s="3"/>
      <c r="C10081" s="3"/>
      <c r="D10081" s="3"/>
      <c r="E10081" s="3">
        <v>18</v>
      </c>
      <c r="F10081" s="4" t="str">
        <f>HYPERLINK("http://141.218.60.56/~jnz1568/getInfo.php?workbook=10_05.xlsx&amp;sheet=U0&amp;row=10081&amp;col=6&amp;number=4.7&amp;sourceID=14","4.7")</f>
        <v>4.7</v>
      </c>
      <c r="G10081" s="4" t="str">
        <f>HYPERLINK("http://141.218.60.56/~jnz1568/getInfo.php?workbook=10_05.xlsx&amp;sheet=U0&amp;row=10081&amp;col=7&amp;number=0.00041&amp;sourceID=14","0.00041")</f>
        <v>0.00041</v>
      </c>
    </row>
    <row r="10082" spans="1:7">
      <c r="A10082" s="3"/>
      <c r="B10082" s="3"/>
      <c r="C10082" s="3"/>
      <c r="D10082" s="3"/>
      <c r="E10082" s="3">
        <v>19</v>
      </c>
      <c r="F10082" s="4" t="str">
        <f>HYPERLINK("http://141.218.60.56/~jnz1568/getInfo.php?workbook=10_05.xlsx&amp;sheet=U0&amp;row=10082&amp;col=6&amp;number=4.8&amp;sourceID=14","4.8")</f>
        <v>4.8</v>
      </c>
      <c r="G10082" s="4" t="str">
        <f>HYPERLINK("http://141.218.60.56/~jnz1568/getInfo.php?workbook=10_05.xlsx&amp;sheet=U0&amp;row=10082&amp;col=7&amp;number=0.000401&amp;sourceID=14","0.000401")</f>
        <v>0.000401</v>
      </c>
    </row>
    <row r="10083" spans="1:7">
      <c r="A10083" s="3"/>
      <c r="B10083" s="3"/>
      <c r="C10083" s="3"/>
      <c r="D10083" s="3"/>
      <c r="E10083" s="3">
        <v>20</v>
      </c>
      <c r="F10083" s="4" t="str">
        <f>HYPERLINK("http://141.218.60.56/~jnz1568/getInfo.php?workbook=10_05.xlsx&amp;sheet=U0&amp;row=10083&amp;col=6&amp;number=4.9&amp;sourceID=14","4.9")</f>
        <v>4.9</v>
      </c>
      <c r="G10083" s="4" t="str">
        <f>HYPERLINK("http://141.218.60.56/~jnz1568/getInfo.php?workbook=10_05.xlsx&amp;sheet=U0&amp;row=10083&amp;col=7&amp;number=0.000388&amp;sourceID=14","0.000388")</f>
        <v>0.000388</v>
      </c>
    </row>
    <row r="10084" spans="1:7">
      <c r="A10084" s="3">
        <v>10</v>
      </c>
      <c r="B10084" s="3">
        <v>5</v>
      </c>
      <c r="C10084" s="3">
        <v>3</v>
      </c>
      <c r="D10084" s="3">
        <v>151</v>
      </c>
      <c r="E10084" s="3">
        <v>1</v>
      </c>
      <c r="F10084" s="4" t="str">
        <f>HYPERLINK("http://141.218.60.56/~jnz1568/getInfo.php?workbook=10_05.xlsx&amp;sheet=U0&amp;row=10084&amp;col=6&amp;number=3&amp;sourceID=14","3")</f>
        <v>3</v>
      </c>
      <c r="G10084" s="4" t="str">
        <f>HYPERLINK("http://141.218.60.56/~jnz1568/getInfo.php?workbook=10_05.xlsx&amp;sheet=U0&amp;row=10084&amp;col=7&amp;number=0.00219&amp;sourceID=14","0.00219")</f>
        <v>0.00219</v>
      </c>
    </row>
    <row r="10085" spans="1:7">
      <c r="A10085" s="3"/>
      <c r="B10085" s="3"/>
      <c r="C10085" s="3"/>
      <c r="D10085" s="3"/>
      <c r="E10085" s="3">
        <v>2</v>
      </c>
      <c r="F10085" s="4" t="str">
        <f>HYPERLINK("http://141.218.60.56/~jnz1568/getInfo.php?workbook=10_05.xlsx&amp;sheet=U0&amp;row=10085&amp;col=6&amp;number=3.1&amp;sourceID=14","3.1")</f>
        <v>3.1</v>
      </c>
      <c r="G10085" s="4" t="str">
        <f>HYPERLINK("http://141.218.60.56/~jnz1568/getInfo.php?workbook=10_05.xlsx&amp;sheet=U0&amp;row=10085&amp;col=7&amp;number=0.00219&amp;sourceID=14","0.00219")</f>
        <v>0.00219</v>
      </c>
    </row>
    <row r="10086" spans="1:7">
      <c r="A10086" s="3"/>
      <c r="B10086" s="3"/>
      <c r="C10086" s="3"/>
      <c r="D10086" s="3"/>
      <c r="E10086" s="3">
        <v>3</v>
      </c>
      <c r="F10086" s="4" t="str">
        <f>HYPERLINK("http://141.218.60.56/~jnz1568/getInfo.php?workbook=10_05.xlsx&amp;sheet=U0&amp;row=10086&amp;col=6&amp;number=3.2&amp;sourceID=14","3.2")</f>
        <v>3.2</v>
      </c>
      <c r="G10086" s="4" t="str">
        <f>HYPERLINK("http://141.218.60.56/~jnz1568/getInfo.php?workbook=10_05.xlsx&amp;sheet=U0&amp;row=10086&amp;col=7&amp;number=0.00218&amp;sourceID=14","0.00218")</f>
        <v>0.00218</v>
      </c>
    </row>
    <row r="10087" spans="1:7">
      <c r="A10087" s="3"/>
      <c r="B10087" s="3"/>
      <c r="C10087" s="3"/>
      <c r="D10087" s="3"/>
      <c r="E10087" s="3">
        <v>4</v>
      </c>
      <c r="F10087" s="4" t="str">
        <f>HYPERLINK("http://141.218.60.56/~jnz1568/getInfo.php?workbook=10_05.xlsx&amp;sheet=U0&amp;row=10087&amp;col=6&amp;number=3.3&amp;sourceID=14","3.3")</f>
        <v>3.3</v>
      </c>
      <c r="G10087" s="4" t="str">
        <f>HYPERLINK("http://141.218.60.56/~jnz1568/getInfo.php?workbook=10_05.xlsx&amp;sheet=U0&amp;row=10087&amp;col=7&amp;number=0.00218&amp;sourceID=14","0.00218")</f>
        <v>0.00218</v>
      </c>
    </row>
    <row r="10088" spans="1:7">
      <c r="A10088" s="3"/>
      <c r="B10088" s="3"/>
      <c r="C10088" s="3"/>
      <c r="D10088" s="3"/>
      <c r="E10088" s="3">
        <v>5</v>
      </c>
      <c r="F10088" s="4" t="str">
        <f>HYPERLINK("http://141.218.60.56/~jnz1568/getInfo.php?workbook=10_05.xlsx&amp;sheet=U0&amp;row=10088&amp;col=6&amp;number=3.4&amp;sourceID=14","3.4")</f>
        <v>3.4</v>
      </c>
      <c r="G10088" s="4" t="str">
        <f>HYPERLINK("http://141.218.60.56/~jnz1568/getInfo.php?workbook=10_05.xlsx&amp;sheet=U0&amp;row=10088&amp;col=7&amp;number=0.00217&amp;sourceID=14","0.00217")</f>
        <v>0.00217</v>
      </c>
    </row>
    <row r="10089" spans="1:7">
      <c r="A10089" s="3"/>
      <c r="B10089" s="3"/>
      <c r="C10089" s="3"/>
      <c r="D10089" s="3"/>
      <c r="E10089" s="3">
        <v>6</v>
      </c>
      <c r="F10089" s="4" t="str">
        <f>HYPERLINK("http://141.218.60.56/~jnz1568/getInfo.php?workbook=10_05.xlsx&amp;sheet=U0&amp;row=10089&amp;col=6&amp;number=3.5&amp;sourceID=14","3.5")</f>
        <v>3.5</v>
      </c>
      <c r="G10089" s="4" t="str">
        <f>HYPERLINK("http://141.218.60.56/~jnz1568/getInfo.php?workbook=10_05.xlsx&amp;sheet=U0&amp;row=10089&amp;col=7&amp;number=0.00217&amp;sourceID=14","0.00217")</f>
        <v>0.00217</v>
      </c>
    </row>
    <row r="10090" spans="1:7">
      <c r="A10090" s="3"/>
      <c r="B10090" s="3"/>
      <c r="C10090" s="3"/>
      <c r="D10090" s="3"/>
      <c r="E10090" s="3">
        <v>7</v>
      </c>
      <c r="F10090" s="4" t="str">
        <f>HYPERLINK("http://141.218.60.56/~jnz1568/getInfo.php?workbook=10_05.xlsx&amp;sheet=U0&amp;row=10090&amp;col=6&amp;number=3.6&amp;sourceID=14","3.6")</f>
        <v>3.6</v>
      </c>
      <c r="G10090" s="4" t="str">
        <f>HYPERLINK("http://141.218.60.56/~jnz1568/getInfo.php?workbook=10_05.xlsx&amp;sheet=U0&amp;row=10090&amp;col=7&amp;number=0.00216&amp;sourceID=14","0.00216")</f>
        <v>0.00216</v>
      </c>
    </row>
    <row r="10091" spans="1:7">
      <c r="A10091" s="3"/>
      <c r="B10091" s="3"/>
      <c r="C10091" s="3"/>
      <c r="D10091" s="3"/>
      <c r="E10091" s="3">
        <v>8</v>
      </c>
      <c r="F10091" s="4" t="str">
        <f>HYPERLINK("http://141.218.60.56/~jnz1568/getInfo.php?workbook=10_05.xlsx&amp;sheet=U0&amp;row=10091&amp;col=6&amp;number=3.7&amp;sourceID=14","3.7")</f>
        <v>3.7</v>
      </c>
      <c r="G10091" s="4" t="str">
        <f>HYPERLINK("http://141.218.60.56/~jnz1568/getInfo.php?workbook=10_05.xlsx&amp;sheet=U0&amp;row=10091&amp;col=7&amp;number=0.00215&amp;sourceID=14","0.00215")</f>
        <v>0.00215</v>
      </c>
    </row>
    <row r="10092" spans="1:7">
      <c r="A10092" s="3"/>
      <c r="B10092" s="3"/>
      <c r="C10092" s="3"/>
      <c r="D10092" s="3"/>
      <c r="E10092" s="3">
        <v>9</v>
      </c>
      <c r="F10092" s="4" t="str">
        <f>HYPERLINK("http://141.218.60.56/~jnz1568/getInfo.php?workbook=10_05.xlsx&amp;sheet=U0&amp;row=10092&amp;col=6&amp;number=3.8&amp;sourceID=14","3.8")</f>
        <v>3.8</v>
      </c>
      <c r="G10092" s="4" t="str">
        <f>HYPERLINK("http://141.218.60.56/~jnz1568/getInfo.php?workbook=10_05.xlsx&amp;sheet=U0&amp;row=10092&amp;col=7&amp;number=0.00214&amp;sourceID=14","0.00214")</f>
        <v>0.00214</v>
      </c>
    </row>
    <row r="10093" spans="1:7">
      <c r="A10093" s="3"/>
      <c r="B10093" s="3"/>
      <c r="C10093" s="3"/>
      <c r="D10093" s="3"/>
      <c r="E10093" s="3">
        <v>10</v>
      </c>
      <c r="F10093" s="4" t="str">
        <f>HYPERLINK("http://141.218.60.56/~jnz1568/getInfo.php?workbook=10_05.xlsx&amp;sheet=U0&amp;row=10093&amp;col=6&amp;number=3.9&amp;sourceID=14","3.9")</f>
        <v>3.9</v>
      </c>
      <c r="G10093" s="4" t="str">
        <f>HYPERLINK("http://141.218.60.56/~jnz1568/getInfo.php?workbook=10_05.xlsx&amp;sheet=U0&amp;row=10093&amp;col=7&amp;number=0.00213&amp;sourceID=14","0.00213")</f>
        <v>0.00213</v>
      </c>
    </row>
    <row r="10094" spans="1:7">
      <c r="A10094" s="3"/>
      <c r="B10094" s="3"/>
      <c r="C10094" s="3"/>
      <c r="D10094" s="3"/>
      <c r="E10094" s="3">
        <v>11</v>
      </c>
      <c r="F10094" s="4" t="str">
        <f>HYPERLINK("http://141.218.60.56/~jnz1568/getInfo.php?workbook=10_05.xlsx&amp;sheet=U0&amp;row=10094&amp;col=6&amp;number=4&amp;sourceID=14","4")</f>
        <v>4</v>
      </c>
      <c r="G10094" s="4" t="str">
        <f>HYPERLINK("http://141.218.60.56/~jnz1568/getInfo.php?workbook=10_05.xlsx&amp;sheet=U0&amp;row=10094&amp;col=7&amp;number=0.00212&amp;sourceID=14","0.00212")</f>
        <v>0.00212</v>
      </c>
    </row>
    <row r="10095" spans="1:7">
      <c r="A10095" s="3"/>
      <c r="B10095" s="3"/>
      <c r="C10095" s="3"/>
      <c r="D10095" s="3"/>
      <c r="E10095" s="3">
        <v>12</v>
      </c>
      <c r="F10095" s="4" t="str">
        <f>HYPERLINK("http://141.218.60.56/~jnz1568/getInfo.php?workbook=10_05.xlsx&amp;sheet=U0&amp;row=10095&amp;col=6&amp;number=4.1&amp;sourceID=14","4.1")</f>
        <v>4.1</v>
      </c>
      <c r="G10095" s="4" t="str">
        <f>HYPERLINK("http://141.218.60.56/~jnz1568/getInfo.php?workbook=10_05.xlsx&amp;sheet=U0&amp;row=10095&amp;col=7&amp;number=0.0021&amp;sourceID=14","0.0021")</f>
        <v>0.0021</v>
      </c>
    </row>
    <row r="10096" spans="1:7">
      <c r="A10096" s="3"/>
      <c r="B10096" s="3"/>
      <c r="C10096" s="3"/>
      <c r="D10096" s="3"/>
      <c r="E10096" s="3">
        <v>13</v>
      </c>
      <c r="F10096" s="4" t="str">
        <f>HYPERLINK("http://141.218.60.56/~jnz1568/getInfo.php?workbook=10_05.xlsx&amp;sheet=U0&amp;row=10096&amp;col=6&amp;number=4.2&amp;sourceID=14","4.2")</f>
        <v>4.2</v>
      </c>
      <c r="G10096" s="4" t="str">
        <f>HYPERLINK("http://141.218.60.56/~jnz1568/getInfo.php?workbook=10_05.xlsx&amp;sheet=U0&amp;row=10096&amp;col=7&amp;number=0.00208&amp;sourceID=14","0.00208")</f>
        <v>0.00208</v>
      </c>
    </row>
    <row r="10097" spans="1:7">
      <c r="A10097" s="3"/>
      <c r="B10097" s="3"/>
      <c r="C10097" s="3"/>
      <c r="D10097" s="3"/>
      <c r="E10097" s="3">
        <v>14</v>
      </c>
      <c r="F10097" s="4" t="str">
        <f>HYPERLINK("http://141.218.60.56/~jnz1568/getInfo.php?workbook=10_05.xlsx&amp;sheet=U0&amp;row=10097&amp;col=6&amp;number=4.3&amp;sourceID=14","4.3")</f>
        <v>4.3</v>
      </c>
      <c r="G10097" s="4" t="str">
        <f>HYPERLINK("http://141.218.60.56/~jnz1568/getInfo.php?workbook=10_05.xlsx&amp;sheet=U0&amp;row=10097&amp;col=7&amp;number=0.00206&amp;sourceID=14","0.00206")</f>
        <v>0.00206</v>
      </c>
    </row>
    <row r="10098" spans="1:7">
      <c r="A10098" s="3"/>
      <c r="B10098" s="3"/>
      <c r="C10098" s="3"/>
      <c r="D10098" s="3"/>
      <c r="E10098" s="3">
        <v>15</v>
      </c>
      <c r="F10098" s="4" t="str">
        <f>HYPERLINK("http://141.218.60.56/~jnz1568/getInfo.php?workbook=10_05.xlsx&amp;sheet=U0&amp;row=10098&amp;col=6&amp;number=4.4&amp;sourceID=14","4.4")</f>
        <v>4.4</v>
      </c>
      <c r="G10098" s="4" t="str">
        <f>HYPERLINK("http://141.218.60.56/~jnz1568/getInfo.php?workbook=10_05.xlsx&amp;sheet=U0&amp;row=10098&amp;col=7&amp;number=0.00204&amp;sourceID=14","0.00204")</f>
        <v>0.00204</v>
      </c>
    </row>
    <row r="10099" spans="1:7">
      <c r="A10099" s="3"/>
      <c r="B10099" s="3"/>
      <c r="C10099" s="3"/>
      <c r="D10099" s="3"/>
      <c r="E10099" s="3">
        <v>16</v>
      </c>
      <c r="F10099" s="4" t="str">
        <f>HYPERLINK("http://141.218.60.56/~jnz1568/getInfo.php?workbook=10_05.xlsx&amp;sheet=U0&amp;row=10099&amp;col=6&amp;number=4.5&amp;sourceID=14","4.5")</f>
        <v>4.5</v>
      </c>
      <c r="G10099" s="4" t="str">
        <f>HYPERLINK("http://141.218.60.56/~jnz1568/getInfo.php?workbook=10_05.xlsx&amp;sheet=U0&amp;row=10099&amp;col=7&amp;number=0.00203&amp;sourceID=14","0.00203")</f>
        <v>0.00203</v>
      </c>
    </row>
    <row r="10100" spans="1:7">
      <c r="A10100" s="3"/>
      <c r="B10100" s="3"/>
      <c r="C10100" s="3"/>
      <c r="D10100" s="3"/>
      <c r="E10100" s="3">
        <v>17</v>
      </c>
      <c r="F10100" s="4" t="str">
        <f>HYPERLINK("http://141.218.60.56/~jnz1568/getInfo.php?workbook=10_05.xlsx&amp;sheet=U0&amp;row=10100&amp;col=6&amp;number=4.6&amp;sourceID=14","4.6")</f>
        <v>4.6</v>
      </c>
      <c r="G10100" s="4" t="str">
        <f>HYPERLINK("http://141.218.60.56/~jnz1568/getInfo.php?workbook=10_05.xlsx&amp;sheet=U0&amp;row=10100&amp;col=7&amp;number=0.00201&amp;sourceID=14","0.00201")</f>
        <v>0.00201</v>
      </c>
    </row>
    <row r="10101" spans="1:7">
      <c r="A10101" s="3"/>
      <c r="B10101" s="3"/>
      <c r="C10101" s="3"/>
      <c r="D10101" s="3"/>
      <c r="E10101" s="3">
        <v>18</v>
      </c>
      <c r="F10101" s="4" t="str">
        <f>HYPERLINK("http://141.218.60.56/~jnz1568/getInfo.php?workbook=10_05.xlsx&amp;sheet=U0&amp;row=10101&amp;col=6&amp;number=4.7&amp;sourceID=14","4.7")</f>
        <v>4.7</v>
      </c>
      <c r="G10101" s="4" t="str">
        <f>HYPERLINK("http://141.218.60.56/~jnz1568/getInfo.php?workbook=10_05.xlsx&amp;sheet=U0&amp;row=10101&amp;col=7&amp;number=0.00199&amp;sourceID=14","0.00199")</f>
        <v>0.00199</v>
      </c>
    </row>
    <row r="10102" spans="1:7">
      <c r="A10102" s="3"/>
      <c r="B10102" s="3"/>
      <c r="C10102" s="3"/>
      <c r="D10102" s="3"/>
      <c r="E10102" s="3">
        <v>19</v>
      </c>
      <c r="F10102" s="4" t="str">
        <f>HYPERLINK("http://141.218.60.56/~jnz1568/getInfo.php?workbook=10_05.xlsx&amp;sheet=U0&amp;row=10102&amp;col=6&amp;number=4.8&amp;sourceID=14","4.8")</f>
        <v>4.8</v>
      </c>
      <c r="G10102" s="4" t="str">
        <f>HYPERLINK("http://141.218.60.56/~jnz1568/getInfo.php?workbook=10_05.xlsx&amp;sheet=U0&amp;row=10102&amp;col=7&amp;number=0.00197&amp;sourceID=14","0.00197")</f>
        <v>0.00197</v>
      </c>
    </row>
    <row r="10103" spans="1:7">
      <c r="A10103" s="3"/>
      <c r="B10103" s="3"/>
      <c r="C10103" s="3"/>
      <c r="D10103" s="3"/>
      <c r="E10103" s="3">
        <v>20</v>
      </c>
      <c r="F10103" s="4" t="str">
        <f>HYPERLINK("http://141.218.60.56/~jnz1568/getInfo.php?workbook=10_05.xlsx&amp;sheet=U0&amp;row=10103&amp;col=6&amp;number=4.9&amp;sourceID=14","4.9")</f>
        <v>4.9</v>
      </c>
      <c r="G10103" s="4" t="str">
        <f>HYPERLINK("http://141.218.60.56/~jnz1568/getInfo.php?workbook=10_05.xlsx&amp;sheet=U0&amp;row=10103&amp;col=7&amp;number=0.00193&amp;sourceID=14","0.00193")</f>
        <v>0.00193</v>
      </c>
    </row>
    <row r="10104" spans="1:7">
      <c r="A10104" s="3">
        <v>10</v>
      </c>
      <c r="B10104" s="3">
        <v>5</v>
      </c>
      <c r="C10104" s="3">
        <v>3</v>
      </c>
      <c r="D10104" s="3">
        <v>152</v>
      </c>
      <c r="E10104" s="3">
        <v>1</v>
      </c>
      <c r="F10104" s="4" t="str">
        <f>HYPERLINK("http://141.218.60.56/~jnz1568/getInfo.php?workbook=10_05.xlsx&amp;sheet=U0&amp;row=10104&amp;col=6&amp;number=3&amp;sourceID=14","3")</f>
        <v>3</v>
      </c>
      <c r="G10104" s="4" t="str">
        <f>HYPERLINK("http://141.218.60.56/~jnz1568/getInfo.php?workbook=10_05.xlsx&amp;sheet=U0&amp;row=10104&amp;col=7&amp;number=0.0115&amp;sourceID=14","0.0115")</f>
        <v>0.0115</v>
      </c>
    </row>
    <row r="10105" spans="1:7">
      <c r="A10105" s="3"/>
      <c r="B10105" s="3"/>
      <c r="C10105" s="3"/>
      <c r="D10105" s="3"/>
      <c r="E10105" s="3">
        <v>2</v>
      </c>
      <c r="F10105" s="4" t="str">
        <f>HYPERLINK("http://141.218.60.56/~jnz1568/getInfo.php?workbook=10_05.xlsx&amp;sheet=U0&amp;row=10105&amp;col=6&amp;number=3.1&amp;sourceID=14","3.1")</f>
        <v>3.1</v>
      </c>
      <c r="G10105" s="4" t="str">
        <f>HYPERLINK("http://141.218.60.56/~jnz1568/getInfo.php?workbook=10_05.xlsx&amp;sheet=U0&amp;row=10105&amp;col=7&amp;number=0.0115&amp;sourceID=14","0.0115")</f>
        <v>0.0115</v>
      </c>
    </row>
    <row r="10106" spans="1:7">
      <c r="A10106" s="3"/>
      <c r="B10106" s="3"/>
      <c r="C10106" s="3"/>
      <c r="D10106" s="3"/>
      <c r="E10106" s="3">
        <v>3</v>
      </c>
      <c r="F10106" s="4" t="str">
        <f>HYPERLINK("http://141.218.60.56/~jnz1568/getInfo.php?workbook=10_05.xlsx&amp;sheet=U0&amp;row=10106&amp;col=6&amp;number=3.2&amp;sourceID=14","3.2")</f>
        <v>3.2</v>
      </c>
      <c r="G10106" s="4" t="str">
        <f>HYPERLINK("http://141.218.60.56/~jnz1568/getInfo.php?workbook=10_05.xlsx&amp;sheet=U0&amp;row=10106&amp;col=7&amp;number=0.0114&amp;sourceID=14","0.0114")</f>
        <v>0.0114</v>
      </c>
    </row>
    <row r="10107" spans="1:7">
      <c r="A10107" s="3"/>
      <c r="B10107" s="3"/>
      <c r="C10107" s="3"/>
      <c r="D10107" s="3"/>
      <c r="E10107" s="3">
        <v>4</v>
      </c>
      <c r="F10107" s="4" t="str">
        <f>HYPERLINK("http://141.218.60.56/~jnz1568/getInfo.php?workbook=10_05.xlsx&amp;sheet=U0&amp;row=10107&amp;col=6&amp;number=3.3&amp;sourceID=14","3.3")</f>
        <v>3.3</v>
      </c>
      <c r="G10107" s="4" t="str">
        <f>HYPERLINK("http://141.218.60.56/~jnz1568/getInfo.php?workbook=10_05.xlsx&amp;sheet=U0&amp;row=10107&amp;col=7&amp;number=0.0114&amp;sourceID=14","0.0114")</f>
        <v>0.0114</v>
      </c>
    </row>
    <row r="10108" spans="1:7">
      <c r="A10108" s="3"/>
      <c r="B10108" s="3"/>
      <c r="C10108" s="3"/>
      <c r="D10108" s="3"/>
      <c r="E10108" s="3">
        <v>5</v>
      </c>
      <c r="F10108" s="4" t="str">
        <f>HYPERLINK("http://141.218.60.56/~jnz1568/getInfo.php?workbook=10_05.xlsx&amp;sheet=U0&amp;row=10108&amp;col=6&amp;number=3.4&amp;sourceID=14","3.4")</f>
        <v>3.4</v>
      </c>
      <c r="G10108" s="4" t="str">
        <f>HYPERLINK("http://141.218.60.56/~jnz1568/getInfo.php?workbook=10_05.xlsx&amp;sheet=U0&amp;row=10108&amp;col=7&amp;number=0.0114&amp;sourceID=14","0.0114")</f>
        <v>0.0114</v>
      </c>
    </row>
    <row r="10109" spans="1:7">
      <c r="A10109" s="3"/>
      <c r="B10109" s="3"/>
      <c r="C10109" s="3"/>
      <c r="D10109" s="3"/>
      <c r="E10109" s="3">
        <v>6</v>
      </c>
      <c r="F10109" s="4" t="str">
        <f>HYPERLINK("http://141.218.60.56/~jnz1568/getInfo.php?workbook=10_05.xlsx&amp;sheet=U0&amp;row=10109&amp;col=6&amp;number=3.5&amp;sourceID=14","3.5")</f>
        <v>3.5</v>
      </c>
      <c r="G10109" s="4" t="str">
        <f>HYPERLINK("http://141.218.60.56/~jnz1568/getInfo.php?workbook=10_05.xlsx&amp;sheet=U0&amp;row=10109&amp;col=7&amp;number=0.0114&amp;sourceID=14","0.0114")</f>
        <v>0.0114</v>
      </c>
    </row>
    <row r="10110" spans="1:7">
      <c r="A10110" s="3"/>
      <c r="B10110" s="3"/>
      <c r="C10110" s="3"/>
      <c r="D10110" s="3"/>
      <c r="E10110" s="3">
        <v>7</v>
      </c>
      <c r="F10110" s="4" t="str">
        <f>HYPERLINK("http://141.218.60.56/~jnz1568/getInfo.php?workbook=10_05.xlsx&amp;sheet=U0&amp;row=10110&amp;col=6&amp;number=3.6&amp;sourceID=14","3.6")</f>
        <v>3.6</v>
      </c>
      <c r="G10110" s="4" t="str">
        <f>HYPERLINK("http://141.218.60.56/~jnz1568/getInfo.php?workbook=10_05.xlsx&amp;sheet=U0&amp;row=10110&amp;col=7&amp;number=0.0113&amp;sourceID=14","0.0113")</f>
        <v>0.0113</v>
      </c>
    </row>
    <row r="10111" spans="1:7">
      <c r="A10111" s="3"/>
      <c r="B10111" s="3"/>
      <c r="C10111" s="3"/>
      <c r="D10111" s="3"/>
      <c r="E10111" s="3">
        <v>8</v>
      </c>
      <c r="F10111" s="4" t="str">
        <f>HYPERLINK("http://141.218.60.56/~jnz1568/getInfo.php?workbook=10_05.xlsx&amp;sheet=U0&amp;row=10111&amp;col=6&amp;number=3.7&amp;sourceID=14","3.7")</f>
        <v>3.7</v>
      </c>
      <c r="G10111" s="4" t="str">
        <f>HYPERLINK("http://141.218.60.56/~jnz1568/getInfo.php?workbook=10_05.xlsx&amp;sheet=U0&amp;row=10111&amp;col=7&amp;number=0.0113&amp;sourceID=14","0.0113")</f>
        <v>0.0113</v>
      </c>
    </row>
    <row r="10112" spans="1:7">
      <c r="A10112" s="3"/>
      <c r="B10112" s="3"/>
      <c r="C10112" s="3"/>
      <c r="D10112" s="3"/>
      <c r="E10112" s="3">
        <v>9</v>
      </c>
      <c r="F10112" s="4" t="str">
        <f>HYPERLINK("http://141.218.60.56/~jnz1568/getInfo.php?workbook=10_05.xlsx&amp;sheet=U0&amp;row=10112&amp;col=6&amp;number=3.8&amp;sourceID=14","3.8")</f>
        <v>3.8</v>
      </c>
      <c r="G10112" s="4" t="str">
        <f>HYPERLINK("http://141.218.60.56/~jnz1568/getInfo.php?workbook=10_05.xlsx&amp;sheet=U0&amp;row=10112&amp;col=7&amp;number=0.0112&amp;sourceID=14","0.0112")</f>
        <v>0.0112</v>
      </c>
    </row>
    <row r="10113" spans="1:7">
      <c r="A10113" s="3"/>
      <c r="B10113" s="3"/>
      <c r="C10113" s="3"/>
      <c r="D10113" s="3"/>
      <c r="E10113" s="3">
        <v>10</v>
      </c>
      <c r="F10113" s="4" t="str">
        <f>HYPERLINK("http://141.218.60.56/~jnz1568/getInfo.php?workbook=10_05.xlsx&amp;sheet=U0&amp;row=10113&amp;col=6&amp;number=3.9&amp;sourceID=14","3.9")</f>
        <v>3.9</v>
      </c>
      <c r="G10113" s="4" t="str">
        <f>HYPERLINK("http://141.218.60.56/~jnz1568/getInfo.php?workbook=10_05.xlsx&amp;sheet=U0&amp;row=10113&amp;col=7&amp;number=0.0111&amp;sourceID=14","0.0111")</f>
        <v>0.0111</v>
      </c>
    </row>
    <row r="10114" spans="1:7">
      <c r="A10114" s="3"/>
      <c r="B10114" s="3"/>
      <c r="C10114" s="3"/>
      <c r="D10114" s="3"/>
      <c r="E10114" s="3">
        <v>11</v>
      </c>
      <c r="F10114" s="4" t="str">
        <f>HYPERLINK("http://141.218.60.56/~jnz1568/getInfo.php?workbook=10_05.xlsx&amp;sheet=U0&amp;row=10114&amp;col=6&amp;number=4&amp;sourceID=14","4")</f>
        <v>4</v>
      </c>
      <c r="G10114" s="4" t="str">
        <f>HYPERLINK("http://141.218.60.56/~jnz1568/getInfo.php?workbook=10_05.xlsx&amp;sheet=U0&amp;row=10114&amp;col=7&amp;number=0.0111&amp;sourceID=14","0.0111")</f>
        <v>0.0111</v>
      </c>
    </row>
    <row r="10115" spans="1:7">
      <c r="A10115" s="3"/>
      <c r="B10115" s="3"/>
      <c r="C10115" s="3"/>
      <c r="D10115" s="3"/>
      <c r="E10115" s="3">
        <v>12</v>
      </c>
      <c r="F10115" s="4" t="str">
        <f>HYPERLINK("http://141.218.60.56/~jnz1568/getInfo.php?workbook=10_05.xlsx&amp;sheet=U0&amp;row=10115&amp;col=6&amp;number=4.1&amp;sourceID=14","4.1")</f>
        <v>4.1</v>
      </c>
      <c r="G10115" s="4" t="str">
        <f>HYPERLINK("http://141.218.60.56/~jnz1568/getInfo.php?workbook=10_05.xlsx&amp;sheet=U0&amp;row=10115&amp;col=7&amp;number=0.0109&amp;sourceID=14","0.0109")</f>
        <v>0.0109</v>
      </c>
    </row>
    <row r="10116" spans="1:7">
      <c r="A10116" s="3"/>
      <c r="B10116" s="3"/>
      <c r="C10116" s="3"/>
      <c r="D10116" s="3"/>
      <c r="E10116" s="3">
        <v>13</v>
      </c>
      <c r="F10116" s="4" t="str">
        <f>HYPERLINK("http://141.218.60.56/~jnz1568/getInfo.php?workbook=10_05.xlsx&amp;sheet=U0&amp;row=10116&amp;col=6&amp;number=4.2&amp;sourceID=14","4.2")</f>
        <v>4.2</v>
      </c>
      <c r="G10116" s="4" t="str">
        <f>HYPERLINK("http://141.218.60.56/~jnz1568/getInfo.php?workbook=10_05.xlsx&amp;sheet=U0&amp;row=10116&amp;col=7&amp;number=0.0108&amp;sourceID=14","0.0108")</f>
        <v>0.0108</v>
      </c>
    </row>
    <row r="10117" spans="1:7">
      <c r="A10117" s="3"/>
      <c r="B10117" s="3"/>
      <c r="C10117" s="3"/>
      <c r="D10117" s="3"/>
      <c r="E10117" s="3">
        <v>14</v>
      </c>
      <c r="F10117" s="4" t="str">
        <f>HYPERLINK("http://141.218.60.56/~jnz1568/getInfo.php?workbook=10_05.xlsx&amp;sheet=U0&amp;row=10117&amp;col=6&amp;number=4.3&amp;sourceID=14","4.3")</f>
        <v>4.3</v>
      </c>
      <c r="G10117" s="4" t="str">
        <f>HYPERLINK("http://141.218.60.56/~jnz1568/getInfo.php?workbook=10_05.xlsx&amp;sheet=U0&amp;row=10117&amp;col=7&amp;number=0.0107&amp;sourceID=14","0.0107")</f>
        <v>0.0107</v>
      </c>
    </row>
    <row r="10118" spans="1:7">
      <c r="A10118" s="3"/>
      <c r="B10118" s="3"/>
      <c r="C10118" s="3"/>
      <c r="D10118" s="3"/>
      <c r="E10118" s="3">
        <v>15</v>
      </c>
      <c r="F10118" s="4" t="str">
        <f>HYPERLINK("http://141.218.60.56/~jnz1568/getInfo.php?workbook=10_05.xlsx&amp;sheet=U0&amp;row=10118&amp;col=6&amp;number=4.4&amp;sourceID=14","4.4")</f>
        <v>4.4</v>
      </c>
      <c r="G10118" s="4" t="str">
        <f>HYPERLINK("http://141.218.60.56/~jnz1568/getInfo.php?workbook=10_05.xlsx&amp;sheet=U0&amp;row=10118&amp;col=7&amp;number=0.0106&amp;sourceID=14","0.0106")</f>
        <v>0.0106</v>
      </c>
    </row>
    <row r="10119" spans="1:7">
      <c r="A10119" s="3"/>
      <c r="B10119" s="3"/>
      <c r="C10119" s="3"/>
      <c r="D10119" s="3"/>
      <c r="E10119" s="3">
        <v>16</v>
      </c>
      <c r="F10119" s="4" t="str">
        <f>HYPERLINK("http://141.218.60.56/~jnz1568/getInfo.php?workbook=10_05.xlsx&amp;sheet=U0&amp;row=10119&amp;col=6&amp;number=4.5&amp;sourceID=14","4.5")</f>
        <v>4.5</v>
      </c>
      <c r="G10119" s="4" t="str">
        <f>HYPERLINK("http://141.218.60.56/~jnz1568/getInfo.php?workbook=10_05.xlsx&amp;sheet=U0&amp;row=10119&amp;col=7&amp;number=0.0104&amp;sourceID=14","0.0104")</f>
        <v>0.0104</v>
      </c>
    </row>
    <row r="10120" spans="1:7">
      <c r="A10120" s="3"/>
      <c r="B10120" s="3"/>
      <c r="C10120" s="3"/>
      <c r="D10120" s="3"/>
      <c r="E10120" s="3">
        <v>17</v>
      </c>
      <c r="F10120" s="4" t="str">
        <f>HYPERLINK("http://141.218.60.56/~jnz1568/getInfo.php?workbook=10_05.xlsx&amp;sheet=U0&amp;row=10120&amp;col=6&amp;number=4.6&amp;sourceID=14","4.6")</f>
        <v>4.6</v>
      </c>
      <c r="G10120" s="4" t="str">
        <f>HYPERLINK("http://141.218.60.56/~jnz1568/getInfo.php?workbook=10_05.xlsx&amp;sheet=U0&amp;row=10120&amp;col=7&amp;number=0.0103&amp;sourceID=14","0.0103")</f>
        <v>0.0103</v>
      </c>
    </row>
    <row r="10121" spans="1:7">
      <c r="A10121" s="3"/>
      <c r="B10121" s="3"/>
      <c r="C10121" s="3"/>
      <c r="D10121" s="3"/>
      <c r="E10121" s="3">
        <v>18</v>
      </c>
      <c r="F10121" s="4" t="str">
        <f>HYPERLINK("http://141.218.60.56/~jnz1568/getInfo.php?workbook=10_05.xlsx&amp;sheet=U0&amp;row=10121&amp;col=6&amp;number=4.7&amp;sourceID=14","4.7")</f>
        <v>4.7</v>
      </c>
      <c r="G10121" s="4" t="str">
        <f>HYPERLINK("http://141.218.60.56/~jnz1568/getInfo.php?workbook=10_05.xlsx&amp;sheet=U0&amp;row=10121&amp;col=7&amp;number=0.0102&amp;sourceID=14","0.0102")</f>
        <v>0.0102</v>
      </c>
    </row>
    <row r="10122" spans="1:7">
      <c r="A10122" s="3"/>
      <c r="B10122" s="3"/>
      <c r="C10122" s="3"/>
      <c r="D10122" s="3"/>
      <c r="E10122" s="3">
        <v>19</v>
      </c>
      <c r="F10122" s="4" t="str">
        <f>HYPERLINK("http://141.218.60.56/~jnz1568/getInfo.php?workbook=10_05.xlsx&amp;sheet=U0&amp;row=10122&amp;col=6&amp;number=4.8&amp;sourceID=14","4.8")</f>
        <v>4.8</v>
      </c>
      <c r="G10122" s="4" t="str">
        <f>HYPERLINK("http://141.218.60.56/~jnz1568/getInfo.php?workbook=10_05.xlsx&amp;sheet=U0&amp;row=10122&amp;col=7&amp;number=0.0101&amp;sourceID=14","0.0101")</f>
        <v>0.0101</v>
      </c>
    </row>
    <row r="10123" spans="1:7">
      <c r="A10123" s="3"/>
      <c r="B10123" s="3"/>
      <c r="C10123" s="3"/>
      <c r="D10123" s="3"/>
      <c r="E10123" s="3">
        <v>20</v>
      </c>
      <c r="F10123" s="4" t="str">
        <f>HYPERLINK("http://141.218.60.56/~jnz1568/getInfo.php?workbook=10_05.xlsx&amp;sheet=U0&amp;row=10123&amp;col=6&amp;number=4.9&amp;sourceID=14","4.9")</f>
        <v>4.9</v>
      </c>
      <c r="G10123" s="4" t="str">
        <f>HYPERLINK("http://141.218.60.56/~jnz1568/getInfo.php?workbook=10_05.xlsx&amp;sheet=U0&amp;row=10123&amp;col=7&amp;number=0.00996&amp;sourceID=14","0.00996")</f>
        <v>0.00996</v>
      </c>
    </row>
    <row r="10124" spans="1:7">
      <c r="A10124" s="3">
        <v>10</v>
      </c>
      <c r="B10124" s="3">
        <v>5</v>
      </c>
      <c r="C10124" s="3">
        <v>3</v>
      </c>
      <c r="D10124" s="3">
        <v>153</v>
      </c>
      <c r="E10124" s="3">
        <v>1</v>
      </c>
      <c r="F10124" s="4" t="str">
        <f>HYPERLINK("http://141.218.60.56/~jnz1568/getInfo.php?workbook=10_05.xlsx&amp;sheet=U0&amp;row=10124&amp;col=6&amp;number=3&amp;sourceID=14","3")</f>
        <v>3</v>
      </c>
      <c r="G10124" s="4" t="str">
        <f>HYPERLINK("http://141.218.60.56/~jnz1568/getInfo.php?workbook=10_05.xlsx&amp;sheet=U0&amp;row=10124&amp;col=7&amp;number=0.00622&amp;sourceID=14","0.00622")</f>
        <v>0.00622</v>
      </c>
    </row>
    <row r="10125" spans="1:7">
      <c r="A10125" s="3"/>
      <c r="B10125" s="3"/>
      <c r="C10125" s="3"/>
      <c r="D10125" s="3"/>
      <c r="E10125" s="3">
        <v>2</v>
      </c>
      <c r="F10125" s="4" t="str">
        <f>HYPERLINK("http://141.218.60.56/~jnz1568/getInfo.php?workbook=10_05.xlsx&amp;sheet=U0&amp;row=10125&amp;col=6&amp;number=3.1&amp;sourceID=14","3.1")</f>
        <v>3.1</v>
      </c>
      <c r="G10125" s="4" t="str">
        <f>HYPERLINK("http://141.218.60.56/~jnz1568/getInfo.php?workbook=10_05.xlsx&amp;sheet=U0&amp;row=10125&amp;col=7&amp;number=0.00622&amp;sourceID=14","0.00622")</f>
        <v>0.00622</v>
      </c>
    </row>
    <row r="10126" spans="1:7">
      <c r="A10126" s="3"/>
      <c r="B10126" s="3"/>
      <c r="C10126" s="3"/>
      <c r="D10126" s="3"/>
      <c r="E10126" s="3">
        <v>3</v>
      </c>
      <c r="F10126" s="4" t="str">
        <f>HYPERLINK("http://141.218.60.56/~jnz1568/getInfo.php?workbook=10_05.xlsx&amp;sheet=U0&amp;row=10126&amp;col=6&amp;number=3.2&amp;sourceID=14","3.2")</f>
        <v>3.2</v>
      </c>
      <c r="G10126" s="4" t="str">
        <f>HYPERLINK("http://141.218.60.56/~jnz1568/getInfo.php?workbook=10_05.xlsx&amp;sheet=U0&amp;row=10126&amp;col=7&amp;number=0.00621&amp;sourceID=14","0.00621")</f>
        <v>0.00621</v>
      </c>
    </row>
    <row r="10127" spans="1:7">
      <c r="A10127" s="3"/>
      <c r="B10127" s="3"/>
      <c r="C10127" s="3"/>
      <c r="D10127" s="3"/>
      <c r="E10127" s="3">
        <v>4</v>
      </c>
      <c r="F10127" s="4" t="str">
        <f>HYPERLINK("http://141.218.60.56/~jnz1568/getInfo.php?workbook=10_05.xlsx&amp;sheet=U0&amp;row=10127&amp;col=6&amp;number=3.3&amp;sourceID=14","3.3")</f>
        <v>3.3</v>
      </c>
      <c r="G10127" s="4" t="str">
        <f>HYPERLINK("http://141.218.60.56/~jnz1568/getInfo.php?workbook=10_05.xlsx&amp;sheet=U0&amp;row=10127&amp;col=7&amp;number=0.00621&amp;sourceID=14","0.00621")</f>
        <v>0.00621</v>
      </c>
    </row>
    <row r="10128" spans="1:7">
      <c r="A10128" s="3"/>
      <c r="B10128" s="3"/>
      <c r="C10128" s="3"/>
      <c r="D10128" s="3"/>
      <c r="E10128" s="3">
        <v>5</v>
      </c>
      <c r="F10128" s="4" t="str">
        <f>HYPERLINK("http://141.218.60.56/~jnz1568/getInfo.php?workbook=10_05.xlsx&amp;sheet=U0&amp;row=10128&amp;col=6&amp;number=3.4&amp;sourceID=14","3.4")</f>
        <v>3.4</v>
      </c>
      <c r="G10128" s="4" t="str">
        <f>HYPERLINK("http://141.218.60.56/~jnz1568/getInfo.php?workbook=10_05.xlsx&amp;sheet=U0&amp;row=10128&amp;col=7&amp;number=0.0062&amp;sourceID=14","0.0062")</f>
        <v>0.0062</v>
      </c>
    </row>
    <row r="10129" spans="1:7">
      <c r="A10129" s="3"/>
      <c r="B10129" s="3"/>
      <c r="C10129" s="3"/>
      <c r="D10129" s="3"/>
      <c r="E10129" s="3">
        <v>6</v>
      </c>
      <c r="F10129" s="4" t="str">
        <f>HYPERLINK("http://141.218.60.56/~jnz1568/getInfo.php?workbook=10_05.xlsx&amp;sheet=U0&amp;row=10129&amp;col=6&amp;number=3.5&amp;sourceID=14","3.5")</f>
        <v>3.5</v>
      </c>
      <c r="G10129" s="4" t="str">
        <f>HYPERLINK("http://141.218.60.56/~jnz1568/getInfo.php?workbook=10_05.xlsx&amp;sheet=U0&amp;row=10129&amp;col=7&amp;number=0.00619&amp;sourceID=14","0.00619")</f>
        <v>0.00619</v>
      </c>
    </row>
    <row r="10130" spans="1:7">
      <c r="A10130" s="3"/>
      <c r="B10130" s="3"/>
      <c r="C10130" s="3"/>
      <c r="D10130" s="3"/>
      <c r="E10130" s="3">
        <v>7</v>
      </c>
      <c r="F10130" s="4" t="str">
        <f>HYPERLINK("http://141.218.60.56/~jnz1568/getInfo.php?workbook=10_05.xlsx&amp;sheet=U0&amp;row=10130&amp;col=6&amp;number=3.6&amp;sourceID=14","3.6")</f>
        <v>3.6</v>
      </c>
      <c r="G10130" s="4" t="str">
        <f>HYPERLINK("http://141.218.60.56/~jnz1568/getInfo.php?workbook=10_05.xlsx&amp;sheet=U0&amp;row=10130&amp;col=7&amp;number=0.00618&amp;sourceID=14","0.00618")</f>
        <v>0.00618</v>
      </c>
    </row>
    <row r="10131" spans="1:7">
      <c r="A10131" s="3"/>
      <c r="B10131" s="3"/>
      <c r="C10131" s="3"/>
      <c r="D10131" s="3"/>
      <c r="E10131" s="3">
        <v>8</v>
      </c>
      <c r="F10131" s="4" t="str">
        <f>HYPERLINK("http://141.218.60.56/~jnz1568/getInfo.php?workbook=10_05.xlsx&amp;sheet=U0&amp;row=10131&amp;col=6&amp;number=3.7&amp;sourceID=14","3.7")</f>
        <v>3.7</v>
      </c>
      <c r="G10131" s="4" t="str">
        <f>HYPERLINK("http://141.218.60.56/~jnz1568/getInfo.php?workbook=10_05.xlsx&amp;sheet=U0&amp;row=10131&amp;col=7&amp;number=0.00617&amp;sourceID=14","0.00617")</f>
        <v>0.00617</v>
      </c>
    </row>
    <row r="10132" spans="1:7">
      <c r="A10132" s="3"/>
      <c r="B10132" s="3"/>
      <c r="C10132" s="3"/>
      <c r="D10132" s="3"/>
      <c r="E10132" s="3">
        <v>9</v>
      </c>
      <c r="F10132" s="4" t="str">
        <f>HYPERLINK("http://141.218.60.56/~jnz1568/getInfo.php?workbook=10_05.xlsx&amp;sheet=U0&amp;row=10132&amp;col=6&amp;number=3.8&amp;sourceID=14","3.8")</f>
        <v>3.8</v>
      </c>
      <c r="G10132" s="4" t="str">
        <f>HYPERLINK("http://141.218.60.56/~jnz1568/getInfo.php?workbook=10_05.xlsx&amp;sheet=U0&amp;row=10132&amp;col=7&amp;number=0.00615&amp;sourceID=14","0.00615")</f>
        <v>0.00615</v>
      </c>
    </row>
    <row r="10133" spans="1:7">
      <c r="A10133" s="3"/>
      <c r="B10133" s="3"/>
      <c r="C10133" s="3"/>
      <c r="D10133" s="3"/>
      <c r="E10133" s="3">
        <v>10</v>
      </c>
      <c r="F10133" s="4" t="str">
        <f>HYPERLINK("http://141.218.60.56/~jnz1568/getInfo.php?workbook=10_05.xlsx&amp;sheet=U0&amp;row=10133&amp;col=6&amp;number=3.9&amp;sourceID=14","3.9")</f>
        <v>3.9</v>
      </c>
      <c r="G10133" s="4" t="str">
        <f>HYPERLINK("http://141.218.60.56/~jnz1568/getInfo.php?workbook=10_05.xlsx&amp;sheet=U0&amp;row=10133&amp;col=7&amp;number=0.00613&amp;sourceID=14","0.00613")</f>
        <v>0.00613</v>
      </c>
    </row>
    <row r="10134" spans="1:7">
      <c r="A10134" s="3"/>
      <c r="B10134" s="3"/>
      <c r="C10134" s="3"/>
      <c r="D10134" s="3"/>
      <c r="E10134" s="3">
        <v>11</v>
      </c>
      <c r="F10134" s="4" t="str">
        <f>HYPERLINK("http://141.218.60.56/~jnz1568/getInfo.php?workbook=10_05.xlsx&amp;sheet=U0&amp;row=10134&amp;col=6&amp;number=4&amp;sourceID=14","4")</f>
        <v>4</v>
      </c>
      <c r="G10134" s="4" t="str">
        <f>HYPERLINK("http://141.218.60.56/~jnz1568/getInfo.php?workbook=10_05.xlsx&amp;sheet=U0&amp;row=10134&amp;col=7&amp;number=0.00611&amp;sourceID=14","0.00611")</f>
        <v>0.00611</v>
      </c>
    </row>
    <row r="10135" spans="1:7">
      <c r="A10135" s="3"/>
      <c r="B10135" s="3"/>
      <c r="C10135" s="3"/>
      <c r="D10135" s="3"/>
      <c r="E10135" s="3">
        <v>12</v>
      </c>
      <c r="F10135" s="4" t="str">
        <f>HYPERLINK("http://141.218.60.56/~jnz1568/getInfo.php?workbook=10_05.xlsx&amp;sheet=U0&amp;row=10135&amp;col=6&amp;number=4.1&amp;sourceID=14","4.1")</f>
        <v>4.1</v>
      </c>
      <c r="G10135" s="4" t="str">
        <f>HYPERLINK("http://141.218.60.56/~jnz1568/getInfo.php?workbook=10_05.xlsx&amp;sheet=U0&amp;row=10135&amp;col=7&amp;number=0.00608&amp;sourceID=14","0.00608")</f>
        <v>0.00608</v>
      </c>
    </row>
    <row r="10136" spans="1:7">
      <c r="A10136" s="3"/>
      <c r="B10136" s="3"/>
      <c r="C10136" s="3"/>
      <c r="D10136" s="3"/>
      <c r="E10136" s="3">
        <v>13</v>
      </c>
      <c r="F10136" s="4" t="str">
        <f>HYPERLINK("http://141.218.60.56/~jnz1568/getInfo.php?workbook=10_05.xlsx&amp;sheet=U0&amp;row=10136&amp;col=6&amp;number=4.2&amp;sourceID=14","4.2")</f>
        <v>4.2</v>
      </c>
      <c r="G10136" s="4" t="str">
        <f>HYPERLINK("http://141.218.60.56/~jnz1568/getInfo.php?workbook=10_05.xlsx&amp;sheet=U0&amp;row=10136&amp;col=7&amp;number=0.00605&amp;sourceID=14","0.00605")</f>
        <v>0.00605</v>
      </c>
    </row>
    <row r="10137" spans="1:7">
      <c r="A10137" s="3"/>
      <c r="B10137" s="3"/>
      <c r="C10137" s="3"/>
      <c r="D10137" s="3"/>
      <c r="E10137" s="3">
        <v>14</v>
      </c>
      <c r="F10137" s="4" t="str">
        <f>HYPERLINK("http://141.218.60.56/~jnz1568/getInfo.php?workbook=10_05.xlsx&amp;sheet=U0&amp;row=10137&amp;col=6&amp;number=4.3&amp;sourceID=14","4.3")</f>
        <v>4.3</v>
      </c>
      <c r="G10137" s="4" t="str">
        <f>HYPERLINK("http://141.218.60.56/~jnz1568/getInfo.php?workbook=10_05.xlsx&amp;sheet=U0&amp;row=10137&amp;col=7&amp;number=0.00601&amp;sourceID=14","0.00601")</f>
        <v>0.00601</v>
      </c>
    </row>
    <row r="10138" spans="1:7">
      <c r="A10138" s="3"/>
      <c r="B10138" s="3"/>
      <c r="C10138" s="3"/>
      <c r="D10138" s="3"/>
      <c r="E10138" s="3">
        <v>15</v>
      </c>
      <c r="F10138" s="4" t="str">
        <f>HYPERLINK("http://141.218.60.56/~jnz1568/getInfo.php?workbook=10_05.xlsx&amp;sheet=U0&amp;row=10138&amp;col=6&amp;number=4.4&amp;sourceID=14","4.4")</f>
        <v>4.4</v>
      </c>
      <c r="G10138" s="4" t="str">
        <f>HYPERLINK("http://141.218.60.56/~jnz1568/getInfo.php?workbook=10_05.xlsx&amp;sheet=U0&amp;row=10138&amp;col=7&amp;number=0.00598&amp;sourceID=14","0.00598")</f>
        <v>0.00598</v>
      </c>
    </row>
    <row r="10139" spans="1:7">
      <c r="A10139" s="3"/>
      <c r="B10139" s="3"/>
      <c r="C10139" s="3"/>
      <c r="D10139" s="3"/>
      <c r="E10139" s="3">
        <v>16</v>
      </c>
      <c r="F10139" s="4" t="str">
        <f>HYPERLINK("http://141.218.60.56/~jnz1568/getInfo.php?workbook=10_05.xlsx&amp;sheet=U0&amp;row=10139&amp;col=6&amp;number=4.5&amp;sourceID=14","4.5")</f>
        <v>4.5</v>
      </c>
      <c r="G10139" s="4" t="str">
        <f>HYPERLINK("http://141.218.60.56/~jnz1568/getInfo.php?workbook=10_05.xlsx&amp;sheet=U0&amp;row=10139&amp;col=7&amp;number=0.00594&amp;sourceID=14","0.00594")</f>
        <v>0.00594</v>
      </c>
    </row>
    <row r="10140" spans="1:7">
      <c r="A10140" s="3"/>
      <c r="B10140" s="3"/>
      <c r="C10140" s="3"/>
      <c r="D10140" s="3"/>
      <c r="E10140" s="3">
        <v>17</v>
      </c>
      <c r="F10140" s="4" t="str">
        <f>HYPERLINK("http://141.218.60.56/~jnz1568/getInfo.php?workbook=10_05.xlsx&amp;sheet=U0&amp;row=10140&amp;col=6&amp;number=4.6&amp;sourceID=14","4.6")</f>
        <v>4.6</v>
      </c>
      <c r="G10140" s="4" t="str">
        <f>HYPERLINK("http://141.218.60.56/~jnz1568/getInfo.php?workbook=10_05.xlsx&amp;sheet=U0&amp;row=10140&amp;col=7&amp;number=0.00591&amp;sourceID=14","0.00591")</f>
        <v>0.00591</v>
      </c>
    </row>
    <row r="10141" spans="1:7">
      <c r="A10141" s="3"/>
      <c r="B10141" s="3"/>
      <c r="C10141" s="3"/>
      <c r="D10141" s="3"/>
      <c r="E10141" s="3">
        <v>18</v>
      </c>
      <c r="F10141" s="4" t="str">
        <f>HYPERLINK("http://141.218.60.56/~jnz1568/getInfo.php?workbook=10_05.xlsx&amp;sheet=U0&amp;row=10141&amp;col=6&amp;number=4.7&amp;sourceID=14","4.7")</f>
        <v>4.7</v>
      </c>
      <c r="G10141" s="4" t="str">
        <f>HYPERLINK("http://141.218.60.56/~jnz1568/getInfo.php?workbook=10_05.xlsx&amp;sheet=U0&amp;row=10141&amp;col=7&amp;number=0.00587&amp;sourceID=14","0.00587")</f>
        <v>0.00587</v>
      </c>
    </row>
    <row r="10142" spans="1:7">
      <c r="A10142" s="3"/>
      <c r="B10142" s="3"/>
      <c r="C10142" s="3"/>
      <c r="D10142" s="3"/>
      <c r="E10142" s="3">
        <v>19</v>
      </c>
      <c r="F10142" s="4" t="str">
        <f>HYPERLINK("http://141.218.60.56/~jnz1568/getInfo.php?workbook=10_05.xlsx&amp;sheet=U0&amp;row=10142&amp;col=6&amp;number=4.8&amp;sourceID=14","4.8")</f>
        <v>4.8</v>
      </c>
      <c r="G10142" s="4" t="str">
        <f>HYPERLINK("http://141.218.60.56/~jnz1568/getInfo.php?workbook=10_05.xlsx&amp;sheet=U0&amp;row=10142&amp;col=7&amp;number=0.00582&amp;sourceID=14","0.00582")</f>
        <v>0.00582</v>
      </c>
    </row>
    <row r="10143" spans="1:7">
      <c r="A10143" s="3"/>
      <c r="B10143" s="3"/>
      <c r="C10143" s="3"/>
      <c r="D10143" s="3"/>
      <c r="E10143" s="3">
        <v>20</v>
      </c>
      <c r="F10143" s="4" t="str">
        <f>HYPERLINK("http://141.218.60.56/~jnz1568/getInfo.php?workbook=10_05.xlsx&amp;sheet=U0&amp;row=10143&amp;col=6&amp;number=4.9&amp;sourceID=14","4.9")</f>
        <v>4.9</v>
      </c>
      <c r="G10143" s="4" t="str">
        <f>HYPERLINK("http://141.218.60.56/~jnz1568/getInfo.php?workbook=10_05.xlsx&amp;sheet=U0&amp;row=10143&amp;col=7&amp;number=0.00576&amp;sourceID=14","0.00576")</f>
        <v>0.00576</v>
      </c>
    </row>
    <row r="10144" spans="1:7">
      <c r="A10144" s="3">
        <v>10</v>
      </c>
      <c r="B10144" s="3">
        <v>5</v>
      </c>
      <c r="C10144" s="3">
        <v>3</v>
      </c>
      <c r="D10144" s="3">
        <v>154</v>
      </c>
      <c r="E10144" s="3">
        <v>1</v>
      </c>
      <c r="F10144" s="4" t="str">
        <f>HYPERLINK("http://141.218.60.56/~jnz1568/getInfo.php?workbook=10_05.xlsx&amp;sheet=U0&amp;row=10144&amp;col=6&amp;number=3&amp;sourceID=14","3")</f>
        <v>3</v>
      </c>
      <c r="G10144" s="4" t="str">
        <f>HYPERLINK("http://141.218.60.56/~jnz1568/getInfo.php?workbook=10_05.xlsx&amp;sheet=U0&amp;row=10144&amp;col=7&amp;number=0.000531&amp;sourceID=14","0.000531")</f>
        <v>0.000531</v>
      </c>
    </row>
    <row r="10145" spans="1:7">
      <c r="A10145" s="3"/>
      <c r="B10145" s="3"/>
      <c r="C10145" s="3"/>
      <c r="D10145" s="3"/>
      <c r="E10145" s="3">
        <v>2</v>
      </c>
      <c r="F10145" s="4" t="str">
        <f>HYPERLINK("http://141.218.60.56/~jnz1568/getInfo.php?workbook=10_05.xlsx&amp;sheet=U0&amp;row=10145&amp;col=6&amp;number=3.1&amp;sourceID=14","3.1")</f>
        <v>3.1</v>
      </c>
      <c r="G10145" s="4" t="str">
        <f>HYPERLINK("http://141.218.60.56/~jnz1568/getInfo.php?workbook=10_05.xlsx&amp;sheet=U0&amp;row=10145&amp;col=7&amp;number=0.000531&amp;sourceID=14","0.000531")</f>
        <v>0.000531</v>
      </c>
    </row>
    <row r="10146" spans="1:7">
      <c r="A10146" s="3"/>
      <c r="B10146" s="3"/>
      <c r="C10146" s="3"/>
      <c r="D10146" s="3"/>
      <c r="E10146" s="3">
        <v>3</v>
      </c>
      <c r="F10146" s="4" t="str">
        <f>HYPERLINK("http://141.218.60.56/~jnz1568/getInfo.php?workbook=10_05.xlsx&amp;sheet=U0&amp;row=10146&amp;col=6&amp;number=3.2&amp;sourceID=14","3.2")</f>
        <v>3.2</v>
      </c>
      <c r="G10146" s="4" t="str">
        <f>HYPERLINK("http://141.218.60.56/~jnz1568/getInfo.php?workbook=10_05.xlsx&amp;sheet=U0&amp;row=10146&amp;col=7&amp;number=0.000531&amp;sourceID=14","0.000531")</f>
        <v>0.000531</v>
      </c>
    </row>
    <row r="10147" spans="1:7">
      <c r="A10147" s="3"/>
      <c r="B10147" s="3"/>
      <c r="C10147" s="3"/>
      <c r="D10147" s="3"/>
      <c r="E10147" s="3">
        <v>4</v>
      </c>
      <c r="F10147" s="4" t="str">
        <f>HYPERLINK("http://141.218.60.56/~jnz1568/getInfo.php?workbook=10_05.xlsx&amp;sheet=U0&amp;row=10147&amp;col=6&amp;number=3.3&amp;sourceID=14","3.3")</f>
        <v>3.3</v>
      </c>
      <c r="G10147" s="4" t="str">
        <f>HYPERLINK("http://141.218.60.56/~jnz1568/getInfo.php?workbook=10_05.xlsx&amp;sheet=U0&amp;row=10147&amp;col=7&amp;number=0.000531&amp;sourceID=14","0.000531")</f>
        <v>0.000531</v>
      </c>
    </row>
    <row r="10148" spans="1:7">
      <c r="A10148" s="3"/>
      <c r="B10148" s="3"/>
      <c r="C10148" s="3"/>
      <c r="D10148" s="3"/>
      <c r="E10148" s="3">
        <v>5</v>
      </c>
      <c r="F10148" s="4" t="str">
        <f>HYPERLINK("http://141.218.60.56/~jnz1568/getInfo.php?workbook=10_05.xlsx&amp;sheet=U0&amp;row=10148&amp;col=6&amp;number=3.4&amp;sourceID=14","3.4")</f>
        <v>3.4</v>
      </c>
      <c r="G10148" s="4" t="str">
        <f>HYPERLINK("http://141.218.60.56/~jnz1568/getInfo.php?workbook=10_05.xlsx&amp;sheet=U0&amp;row=10148&amp;col=7&amp;number=0.00053&amp;sourceID=14","0.00053")</f>
        <v>0.00053</v>
      </c>
    </row>
    <row r="10149" spans="1:7">
      <c r="A10149" s="3"/>
      <c r="B10149" s="3"/>
      <c r="C10149" s="3"/>
      <c r="D10149" s="3"/>
      <c r="E10149" s="3">
        <v>6</v>
      </c>
      <c r="F10149" s="4" t="str">
        <f>HYPERLINK("http://141.218.60.56/~jnz1568/getInfo.php?workbook=10_05.xlsx&amp;sheet=U0&amp;row=10149&amp;col=6&amp;number=3.5&amp;sourceID=14","3.5")</f>
        <v>3.5</v>
      </c>
      <c r="G10149" s="4" t="str">
        <f>HYPERLINK("http://141.218.60.56/~jnz1568/getInfo.php?workbook=10_05.xlsx&amp;sheet=U0&amp;row=10149&amp;col=7&amp;number=0.00053&amp;sourceID=14","0.00053")</f>
        <v>0.00053</v>
      </c>
    </row>
    <row r="10150" spans="1:7">
      <c r="A10150" s="3"/>
      <c r="B10150" s="3"/>
      <c r="C10150" s="3"/>
      <c r="D10150" s="3"/>
      <c r="E10150" s="3">
        <v>7</v>
      </c>
      <c r="F10150" s="4" t="str">
        <f>HYPERLINK("http://141.218.60.56/~jnz1568/getInfo.php?workbook=10_05.xlsx&amp;sheet=U0&amp;row=10150&amp;col=6&amp;number=3.6&amp;sourceID=14","3.6")</f>
        <v>3.6</v>
      </c>
      <c r="G10150" s="4" t="str">
        <f>HYPERLINK("http://141.218.60.56/~jnz1568/getInfo.php?workbook=10_05.xlsx&amp;sheet=U0&amp;row=10150&amp;col=7&amp;number=0.00053&amp;sourceID=14","0.00053")</f>
        <v>0.00053</v>
      </c>
    </row>
    <row r="10151" spans="1:7">
      <c r="A10151" s="3"/>
      <c r="B10151" s="3"/>
      <c r="C10151" s="3"/>
      <c r="D10151" s="3"/>
      <c r="E10151" s="3">
        <v>8</v>
      </c>
      <c r="F10151" s="4" t="str">
        <f>HYPERLINK("http://141.218.60.56/~jnz1568/getInfo.php?workbook=10_05.xlsx&amp;sheet=U0&amp;row=10151&amp;col=6&amp;number=3.7&amp;sourceID=14","3.7")</f>
        <v>3.7</v>
      </c>
      <c r="G10151" s="4" t="str">
        <f>HYPERLINK("http://141.218.60.56/~jnz1568/getInfo.php?workbook=10_05.xlsx&amp;sheet=U0&amp;row=10151&amp;col=7&amp;number=0.00053&amp;sourceID=14","0.00053")</f>
        <v>0.00053</v>
      </c>
    </row>
    <row r="10152" spans="1:7">
      <c r="A10152" s="3"/>
      <c r="B10152" s="3"/>
      <c r="C10152" s="3"/>
      <c r="D10152" s="3"/>
      <c r="E10152" s="3">
        <v>9</v>
      </c>
      <c r="F10152" s="4" t="str">
        <f>HYPERLINK("http://141.218.60.56/~jnz1568/getInfo.php?workbook=10_05.xlsx&amp;sheet=U0&amp;row=10152&amp;col=6&amp;number=3.8&amp;sourceID=14","3.8")</f>
        <v>3.8</v>
      </c>
      <c r="G10152" s="4" t="str">
        <f>HYPERLINK("http://141.218.60.56/~jnz1568/getInfo.php?workbook=10_05.xlsx&amp;sheet=U0&amp;row=10152&amp;col=7&amp;number=0.00053&amp;sourceID=14","0.00053")</f>
        <v>0.00053</v>
      </c>
    </row>
    <row r="10153" spans="1:7">
      <c r="A10153" s="3"/>
      <c r="B10153" s="3"/>
      <c r="C10153" s="3"/>
      <c r="D10153" s="3"/>
      <c r="E10153" s="3">
        <v>10</v>
      </c>
      <c r="F10153" s="4" t="str">
        <f>HYPERLINK("http://141.218.60.56/~jnz1568/getInfo.php?workbook=10_05.xlsx&amp;sheet=U0&amp;row=10153&amp;col=6&amp;number=3.9&amp;sourceID=14","3.9")</f>
        <v>3.9</v>
      </c>
      <c r="G10153" s="4" t="str">
        <f>HYPERLINK("http://141.218.60.56/~jnz1568/getInfo.php?workbook=10_05.xlsx&amp;sheet=U0&amp;row=10153&amp;col=7&amp;number=0.000529&amp;sourceID=14","0.000529")</f>
        <v>0.000529</v>
      </c>
    </row>
    <row r="10154" spans="1:7">
      <c r="A10154" s="3"/>
      <c r="B10154" s="3"/>
      <c r="C10154" s="3"/>
      <c r="D10154" s="3"/>
      <c r="E10154" s="3">
        <v>11</v>
      </c>
      <c r="F10154" s="4" t="str">
        <f>HYPERLINK("http://141.218.60.56/~jnz1568/getInfo.php?workbook=10_05.xlsx&amp;sheet=U0&amp;row=10154&amp;col=6&amp;number=4&amp;sourceID=14","4")</f>
        <v>4</v>
      </c>
      <c r="G10154" s="4" t="str">
        <f>HYPERLINK("http://141.218.60.56/~jnz1568/getInfo.php?workbook=10_05.xlsx&amp;sheet=U0&amp;row=10154&amp;col=7&amp;number=0.000529&amp;sourceID=14","0.000529")</f>
        <v>0.000529</v>
      </c>
    </row>
    <row r="10155" spans="1:7">
      <c r="A10155" s="3"/>
      <c r="B10155" s="3"/>
      <c r="C10155" s="3"/>
      <c r="D10155" s="3"/>
      <c r="E10155" s="3">
        <v>12</v>
      </c>
      <c r="F10155" s="4" t="str">
        <f>HYPERLINK("http://141.218.60.56/~jnz1568/getInfo.php?workbook=10_05.xlsx&amp;sheet=U0&amp;row=10155&amp;col=6&amp;number=4.1&amp;sourceID=14","4.1")</f>
        <v>4.1</v>
      </c>
      <c r="G10155" s="4" t="str">
        <f>HYPERLINK("http://141.218.60.56/~jnz1568/getInfo.php?workbook=10_05.xlsx&amp;sheet=U0&amp;row=10155&amp;col=7&amp;number=0.000528&amp;sourceID=14","0.000528")</f>
        <v>0.000528</v>
      </c>
    </row>
    <row r="10156" spans="1:7">
      <c r="A10156" s="3"/>
      <c r="B10156" s="3"/>
      <c r="C10156" s="3"/>
      <c r="D10156" s="3"/>
      <c r="E10156" s="3">
        <v>13</v>
      </c>
      <c r="F10156" s="4" t="str">
        <f>HYPERLINK("http://141.218.60.56/~jnz1568/getInfo.php?workbook=10_05.xlsx&amp;sheet=U0&amp;row=10156&amp;col=6&amp;number=4.2&amp;sourceID=14","4.2")</f>
        <v>4.2</v>
      </c>
      <c r="G10156" s="4" t="str">
        <f>HYPERLINK("http://141.218.60.56/~jnz1568/getInfo.php?workbook=10_05.xlsx&amp;sheet=U0&amp;row=10156&amp;col=7&amp;number=0.000527&amp;sourceID=14","0.000527")</f>
        <v>0.000527</v>
      </c>
    </row>
    <row r="10157" spans="1:7">
      <c r="A10157" s="3"/>
      <c r="B10157" s="3"/>
      <c r="C10157" s="3"/>
      <c r="D10157" s="3"/>
      <c r="E10157" s="3">
        <v>14</v>
      </c>
      <c r="F10157" s="4" t="str">
        <f>HYPERLINK("http://141.218.60.56/~jnz1568/getInfo.php?workbook=10_05.xlsx&amp;sheet=U0&amp;row=10157&amp;col=6&amp;number=4.3&amp;sourceID=14","4.3")</f>
        <v>4.3</v>
      </c>
      <c r="G10157" s="4" t="str">
        <f>HYPERLINK("http://141.218.60.56/~jnz1568/getInfo.php?workbook=10_05.xlsx&amp;sheet=U0&amp;row=10157&amp;col=7&amp;number=0.000524&amp;sourceID=14","0.000524")</f>
        <v>0.000524</v>
      </c>
    </row>
    <row r="10158" spans="1:7">
      <c r="A10158" s="3"/>
      <c r="B10158" s="3"/>
      <c r="C10158" s="3"/>
      <c r="D10158" s="3"/>
      <c r="E10158" s="3">
        <v>15</v>
      </c>
      <c r="F10158" s="4" t="str">
        <f>HYPERLINK("http://141.218.60.56/~jnz1568/getInfo.php?workbook=10_05.xlsx&amp;sheet=U0&amp;row=10158&amp;col=6&amp;number=4.4&amp;sourceID=14","4.4")</f>
        <v>4.4</v>
      </c>
      <c r="G10158" s="4" t="str">
        <f>HYPERLINK("http://141.218.60.56/~jnz1568/getInfo.php?workbook=10_05.xlsx&amp;sheet=U0&amp;row=10158&amp;col=7&amp;number=0.000521&amp;sourceID=14","0.000521")</f>
        <v>0.000521</v>
      </c>
    </row>
    <row r="10159" spans="1:7">
      <c r="A10159" s="3"/>
      <c r="B10159" s="3"/>
      <c r="C10159" s="3"/>
      <c r="D10159" s="3"/>
      <c r="E10159" s="3">
        <v>16</v>
      </c>
      <c r="F10159" s="4" t="str">
        <f>HYPERLINK("http://141.218.60.56/~jnz1568/getInfo.php?workbook=10_05.xlsx&amp;sheet=U0&amp;row=10159&amp;col=6&amp;number=4.5&amp;sourceID=14","4.5")</f>
        <v>4.5</v>
      </c>
      <c r="G10159" s="4" t="str">
        <f>HYPERLINK("http://141.218.60.56/~jnz1568/getInfo.php?workbook=10_05.xlsx&amp;sheet=U0&amp;row=10159&amp;col=7&amp;number=0.000515&amp;sourceID=14","0.000515")</f>
        <v>0.000515</v>
      </c>
    </row>
    <row r="10160" spans="1:7">
      <c r="A10160" s="3"/>
      <c r="B10160" s="3"/>
      <c r="C10160" s="3"/>
      <c r="D10160" s="3"/>
      <c r="E10160" s="3">
        <v>17</v>
      </c>
      <c r="F10160" s="4" t="str">
        <f>HYPERLINK("http://141.218.60.56/~jnz1568/getInfo.php?workbook=10_05.xlsx&amp;sheet=U0&amp;row=10160&amp;col=6&amp;number=4.6&amp;sourceID=14","4.6")</f>
        <v>4.6</v>
      </c>
      <c r="G10160" s="4" t="str">
        <f>HYPERLINK("http://141.218.60.56/~jnz1568/getInfo.php?workbook=10_05.xlsx&amp;sheet=U0&amp;row=10160&amp;col=7&amp;number=0.000508&amp;sourceID=14","0.000508")</f>
        <v>0.000508</v>
      </c>
    </row>
    <row r="10161" spans="1:7">
      <c r="A10161" s="3"/>
      <c r="B10161" s="3"/>
      <c r="C10161" s="3"/>
      <c r="D10161" s="3"/>
      <c r="E10161" s="3">
        <v>18</v>
      </c>
      <c r="F10161" s="4" t="str">
        <f>HYPERLINK("http://141.218.60.56/~jnz1568/getInfo.php?workbook=10_05.xlsx&amp;sheet=U0&amp;row=10161&amp;col=6&amp;number=4.7&amp;sourceID=14","4.7")</f>
        <v>4.7</v>
      </c>
      <c r="G10161" s="4" t="str">
        <f>HYPERLINK("http://141.218.60.56/~jnz1568/getInfo.php?workbook=10_05.xlsx&amp;sheet=U0&amp;row=10161&amp;col=7&amp;number=0.000501&amp;sourceID=14","0.000501")</f>
        <v>0.000501</v>
      </c>
    </row>
    <row r="10162" spans="1:7">
      <c r="A10162" s="3"/>
      <c r="B10162" s="3"/>
      <c r="C10162" s="3"/>
      <c r="D10162" s="3"/>
      <c r="E10162" s="3">
        <v>19</v>
      </c>
      <c r="F10162" s="4" t="str">
        <f>HYPERLINK("http://141.218.60.56/~jnz1568/getInfo.php?workbook=10_05.xlsx&amp;sheet=U0&amp;row=10162&amp;col=6&amp;number=4.8&amp;sourceID=14","4.8")</f>
        <v>4.8</v>
      </c>
      <c r="G10162" s="4" t="str">
        <f>HYPERLINK("http://141.218.60.56/~jnz1568/getInfo.php?workbook=10_05.xlsx&amp;sheet=U0&amp;row=10162&amp;col=7&amp;number=0.000494&amp;sourceID=14","0.000494")</f>
        <v>0.000494</v>
      </c>
    </row>
    <row r="10163" spans="1:7">
      <c r="A10163" s="3"/>
      <c r="B10163" s="3"/>
      <c r="C10163" s="3"/>
      <c r="D10163" s="3"/>
      <c r="E10163" s="3">
        <v>20</v>
      </c>
      <c r="F10163" s="4" t="str">
        <f>HYPERLINK("http://141.218.60.56/~jnz1568/getInfo.php?workbook=10_05.xlsx&amp;sheet=U0&amp;row=10163&amp;col=6&amp;number=4.9&amp;sourceID=14","4.9")</f>
        <v>4.9</v>
      </c>
      <c r="G10163" s="4" t="str">
        <f>HYPERLINK("http://141.218.60.56/~jnz1568/getInfo.php?workbook=10_05.xlsx&amp;sheet=U0&amp;row=10163&amp;col=7&amp;number=0.000486&amp;sourceID=14","0.000486")</f>
        <v>0.000486</v>
      </c>
    </row>
    <row r="10164" spans="1:7">
      <c r="A10164" s="3">
        <v>10</v>
      </c>
      <c r="B10164" s="3">
        <v>5</v>
      </c>
      <c r="C10164" s="3">
        <v>3</v>
      </c>
      <c r="D10164" s="3">
        <v>155</v>
      </c>
      <c r="E10164" s="3">
        <v>1</v>
      </c>
      <c r="F10164" s="4" t="str">
        <f>HYPERLINK("http://141.218.60.56/~jnz1568/getInfo.php?workbook=10_05.xlsx&amp;sheet=U0&amp;row=10164&amp;col=6&amp;number=3&amp;sourceID=14","3")</f>
        <v>3</v>
      </c>
      <c r="G10164" s="4" t="str">
        <f>HYPERLINK("http://141.218.60.56/~jnz1568/getInfo.php?workbook=10_05.xlsx&amp;sheet=U0&amp;row=10164&amp;col=7&amp;number=0.000754&amp;sourceID=14","0.000754")</f>
        <v>0.000754</v>
      </c>
    </row>
    <row r="10165" spans="1:7">
      <c r="A10165" s="3"/>
      <c r="B10165" s="3"/>
      <c r="C10165" s="3"/>
      <c r="D10165" s="3"/>
      <c r="E10165" s="3">
        <v>2</v>
      </c>
      <c r="F10165" s="4" t="str">
        <f>HYPERLINK("http://141.218.60.56/~jnz1568/getInfo.php?workbook=10_05.xlsx&amp;sheet=U0&amp;row=10165&amp;col=6&amp;number=3.1&amp;sourceID=14","3.1")</f>
        <v>3.1</v>
      </c>
      <c r="G10165" s="4" t="str">
        <f>HYPERLINK("http://141.218.60.56/~jnz1568/getInfo.php?workbook=10_05.xlsx&amp;sheet=U0&amp;row=10165&amp;col=7&amp;number=0.000754&amp;sourceID=14","0.000754")</f>
        <v>0.000754</v>
      </c>
    </row>
    <row r="10166" spans="1:7">
      <c r="A10166" s="3"/>
      <c r="B10166" s="3"/>
      <c r="C10166" s="3"/>
      <c r="D10166" s="3"/>
      <c r="E10166" s="3">
        <v>3</v>
      </c>
      <c r="F10166" s="4" t="str">
        <f>HYPERLINK("http://141.218.60.56/~jnz1568/getInfo.php?workbook=10_05.xlsx&amp;sheet=U0&amp;row=10166&amp;col=6&amp;number=3.2&amp;sourceID=14","3.2")</f>
        <v>3.2</v>
      </c>
      <c r="G10166" s="4" t="str">
        <f>HYPERLINK("http://141.218.60.56/~jnz1568/getInfo.php?workbook=10_05.xlsx&amp;sheet=U0&amp;row=10166&amp;col=7&amp;number=0.000754&amp;sourceID=14","0.000754")</f>
        <v>0.000754</v>
      </c>
    </row>
    <row r="10167" spans="1:7">
      <c r="A10167" s="3"/>
      <c r="B10167" s="3"/>
      <c r="C10167" s="3"/>
      <c r="D10167" s="3"/>
      <c r="E10167" s="3">
        <v>4</v>
      </c>
      <c r="F10167" s="4" t="str">
        <f>HYPERLINK("http://141.218.60.56/~jnz1568/getInfo.php?workbook=10_05.xlsx&amp;sheet=U0&amp;row=10167&amp;col=6&amp;number=3.3&amp;sourceID=14","3.3")</f>
        <v>3.3</v>
      </c>
      <c r="G10167" s="4" t="str">
        <f>HYPERLINK("http://141.218.60.56/~jnz1568/getInfo.php?workbook=10_05.xlsx&amp;sheet=U0&amp;row=10167&amp;col=7&amp;number=0.000755&amp;sourceID=14","0.000755")</f>
        <v>0.000755</v>
      </c>
    </row>
    <row r="10168" spans="1:7">
      <c r="A10168" s="3"/>
      <c r="B10168" s="3"/>
      <c r="C10168" s="3"/>
      <c r="D10168" s="3"/>
      <c r="E10168" s="3">
        <v>5</v>
      </c>
      <c r="F10168" s="4" t="str">
        <f>HYPERLINK("http://141.218.60.56/~jnz1568/getInfo.php?workbook=10_05.xlsx&amp;sheet=U0&amp;row=10168&amp;col=6&amp;number=3.4&amp;sourceID=14","3.4")</f>
        <v>3.4</v>
      </c>
      <c r="G10168" s="4" t="str">
        <f>HYPERLINK("http://141.218.60.56/~jnz1568/getInfo.php?workbook=10_05.xlsx&amp;sheet=U0&amp;row=10168&amp;col=7&amp;number=0.000755&amp;sourceID=14","0.000755")</f>
        <v>0.000755</v>
      </c>
    </row>
    <row r="10169" spans="1:7">
      <c r="A10169" s="3"/>
      <c r="B10169" s="3"/>
      <c r="C10169" s="3"/>
      <c r="D10169" s="3"/>
      <c r="E10169" s="3">
        <v>6</v>
      </c>
      <c r="F10169" s="4" t="str">
        <f>HYPERLINK("http://141.218.60.56/~jnz1568/getInfo.php?workbook=10_05.xlsx&amp;sheet=U0&amp;row=10169&amp;col=6&amp;number=3.5&amp;sourceID=14","3.5")</f>
        <v>3.5</v>
      </c>
      <c r="G10169" s="4" t="str">
        <f>HYPERLINK("http://141.218.60.56/~jnz1568/getInfo.php?workbook=10_05.xlsx&amp;sheet=U0&amp;row=10169&amp;col=7&amp;number=0.000755&amp;sourceID=14","0.000755")</f>
        <v>0.000755</v>
      </c>
    </row>
    <row r="10170" spans="1:7">
      <c r="A10170" s="3"/>
      <c r="B10170" s="3"/>
      <c r="C10170" s="3"/>
      <c r="D10170" s="3"/>
      <c r="E10170" s="3">
        <v>7</v>
      </c>
      <c r="F10170" s="4" t="str">
        <f>HYPERLINK("http://141.218.60.56/~jnz1568/getInfo.php?workbook=10_05.xlsx&amp;sheet=U0&amp;row=10170&amp;col=6&amp;number=3.6&amp;sourceID=14","3.6")</f>
        <v>3.6</v>
      </c>
      <c r="G10170" s="4" t="str">
        <f>HYPERLINK("http://141.218.60.56/~jnz1568/getInfo.php?workbook=10_05.xlsx&amp;sheet=U0&amp;row=10170&amp;col=7&amp;number=0.000756&amp;sourceID=14","0.000756")</f>
        <v>0.000756</v>
      </c>
    </row>
    <row r="10171" spans="1:7">
      <c r="A10171" s="3"/>
      <c r="B10171" s="3"/>
      <c r="C10171" s="3"/>
      <c r="D10171" s="3"/>
      <c r="E10171" s="3">
        <v>8</v>
      </c>
      <c r="F10171" s="4" t="str">
        <f>HYPERLINK("http://141.218.60.56/~jnz1568/getInfo.php?workbook=10_05.xlsx&amp;sheet=U0&amp;row=10171&amp;col=6&amp;number=3.7&amp;sourceID=14","3.7")</f>
        <v>3.7</v>
      </c>
      <c r="G10171" s="4" t="str">
        <f>HYPERLINK("http://141.218.60.56/~jnz1568/getInfo.php?workbook=10_05.xlsx&amp;sheet=U0&amp;row=10171&amp;col=7&amp;number=0.000756&amp;sourceID=14","0.000756")</f>
        <v>0.000756</v>
      </c>
    </row>
    <row r="10172" spans="1:7">
      <c r="A10172" s="3"/>
      <c r="B10172" s="3"/>
      <c r="C10172" s="3"/>
      <c r="D10172" s="3"/>
      <c r="E10172" s="3">
        <v>9</v>
      </c>
      <c r="F10172" s="4" t="str">
        <f>HYPERLINK("http://141.218.60.56/~jnz1568/getInfo.php?workbook=10_05.xlsx&amp;sheet=U0&amp;row=10172&amp;col=6&amp;number=3.8&amp;sourceID=14","3.8")</f>
        <v>3.8</v>
      </c>
      <c r="G10172" s="4" t="str">
        <f>HYPERLINK("http://141.218.60.56/~jnz1568/getInfo.php?workbook=10_05.xlsx&amp;sheet=U0&amp;row=10172&amp;col=7&amp;number=0.000757&amp;sourceID=14","0.000757")</f>
        <v>0.000757</v>
      </c>
    </row>
    <row r="10173" spans="1:7">
      <c r="A10173" s="3"/>
      <c r="B10173" s="3"/>
      <c r="C10173" s="3"/>
      <c r="D10173" s="3"/>
      <c r="E10173" s="3">
        <v>10</v>
      </c>
      <c r="F10173" s="4" t="str">
        <f>HYPERLINK("http://141.218.60.56/~jnz1568/getInfo.php?workbook=10_05.xlsx&amp;sheet=U0&amp;row=10173&amp;col=6&amp;number=3.9&amp;sourceID=14","3.9")</f>
        <v>3.9</v>
      </c>
      <c r="G10173" s="4" t="str">
        <f>HYPERLINK("http://141.218.60.56/~jnz1568/getInfo.php?workbook=10_05.xlsx&amp;sheet=U0&amp;row=10173&amp;col=7&amp;number=0.000757&amp;sourceID=14","0.000757")</f>
        <v>0.000757</v>
      </c>
    </row>
    <row r="10174" spans="1:7">
      <c r="A10174" s="3"/>
      <c r="B10174" s="3"/>
      <c r="C10174" s="3"/>
      <c r="D10174" s="3"/>
      <c r="E10174" s="3">
        <v>11</v>
      </c>
      <c r="F10174" s="4" t="str">
        <f>HYPERLINK("http://141.218.60.56/~jnz1568/getInfo.php?workbook=10_05.xlsx&amp;sheet=U0&amp;row=10174&amp;col=6&amp;number=4&amp;sourceID=14","4")</f>
        <v>4</v>
      </c>
      <c r="G10174" s="4" t="str">
        <f>HYPERLINK("http://141.218.60.56/~jnz1568/getInfo.php?workbook=10_05.xlsx&amp;sheet=U0&amp;row=10174&amp;col=7&amp;number=0.000758&amp;sourceID=14","0.000758")</f>
        <v>0.000758</v>
      </c>
    </row>
    <row r="10175" spans="1:7">
      <c r="A10175" s="3"/>
      <c r="B10175" s="3"/>
      <c r="C10175" s="3"/>
      <c r="D10175" s="3"/>
      <c r="E10175" s="3">
        <v>12</v>
      </c>
      <c r="F10175" s="4" t="str">
        <f>HYPERLINK("http://141.218.60.56/~jnz1568/getInfo.php?workbook=10_05.xlsx&amp;sheet=U0&amp;row=10175&amp;col=6&amp;number=4.1&amp;sourceID=14","4.1")</f>
        <v>4.1</v>
      </c>
      <c r="G10175" s="4" t="str">
        <f>HYPERLINK("http://141.218.60.56/~jnz1568/getInfo.php?workbook=10_05.xlsx&amp;sheet=U0&amp;row=10175&amp;col=7&amp;number=0.000758&amp;sourceID=14","0.000758")</f>
        <v>0.000758</v>
      </c>
    </row>
    <row r="10176" spans="1:7">
      <c r="A10176" s="3"/>
      <c r="B10176" s="3"/>
      <c r="C10176" s="3"/>
      <c r="D10176" s="3"/>
      <c r="E10176" s="3">
        <v>13</v>
      </c>
      <c r="F10176" s="4" t="str">
        <f>HYPERLINK("http://141.218.60.56/~jnz1568/getInfo.php?workbook=10_05.xlsx&amp;sheet=U0&amp;row=10176&amp;col=6&amp;number=4.2&amp;sourceID=14","4.2")</f>
        <v>4.2</v>
      </c>
      <c r="G10176" s="4" t="str">
        <f>HYPERLINK("http://141.218.60.56/~jnz1568/getInfo.php?workbook=10_05.xlsx&amp;sheet=U0&amp;row=10176&amp;col=7&amp;number=0.000757&amp;sourceID=14","0.000757")</f>
        <v>0.000757</v>
      </c>
    </row>
    <row r="10177" spans="1:7">
      <c r="A10177" s="3"/>
      <c r="B10177" s="3"/>
      <c r="C10177" s="3"/>
      <c r="D10177" s="3"/>
      <c r="E10177" s="3">
        <v>14</v>
      </c>
      <c r="F10177" s="4" t="str">
        <f>HYPERLINK("http://141.218.60.56/~jnz1568/getInfo.php?workbook=10_05.xlsx&amp;sheet=U0&amp;row=10177&amp;col=6&amp;number=4.3&amp;sourceID=14","4.3")</f>
        <v>4.3</v>
      </c>
      <c r="G10177" s="4" t="str">
        <f>HYPERLINK("http://141.218.60.56/~jnz1568/getInfo.php?workbook=10_05.xlsx&amp;sheet=U0&amp;row=10177&amp;col=7&amp;number=0.000755&amp;sourceID=14","0.000755")</f>
        <v>0.000755</v>
      </c>
    </row>
    <row r="10178" spans="1:7">
      <c r="A10178" s="3"/>
      <c r="B10178" s="3"/>
      <c r="C10178" s="3"/>
      <c r="D10178" s="3"/>
      <c r="E10178" s="3">
        <v>15</v>
      </c>
      <c r="F10178" s="4" t="str">
        <f>HYPERLINK("http://141.218.60.56/~jnz1568/getInfo.php?workbook=10_05.xlsx&amp;sheet=U0&amp;row=10178&amp;col=6&amp;number=4.4&amp;sourceID=14","4.4")</f>
        <v>4.4</v>
      </c>
      <c r="G10178" s="4" t="str">
        <f>HYPERLINK("http://141.218.60.56/~jnz1568/getInfo.php?workbook=10_05.xlsx&amp;sheet=U0&amp;row=10178&amp;col=7&amp;number=0.000749&amp;sourceID=14","0.000749")</f>
        <v>0.000749</v>
      </c>
    </row>
    <row r="10179" spans="1:7">
      <c r="A10179" s="3"/>
      <c r="B10179" s="3"/>
      <c r="C10179" s="3"/>
      <c r="D10179" s="3"/>
      <c r="E10179" s="3">
        <v>16</v>
      </c>
      <c r="F10179" s="4" t="str">
        <f>HYPERLINK("http://141.218.60.56/~jnz1568/getInfo.php?workbook=10_05.xlsx&amp;sheet=U0&amp;row=10179&amp;col=6&amp;number=4.5&amp;sourceID=14","4.5")</f>
        <v>4.5</v>
      </c>
      <c r="G10179" s="4" t="str">
        <f>HYPERLINK("http://141.218.60.56/~jnz1568/getInfo.php?workbook=10_05.xlsx&amp;sheet=U0&amp;row=10179&amp;col=7&amp;number=0.00074&amp;sourceID=14","0.00074")</f>
        <v>0.00074</v>
      </c>
    </row>
    <row r="10180" spans="1:7">
      <c r="A10180" s="3"/>
      <c r="B10180" s="3"/>
      <c r="C10180" s="3"/>
      <c r="D10180" s="3"/>
      <c r="E10180" s="3">
        <v>17</v>
      </c>
      <c r="F10180" s="4" t="str">
        <f>HYPERLINK("http://141.218.60.56/~jnz1568/getInfo.php?workbook=10_05.xlsx&amp;sheet=U0&amp;row=10180&amp;col=6&amp;number=4.6&amp;sourceID=14","4.6")</f>
        <v>4.6</v>
      </c>
      <c r="G10180" s="4" t="str">
        <f>HYPERLINK("http://141.218.60.56/~jnz1568/getInfo.php?workbook=10_05.xlsx&amp;sheet=U0&amp;row=10180&amp;col=7&amp;number=0.000728&amp;sourceID=14","0.000728")</f>
        <v>0.000728</v>
      </c>
    </row>
    <row r="10181" spans="1:7">
      <c r="A10181" s="3"/>
      <c r="B10181" s="3"/>
      <c r="C10181" s="3"/>
      <c r="D10181" s="3"/>
      <c r="E10181" s="3">
        <v>18</v>
      </c>
      <c r="F10181" s="4" t="str">
        <f>HYPERLINK("http://141.218.60.56/~jnz1568/getInfo.php?workbook=10_05.xlsx&amp;sheet=U0&amp;row=10181&amp;col=6&amp;number=4.7&amp;sourceID=14","4.7")</f>
        <v>4.7</v>
      </c>
      <c r="G10181" s="4" t="str">
        <f>HYPERLINK("http://141.218.60.56/~jnz1568/getInfo.php?workbook=10_05.xlsx&amp;sheet=U0&amp;row=10181&amp;col=7&amp;number=0.000714&amp;sourceID=14","0.000714")</f>
        <v>0.000714</v>
      </c>
    </row>
    <row r="10182" spans="1:7">
      <c r="A10182" s="3"/>
      <c r="B10182" s="3"/>
      <c r="C10182" s="3"/>
      <c r="D10182" s="3"/>
      <c r="E10182" s="3">
        <v>19</v>
      </c>
      <c r="F10182" s="4" t="str">
        <f>HYPERLINK("http://141.218.60.56/~jnz1568/getInfo.php?workbook=10_05.xlsx&amp;sheet=U0&amp;row=10182&amp;col=6&amp;number=4.8&amp;sourceID=14","4.8")</f>
        <v>4.8</v>
      </c>
      <c r="G10182" s="4" t="str">
        <f>HYPERLINK("http://141.218.60.56/~jnz1568/getInfo.php?workbook=10_05.xlsx&amp;sheet=U0&amp;row=10182&amp;col=7&amp;number=0.000704&amp;sourceID=14","0.000704")</f>
        <v>0.000704</v>
      </c>
    </row>
    <row r="10183" spans="1:7">
      <c r="A10183" s="3"/>
      <c r="B10183" s="3"/>
      <c r="C10183" s="3"/>
      <c r="D10183" s="3"/>
      <c r="E10183" s="3">
        <v>20</v>
      </c>
      <c r="F10183" s="4" t="str">
        <f>HYPERLINK("http://141.218.60.56/~jnz1568/getInfo.php?workbook=10_05.xlsx&amp;sheet=U0&amp;row=10183&amp;col=6&amp;number=4.9&amp;sourceID=14","4.9")</f>
        <v>4.9</v>
      </c>
      <c r="G10183" s="4" t="str">
        <f>HYPERLINK("http://141.218.60.56/~jnz1568/getInfo.php?workbook=10_05.xlsx&amp;sheet=U0&amp;row=10183&amp;col=7&amp;number=0.000694&amp;sourceID=14","0.000694")</f>
        <v>0.000694</v>
      </c>
    </row>
    <row r="10184" spans="1:7">
      <c r="A10184" s="3">
        <v>10</v>
      </c>
      <c r="B10184" s="3">
        <v>5</v>
      </c>
      <c r="C10184" s="3">
        <v>3</v>
      </c>
      <c r="D10184" s="3">
        <v>156</v>
      </c>
      <c r="E10184" s="3">
        <v>1</v>
      </c>
      <c r="F10184" s="4" t="str">
        <f>HYPERLINK("http://141.218.60.56/~jnz1568/getInfo.php?workbook=10_05.xlsx&amp;sheet=U0&amp;row=10184&amp;col=6&amp;number=3&amp;sourceID=14","3")</f>
        <v>3</v>
      </c>
      <c r="G10184" s="4" t="str">
        <f>HYPERLINK("http://141.218.60.56/~jnz1568/getInfo.php?workbook=10_05.xlsx&amp;sheet=U0&amp;row=10184&amp;col=7&amp;number=0.00422&amp;sourceID=14","0.00422")</f>
        <v>0.00422</v>
      </c>
    </row>
    <row r="10185" spans="1:7">
      <c r="A10185" s="3"/>
      <c r="B10185" s="3"/>
      <c r="C10185" s="3"/>
      <c r="D10185" s="3"/>
      <c r="E10185" s="3">
        <v>2</v>
      </c>
      <c r="F10185" s="4" t="str">
        <f>HYPERLINK("http://141.218.60.56/~jnz1568/getInfo.php?workbook=10_05.xlsx&amp;sheet=U0&amp;row=10185&amp;col=6&amp;number=3.1&amp;sourceID=14","3.1")</f>
        <v>3.1</v>
      </c>
      <c r="G10185" s="4" t="str">
        <f>HYPERLINK("http://141.218.60.56/~jnz1568/getInfo.php?workbook=10_05.xlsx&amp;sheet=U0&amp;row=10185&amp;col=7&amp;number=0.00422&amp;sourceID=14","0.00422")</f>
        <v>0.00422</v>
      </c>
    </row>
    <row r="10186" spans="1:7">
      <c r="A10186" s="3"/>
      <c r="B10186" s="3"/>
      <c r="C10186" s="3"/>
      <c r="D10186" s="3"/>
      <c r="E10186" s="3">
        <v>3</v>
      </c>
      <c r="F10186" s="4" t="str">
        <f>HYPERLINK("http://141.218.60.56/~jnz1568/getInfo.php?workbook=10_05.xlsx&amp;sheet=U0&amp;row=10186&amp;col=6&amp;number=3.2&amp;sourceID=14","3.2")</f>
        <v>3.2</v>
      </c>
      <c r="G10186" s="4" t="str">
        <f>HYPERLINK("http://141.218.60.56/~jnz1568/getInfo.php?workbook=10_05.xlsx&amp;sheet=U0&amp;row=10186&amp;col=7&amp;number=0.00422&amp;sourceID=14","0.00422")</f>
        <v>0.00422</v>
      </c>
    </row>
    <row r="10187" spans="1:7">
      <c r="A10187" s="3"/>
      <c r="B10187" s="3"/>
      <c r="C10187" s="3"/>
      <c r="D10187" s="3"/>
      <c r="E10187" s="3">
        <v>4</v>
      </c>
      <c r="F10187" s="4" t="str">
        <f>HYPERLINK("http://141.218.60.56/~jnz1568/getInfo.php?workbook=10_05.xlsx&amp;sheet=U0&amp;row=10187&amp;col=6&amp;number=3.3&amp;sourceID=14","3.3")</f>
        <v>3.3</v>
      </c>
      <c r="G10187" s="4" t="str">
        <f>HYPERLINK("http://141.218.60.56/~jnz1568/getInfo.php?workbook=10_05.xlsx&amp;sheet=U0&amp;row=10187&amp;col=7&amp;number=0.00423&amp;sourceID=14","0.00423")</f>
        <v>0.00423</v>
      </c>
    </row>
    <row r="10188" spans="1:7">
      <c r="A10188" s="3"/>
      <c r="B10188" s="3"/>
      <c r="C10188" s="3"/>
      <c r="D10188" s="3"/>
      <c r="E10188" s="3">
        <v>5</v>
      </c>
      <c r="F10188" s="4" t="str">
        <f>HYPERLINK("http://141.218.60.56/~jnz1568/getInfo.php?workbook=10_05.xlsx&amp;sheet=U0&amp;row=10188&amp;col=6&amp;number=3.4&amp;sourceID=14","3.4")</f>
        <v>3.4</v>
      </c>
      <c r="G10188" s="4" t="str">
        <f>HYPERLINK("http://141.218.60.56/~jnz1568/getInfo.php?workbook=10_05.xlsx&amp;sheet=U0&amp;row=10188&amp;col=7&amp;number=0.00423&amp;sourceID=14","0.00423")</f>
        <v>0.00423</v>
      </c>
    </row>
    <row r="10189" spans="1:7">
      <c r="A10189" s="3"/>
      <c r="B10189" s="3"/>
      <c r="C10189" s="3"/>
      <c r="D10189" s="3"/>
      <c r="E10189" s="3">
        <v>6</v>
      </c>
      <c r="F10189" s="4" t="str">
        <f>HYPERLINK("http://141.218.60.56/~jnz1568/getInfo.php?workbook=10_05.xlsx&amp;sheet=U0&amp;row=10189&amp;col=6&amp;number=3.5&amp;sourceID=14","3.5")</f>
        <v>3.5</v>
      </c>
      <c r="G10189" s="4" t="str">
        <f>HYPERLINK("http://141.218.60.56/~jnz1568/getInfo.php?workbook=10_05.xlsx&amp;sheet=U0&amp;row=10189&amp;col=7&amp;number=0.00423&amp;sourceID=14","0.00423")</f>
        <v>0.00423</v>
      </c>
    </row>
    <row r="10190" spans="1:7">
      <c r="A10190" s="3"/>
      <c r="B10190" s="3"/>
      <c r="C10190" s="3"/>
      <c r="D10190" s="3"/>
      <c r="E10190" s="3">
        <v>7</v>
      </c>
      <c r="F10190" s="4" t="str">
        <f>HYPERLINK("http://141.218.60.56/~jnz1568/getInfo.php?workbook=10_05.xlsx&amp;sheet=U0&amp;row=10190&amp;col=6&amp;number=3.6&amp;sourceID=14","3.6")</f>
        <v>3.6</v>
      </c>
      <c r="G10190" s="4" t="str">
        <f>HYPERLINK("http://141.218.60.56/~jnz1568/getInfo.php?workbook=10_05.xlsx&amp;sheet=U0&amp;row=10190&amp;col=7&amp;number=0.00424&amp;sourceID=14","0.00424")</f>
        <v>0.00424</v>
      </c>
    </row>
    <row r="10191" spans="1:7">
      <c r="A10191" s="3"/>
      <c r="B10191" s="3"/>
      <c r="C10191" s="3"/>
      <c r="D10191" s="3"/>
      <c r="E10191" s="3">
        <v>8</v>
      </c>
      <c r="F10191" s="4" t="str">
        <f>HYPERLINK("http://141.218.60.56/~jnz1568/getInfo.php?workbook=10_05.xlsx&amp;sheet=U0&amp;row=10191&amp;col=6&amp;number=3.7&amp;sourceID=14","3.7")</f>
        <v>3.7</v>
      </c>
      <c r="G10191" s="4" t="str">
        <f>HYPERLINK("http://141.218.60.56/~jnz1568/getInfo.php?workbook=10_05.xlsx&amp;sheet=U0&amp;row=10191&amp;col=7&amp;number=0.00425&amp;sourceID=14","0.00425")</f>
        <v>0.00425</v>
      </c>
    </row>
    <row r="10192" spans="1:7">
      <c r="A10192" s="3"/>
      <c r="B10192" s="3"/>
      <c r="C10192" s="3"/>
      <c r="D10192" s="3"/>
      <c r="E10192" s="3">
        <v>9</v>
      </c>
      <c r="F10192" s="4" t="str">
        <f>HYPERLINK("http://141.218.60.56/~jnz1568/getInfo.php?workbook=10_05.xlsx&amp;sheet=U0&amp;row=10192&amp;col=6&amp;number=3.8&amp;sourceID=14","3.8")</f>
        <v>3.8</v>
      </c>
      <c r="G10192" s="4" t="str">
        <f>HYPERLINK("http://141.218.60.56/~jnz1568/getInfo.php?workbook=10_05.xlsx&amp;sheet=U0&amp;row=10192&amp;col=7&amp;number=0.00425&amp;sourceID=14","0.00425")</f>
        <v>0.00425</v>
      </c>
    </row>
    <row r="10193" spans="1:7">
      <c r="A10193" s="3"/>
      <c r="B10193" s="3"/>
      <c r="C10193" s="3"/>
      <c r="D10193" s="3"/>
      <c r="E10193" s="3">
        <v>10</v>
      </c>
      <c r="F10193" s="4" t="str">
        <f>HYPERLINK("http://141.218.60.56/~jnz1568/getInfo.php?workbook=10_05.xlsx&amp;sheet=U0&amp;row=10193&amp;col=6&amp;number=3.9&amp;sourceID=14","3.9")</f>
        <v>3.9</v>
      </c>
      <c r="G10193" s="4" t="str">
        <f>HYPERLINK("http://141.218.60.56/~jnz1568/getInfo.php?workbook=10_05.xlsx&amp;sheet=U0&amp;row=10193&amp;col=7&amp;number=0.00426&amp;sourceID=14","0.00426")</f>
        <v>0.00426</v>
      </c>
    </row>
    <row r="10194" spans="1:7">
      <c r="A10194" s="3"/>
      <c r="B10194" s="3"/>
      <c r="C10194" s="3"/>
      <c r="D10194" s="3"/>
      <c r="E10194" s="3">
        <v>11</v>
      </c>
      <c r="F10194" s="4" t="str">
        <f>HYPERLINK("http://141.218.60.56/~jnz1568/getInfo.php?workbook=10_05.xlsx&amp;sheet=U0&amp;row=10194&amp;col=6&amp;number=4&amp;sourceID=14","4")</f>
        <v>4</v>
      </c>
      <c r="G10194" s="4" t="str">
        <f>HYPERLINK("http://141.218.60.56/~jnz1568/getInfo.php?workbook=10_05.xlsx&amp;sheet=U0&amp;row=10194&amp;col=7&amp;number=0.00427&amp;sourceID=14","0.00427")</f>
        <v>0.00427</v>
      </c>
    </row>
    <row r="10195" spans="1:7">
      <c r="A10195" s="3"/>
      <c r="B10195" s="3"/>
      <c r="C10195" s="3"/>
      <c r="D10195" s="3"/>
      <c r="E10195" s="3">
        <v>12</v>
      </c>
      <c r="F10195" s="4" t="str">
        <f>HYPERLINK("http://141.218.60.56/~jnz1568/getInfo.php?workbook=10_05.xlsx&amp;sheet=U0&amp;row=10195&amp;col=6&amp;number=4.1&amp;sourceID=14","4.1")</f>
        <v>4.1</v>
      </c>
      <c r="G10195" s="4" t="str">
        <f>HYPERLINK("http://141.218.60.56/~jnz1568/getInfo.php?workbook=10_05.xlsx&amp;sheet=U0&amp;row=10195&amp;col=7&amp;number=0.00428&amp;sourceID=14","0.00428")</f>
        <v>0.00428</v>
      </c>
    </row>
    <row r="10196" spans="1:7">
      <c r="A10196" s="3"/>
      <c r="B10196" s="3"/>
      <c r="C10196" s="3"/>
      <c r="D10196" s="3"/>
      <c r="E10196" s="3">
        <v>13</v>
      </c>
      <c r="F10196" s="4" t="str">
        <f>HYPERLINK("http://141.218.60.56/~jnz1568/getInfo.php?workbook=10_05.xlsx&amp;sheet=U0&amp;row=10196&amp;col=6&amp;number=4.2&amp;sourceID=14","4.2")</f>
        <v>4.2</v>
      </c>
      <c r="G10196" s="4" t="str">
        <f>HYPERLINK("http://141.218.60.56/~jnz1568/getInfo.php?workbook=10_05.xlsx&amp;sheet=U0&amp;row=10196&amp;col=7&amp;number=0.00428&amp;sourceID=14","0.00428")</f>
        <v>0.00428</v>
      </c>
    </row>
    <row r="10197" spans="1:7">
      <c r="A10197" s="3"/>
      <c r="B10197" s="3"/>
      <c r="C10197" s="3"/>
      <c r="D10197" s="3"/>
      <c r="E10197" s="3">
        <v>14</v>
      </c>
      <c r="F10197" s="4" t="str">
        <f>HYPERLINK("http://141.218.60.56/~jnz1568/getInfo.php?workbook=10_05.xlsx&amp;sheet=U0&amp;row=10197&amp;col=6&amp;number=4.3&amp;sourceID=14","4.3")</f>
        <v>4.3</v>
      </c>
      <c r="G10197" s="4" t="str">
        <f>HYPERLINK("http://141.218.60.56/~jnz1568/getInfo.php?workbook=10_05.xlsx&amp;sheet=U0&amp;row=10197&amp;col=7&amp;number=0.00428&amp;sourceID=14","0.00428")</f>
        <v>0.00428</v>
      </c>
    </row>
    <row r="10198" spans="1:7">
      <c r="A10198" s="3"/>
      <c r="B10198" s="3"/>
      <c r="C10198" s="3"/>
      <c r="D10198" s="3"/>
      <c r="E10198" s="3">
        <v>15</v>
      </c>
      <c r="F10198" s="4" t="str">
        <f>HYPERLINK("http://141.218.60.56/~jnz1568/getInfo.php?workbook=10_05.xlsx&amp;sheet=U0&amp;row=10198&amp;col=6&amp;number=4.4&amp;sourceID=14","4.4")</f>
        <v>4.4</v>
      </c>
      <c r="G10198" s="4" t="str">
        <f>HYPERLINK("http://141.218.60.56/~jnz1568/getInfo.php?workbook=10_05.xlsx&amp;sheet=U0&amp;row=10198&amp;col=7&amp;number=0.00427&amp;sourceID=14","0.00427")</f>
        <v>0.00427</v>
      </c>
    </row>
    <row r="10199" spans="1:7">
      <c r="A10199" s="3"/>
      <c r="B10199" s="3"/>
      <c r="C10199" s="3"/>
      <c r="D10199" s="3"/>
      <c r="E10199" s="3">
        <v>16</v>
      </c>
      <c r="F10199" s="4" t="str">
        <f>HYPERLINK("http://141.218.60.56/~jnz1568/getInfo.php?workbook=10_05.xlsx&amp;sheet=U0&amp;row=10199&amp;col=6&amp;number=4.5&amp;sourceID=14","4.5")</f>
        <v>4.5</v>
      </c>
      <c r="G10199" s="4" t="str">
        <f>HYPERLINK("http://141.218.60.56/~jnz1568/getInfo.php?workbook=10_05.xlsx&amp;sheet=U0&amp;row=10199&amp;col=7&amp;number=0.00423&amp;sourceID=14","0.00423")</f>
        <v>0.00423</v>
      </c>
    </row>
    <row r="10200" spans="1:7">
      <c r="A10200" s="3"/>
      <c r="B10200" s="3"/>
      <c r="C10200" s="3"/>
      <c r="D10200" s="3"/>
      <c r="E10200" s="3">
        <v>17</v>
      </c>
      <c r="F10200" s="4" t="str">
        <f>HYPERLINK("http://141.218.60.56/~jnz1568/getInfo.php?workbook=10_05.xlsx&amp;sheet=U0&amp;row=10200&amp;col=6&amp;number=4.6&amp;sourceID=14","4.6")</f>
        <v>4.6</v>
      </c>
      <c r="G10200" s="4" t="str">
        <f>HYPERLINK("http://141.218.60.56/~jnz1568/getInfo.php?workbook=10_05.xlsx&amp;sheet=U0&amp;row=10200&amp;col=7&amp;number=0.00418&amp;sourceID=14","0.00418")</f>
        <v>0.00418</v>
      </c>
    </row>
    <row r="10201" spans="1:7">
      <c r="A10201" s="3"/>
      <c r="B10201" s="3"/>
      <c r="C10201" s="3"/>
      <c r="D10201" s="3"/>
      <c r="E10201" s="3">
        <v>18</v>
      </c>
      <c r="F10201" s="4" t="str">
        <f>HYPERLINK("http://141.218.60.56/~jnz1568/getInfo.php?workbook=10_05.xlsx&amp;sheet=U0&amp;row=10201&amp;col=6&amp;number=4.7&amp;sourceID=14","4.7")</f>
        <v>4.7</v>
      </c>
      <c r="G10201" s="4" t="str">
        <f>HYPERLINK("http://141.218.60.56/~jnz1568/getInfo.php?workbook=10_05.xlsx&amp;sheet=U0&amp;row=10201&amp;col=7&amp;number=0.00413&amp;sourceID=14","0.00413")</f>
        <v>0.00413</v>
      </c>
    </row>
    <row r="10202" spans="1:7">
      <c r="A10202" s="3"/>
      <c r="B10202" s="3"/>
      <c r="C10202" s="3"/>
      <c r="D10202" s="3"/>
      <c r="E10202" s="3">
        <v>19</v>
      </c>
      <c r="F10202" s="4" t="str">
        <f>HYPERLINK("http://141.218.60.56/~jnz1568/getInfo.php?workbook=10_05.xlsx&amp;sheet=U0&amp;row=10202&amp;col=6&amp;number=4.8&amp;sourceID=14","4.8")</f>
        <v>4.8</v>
      </c>
      <c r="G10202" s="4" t="str">
        <f>HYPERLINK("http://141.218.60.56/~jnz1568/getInfo.php?workbook=10_05.xlsx&amp;sheet=U0&amp;row=10202&amp;col=7&amp;number=0.00408&amp;sourceID=14","0.00408")</f>
        <v>0.00408</v>
      </c>
    </row>
    <row r="10203" spans="1:7">
      <c r="A10203" s="3"/>
      <c r="B10203" s="3"/>
      <c r="C10203" s="3"/>
      <c r="D10203" s="3"/>
      <c r="E10203" s="3">
        <v>20</v>
      </c>
      <c r="F10203" s="4" t="str">
        <f>HYPERLINK("http://141.218.60.56/~jnz1568/getInfo.php?workbook=10_05.xlsx&amp;sheet=U0&amp;row=10203&amp;col=6&amp;number=4.9&amp;sourceID=14","4.9")</f>
        <v>4.9</v>
      </c>
      <c r="G10203" s="4" t="str">
        <f>HYPERLINK("http://141.218.60.56/~jnz1568/getInfo.php?workbook=10_05.xlsx&amp;sheet=U0&amp;row=10203&amp;col=7&amp;number=0.00403&amp;sourceID=14","0.00403")</f>
        <v>0.00403</v>
      </c>
    </row>
    <row r="10204" spans="1:7">
      <c r="A10204" s="3">
        <v>10</v>
      </c>
      <c r="B10204" s="3">
        <v>5</v>
      </c>
      <c r="C10204" s="3">
        <v>3</v>
      </c>
      <c r="D10204" s="3">
        <v>157</v>
      </c>
      <c r="E10204" s="3">
        <v>1</v>
      </c>
      <c r="F10204" s="4" t="str">
        <f>HYPERLINK("http://141.218.60.56/~jnz1568/getInfo.php?workbook=10_05.xlsx&amp;sheet=U0&amp;row=10204&amp;col=6&amp;number=3&amp;sourceID=14","3")</f>
        <v>3</v>
      </c>
      <c r="G10204" s="4" t="str">
        <f>HYPERLINK("http://141.218.60.56/~jnz1568/getInfo.php?workbook=10_05.xlsx&amp;sheet=U0&amp;row=10204&amp;col=7&amp;number=0.00336&amp;sourceID=14","0.00336")</f>
        <v>0.00336</v>
      </c>
    </row>
    <row r="10205" spans="1:7">
      <c r="A10205" s="3"/>
      <c r="B10205" s="3"/>
      <c r="C10205" s="3"/>
      <c r="D10205" s="3"/>
      <c r="E10205" s="3">
        <v>2</v>
      </c>
      <c r="F10205" s="4" t="str">
        <f>HYPERLINK("http://141.218.60.56/~jnz1568/getInfo.php?workbook=10_05.xlsx&amp;sheet=U0&amp;row=10205&amp;col=6&amp;number=3.1&amp;sourceID=14","3.1")</f>
        <v>3.1</v>
      </c>
      <c r="G10205" s="4" t="str">
        <f>HYPERLINK("http://141.218.60.56/~jnz1568/getInfo.php?workbook=10_05.xlsx&amp;sheet=U0&amp;row=10205&amp;col=7&amp;number=0.00336&amp;sourceID=14","0.00336")</f>
        <v>0.00336</v>
      </c>
    </row>
    <row r="10206" spans="1:7">
      <c r="A10206" s="3"/>
      <c r="B10206" s="3"/>
      <c r="C10206" s="3"/>
      <c r="D10206" s="3"/>
      <c r="E10206" s="3">
        <v>3</v>
      </c>
      <c r="F10206" s="4" t="str">
        <f>HYPERLINK("http://141.218.60.56/~jnz1568/getInfo.php?workbook=10_05.xlsx&amp;sheet=U0&amp;row=10206&amp;col=6&amp;number=3.2&amp;sourceID=14","3.2")</f>
        <v>3.2</v>
      </c>
      <c r="G10206" s="4" t="str">
        <f>HYPERLINK("http://141.218.60.56/~jnz1568/getInfo.php?workbook=10_05.xlsx&amp;sheet=U0&amp;row=10206&amp;col=7&amp;number=0.00336&amp;sourceID=14","0.00336")</f>
        <v>0.00336</v>
      </c>
    </row>
    <row r="10207" spans="1:7">
      <c r="A10207" s="3"/>
      <c r="B10207" s="3"/>
      <c r="C10207" s="3"/>
      <c r="D10207" s="3"/>
      <c r="E10207" s="3">
        <v>4</v>
      </c>
      <c r="F10207" s="4" t="str">
        <f>HYPERLINK("http://141.218.60.56/~jnz1568/getInfo.php?workbook=10_05.xlsx&amp;sheet=U0&amp;row=10207&amp;col=6&amp;number=3.3&amp;sourceID=14","3.3")</f>
        <v>3.3</v>
      </c>
      <c r="G10207" s="4" t="str">
        <f>HYPERLINK("http://141.218.60.56/~jnz1568/getInfo.php?workbook=10_05.xlsx&amp;sheet=U0&amp;row=10207&amp;col=7&amp;number=0.00336&amp;sourceID=14","0.00336")</f>
        <v>0.00336</v>
      </c>
    </row>
    <row r="10208" spans="1:7">
      <c r="A10208" s="3"/>
      <c r="B10208" s="3"/>
      <c r="C10208" s="3"/>
      <c r="D10208" s="3"/>
      <c r="E10208" s="3">
        <v>5</v>
      </c>
      <c r="F10208" s="4" t="str">
        <f>HYPERLINK("http://141.218.60.56/~jnz1568/getInfo.php?workbook=10_05.xlsx&amp;sheet=U0&amp;row=10208&amp;col=6&amp;number=3.4&amp;sourceID=14","3.4")</f>
        <v>3.4</v>
      </c>
      <c r="G10208" s="4" t="str">
        <f>HYPERLINK("http://141.218.60.56/~jnz1568/getInfo.php?workbook=10_05.xlsx&amp;sheet=U0&amp;row=10208&amp;col=7&amp;number=0.00337&amp;sourceID=14","0.00337")</f>
        <v>0.00337</v>
      </c>
    </row>
    <row r="10209" spans="1:7">
      <c r="A10209" s="3"/>
      <c r="B10209" s="3"/>
      <c r="C10209" s="3"/>
      <c r="D10209" s="3"/>
      <c r="E10209" s="3">
        <v>6</v>
      </c>
      <c r="F10209" s="4" t="str">
        <f>HYPERLINK("http://141.218.60.56/~jnz1568/getInfo.php?workbook=10_05.xlsx&amp;sheet=U0&amp;row=10209&amp;col=6&amp;number=3.5&amp;sourceID=14","3.5")</f>
        <v>3.5</v>
      </c>
      <c r="G10209" s="4" t="str">
        <f>HYPERLINK("http://141.218.60.56/~jnz1568/getInfo.php?workbook=10_05.xlsx&amp;sheet=U0&amp;row=10209&amp;col=7&amp;number=0.00338&amp;sourceID=14","0.00338")</f>
        <v>0.00338</v>
      </c>
    </row>
    <row r="10210" spans="1:7">
      <c r="A10210" s="3"/>
      <c r="B10210" s="3"/>
      <c r="C10210" s="3"/>
      <c r="D10210" s="3"/>
      <c r="E10210" s="3">
        <v>7</v>
      </c>
      <c r="F10210" s="4" t="str">
        <f>HYPERLINK("http://141.218.60.56/~jnz1568/getInfo.php?workbook=10_05.xlsx&amp;sheet=U0&amp;row=10210&amp;col=6&amp;number=3.6&amp;sourceID=14","3.6")</f>
        <v>3.6</v>
      </c>
      <c r="G10210" s="4" t="str">
        <f>HYPERLINK("http://141.218.60.56/~jnz1568/getInfo.php?workbook=10_05.xlsx&amp;sheet=U0&amp;row=10210&amp;col=7&amp;number=0.00338&amp;sourceID=14","0.00338")</f>
        <v>0.00338</v>
      </c>
    </row>
    <row r="10211" spans="1:7">
      <c r="A10211" s="3"/>
      <c r="B10211" s="3"/>
      <c r="C10211" s="3"/>
      <c r="D10211" s="3"/>
      <c r="E10211" s="3">
        <v>8</v>
      </c>
      <c r="F10211" s="4" t="str">
        <f>HYPERLINK("http://141.218.60.56/~jnz1568/getInfo.php?workbook=10_05.xlsx&amp;sheet=U0&amp;row=10211&amp;col=6&amp;number=3.7&amp;sourceID=14","3.7")</f>
        <v>3.7</v>
      </c>
      <c r="G10211" s="4" t="str">
        <f>HYPERLINK("http://141.218.60.56/~jnz1568/getInfo.php?workbook=10_05.xlsx&amp;sheet=U0&amp;row=10211&amp;col=7&amp;number=0.00339&amp;sourceID=14","0.00339")</f>
        <v>0.00339</v>
      </c>
    </row>
    <row r="10212" spans="1:7">
      <c r="A10212" s="3"/>
      <c r="B10212" s="3"/>
      <c r="C10212" s="3"/>
      <c r="D10212" s="3"/>
      <c r="E10212" s="3">
        <v>9</v>
      </c>
      <c r="F10212" s="4" t="str">
        <f>HYPERLINK("http://141.218.60.56/~jnz1568/getInfo.php?workbook=10_05.xlsx&amp;sheet=U0&amp;row=10212&amp;col=6&amp;number=3.8&amp;sourceID=14","3.8")</f>
        <v>3.8</v>
      </c>
      <c r="G10212" s="4" t="str">
        <f>HYPERLINK("http://141.218.60.56/~jnz1568/getInfo.php?workbook=10_05.xlsx&amp;sheet=U0&amp;row=10212&amp;col=7&amp;number=0.0034&amp;sourceID=14","0.0034")</f>
        <v>0.0034</v>
      </c>
    </row>
    <row r="10213" spans="1:7">
      <c r="A10213" s="3"/>
      <c r="B10213" s="3"/>
      <c r="C10213" s="3"/>
      <c r="D10213" s="3"/>
      <c r="E10213" s="3">
        <v>10</v>
      </c>
      <c r="F10213" s="4" t="str">
        <f>HYPERLINK("http://141.218.60.56/~jnz1568/getInfo.php?workbook=10_05.xlsx&amp;sheet=U0&amp;row=10213&amp;col=6&amp;number=3.9&amp;sourceID=14","3.9")</f>
        <v>3.9</v>
      </c>
      <c r="G10213" s="4" t="str">
        <f>HYPERLINK("http://141.218.60.56/~jnz1568/getInfo.php?workbook=10_05.xlsx&amp;sheet=U0&amp;row=10213&amp;col=7&amp;number=0.00341&amp;sourceID=14","0.00341")</f>
        <v>0.00341</v>
      </c>
    </row>
    <row r="10214" spans="1:7">
      <c r="A10214" s="3"/>
      <c r="B10214" s="3"/>
      <c r="C10214" s="3"/>
      <c r="D10214" s="3"/>
      <c r="E10214" s="3">
        <v>11</v>
      </c>
      <c r="F10214" s="4" t="str">
        <f>HYPERLINK("http://141.218.60.56/~jnz1568/getInfo.php?workbook=10_05.xlsx&amp;sheet=U0&amp;row=10214&amp;col=6&amp;number=4&amp;sourceID=14","4")</f>
        <v>4</v>
      </c>
      <c r="G10214" s="4" t="str">
        <f>HYPERLINK("http://141.218.60.56/~jnz1568/getInfo.php?workbook=10_05.xlsx&amp;sheet=U0&amp;row=10214&amp;col=7&amp;number=0.00343&amp;sourceID=14","0.00343")</f>
        <v>0.00343</v>
      </c>
    </row>
    <row r="10215" spans="1:7">
      <c r="A10215" s="3"/>
      <c r="B10215" s="3"/>
      <c r="C10215" s="3"/>
      <c r="D10215" s="3"/>
      <c r="E10215" s="3">
        <v>12</v>
      </c>
      <c r="F10215" s="4" t="str">
        <f>HYPERLINK("http://141.218.60.56/~jnz1568/getInfo.php?workbook=10_05.xlsx&amp;sheet=U0&amp;row=10215&amp;col=6&amp;number=4.1&amp;sourceID=14","4.1")</f>
        <v>4.1</v>
      </c>
      <c r="G10215" s="4" t="str">
        <f>HYPERLINK("http://141.218.60.56/~jnz1568/getInfo.php?workbook=10_05.xlsx&amp;sheet=U0&amp;row=10215&amp;col=7&amp;number=0.00344&amp;sourceID=14","0.00344")</f>
        <v>0.00344</v>
      </c>
    </row>
    <row r="10216" spans="1:7">
      <c r="A10216" s="3"/>
      <c r="B10216" s="3"/>
      <c r="C10216" s="3"/>
      <c r="D10216" s="3"/>
      <c r="E10216" s="3">
        <v>13</v>
      </c>
      <c r="F10216" s="4" t="str">
        <f>HYPERLINK("http://141.218.60.56/~jnz1568/getInfo.php?workbook=10_05.xlsx&amp;sheet=U0&amp;row=10216&amp;col=6&amp;number=4.2&amp;sourceID=14","4.2")</f>
        <v>4.2</v>
      </c>
      <c r="G10216" s="4" t="str">
        <f>HYPERLINK("http://141.218.60.56/~jnz1568/getInfo.php?workbook=10_05.xlsx&amp;sheet=U0&amp;row=10216&amp;col=7&amp;number=0.00345&amp;sourceID=14","0.00345")</f>
        <v>0.00345</v>
      </c>
    </row>
    <row r="10217" spans="1:7">
      <c r="A10217" s="3"/>
      <c r="B10217" s="3"/>
      <c r="C10217" s="3"/>
      <c r="D10217" s="3"/>
      <c r="E10217" s="3">
        <v>14</v>
      </c>
      <c r="F10217" s="4" t="str">
        <f>HYPERLINK("http://141.218.60.56/~jnz1568/getInfo.php?workbook=10_05.xlsx&amp;sheet=U0&amp;row=10217&amp;col=6&amp;number=4.3&amp;sourceID=14","4.3")</f>
        <v>4.3</v>
      </c>
      <c r="G10217" s="4" t="str">
        <f>HYPERLINK("http://141.218.60.56/~jnz1568/getInfo.php?workbook=10_05.xlsx&amp;sheet=U0&amp;row=10217&amp;col=7&amp;number=0.00346&amp;sourceID=14","0.00346")</f>
        <v>0.00346</v>
      </c>
    </row>
    <row r="10218" spans="1:7">
      <c r="A10218" s="3"/>
      <c r="B10218" s="3"/>
      <c r="C10218" s="3"/>
      <c r="D10218" s="3"/>
      <c r="E10218" s="3">
        <v>15</v>
      </c>
      <c r="F10218" s="4" t="str">
        <f>HYPERLINK("http://141.218.60.56/~jnz1568/getInfo.php?workbook=10_05.xlsx&amp;sheet=U0&amp;row=10218&amp;col=6&amp;number=4.4&amp;sourceID=14","4.4")</f>
        <v>4.4</v>
      </c>
      <c r="G10218" s="4" t="str">
        <f>HYPERLINK("http://141.218.60.56/~jnz1568/getInfo.php?workbook=10_05.xlsx&amp;sheet=U0&amp;row=10218&amp;col=7&amp;number=0.00345&amp;sourceID=14","0.00345")</f>
        <v>0.00345</v>
      </c>
    </row>
    <row r="10219" spans="1:7">
      <c r="A10219" s="3"/>
      <c r="B10219" s="3"/>
      <c r="C10219" s="3"/>
      <c r="D10219" s="3"/>
      <c r="E10219" s="3">
        <v>16</v>
      </c>
      <c r="F10219" s="4" t="str">
        <f>HYPERLINK("http://141.218.60.56/~jnz1568/getInfo.php?workbook=10_05.xlsx&amp;sheet=U0&amp;row=10219&amp;col=6&amp;number=4.5&amp;sourceID=14","4.5")</f>
        <v>4.5</v>
      </c>
      <c r="G10219" s="4" t="str">
        <f>HYPERLINK("http://141.218.60.56/~jnz1568/getInfo.php?workbook=10_05.xlsx&amp;sheet=U0&amp;row=10219&amp;col=7&amp;number=0.00342&amp;sourceID=14","0.00342")</f>
        <v>0.00342</v>
      </c>
    </row>
    <row r="10220" spans="1:7">
      <c r="A10220" s="3"/>
      <c r="B10220" s="3"/>
      <c r="C10220" s="3"/>
      <c r="D10220" s="3"/>
      <c r="E10220" s="3">
        <v>17</v>
      </c>
      <c r="F10220" s="4" t="str">
        <f>HYPERLINK("http://141.218.60.56/~jnz1568/getInfo.php?workbook=10_05.xlsx&amp;sheet=U0&amp;row=10220&amp;col=6&amp;number=4.6&amp;sourceID=14","4.6")</f>
        <v>4.6</v>
      </c>
      <c r="G10220" s="4" t="str">
        <f>HYPERLINK("http://141.218.60.56/~jnz1568/getInfo.php?workbook=10_05.xlsx&amp;sheet=U0&amp;row=10220&amp;col=7&amp;number=0.00338&amp;sourceID=14","0.00338")</f>
        <v>0.00338</v>
      </c>
    </row>
    <row r="10221" spans="1:7">
      <c r="A10221" s="3"/>
      <c r="B10221" s="3"/>
      <c r="C10221" s="3"/>
      <c r="D10221" s="3"/>
      <c r="E10221" s="3">
        <v>18</v>
      </c>
      <c r="F10221" s="4" t="str">
        <f>HYPERLINK("http://141.218.60.56/~jnz1568/getInfo.php?workbook=10_05.xlsx&amp;sheet=U0&amp;row=10221&amp;col=6&amp;number=4.7&amp;sourceID=14","4.7")</f>
        <v>4.7</v>
      </c>
      <c r="G10221" s="4" t="str">
        <f>HYPERLINK("http://141.218.60.56/~jnz1568/getInfo.php?workbook=10_05.xlsx&amp;sheet=U0&amp;row=10221&amp;col=7&amp;number=0.00333&amp;sourceID=14","0.00333")</f>
        <v>0.00333</v>
      </c>
    </row>
    <row r="10222" spans="1:7">
      <c r="A10222" s="3"/>
      <c r="B10222" s="3"/>
      <c r="C10222" s="3"/>
      <c r="D10222" s="3"/>
      <c r="E10222" s="3">
        <v>19</v>
      </c>
      <c r="F10222" s="4" t="str">
        <f>HYPERLINK("http://141.218.60.56/~jnz1568/getInfo.php?workbook=10_05.xlsx&amp;sheet=U0&amp;row=10222&amp;col=6&amp;number=4.8&amp;sourceID=14","4.8")</f>
        <v>4.8</v>
      </c>
      <c r="G10222" s="4" t="str">
        <f>HYPERLINK("http://141.218.60.56/~jnz1568/getInfo.php?workbook=10_05.xlsx&amp;sheet=U0&amp;row=10222&amp;col=7&amp;number=0.00328&amp;sourceID=14","0.00328")</f>
        <v>0.00328</v>
      </c>
    </row>
    <row r="10223" spans="1:7">
      <c r="A10223" s="3"/>
      <c r="B10223" s="3"/>
      <c r="C10223" s="3"/>
      <c r="D10223" s="3"/>
      <c r="E10223" s="3">
        <v>20</v>
      </c>
      <c r="F10223" s="4" t="str">
        <f>HYPERLINK("http://141.218.60.56/~jnz1568/getInfo.php?workbook=10_05.xlsx&amp;sheet=U0&amp;row=10223&amp;col=6&amp;number=4.9&amp;sourceID=14","4.9")</f>
        <v>4.9</v>
      </c>
      <c r="G10223" s="4" t="str">
        <f>HYPERLINK("http://141.218.60.56/~jnz1568/getInfo.php?workbook=10_05.xlsx&amp;sheet=U0&amp;row=10223&amp;col=7&amp;number=0.00325&amp;sourceID=14","0.00325")</f>
        <v>0.00325</v>
      </c>
    </row>
    <row r="10224" spans="1:7">
      <c r="A10224" s="3">
        <v>10</v>
      </c>
      <c r="B10224" s="3">
        <v>5</v>
      </c>
      <c r="C10224" s="3">
        <v>3</v>
      </c>
      <c r="D10224" s="3">
        <v>158</v>
      </c>
      <c r="E10224" s="3">
        <v>1</v>
      </c>
      <c r="F10224" s="4" t="str">
        <f>HYPERLINK("http://141.218.60.56/~jnz1568/getInfo.php?workbook=10_05.xlsx&amp;sheet=U0&amp;row=10224&amp;col=6&amp;number=3&amp;sourceID=14","3")</f>
        <v>3</v>
      </c>
      <c r="G10224" s="4" t="str">
        <f>HYPERLINK("http://141.218.60.56/~jnz1568/getInfo.php?workbook=10_05.xlsx&amp;sheet=U0&amp;row=10224&amp;col=7&amp;number=0.00445&amp;sourceID=14","0.00445")</f>
        <v>0.00445</v>
      </c>
    </row>
    <row r="10225" spans="1:7">
      <c r="A10225" s="3"/>
      <c r="B10225" s="3"/>
      <c r="C10225" s="3"/>
      <c r="D10225" s="3"/>
      <c r="E10225" s="3">
        <v>2</v>
      </c>
      <c r="F10225" s="4" t="str">
        <f>HYPERLINK("http://141.218.60.56/~jnz1568/getInfo.php?workbook=10_05.xlsx&amp;sheet=U0&amp;row=10225&amp;col=6&amp;number=3.1&amp;sourceID=14","3.1")</f>
        <v>3.1</v>
      </c>
      <c r="G10225" s="4" t="str">
        <f>HYPERLINK("http://141.218.60.56/~jnz1568/getInfo.php?workbook=10_05.xlsx&amp;sheet=U0&amp;row=10225&amp;col=7&amp;number=0.00446&amp;sourceID=14","0.00446")</f>
        <v>0.00446</v>
      </c>
    </row>
    <row r="10226" spans="1:7">
      <c r="A10226" s="3"/>
      <c r="B10226" s="3"/>
      <c r="C10226" s="3"/>
      <c r="D10226" s="3"/>
      <c r="E10226" s="3">
        <v>3</v>
      </c>
      <c r="F10226" s="4" t="str">
        <f>HYPERLINK("http://141.218.60.56/~jnz1568/getInfo.php?workbook=10_05.xlsx&amp;sheet=U0&amp;row=10226&amp;col=6&amp;number=3.2&amp;sourceID=14","3.2")</f>
        <v>3.2</v>
      </c>
      <c r="G10226" s="4" t="str">
        <f>HYPERLINK("http://141.218.60.56/~jnz1568/getInfo.php?workbook=10_05.xlsx&amp;sheet=U0&amp;row=10226&amp;col=7&amp;number=0.00446&amp;sourceID=14","0.00446")</f>
        <v>0.00446</v>
      </c>
    </row>
    <row r="10227" spans="1:7">
      <c r="A10227" s="3"/>
      <c r="B10227" s="3"/>
      <c r="C10227" s="3"/>
      <c r="D10227" s="3"/>
      <c r="E10227" s="3">
        <v>4</v>
      </c>
      <c r="F10227" s="4" t="str">
        <f>HYPERLINK("http://141.218.60.56/~jnz1568/getInfo.php?workbook=10_05.xlsx&amp;sheet=U0&amp;row=10227&amp;col=6&amp;number=3.3&amp;sourceID=14","3.3")</f>
        <v>3.3</v>
      </c>
      <c r="G10227" s="4" t="str">
        <f>HYPERLINK("http://141.218.60.56/~jnz1568/getInfo.php?workbook=10_05.xlsx&amp;sheet=U0&amp;row=10227&amp;col=7&amp;number=0.00446&amp;sourceID=14","0.00446")</f>
        <v>0.00446</v>
      </c>
    </row>
    <row r="10228" spans="1:7">
      <c r="A10228" s="3"/>
      <c r="B10228" s="3"/>
      <c r="C10228" s="3"/>
      <c r="D10228" s="3"/>
      <c r="E10228" s="3">
        <v>5</v>
      </c>
      <c r="F10228" s="4" t="str">
        <f>HYPERLINK("http://141.218.60.56/~jnz1568/getInfo.php?workbook=10_05.xlsx&amp;sheet=U0&amp;row=10228&amp;col=6&amp;number=3.4&amp;sourceID=14","3.4")</f>
        <v>3.4</v>
      </c>
      <c r="G10228" s="4" t="str">
        <f>HYPERLINK("http://141.218.60.56/~jnz1568/getInfo.php?workbook=10_05.xlsx&amp;sheet=U0&amp;row=10228&amp;col=7&amp;number=0.00446&amp;sourceID=14","0.00446")</f>
        <v>0.00446</v>
      </c>
    </row>
    <row r="10229" spans="1:7">
      <c r="A10229" s="3"/>
      <c r="B10229" s="3"/>
      <c r="C10229" s="3"/>
      <c r="D10229" s="3"/>
      <c r="E10229" s="3">
        <v>6</v>
      </c>
      <c r="F10229" s="4" t="str">
        <f>HYPERLINK("http://141.218.60.56/~jnz1568/getInfo.php?workbook=10_05.xlsx&amp;sheet=U0&amp;row=10229&amp;col=6&amp;number=3.5&amp;sourceID=14","3.5")</f>
        <v>3.5</v>
      </c>
      <c r="G10229" s="4" t="str">
        <f>HYPERLINK("http://141.218.60.56/~jnz1568/getInfo.php?workbook=10_05.xlsx&amp;sheet=U0&amp;row=10229&amp;col=7&amp;number=0.00446&amp;sourceID=14","0.00446")</f>
        <v>0.00446</v>
      </c>
    </row>
    <row r="10230" spans="1:7">
      <c r="A10230" s="3"/>
      <c r="B10230" s="3"/>
      <c r="C10230" s="3"/>
      <c r="D10230" s="3"/>
      <c r="E10230" s="3">
        <v>7</v>
      </c>
      <c r="F10230" s="4" t="str">
        <f>HYPERLINK("http://141.218.60.56/~jnz1568/getInfo.php?workbook=10_05.xlsx&amp;sheet=U0&amp;row=10230&amp;col=6&amp;number=3.6&amp;sourceID=14","3.6")</f>
        <v>3.6</v>
      </c>
      <c r="G10230" s="4" t="str">
        <f>HYPERLINK("http://141.218.60.56/~jnz1568/getInfo.php?workbook=10_05.xlsx&amp;sheet=U0&amp;row=10230&amp;col=7&amp;number=0.00447&amp;sourceID=14","0.00447")</f>
        <v>0.00447</v>
      </c>
    </row>
    <row r="10231" spans="1:7">
      <c r="A10231" s="3"/>
      <c r="B10231" s="3"/>
      <c r="C10231" s="3"/>
      <c r="D10231" s="3"/>
      <c r="E10231" s="3">
        <v>8</v>
      </c>
      <c r="F10231" s="4" t="str">
        <f>HYPERLINK("http://141.218.60.56/~jnz1568/getInfo.php?workbook=10_05.xlsx&amp;sheet=U0&amp;row=10231&amp;col=6&amp;number=3.7&amp;sourceID=14","3.7")</f>
        <v>3.7</v>
      </c>
      <c r="G10231" s="4" t="str">
        <f>HYPERLINK("http://141.218.60.56/~jnz1568/getInfo.php?workbook=10_05.xlsx&amp;sheet=U0&amp;row=10231&amp;col=7&amp;number=0.00447&amp;sourceID=14","0.00447")</f>
        <v>0.00447</v>
      </c>
    </row>
    <row r="10232" spans="1:7">
      <c r="A10232" s="3"/>
      <c r="B10232" s="3"/>
      <c r="C10232" s="3"/>
      <c r="D10232" s="3"/>
      <c r="E10232" s="3">
        <v>9</v>
      </c>
      <c r="F10232" s="4" t="str">
        <f>HYPERLINK("http://141.218.60.56/~jnz1568/getInfo.php?workbook=10_05.xlsx&amp;sheet=U0&amp;row=10232&amp;col=6&amp;number=3.8&amp;sourceID=14","3.8")</f>
        <v>3.8</v>
      </c>
      <c r="G10232" s="4" t="str">
        <f>HYPERLINK("http://141.218.60.56/~jnz1568/getInfo.php?workbook=10_05.xlsx&amp;sheet=U0&amp;row=10232&amp;col=7&amp;number=0.00448&amp;sourceID=14","0.00448")</f>
        <v>0.00448</v>
      </c>
    </row>
    <row r="10233" spans="1:7">
      <c r="A10233" s="3"/>
      <c r="B10233" s="3"/>
      <c r="C10233" s="3"/>
      <c r="D10233" s="3"/>
      <c r="E10233" s="3">
        <v>10</v>
      </c>
      <c r="F10233" s="4" t="str">
        <f>HYPERLINK("http://141.218.60.56/~jnz1568/getInfo.php?workbook=10_05.xlsx&amp;sheet=U0&amp;row=10233&amp;col=6&amp;number=3.9&amp;sourceID=14","3.9")</f>
        <v>3.9</v>
      </c>
      <c r="G10233" s="4" t="str">
        <f>HYPERLINK("http://141.218.60.56/~jnz1568/getInfo.php?workbook=10_05.xlsx&amp;sheet=U0&amp;row=10233&amp;col=7&amp;number=0.00448&amp;sourceID=14","0.00448")</f>
        <v>0.00448</v>
      </c>
    </row>
    <row r="10234" spans="1:7">
      <c r="A10234" s="3"/>
      <c r="B10234" s="3"/>
      <c r="C10234" s="3"/>
      <c r="D10234" s="3"/>
      <c r="E10234" s="3">
        <v>11</v>
      </c>
      <c r="F10234" s="4" t="str">
        <f>HYPERLINK("http://141.218.60.56/~jnz1568/getInfo.php?workbook=10_05.xlsx&amp;sheet=U0&amp;row=10234&amp;col=6&amp;number=4&amp;sourceID=14","4")</f>
        <v>4</v>
      </c>
      <c r="G10234" s="4" t="str">
        <f>HYPERLINK("http://141.218.60.56/~jnz1568/getInfo.php?workbook=10_05.xlsx&amp;sheet=U0&amp;row=10234&amp;col=7&amp;number=0.00449&amp;sourceID=14","0.00449")</f>
        <v>0.00449</v>
      </c>
    </row>
    <row r="10235" spans="1:7">
      <c r="A10235" s="3"/>
      <c r="B10235" s="3"/>
      <c r="C10235" s="3"/>
      <c r="D10235" s="3"/>
      <c r="E10235" s="3">
        <v>12</v>
      </c>
      <c r="F10235" s="4" t="str">
        <f>HYPERLINK("http://141.218.60.56/~jnz1568/getInfo.php?workbook=10_05.xlsx&amp;sheet=U0&amp;row=10235&amp;col=6&amp;number=4.1&amp;sourceID=14","4.1")</f>
        <v>4.1</v>
      </c>
      <c r="G10235" s="4" t="str">
        <f>HYPERLINK("http://141.218.60.56/~jnz1568/getInfo.php?workbook=10_05.xlsx&amp;sheet=U0&amp;row=10235&amp;col=7&amp;number=0.0045&amp;sourceID=14","0.0045")</f>
        <v>0.0045</v>
      </c>
    </row>
    <row r="10236" spans="1:7">
      <c r="A10236" s="3"/>
      <c r="B10236" s="3"/>
      <c r="C10236" s="3"/>
      <c r="D10236" s="3"/>
      <c r="E10236" s="3">
        <v>13</v>
      </c>
      <c r="F10236" s="4" t="str">
        <f>HYPERLINK("http://141.218.60.56/~jnz1568/getInfo.php?workbook=10_05.xlsx&amp;sheet=U0&amp;row=10236&amp;col=6&amp;number=4.2&amp;sourceID=14","4.2")</f>
        <v>4.2</v>
      </c>
      <c r="G10236" s="4" t="str">
        <f>HYPERLINK("http://141.218.60.56/~jnz1568/getInfo.php?workbook=10_05.xlsx&amp;sheet=U0&amp;row=10236&amp;col=7&amp;number=0.00451&amp;sourceID=14","0.00451")</f>
        <v>0.00451</v>
      </c>
    </row>
    <row r="10237" spans="1:7">
      <c r="A10237" s="3"/>
      <c r="B10237" s="3"/>
      <c r="C10237" s="3"/>
      <c r="D10237" s="3"/>
      <c r="E10237" s="3">
        <v>14</v>
      </c>
      <c r="F10237" s="4" t="str">
        <f>HYPERLINK("http://141.218.60.56/~jnz1568/getInfo.php?workbook=10_05.xlsx&amp;sheet=U0&amp;row=10237&amp;col=6&amp;number=4.3&amp;sourceID=14","4.3")</f>
        <v>4.3</v>
      </c>
      <c r="G10237" s="4" t="str">
        <f>HYPERLINK("http://141.218.60.56/~jnz1568/getInfo.php?workbook=10_05.xlsx&amp;sheet=U0&amp;row=10237&amp;col=7&amp;number=0.00452&amp;sourceID=14","0.00452")</f>
        <v>0.00452</v>
      </c>
    </row>
    <row r="10238" spans="1:7">
      <c r="A10238" s="3"/>
      <c r="B10238" s="3"/>
      <c r="C10238" s="3"/>
      <c r="D10238" s="3"/>
      <c r="E10238" s="3">
        <v>15</v>
      </c>
      <c r="F10238" s="4" t="str">
        <f>HYPERLINK("http://141.218.60.56/~jnz1568/getInfo.php?workbook=10_05.xlsx&amp;sheet=U0&amp;row=10238&amp;col=6&amp;number=4.4&amp;sourceID=14","4.4")</f>
        <v>4.4</v>
      </c>
      <c r="G10238" s="4" t="str">
        <f>HYPERLINK("http://141.218.60.56/~jnz1568/getInfo.php?workbook=10_05.xlsx&amp;sheet=U0&amp;row=10238&amp;col=7&amp;number=0.00453&amp;sourceID=14","0.00453")</f>
        <v>0.00453</v>
      </c>
    </row>
    <row r="10239" spans="1:7">
      <c r="A10239" s="3"/>
      <c r="B10239" s="3"/>
      <c r="C10239" s="3"/>
      <c r="D10239" s="3"/>
      <c r="E10239" s="3">
        <v>16</v>
      </c>
      <c r="F10239" s="4" t="str">
        <f>HYPERLINK("http://141.218.60.56/~jnz1568/getInfo.php?workbook=10_05.xlsx&amp;sheet=U0&amp;row=10239&amp;col=6&amp;number=4.5&amp;sourceID=14","4.5")</f>
        <v>4.5</v>
      </c>
      <c r="G10239" s="4" t="str">
        <f>HYPERLINK("http://141.218.60.56/~jnz1568/getInfo.php?workbook=10_05.xlsx&amp;sheet=U0&amp;row=10239&amp;col=7&amp;number=0.00453&amp;sourceID=14","0.00453")</f>
        <v>0.00453</v>
      </c>
    </row>
    <row r="10240" spans="1:7">
      <c r="A10240" s="3"/>
      <c r="B10240" s="3"/>
      <c r="C10240" s="3"/>
      <c r="D10240" s="3"/>
      <c r="E10240" s="3">
        <v>17</v>
      </c>
      <c r="F10240" s="4" t="str">
        <f>HYPERLINK("http://141.218.60.56/~jnz1568/getInfo.php?workbook=10_05.xlsx&amp;sheet=U0&amp;row=10240&amp;col=6&amp;number=4.6&amp;sourceID=14","4.6")</f>
        <v>4.6</v>
      </c>
      <c r="G10240" s="4" t="str">
        <f>HYPERLINK("http://141.218.60.56/~jnz1568/getInfo.php?workbook=10_05.xlsx&amp;sheet=U0&amp;row=10240&amp;col=7&amp;number=0.00453&amp;sourceID=14","0.00453")</f>
        <v>0.00453</v>
      </c>
    </row>
    <row r="10241" spans="1:7">
      <c r="A10241" s="3"/>
      <c r="B10241" s="3"/>
      <c r="C10241" s="3"/>
      <c r="D10241" s="3"/>
      <c r="E10241" s="3">
        <v>18</v>
      </c>
      <c r="F10241" s="4" t="str">
        <f>HYPERLINK("http://141.218.60.56/~jnz1568/getInfo.php?workbook=10_05.xlsx&amp;sheet=U0&amp;row=10241&amp;col=6&amp;number=4.7&amp;sourceID=14","4.7")</f>
        <v>4.7</v>
      </c>
      <c r="G10241" s="4" t="str">
        <f>HYPERLINK("http://141.218.60.56/~jnz1568/getInfo.php?workbook=10_05.xlsx&amp;sheet=U0&amp;row=10241&amp;col=7&amp;number=0.00452&amp;sourceID=14","0.00452")</f>
        <v>0.00452</v>
      </c>
    </row>
    <row r="10242" spans="1:7">
      <c r="A10242" s="3"/>
      <c r="B10242" s="3"/>
      <c r="C10242" s="3"/>
      <c r="D10242" s="3"/>
      <c r="E10242" s="3">
        <v>19</v>
      </c>
      <c r="F10242" s="4" t="str">
        <f>HYPERLINK("http://141.218.60.56/~jnz1568/getInfo.php?workbook=10_05.xlsx&amp;sheet=U0&amp;row=10242&amp;col=6&amp;number=4.8&amp;sourceID=14","4.8")</f>
        <v>4.8</v>
      </c>
      <c r="G10242" s="4" t="str">
        <f>HYPERLINK("http://141.218.60.56/~jnz1568/getInfo.php?workbook=10_05.xlsx&amp;sheet=U0&amp;row=10242&amp;col=7&amp;number=0.0045&amp;sourceID=14","0.0045")</f>
        <v>0.0045</v>
      </c>
    </row>
    <row r="10243" spans="1:7">
      <c r="A10243" s="3"/>
      <c r="B10243" s="3"/>
      <c r="C10243" s="3"/>
      <c r="D10243" s="3"/>
      <c r="E10243" s="3">
        <v>20</v>
      </c>
      <c r="F10243" s="4" t="str">
        <f>HYPERLINK("http://141.218.60.56/~jnz1568/getInfo.php?workbook=10_05.xlsx&amp;sheet=U0&amp;row=10243&amp;col=6&amp;number=4.9&amp;sourceID=14","4.9")</f>
        <v>4.9</v>
      </c>
      <c r="G10243" s="4" t="str">
        <f>HYPERLINK("http://141.218.60.56/~jnz1568/getInfo.php?workbook=10_05.xlsx&amp;sheet=U0&amp;row=10243&amp;col=7&amp;number=0.00445&amp;sourceID=14","0.00445")</f>
        <v>0.00445</v>
      </c>
    </row>
    <row r="10244" spans="1:7">
      <c r="A10244" s="3">
        <v>10</v>
      </c>
      <c r="B10244" s="3">
        <v>5</v>
      </c>
      <c r="C10244" s="3">
        <v>3</v>
      </c>
      <c r="D10244" s="3">
        <v>159</v>
      </c>
      <c r="E10244" s="3">
        <v>1</v>
      </c>
      <c r="F10244" s="4" t="str">
        <f>HYPERLINK("http://141.218.60.56/~jnz1568/getInfo.php?workbook=10_05.xlsx&amp;sheet=U0&amp;row=10244&amp;col=6&amp;number=3&amp;sourceID=14","3")</f>
        <v>3</v>
      </c>
      <c r="G10244" s="4" t="str">
        <f>HYPERLINK("http://141.218.60.56/~jnz1568/getInfo.php?workbook=10_05.xlsx&amp;sheet=U0&amp;row=10244&amp;col=7&amp;number=0.00224&amp;sourceID=14","0.00224")</f>
        <v>0.00224</v>
      </c>
    </row>
    <row r="10245" spans="1:7">
      <c r="A10245" s="3"/>
      <c r="B10245" s="3"/>
      <c r="C10245" s="3"/>
      <c r="D10245" s="3"/>
      <c r="E10245" s="3">
        <v>2</v>
      </c>
      <c r="F10245" s="4" t="str">
        <f>HYPERLINK("http://141.218.60.56/~jnz1568/getInfo.php?workbook=10_05.xlsx&amp;sheet=U0&amp;row=10245&amp;col=6&amp;number=3.1&amp;sourceID=14","3.1")</f>
        <v>3.1</v>
      </c>
      <c r="G10245" s="4" t="str">
        <f>HYPERLINK("http://141.218.60.56/~jnz1568/getInfo.php?workbook=10_05.xlsx&amp;sheet=U0&amp;row=10245&amp;col=7&amp;number=0.00224&amp;sourceID=14","0.00224")</f>
        <v>0.00224</v>
      </c>
    </row>
    <row r="10246" spans="1:7">
      <c r="A10246" s="3"/>
      <c r="B10246" s="3"/>
      <c r="C10246" s="3"/>
      <c r="D10246" s="3"/>
      <c r="E10246" s="3">
        <v>3</v>
      </c>
      <c r="F10246" s="4" t="str">
        <f>HYPERLINK("http://141.218.60.56/~jnz1568/getInfo.php?workbook=10_05.xlsx&amp;sheet=U0&amp;row=10246&amp;col=6&amp;number=3.2&amp;sourceID=14","3.2")</f>
        <v>3.2</v>
      </c>
      <c r="G10246" s="4" t="str">
        <f>HYPERLINK("http://141.218.60.56/~jnz1568/getInfo.php?workbook=10_05.xlsx&amp;sheet=U0&amp;row=10246&amp;col=7&amp;number=0.00224&amp;sourceID=14","0.00224")</f>
        <v>0.00224</v>
      </c>
    </row>
    <row r="10247" spans="1:7">
      <c r="A10247" s="3"/>
      <c r="B10247" s="3"/>
      <c r="C10247" s="3"/>
      <c r="D10247" s="3"/>
      <c r="E10247" s="3">
        <v>4</v>
      </c>
      <c r="F10247" s="4" t="str">
        <f>HYPERLINK("http://141.218.60.56/~jnz1568/getInfo.php?workbook=10_05.xlsx&amp;sheet=U0&amp;row=10247&amp;col=6&amp;number=3.3&amp;sourceID=14","3.3")</f>
        <v>3.3</v>
      </c>
      <c r="G10247" s="4" t="str">
        <f>HYPERLINK("http://141.218.60.56/~jnz1568/getInfo.php?workbook=10_05.xlsx&amp;sheet=U0&amp;row=10247&amp;col=7&amp;number=0.00224&amp;sourceID=14","0.00224")</f>
        <v>0.00224</v>
      </c>
    </row>
    <row r="10248" spans="1:7">
      <c r="A10248" s="3"/>
      <c r="B10248" s="3"/>
      <c r="C10248" s="3"/>
      <c r="D10248" s="3"/>
      <c r="E10248" s="3">
        <v>5</v>
      </c>
      <c r="F10248" s="4" t="str">
        <f>HYPERLINK("http://141.218.60.56/~jnz1568/getInfo.php?workbook=10_05.xlsx&amp;sheet=U0&amp;row=10248&amp;col=6&amp;number=3.4&amp;sourceID=14","3.4")</f>
        <v>3.4</v>
      </c>
      <c r="G10248" s="4" t="str">
        <f>HYPERLINK("http://141.218.60.56/~jnz1568/getInfo.php?workbook=10_05.xlsx&amp;sheet=U0&amp;row=10248&amp;col=7&amp;number=0.00224&amp;sourceID=14","0.00224")</f>
        <v>0.00224</v>
      </c>
    </row>
    <row r="10249" spans="1:7">
      <c r="A10249" s="3"/>
      <c r="B10249" s="3"/>
      <c r="C10249" s="3"/>
      <c r="D10249" s="3"/>
      <c r="E10249" s="3">
        <v>6</v>
      </c>
      <c r="F10249" s="4" t="str">
        <f>HYPERLINK("http://141.218.60.56/~jnz1568/getInfo.php?workbook=10_05.xlsx&amp;sheet=U0&amp;row=10249&amp;col=6&amp;number=3.5&amp;sourceID=14","3.5")</f>
        <v>3.5</v>
      </c>
      <c r="G10249" s="4" t="str">
        <f>HYPERLINK("http://141.218.60.56/~jnz1568/getInfo.php?workbook=10_05.xlsx&amp;sheet=U0&amp;row=10249&amp;col=7&amp;number=0.00224&amp;sourceID=14","0.00224")</f>
        <v>0.00224</v>
      </c>
    </row>
    <row r="10250" spans="1:7">
      <c r="A10250" s="3"/>
      <c r="B10250" s="3"/>
      <c r="C10250" s="3"/>
      <c r="D10250" s="3"/>
      <c r="E10250" s="3">
        <v>7</v>
      </c>
      <c r="F10250" s="4" t="str">
        <f>HYPERLINK("http://141.218.60.56/~jnz1568/getInfo.php?workbook=10_05.xlsx&amp;sheet=U0&amp;row=10250&amp;col=6&amp;number=3.6&amp;sourceID=14","3.6")</f>
        <v>3.6</v>
      </c>
      <c r="G10250" s="4" t="str">
        <f>HYPERLINK("http://141.218.60.56/~jnz1568/getInfo.php?workbook=10_05.xlsx&amp;sheet=U0&amp;row=10250&amp;col=7&amp;number=0.00224&amp;sourceID=14","0.00224")</f>
        <v>0.00224</v>
      </c>
    </row>
    <row r="10251" spans="1:7">
      <c r="A10251" s="3"/>
      <c r="B10251" s="3"/>
      <c r="C10251" s="3"/>
      <c r="D10251" s="3"/>
      <c r="E10251" s="3">
        <v>8</v>
      </c>
      <c r="F10251" s="4" t="str">
        <f>HYPERLINK("http://141.218.60.56/~jnz1568/getInfo.php?workbook=10_05.xlsx&amp;sheet=U0&amp;row=10251&amp;col=6&amp;number=3.7&amp;sourceID=14","3.7")</f>
        <v>3.7</v>
      </c>
      <c r="G10251" s="4" t="str">
        <f>HYPERLINK("http://141.218.60.56/~jnz1568/getInfo.php?workbook=10_05.xlsx&amp;sheet=U0&amp;row=10251&amp;col=7&amp;number=0.00224&amp;sourceID=14","0.00224")</f>
        <v>0.00224</v>
      </c>
    </row>
    <row r="10252" spans="1:7">
      <c r="A10252" s="3"/>
      <c r="B10252" s="3"/>
      <c r="C10252" s="3"/>
      <c r="D10252" s="3"/>
      <c r="E10252" s="3">
        <v>9</v>
      </c>
      <c r="F10252" s="4" t="str">
        <f>HYPERLINK("http://141.218.60.56/~jnz1568/getInfo.php?workbook=10_05.xlsx&amp;sheet=U0&amp;row=10252&amp;col=6&amp;number=3.8&amp;sourceID=14","3.8")</f>
        <v>3.8</v>
      </c>
      <c r="G10252" s="4" t="str">
        <f>HYPERLINK("http://141.218.60.56/~jnz1568/getInfo.php?workbook=10_05.xlsx&amp;sheet=U0&amp;row=10252&amp;col=7&amp;number=0.00224&amp;sourceID=14","0.00224")</f>
        <v>0.00224</v>
      </c>
    </row>
    <row r="10253" spans="1:7">
      <c r="A10253" s="3"/>
      <c r="B10253" s="3"/>
      <c r="C10253" s="3"/>
      <c r="D10253" s="3"/>
      <c r="E10253" s="3">
        <v>10</v>
      </c>
      <c r="F10253" s="4" t="str">
        <f>HYPERLINK("http://141.218.60.56/~jnz1568/getInfo.php?workbook=10_05.xlsx&amp;sheet=U0&amp;row=10253&amp;col=6&amp;number=3.9&amp;sourceID=14","3.9")</f>
        <v>3.9</v>
      </c>
      <c r="G10253" s="4" t="str">
        <f>HYPERLINK("http://141.218.60.56/~jnz1568/getInfo.php?workbook=10_05.xlsx&amp;sheet=U0&amp;row=10253&amp;col=7&amp;number=0.00224&amp;sourceID=14","0.00224")</f>
        <v>0.00224</v>
      </c>
    </row>
    <row r="10254" spans="1:7">
      <c r="A10254" s="3"/>
      <c r="B10254" s="3"/>
      <c r="C10254" s="3"/>
      <c r="D10254" s="3"/>
      <c r="E10254" s="3">
        <v>11</v>
      </c>
      <c r="F10254" s="4" t="str">
        <f>HYPERLINK("http://141.218.60.56/~jnz1568/getInfo.php?workbook=10_05.xlsx&amp;sheet=U0&amp;row=10254&amp;col=6&amp;number=4&amp;sourceID=14","4")</f>
        <v>4</v>
      </c>
      <c r="G10254" s="4" t="str">
        <f>HYPERLINK("http://141.218.60.56/~jnz1568/getInfo.php?workbook=10_05.xlsx&amp;sheet=U0&amp;row=10254&amp;col=7&amp;number=0.00224&amp;sourceID=14","0.00224")</f>
        <v>0.00224</v>
      </c>
    </row>
    <row r="10255" spans="1:7">
      <c r="A10255" s="3"/>
      <c r="B10255" s="3"/>
      <c r="C10255" s="3"/>
      <c r="D10255" s="3"/>
      <c r="E10255" s="3">
        <v>12</v>
      </c>
      <c r="F10255" s="4" t="str">
        <f>HYPERLINK("http://141.218.60.56/~jnz1568/getInfo.php?workbook=10_05.xlsx&amp;sheet=U0&amp;row=10255&amp;col=6&amp;number=4.1&amp;sourceID=14","4.1")</f>
        <v>4.1</v>
      </c>
      <c r="G10255" s="4" t="str">
        <f>HYPERLINK("http://141.218.60.56/~jnz1568/getInfo.php?workbook=10_05.xlsx&amp;sheet=U0&amp;row=10255&amp;col=7&amp;number=0.00224&amp;sourceID=14","0.00224")</f>
        <v>0.00224</v>
      </c>
    </row>
    <row r="10256" spans="1:7">
      <c r="A10256" s="3"/>
      <c r="B10256" s="3"/>
      <c r="C10256" s="3"/>
      <c r="D10256" s="3"/>
      <c r="E10256" s="3">
        <v>13</v>
      </c>
      <c r="F10256" s="4" t="str">
        <f>HYPERLINK("http://141.218.60.56/~jnz1568/getInfo.php?workbook=10_05.xlsx&amp;sheet=U0&amp;row=10256&amp;col=6&amp;number=4.2&amp;sourceID=14","4.2")</f>
        <v>4.2</v>
      </c>
      <c r="G10256" s="4" t="str">
        <f>HYPERLINK("http://141.218.60.56/~jnz1568/getInfo.php?workbook=10_05.xlsx&amp;sheet=U0&amp;row=10256&amp;col=7&amp;number=0.00225&amp;sourceID=14","0.00225")</f>
        <v>0.00225</v>
      </c>
    </row>
    <row r="10257" spans="1:7">
      <c r="A10257" s="3"/>
      <c r="B10257" s="3"/>
      <c r="C10257" s="3"/>
      <c r="D10257" s="3"/>
      <c r="E10257" s="3">
        <v>14</v>
      </c>
      <c r="F10257" s="4" t="str">
        <f>HYPERLINK("http://141.218.60.56/~jnz1568/getInfo.php?workbook=10_05.xlsx&amp;sheet=U0&amp;row=10257&amp;col=6&amp;number=4.3&amp;sourceID=14","4.3")</f>
        <v>4.3</v>
      </c>
      <c r="G10257" s="4" t="str">
        <f>HYPERLINK("http://141.218.60.56/~jnz1568/getInfo.php?workbook=10_05.xlsx&amp;sheet=U0&amp;row=10257&amp;col=7&amp;number=0.00225&amp;sourceID=14","0.00225")</f>
        <v>0.00225</v>
      </c>
    </row>
    <row r="10258" spans="1:7">
      <c r="A10258" s="3"/>
      <c r="B10258" s="3"/>
      <c r="C10258" s="3"/>
      <c r="D10258" s="3"/>
      <c r="E10258" s="3">
        <v>15</v>
      </c>
      <c r="F10258" s="4" t="str">
        <f>HYPERLINK("http://141.218.60.56/~jnz1568/getInfo.php?workbook=10_05.xlsx&amp;sheet=U0&amp;row=10258&amp;col=6&amp;number=4.4&amp;sourceID=14","4.4")</f>
        <v>4.4</v>
      </c>
      <c r="G10258" s="4" t="str">
        <f>HYPERLINK("http://141.218.60.56/~jnz1568/getInfo.php?workbook=10_05.xlsx&amp;sheet=U0&amp;row=10258&amp;col=7&amp;number=0.00225&amp;sourceID=14","0.00225")</f>
        <v>0.00225</v>
      </c>
    </row>
    <row r="10259" spans="1:7">
      <c r="A10259" s="3"/>
      <c r="B10259" s="3"/>
      <c r="C10259" s="3"/>
      <c r="D10259" s="3"/>
      <c r="E10259" s="3">
        <v>16</v>
      </c>
      <c r="F10259" s="4" t="str">
        <f>HYPERLINK("http://141.218.60.56/~jnz1568/getInfo.php?workbook=10_05.xlsx&amp;sheet=U0&amp;row=10259&amp;col=6&amp;number=4.5&amp;sourceID=14","4.5")</f>
        <v>4.5</v>
      </c>
      <c r="G10259" s="4" t="str">
        <f>HYPERLINK("http://141.218.60.56/~jnz1568/getInfo.php?workbook=10_05.xlsx&amp;sheet=U0&amp;row=10259&amp;col=7&amp;number=0.00224&amp;sourceID=14","0.00224")</f>
        <v>0.00224</v>
      </c>
    </row>
    <row r="10260" spans="1:7">
      <c r="A10260" s="3"/>
      <c r="B10260" s="3"/>
      <c r="C10260" s="3"/>
      <c r="D10260" s="3"/>
      <c r="E10260" s="3">
        <v>17</v>
      </c>
      <c r="F10260" s="4" t="str">
        <f>HYPERLINK("http://141.218.60.56/~jnz1568/getInfo.php?workbook=10_05.xlsx&amp;sheet=U0&amp;row=10260&amp;col=6&amp;number=4.6&amp;sourceID=14","4.6")</f>
        <v>4.6</v>
      </c>
      <c r="G10260" s="4" t="str">
        <f>HYPERLINK("http://141.218.60.56/~jnz1568/getInfo.php?workbook=10_05.xlsx&amp;sheet=U0&amp;row=10260&amp;col=7&amp;number=0.00224&amp;sourceID=14","0.00224")</f>
        <v>0.00224</v>
      </c>
    </row>
    <row r="10261" spans="1:7">
      <c r="A10261" s="3"/>
      <c r="B10261" s="3"/>
      <c r="C10261" s="3"/>
      <c r="D10261" s="3"/>
      <c r="E10261" s="3">
        <v>18</v>
      </c>
      <c r="F10261" s="4" t="str">
        <f>HYPERLINK("http://141.218.60.56/~jnz1568/getInfo.php?workbook=10_05.xlsx&amp;sheet=U0&amp;row=10261&amp;col=6&amp;number=4.7&amp;sourceID=14","4.7")</f>
        <v>4.7</v>
      </c>
      <c r="G10261" s="4" t="str">
        <f>HYPERLINK("http://141.218.60.56/~jnz1568/getInfo.php?workbook=10_05.xlsx&amp;sheet=U0&amp;row=10261&amp;col=7&amp;number=0.00224&amp;sourceID=14","0.00224")</f>
        <v>0.00224</v>
      </c>
    </row>
    <row r="10262" spans="1:7">
      <c r="A10262" s="3"/>
      <c r="B10262" s="3"/>
      <c r="C10262" s="3"/>
      <c r="D10262" s="3"/>
      <c r="E10262" s="3">
        <v>19</v>
      </c>
      <c r="F10262" s="4" t="str">
        <f>HYPERLINK("http://141.218.60.56/~jnz1568/getInfo.php?workbook=10_05.xlsx&amp;sheet=U0&amp;row=10262&amp;col=6&amp;number=4.8&amp;sourceID=14","4.8")</f>
        <v>4.8</v>
      </c>
      <c r="G10262" s="4" t="str">
        <f>HYPERLINK("http://141.218.60.56/~jnz1568/getInfo.php?workbook=10_05.xlsx&amp;sheet=U0&amp;row=10262&amp;col=7&amp;number=0.00223&amp;sourceID=14","0.00223")</f>
        <v>0.00223</v>
      </c>
    </row>
    <row r="10263" spans="1:7">
      <c r="A10263" s="3"/>
      <c r="B10263" s="3"/>
      <c r="C10263" s="3"/>
      <c r="D10263" s="3"/>
      <c r="E10263" s="3">
        <v>20</v>
      </c>
      <c r="F10263" s="4" t="str">
        <f>HYPERLINK("http://141.218.60.56/~jnz1568/getInfo.php?workbook=10_05.xlsx&amp;sheet=U0&amp;row=10263&amp;col=6&amp;number=4.9&amp;sourceID=14","4.9")</f>
        <v>4.9</v>
      </c>
      <c r="G10263" s="4" t="str">
        <f>HYPERLINK("http://141.218.60.56/~jnz1568/getInfo.php?workbook=10_05.xlsx&amp;sheet=U0&amp;row=10263&amp;col=7&amp;number=0.00222&amp;sourceID=14","0.00222")</f>
        <v>0.00222</v>
      </c>
    </row>
    <row r="10264" spans="1:7">
      <c r="A10264" s="3">
        <v>10</v>
      </c>
      <c r="B10264" s="3">
        <v>5</v>
      </c>
      <c r="C10264" s="3">
        <v>3</v>
      </c>
      <c r="D10264" s="3">
        <v>160</v>
      </c>
      <c r="E10264" s="3">
        <v>1</v>
      </c>
      <c r="F10264" s="4" t="str">
        <f>HYPERLINK("http://141.218.60.56/~jnz1568/getInfo.php?workbook=10_05.xlsx&amp;sheet=U0&amp;row=10264&amp;col=6&amp;number=3&amp;sourceID=14","3")</f>
        <v>3</v>
      </c>
      <c r="G10264" s="4" t="str">
        <f>HYPERLINK("http://141.218.60.56/~jnz1568/getInfo.php?workbook=10_05.xlsx&amp;sheet=U0&amp;row=10264&amp;col=7&amp;number=0.00063&amp;sourceID=14","0.00063")</f>
        <v>0.00063</v>
      </c>
    </row>
    <row r="10265" spans="1:7">
      <c r="A10265" s="3"/>
      <c r="B10265" s="3"/>
      <c r="C10265" s="3"/>
      <c r="D10265" s="3"/>
      <c r="E10265" s="3">
        <v>2</v>
      </c>
      <c r="F10265" s="4" t="str">
        <f>HYPERLINK("http://141.218.60.56/~jnz1568/getInfo.php?workbook=10_05.xlsx&amp;sheet=U0&amp;row=10265&amp;col=6&amp;number=3.1&amp;sourceID=14","3.1")</f>
        <v>3.1</v>
      </c>
      <c r="G10265" s="4" t="str">
        <f>HYPERLINK("http://141.218.60.56/~jnz1568/getInfo.php?workbook=10_05.xlsx&amp;sheet=U0&amp;row=10265&amp;col=7&amp;number=0.000631&amp;sourceID=14","0.000631")</f>
        <v>0.000631</v>
      </c>
    </row>
    <row r="10266" spans="1:7">
      <c r="A10266" s="3"/>
      <c r="B10266" s="3"/>
      <c r="C10266" s="3"/>
      <c r="D10266" s="3"/>
      <c r="E10266" s="3">
        <v>3</v>
      </c>
      <c r="F10266" s="4" t="str">
        <f>HYPERLINK("http://141.218.60.56/~jnz1568/getInfo.php?workbook=10_05.xlsx&amp;sheet=U0&amp;row=10266&amp;col=6&amp;number=3.2&amp;sourceID=14","3.2")</f>
        <v>3.2</v>
      </c>
      <c r="G10266" s="4" t="str">
        <f>HYPERLINK("http://141.218.60.56/~jnz1568/getInfo.php?workbook=10_05.xlsx&amp;sheet=U0&amp;row=10266&amp;col=7&amp;number=0.000633&amp;sourceID=14","0.000633")</f>
        <v>0.000633</v>
      </c>
    </row>
    <row r="10267" spans="1:7">
      <c r="A10267" s="3"/>
      <c r="B10267" s="3"/>
      <c r="C10267" s="3"/>
      <c r="D10267" s="3"/>
      <c r="E10267" s="3">
        <v>4</v>
      </c>
      <c r="F10267" s="4" t="str">
        <f>HYPERLINK("http://141.218.60.56/~jnz1568/getInfo.php?workbook=10_05.xlsx&amp;sheet=U0&amp;row=10267&amp;col=6&amp;number=3.3&amp;sourceID=14","3.3")</f>
        <v>3.3</v>
      </c>
      <c r="G10267" s="4" t="str">
        <f>HYPERLINK("http://141.218.60.56/~jnz1568/getInfo.php?workbook=10_05.xlsx&amp;sheet=U0&amp;row=10267&amp;col=7&amp;number=0.000636&amp;sourceID=14","0.000636")</f>
        <v>0.000636</v>
      </c>
    </row>
    <row r="10268" spans="1:7">
      <c r="A10268" s="3"/>
      <c r="B10268" s="3"/>
      <c r="C10268" s="3"/>
      <c r="D10268" s="3"/>
      <c r="E10268" s="3">
        <v>5</v>
      </c>
      <c r="F10268" s="4" t="str">
        <f>HYPERLINK("http://141.218.60.56/~jnz1568/getInfo.php?workbook=10_05.xlsx&amp;sheet=U0&amp;row=10268&amp;col=6&amp;number=3.4&amp;sourceID=14","3.4")</f>
        <v>3.4</v>
      </c>
      <c r="G10268" s="4" t="str">
        <f>HYPERLINK("http://141.218.60.56/~jnz1568/getInfo.php?workbook=10_05.xlsx&amp;sheet=U0&amp;row=10268&amp;col=7&amp;number=0.000639&amp;sourceID=14","0.000639")</f>
        <v>0.000639</v>
      </c>
    </row>
    <row r="10269" spans="1:7">
      <c r="A10269" s="3"/>
      <c r="B10269" s="3"/>
      <c r="C10269" s="3"/>
      <c r="D10269" s="3"/>
      <c r="E10269" s="3">
        <v>6</v>
      </c>
      <c r="F10269" s="4" t="str">
        <f>HYPERLINK("http://141.218.60.56/~jnz1568/getInfo.php?workbook=10_05.xlsx&amp;sheet=U0&amp;row=10269&amp;col=6&amp;number=3.5&amp;sourceID=14","3.5")</f>
        <v>3.5</v>
      </c>
      <c r="G10269" s="4" t="str">
        <f>HYPERLINK("http://141.218.60.56/~jnz1568/getInfo.php?workbook=10_05.xlsx&amp;sheet=U0&amp;row=10269&amp;col=7&amp;number=0.000642&amp;sourceID=14","0.000642")</f>
        <v>0.000642</v>
      </c>
    </row>
    <row r="10270" spans="1:7">
      <c r="A10270" s="3"/>
      <c r="B10270" s="3"/>
      <c r="C10270" s="3"/>
      <c r="D10270" s="3"/>
      <c r="E10270" s="3">
        <v>7</v>
      </c>
      <c r="F10270" s="4" t="str">
        <f>HYPERLINK("http://141.218.60.56/~jnz1568/getInfo.php?workbook=10_05.xlsx&amp;sheet=U0&amp;row=10270&amp;col=6&amp;number=3.6&amp;sourceID=14","3.6")</f>
        <v>3.6</v>
      </c>
      <c r="G10270" s="4" t="str">
        <f>HYPERLINK("http://141.218.60.56/~jnz1568/getInfo.php?workbook=10_05.xlsx&amp;sheet=U0&amp;row=10270&amp;col=7&amp;number=0.000647&amp;sourceID=14","0.000647")</f>
        <v>0.000647</v>
      </c>
    </row>
    <row r="10271" spans="1:7">
      <c r="A10271" s="3"/>
      <c r="B10271" s="3"/>
      <c r="C10271" s="3"/>
      <c r="D10271" s="3"/>
      <c r="E10271" s="3">
        <v>8</v>
      </c>
      <c r="F10271" s="4" t="str">
        <f>HYPERLINK("http://141.218.60.56/~jnz1568/getInfo.php?workbook=10_05.xlsx&amp;sheet=U0&amp;row=10271&amp;col=6&amp;number=3.7&amp;sourceID=14","3.7")</f>
        <v>3.7</v>
      </c>
      <c r="G10271" s="4" t="str">
        <f>HYPERLINK("http://141.218.60.56/~jnz1568/getInfo.php?workbook=10_05.xlsx&amp;sheet=U0&amp;row=10271&amp;col=7&amp;number=0.000652&amp;sourceID=14","0.000652")</f>
        <v>0.000652</v>
      </c>
    </row>
    <row r="10272" spans="1:7">
      <c r="A10272" s="3"/>
      <c r="B10272" s="3"/>
      <c r="C10272" s="3"/>
      <c r="D10272" s="3"/>
      <c r="E10272" s="3">
        <v>9</v>
      </c>
      <c r="F10272" s="4" t="str">
        <f>HYPERLINK("http://141.218.60.56/~jnz1568/getInfo.php?workbook=10_05.xlsx&amp;sheet=U0&amp;row=10272&amp;col=6&amp;number=3.8&amp;sourceID=14","3.8")</f>
        <v>3.8</v>
      </c>
      <c r="G10272" s="4" t="str">
        <f>HYPERLINK("http://141.218.60.56/~jnz1568/getInfo.php?workbook=10_05.xlsx&amp;sheet=U0&amp;row=10272&amp;col=7&amp;number=0.000658&amp;sourceID=14","0.000658")</f>
        <v>0.000658</v>
      </c>
    </row>
    <row r="10273" spans="1:7">
      <c r="A10273" s="3"/>
      <c r="B10273" s="3"/>
      <c r="C10273" s="3"/>
      <c r="D10273" s="3"/>
      <c r="E10273" s="3">
        <v>10</v>
      </c>
      <c r="F10273" s="4" t="str">
        <f>HYPERLINK("http://141.218.60.56/~jnz1568/getInfo.php?workbook=10_05.xlsx&amp;sheet=U0&amp;row=10273&amp;col=6&amp;number=3.9&amp;sourceID=14","3.9")</f>
        <v>3.9</v>
      </c>
      <c r="G10273" s="4" t="str">
        <f>HYPERLINK("http://141.218.60.56/~jnz1568/getInfo.php?workbook=10_05.xlsx&amp;sheet=U0&amp;row=10273&amp;col=7&amp;number=0.000665&amp;sourceID=14","0.000665")</f>
        <v>0.000665</v>
      </c>
    </row>
    <row r="10274" spans="1:7">
      <c r="A10274" s="3"/>
      <c r="B10274" s="3"/>
      <c r="C10274" s="3"/>
      <c r="D10274" s="3"/>
      <c r="E10274" s="3">
        <v>11</v>
      </c>
      <c r="F10274" s="4" t="str">
        <f>HYPERLINK("http://141.218.60.56/~jnz1568/getInfo.php?workbook=10_05.xlsx&amp;sheet=U0&amp;row=10274&amp;col=6&amp;number=4&amp;sourceID=14","4")</f>
        <v>4</v>
      </c>
      <c r="G10274" s="4" t="str">
        <f>HYPERLINK("http://141.218.60.56/~jnz1568/getInfo.php?workbook=10_05.xlsx&amp;sheet=U0&amp;row=10274&amp;col=7&amp;number=0.000671&amp;sourceID=14","0.000671")</f>
        <v>0.000671</v>
      </c>
    </row>
    <row r="10275" spans="1:7">
      <c r="A10275" s="3"/>
      <c r="B10275" s="3"/>
      <c r="C10275" s="3"/>
      <c r="D10275" s="3"/>
      <c r="E10275" s="3">
        <v>12</v>
      </c>
      <c r="F10275" s="4" t="str">
        <f>HYPERLINK("http://141.218.60.56/~jnz1568/getInfo.php?workbook=10_05.xlsx&amp;sheet=U0&amp;row=10275&amp;col=6&amp;number=4.1&amp;sourceID=14","4.1")</f>
        <v>4.1</v>
      </c>
      <c r="G10275" s="4" t="str">
        <f>HYPERLINK("http://141.218.60.56/~jnz1568/getInfo.php?workbook=10_05.xlsx&amp;sheet=U0&amp;row=10275&amp;col=7&amp;number=0.000675&amp;sourceID=14","0.000675")</f>
        <v>0.000675</v>
      </c>
    </row>
    <row r="10276" spans="1:7">
      <c r="A10276" s="3"/>
      <c r="B10276" s="3"/>
      <c r="C10276" s="3"/>
      <c r="D10276" s="3"/>
      <c r="E10276" s="3">
        <v>13</v>
      </c>
      <c r="F10276" s="4" t="str">
        <f>HYPERLINK("http://141.218.60.56/~jnz1568/getInfo.php?workbook=10_05.xlsx&amp;sheet=U0&amp;row=10276&amp;col=6&amp;number=4.2&amp;sourceID=14","4.2")</f>
        <v>4.2</v>
      </c>
      <c r="G10276" s="4" t="str">
        <f>HYPERLINK("http://141.218.60.56/~jnz1568/getInfo.php?workbook=10_05.xlsx&amp;sheet=U0&amp;row=10276&amp;col=7&amp;number=0.000675&amp;sourceID=14","0.000675")</f>
        <v>0.000675</v>
      </c>
    </row>
    <row r="10277" spans="1:7">
      <c r="A10277" s="3"/>
      <c r="B10277" s="3"/>
      <c r="C10277" s="3"/>
      <c r="D10277" s="3"/>
      <c r="E10277" s="3">
        <v>14</v>
      </c>
      <c r="F10277" s="4" t="str">
        <f>HYPERLINK("http://141.218.60.56/~jnz1568/getInfo.php?workbook=10_05.xlsx&amp;sheet=U0&amp;row=10277&amp;col=6&amp;number=4.3&amp;sourceID=14","4.3")</f>
        <v>4.3</v>
      </c>
      <c r="G10277" s="4" t="str">
        <f>HYPERLINK("http://141.218.60.56/~jnz1568/getInfo.php?workbook=10_05.xlsx&amp;sheet=U0&amp;row=10277&amp;col=7&amp;number=0.00067&amp;sourceID=14","0.00067")</f>
        <v>0.00067</v>
      </c>
    </row>
    <row r="10278" spans="1:7">
      <c r="A10278" s="3"/>
      <c r="B10278" s="3"/>
      <c r="C10278" s="3"/>
      <c r="D10278" s="3"/>
      <c r="E10278" s="3">
        <v>15</v>
      </c>
      <c r="F10278" s="4" t="str">
        <f>HYPERLINK("http://141.218.60.56/~jnz1568/getInfo.php?workbook=10_05.xlsx&amp;sheet=U0&amp;row=10278&amp;col=6&amp;number=4.4&amp;sourceID=14","4.4")</f>
        <v>4.4</v>
      </c>
      <c r="G10278" s="4" t="str">
        <f>HYPERLINK("http://141.218.60.56/~jnz1568/getInfo.php?workbook=10_05.xlsx&amp;sheet=U0&amp;row=10278&amp;col=7&amp;number=0.000661&amp;sourceID=14","0.000661")</f>
        <v>0.000661</v>
      </c>
    </row>
    <row r="10279" spans="1:7">
      <c r="A10279" s="3"/>
      <c r="B10279" s="3"/>
      <c r="C10279" s="3"/>
      <c r="D10279" s="3"/>
      <c r="E10279" s="3">
        <v>16</v>
      </c>
      <c r="F10279" s="4" t="str">
        <f>HYPERLINK("http://141.218.60.56/~jnz1568/getInfo.php?workbook=10_05.xlsx&amp;sheet=U0&amp;row=10279&amp;col=6&amp;number=4.5&amp;sourceID=14","4.5")</f>
        <v>4.5</v>
      </c>
      <c r="G10279" s="4" t="str">
        <f>HYPERLINK("http://141.218.60.56/~jnz1568/getInfo.php?workbook=10_05.xlsx&amp;sheet=U0&amp;row=10279&amp;col=7&amp;number=0.000651&amp;sourceID=14","0.000651")</f>
        <v>0.000651</v>
      </c>
    </row>
    <row r="10280" spans="1:7">
      <c r="A10280" s="3"/>
      <c r="B10280" s="3"/>
      <c r="C10280" s="3"/>
      <c r="D10280" s="3"/>
      <c r="E10280" s="3">
        <v>17</v>
      </c>
      <c r="F10280" s="4" t="str">
        <f>HYPERLINK("http://141.218.60.56/~jnz1568/getInfo.php?workbook=10_05.xlsx&amp;sheet=U0&amp;row=10280&amp;col=6&amp;number=4.6&amp;sourceID=14","4.6")</f>
        <v>4.6</v>
      </c>
      <c r="G10280" s="4" t="str">
        <f>HYPERLINK("http://141.218.60.56/~jnz1568/getInfo.php?workbook=10_05.xlsx&amp;sheet=U0&amp;row=10280&amp;col=7&amp;number=0.000644&amp;sourceID=14","0.000644")</f>
        <v>0.000644</v>
      </c>
    </row>
    <row r="10281" spans="1:7">
      <c r="A10281" s="3"/>
      <c r="B10281" s="3"/>
      <c r="C10281" s="3"/>
      <c r="D10281" s="3"/>
      <c r="E10281" s="3">
        <v>18</v>
      </c>
      <c r="F10281" s="4" t="str">
        <f>HYPERLINK("http://141.218.60.56/~jnz1568/getInfo.php?workbook=10_05.xlsx&amp;sheet=U0&amp;row=10281&amp;col=6&amp;number=4.7&amp;sourceID=14","4.7")</f>
        <v>4.7</v>
      </c>
      <c r="G10281" s="4" t="str">
        <f>HYPERLINK("http://141.218.60.56/~jnz1568/getInfo.php?workbook=10_05.xlsx&amp;sheet=U0&amp;row=10281&amp;col=7&amp;number=0.000638&amp;sourceID=14","0.000638")</f>
        <v>0.000638</v>
      </c>
    </row>
    <row r="10282" spans="1:7">
      <c r="A10282" s="3"/>
      <c r="B10282" s="3"/>
      <c r="C10282" s="3"/>
      <c r="D10282" s="3"/>
      <c r="E10282" s="3">
        <v>19</v>
      </c>
      <c r="F10282" s="4" t="str">
        <f>HYPERLINK("http://141.218.60.56/~jnz1568/getInfo.php?workbook=10_05.xlsx&amp;sheet=U0&amp;row=10282&amp;col=6&amp;number=4.8&amp;sourceID=14","4.8")</f>
        <v>4.8</v>
      </c>
      <c r="G10282" s="4" t="str">
        <f>HYPERLINK("http://141.218.60.56/~jnz1568/getInfo.php?workbook=10_05.xlsx&amp;sheet=U0&amp;row=10282&amp;col=7&amp;number=0.000626&amp;sourceID=14","0.000626")</f>
        <v>0.000626</v>
      </c>
    </row>
    <row r="10283" spans="1:7">
      <c r="A10283" s="3"/>
      <c r="B10283" s="3"/>
      <c r="C10283" s="3"/>
      <c r="D10283" s="3"/>
      <c r="E10283" s="3">
        <v>20</v>
      </c>
      <c r="F10283" s="4" t="str">
        <f>HYPERLINK("http://141.218.60.56/~jnz1568/getInfo.php?workbook=10_05.xlsx&amp;sheet=U0&amp;row=10283&amp;col=6&amp;number=4.9&amp;sourceID=14","4.9")</f>
        <v>4.9</v>
      </c>
      <c r="G10283" s="4" t="str">
        <f>HYPERLINK("http://141.218.60.56/~jnz1568/getInfo.php?workbook=10_05.xlsx&amp;sheet=U0&amp;row=10283&amp;col=7&amp;number=0.000609&amp;sourceID=14","0.000609")</f>
        <v>0.000609</v>
      </c>
    </row>
    <row r="10284" spans="1:7">
      <c r="A10284" s="3">
        <v>10</v>
      </c>
      <c r="B10284" s="3">
        <v>5</v>
      </c>
      <c r="C10284" s="3">
        <v>3</v>
      </c>
      <c r="D10284" s="3">
        <v>161</v>
      </c>
      <c r="E10284" s="3">
        <v>1</v>
      </c>
      <c r="F10284" s="4" t="str">
        <f>HYPERLINK("http://141.218.60.56/~jnz1568/getInfo.php?workbook=10_05.xlsx&amp;sheet=U0&amp;row=10284&amp;col=6&amp;number=3&amp;sourceID=14","3")</f>
        <v>3</v>
      </c>
      <c r="G10284" s="4" t="str">
        <f>HYPERLINK("http://141.218.60.56/~jnz1568/getInfo.php?workbook=10_05.xlsx&amp;sheet=U0&amp;row=10284&amp;col=7&amp;number=0.000223&amp;sourceID=14","0.000223")</f>
        <v>0.000223</v>
      </c>
    </row>
    <row r="10285" spans="1:7">
      <c r="A10285" s="3"/>
      <c r="B10285" s="3"/>
      <c r="C10285" s="3"/>
      <c r="D10285" s="3"/>
      <c r="E10285" s="3">
        <v>2</v>
      </c>
      <c r="F10285" s="4" t="str">
        <f>HYPERLINK("http://141.218.60.56/~jnz1568/getInfo.php?workbook=10_05.xlsx&amp;sheet=U0&amp;row=10285&amp;col=6&amp;number=3.1&amp;sourceID=14","3.1")</f>
        <v>3.1</v>
      </c>
      <c r="G10285" s="4" t="str">
        <f>HYPERLINK("http://141.218.60.56/~jnz1568/getInfo.php?workbook=10_05.xlsx&amp;sheet=U0&amp;row=10285&amp;col=7&amp;number=0.000222&amp;sourceID=14","0.000222")</f>
        <v>0.000222</v>
      </c>
    </row>
    <row r="10286" spans="1:7">
      <c r="A10286" s="3"/>
      <c r="B10286" s="3"/>
      <c r="C10286" s="3"/>
      <c r="D10286" s="3"/>
      <c r="E10286" s="3">
        <v>3</v>
      </c>
      <c r="F10286" s="4" t="str">
        <f>HYPERLINK("http://141.218.60.56/~jnz1568/getInfo.php?workbook=10_05.xlsx&amp;sheet=U0&amp;row=10286&amp;col=6&amp;number=3.2&amp;sourceID=14","3.2")</f>
        <v>3.2</v>
      </c>
      <c r="G10286" s="4" t="str">
        <f>HYPERLINK("http://141.218.60.56/~jnz1568/getInfo.php?workbook=10_05.xlsx&amp;sheet=U0&amp;row=10286&amp;col=7&amp;number=0.000221&amp;sourceID=14","0.000221")</f>
        <v>0.000221</v>
      </c>
    </row>
    <row r="10287" spans="1:7">
      <c r="A10287" s="3"/>
      <c r="B10287" s="3"/>
      <c r="C10287" s="3"/>
      <c r="D10287" s="3"/>
      <c r="E10287" s="3">
        <v>4</v>
      </c>
      <c r="F10287" s="4" t="str">
        <f>HYPERLINK("http://141.218.60.56/~jnz1568/getInfo.php?workbook=10_05.xlsx&amp;sheet=U0&amp;row=10287&amp;col=6&amp;number=3.3&amp;sourceID=14","3.3")</f>
        <v>3.3</v>
      </c>
      <c r="G10287" s="4" t="str">
        <f>HYPERLINK("http://141.218.60.56/~jnz1568/getInfo.php?workbook=10_05.xlsx&amp;sheet=U0&amp;row=10287&amp;col=7&amp;number=0.00022&amp;sourceID=14","0.00022")</f>
        <v>0.00022</v>
      </c>
    </row>
    <row r="10288" spans="1:7">
      <c r="A10288" s="3"/>
      <c r="B10288" s="3"/>
      <c r="C10288" s="3"/>
      <c r="D10288" s="3"/>
      <c r="E10288" s="3">
        <v>5</v>
      </c>
      <c r="F10288" s="4" t="str">
        <f>HYPERLINK("http://141.218.60.56/~jnz1568/getInfo.php?workbook=10_05.xlsx&amp;sheet=U0&amp;row=10288&amp;col=6&amp;number=3.4&amp;sourceID=14","3.4")</f>
        <v>3.4</v>
      </c>
      <c r="G10288" s="4" t="str">
        <f>HYPERLINK("http://141.218.60.56/~jnz1568/getInfo.php?workbook=10_05.xlsx&amp;sheet=U0&amp;row=10288&amp;col=7&amp;number=0.000218&amp;sourceID=14","0.000218")</f>
        <v>0.000218</v>
      </c>
    </row>
    <row r="10289" spans="1:7">
      <c r="A10289" s="3"/>
      <c r="B10289" s="3"/>
      <c r="C10289" s="3"/>
      <c r="D10289" s="3"/>
      <c r="E10289" s="3">
        <v>6</v>
      </c>
      <c r="F10289" s="4" t="str">
        <f>HYPERLINK("http://141.218.60.56/~jnz1568/getInfo.php?workbook=10_05.xlsx&amp;sheet=U0&amp;row=10289&amp;col=6&amp;number=3.5&amp;sourceID=14","3.5")</f>
        <v>3.5</v>
      </c>
      <c r="G10289" s="4" t="str">
        <f>HYPERLINK("http://141.218.60.56/~jnz1568/getInfo.php?workbook=10_05.xlsx&amp;sheet=U0&amp;row=10289&amp;col=7&amp;number=0.000216&amp;sourceID=14","0.000216")</f>
        <v>0.000216</v>
      </c>
    </row>
    <row r="10290" spans="1:7">
      <c r="A10290" s="3"/>
      <c r="B10290" s="3"/>
      <c r="C10290" s="3"/>
      <c r="D10290" s="3"/>
      <c r="E10290" s="3">
        <v>7</v>
      </c>
      <c r="F10290" s="4" t="str">
        <f>HYPERLINK("http://141.218.60.56/~jnz1568/getInfo.php?workbook=10_05.xlsx&amp;sheet=U0&amp;row=10290&amp;col=6&amp;number=3.6&amp;sourceID=14","3.6")</f>
        <v>3.6</v>
      </c>
      <c r="G10290" s="4" t="str">
        <f>HYPERLINK("http://141.218.60.56/~jnz1568/getInfo.php?workbook=10_05.xlsx&amp;sheet=U0&amp;row=10290&amp;col=7&amp;number=0.000214&amp;sourceID=14","0.000214")</f>
        <v>0.000214</v>
      </c>
    </row>
    <row r="10291" spans="1:7">
      <c r="A10291" s="3"/>
      <c r="B10291" s="3"/>
      <c r="C10291" s="3"/>
      <c r="D10291" s="3"/>
      <c r="E10291" s="3">
        <v>8</v>
      </c>
      <c r="F10291" s="4" t="str">
        <f>HYPERLINK("http://141.218.60.56/~jnz1568/getInfo.php?workbook=10_05.xlsx&amp;sheet=U0&amp;row=10291&amp;col=6&amp;number=3.7&amp;sourceID=14","3.7")</f>
        <v>3.7</v>
      </c>
      <c r="G10291" s="4" t="str">
        <f>HYPERLINK("http://141.218.60.56/~jnz1568/getInfo.php?workbook=10_05.xlsx&amp;sheet=U0&amp;row=10291&amp;col=7&amp;number=0.000211&amp;sourceID=14","0.000211")</f>
        <v>0.000211</v>
      </c>
    </row>
    <row r="10292" spans="1:7">
      <c r="A10292" s="3"/>
      <c r="B10292" s="3"/>
      <c r="C10292" s="3"/>
      <c r="D10292" s="3"/>
      <c r="E10292" s="3">
        <v>9</v>
      </c>
      <c r="F10292" s="4" t="str">
        <f>HYPERLINK("http://141.218.60.56/~jnz1568/getInfo.php?workbook=10_05.xlsx&amp;sheet=U0&amp;row=10292&amp;col=6&amp;number=3.8&amp;sourceID=14","3.8")</f>
        <v>3.8</v>
      </c>
      <c r="G10292" s="4" t="str">
        <f>HYPERLINK("http://141.218.60.56/~jnz1568/getInfo.php?workbook=10_05.xlsx&amp;sheet=U0&amp;row=10292&amp;col=7&amp;number=0.000207&amp;sourceID=14","0.000207")</f>
        <v>0.000207</v>
      </c>
    </row>
    <row r="10293" spans="1:7">
      <c r="A10293" s="3"/>
      <c r="B10293" s="3"/>
      <c r="C10293" s="3"/>
      <c r="D10293" s="3"/>
      <c r="E10293" s="3">
        <v>10</v>
      </c>
      <c r="F10293" s="4" t="str">
        <f>HYPERLINK("http://141.218.60.56/~jnz1568/getInfo.php?workbook=10_05.xlsx&amp;sheet=U0&amp;row=10293&amp;col=6&amp;number=3.9&amp;sourceID=14","3.9")</f>
        <v>3.9</v>
      </c>
      <c r="G10293" s="4" t="str">
        <f>HYPERLINK("http://141.218.60.56/~jnz1568/getInfo.php?workbook=10_05.xlsx&amp;sheet=U0&amp;row=10293&amp;col=7&amp;number=0.000202&amp;sourceID=14","0.000202")</f>
        <v>0.000202</v>
      </c>
    </row>
    <row r="10294" spans="1:7">
      <c r="A10294" s="3"/>
      <c r="B10294" s="3"/>
      <c r="C10294" s="3"/>
      <c r="D10294" s="3"/>
      <c r="E10294" s="3">
        <v>11</v>
      </c>
      <c r="F10294" s="4" t="str">
        <f>HYPERLINK("http://141.218.60.56/~jnz1568/getInfo.php?workbook=10_05.xlsx&amp;sheet=U0&amp;row=10294&amp;col=6&amp;number=4&amp;sourceID=14","4")</f>
        <v>4</v>
      </c>
      <c r="G10294" s="4" t="str">
        <f>HYPERLINK("http://141.218.60.56/~jnz1568/getInfo.php?workbook=10_05.xlsx&amp;sheet=U0&amp;row=10294&amp;col=7&amp;number=0.000196&amp;sourceID=14","0.000196")</f>
        <v>0.000196</v>
      </c>
    </row>
    <row r="10295" spans="1:7">
      <c r="A10295" s="3"/>
      <c r="B10295" s="3"/>
      <c r="C10295" s="3"/>
      <c r="D10295" s="3"/>
      <c r="E10295" s="3">
        <v>12</v>
      </c>
      <c r="F10295" s="4" t="str">
        <f>HYPERLINK("http://141.218.60.56/~jnz1568/getInfo.php?workbook=10_05.xlsx&amp;sheet=U0&amp;row=10295&amp;col=6&amp;number=4.1&amp;sourceID=14","4.1")</f>
        <v>4.1</v>
      </c>
      <c r="G10295" s="4" t="str">
        <f>HYPERLINK("http://141.218.60.56/~jnz1568/getInfo.php?workbook=10_05.xlsx&amp;sheet=U0&amp;row=10295&amp;col=7&amp;number=0.000189&amp;sourceID=14","0.000189")</f>
        <v>0.000189</v>
      </c>
    </row>
    <row r="10296" spans="1:7">
      <c r="A10296" s="3"/>
      <c r="B10296" s="3"/>
      <c r="C10296" s="3"/>
      <c r="D10296" s="3"/>
      <c r="E10296" s="3">
        <v>13</v>
      </c>
      <c r="F10296" s="4" t="str">
        <f>HYPERLINK("http://141.218.60.56/~jnz1568/getInfo.php?workbook=10_05.xlsx&amp;sheet=U0&amp;row=10296&amp;col=6&amp;number=4.2&amp;sourceID=14","4.2")</f>
        <v>4.2</v>
      </c>
      <c r="G10296" s="4" t="str">
        <f>HYPERLINK("http://141.218.60.56/~jnz1568/getInfo.php?workbook=10_05.xlsx&amp;sheet=U0&amp;row=10296&amp;col=7&amp;number=0.000181&amp;sourceID=14","0.000181")</f>
        <v>0.000181</v>
      </c>
    </row>
    <row r="10297" spans="1:7">
      <c r="A10297" s="3"/>
      <c r="B10297" s="3"/>
      <c r="C10297" s="3"/>
      <c r="D10297" s="3"/>
      <c r="E10297" s="3">
        <v>14</v>
      </c>
      <c r="F10297" s="4" t="str">
        <f>HYPERLINK("http://141.218.60.56/~jnz1568/getInfo.php?workbook=10_05.xlsx&amp;sheet=U0&amp;row=10297&amp;col=6&amp;number=4.3&amp;sourceID=14","4.3")</f>
        <v>4.3</v>
      </c>
      <c r="G10297" s="4" t="str">
        <f>HYPERLINK("http://141.218.60.56/~jnz1568/getInfo.php?workbook=10_05.xlsx&amp;sheet=U0&amp;row=10297&amp;col=7&amp;number=0.000171&amp;sourceID=14","0.000171")</f>
        <v>0.000171</v>
      </c>
    </row>
    <row r="10298" spans="1:7">
      <c r="A10298" s="3"/>
      <c r="B10298" s="3"/>
      <c r="C10298" s="3"/>
      <c r="D10298" s="3"/>
      <c r="E10298" s="3">
        <v>15</v>
      </c>
      <c r="F10298" s="4" t="str">
        <f>HYPERLINK("http://141.218.60.56/~jnz1568/getInfo.php?workbook=10_05.xlsx&amp;sheet=U0&amp;row=10298&amp;col=6&amp;number=4.4&amp;sourceID=14","4.4")</f>
        <v>4.4</v>
      </c>
      <c r="G10298" s="4" t="str">
        <f>HYPERLINK("http://141.218.60.56/~jnz1568/getInfo.php?workbook=10_05.xlsx&amp;sheet=U0&amp;row=10298&amp;col=7&amp;number=0.00016&amp;sourceID=14","0.00016")</f>
        <v>0.00016</v>
      </c>
    </row>
    <row r="10299" spans="1:7">
      <c r="A10299" s="3"/>
      <c r="B10299" s="3"/>
      <c r="C10299" s="3"/>
      <c r="D10299" s="3"/>
      <c r="E10299" s="3">
        <v>16</v>
      </c>
      <c r="F10299" s="4" t="str">
        <f>HYPERLINK("http://141.218.60.56/~jnz1568/getInfo.php?workbook=10_05.xlsx&amp;sheet=U0&amp;row=10299&amp;col=6&amp;number=4.5&amp;sourceID=14","4.5")</f>
        <v>4.5</v>
      </c>
      <c r="G10299" s="4" t="str">
        <f>HYPERLINK("http://141.218.60.56/~jnz1568/getInfo.php?workbook=10_05.xlsx&amp;sheet=U0&amp;row=10299&amp;col=7&amp;number=0.000149&amp;sourceID=14","0.000149")</f>
        <v>0.000149</v>
      </c>
    </row>
    <row r="10300" spans="1:7">
      <c r="A10300" s="3"/>
      <c r="B10300" s="3"/>
      <c r="C10300" s="3"/>
      <c r="D10300" s="3"/>
      <c r="E10300" s="3">
        <v>17</v>
      </c>
      <c r="F10300" s="4" t="str">
        <f>HYPERLINK("http://141.218.60.56/~jnz1568/getInfo.php?workbook=10_05.xlsx&amp;sheet=U0&amp;row=10300&amp;col=6&amp;number=4.6&amp;sourceID=14","4.6")</f>
        <v>4.6</v>
      </c>
      <c r="G10300" s="4" t="str">
        <f>HYPERLINK("http://141.218.60.56/~jnz1568/getInfo.php?workbook=10_05.xlsx&amp;sheet=U0&amp;row=10300&amp;col=7&amp;number=0.000139&amp;sourceID=14","0.000139")</f>
        <v>0.000139</v>
      </c>
    </row>
    <row r="10301" spans="1:7">
      <c r="A10301" s="3"/>
      <c r="B10301" s="3"/>
      <c r="C10301" s="3"/>
      <c r="D10301" s="3"/>
      <c r="E10301" s="3">
        <v>18</v>
      </c>
      <c r="F10301" s="4" t="str">
        <f>HYPERLINK("http://141.218.60.56/~jnz1568/getInfo.php?workbook=10_05.xlsx&amp;sheet=U0&amp;row=10301&amp;col=6&amp;number=4.7&amp;sourceID=14","4.7")</f>
        <v>4.7</v>
      </c>
      <c r="G10301" s="4" t="str">
        <f>HYPERLINK("http://141.218.60.56/~jnz1568/getInfo.php?workbook=10_05.xlsx&amp;sheet=U0&amp;row=10301&amp;col=7&amp;number=0.000131&amp;sourceID=14","0.000131")</f>
        <v>0.000131</v>
      </c>
    </row>
    <row r="10302" spans="1:7">
      <c r="A10302" s="3"/>
      <c r="B10302" s="3"/>
      <c r="C10302" s="3"/>
      <c r="D10302" s="3"/>
      <c r="E10302" s="3">
        <v>19</v>
      </c>
      <c r="F10302" s="4" t="str">
        <f>HYPERLINK("http://141.218.60.56/~jnz1568/getInfo.php?workbook=10_05.xlsx&amp;sheet=U0&amp;row=10302&amp;col=6&amp;number=4.8&amp;sourceID=14","4.8")</f>
        <v>4.8</v>
      </c>
      <c r="G10302" s="4" t="str">
        <f>HYPERLINK("http://141.218.60.56/~jnz1568/getInfo.php?workbook=10_05.xlsx&amp;sheet=U0&amp;row=10302&amp;col=7&amp;number=0.000123&amp;sourceID=14","0.000123")</f>
        <v>0.000123</v>
      </c>
    </row>
    <row r="10303" spans="1:7">
      <c r="A10303" s="3"/>
      <c r="B10303" s="3"/>
      <c r="C10303" s="3"/>
      <c r="D10303" s="3"/>
      <c r="E10303" s="3">
        <v>20</v>
      </c>
      <c r="F10303" s="4" t="str">
        <f>HYPERLINK("http://141.218.60.56/~jnz1568/getInfo.php?workbook=10_05.xlsx&amp;sheet=U0&amp;row=10303&amp;col=6&amp;number=4.9&amp;sourceID=14","4.9")</f>
        <v>4.9</v>
      </c>
      <c r="G10303" s="4" t="str">
        <f>HYPERLINK("http://141.218.60.56/~jnz1568/getInfo.php?workbook=10_05.xlsx&amp;sheet=U0&amp;row=10303&amp;col=7&amp;number=0.000116&amp;sourceID=14","0.000116")</f>
        <v>0.000116</v>
      </c>
    </row>
    <row r="10304" spans="1:7">
      <c r="A10304" s="3">
        <v>10</v>
      </c>
      <c r="B10304" s="3">
        <v>5</v>
      </c>
      <c r="C10304" s="3">
        <v>3</v>
      </c>
      <c r="D10304" s="3">
        <v>162</v>
      </c>
      <c r="E10304" s="3">
        <v>1</v>
      </c>
      <c r="F10304" s="4" t="str">
        <f>HYPERLINK("http://141.218.60.56/~jnz1568/getInfo.php?workbook=10_05.xlsx&amp;sheet=U0&amp;row=10304&amp;col=6&amp;number=3&amp;sourceID=14","3")</f>
        <v>3</v>
      </c>
      <c r="G10304" s="4" t="str">
        <f>HYPERLINK("http://141.218.60.56/~jnz1568/getInfo.php?workbook=10_05.xlsx&amp;sheet=U0&amp;row=10304&amp;col=7&amp;number=0.000317&amp;sourceID=14","0.000317")</f>
        <v>0.000317</v>
      </c>
    </row>
    <row r="10305" spans="1:7">
      <c r="A10305" s="3"/>
      <c r="B10305" s="3"/>
      <c r="C10305" s="3"/>
      <c r="D10305" s="3"/>
      <c r="E10305" s="3">
        <v>2</v>
      </c>
      <c r="F10305" s="4" t="str">
        <f>HYPERLINK("http://141.218.60.56/~jnz1568/getInfo.php?workbook=10_05.xlsx&amp;sheet=U0&amp;row=10305&amp;col=6&amp;number=3.1&amp;sourceID=14","3.1")</f>
        <v>3.1</v>
      </c>
      <c r="G10305" s="4" t="str">
        <f>HYPERLINK("http://141.218.60.56/~jnz1568/getInfo.php?workbook=10_05.xlsx&amp;sheet=U0&amp;row=10305&amp;col=7&amp;number=0.000316&amp;sourceID=14","0.000316")</f>
        <v>0.000316</v>
      </c>
    </row>
    <row r="10306" spans="1:7">
      <c r="A10306" s="3"/>
      <c r="B10306" s="3"/>
      <c r="C10306" s="3"/>
      <c r="D10306" s="3"/>
      <c r="E10306" s="3">
        <v>3</v>
      </c>
      <c r="F10306" s="4" t="str">
        <f>HYPERLINK("http://141.218.60.56/~jnz1568/getInfo.php?workbook=10_05.xlsx&amp;sheet=U0&amp;row=10306&amp;col=6&amp;number=3.2&amp;sourceID=14","3.2")</f>
        <v>3.2</v>
      </c>
      <c r="G10306" s="4" t="str">
        <f>HYPERLINK("http://141.218.60.56/~jnz1568/getInfo.php?workbook=10_05.xlsx&amp;sheet=U0&amp;row=10306&amp;col=7&amp;number=0.000315&amp;sourceID=14","0.000315")</f>
        <v>0.000315</v>
      </c>
    </row>
    <row r="10307" spans="1:7">
      <c r="A10307" s="3"/>
      <c r="B10307" s="3"/>
      <c r="C10307" s="3"/>
      <c r="D10307" s="3"/>
      <c r="E10307" s="3">
        <v>4</v>
      </c>
      <c r="F10307" s="4" t="str">
        <f>HYPERLINK("http://141.218.60.56/~jnz1568/getInfo.php?workbook=10_05.xlsx&amp;sheet=U0&amp;row=10307&amp;col=6&amp;number=3.3&amp;sourceID=14","3.3")</f>
        <v>3.3</v>
      </c>
      <c r="G10307" s="4" t="str">
        <f>HYPERLINK("http://141.218.60.56/~jnz1568/getInfo.php?workbook=10_05.xlsx&amp;sheet=U0&amp;row=10307&amp;col=7&amp;number=0.000313&amp;sourceID=14","0.000313")</f>
        <v>0.000313</v>
      </c>
    </row>
    <row r="10308" spans="1:7">
      <c r="A10308" s="3"/>
      <c r="B10308" s="3"/>
      <c r="C10308" s="3"/>
      <c r="D10308" s="3"/>
      <c r="E10308" s="3">
        <v>5</v>
      </c>
      <c r="F10308" s="4" t="str">
        <f>HYPERLINK("http://141.218.60.56/~jnz1568/getInfo.php?workbook=10_05.xlsx&amp;sheet=U0&amp;row=10308&amp;col=6&amp;number=3.4&amp;sourceID=14","3.4")</f>
        <v>3.4</v>
      </c>
      <c r="G10308" s="4" t="str">
        <f>HYPERLINK("http://141.218.60.56/~jnz1568/getInfo.php?workbook=10_05.xlsx&amp;sheet=U0&amp;row=10308&amp;col=7&amp;number=0.000312&amp;sourceID=14","0.000312")</f>
        <v>0.000312</v>
      </c>
    </row>
    <row r="10309" spans="1:7">
      <c r="A10309" s="3"/>
      <c r="B10309" s="3"/>
      <c r="C10309" s="3"/>
      <c r="D10309" s="3"/>
      <c r="E10309" s="3">
        <v>6</v>
      </c>
      <c r="F10309" s="4" t="str">
        <f>HYPERLINK("http://141.218.60.56/~jnz1568/getInfo.php?workbook=10_05.xlsx&amp;sheet=U0&amp;row=10309&amp;col=6&amp;number=3.5&amp;sourceID=14","3.5")</f>
        <v>3.5</v>
      </c>
      <c r="G10309" s="4" t="str">
        <f>HYPERLINK("http://141.218.60.56/~jnz1568/getInfo.php?workbook=10_05.xlsx&amp;sheet=U0&amp;row=10309&amp;col=7&amp;number=0.000309&amp;sourceID=14","0.000309")</f>
        <v>0.000309</v>
      </c>
    </row>
    <row r="10310" spans="1:7">
      <c r="A10310" s="3"/>
      <c r="B10310" s="3"/>
      <c r="C10310" s="3"/>
      <c r="D10310" s="3"/>
      <c r="E10310" s="3">
        <v>7</v>
      </c>
      <c r="F10310" s="4" t="str">
        <f>HYPERLINK("http://141.218.60.56/~jnz1568/getInfo.php?workbook=10_05.xlsx&amp;sheet=U0&amp;row=10310&amp;col=6&amp;number=3.6&amp;sourceID=14","3.6")</f>
        <v>3.6</v>
      </c>
      <c r="G10310" s="4" t="str">
        <f>HYPERLINK("http://141.218.60.56/~jnz1568/getInfo.php?workbook=10_05.xlsx&amp;sheet=U0&amp;row=10310&amp;col=7&amp;number=0.000307&amp;sourceID=14","0.000307")</f>
        <v>0.000307</v>
      </c>
    </row>
    <row r="10311" spans="1:7">
      <c r="A10311" s="3"/>
      <c r="B10311" s="3"/>
      <c r="C10311" s="3"/>
      <c r="D10311" s="3"/>
      <c r="E10311" s="3">
        <v>8</v>
      </c>
      <c r="F10311" s="4" t="str">
        <f>HYPERLINK("http://141.218.60.56/~jnz1568/getInfo.php?workbook=10_05.xlsx&amp;sheet=U0&amp;row=10311&amp;col=6&amp;number=3.7&amp;sourceID=14","3.7")</f>
        <v>3.7</v>
      </c>
      <c r="G10311" s="4" t="str">
        <f>HYPERLINK("http://141.218.60.56/~jnz1568/getInfo.php?workbook=10_05.xlsx&amp;sheet=U0&amp;row=10311&amp;col=7&amp;number=0.000303&amp;sourceID=14","0.000303")</f>
        <v>0.000303</v>
      </c>
    </row>
    <row r="10312" spans="1:7">
      <c r="A10312" s="3"/>
      <c r="B10312" s="3"/>
      <c r="C10312" s="3"/>
      <c r="D10312" s="3"/>
      <c r="E10312" s="3">
        <v>9</v>
      </c>
      <c r="F10312" s="4" t="str">
        <f>HYPERLINK("http://141.218.60.56/~jnz1568/getInfo.php?workbook=10_05.xlsx&amp;sheet=U0&amp;row=10312&amp;col=6&amp;number=3.8&amp;sourceID=14","3.8")</f>
        <v>3.8</v>
      </c>
      <c r="G10312" s="4" t="str">
        <f>HYPERLINK("http://141.218.60.56/~jnz1568/getInfo.php?workbook=10_05.xlsx&amp;sheet=U0&amp;row=10312&amp;col=7&amp;number=0.000299&amp;sourceID=14","0.000299")</f>
        <v>0.000299</v>
      </c>
    </row>
    <row r="10313" spans="1:7">
      <c r="A10313" s="3"/>
      <c r="B10313" s="3"/>
      <c r="C10313" s="3"/>
      <c r="D10313" s="3"/>
      <c r="E10313" s="3">
        <v>10</v>
      </c>
      <c r="F10313" s="4" t="str">
        <f>HYPERLINK("http://141.218.60.56/~jnz1568/getInfo.php?workbook=10_05.xlsx&amp;sheet=U0&amp;row=10313&amp;col=6&amp;number=3.9&amp;sourceID=14","3.9")</f>
        <v>3.9</v>
      </c>
      <c r="G10313" s="4" t="str">
        <f>HYPERLINK("http://141.218.60.56/~jnz1568/getInfo.php?workbook=10_05.xlsx&amp;sheet=U0&amp;row=10313&amp;col=7&amp;number=0.000294&amp;sourceID=14","0.000294")</f>
        <v>0.000294</v>
      </c>
    </row>
    <row r="10314" spans="1:7">
      <c r="A10314" s="3"/>
      <c r="B10314" s="3"/>
      <c r="C10314" s="3"/>
      <c r="D10314" s="3"/>
      <c r="E10314" s="3">
        <v>11</v>
      </c>
      <c r="F10314" s="4" t="str">
        <f>HYPERLINK("http://141.218.60.56/~jnz1568/getInfo.php?workbook=10_05.xlsx&amp;sheet=U0&amp;row=10314&amp;col=6&amp;number=4&amp;sourceID=14","4")</f>
        <v>4</v>
      </c>
      <c r="G10314" s="4" t="str">
        <f>HYPERLINK("http://141.218.60.56/~jnz1568/getInfo.php?workbook=10_05.xlsx&amp;sheet=U0&amp;row=10314&amp;col=7&amp;number=0.000289&amp;sourceID=14","0.000289")</f>
        <v>0.000289</v>
      </c>
    </row>
    <row r="10315" spans="1:7">
      <c r="A10315" s="3"/>
      <c r="B10315" s="3"/>
      <c r="C10315" s="3"/>
      <c r="D10315" s="3"/>
      <c r="E10315" s="3">
        <v>12</v>
      </c>
      <c r="F10315" s="4" t="str">
        <f>HYPERLINK("http://141.218.60.56/~jnz1568/getInfo.php?workbook=10_05.xlsx&amp;sheet=U0&amp;row=10315&amp;col=6&amp;number=4.1&amp;sourceID=14","4.1")</f>
        <v>4.1</v>
      </c>
      <c r="G10315" s="4" t="str">
        <f>HYPERLINK("http://141.218.60.56/~jnz1568/getInfo.php?workbook=10_05.xlsx&amp;sheet=U0&amp;row=10315&amp;col=7&amp;number=0.000282&amp;sourceID=14","0.000282")</f>
        <v>0.000282</v>
      </c>
    </row>
    <row r="10316" spans="1:7">
      <c r="A10316" s="3"/>
      <c r="B10316" s="3"/>
      <c r="C10316" s="3"/>
      <c r="D10316" s="3"/>
      <c r="E10316" s="3">
        <v>13</v>
      </c>
      <c r="F10316" s="4" t="str">
        <f>HYPERLINK("http://141.218.60.56/~jnz1568/getInfo.php?workbook=10_05.xlsx&amp;sheet=U0&amp;row=10316&amp;col=6&amp;number=4.2&amp;sourceID=14","4.2")</f>
        <v>4.2</v>
      </c>
      <c r="G10316" s="4" t="str">
        <f>HYPERLINK("http://141.218.60.56/~jnz1568/getInfo.php?workbook=10_05.xlsx&amp;sheet=U0&amp;row=10316&amp;col=7&amp;number=0.000274&amp;sourceID=14","0.000274")</f>
        <v>0.000274</v>
      </c>
    </row>
    <row r="10317" spans="1:7">
      <c r="A10317" s="3"/>
      <c r="B10317" s="3"/>
      <c r="C10317" s="3"/>
      <c r="D10317" s="3"/>
      <c r="E10317" s="3">
        <v>14</v>
      </c>
      <c r="F10317" s="4" t="str">
        <f>HYPERLINK("http://141.218.60.56/~jnz1568/getInfo.php?workbook=10_05.xlsx&amp;sheet=U0&amp;row=10317&amp;col=6&amp;number=4.3&amp;sourceID=14","4.3")</f>
        <v>4.3</v>
      </c>
      <c r="G10317" s="4" t="str">
        <f>HYPERLINK("http://141.218.60.56/~jnz1568/getInfo.php?workbook=10_05.xlsx&amp;sheet=U0&amp;row=10317&amp;col=7&amp;number=0.000265&amp;sourceID=14","0.000265")</f>
        <v>0.000265</v>
      </c>
    </row>
    <row r="10318" spans="1:7">
      <c r="A10318" s="3"/>
      <c r="B10318" s="3"/>
      <c r="C10318" s="3"/>
      <c r="D10318" s="3"/>
      <c r="E10318" s="3">
        <v>15</v>
      </c>
      <c r="F10318" s="4" t="str">
        <f>HYPERLINK("http://141.218.60.56/~jnz1568/getInfo.php?workbook=10_05.xlsx&amp;sheet=U0&amp;row=10318&amp;col=6&amp;number=4.4&amp;sourceID=14","4.4")</f>
        <v>4.4</v>
      </c>
      <c r="G10318" s="4" t="str">
        <f>HYPERLINK("http://141.218.60.56/~jnz1568/getInfo.php?workbook=10_05.xlsx&amp;sheet=U0&amp;row=10318&amp;col=7&amp;number=0.000256&amp;sourceID=14","0.000256")</f>
        <v>0.000256</v>
      </c>
    </row>
    <row r="10319" spans="1:7">
      <c r="A10319" s="3"/>
      <c r="B10319" s="3"/>
      <c r="C10319" s="3"/>
      <c r="D10319" s="3"/>
      <c r="E10319" s="3">
        <v>16</v>
      </c>
      <c r="F10319" s="4" t="str">
        <f>HYPERLINK("http://141.218.60.56/~jnz1568/getInfo.php?workbook=10_05.xlsx&amp;sheet=U0&amp;row=10319&amp;col=6&amp;number=4.5&amp;sourceID=14","4.5")</f>
        <v>4.5</v>
      </c>
      <c r="G10319" s="4" t="str">
        <f>HYPERLINK("http://141.218.60.56/~jnz1568/getInfo.php?workbook=10_05.xlsx&amp;sheet=U0&amp;row=10319&amp;col=7&amp;number=0.000248&amp;sourceID=14","0.000248")</f>
        <v>0.000248</v>
      </c>
    </row>
    <row r="10320" spans="1:7">
      <c r="A10320" s="3"/>
      <c r="B10320" s="3"/>
      <c r="C10320" s="3"/>
      <c r="D10320" s="3"/>
      <c r="E10320" s="3">
        <v>17</v>
      </c>
      <c r="F10320" s="4" t="str">
        <f>HYPERLINK("http://141.218.60.56/~jnz1568/getInfo.php?workbook=10_05.xlsx&amp;sheet=U0&amp;row=10320&amp;col=6&amp;number=4.6&amp;sourceID=14","4.6")</f>
        <v>4.6</v>
      </c>
      <c r="G10320" s="4" t="str">
        <f>HYPERLINK("http://141.218.60.56/~jnz1568/getInfo.php?workbook=10_05.xlsx&amp;sheet=U0&amp;row=10320&amp;col=7&amp;number=0.000241&amp;sourceID=14","0.000241")</f>
        <v>0.000241</v>
      </c>
    </row>
    <row r="10321" spans="1:7">
      <c r="A10321" s="3"/>
      <c r="B10321" s="3"/>
      <c r="C10321" s="3"/>
      <c r="D10321" s="3"/>
      <c r="E10321" s="3">
        <v>18</v>
      </c>
      <c r="F10321" s="4" t="str">
        <f>HYPERLINK("http://141.218.60.56/~jnz1568/getInfo.php?workbook=10_05.xlsx&amp;sheet=U0&amp;row=10321&amp;col=6&amp;number=4.7&amp;sourceID=14","4.7")</f>
        <v>4.7</v>
      </c>
      <c r="G10321" s="4" t="str">
        <f>HYPERLINK("http://141.218.60.56/~jnz1568/getInfo.php?workbook=10_05.xlsx&amp;sheet=U0&amp;row=10321&amp;col=7&amp;number=0.000234&amp;sourceID=14","0.000234")</f>
        <v>0.000234</v>
      </c>
    </row>
    <row r="10322" spans="1:7">
      <c r="A10322" s="3"/>
      <c r="B10322" s="3"/>
      <c r="C10322" s="3"/>
      <c r="D10322" s="3"/>
      <c r="E10322" s="3">
        <v>19</v>
      </c>
      <c r="F10322" s="4" t="str">
        <f>HYPERLINK("http://141.218.60.56/~jnz1568/getInfo.php?workbook=10_05.xlsx&amp;sheet=U0&amp;row=10322&amp;col=6&amp;number=4.8&amp;sourceID=14","4.8")</f>
        <v>4.8</v>
      </c>
      <c r="G10322" s="4" t="str">
        <f>HYPERLINK("http://141.218.60.56/~jnz1568/getInfo.php?workbook=10_05.xlsx&amp;sheet=U0&amp;row=10322&amp;col=7&amp;number=0.000227&amp;sourceID=14","0.000227")</f>
        <v>0.000227</v>
      </c>
    </row>
    <row r="10323" spans="1:7">
      <c r="A10323" s="3"/>
      <c r="B10323" s="3"/>
      <c r="C10323" s="3"/>
      <c r="D10323" s="3"/>
      <c r="E10323" s="3">
        <v>20</v>
      </c>
      <c r="F10323" s="4" t="str">
        <f>HYPERLINK("http://141.218.60.56/~jnz1568/getInfo.php?workbook=10_05.xlsx&amp;sheet=U0&amp;row=10323&amp;col=6&amp;number=4.9&amp;sourceID=14","4.9")</f>
        <v>4.9</v>
      </c>
      <c r="G10323" s="4" t="str">
        <f>HYPERLINK("http://141.218.60.56/~jnz1568/getInfo.php?workbook=10_05.xlsx&amp;sheet=U0&amp;row=10323&amp;col=7&amp;number=0.000221&amp;sourceID=14","0.000221")</f>
        <v>0.000221</v>
      </c>
    </row>
    <row r="10324" spans="1:7">
      <c r="A10324" s="3">
        <v>10</v>
      </c>
      <c r="B10324" s="3">
        <v>5</v>
      </c>
      <c r="C10324" s="3">
        <v>3</v>
      </c>
      <c r="D10324" s="3">
        <v>163</v>
      </c>
      <c r="E10324" s="3">
        <v>1</v>
      </c>
      <c r="F10324" s="4" t="str">
        <f>HYPERLINK("http://141.218.60.56/~jnz1568/getInfo.php?workbook=10_05.xlsx&amp;sheet=U0&amp;row=10324&amp;col=6&amp;number=3&amp;sourceID=14","3")</f>
        <v>3</v>
      </c>
      <c r="G10324" s="4" t="str">
        <f>HYPERLINK("http://141.218.60.56/~jnz1568/getInfo.php?workbook=10_05.xlsx&amp;sheet=U0&amp;row=10324&amp;col=7&amp;number=6.99e-05&amp;sourceID=14","6.99e-05")</f>
        <v>6.99e-05</v>
      </c>
    </row>
    <row r="10325" spans="1:7">
      <c r="A10325" s="3"/>
      <c r="B10325" s="3"/>
      <c r="C10325" s="3"/>
      <c r="D10325" s="3"/>
      <c r="E10325" s="3">
        <v>2</v>
      </c>
      <c r="F10325" s="4" t="str">
        <f>HYPERLINK("http://141.218.60.56/~jnz1568/getInfo.php?workbook=10_05.xlsx&amp;sheet=U0&amp;row=10325&amp;col=6&amp;number=3.1&amp;sourceID=14","3.1")</f>
        <v>3.1</v>
      </c>
      <c r="G10325" s="4" t="str">
        <f>HYPERLINK("http://141.218.60.56/~jnz1568/getInfo.php?workbook=10_05.xlsx&amp;sheet=U0&amp;row=10325&amp;col=7&amp;number=7.06e-05&amp;sourceID=14","7.06e-05")</f>
        <v>7.06e-05</v>
      </c>
    </row>
    <row r="10326" spans="1:7">
      <c r="A10326" s="3"/>
      <c r="B10326" s="3"/>
      <c r="C10326" s="3"/>
      <c r="D10326" s="3"/>
      <c r="E10326" s="3">
        <v>3</v>
      </c>
      <c r="F10326" s="4" t="str">
        <f>HYPERLINK("http://141.218.60.56/~jnz1568/getInfo.php?workbook=10_05.xlsx&amp;sheet=U0&amp;row=10326&amp;col=6&amp;number=3.2&amp;sourceID=14","3.2")</f>
        <v>3.2</v>
      </c>
      <c r="G10326" s="4" t="str">
        <f>HYPERLINK("http://141.218.60.56/~jnz1568/getInfo.php?workbook=10_05.xlsx&amp;sheet=U0&amp;row=10326&amp;col=7&amp;number=7.16e-05&amp;sourceID=14","7.16e-05")</f>
        <v>7.16e-05</v>
      </c>
    </row>
    <row r="10327" spans="1:7">
      <c r="A10327" s="3"/>
      <c r="B10327" s="3"/>
      <c r="C10327" s="3"/>
      <c r="D10327" s="3"/>
      <c r="E10327" s="3">
        <v>4</v>
      </c>
      <c r="F10327" s="4" t="str">
        <f>HYPERLINK("http://141.218.60.56/~jnz1568/getInfo.php?workbook=10_05.xlsx&amp;sheet=U0&amp;row=10327&amp;col=6&amp;number=3.3&amp;sourceID=14","3.3")</f>
        <v>3.3</v>
      </c>
      <c r="G10327" s="4" t="str">
        <f>HYPERLINK("http://141.218.60.56/~jnz1568/getInfo.php?workbook=10_05.xlsx&amp;sheet=U0&amp;row=10327&amp;col=7&amp;number=7.27e-05&amp;sourceID=14","7.27e-05")</f>
        <v>7.27e-05</v>
      </c>
    </row>
    <row r="10328" spans="1:7">
      <c r="A10328" s="3"/>
      <c r="B10328" s="3"/>
      <c r="C10328" s="3"/>
      <c r="D10328" s="3"/>
      <c r="E10328" s="3">
        <v>5</v>
      </c>
      <c r="F10328" s="4" t="str">
        <f>HYPERLINK("http://141.218.60.56/~jnz1568/getInfo.php?workbook=10_05.xlsx&amp;sheet=U0&amp;row=10328&amp;col=6&amp;number=3.4&amp;sourceID=14","3.4")</f>
        <v>3.4</v>
      </c>
      <c r="G10328" s="4" t="str">
        <f>HYPERLINK("http://141.218.60.56/~jnz1568/getInfo.php?workbook=10_05.xlsx&amp;sheet=U0&amp;row=10328&amp;col=7&amp;number=7.4e-05&amp;sourceID=14","7.4e-05")</f>
        <v>7.4e-05</v>
      </c>
    </row>
    <row r="10329" spans="1:7">
      <c r="A10329" s="3"/>
      <c r="B10329" s="3"/>
      <c r="C10329" s="3"/>
      <c r="D10329" s="3"/>
      <c r="E10329" s="3">
        <v>6</v>
      </c>
      <c r="F10329" s="4" t="str">
        <f>HYPERLINK("http://141.218.60.56/~jnz1568/getInfo.php?workbook=10_05.xlsx&amp;sheet=U0&amp;row=10329&amp;col=6&amp;number=3.5&amp;sourceID=14","3.5")</f>
        <v>3.5</v>
      </c>
      <c r="G10329" s="4" t="str">
        <f>HYPERLINK("http://141.218.60.56/~jnz1568/getInfo.php?workbook=10_05.xlsx&amp;sheet=U0&amp;row=10329&amp;col=7&amp;number=7.56e-05&amp;sourceID=14","7.56e-05")</f>
        <v>7.56e-05</v>
      </c>
    </row>
    <row r="10330" spans="1:7">
      <c r="A10330" s="3"/>
      <c r="B10330" s="3"/>
      <c r="C10330" s="3"/>
      <c r="D10330" s="3"/>
      <c r="E10330" s="3">
        <v>7</v>
      </c>
      <c r="F10330" s="4" t="str">
        <f>HYPERLINK("http://141.218.60.56/~jnz1568/getInfo.php?workbook=10_05.xlsx&amp;sheet=U0&amp;row=10330&amp;col=6&amp;number=3.6&amp;sourceID=14","3.6")</f>
        <v>3.6</v>
      </c>
      <c r="G10330" s="4" t="str">
        <f>HYPERLINK("http://141.218.60.56/~jnz1568/getInfo.php?workbook=10_05.xlsx&amp;sheet=U0&amp;row=10330&amp;col=7&amp;number=7.73e-05&amp;sourceID=14","7.73e-05")</f>
        <v>7.73e-05</v>
      </c>
    </row>
    <row r="10331" spans="1:7">
      <c r="A10331" s="3"/>
      <c r="B10331" s="3"/>
      <c r="C10331" s="3"/>
      <c r="D10331" s="3"/>
      <c r="E10331" s="3">
        <v>8</v>
      </c>
      <c r="F10331" s="4" t="str">
        <f>HYPERLINK("http://141.218.60.56/~jnz1568/getInfo.php?workbook=10_05.xlsx&amp;sheet=U0&amp;row=10331&amp;col=6&amp;number=3.7&amp;sourceID=14","3.7")</f>
        <v>3.7</v>
      </c>
      <c r="G10331" s="4" t="str">
        <f>HYPERLINK("http://141.218.60.56/~jnz1568/getInfo.php?workbook=10_05.xlsx&amp;sheet=U0&amp;row=10331&amp;col=7&amp;number=7.9e-05&amp;sourceID=14","7.9e-05")</f>
        <v>7.9e-05</v>
      </c>
    </row>
    <row r="10332" spans="1:7">
      <c r="A10332" s="3"/>
      <c r="B10332" s="3"/>
      <c r="C10332" s="3"/>
      <c r="D10332" s="3"/>
      <c r="E10332" s="3">
        <v>9</v>
      </c>
      <c r="F10332" s="4" t="str">
        <f>HYPERLINK("http://141.218.60.56/~jnz1568/getInfo.php?workbook=10_05.xlsx&amp;sheet=U0&amp;row=10332&amp;col=6&amp;number=3.8&amp;sourceID=14","3.8")</f>
        <v>3.8</v>
      </c>
      <c r="G10332" s="4" t="str">
        <f>HYPERLINK("http://141.218.60.56/~jnz1568/getInfo.php?workbook=10_05.xlsx&amp;sheet=U0&amp;row=10332&amp;col=7&amp;number=8.04e-05&amp;sourceID=14","8.04e-05")</f>
        <v>8.04e-05</v>
      </c>
    </row>
    <row r="10333" spans="1:7">
      <c r="A10333" s="3"/>
      <c r="B10333" s="3"/>
      <c r="C10333" s="3"/>
      <c r="D10333" s="3"/>
      <c r="E10333" s="3">
        <v>10</v>
      </c>
      <c r="F10333" s="4" t="str">
        <f>HYPERLINK("http://141.218.60.56/~jnz1568/getInfo.php?workbook=10_05.xlsx&amp;sheet=U0&amp;row=10333&amp;col=6&amp;number=3.9&amp;sourceID=14","3.9")</f>
        <v>3.9</v>
      </c>
      <c r="G10333" s="4" t="str">
        <f>HYPERLINK("http://141.218.60.56/~jnz1568/getInfo.php?workbook=10_05.xlsx&amp;sheet=U0&amp;row=10333&amp;col=7&amp;number=8.11e-05&amp;sourceID=14","8.11e-05")</f>
        <v>8.11e-05</v>
      </c>
    </row>
    <row r="10334" spans="1:7">
      <c r="A10334" s="3"/>
      <c r="B10334" s="3"/>
      <c r="C10334" s="3"/>
      <c r="D10334" s="3"/>
      <c r="E10334" s="3">
        <v>11</v>
      </c>
      <c r="F10334" s="4" t="str">
        <f>HYPERLINK("http://141.218.60.56/~jnz1568/getInfo.php?workbook=10_05.xlsx&amp;sheet=U0&amp;row=10334&amp;col=6&amp;number=4&amp;sourceID=14","4")</f>
        <v>4</v>
      </c>
      <c r="G10334" s="4" t="str">
        <f>HYPERLINK("http://141.218.60.56/~jnz1568/getInfo.php?workbook=10_05.xlsx&amp;sheet=U0&amp;row=10334&amp;col=7&amp;number=8.08e-05&amp;sourceID=14","8.08e-05")</f>
        <v>8.08e-05</v>
      </c>
    </row>
    <row r="10335" spans="1:7">
      <c r="A10335" s="3"/>
      <c r="B10335" s="3"/>
      <c r="C10335" s="3"/>
      <c r="D10335" s="3"/>
      <c r="E10335" s="3">
        <v>12</v>
      </c>
      <c r="F10335" s="4" t="str">
        <f>HYPERLINK("http://141.218.60.56/~jnz1568/getInfo.php?workbook=10_05.xlsx&amp;sheet=U0&amp;row=10335&amp;col=6&amp;number=4.1&amp;sourceID=14","4.1")</f>
        <v>4.1</v>
      </c>
      <c r="G10335" s="4" t="str">
        <f>HYPERLINK("http://141.218.60.56/~jnz1568/getInfo.php?workbook=10_05.xlsx&amp;sheet=U0&amp;row=10335&amp;col=7&amp;number=7.94e-05&amp;sourceID=14","7.94e-05")</f>
        <v>7.94e-05</v>
      </c>
    </row>
    <row r="10336" spans="1:7">
      <c r="A10336" s="3"/>
      <c r="B10336" s="3"/>
      <c r="C10336" s="3"/>
      <c r="D10336" s="3"/>
      <c r="E10336" s="3">
        <v>13</v>
      </c>
      <c r="F10336" s="4" t="str">
        <f>HYPERLINK("http://141.218.60.56/~jnz1568/getInfo.php?workbook=10_05.xlsx&amp;sheet=U0&amp;row=10336&amp;col=6&amp;number=4.2&amp;sourceID=14","4.2")</f>
        <v>4.2</v>
      </c>
      <c r="G10336" s="4" t="str">
        <f>HYPERLINK("http://141.218.60.56/~jnz1568/getInfo.php?workbook=10_05.xlsx&amp;sheet=U0&amp;row=10336&amp;col=7&amp;number=7.76e-05&amp;sourceID=14","7.76e-05")</f>
        <v>7.76e-05</v>
      </c>
    </row>
    <row r="10337" spans="1:7">
      <c r="A10337" s="3"/>
      <c r="B10337" s="3"/>
      <c r="C10337" s="3"/>
      <c r="D10337" s="3"/>
      <c r="E10337" s="3">
        <v>14</v>
      </c>
      <c r="F10337" s="4" t="str">
        <f>HYPERLINK("http://141.218.60.56/~jnz1568/getInfo.php?workbook=10_05.xlsx&amp;sheet=U0&amp;row=10337&amp;col=6&amp;number=4.3&amp;sourceID=14","4.3")</f>
        <v>4.3</v>
      </c>
      <c r="G10337" s="4" t="str">
        <f>HYPERLINK("http://141.218.60.56/~jnz1568/getInfo.php?workbook=10_05.xlsx&amp;sheet=U0&amp;row=10337&amp;col=7&amp;number=7.6e-05&amp;sourceID=14","7.6e-05")</f>
        <v>7.6e-05</v>
      </c>
    </row>
    <row r="10338" spans="1:7">
      <c r="A10338" s="3"/>
      <c r="B10338" s="3"/>
      <c r="C10338" s="3"/>
      <c r="D10338" s="3"/>
      <c r="E10338" s="3">
        <v>15</v>
      </c>
      <c r="F10338" s="4" t="str">
        <f>HYPERLINK("http://141.218.60.56/~jnz1568/getInfo.php?workbook=10_05.xlsx&amp;sheet=U0&amp;row=10338&amp;col=6&amp;number=4.4&amp;sourceID=14","4.4")</f>
        <v>4.4</v>
      </c>
      <c r="G10338" s="4" t="str">
        <f>HYPERLINK("http://141.218.60.56/~jnz1568/getInfo.php?workbook=10_05.xlsx&amp;sheet=U0&amp;row=10338&amp;col=7&amp;number=7.42e-05&amp;sourceID=14","7.42e-05")</f>
        <v>7.42e-05</v>
      </c>
    </row>
    <row r="10339" spans="1:7">
      <c r="A10339" s="3"/>
      <c r="B10339" s="3"/>
      <c r="C10339" s="3"/>
      <c r="D10339" s="3"/>
      <c r="E10339" s="3">
        <v>16</v>
      </c>
      <c r="F10339" s="4" t="str">
        <f>HYPERLINK("http://141.218.60.56/~jnz1568/getInfo.php?workbook=10_05.xlsx&amp;sheet=U0&amp;row=10339&amp;col=6&amp;number=4.5&amp;sourceID=14","4.5")</f>
        <v>4.5</v>
      </c>
      <c r="G10339" s="4" t="str">
        <f>HYPERLINK("http://141.218.60.56/~jnz1568/getInfo.php?workbook=10_05.xlsx&amp;sheet=U0&amp;row=10339&amp;col=7&amp;number=7.17e-05&amp;sourceID=14","7.17e-05")</f>
        <v>7.17e-05</v>
      </c>
    </row>
    <row r="10340" spans="1:7">
      <c r="A10340" s="3"/>
      <c r="B10340" s="3"/>
      <c r="C10340" s="3"/>
      <c r="D10340" s="3"/>
      <c r="E10340" s="3">
        <v>17</v>
      </c>
      <c r="F10340" s="4" t="str">
        <f>HYPERLINK("http://141.218.60.56/~jnz1568/getInfo.php?workbook=10_05.xlsx&amp;sheet=U0&amp;row=10340&amp;col=6&amp;number=4.6&amp;sourceID=14","4.6")</f>
        <v>4.6</v>
      </c>
      <c r="G10340" s="4" t="str">
        <f>HYPERLINK("http://141.218.60.56/~jnz1568/getInfo.php?workbook=10_05.xlsx&amp;sheet=U0&amp;row=10340&amp;col=7&amp;number=6.83e-05&amp;sourceID=14","6.83e-05")</f>
        <v>6.83e-05</v>
      </c>
    </row>
    <row r="10341" spans="1:7">
      <c r="A10341" s="3"/>
      <c r="B10341" s="3"/>
      <c r="C10341" s="3"/>
      <c r="D10341" s="3"/>
      <c r="E10341" s="3">
        <v>18</v>
      </c>
      <c r="F10341" s="4" t="str">
        <f>HYPERLINK("http://141.218.60.56/~jnz1568/getInfo.php?workbook=10_05.xlsx&amp;sheet=U0&amp;row=10341&amp;col=6&amp;number=4.7&amp;sourceID=14","4.7")</f>
        <v>4.7</v>
      </c>
      <c r="G10341" s="4" t="str">
        <f>HYPERLINK("http://141.218.60.56/~jnz1568/getInfo.php?workbook=10_05.xlsx&amp;sheet=U0&amp;row=10341&amp;col=7&amp;number=6.46e-05&amp;sourceID=14","6.46e-05")</f>
        <v>6.46e-05</v>
      </c>
    </row>
    <row r="10342" spans="1:7">
      <c r="A10342" s="3"/>
      <c r="B10342" s="3"/>
      <c r="C10342" s="3"/>
      <c r="D10342" s="3"/>
      <c r="E10342" s="3">
        <v>19</v>
      </c>
      <c r="F10342" s="4" t="str">
        <f>HYPERLINK("http://141.218.60.56/~jnz1568/getInfo.php?workbook=10_05.xlsx&amp;sheet=U0&amp;row=10342&amp;col=6&amp;number=4.8&amp;sourceID=14","4.8")</f>
        <v>4.8</v>
      </c>
      <c r="G10342" s="4" t="str">
        <f>HYPERLINK("http://141.218.60.56/~jnz1568/getInfo.php?workbook=10_05.xlsx&amp;sheet=U0&amp;row=10342&amp;col=7&amp;number=6.1e-05&amp;sourceID=14","6.1e-05")</f>
        <v>6.1e-05</v>
      </c>
    </row>
    <row r="10343" spans="1:7">
      <c r="A10343" s="3"/>
      <c r="B10343" s="3"/>
      <c r="C10343" s="3"/>
      <c r="D10343" s="3"/>
      <c r="E10343" s="3">
        <v>20</v>
      </c>
      <c r="F10343" s="4" t="str">
        <f>HYPERLINK("http://141.218.60.56/~jnz1568/getInfo.php?workbook=10_05.xlsx&amp;sheet=U0&amp;row=10343&amp;col=6&amp;number=4.9&amp;sourceID=14","4.9")</f>
        <v>4.9</v>
      </c>
      <c r="G10343" s="4" t="str">
        <f>HYPERLINK("http://141.218.60.56/~jnz1568/getInfo.php?workbook=10_05.xlsx&amp;sheet=U0&amp;row=10343&amp;col=7&amp;number=5.74e-05&amp;sourceID=14","5.74e-05")</f>
        <v>5.74e-05</v>
      </c>
    </row>
    <row r="10344" spans="1:7">
      <c r="A10344" s="3">
        <v>10</v>
      </c>
      <c r="B10344" s="3">
        <v>5</v>
      </c>
      <c r="C10344" s="3">
        <v>3</v>
      </c>
      <c r="D10344" s="3">
        <v>164</v>
      </c>
      <c r="E10344" s="3">
        <v>1</v>
      </c>
      <c r="F10344" s="4" t="str">
        <f>HYPERLINK("http://141.218.60.56/~jnz1568/getInfo.php?workbook=10_05.xlsx&amp;sheet=U0&amp;row=10344&amp;col=6&amp;number=3&amp;sourceID=14","3")</f>
        <v>3</v>
      </c>
      <c r="G10344" s="4" t="str">
        <f>HYPERLINK("http://141.218.60.56/~jnz1568/getInfo.php?workbook=10_05.xlsx&amp;sheet=U0&amp;row=10344&amp;col=7&amp;number=0.000116&amp;sourceID=14","0.000116")</f>
        <v>0.000116</v>
      </c>
    </row>
    <row r="10345" spans="1:7">
      <c r="A10345" s="3"/>
      <c r="B10345" s="3"/>
      <c r="C10345" s="3"/>
      <c r="D10345" s="3"/>
      <c r="E10345" s="3">
        <v>2</v>
      </c>
      <c r="F10345" s="4" t="str">
        <f>HYPERLINK("http://141.218.60.56/~jnz1568/getInfo.php?workbook=10_05.xlsx&amp;sheet=U0&amp;row=10345&amp;col=6&amp;number=3.1&amp;sourceID=14","3.1")</f>
        <v>3.1</v>
      </c>
      <c r="G10345" s="4" t="str">
        <f>HYPERLINK("http://141.218.60.56/~jnz1568/getInfo.php?workbook=10_05.xlsx&amp;sheet=U0&amp;row=10345&amp;col=7&amp;number=0.000116&amp;sourceID=14","0.000116")</f>
        <v>0.000116</v>
      </c>
    </row>
    <row r="10346" spans="1:7">
      <c r="A10346" s="3"/>
      <c r="B10346" s="3"/>
      <c r="C10346" s="3"/>
      <c r="D10346" s="3"/>
      <c r="E10346" s="3">
        <v>3</v>
      </c>
      <c r="F10346" s="4" t="str">
        <f>HYPERLINK("http://141.218.60.56/~jnz1568/getInfo.php?workbook=10_05.xlsx&amp;sheet=U0&amp;row=10346&amp;col=6&amp;number=3.2&amp;sourceID=14","3.2")</f>
        <v>3.2</v>
      </c>
      <c r="G10346" s="4" t="str">
        <f>HYPERLINK("http://141.218.60.56/~jnz1568/getInfo.php?workbook=10_05.xlsx&amp;sheet=U0&amp;row=10346&amp;col=7&amp;number=0.000116&amp;sourceID=14","0.000116")</f>
        <v>0.000116</v>
      </c>
    </row>
    <row r="10347" spans="1:7">
      <c r="A10347" s="3"/>
      <c r="B10347" s="3"/>
      <c r="C10347" s="3"/>
      <c r="D10347" s="3"/>
      <c r="E10347" s="3">
        <v>4</v>
      </c>
      <c r="F10347" s="4" t="str">
        <f>HYPERLINK("http://141.218.60.56/~jnz1568/getInfo.php?workbook=10_05.xlsx&amp;sheet=U0&amp;row=10347&amp;col=6&amp;number=3.3&amp;sourceID=14","3.3")</f>
        <v>3.3</v>
      </c>
      <c r="G10347" s="4" t="str">
        <f>HYPERLINK("http://141.218.60.56/~jnz1568/getInfo.php?workbook=10_05.xlsx&amp;sheet=U0&amp;row=10347&amp;col=7&amp;number=0.000115&amp;sourceID=14","0.000115")</f>
        <v>0.000115</v>
      </c>
    </row>
    <row r="10348" spans="1:7">
      <c r="A10348" s="3"/>
      <c r="B10348" s="3"/>
      <c r="C10348" s="3"/>
      <c r="D10348" s="3"/>
      <c r="E10348" s="3">
        <v>5</v>
      </c>
      <c r="F10348" s="4" t="str">
        <f>HYPERLINK("http://141.218.60.56/~jnz1568/getInfo.php?workbook=10_05.xlsx&amp;sheet=U0&amp;row=10348&amp;col=6&amp;number=3.4&amp;sourceID=14","3.4")</f>
        <v>3.4</v>
      </c>
      <c r="G10348" s="4" t="str">
        <f>HYPERLINK("http://141.218.60.56/~jnz1568/getInfo.php?workbook=10_05.xlsx&amp;sheet=U0&amp;row=10348&amp;col=7&amp;number=0.000115&amp;sourceID=14","0.000115")</f>
        <v>0.000115</v>
      </c>
    </row>
    <row r="10349" spans="1:7">
      <c r="A10349" s="3"/>
      <c r="B10349" s="3"/>
      <c r="C10349" s="3"/>
      <c r="D10349" s="3"/>
      <c r="E10349" s="3">
        <v>6</v>
      </c>
      <c r="F10349" s="4" t="str">
        <f>HYPERLINK("http://141.218.60.56/~jnz1568/getInfo.php?workbook=10_05.xlsx&amp;sheet=U0&amp;row=10349&amp;col=6&amp;number=3.5&amp;sourceID=14","3.5")</f>
        <v>3.5</v>
      </c>
      <c r="G10349" s="4" t="str">
        <f>HYPERLINK("http://141.218.60.56/~jnz1568/getInfo.php?workbook=10_05.xlsx&amp;sheet=U0&amp;row=10349&amp;col=7&amp;number=0.000115&amp;sourceID=14","0.000115")</f>
        <v>0.000115</v>
      </c>
    </row>
    <row r="10350" spans="1:7">
      <c r="A10350" s="3"/>
      <c r="B10350" s="3"/>
      <c r="C10350" s="3"/>
      <c r="D10350" s="3"/>
      <c r="E10350" s="3">
        <v>7</v>
      </c>
      <c r="F10350" s="4" t="str">
        <f>HYPERLINK("http://141.218.60.56/~jnz1568/getInfo.php?workbook=10_05.xlsx&amp;sheet=U0&amp;row=10350&amp;col=6&amp;number=3.6&amp;sourceID=14","3.6")</f>
        <v>3.6</v>
      </c>
      <c r="G10350" s="4" t="str">
        <f>HYPERLINK("http://141.218.60.56/~jnz1568/getInfo.php?workbook=10_05.xlsx&amp;sheet=U0&amp;row=10350&amp;col=7&amp;number=0.000114&amp;sourceID=14","0.000114")</f>
        <v>0.000114</v>
      </c>
    </row>
    <row r="10351" spans="1:7">
      <c r="A10351" s="3"/>
      <c r="B10351" s="3"/>
      <c r="C10351" s="3"/>
      <c r="D10351" s="3"/>
      <c r="E10351" s="3">
        <v>8</v>
      </c>
      <c r="F10351" s="4" t="str">
        <f>HYPERLINK("http://141.218.60.56/~jnz1568/getInfo.php?workbook=10_05.xlsx&amp;sheet=U0&amp;row=10351&amp;col=6&amp;number=3.7&amp;sourceID=14","3.7")</f>
        <v>3.7</v>
      </c>
      <c r="G10351" s="4" t="str">
        <f>HYPERLINK("http://141.218.60.56/~jnz1568/getInfo.php?workbook=10_05.xlsx&amp;sheet=U0&amp;row=10351&amp;col=7&amp;number=0.000113&amp;sourceID=14","0.000113")</f>
        <v>0.000113</v>
      </c>
    </row>
    <row r="10352" spans="1:7">
      <c r="A10352" s="3"/>
      <c r="B10352" s="3"/>
      <c r="C10352" s="3"/>
      <c r="D10352" s="3"/>
      <c r="E10352" s="3">
        <v>9</v>
      </c>
      <c r="F10352" s="4" t="str">
        <f>HYPERLINK("http://141.218.60.56/~jnz1568/getInfo.php?workbook=10_05.xlsx&amp;sheet=U0&amp;row=10352&amp;col=6&amp;number=3.8&amp;sourceID=14","3.8")</f>
        <v>3.8</v>
      </c>
      <c r="G10352" s="4" t="str">
        <f>HYPERLINK("http://141.218.60.56/~jnz1568/getInfo.php?workbook=10_05.xlsx&amp;sheet=U0&amp;row=10352&amp;col=7&amp;number=0.000112&amp;sourceID=14","0.000112")</f>
        <v>0.000112</v>
      </c>
    </row>
    <row r="10353" spans="1:7">
      <c r="A10353" s="3"/>
      <c r="B10353" s="3"/>
      <c r="C10353" s="3"/>
      <c r="D10353" s="3"/>
      <c r="E10353" s="3">
        <v>10</v>
      </c>
      <c r="F10353" s="4" t="str">
        <f>HYPERLINK("http://141.218.60.56/~jnz1568/getInfo.php?workbook=10_05.xlsx&amp;sheet=U0&amp;row=10353&amp;col=6&amp;number=3.9&amp;sourceID=14","3.9")</f>
        <v>3.9</v>
      </c>
      <c r="G10353" s="4" t="str">
        <f>HYPERLINK("http://141.218.60.56/~jnz1568/getInfo.php?workbook=10_05.xlsx&amp;sheet=U0&amp;row=10353&amp;col=7&amp;number=0.000111&amp;sourceID=14","0.000111")</f>
        <v>0.000111</v>
      </c>
    </row>
    <row r="10354" spans="1:7">
      <c r="A10354" s="3"/>
      <c r="B10354" s="3"/>
      <c r="C10354" s="3"/>
      <c r="D10354" s="3"/>
      <c r="E10354" s="3">
        <v>11</v>
      </c>
      <c r="F10354" s="4" t="str">
        <f>HYPERLINK("http://141.218.60.56/~jnz1568/getInfo.php?workbook=10_05.xlsx&amp;sheet=U0&amp;row=10354&amp;col=6&amp;number=4&amp;sourceID=14","4")</f>
        <v>4</v>
      </c>
      <c r="G10354" s="4" t="str">
        <f>HYPERLINK("http://141.218.60.56/~jnz1568/getInfo.php?workbook=10_05.xlsx&amp;sheet=U0&amp;row=10354&amp;col=7&amp;number=0.00011&amp;sourceID=14","0.00011")</f>
        <v>0.00011</v>
      </c>
    </row>
    <row r="10355" spans="1:7">
      <c r="A10355" s="3"/>
      <c r="B10355" s="3"/>
      <c r="C10355" s="3"/>
      <c r="D10355" s="3"/>
      <c r="E10355" s="3">
        <v>12</v>
      </c>
      <c r="F10355" s="4" t="str">
        <f>HYPERLINK("http://141.218.60.56/~jnz1568/getInfo.php?workbook=10_05.xlsx&amp;sheet=U0&amp;row=10355&amp;col=6&amp;number=4.1&amp;sourceID=14","4.1")</f>
        <v>4.1</v>
      </c>
      <c r="G10355" s="4" t="str">
        <f>HYPERLINK("http://141.218.60.56/~jnz1568/getInfo.php?workbook=10_05.xlsx&amp;sheet=U0&amp;row=10355&amp;col=7&amp;number=0.000108&amp;sourceID=14","0.000108")</f>
        <v>0.000108</v>
      </c>
    </row>
    <row r="10356" spans="1:7">
      <c r="A10356" s="3"/>
      <c r="B10356" s="3"/>
      <c r="C10356" s="3"/>
      <c r="D10356" s="3"/>
      <c r="E10356" s="3">
        <v>13</v>
      </c>
      <c r="F10356" s="4" t="str">
        <f>HYPERLINK("http://141.218.60.56/~jnz1568/getInfo.php?workbook=10_05.xlsx&amp;sheet=U0&amp;row=10356&amp;col=6&amp;number=4.2&amp;sourceID=14","4.2")</f>
        <v>4.2</v>
      </c>
      <c r="G10356" s="4" t="str">
        <f>HYPERLINK("http://141.218.60.56/~jnz1568/getInfo.php?workbook=10_05.xlsx&amp;sheet=U0&amp;row=10356&amp;col=7&amp;number=0.000106&amp;sourceID=14","0.000106")</f>
        <v>0.000106</v>
      </c>
    </row>
    <row r="10357" spans="1:7">
      <c r="A10357" s="3"/>
      <c r="B10357" s="3"/>
      <c r="C10357" s="3"/>
      <c r="D10357" s="3"/>
      <c r="E10357" s="3">
        <v>14</v>
      </c>
      <c r="F10357" s="4" t="str">
        <f>HYPERLINK("http://141.218.60.56/~jnz1568/getInfo.php?workbook=10_05.xlsx&amp;sheet=U0&amp;row=10357&amp;col=6&amp;number=4.3&amp;sourceID=14","4.3")</f>
        <v>4.3</v>
      </c>
      <c r="G10357" s="4" t="str">
        <f>HYPERLINK("http://141.218.60.56/~jnz1568/getInfo.php?workbook=10_05.xlsx&amp;sheet=U0&amp;row=10357&amp;col=7&amp;number=0.000103&amp;sourceID=14","0.000103")</f>
        <v>0.000103</v>
      </c>
    </row>
    <row r="10358" spans="1:7">
      <c r="A10358" s="3"/>
      <c r="B10358" s="3"/>
      <c r="C10358" s="3"/>
      <c r="D10358" s="3"/>
      <c r="E10358" s="3">
        <v>15</v>
      </c>
      <c r="F10358" s="4" t="str">
        <f>HYPERLINK("http://141.218.60.56/~jnz1568/getInfo.php?workbook=10_05.xlsx&amp;sheet=U0&amp;row=10358&amp;col=6&amp;number=4.4&amp;sourceID=14","4.4")</f>
        <v>4.4</v>
      </c>
      <c r="G10358" s="4" t="str">
        <f>HYPERLINK("http://141.218.60.56/~jnz1568/getInfo.php?workbook=10_05.xlsx&amp;sheet=U0&amp;row=10358&amp;col=7&amp;number=9.97e-05&amp;sourceID=14","9.97e-05")</f>
        <v>9.97e-05</v>
      </c>
    </row>
    <row r="10359" spans="1:7">
      <c r="A10359" s="3"/>
      <c r="B10359" s="3"/>
      <c r="C10359" s="3"/>
      <c r="D10359" s="3"/>
      <c r="E10359" s="3">
        <v>16</v>
      </c>
      <c r="F10359" s="4" t="str">
        <f>HYPERLINK("http://141.218.60.56/~jnz1568/getInfo.php?workbook=10_05.xlsx&amp;sheet=U0&amp;row=10359&amp;col=6&amp;number=4.5&amp;sourceID=14","4.5")</f>
        <v>4.5</v>
      </c>
      <c r="G10359" s="4" t="str">
        <f>HYPERLINK("http://141.218.60.56/~jnz1568/getInfo.php?workbook=10_05.xlsx&amp;sheet=U0&amp;row=10359&amp;col=7&amp;number=9.56e-05&amp;sourceID=14","9.56e-05")</f>
        <v>9.56e-05</v>
      </c>
    </row>
    <row r="10360" spans="1:7">
      <c r="A10360" s="3"/>
      <c r="B10360" s="3"/>
      <c r="C10360" s="3"/>
      <c r="D10360" s="3"/>
      <c r="E10360" s="3">
        <v>17</v>
      </c>
      <c r="F10360" s="4" t="str">
        <f>HYPERLINK("http://141.218.60.56/~jnz1568/getInfo.php?workbook=10_05.xlsx&amp;sheet=U0&amp;row=10360&amp;col=6&amp;number=4.6&amp;sourceID=14","4.6")</f>
        <v>4.6</v>
      </c>
      <c r="G10360" s="4" t="str">
        <f>HYPERLINK("http://141.218.60.56/~jnz1568/getInfo.php?workbook=10_05.xlsx&amp;sheet=U0&amp;row=10360&amp;col=7&amp;number=9.08e-05&amp;sourceID=14","9.08e-05")</f>
        <v>9.08e-05</v>
      </c>
    </row>
    <row r="10361" spans="1:7">
      <c r="A10361" s="3"/>
      <c r="B10361" s="3"/>
      <c r="C10361" s="3"/>
      <c r="D10361" s="3"/>
      <c r="E10361" s="3">
        <v>18</v>
      </c>
      <c r="F10361" s="4" t="str">
        <f>HYPERLINK("http://141.218.60.56/~jnz1568/getInfo.php?workbook=10_05.xlsx&amp;sheet=U0&amp;row=10361&amp;col=6&amp;number=4.7&amp;sourceID=14","4.7")</f>
        <v>4.7</v>
      </c>
      <c r="G10361" s="4" t="str">
        <f>HYPERLINK("http://141.218.60.56/~jnz1568/getInfo.php?workbook=10_05.xlsx&amp;sheet=U0&amp;row=10361&amp;col=7&amp;number=8.57e-05&amp;sourceID=14","8.57e-05")</f>
        <v>8.57e-05</v>
      </c>
    </row>
    <row r="10362" spans="1:7">
      <c r="A10362" s="3"/>
      <c r="B10362" s="3"/>
      <c r="C10362" s="3"/>
      <c r="D10362" s="3"/>
      <c r="E10362" s="3">
        <v>19</v>
      </c>
      <c r="F10362" s="4" t="str">
        <f>HYPERLINK("http://141.218.60.56/~jnz1568/getInfo.php?workbook=10_05.xlsx&amp;sheet=U0&amp;row=10362&amp;col=6&amp;number=4.8&amp;sourceID=14","4.8")</f>
        <v>4.8</v>
      </c>
      <c r="G10362" s="4" t="str">
        <f>HYPERLINK("http://141.218.60.56/~jnz1568/getInfo.php?workbook=10_05.xlsx&amp;sheet=U0&amp;row=10362&amp;col=7&amp;number=8.06e-05&amp;sourceID=14","8.06e-05")</f>
        <v>8.06e-05</v>
      </c>
    </row>
    <row r="10363" spans="1:7">
      <c r="A10363" s="3"/>
      <c r="B10363" s="3"/>
      <c r="C10363" s="3"/>
      <c r="D10363" s="3"/>
      <c r="E10363" s="3">
        <v>20</v>
      </c>
      <c r="F10363" s="4" t="str">
        <f>HYPERLINK("http://141.218.60.56/~jnz1568/getInfo.php?workbook=10_05.xlsx&amp;sheet=U0&amp;row=10363&amp;col=6&amp;number=4.9&amp;sourceID=14","4.9")</f>
        <v>4.9</v>
      </c>
      <c r="G10363" s="4" t="str">
        <f>HYPERLINK("http://141.218.60.56/~jnz1568/getInfo.php?workbook=10_05.xlsx&amp;sheet=U0&amp;row=10363&amp;col=7&amp;number=7.59e-05&amp;sourceID=14","7.59e-05")</f>
        <v>7.59e-05</v>
      </c>
    </row>
    <row r="10364" spans="1:7">
      <c r="A10364" s="3">
        <v>10</v>
      </c>
      <c r="B10364" s="3">
        <v>5</v>
      </c>
      <c r="C10364" s="3">
        <v>3</v>
      </c>
      <c r="D10364" s="3">
        <v>165</v>
      </c>
      <c r="E10364" s="3">
        <v>1</v>
      </c>
      <c r="F10364" s="4" t="str">
        <f>HYPERLINK("http://141.218.60.56/~jnz1568/getInfo.php?workbook=10_05.xlsx&amp;sheet=U0&amp;row=10364&amp;col=6&amp;number=3&amp;sourceID=14","3")</f>
        <v>3</v>
      </c>
      <c r="G10364" s="4" t="str">
        <f>HYPERLINK("http://141.218.60.56/~jnz1568/getInfo.php?workbook=10_05.xlsx&amp;sheet=U0&amp;row=10364&amp;col=7&amp;number=0.000172&amp;sourceID=14","0.000172")</f>
        <v>0.000172</v>
      </c>
    </row>
    <row r="10365" spans="1:7">
      <c r="A10365" s="3"/>
      <c r="B10365" s="3"/>
      <c r="C10365" s="3"/>
      <c r="D10365" s="3"/>
      <c r="E10365" s="3">
        <v>2</v>
      </c>
      <c r="F10365" s="4" t="str">
        <f>HYPERLINK("http://141.218.60.56/~jnz1568/getInfo.php?workbook=10_05.xlsx&amp;sheet=U0&amp;row=10365&amp;col=6&amp;number=3.1&amp;sourceID=14","3.1")</f>
        <v>3.1</v>
      </c>
      <c r="G10365" s="4" t="str">
        <f>HYPERLINK("http://141.218.60.56/~jnz1568/getInfo.php?workbook=10_05.xlsx&amp;sheet=U0&amp;row=10365&amp;col=7&amp;number=0.00017&amp;sourceID=14","0.00017")</f>
        <v>0.00017</v>
      </c>
    </row>
    <row r="10366" spans="1:7">
      <c r="A10366" s="3"/>
      <c r="B10366" s="3"/>
      <c r="C10366" s="3"/>
      <c r="D10366" s="3"/>
      <c r="E10366" s="3">
        <v>3</v>
      </c>
      <c r="F10366" s="4" t="str">
        <f>HYPERLINK("http://141.218.60.56/~jnz1568/getInfo.php?workbook=10_05.xlsx&amp;sheet=U0&amp;row=10366&amp;col=6&amp;number=3.2&amp;sourceID=14","3.2")</f>
        <v>3.2</v>
      </c>
      <c r="G10366" s="4" t="str">
        <f>HYPERLINK("http://141.218.60.56/~jnz1568/getInfo.php?workbook=10_05.xlsx&amp;sheet=U0&amp;row=10366&amp;col=7&amp;number=0.000169&amp;sourceID=14","0.000169")</f>
        <v>0.000169</v>
      </c>
    </row>
    <row r="10367" spans="1:7">
      <c r="A10367" s="3"/>
      <c r="B10367" s="3"/>
      <c r="C10367" s="3"/>
      <c r="D10367" s="3"/>
      <c r="E10367" s="3">
        <v>4</v>
      </c>
      <c r="F10367" s="4" t="str">
        <f>HYPERLINK("http://141.218.60.56/~jnz1568/getInfo.php?workbook=10_05.xlsx&amp;sheet=U0&amp;row=10367&amp;col=6&amp;number=3.3&amp;sourceID=14","3.3")</f>
        <v>3.3</v>
      </c>
      <c r="G10367" s="4" t="str">
        <f>HYPERLINK("http://141.218.60.56/~jnz1568/getInfo.php?workbook=10_05.xlsx&amp;sheet=U0&amp;row=10367&amp;col=7&amp;number=0.000166&amp;sourceID=14","0.000166")</f>
        <v>0.000166</v>
      </c>
    </row>
    <row r="10368" spans="1:7">
      <c r="A10368" s="3"/>
      <c r="B10368" s="3"/>
      <c r="C10368" s="3"/>
      <c r="D10368" s="3"/>
      <c r="E10368" s="3">
        <v>5</v>
      </c>
      <c r="F10368" s="4" t="str">
        <f>HYPERLINK("http://141.218.60.56/~jnz1568/getInfo.php?workbook=10_05.xlsx&amp;sheet=U0&amp;row=10368&amp;col=6&amp;number=3.4&amp;sourceID=14","3.4")</f>
        <v>3.4</v>
      </c>
      <c r="G10368" s="4" t="str">
        <f>HYPERLINK("http://141.218.60.56/~jnz1568/getInfo.php?workbook=10_05.xlsx&amp;sheet=U0&amp;row=10368&amp;col=7&amp;number=0.000164&amp;sourceID=14","0.000164")</f>
        <v>0.000164</v>
      </c>
    </row>
    <row r="10369" spans="1:7">
      <c r="A10369" s="3"/>
      <c r="B10369" s="3"/>
      <c r="C10369" s="3"/>
      <c r="D10369" s="3"/>
      <c r="E10369" s="3">
        <v>6</v>
      </c>
      <c r="F10369" s="4" t="str">
        <f>HYPERLINK("http://141.218.60.56/~jnz1568/getInfo.php?workbook=10_05.xlsx&amp;sheet=U0&amp;row=10369&amp;col=6&amp;number=3.5&amp;sourceID=14","3.5")</f>
        <v>3.5</v>
      </c>
      <c r="G10369" s="4" t="str">
        <f>HYPERLINK("http://141.218.60.56/~jnz1568/getInfo.php?workbook=10_05.xlsx&amp;sheet=U0&amp;row=10369&amp;col=7&amp;number=0.00016&amp;sourceID=14","0.00016")</f>
        <v>0.00016</v>
      </c>
    </row>
    <row r="10370" spans="1:7">
      <c r="A10370" s="3"/>
      <c r="B10370" s="3"/>
      <c r="C10370" s="3"/>
      <c r="D10370" s="3"/>
      <c r="E10370" s="3">
        <v>7</v>
      </c>
      <c r="F10370" s="4" t="str">
        <f>HYPERLINK("http://141.218.60.56/~jnz1568/getInfo.php?workbook=10_05.xlsx&amp;sheet=U0&amp;row=10370&amp;col=6&amp;number=3.6&amp;sourceID=14","3.6")</f>
        <v>3.6</v>
      </c>
      <c r="G10370" s="4" t="str">
        <f>HYPERLINK("http://141.218.60.56/~jnz1568/getInfo.php?workbook=10_05.xlsx&amp;sheet=U0&amp;row=10370&amp;col=7&amp;number=0.000156&amp;sourceID=14","0.000156")</f>
        <v>0.000156</v>
      </c>
    </row>
    <row r="10371" spans="1:7">
      <c r="A10371" s="3"/>
      <c r="B10371" s="3"/>
      <c r="C10371" s="3"/>
      <c r="D10371" s="3"/>
      <c r="E10371" s="3">
        <v>8</v>
      </c>
      <c r="F10371" s="4" t="str">
        <f>HYPERLINK("http://141.218.60.56/~jnz1568/getInfo.php?workbook=10_05.xlsx&amp;sheet=U0&amp;row=10371&amp;col=6&amp;number=3.7&amp;sourceID=14","3.7")</f>
        <v>3.7</v>
      </c>
      <c r="G10371" s="4" t="str">
        <f>HYPERLINK("http://141.218.60.56/~jnz1568/getInfo.php?workbook=10_05.xlsx&amp;sheet=U0&amp;row=10371&amp;col=7&amp;number=0.000152&amp;sourceID=14","0.000152")</f>
        <v>0.000152</v>
      </c>
    </row>
    <row r="10372" spans="1:7">
      <c r="A10372" s="3"/>
      <c r="B10372" s="3"/>
      <c r="C10372" s="3"/>
      <c r="D10372" s="3"/>
      <c r="E10372" s="3">
        <v>9</v>
      </c>
      <c r="F10372" s="4" t="str">
        <f>HYPERLINK("http://141.218.60.56/~jnz1568/getInfo.php?workbook=10_05.xlsx&amp;sheet=U0&amp;row=10372&amp;col=6&amp;number=3.8&amp;sourceID=14","3.8")</f>
        <v>3.8</v>
      </c>
      <c r="G10372" s="4" t="str">
        <f>HYPERLINK("http://141.218.60.56/~jnz1568/getInfo.php?workbook=10_05.xlsx&amp;sheet=U0&amp;row=10372&amp;col=7&amp;number=0.000146&amp;sourceID=14","0.000146")</f>
        <v>0.000146</v>
      </c>
    </row>
    <row r="10373" spans="1:7">
      <c r="A10373" s="3"/>
      <c r="B10373" s="3"/>
      <c r="C10373" s="3"/>
      <c r="D10373" s="3"/>
      <c r="E10373" s="3">
        <v>10</v>
      </c>
      <c r="F10373" s="4" t="str">
        <f>HYPERLINK("http://141.218.60.56/~jnz1568/getInfo.php?workbook=10_05.xlsx&amp;sheet=U0&amp;row=10373&amp;col=6&amp;number=3.9&amp;sourceID=14","3.9")</f>
        <v>3.9</v>
      </c>
      <c r="G10373" s="4" t="str">
        <f>HYPERLINK("http://141.218.60.56/~jnz1568/getInfo.php?workbook=10_05.xlsx&amp;sheet=U0&amp;row=10373&amp;col=7&amp;number=0.000141&amp;sourceID=14","0.000141")</f>
        <v>0.000141</v>
      </c>
    </row>
    <row r="10374" spans="1:7">
      <c r="A10374" s="3"/>
      <c r="B10374" s="3"/>
      <c r="C10374" s="3"/>
      <c r="D10374" s="3"/>
      <c r="E10374" s="3">
        <v>11</v>
      </c>
      <c r="F10374" s="4" t="str">
        <f>HYPERLINK("http://141.218.60.56/~jnz1568/getInfo.php?workbook=10_05.xlsx&amp;sheet=U0&amp;row=10374&amp;col=6&amp;number=4&amp;sourceID=14","4")</f>
        <v>4</v>
      </c>
      <c r="G10374" s="4" t="str">
        <f>HYPERLINK("http://141.218.60.56/~jnz1568/getInfo.php?workbook=10_05.xlsx&amp;sheet=U0&amp;row=10374&amp;col=7&amp;number=0.000136&amp;sourceID=14","0.000136")</f>
        <v>0.000136</v>
      </c>
    </row>
    <row r="10375" spans="1:7">
      <c r="A10375" s="3"/>
      <c r="B10375" s="3"/>
      <c r="C10375" s="3"/>
      <c r="D10375" s="3"/>
      <c r="E10375" s="3">
        <v>12</v>
      </c>
      <c r="F10375" s="4" t="str">
        <f>HYPERLINK("http://141.218.60.56/~jnz1568/getInfo.php?workbook=10_05.xlsx&amp;sheet=U0&amp;row=10375&amp;col=6&amp;number=4.1&amp;sourceID=14","4.1")</f>
        <v>4.1</v>
      </c>
      <c r="G10375" s="4" t="str">
        <f>HYPERLINK("http://141.218.60.56/~jnz1568/getInfo.php?workbook=10_05.xlsx&amp;sheet=U0&amp;row=10375&amp;col=7&amp;number=0.000132&amp;sourceID=14","0.000132")</f>
        <v>0.000132</v>
      </c>
    </row>
    <row r="10376" spans="1:7">
      <c r="A10376" s="3"/>
      <c r="B10376" s="3"/>
      <c r="C10376" s="3"/>
      <c r="D10376" s="3"/>
      <c r="E10376" s="3">
        <v>13</v>
      </c>
      <c r="F10376" s="4" t="str">
        <f>HYPERLINK("http://141.218.60.56/~jnz1568/getInfo.php?workbook=10_05.xlsx&amp;sheet=U0&amp;row=10376&amp;col=6&amp;number=4.2&amp;sourceID=14","4.2")</f>
        <v>4.2</v>
      </c>
      <c r="G10376" s="4" t="str">
        <f>HYPERLINK("http://141.218.60.56/~jnz1568/getInfo.php?workbook=10_05.xlsx&amp;sheet=U0&amp;row=10376&amp;col=7&amp;number=0.000128&amp;sourceID=14","0.000128")</f>
        <v>0.000128</v>
      </c>
    </row>
    <row r="10377" spans="1:7">
      <c r="A10377" s="3"/>
      <c r="B10377" s="3"/>
      <c r="C10377" s="3"/>
      <c r="D10377" s="3"/>
      <c r="E10377" s="3">
        <v>14</v>
      </c>
      <c r="F10377" s="4" t="str">
        <f>HYPERLINK("http://141.218.60.56/~jnz1568/getInfo.php?workbook=10_05.xlsx&amp;sheet=U0&amp;row=10377&amp;col=6&amp;number=4.3&amp;sourceID=14","4.3")</f>
        <v>4.3</v>
      </c>
      <c r="G10377" s="4" t="str">
        <f>HYPERLINK("http://141.218.60.56/~jnz1568/getInfo.php?workbook=10_05.xlsx&amp;sheet=U0&amp;row=10377&amp;col=7&amp;number=0.000125&amp;sourceID=14","0.000125")</f>
        <v>0.000125</v>
      </c>
    </row>
    <row r="10378" spans="1:7">
      <c r="A10378" s="3"/>
      <c r="B10378" s="3"/>
      <c r="C10378" s="3"/>
      <c r="D10378" s="3"/>
      <c r="E10378" s="3">
        <v>15</v>
      </c>
      <c r="F10378" s="4" t="str">
        <f>HYPERLINK("http://141.218.60.56/~jnz1568/getInfo.php?workbook=10_05.xlsx&amp;sheet=U0&amp;row=10378&amp;col=6&amp;number=4.4&amp;sourceID=14","4.4")</f>
        <v>4.4</v>
      </c>
      <c r="G10378" s="4" t="str">
        <f>HYPERLINK("http://141.218.60.56/~jnz1568/getInfo.php?workbook=10_05.xlsx&amp;sheet=U0&amp;row=10378&amp;col=7&amp;number=0.00012&amp;sourceID=14","0.00012")</f>
        <v>0.00012</v>
      </c>
    </row>
    <row r="10379" spans="1:7">
      <c r="A10379" s="3"/>
      <c r="B10379" s="3"/>
      <c r="C10379" s="3"/>
      <c r="D10379" s="3"/>
      <c r="E10379" s="3">
        <v>16</v>
      </c>
      <c r="F10379" s="4" t="str">
        <f>HYPERLINK("http://141.218.60.56/~jnz1568/getInfo.php?workbook=10_05.xlsx&amp;sheet=U0&amp;row=10379&amp;col=6&amp;number=4.5&amp;sourceID=14","4.5")</f>
        <v>4.5</v>
      </c>
      <c r="G10379" s="4" t="str">
        <f>HYPERLINK("http://141.218.60.56/~jnz1568/getInfo.php?workbook=10_05.xlsx&amp;sheet=U0&amp;row=10379&amp;col=7&amp;number=0.000113&amp;sourceID=14","0.000113")</f>
        <v>0.000113</v>
      </c>
    </row>
    <row r="10380" spans="1:7">
      <c r="A10380" s="3"/>
      <c r="B10380" s="3"/>
      <c r="C10380" s="3"/>
      <c r="D10380" s="3"/>
      <c r="E10380" s="3">
        <v>17</v>
      </c>
      <c r="F10380" s="4" t="str">
        <f>HYPERLINK("http://141.218.60.56/~jnz1568/getInfo.php?workbook=10_05.xlsx&amp;sheet=U0&amp;row=10380&amp;col=6&amp;number=4.6&amp;sourceID=14","4.6")</f>
        <v>4.6</v>
      </c>
      <c r="G10380" s="4" t="str">
        <f>HYPERLINK("http://141.218.60.56/~jnz1568/getInfo.php?workbook=10_05.xlsx&amp;sheet=U0&amp;row=10380&amp;col=7&amp;number=0.000105&amp;sourceID=14","0.000105")</f>
        <v>0.000105</v>
      </c>
    </row>
    <row r="10381" spans="1:7">
      <c r="A10381" s="3"/>
      <c r="B10381" s="3"/>
      <c r="C10381" s="3"/>
      <c r="D10381" s="3"/>
      <c r="E10381" s="3">
        <v>18</v>
      </c>
      <c r="F10381" s="4" t="str">
        <f>HYPERLINK("http://141.218.60.56/~jnz1568/getInfo.php?workbook=10_05.xlsx&amp;sheet=U0&amp;row=10381&amp;col=6&amp;number=4.7&amp;sourceID=14","4.7")</f>
        <v>4.7</v>
      </c>
      <c r="G10381" s="4" t="str">
        <f>HYPERLINK("http://141.218.60.56/~jnz1568/getInfo.php?workbook=10_05.xlsx&amp;sheet=U0&amp;row=10381&amp;col=7&amp;number=9.73e-05&amp;sourceID=14","9.73e-05")</f>
        <v>9.73e-05</v>
      </c>
    </row>
    <row r="10382" spans="1:7">
      <c r="A10382" s="3"/>
      <c r="B10382" s="3"/>
      <c r="C10382" s="3"/>
      <c r="D10382" s="3"/>
      <c r="E10382" s="3">
        <v>19</v>
      </c>
      <c r="F10382" s="4" t="str">
        <f>HYPERLINK("http://141.218.60.56/~jnz1568/getInfo.php?workbook=10_05.xlsx&amp;sheet=U0&amp;row=10382&amp;col=6&amp;number=4.8&amp;sourceID=14","4.8")</f>
        <v>4.8</v>
      </c>
      <c r="G10382" s="4" t="str">
        <f>HYPERLINK("http://141.218.60.56/~jnz1568/getInfo.php?workbook=10_05.xlsx&amp;sheet=U0&amp;row=10382&amp;col=7&amp;number=9.03e-05&amp;sourceID=14","9.03e-05")</f>
        <v>9.03e-05</v>
      </c>
    </row>
    <row r="10383" spans="1:7">
      <c r="A10383" s="3"/>
      <c r="B10383" s="3"/>
      <c r="C10383" s="3"/>
      <c r="D10383" s="3"/>
      <c r="E10383" s="3">
        <v>20</v>
      </c>
      <c r="F10383" s="4" t="str">
        <f>HYPERLINK("http://141.218.60.56/~jnz1568/getInfo.php?workbook=10_05.xlsx&amp;sheet=U0&amp;row=10383&amp;col=6&amp;number=4.9&amp;sourceID=14","4.9")</f>
        <v>4.9</v>
      </c>
      <c r="G10383" s="4" t="str">
        <f>HYPERLINK("http://141.218.60.56/~jnz1568/getInfo.php?workbook=10_05.xlsx&amp;sheet=U0&amp;row=10383&amp;col=7&amp;number=8.37e-05&amp;sourceID=14","8.37e-05")</f>
        <v>8.37e-05</v>
      </c>
    </row>
    <row r="10384" spans="1:7">
      <c r="A10384" s="3">
        <v>10</v>
      </c>
      <c r="B10384" s="3">
        <v>5</v>
      </c>
      <c r="C10384" s="3">
        <v>3</v>
      </c>
      <c r="D10384" s="3">
        <v>166</v>
      </c>
      <c r="E10384" s="3">
        <v>1</v>
      </c>
      <c r="F10384" s="4" t="str">
        <f>HYPERLINK("http://141.218.60.56/~jnz1568/getInfo.php?workbook=10_05.xlsx&amp;sheet=U0&amp;row=10384&amp;col=6&amp;number=3&amp;sourceID=14","3")</f>
        <v>3</v>
      </c>
      <c r="G10384" s="4" t="str">
        <f>HYPERLINK("http://141.218.60.56/~jnz1568/getInfo.php?workbook=10_05.xlsx&amp;sheet=U0&amp;row=10384&amp;col=7&amp;number=8.29e-05&amp;sourceID=14","8.29e-05")</f>
        <v>8.29e-05</v>
      </c>
    </row>
    <row r="10385" spans="1:7">
      <c r="A10385" s="3"/>
      <c r="B10385" s="3"/>
      <c r="C10385" s="3"/>
      <c r="D10385" s="3"/>
      <c r="E10385" s="3">
        <v>2</v>
      </c>
      <c r="F10385" s="4" t="str">
        <f>HYPERLINK("http://141.218.60.56/~jnz1568/getInfo.php?workbook=10_05.xlsx&amp;sheet=U0&amp;row=10385&amp;col=6&amp;number=3.1&amp;sourceID=14","3.1")</f>
        <v>3.1</v>
      </c>
      <c r="G10385" s="4" t="str">
        <f>HYPERLINK("http://141.218.60.56/~jnz1568/getInfo.php?workbook=10_05.xlsx&amp;sheet=U0&amp;row=10385&amp;col=7&amp;number=8.37e-05&amp;sourceID=14","8.37e-05")</f>
        <v>8.37e-05</v>
      </c>
    </row>
    <row r="10386" spans="1:7">
      <c r="A10386" s="3"/>
      <c r="B10386" s="3"/>
      <c r="C10386" s="3"/>
      <c r="D10386" s="3"/>
      <c r="E10386" s="3">
        <v>3</v>
      </c>
      <c r="F10386" s="4" t="str">
        <f>HYPERLINK("http://141.218.60.56/~jnz1568/getInfo.php?workbook=10_05.xlsx&amp;sheet=U0&amp;row=10386&amp;col=6&amp;number=3.2&amp;sourceID=14","3.2")</f>
        <v>3.2</v>
      </c>
      <c r="G10386" s="4" t="str">
        <f>HYPERLINK("http://141.218.60.56/~jnz1568/getInfo.php?workbook=10_05.xlsx&amp;sheet=U0&amp;row=10386&amp;col=7&amp;number=8.46e-05&amp;sourceID=14","8.46e-05")</f>
        <v>8.46e-05</v>
      </c>
    </row>
    <row r="10387" spans="1:7">
      <c r="A10387" s="3"/>
      <c r="B10387" s="3"/>
      <c r="C10387" s="3"/>
      <c r="D10387" s="3"/>
      <c r="E10387" s="3">
        <v>4</v>
      </c>
      <c r="F10387" s="4" t="str">
        <f>HYPERLINK("http://141.218.60.56/~jnz1568/getInfo.php?workbook=10_05.xlsx&amp;sheet=U0&amp;row=10387&amp;col=6&amp;number=3.3&amp;sourceID=14","3.3")</f>
        <v>3.3</v>
      </c>
      <c r="G10387" s="4" t="str">
        <f>HYPERLINK("http://141.218.60.56/~jnz1568/getInfo.php?workbook=10_05.xlsx&amp;sheet=U0&amp;row=10387&amp;col=7&amp;number=8.57e-05&amp;sourceID=14","8.57e-05")</f>
        <v>8.57e-05</v>
      </c>
    </row>
    <row r="10388" spans="1:7">
      <c r="A10388" s="3"/>
      <c r="B10388" s="3"/>
      <c r="C10388" s="3"/>
      <c r="D10388" s="3"/>
      <c r="E10388" s="3">
        <v>5</v>
      </c>
      <c r="F10388" s="4" t="str">
        <f>HYPERLINK("http://141.218.60.56/~jnz1568/getInfo.php?workbook=10_05.xlsx&amp;sheet=U0&amp;row=10388&amp;col=6&amp;number=3.4&amp;sourceID=14","3.4")</f>
        <v>3.4</v>
      </c>
      <c r="G10388" s="4" t="str">
        <f>HYPERLINK("http://141.218.60.56/~jnz1568/getInfo.php?workbook=10_05.xlsx&amp;sheet=U0&amp;row=10388&amp;col=7&amp;number=8.7e-05&amp;sourceID=14","8.7e-05")</f>
        <v>8.7e-05</v>
      </c>
    </row>
    <row r="10389" spans="1:7">
      <c r="A10389" s="3"/>
      <c r="B10389" s="3"/>
      <c r="C10389" s="3"/>
      <c r="D10389" s="3"/>
      <c r="E10389" s="3">
        <v>6</v>
      </c>
      <c r="F10389" s="4" t="str">
        <f>HYPERLINK("http://141.218.60.56/~jnz1568/getInfo.php?workbook=10_05.xlsx&amp;sheet=U0&amp;row=10389&amp;col=6&amp;number=3.5&amp;sourceID=14","3.5")</f>
        <v>3.5</v>
      </c>
      <c r="G10389" s="4" t="str">
        <f>HYPERLINK("http://141.218.60.56/~jnz1568/getInfo.php?workbook=10_05.xlsx&amp;sheet=U0&amp;row=10389&amp;col=7&amp;number=8.85e-05&amp;sourceID=14","8.85e-05")</f>
        <v>8.85e-05</v>
      </c>
    </row>
    <row r="10390" spans="1:7">
      <c r="A10390" s="3"/>
      <c r="B10390" s="3"/>
      <c r="C10390" s="3"/>
      <c r="D10390" s="3"/>
      <c r="E10390" s="3">
        <v>7</v>
      </c>
      <c r="F10390" s="4" t="str">
        <f>HYPERLINK("http://141.218.60.56/~jnz1568/getInfo.php?workbook=10_05.xlsx&amp;sheet=U0&amp;row=10390&amp;col=6&amp;number=3.6&amp;sourceID=14","3.6")</f>
        <v>3.6</v>
      </c>
      <c r="G10390" s="4" t="str">
        <f>HYPERLINK("http://141.218.60.56/~jnz1568/getInfo.php?workbook=10_05.xlsx&amp;sheet=U0&amp;row=10390&amp;col=7&amp;number=9.01e-05&amp;sourceID=14","9.01e-05")</f>
        <v>9.01e-05</v>
      </c>
    </row>
    <row r="10391" spans="1:7">
      <c r="A10391" s="3"/>
      <c r="B10391" s="3"/>
      <c r="C10391" s="3"/>
      <c r="D10391" s="3"/>
      <c r="E10391" s="3">
        <v>8</v>
      </c>
      <c r="F10391" s="4" t="str">
        <f>HYPERLINK("http://141.218.60.56/~jnz1568/getInfo.php?workbook=10_05.xlsx&amp;sheet=U0&amp;row=10391&amp;col=6&amp;number=3.7&amp;sourceID=14","3.7")</f>
        <v>3.7</v>
      </c>
      <c r="G10391" s="4" t="str">
        <f>HYPERLINK("http://141.218.60.56/~jnz1568/getInfo.php?workbook=10_05.xlsx&amp;sheet=U0&amp;row=10391&amp;col=7&amp;number=9.15e-05&amp;sourceID=14","9.15e-05")</f>
        <v>9.15e-05</v>
      </c>
    </row>
    <row r="10392" spans="1:7">
      <c r="A10392" s="3"/>
      <c r="B10392" s="3"/>
      <c r="C10392" s="3"/>
      <c r="D10392" s="3"/>
      <c r="E10392" s="3">
        <v>9</v>
      </c>
      <c r="F10392" s="4" t="str">
        <f>HYPERLINK("http://141.218.60.56/~jnz1568/getInfo.php?workbook=10_05.xlsx&amp;sheet=U0&amp;row=10392&amp;col=6&amp;number=3.8&amp;sourceID=14","3.8")</f>
        <v>3.8</v>
      </c>
      <c r="G10392" s="4" t="str">
        <f>HYPERLINK("http://141.218.60.56/~jnz1568/getInfo.php?workbook=10_05.xlsx&amp;sheet=U0&amp;row=10392&amp;col=7&amp;number=9.24e-05&amp;sourceID=14","9.24e-05")</f>
        <v>9.24e-05</v>
      </c>
    </row>
    <row r="10393" spans="1:7">
      <c r="A10393" s="3"/>
      <c r="B10393" s="3"/>
      <c r="C10393" s="3"/>
      <c r="D10393" s="3"/>
      <c r="E10393" s="3">
        <v>10</v>
      </c>
      <c r="F10393" s="4" t="str">
        <f>HYPERLINK("http://141.218.60.56/~jnz1568/getInfo.php?workbook=10_05.xlsx&amp;sheet=U0&amp;row=10393&amp;col=6&amp;number=3.9&amp;sourceID=14","3.9")</f>
        <v>3.9</v>
      </c>
      <c r="G10393" s="4" t="str">
        <f>HYPERLINK("http://141.218.60.56/~jnz1568/getInfo.php?workbook=10_05.xlsx&amp;sheet=U0&amp;row=10393&amp;col=7&amp;number=9.2e-05&amp;sourceID=14","9.2e-05")</f>
        <v>9.2e-05</v>
      </c>
    </row>
    <row r="10394" spans="1:7">
      <c r="A10394" s="3"/>
      <c r="B10394" s="3"/>
      <c r="C10394" s="3"/>
      <c r="D10394" s="3"/>
      <c r="E10394" s="3">
        <v>11</v>
      </c>
      <c r="F10394" s="4" t="str">
        <f>HYPERLINK("http://141.218.60.56/~jnz1568/getInfo.php?workbook=10_05.xlsx&amp;sheet=U0&amp;row=10394&amp;col=6&amp;number=4&amp;sourceID=14","4")</f>
        <v>4</v>
      </c>
      <c r="G10394" s="4" t="str">
        <f>HYPERLINK("http://141.218.60.56/~jnz1568/getInfo.php?workbook=10_05.xlsx&amp;sheet=U0&amp;row=10394&amp;col=7&amp;number=8.98e-05&amp;sourceID=14","8.98e-05")</f>
        <v>8.98e-05</v>
      </c>
    </row>
    <row r="10395" spans="1:7">
      <c r="A10395" s="3"/>
      <c r="B10395" s="3"/>
      <c r="C10395" s="3"/>
      <c r="D10395" s="3"/>
      <c r="E10395" s="3">
        <v>12</v>
      </c>
      <c r="F10395" s="4" t="str">
        <f>HYPERLINK("http://141.218.60.56/~jnz1568/getInfo.php?workbook=10_05.xlsx&amp;sheet=U0&amp;row=10395&amp;col=6&amp;number=4.1&amp;sourceID=14","4.1")</f>
        <v>4.1</v>
      </c>
      <c r="G10395" s="4" t="str">
        <f>HYPERLINK("http://141.218.60.56/~jnz1568/getInfo.php?workbook=10_05.xlsx&amp;sheet=U0&amp;row=10395&amp;col=7&amp;number=8.55e-05&amp;sourceID=14","8.55e-05")</f>
        <v>8.55e-05</v>
      </c>
    </row>
    <row r="10396" spans="1:7">
      <c r="A10396" s="3"/>
      <c r="B10396" s="3"/>
      <c r="C10396" s="3"/>
      <c r="D10396" s="3"/>
      <c r="E10396" s="3">
        <v>13</v>
      </c>
      <c r="F10396" s="4" t="str">
        <f>HYPERLINK("http://141.218.60.56/~jnz1568/getInfo.php?workbook=10_05.xlsx&amp;sheet=U0&amp;row=10396&amp;col=6&amp;number=4.2&amp;sourceID=14","4.2")</f>
        <v>4.2</v>
      </c>
      <c r="G10396" s="4" t="str">
        <f>HYPERLINK("http://141.218.60.56/~jnz1568/getInfo.php?workbook=10_05.xlsx&amp;sheet=U0&amp;row=10396&amp;col=7&amp;number=7.96e-05&amp;sourceID=14","7.96e-05")</f>
        <v>7.96e-05</v>
      </c>
    </row>
    <row r="10397" spans="1:7">
      <c r="A10397" s="3"/>
      <c r="B10397" s="3"/>
      <c r="C10397" s="3"/>
      <c r="D10397" s="3"/>
      <c r="E10397" s="3">
        <v>14</v>
      </c>
      <c r="F10397" s="4" t="str">
        <f>HYPERLINK("http://141.218.60.56/~jnz1568/getInfo.php?workbook=10_05.xlsx&amp;sheet=U0&amp;row=10397&amp;col=6&amp;number=4.3&amp;sourceID=14","4.3")</f>
        <v>4.3</v>
      </c>
      <c r="G10397" s="4" t="str">
        <f>HYPERLINK("http://141.218.60.56/~jnz1568/getInfo.php?workbook=10_05.xlsx&amp;sheet=U0&amp;row=10397&amp;col=7&amp;number=7.3e-05&amp;sourceID=14","7.3e-05")</f>
        <v>7.3e-05</v>
      </c>
    </row>
    <row r="10398" spans="1:7">
      <c r="A10398" s="3"/>
      <c r="B10398" s="3"/>
      <c r="C10398" s="3"/>
      <c r="D10398" s="3"/>
      <c r="E10398" s="3">
        <v>15</v>
      </c>
      <c r="F10398" s="4" t="str">
        <f>HYPERLINK("http://141.218.60.56/~jnz1568/getInfo.php?workbook=10_05.xlsx&amp;sheet=U0&amp;row=10398&amp;col=6&amp;number=4.4&amp;sourceID=14","4.4")</f>
        <v>4.4</v>
      </c>
      <c r="G10398" s="4" t="str">
        <f>HYPERLINK("http://141.218.60.56/~jnz1568/getInfo.php?workbook=10_05.xlsx&amp;sheet=U0&amp;row=10398&amp;col=7&amp;number=6.62e-05&amp;sourceID=14","6.62e-05")</f>
        <v>6.62e-05</v>
      </c>
    </row>
    <row r="10399" spans="1:7">
      <c r="A10399" s="3"/>
      <c r="B10399" s="3"/>
      <c r="C10399" s="3"/>
      <c r="D10399" s="3"/>
      <c r="E10399" s="3">
        <v>16</v>
      </c>
      <c r="F10399" s="4" t="str">
        <f>HYPERLINK("http://141.218.60.56/~jnz1568/getInfo.php?workbook=10_05.xlsx&amp;sheet=U0&amp;row=10399&amp;col=6&amp;number=4.5&amp;sourceID=14","4.5")</f>
        <v>4.5</v>
      </c>
      <c r="G10399" s="4" t="str">
        <f>HYPERLINK("http://141.218.60.56/~jnz1568/getInfo.php?workbook=10_05.xlsx&amp;sheet=U0&amp;row=10399&amp;col=7&amp;number=5.91e-05&amp;sourceID=14","5.91e-05")</f>
        <v>5.91e-05</v>
      </c>
    </row>
    <row r="10400" spans="1:7">
      <c r="A10400" s="3"/>
      <c r="B10400" s="3"/>
      <c r="C10400" s="3"/>
      <c r="D10400" s="3"/>
      <c r="E10400" s="3">
        <v>17</v>
      </c>
      <c r="F10400" s="4" t="str">
        <f>HYPERLINK("http://141.218.60.56/~jnz1568/getInfo.php?workbook=10_05.xlsx&amp;sheet=U0&amp;row=10400&amp;col=6&amp;number=4.6&amp;sourceID=14","4.6")</f>
        <v>4.6</v>
      </c>
      <c r="G10400" s="4" t="str">
        <f>HYPERLINK("http://141.218.60.56/~jnz1568/getInfo.php?workbook=10_05.xlsx&amp;sheet=U0&amp;row=10400&amp;col=7&amp;number=5.19e-05&amp;sourceID=14","5.19e-05")</f>
        <v>5.19e-05</v>
      </c>
    </row>
    <row r="10401" spans="1:7">
      <c r="A10401" s="3"/>
      <c r="B10401" s="3"/>
      <c r="C10401" s="3"/>
      <c r="D10401" s="3"/>
      <c r="E10401" s="3">
        <v>18</v>
      </c>
      <c r="F10401" s="4" t="str">
        <f>HYPERLINK("http://141.218.60.56/~jnz1568/getInfo.php?workbook=10_05.xlsx&amp;sheet=U0&amp;row=10401&amp;col=6&amp;number=4.7&amp;sourceID=14","4.7")</f>
        <v>4.7</v>
      </c>
      <c r="G10401" s="4" t="str">
        <f>HYPERLINK("http://141.218.60.56/~jnz1568/getInfo.php?workbook=10_05.xlsx&amp;sheet=U0&amp;row=10401&amp;col=7&amp;number=4.49e-05&amp;sourceID=14","4.49e-05")</f>
        <v>4.49e-05</v>
      </c>
    </row>
    <row r="10402" spans="1:7">
      <c r="A10402" s="3"/>
      <c r="B10402" s="3"/>
      <c r="C10402" s="3"/>
      <c r="D10402" s="3"/>
      <c r="E10402" s="3">
        <v>19</v>
      </c>
      <c r="F10402" s="4" t="str">
        <f>HYPERLINK("http://141.218.60.56/~jnz1568/getInfo.php?workbook=10_05.xlsx&amp;sheet=U0&amp;row=10402&amp;col=6&amp;number=4.8&amp;sourceID=14","4.8")</f>
        <v>4.8</v>
      </c>
      <c r="G10402" s="4" t="str">
        <f>HYPERLINK("http://141.218.60.56/~jnz1568/getInfo.php?workbook=10_05.xlsx&amp;sheet=U0&amp;row=10402&amp;col=7&amp;number=3.84e-05&amp;sourceID=14","3.84e-05")</f>
        <v>3.84e-05</v>
      </c>
    </row>
    <row r="10403" spans="1:7">
      <c r="A10403" s="3"/>
      <c r="B10403" s="3"/>
      <c r="C10403" s="3"/>
      <c r="D10403" s="3"/>
      <c r="E10403" s="3">
        <v>20</v>
      </c>
      <c r="F10403" s="4" t="str">
        <f>HYPERLINK("http://141.218.60.56/~jnz1568/getInfo.php?workbook=10_05.xlsx&amp;sheet=U0&amp;row=10403&amp;col=6&amp;number=4.9&amp;sourceID=14","4.9")</f>
        <v>4.9</v>
      </c>
      <c r="G10403" s="4" t="str">
        <f>HYPERLINK("http://141.218.60.56/~jnz1568/getInfo.php?workbook=10_05.xlsx&amp;sheet=U0&amp;row=10403&amp;col=7&amp;number=3.28e-05&amp;sourceID=14","3.28e-05")</f>
        <v>3.28e-05</v>
      </c>
    </row>
    <row r="10404" spans="1:7">
      <c r="A10404" s="3">
        <v>10</v>
      </c>
      <c r="B10404" s="3">
        <v>5</v>
      </c>
      <c r="C10404" s="3">
        <v>3</v>
      </c>
      <c r="D10404" s="3">
        <v>167</v>
      </c>
      <c r="E10404" s="3">
        <v>1</v>
      </c>
      <c r="F10404" s="4" t="str">
        <f>HYPERLINK("http://141.218.60.56/~jnz1568/getInfo.php?workbook=10_05.xlsx&amp;sheet=U0&amp;row=10404&amp;col=6&amp;number=3&amp;sourceID=14","3")</f>
        <v>3</v>
      </c>
      <c r="G10404" s="4" t="str">
        <f>HYPERLINK("http://141.218.60.56/~jnz1568/getInfo.php?workbook=10_05.xlsx&amp;sheet=U0&amp;row=10404&amp;col=7&amp;number=0.000204&amp;sourceID=14","0.000204")</f>
        <v>0.000204</v>
      </c>
    </row>
    <row r="10405" spans="1:7">
      <c r="A10405" s="3"/>
      <c r="B10405" s="3"/>
      <c r="C10405" s="3"/>
      <c r="D10405" s="3"/>
      <c r="E10405" s="3">
        <v>2</v>
      </c>
      <c r="F10405" s="4" t="str">
        <f>HYPERLINK("http://141.218.60.56/~jnz1568/getInfo.php?workbook=10_05.xlsx&amp;sheet=U0&amp;row=10405&amp;col=6&amp;number=3.1&amp;sourceID=14","3.1")</f>
        <v>3.1</v>
      </c>
      <c r="G10405" s="4" t="str">
        <f>HYPERLINK("http://141.218.60.56/~jnz1568/getInfo.php?workbook=10_05.xlsx&amp;sheet=U0&amp;row=10405&amp;col=7&amp;number=0.000203&amp;sourceID=14","0.000203")</f>
        <v>0.000203</v>
      </c>
    </row>
    <row r="10406" spans="1:7">
      <c r="A10406" s="3"/>
      <c r="B10406" s="3"/>
      <c r="C10406" s="3"/>
      <c r="D10406" s="3"/>
      <c r="E10406" s="3">
        <v>3</v>
      </c>
      <c r="F10406" s="4" t="str">
        <f>HYPERLINK("http://141.218.60.56/~jnz1568/getInfo.php?workbook=10_05.xlsx&amp;sheet=U0&amp;row=10406&amp;col=6&amp;number=3.2&amp;sourceID=14","3.2")</f>
        <v>3.2</v>
      </c>
      <c r="G10406" s="4" t="str">
        <f>HYPERLINK("http://141.218.60.56/~jnz1568/getInfo.php?workbook=10_05.xlsx&amp;sheet=U0&amp;row=10406&amp;col=7&amp;number=0.000201&amp;sourceID=14","0.000201")</f>
        <v>0.000201</v>
      </c>
    </row>
    <row r="10407" spans="1:7">
      <c r="A10407" s="3"/>
      <c r="B10407" s="3"/>
      <c r="C10407" s="3"/>
      <c r="D10407" s="3"/>
      <c r="E10407" s="3">
        <v>4</v>
      </c>
      <c r="F10407" s="4" t="str">
        <f>HYPERLINK("http://141.218.60.56/~jnz1568/getInfo.php?workbook=10_05.xlsx&amp;sheet=U0&amp;row=10407&amp;col=6&amp;number=3.3&amp;sourceID=14","3.3")</f>
        <v>3.3</v>
      </c>
      <c r="G10407" s="4" t="str">
        <f>HYPERLINK("http://141.218.60.56/~jnz1568/getInfo.php?workbook=10_05.xlsx&amp;sheet=U0&amp;row=10407&amp;col=7&amp;number=0.000198&amp;sourceID=14","0.000198")</f>
        <v>0.000198</v>
      </c>
    </row>
    <row r="10408" spans="1:7">
      <c r="A10408" s="3"/>
      <c r="B10408" s="3"/>
      <c r="C10408" s="3"/>
      <c r="D10408" s="3"/>
      <c r="E10408" s="3">
        <v>5</v>
      </c>
      <c r="F10408" s="4" t="str">
        <f>HYPERLINK("http://141.218.60.56/~jnz1568/getInfo.php?workbook=10_05.xlsx&amp;sheet=U0&amp;row=10408&amp;col=6&amp;number=3.4&amp;sourceID=14","3.4")</f>
        <v>3.4</v>
      </c>
      <c r="G10408" s="4" t="str">
        <f>HYPERLINK("http://141.218.60.56/~jnz1568/getInfo.php?workbook=10_05.xlsx&amp;sheet=U0&amp;row=10408&amp;col=7&amp;number=0.000195&amp;sourceID=14","0.000195")</f>
        <v>0.000195</v>
      </c>
    </row>
    <row r="10409" spans="1:7">
      <c r="A10409" s="3"/>
      <c r="B10409" s="3"/>
      <c r="C10409" s="3"/>
      <c r="D10409" s="3"/>
      <c r="E10409" s="3">
        <v>6</v>
      </c>
      <c r="F10409" s="4" t="str">
        <f>HYPERLINK("http://141.218.60.56/~jnz1568/getInfo.php?workbook=10_05.xlsx&amp;sheet=U0&amp;row=10409&amp;col=6&amp;number=3.5&amp;sourceID=14","3.5")</f>
        <v>3.5</v>
      </c>
      <c r="G10409" s="4" t="str">
        <f>HYPERLINK("http://141.218.60.56/~jnz1568/getInfo.php?workbook=10_05.xlsx&amp;sheet=U0&amp;row=10409&amp;col=7&amp;number=0.000192&amp;sourceID=14","0.000192")</f>
        <v>0.000192</v>
      </c>
    </row>
    <row r="10410" spans="1:7">
      <c r="A10410" s="3"/>
      <c r="B10410" s="3"/>
      <c r="C10410" s="3"/>
      <c r="D10410" s="3"/>
      <c r="E10410" s="3">
        <v>7</v>
      </c>
      <c r="F10410" s="4" t="str">
        <f>HYPERLINK("http://141.218.60.56/~jnz1568/getInfo.php?workbook=10_05.xlsx&amp;sheet=U0&amp;row=10410&amp;col=6&amp;number=3.6&amp;sourceID=14","3.6")</f>
        <v>3.6</v>
      </c>
      <c r="G10410" s="4" t="str">
        <f>HYPERLINK("http://141.218.60.56/~jnz1568/getInfo.php?workbook=10_05.xlsx&amp;sheet=U0&amp;row=10410&amp;col=7&amp;number=0.000187&amp;sourceID=14","0.000187")</f>
        <v>0.000187</v>
      </c>
    </row>
    <row r="10411" spans="1:7">
      <c r="A10411" s="3"/>
      <c r="B10411" s="3"/>
      <c r="C10411" s="3"/>
      <c r="D10411" s="3"/>
      <c r="E10411" s="3">
        <v>8</v>
      </c>
      <c r="F10411" s="4" t="str">
        <f>HYPERLINK("http://141.218.60.56/~jnz1568/getInfo.php?workbook=10_05.xlsx&amp;sheet=U0&amp;row=10411&amp;col=6&amp;number=3.7&amp;sourceID=14","3.7")</f>
        <v>3.7</v>
      </c>
      <c r="G10411" s="4" t="str">
        <f>HYPERLINK("http://141.218.60.56/~jnz1568/getInfo.php?workbook=10_05.xlsx&amp;sheet=U0&amp;row=10411&amp;col=7&amp;number=0.000182&amp;sourceID=14","0.000182")</f>
        <v>0.000182</v>
      </c>
    </row>
    <row r="10412" spans="1:7">
      <c r="A10412" s="3"/>
      <c r="B10412" s="3"/>
      <c r="C10412" s="3"/>
      <c r="D10412" s="3"/>
      <c r="E10412" s="3">
        <v>9</v>
      </c>
      <c r="F10412" s="4" t="str">
        <f>HYPERLINK("http://141.218.60.56/~jnz1568/getInfo.php?workbook=10_05.xlsx&amp;sheet=U0&amp;row=10412&amp;col=6&amp;number=3.8&amp;sourceID=14","3.8")</f>
        <v>3.8</v>
      </c>
      <c r="G10412" s="4" t="str">
        <f>HYPERLINK("http://141.218.60.56/~jnz1568/getInfo.php?workbook=10_05.xlsx&amp;sheet=U0&amp;row=10412&amp;col=7&amp;number=0.000175&amp;sourceID=14","0.000175")</f>
        <v>0.000175</v>
      </c>
    </row>
    <row r="10413" spans="1:7">
      <c r="A10413" s="3"/>
      <c r="B10413" s="3"/>
      <c r="C10413" s="3"/>
      <c r="D10413" s="3"/>
      <c r="E10413" s="3">
        <v>10</v>
      </c>
      <c r="F10413" s="4" t="str">
        <f>HYPERLINK("http://141.218.60.56/~jnz1568/getInfo.php?workbook=10_05.xlsx&amp;sheet=U0&amp;row=10413&amp;col=6&amp;number=3.9&amp;sourceID=14","3.9")</f>
        <v>3.9</v>
      </c>
      <c r="G10413" s="4" t="str">
        <f>HYPERLINK("http://141.218.60.56/~jnz1568/getInfo.php?workbook=10_05.xlsx&amp;sheet=U0&amp;row=10413&amp;col=7&amp;number=0.000167&amp;sourceID=14","0.000167")</f>
        <v>0.000167</v>
      </c>
    </row>
    <row r="10414" spans="1:7">
      <c r="A10414" s="3"/>
      <c r="B10414" s="3"/>
      <c r="C10414" s="3"/>
      <c r="D10414" s="3"/>
      <c r="E10414" s="3">
        <v>11</v>
      </c>
      <c r="F10414" s="4" t="str">
        <f>HYPERLINK("http://141.218.60.56/~jnz1568/getInfo.php?workbook=10_05.xlsx&amp;sheet=U0&amp;row=10414&amp;col=6&amp;number=4&amp;sourceID=14","4")</f>
        <v>4</v>
      </c>
      <c r="G10414" s="4" t="str">
        <f>HYPERLINK("http://141.218.60.56/~jnz1568/getInfo.php?workbook=10_05.xlsx&amp;sheet=U0&amp;row=10414&amp;col=7&amp;number=0.000158&amp;sourceID=14","0.000158")</f>
        <v>0.000158</v>
      </c>
    </row>
    <row r="10415" spans="1:7">
      <c r="A10415" s="3"/>
      <c r="B10415" s="3"/>
      <c r="C10415" s="3"/>
      <c r="D10415" s="3"/>
      <c r="E10415" s="3">
        <v>12</v>
      </c>
      <c r="F10415" s="4" t="str">
        <f>HYPERLINK("http://141.218.60.56/~jnz1568/getInfo.php?workbook=10_05.xlsx&amp;sheet=U0&amp;row=10415&amp;col=6&amp;number=4.1&amp;sourceID=14","4.1")</f>
        <v>4.1</v>
      </c>
      <c r="G10415" s="4" t="str">
        <f>HYPERLINK("http://141.218.60.56/~jnz1568/getInfo.php?workbook=10_05.xlsx&amp;sheet=U0&amp;row=10415&amp;col=7&amp;number=0.000147&amp;sourceID=14","0.000147")</f>
        <v>0.000147</v>
      </c>
    </row>
    <row r="10416" spans="1:7">
      <c r="A10416" s="3"/>
      <c r="B10416" s="3"/>
      <c r="C10416" s="3"/>
      <c r="D10416" s="3"/>
      <c r="E10416" s="3">
        <v>13</v>
      </c>
      <c r="F10416" s="4" t="str">
        <f>HYPERLINK("http://141.218.60.56/~jnz1568/getInfo.php?workbook=10_05.xlsx&amp;sheet=U0&amp;row=10416&amp;col=6&amp;number=4.2&amp;sourceID=14","4.2")</f>
        <v>4.2</v>
      </c>
      <c r="G10416" s="4" t="str">
        <f>HYPERLINK("http://141.218.60.56/~jnz1568/getInfo.php?workbook=10_05.xlsx&amp;sheet=U0&amp;row=10416&amp;col=7&amp;number=0.000135&amp;sourceID=14","0.000135")</f>
        <v>0.000135</v>
      </c>
    </row>
    <row r="10417" spans="1:7">
      <c r="A10417" s="3"/>
      <c r="B10417" s="3"/>
      <c r="C10417" s="3"/>
      <c r="D10417" s="3"/>
      <c r="E10417" s="3">
        <v>14</v>
      </c>
      <c r="F10417" s="4" t="str">
        <f>HYPERLINK("http://141.218.60.56/~jnz1568/getInfo.php?workbook=10_05.xlsx&amp;sheet=U0&amp;row=10417&amp;col=6&amp;number=4.3&amp;sourceID=14","4.3")</f>
        <v>4.3</v>
      </c>
      <c r="G10417" s="4" t="str">
        <f>HYPERLINK("http://141.218.60.56/~jnz1568/getInfo.php?workbook=10_05.xlsx&amp;sheet=U0&amp;row=10417&amp;col=7&amp;number=0.000123&amp;sourceID=14","0.000123")</f>
        <v>0.000123</v>
      </c>
    </row>
    <row r="10418" spans="1:7">
      <c r="A10418" s="3"/>
      <c r="B10418" s="3"/>
      <c r="C10418" s="3"/>
      <c r="D10418" s="3"/>
      <c r="E10418" s="3">
        <v>15</v>
      </c>
      <c r="F10418" s="4" t="str">
        <f>HYPERLINK("http://141.218.60.56/~jnz1568/getInfo.php?workbook=10_05.xlsx&amp;sheet=U0&amp;row=10418&amp;col=6&amp;number=4.4&amp;sourceID=14","4.4")</f>
        <v>4.4</v>
      </c>
      <c r="G10418" s="4" t="str">
        <f>HYPERLINK("http://141.218.60.56/~jnz1568/getInfo.php?workbook=10_05.xlsx&amp;sheet=U0&amp;row=10418&amp;col=7&amp;number=0.00011&amp;sourceID=14","0.00011")</f>
        <v>0.00011</v>
      </c>
    </row>
    <row r="10419" spans="1:7">
      <c r="A10419" s="3"/>
      <c r="B10419" s="3"/>
      <c r="C10419" s="3"/>
      <c r="D10419" s="3"/>
      <c r="E10419" s="3">
        <v>16</v>
      </c>
      <c r="F10419" s="4" t="str">
        <f>HYPERLINK("http://141.218.60.56/~jnz1568/getInfo.php?workbook=10_05.xlsx&amp;sheet=U0&amp;row=10419&amp;col=6&amp;number=4.5&amp;sourceID=14","4.5")</f>
        <v>4.5</v>
      </c>
      <c r="G10419" s="4" t="str">
        <f>HYPERLINK("http://141.218.60.56/~jnz1568/getInfo.php?workbook=10_05.xlsx&amp;sheet=U0&amp;row=10419&amp;col=7&amp;number=9.66e-05&amp;sourceID=14","9.66e-05")</f>
        <v>9.66e-05</v>
      </c>
    </row>
    <row r="10420" spans="1:7">
      <c r="A10420" s="3"/>
      <c r="B10420" s="3"/>
      <c r="C10420" s="3"/>
      <c r="D10420" s="3"/>
      <c r="E10420" s="3">
        <v>17</v>
      </c>
      <c r="F10420" s="4" t="str">
        <f>HYPERLINK("http://141.218.60.56/~jnz1568/getInfo.php?workbook=10_05.xlsx&amp;sheet=U0&amp;row=10420&amp;col=6&amp;number=4.6&amp;sourceID=14","4.6")</f>
        <v>4.6</v>
      </c>
      <c r="G10420" s="4" t="str">
        <f>HYPERLINK("http://141.218.60.56/~jnz1568/getInfo.php?workbook=10_05.xlsx&amp;sheet=U0&amp;row=10420&amp;col=7&amp;number=8.39e-05&amp;sourceID=14","8.39e-05")</f>
        <v>8.39e-05</v>
      </c>
    </row>
    <row r="10421" spans="1:7">
      <c r="A10421" s="3"/>
      <c r="B10421" s="3"/>
      <c r="C10421" s="3"/>
      <c r="D10421" s="3"/>
      <c r="E10421" s="3">
        <v>18</v>
      </c>
      <c r="F10421" s="4" t="str">
        <f>HYPERLINK("http://141.218.60.56/~jnz1568/getInfo.php?workbook=10_05.xlsx&amp;sheet=U0&amp;row=10421&amp;col=6&amp;number=4.7&amp;sourceID=14","4.7")</f>
        <v>4.7</v>
      </c>
      <c r="G10421" s="4" t="str">
        <f>HYPERLINK("http://141.218.60.56/~jnz1568/getInfo.php?workbook=10_05.xlsx&amp;sheet=U0&amp;row=10421&amp;col=7&amp;number=7.22e-05&amp;sourceID=14","7.22e-05")</f>
        <v>7.22e-05</v>
      </c>
    </row>
    <row r="10422" spans="1:7">
      <c r="A10422" s="3"/>
      <c r="B10422" s="3"/>
      <c r="C10422" s="3"/>
      <c r="D10422" s="3"/>
      <c r="E10422" s="3">
        <v>19</v>
      </c>
      <c r="F10422" s="4" t="str">
        <f>HYPERLINK("http://141.218.60.56/~jnz1568/getInfo.php?workbook=10_05.xlsx&amp;sheet=U0&amp;row=10422&amp;col=6&amp;number=4.8&amp;sourceID=14","4.8")</f>
        <v>4.8</v>
      </c>
      <c r="G10422" s="4" t="str">
        <f>HYPERLINK("http://141.218.60.56/~jnz1568/getInfo.php?workbook=10_05.xlsx&amp;sheet=U0&amp;row=10422&amp;col=7&amp;number=6.17e-05&amp;sourceID=14","6.17e-05")</f>
        <v>6.17e-05</v>
      </c>
    </row>
    <row r="10423" spans="1:7">
      <c r="A10423" s="3"/>
      <c r="B10423" s="3"/>
      <c r="C10423" s="3"/>
      <c r="D10423" s="3"/>
      <c r="E10423" s="3">
        <v>20</v>
      </c>
      <c r="F10423" s="4" t="str">
        <f>HYPERLINK("http://141.218.60.56/~jnz1568/getInfo.php?workbook=10_05.xlsx&amp;sheet=U0&amp;row=10423&amp;col=6&amp;number=4.9&amp;sourceID=14","4.9")</f>
        <v>4.9</v>
      </c>
      <c r="G10423" s="4" t="str">
        <f>HYPERLINK("http://141.218.60.56/~jnz1568/getInfo.php?workbook=10_05.xlsx&amp;sheet=U0&amp;row=10423&amp;col=7&amp;number=5.25e-05&amp;sourceID=14","5.25e-05")</f>
        <v>5.25e-05</v>
      </c>
    </row>
    <row r="10424" spans="1:7">
      <c r="A10424" s="3">
        <v>10</v>
      </c>
      <c r="B10424" s="3">
        <v>5</v>
      </c>
      <c r="C10424" s="3">
        <v>3</v>
      </c>
      <c r="D10424" s="3">
        <v>168</v>
      </c>
      <c r="E10424" s="3">
        <v>1</v>
      </c>
      <c r="F10424" s="4" t="str">
        <f>HYPERLINK("http://141.218.60.56/~jnz1568/getInfo.php?workbook=10_05.xlsx&amp;sheet=U0&amp;row=10424&amp;col=6&amp;number=3&amp;sourceID=14","3")</f>
        <v>3</v>
      </c>
      <c r="G10424" s="4" t="str">
        <f>HYPERLINK("http://141.218.60.56/~jnz1568/getInfo.php?workbook=10_05.xlsx&amp;sheet=U0&amp;row=10424&amp;col=7&amp;number=0.000198&amp;sourceID=14","0.000198")</f>
        <v>0.000198</v>
      </c>
    </row>
    <row r="10425" spans="1:7">
      <c r="A10425" s="3"/>
      <c r="B10425" s="3"/>
      <c r="C10425" s="3"/>
      <c r="D10425" s="3"/>
      <c r="E10425" s="3">
        <v>2</v>
      </c>
      <c r="F10425" s="4" t="str">
        <f>HYPERLINK("http://141.218.60.56/~jnz1568/getInfo.php?workbook=10_05.xlsx&amp;sheet=U0&amp;row=10425&amp;col=6&amp;number=3.1&amp;sourceID=14","3.1")</f>
        <v>3.1</v>
      </c>
      <c r="G10425" s="4" t="str">
        <f>HYPERLINK("http://141.218.60.56/~jnz1568/getInfo.php?workbook=10_05.xlsx&amp;sheet=U0&amp;row=10425&amp;col=7&amp;number=0.000197&amp;sourceID=14","0.000197")</f>
        <v>0.000197</v>
      </c>
    </row>
    <row r="10426" spans="1:7">
      <c r="A10426" s="3"/>
      <c r="B10426" s="3"/>
      <c r="C10426" s="3"/>
      <c r="D10426" s="3"/>
      <c r="E10426" s="3">
        <v>3</v>
      </c>
      <c r="F10426" s="4" t="str">
        <f>HYPERLINK("http://141.218.60.56/~jnz1568/getInfo.php?workbook=10_05.xlsx&amp;sheet=U0&amp;row=10426&amp;col=6&amp;number=3.2&amp;sourceID=14","3.2")</f>
        <v>3.2</v>
      </c>
      <c r="G10426" s="4" t="str">
        <f>HYPERLINK("http://141.218.60.56/~jnz1568/getInfo.php?workbook=10_05.xlsx&amp;sheet=U0&amp;row=10426&amp;col=7&amp;number=0.000196&amp;sourceID=14","0.000196")</f>
        <v>0.000196</v>
      </c>
    </row>
    <row r="10427" spans="1:7">
      <c r="A10427" s="3"/>
      <c r="B10427" s="3"/>
      <c r="C10427" s="3"/>
      <c r="D10427" s="3"/>
      <c r="E10427" s="3">
        <v>4</v>
      </c>
      <c r="F10427" s="4" t="str">
        <f>HYPERLINK("http://141.218.60.56/~jnz1568/getInfo.php?workbook=10_05.xlsx&amp;sheet=U0&amp;row=10427&amp;col=6&amp;number=3.3&amp;sourceID=14","3.3")</f>
        <v>3.3</v>
      </c>
      <c r="G10427" s="4" t="str">
        <f>HYPERLINK("http://141.218.60.56/~jnz1568/getInfo.php?workbook=10_05.xlsx&amp;sheet=U0&amp;row=10427&amp;col=7&amp;number=0.000195&amp;sourceID=14","0.000195")</f>
        <v>0.000195</v>
      </c>
    </row>
    <row r="10428" spans="1:7">
      <c r="A10428" s="3"/>
      <c r="B10428" s="3"/>
      <c r="C10428" s="3"/>
      <c r="D10428" s="3"/>
      <c r="E10428" s="3">
        <v>5</v>
      </c>
      <c r="F10428" s="4" t="str">
        <f>HYPERLINK("http://141.218.60.56/~jnz1568/getInfo.php?workbook=10_05.xlsx&amp;sheet=U0&amp;row=10428&amp;col=6&amp;number=3.4&amp;sourceID=14","3.4")</f>
        <v>3.4</v>
      </c>
      <c r="G10428" s="4" t="str">
        <f>HYPERLINK("http://141.218.60.56/~jnz1568/getInfo.php?workbook=10_05.xlsx&amp;sheet=U0&amp;row=10428&amp;col=7&amp;number=0.000194&amp;sourceID=14","0.000194")</f>
        <v>0.000194</v>
      </c>
    </row>
    <row r="10429" spans="1:7">
      <c r="A10429" s="3"/>
      <c r="B10429" s="3"/>
      <c r="C10429" s="3"/>
      <c r="D10429" s="3"/>
      <c r="E10429" s="3">
        <v>6</v>
      </c>
      <c r="F10429" s="4" t="str">
        <f>HYPERLINK("http://141.218.60.56/~jnz1568/getInfo.php?workbook=10_05.xlsx&amp;sheet=U0&amp;row=10429&amp;col=6&amp;number=3.5&amp;sourceID=14","3.5")</f>
        <v>3.5</v>
      </c>
      <c r="G10429" s="4" t="str">
        <f>HYPERLINK("http://141.218.60.56/~jnz1568/getInfo.php?workbook=10_05.xlsx&amp;sheet=U0&amp;row=10429&amp;col=7&amp;number=0.000192&amp;sourceID=14","0.000192")</f>
        <v>0.000192</v>
      </c>
    </row>
    <row r="10430" spans="1:7">
      <c r="A10430" s="3"/>
      <c r="B10430" s="3"/>
      <c r="C10430" s="3"/>
      <c r="D10430" s="3"/>
      <c r="E10430" s="3">
        <v>7</v>
      </c>
      <c r="F10430" s="4" t="str">
        <f>HYPERLINK("http://141.218.60.56/~jnz1568/getInfo.php?workbook=10_05.xlsx&amp;sheet=U0&amp;row=10430&amp;col=6&amp;number=3.6&amp;sourceID=14","3.6")</f>
        <v>3.6</v>
      </c>
      <c r="G10430" s="4" t="str">
        <f>HYPERLINK("http://141.218.60.56/~jnz1568/getInfo.php?workbook=10_05.xlsx&amp;sheet=U0&amp;row=10430&amp;col=7&amp;number=0.00019&amp;sourceID=14","0.00019")</f>
        <v>0.00019</v>
      </c>
    </row>
    <row r="10431" spans="1:7">
      <c r="A10431" s="3"/>
      <c r="B10431" s="3"/>
      <c r="C10431" s="3"/>
      <c r="D10431" s="3"/>
      <c r="E10431" s="3">
        <v>8</v>
      </c>
      <c r="F10431" s="4" t="str">
        <f>HYPERLINK("http://141.218.60.56/~jnz1568/getInfo.php?workbook=10_05.xlsx&amp;sheet=U0&amp;row=10431&amp;col=6&amp;number=3.7&amp;sourceID=14","3.7")</f>
        <v>3.7</v>
      </c>
      <c r="G10431" s="4" t="str">
        <f>HYPERLINK("http://141.218.60.56/~jnz1568/getInfo.php?workbook=10_05.xlsx&amp;sheet=U0&amp;row=10431&amp;col=7&amp;number=0.000188&amp;sourceID=14","0.000188")</f>
        <v>0.000188</v>
      </c>
    </row>
    <row r="10432" spans="1:7">
      <c r="A10432" s="3"/>
      <c r="B10432" s="3"/>
      <c r="C10432" s="3"/>
      <c r="D10432" s="3"/>
      <c r="E10432" s="3">
        <v>9</v>
      </c>
      <c r="F10432" s="4" t="str">
        <f>HYPERLINK("http://141.218.60.56/~jnz1568/getInfo.php?workbook=10_05.xlsx&amp;sheet=U0&amp;row=10432&amp;col=6&amp;number=3.8&amp;sourceID=14","3.8")</f>
        <v>3.8</v>
      </c>
      <c r="G10432" s="4" t="str">
        <f>HYPERLINK("http://141.218.60.56/~jnz1568/getInfo.php?workbook=10_05.xlsx&amp;sheet=U0&amp;row=10432&amp;col=7&amp;number=0.000184&amp;sourceID=14","0.000184")</f>
        <v>0.000184</v>
      </c>
    </row>
    <row r="10433" spans="1:7">
      <c r="A10433" s="3"/>
      <c r="B10433" s="3"/>
      <c r="C10433" s="3"/>
      <c r="D10433" s="3"/>
      <c r="E10433" s="3">
        <v>10</v>
      </c>
      <c r="F10433" s="4" t="str">
        <f>HYPERLINK("http://141.218.60.56/~jnz1568/getInfo.php?workbook=10_05.xlsx&amp;sheet=U0&amp;row=10433&amp;col=6&amp;number=3.9&amp;sourceID=14","3.9")</f>
        <v>3.9</v>
      </c>
      <c r="G10433" s="4" t="str">
        <f>HYPERLINK("http://141.218.60.56/~jnz1568/getInfo.php?workbook=10_05.xlsx&amp;sheet=U0&amp;row=10433&amp;col=7&amp;number=0.000181&amp;sourceID=14","0.000181")</f>
        <v>0.000181</v>
      </c>
    </row>
    <row r="10434" spans="1:7">
      <c r="A10434" s="3"/>
      <c r="B10434" s="3"/>
      <c r="C10434" s="3"/>
      <c r="D10434" s="3"/>
      <c r="E10434" s="3">
        <v>11</v>
      </c>
      <c r="F10434" s="4" t="str">
        <f>HYPERLINK("http://141.218.60.56/~jnz1568/getInfo.php?workbook=10_05.xlsx&amp;sheet=U0&amp;row=10434&amp;col=6&amp;number=4&amp;sourceID=14","4")</f>
        <v>4</v>
      </c>
      <c r="G10434" s="4" t="str">
        <f>HYPERLINK("http://141.218.60.56/~jnz1568/getInfo.php?workbook=10_05.xlsx&amp;sheet=U0&amp;row=10434&amp;col=7&amp;number=0.000176&amp;sourceID=14","0.000176")</f>
        <v>0.000176</v>
      </c>
    </row>
    <row r="10435" spans="1:7">
      <c r="A10435" s="3"/>
      <c r="B10435" s="3"/>
      <c r="C10435" s="3"/>
      <c r="D10435" s="3"/>
      <c r="E10435" s="3">
        <v>12</v>
      </c>
      <c r="F10435" s="4" t="str">
        <f>HYPERLINK("http://141.218.60.56/~jnz1568/getInfo.php?workbook=10_05.xlsx&amp;sheet=U0&amp;row=10435&amp;col=6&amp;number=4.1&amp;sourceID=14","4.1")</f>
        <v>4.1</v>
      </c>
      <c r="G10435" s="4" t="str">
        <f>HYPERLINK("http://141.218.60.56/~jnz1568/getInfo.php?workbook=10_05.xlsx&amp;sheet=U0&amp;row=10435&amp;col=7&amp;number=0.000171&amp;sourceID=14","0.000171")</f>
        <v>0.000171</v>
      </c>
    </row>
    <row r="10436" spans="1:7">
      <c r="A10436" s="3"/>
      <c r="B10436" s="3"/>
      <c r="C10436" s="3"/>
      <c r="D10436" s="3"/>
      <c r="E10436" s="3">
        <v>13</v>
      </c>
      <c r="F10436" s="4" t="str">
        <f>HYPERLINK("http://141.218.60.56/~jnz1568/getInfo.php?workbook=10_05.xlsx&amp;sheet=U0&amp;row=10436&amp;col=6&amp;number=4.2&amp;sourceID=14","4.2")</f>
        <v>4.2</v>
      </c>
      <c r="G10436" s="4" t="str">
        <f>HYPERLINK("http://141.218.60.56/~jnz1568/getInfo.php?workbook=10_05.xlsx&amp;sheet=U0&amp;row=10436&amp;col=7&amp;number=0.000164&amp;sourceID=14","0.000164")</f>
        <v>0.000164</v>
      </c>
    </row>
    <row r="10437" spans="1:7">
      <c r="A10437" s="3"/>
      <c r="B10437" s="3"/>
      <c r="C10437" s="3"/>
      <c r="D10437" s="3"/>
      <c r="E10437" s="3">
        <v>14</v>
      </c>
      <c r="F10437" s="4" t="str">
        <f>HYPERLINK("http://141.218.60.56/~jnz1568/getInfo.php?workbook=10_05.xlsx&amp;sheet=U0&amp;row=10437&amp;col=6&amp;number=4.3&amp;sourceID=14","4.3")</f>
        <v>4.3</v>
      </c>
      <c r="G10437" s="4" t="str">
        <f>HYPERLINK("http://141.218.60.56/~jnz1568/getInfo.php?workbook=10_05.xlsx&amp;sheet=U0&amp;row=10437&amp;col=7&amp;number=0.000157&amp;sourceID=14","0.000157")</f>
        <v>0.000157</v>
      </c>
    </row>
    <row r="10438" spans="1:7">
      <c r="A10438" s="3"/>
      <c r="B10438" s="3"/>
      <c r="C10438" s="3"/>
      <c r="D10438" s="3"/>
      <c r="E10438" s="3">
        <v>15</v>
      </c>
      <c r="F10438" s="4" t="str">
        <f>HYPERLINK("http://141.218.60.56/~jnz1568/getInfo.php?workbook=10_05.xlsx&amp;sheet=U0&amp;row=10438&amp;col=6&amp;number=4.4&amp;sourceID=14","4.4")</f>
        <v>4.4</v>
      </c>
      <c r="G10438" s="4" t="str">
        <f>HYPERLINK("http://141.218.60.56/~jnz1568/getInfo.php?workbook=10_05.xlsx&amp;sheet=U0&amp;row=10438&amp;col=7&amp;number=0.000149&amp;sourceID=14","0.000149")</f>
        <v>0.000149</v>
      </c>
    </row>
    <row r="10439" spans="1:7">
      <c r="A10439" s="3"/>
      <c r="B10439" s="3"/>
      <c r="C10439" s="3"/>
      <c r="D10439" s="3"/>
      <c r="E10439" s="3">
        <v>16</v>
      </c>
      <c r="F10439" s="4" t="str">
        <f>HYPERLINK("http://141.218.60.56/~jnz1568/getInfo.php?workbook=10_05.xlsx&amp;sheet=U0&amp;row=10439&amp;col=6&amp;number=4.5&amp;sourceID=14","4.5")</f>
        <v>4.5</v>
      </c>
      <c r="G10439" s="4" t="str">
        <f>HYPERLINK("http://141.218.60.56/~jnz1568/getInfo.php?workbook=10_05.xlsx&amp;sheet=U0&amp;row=10439&amp;col=7&amp;number=0.000141&amp;sourceID=14","0.000141")</f>
        <v>0.000141</v>
      </c>
    </row>
    <row r="10440" spans="1:7">
      <c r="A10440" s="3"/>
      <c r="B10440" s="3"/>
      <c r="C10440" s="3"/>
      <c r="D10440" s="3"/>
      <c r="E10440" s="3">
        <v>17</v>
      </c>
      <c r="F10440" s="4" t="str">
        <f>HYPERLINK("http://141.218.60.56/~jnz1568/getInfo.php?workbook=10_05.xlsx&amp;sheet=U0&amp;row=10440&amp;col=6&amp;number=4.6&amp;sourceID=14","4.6")</f>
        <v>4.6</v>
      </c>
      <c r="G10440" s="4" t="str">
        <f>HYPERLINK("http://141.218.60.56/~jnz1568/getInfo.php?workbook=10_05.xlsx&amp;sheet=U0&amp;row=10440&amp;col=7&amp;number=0.000134&amp;sourceID=14","0.000134")</f>
        <v>0.000134</v>
      </c>
    </row>
    <row r="10441" spans="1:7">
      <c r="A10441" s="3"/>
      <c r="B10441" s="3"/>
      <c r="C10441" s="3"/>
      <c r="D10441" s="3"/>
      <c r="E10441" s="3">
        <v>18</v>
      </c>
      <c r="F10441" s="4" t="str">
        <f>HYPERLINK("http://141.218.60.56/~jnz1568/getInfo.php?workbook=10_05.xlsx&amp;sheet=U0&amp;row=10441&amp;col=6&amp;number=4.7&amp;sourceID=14","4.7")</f>
        <v>4.7</v>
      </c>
      <c r="G10441" s="4" t="str">
        <f>HYPERLINK("http://141.218.60.56/~jnz1568/getInfo.php?workbook=10_05.xlsx&amp;sheet=U0&amp;row=10441&amp;col=7&amp;number=0.000127&amp;sourceID=14","0.000127")</f>
        <v>0.000127</v>
      </c>
    </row>
    <row r="10442" spans="1:7">
      <c r="A10442" s="3"/>
      <c r="B10442" s="3"/>
      <c r="C10442" s="3"/>
      <c r="D10442" s="3"/>
      <c r="E10442" s="3">
        <v>19</v>
      </c>
      <c r="F10442" s="4" t="str">
        <f>HYPERLINK("http://141.218.60.56/~jnz1568/getInfo.php?workbook=10_05.xlsx&amp;sheet=U0&amp;row=10442&amp;col=6&amp;number=4.8&amp;sourceID=14","4.8")</f>
        <v>4.8</v>
      </c>
      <c r="G10442" s="4" t="str">
        <f>HYPERLINK("http://141.218.60.56/~jnz1568/getInfo.php?workbook=10_05.xlsx&amp;sheet=U0&amp;row=10442&amp;col=7&amp;number=0.00012&amp;sourceID=14","0.00012")</f>
        <v>0.00012</v>
      </c>
    </row>
    <row r="10443" spans="1:7">
      <c r="A10443" s="3"/>
      <c r="B10443" s="3"/>
      <c r="C10443" s="3"/>
      <c r="D10443" s="3"/>
      <c r="E10443" s="3">
        <v>20</v>
      </c>
      <c r="F10443" s="4" t="str">
        <f>HYPERLINK("http://141.218.60.56/~jnz1568/getInfo.php?workbook=10_05.xlsx&amp;sheet=U0&amp;row=10443&amp;col=6&amp;number=4.9&amp;sourceID=14","4.9")</f>
        <v>4.9</v>
      </c>
      <c r="G10443" s="4" t="str">
        <f>HYPERLINK("http://141.218.60.56/~jnz1568/getInfo.php?workbook=10_05.xlsx&amp;sheet=U0&amp;row=10443&amp;col=7&amp;number=0.000114&amp;sourceID=14","0.000114")</f>
        <v>0.000114</v>
      </c>
    </row>
    <row r="10444" spans="1:7">
      <c r="A10444" s="3">
        <v>10</v>
      </c>
      <c r="B10444" s="3">
        <v>5</v>
      </c>
      <c r="C10444" s="3">
        <v>3</v>
      </c>
      <c r="D10444" s="3">
        <v>169</v>
      </c>
      <c r="E10444" s="3">
        <v>1</v>
      </c>
      <c r="F10444" s="4" t="str">
        <f>HYPERLINK("http://141.218.60.56/~jnz1568/getInfo.php?workbook=10_05.xlsx&amp;sheet=U0&amp;row=10444&amp;col=6&amp;number=3&amp;sourceID=14","3")</f>
        <v>3</v>
      </c>
      <c r="G10444" s="4" t="str">
        <f>HYPERLINK("http://141.218.60.56/~jnz1568/getInfo.php?workbook=10_05.xlsx&amp;sheet=U0&amp;row=10444&amp;col=7&amp;number=0.000184&amp;sourceID=14","0.000184")</f>
        <v>0.000184</v>
      </c>
    </row>
    <row r="10445" spans="1:7">
      <c r="A10445" s="3"/>
      <c r="B10445" s="3"/>
      <c r="C10445" s="3"/>
      <c r="D10445" s="3"/>
      <c r="E10445" s="3">
        <v>2</v>
      </c>
      <c r="F10445" s="4" t="str">
        <f>HYPERLINK("http://141.218.60.56/~jnz1568/getInfo.php?workbook=10_05.xlsx&amp;sheet=U0&amp;row=10445&amp;col=6&amp;number=3.1&amp;sourceID=14","3.1")</f>
        <v>3.1</v>
      </c>
      <c r="G10445" s="4" t="str">
        <f>HYPERLINK("http://141.218.60.56/~jnz1568/getInfo.php?workbook=10_05.xlsx&amp;sheet=U0&amp;row=10445&amp;col=7&amp;number=0.000186&amp;sourceID=14","0.000186")</f>
        <v>0.000186</v>
      </c>
    </row>
    <row r="10446" spans="1:7">
      <c r="A10446" s="3"/>
      <c r="B10446" s="3"/>
      <c r="C10446" s="3"/>
      <c r="D10446" s="3"/>
      <c r="E10446" s="3">
        <v>3</v>
      </c>
      <c r="F10446" s="4" t="str">
        <f>HYPERLINK("http://141.218.60.56/~jnz1568/getInfo.php?workbook=10_05.xlsx&amp;sheet=U0&amp;row=10446&amp;col=6&amp;number=3.2&amp;sourceID=14","3.2")</f>
        <v>3.2</v>
      </c>
      <c r="G10446" s="4" t="str">
        <f>HYPERLINK("http://141.218.60.56/~jnz1568/getInfo.php?workbook=10_05.xlsx&amp;sheet=U0&amp;row=10446&amp;col=7&amp;number=0.000187&amp;sourceID=14","0.000187")</f>
        <v>0.000187</v>
      </c>
    </row>
    <row r="10447" spans="1:7">
      <c r="A10447" s="3"/>
      <c r="B10447" s="3"/>
      <c r="C10447" s="3"/>
      <c r="D10447" s="3"/>
      <c r="E10447" s="3">
        <v>4</v>
      </c>
      <c r="F10447" s="4" t="str">
        <f>HYPERLINK("http://141.218.60.56/~jnz1568/getInfo.php?workbook=10_05.xlsx&amp;sheet=U0&amp;row=10447&amp;col=6&amp;number=3.3&amp;sourceID=14","3.3")</f>
        <v>3.3</v>
      </c>
      <c r="G10447" s="4" t="str">
        <f>HYPERLINK("http://141.218.60.56/~jnz1568/getInfo.php?workbook=10_05.xlsx&amp;sheet=U0&amp;row=10447&amp;col=7&amp;number=0.00019&amp;sourceID=14","0.00019")</f>
        <v>0.00019</v>
      </c>
    </row>
    <row r="10448" spans="1:7">
      <c r="A10448" s="3"/>
      <c r="B10448" s="3"/>
      <c r="C10448" s="3"/>
      <c r="D10448" s="3"/>
      <c r="E10448" s="3">
        <v>5</v>
      </c>
      <c r="F10448" s="4" t="str">
        <f>HYPERLINK("http://141.218.60.56/~jnz1568/getInfo.php?workbook=10_05.xlsx&amp;sheet=U0&amp;row=10448&amp;col=6&amp;number=3.4&amp;sourceID=14","3.4")</f>
        <v>3.4</v>
      </c>
      <c r="G10448" s="4" t="str">
        <f>HYPERLINK("http://141.218.60.56/~jnz1568/getInfo.php?workbook=10_05.xlsx&amp;sheet=U0&amp;row=10448&amp;col=7&amp;number=0.000192&amp;sourceID=14","0.000192")</f>
        <v>0.000192</v>
      </c>
    </row>
    <row r="10449" spans="1:7">
      <c r="A10449" s="3"/>
      <c r="B10449" s="3"/>
      <c r="C10449" s="3"/>
      <c r="D10449" s="3"/>
      <c r="E10449" s="3">
        <v>6</v>
      </c>
      <c r="F10449" s="4" t="str">
        <f>HYPERLINK("http://141.218.60.56/~jnz1568/getInfo.php?workbook=10_05.xlsx&amp;sheet=U0&amp;row=10449&amp;col=6&amp;number=3.5&amp;sourceID=14","3.5")</f>
        <v>3.5</v>
      </c>
      <c r="G10449" s="4" t="str">
        <f>HYPERLINK("http://141.218.60.56/~jnz1568/getInfo.php?workbook=10_05.xlsx&amp;sheet=U0&amp;row=10449&amp;col=7&amp;number=0.000195&amp;sourceID=14","0.000195")</f>
        <v>0.000195</v>
      </c>
    </row>
    <row r="10450" spans="1:7">
      <c r="A10450" s="3"/>
      <c r="B10450" s="3"/>
      <c r="C10450" s="3"/>
      <c r="D10450" s="3"/>
      <c r="E10450" s="3">
        <v>7</v>
      </c>
      <c r="F10450" s="4" t="str">
        <f>HYPERLINK("http://141.218.60.56/~jnz1568/getInfo.php?workbook=10_05.xlsx&amp;sheet=U0&amp;row=10450&amp;col=6&amp;number=3.6&amp;sourceID=14","3.6")</f>
        <v>3.6</v>
      </c>
      <c r="G10450" s="4" t="str">
        <f>HYPERLINK("http://141.218.60.56/~jnz1568/getInfo.php?workbook=10_05.xlsx&amp;sheet=U0&amp;row=10450&amp;col=7&amp;number=0.000199&amp;sourceID=14","0.000199")</f>
        <v>0.000199</v>
      </c>
    </row>
    <row r="10451" spans="1:7">
      <c r="A10451" s="3"/>
      <c r="B10451" s="3"/>
      <c r="C10451" s="3"/>
      <c r="D10451" s="3"/>
      <c r="E10451" s="3">
        <v>8</v>
      </c>
      <c r="F10451" s="4" t="str">
        <f>HYPERLINK("http://141.218.60.56/~jnz1568/getInfo.php?workbook=10_05.xlsx&amp;sheet=U0&amp;row=10451&amp;col=6&amp;number=3.7&amp;sourceID=14","3.7")</f>
        <v>3.7</v>
      </c>
      <c r="G10451" s="4" t="str">
        <f>HYPERLINK("http://141.218.60.56/~jnz1568/getInfo.php?workbook=10_05.xlsx&amp;sheet=U0&amp;row=10451&amp;col=7&amp;number=0.000202&amp;sourceID=14","0.000202")</f>
        <v>0.000202</v>
      </c>
    </row>
    <row r="10452" spans="1:7">
      <c r="A10452" s="3"/>
      <c r="B10452" s="3"/>
      <c r="C10452" s="3"/>
      <c r="D10452" s="3"/>
      <c r="E10452" s="3">
        <v>9</v>
      </c>
      <c r="F10452" s="4" t="str">
        <f>HYPERLINK("http://141.218.60.56/~jnz1568/getInfo.php?workbook=10_05.xlsx&amp;sheet=U0&amp;row=10452&amp;col=6&amp;number=3.8&amp;sourceID=14","3.8")</f>
        <v>3.8</v>
      </c>
      <c r="G10452" s="4" t="str">
        <f>HYPERLINK("http://141.218.60.56/~jnz1568/getInfo.php?workbook=10_05.xlsx&amp;sheet=U0&amp;row=10452&amp;col=7&amp;number=0.000204&amp;sourceID=14","0.000204")</f>
        <v>0.000204</v>
      </c>
    </row>
    <row r="10453" spans="1:7">
      <c r="A10453" s="3"/>
      <c r="B10453" s="3"/>
      <c r="C10453" s="3"/>
      <c r="D10453" s="3"/>
      <c r="E10453" s="3">
        <v>10</v>
      </c>
      <c r="F10453" s="4" t="str">
        <f>HYPERLINK("http://141.218.60.56/~jnz1568/getInfo.php?workbook=10_05.xlsx&amp;sheet=U0&amp;row=10453&amp;col=6&amp;number=3.9&amp;sourceID=14","3.9")</f>
        <v>3.9</v>
      </c>
      <c r="G10453" s="4" t="str">
        <f>HYPERLINK("http://141.218.60.56/~jnz1568/getInfo.php?workbook=10_05.xlsx&amp;sheet=U0&amp;row=10453&amp;col=7&amp;number=0.000203&amp;sourceID=14","0.000203")</f>
        <v>0.000203</v>
      </c>
    </row>
    <row r="10454" spans="1:7">
      <c r="A10454" s="3"/>
      <c r="B10454" s="3"/>
      <c r="C10454" s="3"/>
      <c r="D10454" s="3"/>
      <c r="E10454" s="3">
        <v>11</v>
      </c>
      <c r="F10454" s="4" t="str">
        <f>HYPERLINK("http://141.218.60.56/~jnz1568/getInfo.php?workbook=10_05.xlsx&amp;sheet=U0&amp;row=10454&amp;col=6&amp;number=4&amp;sourceID=14","4")</f>
        <v>4</v>
      </c>
      <c r="G10454" s="4" t="str">
        <f>HYPERLINK("http://141.218.60.56/~jnz1568/getInfo.php?workbook=10_05.xlsx&amp;sheet=U0&amp;row=10454&amp;col=7&amp;number=0.000199&amp;sourceID=14","0.000199")</f>
        <v>0.000199</v>
      </c>
    </row>
    <row r="10455" spans="1:7">
      <c r="A10455" s="3"/>
      <c r="B10455" s="3"/>
      <c r="C10455" s="3"/>
      <c r="D10455" s="3"/>
      <c r="E10455" s="3">
        <v>12</v>
      </c>
      <c r="F10455" s="4" t="str">
        <f>HYPERLINK("http://141.218.60.56/~jnz1568/getInfo.php?workbook=10_05.xlsx&amp;sheet=U0&amp;row=10455&amp;col=6&amp;number=4.1&amp;sourceID=14","4.1")</f>
        <v>4.1</v>
      </c>
      <c r="G10455" s="4" t="str">
        <f>HYPERLINK("http://141.218.60.56/~jnz1568/getInfo.php?workbook=10_05.xlsx&amp;sheet=U0&amp;row=10455&amp;col=7&amp;number=0.000191&amp;sourceID=14","0.000191")</f>
        <v>0.000191</v>
      </c>
    </row>
    <row r="10456" spans="1:7">
      <c r="A10456" s="3"/>
      <c r="B10456" s="3"/>
      <c r="C10456" s="3"/>
      <c r="D10456" s="3"/>
      <c r="E10456" s="3">
        <v>13</v>
      </c>
      <c r="F10456" s="4" t="str">
        <f>HYPERLINK("http://141.218.60.56/~jnz1568/getInfo.php?workbook=10_05.xlsx&amp;sheet=U0&amp;row=10456&amp;col=6&amp;number=4.2&amp;sourceID=14","4.2")</f>
        <v>4.2</v>
      </c>
      <c r="G10456" s="4" t="str">
        <f>HYPERLINK("http://141.218.60.56/~jnz1568/getInfo.php?workbook=10_05.xlsx&amp;sheet=U0&amp;row=10456&amp;col=7&amp;number=0.000181&amp;sourceID=14","0.000181")</f>
        <v>0.000181</v>
      </c>
    </row>
    <row r="10457" spans="1:7">
      <c r="A10457" s="3"/>
      <c r="B10457" s="3"/>
      <c r="C10457" s="3"/>
      <c r="D10457" s="3"/>
      <c r="E10457" s="3">
        <v>14</v>
      </c>
      <c r="F10457" s="4" t="str">
        <f>HYPERLINK("http://141.218.60.56/~jnz1568/getInfo.php?workbook=10_05.xlsx&amp;sheet=U0&amp;row=10457&amp;col=6&amp;number=4.3&amp;sourceID=14","4.3")</f>
        <v>4.3</v>
      </c>
      <c r="G10457" s="4" t="str">
        <f>HYPERLINK("http://141.218.60.56/~jnz1568/getInfo.php?workbook=10_05.xlsx&amp;sheet=U0&amp;row=10457&amp;col=7&amp;number=0.000171&amp;sourceID=14","0.000171")</f>
        <v>0.000171</v>
      </c>
    </row>
    <row r="10458" spans="1:7">
      <c r="A10458" s="3"/>
      <c r="B10458" s="3"/>
      <c r="C10458" s="3"/>
      <c r="D10458" s="3"/>
      <c r="E10458" s="3">
        <v>15</v>
      </c>
      <c r="F10458" s="4" t="str">
        <f>HYPERLINK("http://141.218.60.56/~jnz1568/getInfo.php?workbook=10_05.xlsx&amp;sheet=U0&amp;row=10458&amp;col=6&amp;number=4.4&amp;sourceID=14","4.4")</f>
        <v>4.4</v>
      </c>
      <c r="G10458" s="4" t="str">
        <f>HYPERLINK("http://141.218.60.56/~jnz1568/getInfo.php?workbook=10_05.xlsx&amp;sheet=U0&amp;row=10458&amp;col=7&amp;number=0.000163&amp;sourceID=14","0.000163")</f>
        <v>0.000163</v>
      </c>
    </row>
    <row r="10459" spans="1:7">
      <c r="A10459" s="3"/>
      <c r="B10459" s="3"/>
      <c r="C10459" s="3"/>
      <c r="D10459" s="3"/>
      <c r="E10459" s="3">
        <v>16</v>
      </c>
      <c r="F10459" s="4" t="str">
        <f>HYPERLINK("http://141.218.60.56/~jnz1568/getInfo.php?workbook=10_05.xlsx&amp;sheet=U0&amp;row=10459&amp;col=6&amp;number=4.5&amp;sourceID=14","4.5")</f>
        <v>4.5</v>
      </c>
      <c r="G10459" s="4" t="str">
        <f>HYPERLINK("http://141.218.60.56/~jnz1568/getInfo.php?workbook=10_05.xlsx&amp;sheet=U0&amp;row=10459&amp;col=7&amp;number=0.000154&amp;sourceID=14","0.000154")</f>
        <v>0.000154</v>
      </c>
    </row>
    <row r="10460" spans="1:7">
      <c r="A10460" s="3"/>
      <c r="B10460" s="3"/>
      <c r="C10460" s="3"/>
      <c r="D10460" s="3"/>
      <c r="E10460" s="3">
        <v>17</v>
      </c>
      <c r="F10460" s="4" t="str">
        <f>HYPERLINK("http://141.218.60.56/~jnz1568/getInfo.php?workbook=10_05.xlsx&amp;sheet=U0&amp;row=10460&amp;col=6&amp;number=4.6&amp;sourceID=14","4.6")</f>
        <v>4.6</v>
      </c>
      <c r="G10460" s="4" t="str">
        <f>HYPERLINK("http://141.218.60.56/~jnz1568/getInfo.php?workbook=10_05.xlsx&amp;sheet=U0&amp;row=10460&amp;col=7&amp;number=0.000145&amp;sourceID=14","0.000145")</f>
        <v>0.000145</v>
      </c>
    </row>
    <row r="10461" spans="1:7">
      <c r="A10461" s="3"/>
      <c r="B10461" s="3"/>
      <c r="C10461" s="3"/>
      <c r="D10461" s="3"/>
      <c r="E10461" s="3">
        <v>18</v>
      </c>
      <c r="F10461" s="4" t="str">
        <f>HYPERLINK("http://141.218.60.56/~jnz1568/getInfo.php?workbook=10_05.xlsx&amp;sheet=U0&amp;row=10461&amp;col=6&amp;number=4.7&amp;sourceID=14","4.7")</f>
        <v>4.7</v>
      </c>
      <c r="G10461" s="4" t="str">
        <f>HYPERLINK("http://141.218.60.56/~jnz1568/getInfo.php?workbook=10_05.xlsx&amp;sheet=U0&amp;row=10461&amp;col=7&amp;number=0.000136&amp;sourceID=14","0.000136")</f>
        <v>0.000136</v>
      </c>
    </row>
    <row r="10462" spans="1:7">
      <c r="A10462" s="3"/>
      <c r="B10462" s="3"/>
      <c r="C10462" s="3"/>
      <c r="D10462" s="3"/>
      <c r="E10462" s="3">
        <v>19</v>
      </c>
      <c r="F10462" s="4" t="str">
        <f>HYPERLINK("http://141.218.60.56/~jnz1568/getInfo.php?workbook=10_05.xlsx&amp;sheet=U0&amp;row=10462&amp;col=6&amp;number=4.8&amp;sourceID=14","4.8")</f>
        <v>4.8</v>
      </c>
      <c r="G10462" s="4" t="str">
        <f>HYPERLINK("http://141.218.60.56/~jnz1568/getInfo.php?workbook=10_05.xlsx&amp;sheet=U0&amp;row=10462&amp;col=7&amp;number=0.000127&amp;sourceID=14","0.000127")</f>
        <v>0.000127</v>
      </c>
    </row>
    <row r="10463" spans="1:7">
      <c r="A10463" s="3"/>
      <c r="B10463" s="3"/>
      <c r="C10463" s="3"/>
      <c r="D10463" s="3"/>
      <c r="E10463" s="3">
        <v>20</v>
      </c>
      <c r="F10463" s="4" t="str">
        <f>HYPERLINK("http://141.218.60.56/~jnz1568/getInfo.php?workbook=10_05.xlsx&amp;sheet=U0&amp;row=10463&amp;col=6&amp;number=4.9&amp;sourceID=14","4.9")</f>
        <v>4.9</v>
      </c>
      <c r="G10463" s="4" t="str">
        <f>HYPERLINK("http://141.218.60.56/~jnz1568/getInfo.php?workbook=10_05.xlsx&amp;sheet=U0&amp;row=10463&amp;col=7&amp;number=0.00012&amp;sourceID=14","0.00012")</f>
        <v>0.00012</v>
      </c>
    </row>
    <row r="10464" spans="1:7">
      <c r="A10464" s="3">
        <v>10</v>
      </c>
      <c r="B10464" s="3">
        <v>5</v>
      </c>
      <c r="C10464" s="3">
        <v>3</v>
      </c>
      <c r="D10464" s="3">
        <v>170</v>
      </c>
      <c r="E10464" s="3">
        <v>1</v>
      </c>
      <c r="F10464" s="4" t="str">
        <f>HYPERLINK("http://141.218.60.56/~jnz1568/getInfo.php?workbook=10_05.xlsx&amp;sheet=U0&amp;row=10464&amp;col=6&amp;number=3&amp;sourceID=14","3")</f>
        <v>3</v>
      </c>
      <c r="G10464" s="4" t="str">
        <f>HYPERLINK("http://141.218.60.56/~jnz1568/getInfo.php?workbook=10_05.xlsx&amp;sheet=U0&amp;row=10464&amp;col=7&amp;number=0.000101&amp;sourceID=14","0.000101")</f>
        <v>0.000101</v>
      </c>
    </row>
    <row r="10465" spans="1:7">
      <c r="A10465" s="3"/>
      <c r="B10465" s="3"/>
      <c r="C10465" s="3"/>
      <c r="D10465" s="3"/>
      <c r="E10465" s="3">
        <v>2</v>
      </c>
      <c r="F10465" s="4" t="str">
        <f>HYPERLINK("http://141.218.60.56/~jnz1568/getInfo.php?workbook=10_05.xlsx&amp;sheet=U0&amp;row=10465&amp;col=6&amp;number=3.1&amp;sourceID=14","3.1")</f>
        <v>3.1</v>
      </c>
      <c r="G10465" s="4" t="str">
        <f>HYPERLINK("http://141.218.60.56/~jnz1568/getInfo.php?workbook=10_05.xlsx&amp;sheet=U0&amp;row=10465&amp;col=7&amp;number=0.000101&amp;sourceID=14","0.000101")</f>
        <v>0.000101</v>
      </c>
    </row>
    <row r="10466" spans="1:7">
      <c r="A10466" s="3"/>
      <c r="B10466" s="3"/>
      <c r="C10466" s="3"/>
      <c r="D10466" s="3"/>
      <c r="E10466" s="3">
        <v>3</v>
      </c>
      <c r="F10466" s="4" t="str">
        <f>HYPERLINK("http://141.218.60.56/~jnz1568/getInfo.php?workbook=10_05.xlsx&amp;sheet=U0&amp;row=10466&amp;col=6&amp;number=3.2&amp;sourceID=14","3.2")</f>
        <v>3.2</v>
      </c>
      <c r="G10466" s="4" t="str">
        <f>HYPERLINK("http://141.218.60.56/~jnz1568/getInfo.php?workbook=10_05.xlsx&amp;sheet=U0&amp;row=10466&amp;col=7&amp;number=0.000101&amp;sourceID=14","0.000101")</f>
        <v>0.000101</v>
      </c>
    </row>
    <row r="10467" spans="1:7">
      <c r="A10467" s="3"/>
      <c r="B10467" s="3"/>
      <c r="C10467" s="3"/>
      <c r="D10467" s="3"/>
      <c r="E10467" s="3">
        <v>4</v>
      </c>
      <c r="F10467" s="4" t="str">
        <f>HYPERLINK("http://141.218.60.56/~jnz1568/getInfo.php?workbook=10_05.xlsx&amp;sheet=U0&amp;row=10467&amp;col=6&amp;number=3.3&amp;sourceID=14","3.3")</f>
        <v>3.3</v>
      </c>
      <c r="G10467" s="4" t="str">
        <f>HYPERLINK("http://141.218.60.56/~jnz1568/getInfo.php?workbook=10_05.xlsx&amp;sheet=U0&amp;row=10467&amp;col=7&amp;number=0.0001&amp;sourceID=14","0.0001")</f>
        <v>0.0001</v>
      </c>
    </row>
    <row r="10468" spans="1:7">
      <c r="A10468" s="3"/>
      <c r="B10468" s="3"/>
      <c r="C10468" s="3"/>
      <c r="D10468" s="3"/>
      <c r="E10468" s="3">
        <v>5</v>
      </c>
      <c r="F10468" s="4" t="str">
        <f>HYPERLINK("http://141.218.60.56/~jnz1568/getInfo.php?workbook=10_05.xlsx&amp;sheet=U0&amp;row=10468&amp;col=6&amp;number=3.4&amp;sourceID=14","3.4")</f>
        <v>3.4</v>
      </c>
      <c r="G10468" s="4" t="str">
        <f>HYPERLINK("http://141.218.60.56/~jnz1568/getInfo.php?workbook=10_05.xlsx&amp;sheet=U0&amp;row=10468&amp;col=7&amp;number=9.93e-05&amp;sourceID=14","9.93e-05")</f>
        <v>9.93e-05</v>
      </c>
    </row>
    <row r="10469" spans="1:7">
      <c r="A10469" s="3"/>
      <c r="B10469" s="3"/>
      <c r="C10469" s="3"/>
      <c r="D10469" s="3"/>
      <c r="E10469" s="3">
        <v>6</v>
      </c>
      <c r="F10469" s="4" t="str">
        <f>HYPERLINK("http://141.218.60.56/~jnz1568/getInfo.php?workbook=10_05.xlsx&amp;sheet=U0&amp;row=10469&amp;col=6&amp;number=3.5&amp;sourceID=14","3.5")</f>
        <v>3.5</v>
      </c>
      <c r="G10469" s="4" t="str">
        <f>HYPERLINK("http://141.218.60.56/~jnz1568/getInfo.php?workbook=10_05.xlsx&amp;sheet=U0&amp;row=10469&amp;col=7&amp;number=9.84e-05&amp;sourceID=14","9.84e-05")</f>
        <v>9.84e-05</v>
      </c>
    </row>
    <row r="10470" spans="1:7">
      <c r="A10470" s="3"/>
      <c r="B10470" s="3"/>
      <c r="C10470" s="3"/>
      <c r="D10470" s="3"/>
      <c r="E10470" s="3">
        <v>7</v>
      </c>
      <c r="F10470" s="4" t="str">
        <f>HYPERLINK("http://141.218.60.56/~jnz1568/getInfo.php?workbook=10_05.xlsx&amp;sheet=U0&amp;row=10470&amp;col=6&amp;number=3.6&amp;sourceID=14","3.6")</f>
        <v>3.6</v>
      </c>
      <c r="G10470" s="4" t="str">
        <f>HYPERLINK("http://141.218.60.56/~jnz1568/getInfo.php?workbook=10_05.xlsx&amp;sheet=U0&amp;row=10470&amp;col=7&amp;number=9.73e-05&amp;sourceID=14","9.73e-05")</f>
        <v>9.73e-05</v>
      </c>
    </row>
    <row r="10471" spans="1:7">
      <c r="A10471" s="3"/>
      <c r="B10471" s="3"/>
      <c r="C10471" s="3"/>
      <c r="D10471" s="3"/>
      <c r="E10471" s="3">
        <v>8</v>
      </c>
      <c r="F10471" s="4" t="str">
        <f>HYPERLINK("http://141.218.60.56/~jnz1568/getInfo.php?workbook=10_05.xlsx&amp;sheet=U0&amp;row=10471&amp;col=6&amp;number=3.7&amp;sourceID=14","3.7")</f>
        <v>3.7</v>
      </c>
      <c r="G10471" s="4" t="str">
        <f>HYPERLINK("http://141.218.60.56/~jnz1568/getInfo.php?workbook=10_05.xlsx&amp;sheet=U0&amp;row=10471&amp;col=7&amp;number=9.59e-05&amp;sourceID=14","9.59e-05")</f>
        <v>9.59e-05</v>
      </c>
    </row>
    <row r="10472" spans="1:7">
      <c r="A10472" s="3"/>
      <c r="B10472" s="3"/>
      <c r="C10472" s="3"/>
      <c r="D10472" s="3"/>
      <c r="E10472" s="3">
        <v>9</v>
      </c>
      <c r="F10472" s="4" t="str">
        <f>HYPERLINK("http://141.218.60.56/~jnz1568/getInfo.php?workbook=10_05.xlsx&amp;sheet=U0&amp;row=10472&amp;col=6&amp;number=3.8&amp;sourceID=14","3.8")</f>
        <v>3.8</v>
      </c>
      <c r="G10472" s="4" t="str">
        <f>HYPERLINK("http://141.218.60.56/~jnz1568/getInfo.php?workbook=10_05.xlsx&amp;sheet=U0&amp;row=10472&amp;col=7&amp;number=9.41e-05&amp;sourceID=14","9.41e-05")</f>
        <v>9.41e-05</v>
      </c>
    </row>
    <row r="10473" spans="1:7">
      <c r="A10473" s="3"/>
      <c r="B10473" s="3"/>
      <c r="C10473" s="3"/>
      <c r="D10473" s="3"/>
      <c r="E10473" s="3">
        <v>10</v>
      </c>
      <c r="F10473" s="4" t="str">
        <f>HYPERLINK("http://141.218.60.56/~jnz1568/getInfo.php?workbook=10_05.xlsx&amp;sheet=U0&amp;row=10473&amp;col=6&amp;number=3.9&amp;sourceID=14","3.9")</f>
        <v>3.9</v>
      </c>
      <c r="G10473" s="4" t="str">
        <f>HYPERLINK("http://141.218.60.56/~jnz1568/getInfo.php?workbook=10_05.xlsx&amp;sheet=U0&amp;row=10473&amp;col=7&amp;number=9.2e-05&amp;sourceID=14","9.2e-05")</f>
        <v>9.2e-05</v>
      </c>
    </row>
    <row r="10474" spans="1:7">
      <c r="A10474" s="3"/>
      <c r="B10474" s="3"/>
      <c r="C10474" s="3"/>
      <c r="D10474" s="3"/>
      <c r="E10474" s="3">
        <v>11</v>
      </c>
      <c r="F10474" s="4" t="str">
        <f>HYPERLINK("http://141.218.60.56/~jnz1568/getInfo.php?workbook=10_05.xlsx&amp;sheet=U0&amp;row=10474&amp;col=6&amp;number=4&amp;sourceID=14","4")</f>
        <v>4</v>
      </c>
      <c r="G10474" s="4" t="str">
        <f>HYPERLINK("http://141.218.60.56/~jnz1568/getInfo.php?workbook=10_05.xlsx&amp;sheet=U0&amp;row=10474&amp;col=7&amp;number=8.95e-05&amp;sourceID=14","8.95e-05")</f>
        <v>8.95e-05</v>
      </c>
    </row>
    <row r="10475" spans="1:7">
      <c r="A10475" s="3"/>
      <c r="B10475" s="3"/>
      <c r="C10475" s="3"/>
      <c r="D10475" s="3"/>
      <c r="E10475" s="3">
        <v>12</v>
      </c>
      <c r="F10475" s="4" t="str">
        <f>HYPERLINK("http://141.218.60.56/~jnz1568/getInfo.php?workbook=10_05.xlsx&amp;sheet=U0&amp;row=10475&amp;col=6&amp;number=4.1&amp;sourceID=14","4.1")</f>
        <v>4.1</v>
      </c>
      <c r="G10475" s="4" t="str">
        <f>HYPERLINK("http://141.218.60.56/~jnz1568/getInfo.php?workbook=10_05.xlsx&amp;sheet=U0&amp;row=10475&amp;col=7&amp;number=8.64e-05&amp;sourceID=14","8.64e-05")</f>
        <v>8.64e-05</v>
      </c>
    </row>
    <row r="10476" spans="1:7">
      <c r="A10476" s="3"/>
      <c r="B10476" s="3"/>
      <c r="C10476" s="3"/>
      <c r="D10476" s="3"/>
      <c r="E10476" s="3">
        <v>13</v>
      </c>
      <c r="F10476" s="4" t="str">
        <f>HYPERLINK("http://141.218.60.56/~jnz1568/getInfo.php?workbook=10_05.xlsx&amp;sheet=U0&amp;row=10476&amp;col=6&amp;number=4.2&amp;sourceID=14","4.2")</f>
        <v>4.2</v>
      </c>
      <c r="G10476" s="4" t="str">
        <f>HYPERLINK("http://141.218.60.56/~jnz1568/getInfo.php?workbook=10_05.xlsx&amp;sheet=U0&amp;row=10476&amp;col=7&amp;number=8.29e-05&amp;sourceID=14","8.29e-05")</f>
        <v>8.29e-05</v>
      </c>
    </row>
    <row r="10477" spans="1:7">
      <c r="A10477" s="3"/>
      <c r="B10477" s="3"/>
      <c r="C10477" s="3"/>
      <c r="D10477" s="3"/>
      <c r="E10477" s="3">
        <v>14</v>
      </c>
      <c r="F10477" s="4" t="str">
        <f>HYPERLINK("http://141.218.60.56/~jnz1568/getInfo.php?workbook=10_05.xlsx&amp;sheet=U0&amp;row=10477&amp;col=6&amp;number=4.3&amp;sourceID=14","4.3")</f>
        <v>4.3</v>
      </c>
      <c r="G10477" s="4" t="str">
        <f>HYPERLINK("http://141.218.60.56/~jnz1568/getInfo.php?workbook=10_05.xlsx&amp;sheet=U0&amp;row=10477&amp;col=7&amp;number=7.89e-05&amp;sourceID=14","7.89e-05")</f>
        <v>7.89e-05</v>
      </c>
    </row>
    <row r="10478" spans="1:7">
      <c r="A10478" s="3"/>
      <c r="B10478" s="3"/>
      <c r="C10478" s="3"/>
      <c r="D10478" s="3"/>
      <c r="E10478" s="3">
        <v>15</v>
      </c>
      <c r="F10478" s="4" t="str">
        <f>HYPERLINK("http://141.218.60.56/~jnz1568/getInfo.php?workbook=10_05.xlsx&amp;sheet=U0&amp;row=10478&amp;col=6&amp;number=4.4&amp;sourceID=14","4.4")</f>
        <v>4.4</v>
      </c>
      <c r="G10478" s="4" t="str">
        <f>HYPERLINK("http://141.218.60.56/~jnz1568/getInfo.php?workbook=10_05.xlsx&amp;sheet=U0&amp;row=10478&amp;col=7&amp;number=7.46e-05&amp;sourceID=14","7.46e-05")</f>
        <v>7.46e-05</v>
      </c>
    </row>
    <row r="10479" spans="1:7">
      <c r="A10479" s="3"/>
      <c r="B10479" s="3"/>
      <c r="C10479" s="3"/>
      <c r="D10479" s="3"/>
      <c r="E10479" s="3">
        <v>16</v>
      </c>
      <c r="F10479" s="4" t="str">
        <f>HYPERLINK("http://141.218.60.56/~jnz1568/getInfo.php?workbook=10_05.xlsx&amp;sheet=U0&amp;row=10479&amp;col=6&amp;number=4.5&amp;sourceID=14","4.5")</f>
        <v>4.5</v>
      </c>
      <c r="G10479" s="4" t="str">
        <f>HYPERLINK("http://141.218.60.56/~jnz1568/getInfo.php?workbook=10_05.xlsx&amp;sheet=U0&amp;row=10479&amp;col=7&amp;number=7.03e-05&amp;sourceID=14","7.03e-05")</f>
        <v>7.03e-05</v>
      </c>
    </row>
    <row r="10480" spans="1:7">
      <c r="A10480" s="3"/>
      <c r="B10480" s="3"/>
      <c r="C10480" s="3"/>
      <c r="D10480" s="3"/>
      <c r="E10480" s="3">
        <v>17</v>
      </c>
      <c r="F10480" s="4" t="str">
        <f>HYPERLINK("http://141.218.60.56/~jnz1568/getInfo.php?workbook=10_05.xlsx&amp;sheet=U0&amp;row=10480&amp;col=6&amp;number=4.6&amp;sourceID=14","4.6")</f>
        <v>4.6</v>
      </c>
      <c r="G10480" s="4" t="str">
        <f>HYPERLINK("http://141.218.60.56/~jnz1568/getInfo.php?workbook=10_05.xlsx&amp;sheet=U0&amp;row=10480&amp;col=7&amp;number=6.61e-05&amp;sourceID=14","6.61e-05")</f>
        <v>6.61e-05</v>
      </c>
    </row>
    <row r="10481" spans="1:7">
      <c r="A10481" s="3"/>
      <c r="B10481" s="3"/>
      <c r="C10481" s="3"/>
      <c r="D10481" s="3"/>
      <c r="E10481" s="3">
        <v>18</v>
      </c>
      <c r="F10481" s="4" t="str">
        <f>HYPERLINK("http://141.218.60.56/~jnz1568/getInfo.php?workbook=10_05.xlsx&amp;sheet=U0&amp;row=10481&amp;col=6&amp;number=4.7&amp;sourceID=14","4.7")</f>
        <v>4.7</v>
      </c>
      <c r="G10481" s="4" t="str">
        <f>HYPERLINK("http://141.218.60.56/~jnz1568/getInfo.php?workbook=10_05.xlsx&amp;sheet=U0&amp;row=10481&amp;col=7&amp;number=6.22e-05&amp;sourceID=14","6.22e-05")</f>
        <v>6.22e-05</v>
      </c>
    </row>
    <row r="10482" spans="1:7">
      <c r="A10482" s="3"/>
      <c r="B10482" s="3"/>
      <c r="C10482" s="3"/>
      <c r="D10482" s="3"/>
      <c r="E10482" s="3">
        <v>19</v>
      </c>
      <c r="F10482" s="4" t="str">
        <f>HYPERLINK("http://141.218.60.56/~jnz1568/getInfo.php?workbook=10_05.xlsx&amp;sheet=U0&amp;row=10482&amp;col=6&amp;number=4.8&amp;sourceID=14","4.8")</f>
        <v>4.8</v>
      </c>
      <c r="G10482" s="4" t="str">
        <f>HYPERLINK("http://141.218.60.56/~jnz1568/getInfo.php?workbook=10_05.xlsx&amp;sheet=U0&amp;row=10482&amp;col=7&amp;number=5.86e-05&amp;sourceID=14","5.86e-05")</f>
        <v>5.86e-05</v>
      </c>
    </row>
    <row r="10483" spans="1:7">
      <c r="A10483" s="3"/>
      <c r="B10483" s="3"/>
      <c r="C10483" s="3"/>
      <c r="D10483" s="3"/>
      <c r="E10483" s="3">
        <v>20</v>
      </c>
      <c r="F10483" s="4" t="str">
        <f>HYPERLINK("http://141.218.60.56/~jnz1568/getInfo.php?workbook=10_05.xlsx&amp;sheet=U0&amp;row=10483&amp;col=6&amp;number=4.9&amp;sourceID=14","4.9")</f>
        <v>4.9</v>
      </c>
      <c r="G10483" s="4" t="str">
        <f>HYPERLINK("http://141.218.60.56/~jnz1568/getInfo.php?workbook=10_05.xlsx&amp;sheet=U0&amp;row=10483&amp;col=7&amp;number=5.55e-05&amp;sourceID=14","5.55e-05")</f>
        <v>5.55e-05</v>
      </c>
    </row>
    <row r="10484" spans="1:7">
      <c r="A10484" s="3">
        <v>10</v>
      </c>
      <c r="B10484" s="3">
        <v>5</v>
      </c>
      <c r="C10484" s="3">
        <v>3</v>
      </c>
      <c r="D10484" s="3">
        <v>171</v>
      </c>
      <c r="E10484" s="3">
        <v>1</v>
      </c>
      <c r="F10484" s="4" t="str">
        <f>HYPERLINK("http://141.218.60.56/~jnz1568/getInfo.php?workbook=10_05.xlsx&amp;sheet=U0&amp;row=10484&amp;col=6&amp;number=3&amp;sourceID=14","3")</f>
        <v>3</v>
      </c>
      <c r="G10484" s="4" t="str">
        <f>HYPERLINK("http://141.218.60.56/~jnz1568/getInfo.php?workbook=10_05.xlsx&amp;sheet=U0&amp;row=10484&amp;col=7&amp;number=0.000189&amp;sourceID=14","0.000189")</f>
        <v>0.000189</v>
      </c>
    </row>
    <row r="10485" spans="1:7">
      <c r="A10485" s="3"/>
      <c r="B10485" s="3"/>
      <c r="C10485" s="3"/>
      <c r="D10485" s="3"/>
      <c r="E10485" s="3">
        <v>2</v>
      </c>
      <c r="F10485" s="4" t="str">
        <f>HYPERLINK("http://141.218.60.56/~jnz1568/getInfo.php?workbook=10_05.xlsx&amp;sheet=U0&amp;row=10485&amp;col=6&amp;number=3.1&amp;sourceID=14","3.1")</f>
        <v>3.1</v>
      </c>
      <c r="G10485" s="4" t="str">
        <f>HYPERLINK("http://141.218.60.56/~jnz1568/getInfo.php?workbook=10_05.xlsx&amp;sheet=U0&amp;row=10485&amp;col=7&amp;number=0.000188&amp;sourceID=14","0.000188")</f>
        <v>0.000188</v>
      </c>
    </row>
    <row r="10486" spans="1:7">
      <c r="A10486" s="3"/>
      <c r="B10486" s="3"/>
      <c r="C10486" s="3"/>
      <c r="D10486" s="3"/>
      <c r="E10486" s="3">
        <v>3</v>
      </c>
      <c r="F10486" s="4" t="str">
        <f>HYPERLINK("http://141.218.60.56/~jnz1568/getInfo.php?workbook=10_05.xlsx&amp;sheet=U0&amp;row=10486&amp;col=6&amp;number=3.2&amp;sourceID=14","3.2")</f>
        <v>3.2</v>
      </c>
      <c r="G10486" s="4" t="str">
        <f>HYPERLINK("http://141.218.60.56/~jnz1568/getInfo.php?workbook=10_05.xlsx&amp;sheet=U0&amp;row=10486&amp;col=7&amp;number=0.000187&amp;sourceID=14","0.000187")</f>
        <v>0.000187</v>
      </c>
    </row>
    <row r="10487" spans="1:7">
      <c r="A10487" s="3"/>
      <c r="B10487" s="3"/>
      <c r="C10487" s="3"/>
      <c r="D10487" s="3"/>
      <c r="E10487" s="3">
        <v>4</v>
      </c>
      <c r="F10487" s="4" t="str">
        <f>HYPERLINK("http://141.218.60.56/~jnz1568/getInfo.php?workbook=10_05.xlsx&amp;sheet=U0&amp;row=10487&amp;col=6&amp;number=3.3&amp;sourceID=14","3.3")</f>
        <v>3.3</v>
      </c>
      <c r="G10487" s="4" t="str">
        <f>HYPERLINK("http://141.218.60.56/~jnz1568/getInfo.php?workbook=10_05.xlsx&amp;sheet=U0&amp;row=10487&amp;col=7&amp;number=0.000185&amp;sourceID=14","0.000185")</f>
        <v>0.000185</v>
      </c>
    </row>
    <row r="10488" spans="1:7">
      <c r="A10488" s="3"/>
      <c r="B10488" s="3"/>
      <c r="C10488" s="3"/>
      <c r="D10488" s="3"/>
      <c r="E10488" s="3">
        <v>5</v>
      </c>
      <c r="F10488" s="4" t="str">
        <f>HYPERLINK("http://141.218.60.56/~jnz1568/getInfo.php?workbook=10_05.xlsx&amp;sheet=U0&amp;row=10488&amp;col=6&amp;number=3.4&amp;sourceID=14","3.4")</f>
        <v>3.4</v>
      </c>
      <c r="G10488" s="4" t="str">
        <f>HYPERLINK("http://141.218.60.56/~jnz1568/getInfo.php?workbook=10_05.xlsx&amp;sheet=U0&amp;row=10488&amp;col=7&amp;number=0.000183&amp;sourceID=14","0.000183")</f>
        <v>0.000183</v>
      </c>
    </row>
    <row r="10489" spans="1:7">
      <c r="A10489" s="3"/>
      <c r="B10489" s="3"/>
      <c r="C10489" s="3"/>
      <c r="D10489" s="3"/>
      <c r="E10489" s="3">
        <v>6</v>
      </c>
      <c r="F10489" s="4" t="str">
        <f>HYPERLINK("http://141.218.60.56/~jnz1568/getInfo.php?workbook=10_05.xlsx&amp;sheet=U0&amp;row=10489&amp;col=6&amp;number=3.5&amp;sourceID=14","3.5")</f>
        <v>3.5</v>
      </c>
      <c r="G10489" s="4" t="str">
        <f>HYPERLINK("http://141.218.60.56/~jnz1568/getInfo.php?workbook=10_05.xlsx&amp;sheet=U0&amp;row=10489&amp;col=7&amp;number=0.000181&amp;sourceID=14","0.000181")</f>
        <v>0.000181</v>
      </c>
    </row>
    <row r="10490" spans="1:7">
      <c r="A10490" s="3"/>
      <c r="B10490" s="3"/>
      <c r="C10490" s="3"/>
      <c r="D10490" s="3"/>
      <c r="E10490" s="3">
        <v>7</v>
      </c>
      <c r="F10490" s="4" t="str">
        <f>HYPERLINK("http://141.218.60.56/~jnz1568/getInfo.php?workbook=10_05.xlsx&amp;sheet=U0&amp;row=10490&amp;col=6&amp;number=3.6&amp;sourceID=14","3.6")</f>
        <v>3.6</v>
      </c>
      <c r="G10490" s="4" t="str">
        <f>HYPERLINK("http://141.218.60.56/~jnz1568/getInfo.php?workbook=10_05.xlsx&amp;sheet=U0&amp;row=10490&amp;col=7&amp;number=0.000179&amp;sourceID=14","0.000179")</f>
        <v>0.000179</v>
      </c>
    </row>
    <row r="10491" spans="1:7">
      <c r="A10491" s="3"/>
      <c r="B10491" s="3"/>
      <c r="C10491" s="3"/>
      <c r="D10491" s="3"/>
      <c r="E10491" s="3">
        <v>8</v>
      </c>
      <c r="F10491" s="4" t="str">
        <f>HYPERLINK("http://141.218.60.56/~jnz1568/getInfo.php?workbook=10_05.xlsx&amp;sheet=U0&amp;row=10491&amp;col=6&amp;number=3.7&amp;sourceID=14","3.7")</f>
        <v>3.7</v>
      </c>
      <c r="G10491" s="4" t="str">
        <f>HYPERLINK("http://141.218.60.56/~jnz1568/getInfo.php?workbook=10_05.xlsx&amp;sheet=U0&amp;row=10491&amp;col=7&amp;number=0.000175&amp;sourceID=14","0.000175")</f>
        <v>0.000175</v>
      </c>
    </row>
    <row r="10492" spans="1:7">
      <c r="A10492" s="3"/>
      <c r="B10492" s="3"/>
      <c r="C10492" s="3"/>
      <c r="D10492" s="3"/>
      <c r="E10492" s="3">
        <v>9</v>
      </c>
      <c r="F10492" s="4" t="str">
        <f>HYPERLINK("http://141.218.60.56/~jnz1568/getInfo.php?workbook=10_05.xlsx&amp;sheet=U0&amp;row=10492&amp;col=6&amp;number=3.8&amp;sourceID=14","3.8")</f>
        <v>3.8</v>
      </c>
      <c r="G10492" s="4" t="str">
        <f>HYPERLINK("http://141.218.60.56/~jnz1568/getInfo.php?workbook=10_05.xlsx&amp;sheet=U0&amp;row=10492&amp;col=7&amp;number=0.000171&amp;sourceID=14","0.000171")</f>
        <v>0.000171</v>
      </c>
    </row>
    <row r="10493" spans="1:7">
      <c r="A10493" s="3"/>
      <c r="B10493" s="3"/>
      <c r="C10493" s="3"/>
      <c r="D10493" s="3"/>
      <c r="E10493" s="3">
        <v>10</v>
      </c>
      <c r="F10493" s="4" t="str">
        <f>HYPERLINK("http://141.218.60.56/~jnz1568/getInfo.php?workbook=10_05.xlsx&amp;sheet=U0&amp;row=10493&amp;col=6&amp;number=3.9&amp;sourceID=14","3.9")</f>
        <v>3.9</v>
      </c>
      <c r="G10493" s="4" t="str">
        <f>HYPERLINK("http://141.218.60.56/~jnz1568/getInfo.php?workbook=10_05.xlsx&amp;sheet=U0&amp;row=10493&amp;col=7&amp;number=0.000166&amp;sourceID=14","0.000166")</f>
        <v>0.000166</v>
      </c>
    </row>
    <row r="10494" spans="1:7">
      <c r="A10494" s="3"/>
      <c r="B10494" s="3"/>
      <c r="C10494" s="3"/>
      <c r="D10494" s="3"/>
      <c r="E10494" s="3">
        <v>11</v>
      </c>
      <c r="F10494" s="4" t="str">
        <f>HYPERLINK("http://141.218.60.56/~jnz1568/getInfo.php?workbook=10_05.xlsx&amp;sheet=U0&amp;row=10494&amp;col=6&amp;number=4&amp;sourceID=14","4")</f>
        <v>4</v>
      </c>
      <c r="G10494" s="4" t="str">
        <f>HYPERLINK("http://141.218.60.56/~jnz1568/getInfo.php?workbook=10_05.xlsx&amp;sheet=U0&amp;row=10494&amp;col=7&amp;number=0.00016&amp;sourceID=14","0.00016")</f>
        <v>0.00016</v>
      </c>
    </row>
    <row r="10495" spans="1:7">
      <c r="A10495" s="3"/>
      <c r="B10495" s="3"/>
      <c r="C10495" s="3"/>
      <c r="D10495" s="3"/>
      <c r="E10495" s="3">
        <v>12</v>
      </c>
      <c r="F10495" s="4" t="str">
        <f>HYPERLINK("http://141.218.60.56/~jnz1568/getInfo.php?workbook=10_05.xlsx&amp;sheet=U0&amp;row=10495&amp;col=6&amp;number=4.1&amp;sourceID=14","4.1")</f>
        <v>4.1</v>
      </c>
      <c r="G10495" s="4" t="str">
        <f>HYPERLINK("http://141.218.60.56/~jnz1568/getInfo.php?workbook=10_05.xlsx&amp;sheet=U0&amp;row=10495&amp;col=7&amp;number=0.000153&amp;sourceID=14","0.000153")</f>
        <v>0.000153</v>
      </c>
    </row>
    <row r="10496" spans="1:7">
      <c r="A10496" s="3"/>
      <c r="B10496" s="3"/>
      <c r="C10496" s="3"/>
      <c r="D10496" s="3"/>
      <c r="E10496" s="3">
        <v>13</v>
      </c>
      <c r="F10496" s="4" t="str">
        <f>HYPERLINK("http://141.218.60.56/~jnz1568/getInfo.php?workbook=10_05.xlsx&amp;sheet=U0&amp;row=10496&amp;col=6&amp;number=4.2&amp;sourceID=14","4.2")</f>
        <v>4.2</v>
      </c>
      <c r="G10496" s="4" t="str">
        <f>HYPERLINK("http://141.218.60.56/~jnz1568/getInfo.php?workbook=10_05.xlsx&amp;sheet=U0&amp;row=10496&amp;col=7&amp;number=0.000145&amp;sourceID=14","0.000145")</f>
        <v>0.000145</v>
      </c>
    </row>
    <row r="10497" spans="1:7">
      <c r="A10497" s="3"/>
      <c r="B10497" s="3"/>
      <c r="C10497" s="3"/>
      <c r="D10497" s="3"/>
      <c r="E10497" s="3">
        <v>14</v>
      </c>
      <c r="F10497" s="4" t="str">
        <f>HYPERLINK("http://141.218.60.56/~jnz1568/getInfo.php?workbook=10_05.xlsx&amp;sheet=U0&amp;row=10497&amp;col=6&amp;number=4.3&amp;sourceID=14","4.3")</f>
        <v>4.3</v>
      </c>
      <c r="G10497" s="4" t="str">
        <f>HYPERLINK("http://141.218.60.56/~jnz1568/getInfo.php?workbook=10_05.xlsx&amp;sheet=U0&amp;row=10497&amp;col=7&amp;number=0.000137&amp;sourceID=14","0.000137")</f>
        <v>0.000137</v>
      </c>
    </row>
    <row r="10498" spans="1:7">
      <c r="A10498" s="3"/>
      <c r="B10498" s="3"/>
      <c r="C10498" s="3"/>
      <c r="D10498" s="3"/>
      <c r="E10498" s="3">
        <v>15</v>
      </c>
      <c r="F10498" s="4" t="str">
        <f>HYPERLINK("http://141.218.60.56/~jnz1568/getInfo.php?workbook=10_05.xlsx&amp;sheet=U0&amp;row=10498&amp;col=6&amp;number=4.4&amp;sourceID=14","4.4")</f>
        <v>4.4</v>
      </c>
      <c r="G10498" s="4" t="str">
        <f>HYPERLINK("http://141.218.60.56/~jnz1568/getInfo.php?workbook=10_05.xlsx&amp;sheet=U0&amp;row=10498&amp;col=7&amp;number=0.000128&amp;sourceID=14","0.000128")</f>
        <v>0.000128</v>
      </c>
    </row>
    <row r="10499" spans="1:7">
      <c r="A10499" s="3"/>
      <c r="B10499" s="3"/>
      <c r="C10499" s="3"/>
      <c r="D10499" s="3"/>
      <c r="E10499" s="3">
        <v>16</v>
      </c>
      <c r="F10499" s="4" t="str">
        <f>HYPERLINK("http://141.218.60.56/~jnz1568/getInfo.php?workbook=10_05.xlsx&amp;sheet=U0&amp;row=10499&amp;col=6&amp;number=4.5&amp;sourceID=14","4.5")</f>
        <v>4.5</v>
      </c>
      <c r="G10499" s="4" t="str">
        <f>HYPERLINK("http://141.218.60.56/~jnz1568/getInfo.php?workbook=10_05.xlsx&amp;sheet=U0&amp;row=10499&amp;col=7&amp;number=0.00012&amp;sourceID=14","0.00012")</f>
        <v>0.00012</v>
      </c>
    </row>
    <row r="10500" spans="1:7">
      <c r="A10500" s="3"/>
      <c r="B10500" s="3"/>
      <c r="C10500" s="3"/>
      <c r="D10500" s="3"/>
      <c r="E10500" s="3">
        <v>17</v>
      </c>
      <c r="F10500" s="4" t="str">
        <f>HYPERLINK("http://141.218.60.56/~jnz1568/getInfo.php?workbook=10_05.xlsx&amp;sheet=U0&amp;row=10500&amp;col=6&amp;number=4.6&amp;sourceID=14","4.6")</f>
        <v>4.6</v>
      </c>
      <c r="G10500" s="4" t="str">
        <f>HYPERLINK("http://141.218.60.56/~jnz1568/getInfo.php?workbook=10_05.xlsx&amp;sheet=U0&amp;row=10500&amp;col=7&amp;number=0.000113&amp;sourceID=14","0.000113")</f>
        <v>0.000113</v>
      </c>
    </row>
    <row r="10501" spans="1:7">
      <c r="A10501" s="3"/>
      <c r="B10501" s="3"/>
      <c r="C10501" s="3"/>
      <c r="D10501" s="3"/>
      <c r="E10501" s="3">
        <v>18</v>
      </c>
      <c r="F10501" s="4" t="str">
        <f>HYPERLINK("http://141.218.60.56/~jnz1568/getInfo.php?workbook=10_05.xlsx&amp;sheet=U0&amp;row=10501&amp;col=6&amp;number=4.7&amp;sourceID=14","4.7")</f>
        <v>4.7</v>
      </c>
      <c r="G10501" s="4" t="str">
        <f>HYPERLINK("http://141.218.60.56/~jnz1568/getInfo.php?workbook=10_05.xlsx&amp;sheet=U0&amp;row=10501&amp;col=7&amp;number=0.000107&amp;sourceID=14","0.000107")</f>
        <v>0.000107</v>
      </c>
    </row>
    <row r="10502" spans="1:7">
      <c r="A10502" s="3"/>
      <c r="B10502" s="3"/>
      <c r="C10502" s="3"/>
      <c r="D10502" s="3"/>
      <c r="E10502" s="3">
        <v>19</v>
      </c>
      <c r="F10502" s="4" t="str">
        <f>HYPERLINK("http://141.218.60.56/~jnz1568/getInfo.php?workbook=10_05.xlsx&amp;sheet=U0&amp;row=10502&amp;col=6&amp;number=4.8&amp;sourceID=14","4.8")</f>
        <v>4.8</v>
      </c>
      <c r="G10502" s="4" t="str">
        <f>HYPERLINK("http://141.218.60.56/~jnz1568/getInfo.php?workbook=10_05.xlsx&amp;sheet=U0&amp;row=10502&amp;col=7&amp;number=0.000101&amp;sourceID=14","0.000101")</f>
        <v>0.000101</v>
      </c>
    </row>
    <row r="10503" spans="1:7">
      <c r="A10503" s="3"/>
      <c r="B10503" s="3"/>
      <c r="C10503" s="3"/>
      <c r="D10503" s="3"/>
      <c r="E10503" s="3">
        <v>20</v>
      </c>
      <c r="F10503" s="4" t="str">
        <f>HYPERLINK("http://141.218.60.56/~jnz1568/getInfo.php?workbook=10_05.xlsx&amp;sheet=U0&amp;row=10503&amp;col=6&amp;number=4.9&amp;sourceID=14","4.9")</f>
        <v>4.9</v>
      </c>
      <c r="G10503" s="4" t="str">
        <f>HYPERLINK("http://141.218.60.56/~jnz1568/getInfo.php?workbook=10_05.xlsx&amp;sheet=U0&amp;row=10503&amp;col=7&amp;number=9.52e-05&amp;sourceID=14","9.52e-05")</f>
        <v>9.52e-05</v>
      </c>
    </row>
    <row r="10504" spans="1:7">
      <c r="A10504" s="3">
        <v>10</v>
      </c>
      <c r="B10504" s="3">
        <v>5</v>
      </c>
      <c r="C10504" s="3">
        <v>3</v>
      </c>
      <c r="D10504" s="3">
        <v>172</v>
      </c>
      <c r="E10504" s="3">
        <v>1</v>
      </c>
      <c r="F10504" s="4" t="str">
        <f>HYPERLINK("http://141.218.60.56/~jnz1568/getInfo.php?workbook=10_05.xlsx&amp;sheet=U0&amp;row=10504&amp;col=6&amp;number=3&amp;sourceID=14","3")</f>
        <v>3</v>
      </c>
      <c r="G10504" s="4" t="str">
        <f>HYPERLINK("http://141.218.60.56/~jnz1568/getInfo.php?workbook=10_05.xlsx&amp;sheet=U0&amp;row=10504&amp;col=7&amp;number=0.00022&amp;sourceID=14","0.00022")</f>
        <v>0.00022</v>
      </c>
    </row>
    <row r="10505" spans="1:7">
      <c r="A10505" s="3"/>
      <c r="B10505" s="3"/>
      <c r="C10505" s="3"/>
      <c r="D10505" s="3"/>
      <c r="E10505" s="3">
        <v>2</v>
      </c>
      <c r="F10505" s="4" t="str">
        <f>HYPERLINK("http://141.218.60.56/~jnz1568/getInfo.php?workbook=10_05.xlsx&amp;sheet=U0&amp;row=10505&amp;col=6&amp;number=3.1&amp;sourceID=14","3.1")</f>
        <v>3.1</v>
      </c>
      <c r="G10505" s="4" t="str">
        <f>HYPERLINK("http://141.218.60.56/~jnz1568/getInfo.php?workbook=10_05.xlsx&amp;sheet=U0&amp;row=10505&amp;col=7&amp;number=0.000219&amp;sourceID=14","0.000219")</f>
        <v>0.000219</v>
      </c>
    </row>
    <row r="10506" spans="1:7">
      <c r="A10506" s="3"/>
      <c r="B10506" s="3"/>
      <c r="C10506" s="3"/>
      <c r="D10506" s="3"/>
      <c r="E10506" s="3">
        <v>3</v>
      </c>
      <c r="F10506" s="4" t="str">
        <f>HYPERLINK("http://141.218.60.56/~jnz1568/getInfo.php?workbook=10_05.xlsx&amp;sheet=U0&amp;row=10506&amp;col=6&amp;number=3.2&amp;sourceID=14","3.2")</f>
        <v>3.2</v>
      </c>
      <c r="G10506" s="4" t="str">
        <f>HYPERLINK("http://141.218.60.56/~jnz1568/getInfo.php?workbook=10_05.xlsx&amp;sheet=U0&amp;row=10506&amp;col=7&amp;number=0.000218&amp;sourceID=14","0.000218")</f>
        <v>0.000218</v>
      </c>
    </row>
    <row r="10507" spans="1:7">
      <c r="A10507" s="3"/>
      <c r="B10507" s="3"/>
      <c r="C10507" s="3"/>
      <c r="D10507" s="3"/>
      <c r="E10507" s="3">
        <v>4</v>
      </c>
      <c r="F10507" s="4" t="str">
        <f>HYPERLINK("http://141.218.60.56/~jnz1568/getInfo.php?workbook=10_05.xlsx&amp;sheet=U0&amp;row=10507&amp;col=6&amp;number=3.3&amp;sourceID=14","3.3")</f>
        <v>3.3</v>
      </c>
      <c r="G10507" s="4" t="str">
        <f>HYPERLINK("http://141.218.60.56/~jnz1568/getInfo.php?workbook=10_05.xlsx&amp;sheet=U0&amp;row=10507&amp;col=7&amp;number=0.000217&amp;sourceID=14","0.000217")</f>
        <v>0.000217</v>
      </c>
    </row>
    <row r="10508" spans="1:7">
      <c r="A10508" s="3"/>
      <c r="B10508" s="3"/>
      <c r="C10508" s="3"/>
      <c r="D10508" s="3"/>
      <c r="E10508" s="3">
        <v>5</v>
      </c>
      <c r="F10508" s="4" t="str">
        <f>HYPERLINK("http://141.218.60.56/~jnz1568/getInfo.php?workbook=10_05.xlsx&amp;sheet=U0&amp;row=10508&amp;col=6&amp;number=3.4&amp;sourceID=14","3.4")</f>
        <v>3.4</v>
      </c>
      <c r="G10508" s="4" t="str">
        <f>HYPERLINK("http://141.218.60.56/~jnz1568/getInfo.php?workbook=10_05.xlsx&amp;sheet=U0&amp;row=10508&amp;col=7&amp;number=0.000215&amp;sourceID=14","0.000215")</f>
        <v>0.000215</v>
      </c>
    </row>
    <row r="10509" spans="1:7">
      <c r="A10509" s="3"/>
      <c r="B10509" s="3"/>
      <c r="C10509" s="3"/>
      <c r="D10509" s="3"/>
      <c r="E10509" s="3">
        <v>6</v>
      </c>
      <c r="F10509" s="4" t="str">
        <f>HYPERLINK("http://141.218.60.56/~jnz1568/getInfo.php?workbook=10_05.xlsx&amp;sheet=U0&amp;row=10509&amp;col=6&amp;number=3.5&amp;sourceID=14","3.5")</f>
        <v>3.5</v>
      </c>
      <c r="G10509" s="4" t="str">
        <f>HYPERLINK("http://141.218.60.56/~jnz1568/getInfo.php?workbook=10_05.xlsx&amp;sheet=U0&amp;row=10509&amp;col=7&amp;number=0.000213&amp;sourceID=14","0.000213")</f>
        <v>0.000213</v>
      </c>
    </row>
    <row r="10510" spans="1:7">
      <c r="A10510" s="3"/>
      <c r="B10510" s="3"/>
      <c r="C10510" s="3"/>
      <c r="D10510" s="3"/>
      <c r="E10510" s="3">
        <v>7</v>
      </c>
      <c r="F10510" s="4" t="str">
        <f>HYPERLINK("http://141.218.60.56/~jnz1568/getInfo.php?workbook=10_05.xlsx&amp;sheet=U0&amp;row=10510&amp;col=6&amp;number=3.6&amp;sourceID=14","3.6")</f>
        <v>3.6</v>
      </c>
      <c r="G10510" s="4" t="str">
        <f>HYPERLINK("http://141.218.60.56/~jnz1568/getInfo.php?workbook=10_05.xlsx&amp;sheet=U0&amp;row=10510&amp;col=7&amp;number=0.00021&amp;sourceID=14","0.00021")</f>
        <v>0.00021</v>
      </c>
    </row>
    <row r="10511" spans="1:7">
      <c r="A10511" s="3"/>
      <c r="B10511" s="3"/>
      <c r="C10511" s="3"/>
      <c r="D10511" s="3"/>
      <c r="E10511" s="3">
        <v>8</v>
      </c>
      <c r="F10511" s="4" t="str">
        <f>HYPERLINK("http://141.218.60.56/~jnz1568/getInfo.php?workbook=10_05.xlsx&amp;sheet=U0&amp;row=10511&amp;col=6&amp;number=3.7&amp;sourceID=14","3.7")</f>
        <v>3.7</v>
      </c>
      <c r="G10511" s="4" t="str">
        <f>HYPERLINK("http://141.218.60.56/~jnz1568/getInfo.php?workbook=10_05.xlsx&amp;sheet=U0&amp;row=10511&amp;col=7&amp;number=0.000207&amp;sourceID=14","0.000207")</f>
        <v>0.000207</v>
      </c>
    </row>
    <row r="10512" spans="1:7">
      <c r="A10512" s="3"/>
      <c r="B10512" s="3"/>
      <c r="C10512" s="3"/>
      <c r="D10512" s="3"/>
      <c r="E10512" s="3">
        <v>9</v>
      </c>
      <c r="F10512" s="4" t="str">
        <f>HYPERLINK("http://141.218.60.56/~jnz1568/getInfo.php?workbook=10_05.xlsx&amp;sheet=U0&amp;row=10512&amp;col=6&amp;number=3.8&amp;sourceID=14","3.8")</f>
        <v>3.8</v>
      </c>
      <c r="G10512" s="4" t="str">
        <f>HYPERLINK("http://141.218.60.56/~jnz1568/getInfo.php?workbook=10_05.xlsx&amp;sheet=U0&amp;row=10512&amp;col=7&amp;number=0.000203&amp;sourceID=14","0.000203")</f>
        <v>0.000203</v>
      </c>
    </row>
    <row r="10513" spans="1:7">
      <c r="A10513" s="3"/>
      <c r="B10513" s="3"/>
      <c r="C10513" s="3"/>
      <c r="D10513" s="3"/>
      <c r="E10513" s="3">
        <v>10</v>
      </c>
      <c r="F10513" s="4" t="str">
        <f>HYPERLINK("http://141.218.60.56/~jnz1568/getInfo.php?workbook=10_05.xlsx&amp;sheet=U0&amp;row=10513&amp;col=6&amp;number=3.9&amp;sourceID=14","3.9")</f>
        <v>3.9</v>
      </c>
      <c r="G10513" s="4" t="str">
        <f>HYPERLINK("http://141.218.60.56/~jnz1568/getInfo.php?workbook=10_05.xlsx&amp;sheet=U0&amp;row=10513&amp;col=7&amp;number=0.000199&amp;sourceID=14","0.000199")</f>
        <v>0.000199</v>
      </c>
    </row>
    <row r="10514" spans="1:7">
      <c r="A10514" s="3"/>
      <c r="B10514" s="3"/>
      <c r="C10514" s="3"/>
      <c r="D10514" s="3"/>
      <c r="E10514" s="3">
        <v>11</v>
      </c>
      <c r="F10514" s="4" t="str">
        <f>HYPERLINK("http://141.218.60.56/~jnz1568/getInfo.php?workbook=10_05.xlsx&amp;sheet=U0&amp;row=10514&amp;col=6&amp;number=4&amp;sourceID=14","4")</f>
        <v>4</v>
      </c>
      <c r="G10514" s="4" t="str">
        <f>HYPERLINK("http://141.218.60.56/~jnz1568/getInfo.php?workbook=10_05.xlsx&amp;sheet=U0&amp;row=10514&amp;col=7&amp;number=0.000193&amp;sourceID=14","0.000193")</f>
        <v>0.000193</v>
      </c>
    </row>
    <row r="10515" spans="1:7">
      <c r="A10515" s="3"/>
      <c r="B10515" s="3"/>
      <c r="C10515" s="3"/>
      <c r="D10515" s="3"/>
      <c r="E10515" s="3">
        <v>12</v>
      </c>
      <c r="F10515" s="4" t="str">
        <f>HYPERLINK("http://141.218.60.56/~jnz1568/getInfo.php?workbook=10_05.xlsx&amp;sheet=U0&amp;row=10515&amp;col=6&amp;number=4.1&amp;sourceID=14","4.1")</f>
        <v>4.1</v>
      </c>
      <c r="G10515" s="4" t="str">
        <f>HYPERLINK("http://141.218.60.56/~jnz1568/getInfo.php?workbook=10_05.xlsx&amp;sheet=U0&amp;row=10515&amp;col=7&amp;number=0.000186&amp;sourceID=14","0.000186")</f>
        <v>0.000186</v>
      </c>
    </row>
    <row r="10516" spans="1:7">
      <c r="A10516" s="3"/>
      <c r="B10516" s="3"/>
      <c r="C10516" s="3"/>
      <c r="D10516" s="3"/>
      <c r="E10516" s="3">
        <v>13</v>
      </c>
      <c r="F10516" s="4" t="str">
        <f>HYPERLINK("http://141.218.60.56/~jnz1568/getInfo.php?workbook=10_05.xlsx&amp;sheet=U0&amp;row=10516&amp;col=6&amp;number=4.2&amp;sourceID=14","4.2")</f>
        <v>4.2</v>
      </c>
      <c r="G10516" s="4" t="str">
        <f>HYPERLINK("http://141.218.60.56/~jnz1568/getInfo.php?workbook=10_05.xlsx&amp;sheet=U0&amp;row=10516&amp;col=7&amp;number=0.000179&amp;sourceID=14","0.000179")</f>
        <v>0.000179</v>
      </c>
    </row>
    <row r="10517" spans="1:7">
      <c r="A10517" s="3"/>
      <c r="B10517" s="3"/>
      <c r="C10517" s="3"/>
      <c r="D10517" s="3"/>
      <c r="E10517" s="3">
        <v>14</v>
      </c>
      <c r="F10517" s="4" t="str">
        <f>HYPERLINK("http://141.218.60.56/~jnz1568/getInfo.php?workbook=10_05.xlsx&amp;sheet=U0&amp;row=10517&amp;col=6&amp;number=4.3&amp;sourceID=14","4.3")</f>
        <v>4.3</v>
      </c>
      <c r="G10517" s="4" t="str">
        <f>HYPERLINK("http://141.218.60.56/~jnz1568/getInfo.php?workbook=10_05.xlsx&amp;sheet=U0&amp;row=10517&amp;col=7&amp;number=0.00017&amp;sourceID=14","0.00017")</f>
        <v>0.00017</v>
      </c>
    </row>
    <row r="10518" spans="1:7">
      <c r="A10518" s="3"/>
      <c r="B10518" s="3"/>
      <c r="C10518" s="3"/>
      <c r="D10518" s="3"/>
      <c r="E10518" s="3">
        <v>15</v>
      </c>
      <c r="F10518" s="4" t="str">
        <f>HYPERLINK("http://141.218.60.56/~jnz1568/getInfo.php?workbook=10_05.xlsx&amp;sheet=U0&amp;row=10518&amp;col=6&amp;number=4.4&amp;sourceID=14","4.4")</f>
        <v>4.4</v>
      </c>
      <c r="G10518" s="4" t="str">
        <f>HYPERLINK("http://141.218.60.56/~jnz1568/getInfo.php?workbook=10_05.xlsx&amp;sheet=U0&amp;row=10518&amp;col=7&amp;number=0.000162&amp;sourceID=14","0.000162")</f>
        <v>0.000162</v>
      </c>
    </row>
    <row r="10519" spans="1:7">
      <c r="A10519" s="3"/>
      <c r="B10519" s="3"/>
      <c r="C10519" s="3"/>
      <c r="D10519" s="3"/>
      <c r="E10519" s="3">
        <v>16</v>
      </c>
      <c r="F10519" s="4" t="str">
        <f>HYPERLINK("http://141.218.60.56/~jnz1568/getInfo.php?workbook=10_05.xlsx&amp;sheet=U0&amp;row=10519&amp;col=6&amp;number=4.5&amp;sourceID=14","4.5")</f>
        <v>4.5</v>
      </c>
      <c r="G10519" s="4" t="str">
        <f>HYPERLINK("http://141.218.60.56/~jnz1568/getInfo.php?workbook=10_05.xlsx&amp;sheet=U0&amp;row=10519&amp;col=7&amp;number=0.000155&amp;sourceID=14","0.000155")</f>
        <v>0.000155</v>
      </c>
    </row>
    <row r="10520" spans="1:7">
      <c r="A10520" s="3"/>
      <c r="B10520" s="3"/>
      <c r="C10520" s="3"/>
      <c r="D10520" s="3"/>
      <c r="E10520" s="3">
        <v>17</v>
      </c>
      <c r="F10520" s="4" t="str">
        <f>HYPERLINK("http://141.218.60.56/~jnz1568/getInfo.php?workbook=10_05.xlsx&amp;sheet=U0&amp;row=10520&amp;col=6&amp;number=4.6&amp;sourceID=14","4.6")</f>
        <v>4.6</v>
      </c>
      <c r="G10520" s="4" t="str">
        <f>HYPERLINK("http://141.218.60.56/~jnz1568/getInfo.php?workbook=10_05.xlsx&amp;sheet=U0&amp;row=10520&amp;col=7&amp;number=0.000149&amp;sourceID=14","0.000149")</f>
        <v>0.000149</v>
      </c>
    </row>
    <row r="10521" spans="1:7">
      <c r="A10521" s="3"/>
      <c r="B10521" s="3"/>
      <c r="C10521" s="3"/>
      <c r="D10521" s="3"/>
      <c r="E10521" s="3">
        <v>18</v>
      </c>
      <c r="F10521" s="4" t="str">
        <f>HYPERLINK("http://141.218.60.56/~jnz1568/getInfo.php?workbook=10_05.xlsx&amp;sheet=U0&amp;row=10521&amp;col=6&amp;number=4.7&amp;sourceID=14","4.7")</f>
        <v>4.7</v>
      </c>
      <c r="G10521" s="4" t="str">
        <f>HYPERLINK("http://141.218.60.56/~jnz1568/getInfo.php?workbook=10_05.xlsx&amp;sheet=U0&amp;row=10521&amp;col=7&amp;number=0.000144&amp;sourceID=14","0.000144")</f>
        <v>0.000144</v>
      </c>
    </row>
    <row r="10522" spans="1:7">
      <c r="A10522" s="3"/>
      <c r="B10522" s="3"/>
      <c r="C10522" s="3"/>
      <c r="D10522" s="3"/>
      <c r="E10522" s="3">
        <v>19</v>
      </c>
      <c r="F10522" s="4" t="str">
        <f>HYPERLINK("http://141.218.60.56/~jnz1568/getInfo.php?workbook=10_05.xlsx&amp;sheet=U0&amp;row=10522&amp;col=6&amp;number=4.8&amp;sourceID=14","4.8")</f>
        <v>4.8</v>
      </c>
      <c r="G10522" s="4" t="str">
        <f>HYPERLINK("http://141.218.60.56/~jnz1568/getInfo.php?workbook=10_05.xlsx&amp;sheet=U0&amp;row=10522&amp;col=7&amp;number=0.000139&amp;sourceID=14","0.000139")</f>
        <v>0.000139</v>
      </c>
    </row>
    <row r="10523" spans="1:7">
      <c r="A10523" s="3"/>
      <c r="B10523" s="3"/>
      <c r="C10523" s="3"/>
      <c r="D10523" s="3"/>
      <c r="E10523" s="3">
        <v>20</v>
      </c>
      <c r="F10523" s="4" t="str">
        <f>HYPERLINK("http://141.218.60.56/~jnz1568/getInfo.php?workbook=10_05.xlsx&amp;sheet=U0&amp;row=10523&amp;col=6&amp;number=4.9&amp;sourceID=14","4.9")</f>
        <v>4.9</v>
      </c>
      <c r="G10523" s="4" t="str">
        <f>HYPERLINK("http://141.218.60.56/~jnz1568/getInfo.php?workbook=10_05.xlsx&amp;sheet=U0&amp;row=10523&amp;col=7&amp;number=0.000133&amp;sourceID=14","0.000133")</f>
        <v>0.000133</v>
      </c>
    </row>
    <row r="10524" spans="1:7">
      <c r="A10524" s="3">
        <v>10</v>
      </c>
      <c r="B10524" s="3">
        <v>5</v>
      </c>
      <c r="C10524" s="3">
        <v>3</v>
      </c>
      <c r="D10524" s="3">
        <v>173</v>
      </c>
      <c r="E10524" s="3">
        <v>1</v>
      </c>
      <c r="F10524" s="4" t="str">
        <f>HYPERLINK("http://141.218.60.56/~jnz1568/getInfo.php?workbook=10_05.xlsx&amp;sheet=U0&amp;row=10524&amp;col=6&amp;number=3&amp;sourceID=14","3")</f>
        <v>3</v>
      </c>
      <c r="G10524" s="4" t="str">
        <f>HYPERLINK("http://141.218.60.56/~jnz1568/getInfo.php?workbook=10_05.xlsx&amp;sheet=U0&amp;row=10524&amp;col=7&amp;number=0.000177&amp;sourceID=14","0.000177")</f>
        <v>0.000177</v>
      </c>
    </row>
    <row r="10525" spans="1:7">
      <c r="A10525" s="3"/>
      <c r="B10525" s="3"/>
      <c r="C10525" s="3"/>
      <c r="D10525" s="3"/>
      <c r="E10525" s="3">
        <v>2</v>
      </c>
      <c r="F10525" s="4" t="str">
        <f>HYPERLINK("http://141.218.60.56/~jnz1568/getInfo.php?workbook=10_05.xlsx&amp;sheet=U0&amp;row=10525&amp;col=6&amp;number=3.1&amp;sourceID=14","3.1")</f>
        <v>3.1</v>
      </c>
      <c r="G10525" s="4" t="str">
        <f>HYPERLINK("http://141.218.60.56/~jnz1568/getInfo.php?workbook=10_05.xlsx&amp;sheet=U0&amp;row=10525&amp;col=7&amp;number=0.000176&amp;sourceID=14","0.000176")</f>
        <v>0.000176</v>
      </c>
    </row>
    <row r="10526" spans="1:7">
      <c r="A10526" s="3"/>
      <c r="B10526" s="3"/>
      <c r="C10526" s="3"/>
      <c r="D10526" s="3"/>
      <c r="E10526" s="3">
        <v>3</v>
      </c>
      <c r="F10526" s="4" t="str">
        <f>HYPERLINK("http://141.218.60.56/~jnz1568/getInfo.php?workbook=10_05.xlsx&amp;sheet=U0&amp;row=10526&amp;col=6&amp;number=3.2&amp;sourceID=14","3.2")</f>
        <v>3.2</v>
      </c>
      <c r="G10526" s="4" t="str">
        <f>HYPERLINK("http://141.218.60.56/~jnz1568/getInfo.php?workbook=10_05.xlsx&amp;sheet=U0&amp;row=10526&amp;col=7&amp;number=0.000175&amp;sourceID=14","0.000175")</f>
        <v>0.000175</v>
      </c>
    </row>
    <row r="10527" spans="1:7">
      <c r="A10527" s="3"/>
      <c r="B10527" s="3"/>
      <c r="C10527" s="3"/>
      <c r="D10527" s="3"/>
      <c r="E10527" s="3">
        <v>4</v>
      </c>
      <c r="F10527" s="4" t="str">
        <f>HYPERLINK("http://141.218.60.56/~jnz1568/getInfo.php?workbook=10_05.xlsx&amp;sheet=U0&amp;row=10527&amp;col=6&amp;number=3.3&amp;sourceID=14","3.3")</f>
        <v>3.3</v>
      </c>
      <c r="G10527" s="4" t="str">
        <f>HYPERLINK("http://141.218.60.56/~jnz1568/getInfo.php?workbook=10_05.xlsx&amp;sheet=U0&amp;row=10527&amp;col=7&amp;number=0.000174&amp;sourceID=14","0.000174")</f>
        <v>0.000174</v>
      </c>
    </row>
    <row r="10528" spans="1:7">
      <c r="A10528" s="3"/>
      <c r="B10528" s="3"/>
      <c r="C10528" s="3"/>
      <c r="D10528" s="3"/>
      <c r="E10528" s="3">
        <v>5</v>
      </c>
      <c r="F10528" s="4" t="str">
        <f>HYPERLINK("http://141.218.60.56/~jnz1568/getInfo.php?workbook=10_05.xlsx&amp;sheet=U0&amp;row=10528&amp;col=6&amp;number=3.4&amp;sourceID=14","3.4")</f>
        <v>3.4</v>
      </c>
      <c r="G10528" s="4" t="str">
        <f>HYPERLINK("http://141.218.60.56/~jnz1568/getInfo.php?workbook=10_05.xlsx&amp;sheet=U0&amp;row=10528&amp;col=7&amp;number=0.000172&amp;sourceID=14","0.000172")</f>
        <v>0.000172</v>
      </c>
    </row>
    <row r="10529" spans="1:7">
      <c r="A10529" s="3"/>
      <c r="B10529" s="3"/>
      <c r="C10529" s="3"/>
      <c r="D10529" s="3"/>
      <c r="E10529" s="3">
        <v>6</v>
      </c>
      <c r="F10529" s="4" t="str">
        <f>HYPERLINK("http://141.218.60.56/~jnz1568/getInfo.php?workbook=10_05.xlsx&amp;sheet=U0&amp;row=10529&amp;col=6&amp;number=3.5&amp;sourceID=14","3.5")</f>
        <v>3.5</v>
      </c>
      <c r="G10529" s="4" t="str">
        <f>HYPERLINK("http://141.218.60.56/~jnz1568/getInfo.php?workbook=10_05.xlsx&amp;sheet=U0&amp;row=10529&amp;col=7&amp;number=0.00017&amp;sourceID=14","0.00017")</f>
        <v>0.00017</v>
      </c>
    </row>
    <row r="10530" spans="1:7">
      <c r="A10530" s="3"/>
      <c r="B10530" s="3"/>
      <c r="C10530" s="3"/>
      <c r="D10530" s="3"/>
      <c r="E10530" s="3">
        <v>7</v>
      </c>
      <c r="F10530" s="4" t="str">
        <f>HYPERLINK("http://141.218.60.56/~jnz1568/getInfo.php?workbook=10_05.xlsx&amp;sheet=U0&amp;row=10530&amp;col=6&amp;number=3.6&amp;sourceID=14","3.6")</f>
        <v>3.6</v>
      </c>
      <c r="G10530" s="4" t="str">
        <f>HYPERLINK("http://141.218.60.56/~jnz1568/getInfo.php?workbook=10_05.xlsx&amp;sheet=U0&amp;row=10530&amp;col=7&amp;number=0.000168&amp;sourceID=14","0.000168")</f>
        <v>0.000168</v>
      </c>
    </row>
    <row r="10531" spans="1:7">
      <c r="A10531" s="3"/>
      <c r="B10531" s="3"/>
      <c r="C10531" s="3"/>
      <c r="D10531" s="3"/>
      <c r="E10531" s="3">
        <v>8</v>
      </c>
      <c r="F10531" s="4" t="str">
        <f>HYPERLINK("http://141.218.60.56/~jnz1568/getInfo.php?workbook=10_05.xlsx&amp;sheet=U0&amp;row=10531&amp;col=6&amp;number=3.7&amp;sourceID=14","3.7")</f>
        <v>3.7</v>
      </c>
      <c r="G10531" s="4" t="str">
        <f>HYPERLINK("http://141.218.60.56/~jnz1568/getInfo.php?workbook=10_05.xlsx&amp;sheet=U0&amp;row=10531&amp;col=7&amp;number=0.000164&amp;sourceID=14","0.000164")</f>
        <v>0.000164</v>
      </c>
    </row>
    <row r="10532" spans="1:7">
      <c r="A10532" s="3"/>
      <c r="B10532" s="3"/>
      <c r="C10532" s="3"/>
      <c r="D10532" s="3"/>
      <c r="E10532" s="3">
        <v>9</v>
      </c>
      <c r="F10532" s="4" t="str">
        <f>HYPERLINK("http://141.218.60.56/~jnz1568/getInfo.php?workbook=10_05.xlsx&amp;sheet=U0&amp;row=10532&amp;col=6&amp;number=3.8&amp;sourceID=14","3.8")</f>
        <v>3.8</v>
      </c>
      <c r="G10532" s="4" t="str">
        <f>HYPERLINK("http://141.218.60.56/~jnz1568/getInfo.php?workbook=10_05.xlsx&amp;sheet=U0&amp;row=10532&amp;col=7&amp;number=0.000161&amp;sourceID=14","0.000161")</f>
        <v>0.000161</v>
      </c>
    </row>
    <row r="10533" spans="1:7">
      <c r="A10533" s="3"/>
      <c r="B10533" s="3"/>
      <c r="C10533" s="3"/>
      <c r="D10533" s="3"/>
      <c r="E10533" s="3">
        <v>10</v>
      </c>
      <c r="F10533" s="4" t="str">
        <f>HYPERLINK("http://141.218.60.56/~jnz1568/getInfo.php?workbook=10_05.xlsx&amp;sheet=U0&amp;row=10533&amp;col=6&amp;number=3.9&amp;sourceID=14","3.9")</f>
        <v>3.9</v>
      </c>
      <c r="G10533" s="4" t="str">
        <f>HYPERLINK("http://141.218.60.56/~jnz1568/getInfo.php?workbook=10_05.xlsx&amp;sheet=U0&amp;row=10533&amp;col=7&amp;number=0.000156&amp;sourceID=14","0.000156")</f>
        <v>0.000156</v>
      </c>
    </row>
    <row r="10534" spans="1:7">
      <c r="A10534" s="3"/>
      <c r="B10534" s="3"/>
      <c r="C10534" s="3"/>
      <c r="D10534" s="3"/>
      <c r="E10534" s="3">
        <v>11</v>
      </c>
      <c r="F10534" s="4" t="str">
        <f>HYPERLINK("http://141.218.60.56/~jnz1568/getInfo.php?workbook=10_05.xlsx&amp;sheet=U0&amp;row=10534&amp;col=6&amp;number=4&amp;sourceID=14","4")</f>
        <v>4</v>
      </c>
      <c r="G10534" s="4" t="str">
        <f>HYPERLINK("http://141.218.60.56/~jnz1568/getInfo.php?workbook=10_05.xlsx&amp;sheet=U0&amp;row=10534&amp;col=7&amp;number=0.00015&amp;sourceID=14","0.00015")</f>
        <v>0.00015</v>
      </c>
    </row>
    <row r="10535" spans="1:7">
      <c r="A10535" s="3"/>
      <c r="B10535" s="3"/>
      <c r="C10535" s="3"/>
      <c r="D10535" s="3"/>
      <c r="E10535" s="3">
        <v>12</v>
      </c>
      <c r="F10535" s="4" t="str">
        <f>HYPERLINK("http://141.218.60.56/~jnz1568/getInfo.php?workbook=10_05.xlsx&amp;sheet=U0&amp;row=10535&amp;col=6&amp;number=4.1&amp;sourceID=14","4.1")</f>
        <v>4.1</v>
      </c>
      <c r="G10535" s="4" t="str">
        <f>HYPERLINK("http://141.218.60.56/~jnz1568/getInfo.php?workbook=10_05.xlsx&amp;sheet=U0&amp;row=10535&amp;col=7&amp;number=0.000144&amp;sourceID=14","0.000144")</f>
        <v>0.000144</v>
      </c>
    </row>
    <row r="10536" spans="1:7">
      <c r="A10536" s="3"/>
      <c r="B10536" s="3"/>
      <c r="C10536" s="3"/>
      <c r="D10536" s="3"/>
      <c r="E10536" s="3">
        <v>13</v>
      </c>
      <c r="F10536" s="4" t="str">
        <f>HYPERLINK("http://141.218.60.56/~jnz1568/getInfo.php?workbook=10_05.xlsx&amp;sheet=U0&amp;row=10536&amp;col=6&amp;number=4.2&amp;sourceID=14","4.2")</f>
        <v>4.2</v>
      </c>
      <c r="G10536" s="4" t="str">
        <f>HYPERLINK("http://141.218.60.56/~jnz1568/getInfo.php?workbook=10_05.xlsx&amp;sheet=U0&amp;row=10536&amp;col=7&amp;number=0.000137&amp;sourceID=14","0.000137")</f>
        <v>0.000137</v>
      </c>
    </row>
    <row r="10537" spans="1:7">
      <c r="A10537" s="3"/>
      <c r="B10537" s="3"/>
      <c r="C10537" s="3"/>
      <c r="D10537" s="3"/>
      <c r="E10537" s="3">
        <v>14</v>
      </c>
      <c r="F10537" s="4" t="str">
        <f>HYPERLINK("http://141.218.60.56/~jnz1568/getInfo.php?workbook=10_05.xlsx&amp;sheet=U0&amp;row=10537&amp;col=6&amp;number=4.3&amp;sourceID=14","4.3")</f>
        <v>4.3</v>
      </c>
      <c r="G10537" s="4" t="str">
        <f>HYPERLINK("http://141.218.60.56/~jnz1568/getInfo.php?workbook=10_05.xlsx&amp;sheet=U0&amp;row=10537&amp;col=7&amp;number=0.000129&amp;sourceID=14","0.000129")</f>
        <v>0.000129</v>
      </c>
    </row>
    <row r="10538" spans="1:7">
      <c r="A10538" s="3"/>
      <c r="B10538" s="3"/>
      <c r="C10538" s="3"/>
      <c r="D10538" s="3"/>
      <c r="E10538" s="3">
        <v>15</v>
      </c>
      <c r="F10538" s="4" t="str">
        <f>HYPERLINK("http://141.218.60.56/~jnz1568/getInfo.php?workbook=10_05.xlsx&amp;sheet=U0&amp;row=10538&amp;col=6&amp;number=4.4&amp;sourceID=14","4.4")</f>
        <v>4.4</v>
      </c>
      <c r="G10538" s="4" t="str">
        <f>HYPERLINK("http://141.218.60.56/~jnz1568/getInfo.php?workbook=10_05.xlsx&amp;sheet=U0&amp;row=10538&amp;col=7&amp;number=0.000121&amp;sourceID=14","0.000121")</f>
        <v>0.000121</v>
      </c>
    </row>
    <row r="10539" spans="1:7">
      <c r="A10539" s="3"/>
      <c r="B10539" s="3"/>
      <c r="C10539" s="3"/>
      <c r="D10539" s="3"/>
      <c r="E10539" s="3">
        <v>16</v>
      </c>
      <c r="F10539" s="4" t="str">
        <f>HYPERLINK("http://141.218.60.56/~jnz1568/getInfo.php?workbook=10_05.xlsx&amp;sheet=U0&amp;row=10539&amp;col=6&amp;number=4.5&amp;sourceID=14","4.5")</f>
        <v>4.5</v>
      </c>
      <c r="G10539" s="4" t="str">
        <f>HYPERLINK("http://141.218.60.56/~jnz1568/getInfo.php?workbook=10_05.xlsx&amp;sheet=U0&amp;row=10539&amp;col=7&amp;number=0.000114&amp;sourceID=14","0.000114")</f>
        <v>0.000114</v>
      </c>
    </row>
    <row r="10540" spans="1:7">
      <c r="A10540" s="3"/>
      <c r="B10540" s="3"/>
      <c r="C10540" s="3"/>
      <c r="D10540" s="3"/>
      <c r="E10540" s="3">
        <v>17</v>
      </c>
      <c r="F10540" s="4" t="str">
        <f>HYPERLINK("http://141.218.60.56/~jnz1568/getInfo.php?workbook=10_05.xlsx&amp;sheet=U0&amp;row=10540&amp;col=6&amp;number=4.6&amp;sourceID=14","4.6")</f>
        <v>4.6</v>
      </c>
      <c r="G10540" s="4" t="str">
        <f>HYPERLINK("http://141.218.60.56/~jnz1568/getInfo.php?workbook=10_05.xlsx&amp;sheet=U0&amp;row=10540&amp;col=7&amp;number=0.000109&amp;sourceID=14","0.000109")</f>
        <v>0.000109</v>
      </c>
    </row>
    <row r="10541" spans="1:7">
      <c r="A10541" s="3"/>
      <c r="B10541" s="3"/>
      <c r="C10541" s="3"/>
      <c r="D10541" s="3"/>
      <c r="E10541" s="3">
        <v>18</v>
      </c>
      <c r="F10541" s="4" t="str">
        <f>HYPERLINK("http://141.218.60.56/~jnz1568/getInfo.php?workbook=10_05.xlsx&amp;sheet=U0&amp;row=10541&amp;col=6&amp;number=4.7&amp;sourceID=14","4.7")</f>
        <v>4.7</v>
      </c>
      <c r="G10541" s="4" t="str">
        <f>HYPERLINK("http://141.218.60.56/~jnz1568/getInfo.php?workbook=10_05.xlsx&amp;sheet=U0&amp;row=10541&amp;col=7&amp;number=0.000105&amp;sourceID=14","0.000105")</f>
        <v>0.000105</v>
      </c>
    </row>
    <row r="10542" spans="1:7">
      <c r="A10542" s="3"/>
      <c r="B10542" s="3"/>
      <c r="C10542" s="3"/>
      <c r="D10542" s="3"/>
      <c r="E10542" s="3">
        <v>19</v>
      </c>
      <c r="F10542" s="4" t="str">
        <f>HYPERLINK("http://141.218.60.56/~jnz1568/getInfo.php?workbook=10_05.xlsx&amp;sheet=U0&amp;row=10542&amp;col=6&amp;number=4.8&amp;sourceID=14","4.8")</f>
        <v>4.8</v>
      </c>
      <c r="G10542" s="4" t="str">
        <f>HYPERLINK("http://141.218.60.56/~jnz1568/getInfo.php?workbook=10_05.xlsx&amp;sheet=U0&amp;row=10542&amp;col=7&amp;number=0.000101&amp;sourceID=14","0.000101")</f>
        <v>0.000101</v>
      </c>
    </row>
    <row r="10543" spans="1:7">
      <c r="A10543" s="3"/>
      <c r="B10543" s="3"/>
      <c r="C10543" s="3"/>
      <c r="D10543" s="3"/>
      <c r="E10543" s="3">
        <v>20</v>
      </c>
      <c r="F10543" s="4" t="str">
        <f>HYPERLINK("http://141.218.60.56/~jnz1568/getInfo.php?workbook=10_05.xlsx&amp;sheet=U0&amp;row=10543&amp;col=6&amp;number=4.9&amp;sourceID=14","4.9")</f>
        <v>4.9</v>
      </c>
      <c r="G10543" s="4" t="str">
        <f>HYPERLINK("http://141.218.60.56/~jnz1568/getInfo.php?workbook=10_05.xlsx&amp;sheet=U0&amp;row=10543&amp;col=7&amp;number=9.59e-05&amp;sourceID=14","9.59e-05")</f>
        <v>9.59e-05</v>
      </c>
    </row>
    <row r="10544" spans="1:7">
      <c r="A10544" s="3">
        <v>10</v>
      </c>
      <c r="B10544" s="3">
        <v>5</v>
      </c>
      <c r="C10544" s="3">
        <v>3</v>
      </c>
      <c r="D10544" s="3">
        <v>174</v>
      </c>
      <c r="E10544" s="3">
        <v>1</v>
      </c>
      <c r="F10544" s="4" t="str">
        <f>HYPERLINK("http://141.218.60.56/~jnz1568/getInfo.php?workbook=10_05.xlsx&amp;sheet=U0&amp;row=10544&amp;col=6&amp;number=3&amp;sourceID=14","3")</f>
        <v>3</v>
      </c>
      <c r="G10544" s="4" t="str">
        <f>HYPERLINK("http://141.218.60.56/~jnz1568/getInfo.php?workbook=10_05.xlsx&amp;sheet=U0&amp;row=10544&amp;col=7&amp;number=0.000106&amp;sourceID=14","0.000106")</f>
        <v>0.000106</v>
      </c>
    </row>
    <row r="10545" spans="1:7">
      <c r="A10545" s="3"/>
      <c r="B10545" s="3"/>
      <c r="C10545" s="3"/>
      <c r="D10545" s="3"/>
      <c r="E10545" s="3">
        <v>2</v>
      </c>
      <c r="F10545" s="4" t="str">
        <f>HYPERLINK("http://141.218.60.56/~jnz1568/getInfo.php?workbook=10_05.xlsx&amp;sheet=U0&amp;row=10545&amp;col=6&amp;number=3.1&amp;sourceID=14","3.1")</f>
        <v>3.1</v>
      </c>
      <c r="G10545" s="4" t="str">
        <f>HYPERLINK("http://141.218.60.56/~jnz1568/getInfo.php?workbook=10_05.xlsx&amp;sheet=U0&amp;row=10545&amp;col=7&amp;number=0.000106&amp;sourceID=14","0.000106")</f>
        <v>0.000106</v>
      </c>
    </row>
    <row r="10546" spans="1:7">
      <c r="A10546" s="3"/>
      <c r="B10546" s="3"/>
      <c r="C10546" s="3"/>
      <c r="D10546" s="3"/>
      <c r="E10546" s="3">
        <v>3</v>
      </c>
      <c r="F10546" s="4" t="str">
        <f>HYPERLINK("http://141.218.60.56/~jnz1568/getInfo.php?workbook=10_05.xlsx&amp;sheet=U0&amp;row=10546&amp;col=6&amp;number=3.2&amp;sourceID=14","3.2")</f>
        <v>3.2</v>
      </c>
      <c r="G10546" s="4" t="str">
        <f>HYPERLINK("http://141.218.60.56/~jnz1568/getInfo.php?workbook=10_05.xlsx&amp;sheet=U0&amp;row=10546&amp;col=7&amp;number=0.000106&amp;sourceID=14","0.000106")</f>
        <v>0.000106</v>
      </c>
    </row>
    <row r="10547" spans="1:7">
      <c r="A10547" s="3"/>
      <c r="B10547" s="3"/>
      <c r="C10547" s="3"/>
      <c r="D10547" s="3"/>
      <c r="E10547" s="3">
        <v>4</v>
      </c>
      <c r="F10547" s="4" t="str">
        <f>HYPERLINK("http://141.218.60.56/~jnz1568/getInfo.php?workbook=10_05.xlsx&amp;sheet=U0&amp;row=10547&amp;col=6&amp;number=3.3&amp;sourceID=14","3.3")</f>
        <v>3.3</v>
      </c>
      <c r="G10547" s="4" t="str">
        <f>HYPERLINK("http://141.218.60.56/~jnz1568/getInfo.php?workbook=10_05.xlsx&amp;sheet=U0&amp;row=10547&amp;col=7&amp;number=0.000106&amp;sourceID=14","0.000106")</f>
        <v>0.000106</v>
      </c>
    </row>
    <row r="10548" spans="1:7">
      <c r="A10548" s="3"/>
      <c r="B10548" s="3"/>
      <c r="C10548" s="3"/>
      <c r="D10548" s="3"/>
      <c r="E10548" s="3">
        <v>5</v>
      </c>
      <c r="F10548" s="4" t="str">
        <f>HYPERLINK("http://141.218.60.56/~jnz1568/getInfo.php?workbook=10_05.xlsx&amp;sheet=U0&amp;row=10548&amp;col=6&amp;number=3.4&amp;sourceID=14","3.4")</f>
        <v>3.4</v>
      </c>
      <c r="G10548" s="4" t="str">
        <f>HYPERLINK("http://141.218.60.56/~jnz1568/getInfo.php?workbook=10_05.xlsx&amp;sheet=U0&amp;row=10548&amp;col=7&amp;number=0.000105&amp;sourceID=14","0.000105")</f>
        <v>0.000105</v>
      </c>
    </row>
    <row r="10549" spans="1:7">
      <c r="A10549" s="3"/>
      <c r="B10549" s="3"/>
      <c r="C10549" s="3"/>
      <c r="D10549" s="3"/>
      <c r="E10549" s="3">
        <v>6</v>
      </c>
      <c r="F10549" s="4" t="str">
        <f>HYPERLINK("http://141.218.60.56/~jnz1568/getInfo.php?workbook=10_05.xlsx&amp;sheet=U0&amp;row=10549&amp;col=6&amp;number=3.5&amp;sourceID=14","3.5")</f>
        <v>3.5</v>
      </c>
      <c r="G10549" s="4" t="str">
        <f>HYPERLINK("http://141.218.60.56/~jnz1568/getInfo.php?workbook=10_05.xlsx&amp;sheet=U0&amp;row=10549&amp;col=7&amp;number=0.000105&amp;sourceID=14","0.000105")</f>
        <v>0.000105</v>
      </c>
    </row>
    <row r="10550" spans="1:7">
      <c r="A10550" s="3"/>
      <c r="B10550" s="3"/>
      <c r="C10550" s="3"/>
      <c r="D10550" s="3"/>
      <c r="E10550" s="3">
        <v>7</v>
      </c>
      <c r="F10550" s="4" t="str">
        <f>HYPERLINK("http://141.218.60.56/~jnz1568/getInfo.php?workbook=10_05.xlsx&amp;sheet=U0&amp;row=10550&amp;col=6&amp;number=3.6&amp;sourceID=14","3.6")</f>
        <v>3.6</v>
      </c>
      <c r="G10550" s="4" t="str">
        <f>HYPERLINK("http://141.218.60.56/~jnz1568/getInfo.php?workbook=10_05.xlsx&amp;sheet=U0&amp;row=10550&amp;col=7&amp;number=0.000104&amp;sourceID=14","0.000104")</f>
        <v>0.000104</v>
      </c>
    </row>
    <row r="10551" spans="1:7">
      <c r="A10551" s="3"/>
      <c r="B10551" s="3"/>
      <c r="C10551" s="3"/>
      <c r="D10551" s="3"/>
      <c r="E10551" s="3">
        <v>8</v>
      </c>
      <c r="F10551" s="4" t="str">
        <f>HYPERLINK("http://141.218.60.56/~jnz1568/getInfo.php?workbook=10_05.xlsx&amp;sheet=U0&amp;row=10551&amp;col=6&amp;number=3.7&amp;sourceID=14","3.7")</f>
        <v>3.7</v>
      </c>
      <c r="G10551" s="4" t="str">
        <f>HYPERLINK("http://141.218.60.56/~jnz1568/getInfo.php?workbook=10_05.xlsx&amp;sheet=U0&amp;row=10551&amp;col=7&amp;number=0.000103&amp;sourceID=14","0.000103")</f>
        <v>0.000103</v>
      </c>
    </row>
    <row r="10552" spans="1:7">
      <c r="A10552" s="3"/>
      <c r="B10552" s="3"/>
      <c r="C10552" s="3"/>
      <c r="D10552" s="3"/>
      <c r="E10552" s="3">
        <v>9</v>
      </c>
      <c r="F10552" s="4" t="str">
        <f>HYPERLINK("http://141.218.60.56/~jnz1568/getInfo.php?workbook=10_05.xlsx&amp;sheet=U0&amp;row=10552&amp;col=6&amp;number=3.8&amp;sourceID=14","3.8")</f>
        <v>3.8</v>
      </c>
      <c r="G10552" s="4" t="str">
        <f>HYPERLINK("http://141.218.60.56/~jnz1568/getInfo.php?workbook=10_05.xlsx&amp;sheet=U0&amp;row=10552&amp;col=7&amp;number=0.000102&amp;sourceID=14","0.000102")</f>
        <v>0.000102</v>
      </c>
    </row>
    <row r="10553" spans="1:7">
      <c r="A10553" s="3"/>
      <c r="B10553" s="3"/>
      <c r="C10553" s="3"/>
      <c r="D10553" s="3"/>
      <c r="E10553" s="3">
        <v>10</v>
      </c>
      <c r="F10553" s="4" t="str">
        <f>HYPERLINK("http://141.218.60.56/~jnz1568/getInfo.php?workbook=10_05.xlsx&amp;sheet=U0&amp;row=10553&amp;col=6&amp;number=3.9&amp;sourceID=14","3.9")</f>
        <v>3.9</v>
      </c>
      <c r="G10553" s="4" t="str">
        <f>HYPERLINK("http://141.218.60.56/~jnz1568/getInfo.php?workbook=10_05.xlsx&amp;sheet=U0&amp;row=10553&amp;col=7&amp;number=0.000101&amp;sourceID=14","0.000101")</f>
        <v>0.000101</v>
      </c>
    </row>
    <row r="10554" spans="1:7">
      <c r="A10554" s="3"/>
      <c r="B10554" s="3"/>
      <c r="C10554" s="3"/>
      <c r="D10554" s="3"/>
      <c r="E10554" s="3">
        <v>11</v>
      </c>
      <c r="F10554" s="4" t="str">
        <f>HYPERLINK("http://141.218.60.56/~jnz1568/getInfo.php?workbook=10_05.xlsx&amp;sheet=U0&amp;row=10554&amp;col=6&amp;number=4&amp;sourceID=14","4")</f>
        <v>4</v>
      </c>
      <c r="G10554" s="4" t="str">
        <f>HYPERLINK("http://141.218.60.56/~jnz1568/getInfo.php?workbook=10_05.xlsx&amp;sheet=U0&amp;row=10554&amp;col=7&amp;number=9.98e-05&amp;sourceID=14","9.98e-05")</f>
        <v>9.98e-05</v>
      </c>
    </row>
    <row r="10555" spans="1:7">
      <c r="A10555" s="3"/>
      <c r="B10555" s="3"/>
      <c r="C10555" s="3"/>
      <c r="D10555" s="3"/>
      <c r="E10555" s="3">
        <v>12</v>
      </c>
      <c r="F10555" s="4" t="str">
        <f>HYPERLINK("http://141.218.60.56/~jnz1568/getInfo.php?workbook=10_05.xlsx&amp;sheet=U0&amp;row=10555&amp;col=6&amp;number=4.1&amp;sourceID=14","4.1")</f>
        <v>4.1</v>
      </c>
      <c r="G10555" s="4" t="str">
        <f>HYPERLINK("http://141.218.60.56/~jnz1568/getInfo.php?workbook=10_05.xlsx&amp;sheet=U0&amp;row=10555&amp;col=7&amp;number=9.81e-05&amp;sourceID=14","9.81e-05")</f>
        <v>9.81e-05</v>
      </c>
    </row>
    <row r="10556" spans="1:7">
      <c r="A10556" s="3"/>
      <c r="B10556" s="3"/>
      <c r="C10556" s="3"/>
      <c r="D10556" s="3"/>
      <c r="E10556" s="3">
        <v>13</v>
      </c>
      <c r="F10556" s="4" t="str">
        <f>HYPERLINK("http://141.218.60.56/~jnz1568/getInfo.php?workbook=10_05.xlsx&amp;sheet=U0&amp;row=10556&amp;col=6&amp;number=4.2&amp;sourceID=14","4.2")</f>
        <v>4.2</v>
      </c>
      <c r="G10556" s="4" t="str">
        <f>HYPERLINK("http://141.218.60.56/~jnz1568/getInfo.php?workbook=10_05.xlsx&amp;sheet=U0&amp;row=10556&amp;col=7&amp;number=9.61e-05&amp;sourceID=14","9.61e-05")</f>
        <v>9.61e-05</v>
      </c>
    </row>
    <row r="10557" spans="1:7">
      <c r="A10557" s="3"/>
      <c r="B10557" s="3"/>
      <c r="C10557" s="3"/>
      <c r="D10557" s="3"/>
      <c r="E10557" s="3">
        <v>14</v>
      </c>
      <c r="F10557" s="4" t="str">
        <f>HYPERLINK("http://141.218.60.56/~jnz1568/getInfo.php?workbook=10_05.xlsx&amp;sheet=U0&amp;row=10557&amp;col=6&amp;number=4.3&amp;sourceID=14","4.3")</f>
        <v>4.3</v>
      </c>
      <c r="G10557" s="4" t="str">
        <f>HYPERLINK("http://141.218.60.56/~jnz1568/getInfo.php?workbook=10_05.xlsx&amp;sheet=U0&amp;row=10557&amp;col=7&amp;number=9.39e-05&amp;sourceID=14","9.39e-05")</f>
        <v>9.39e-05</v>
      </c>
    </row>
    <row r="10558" spans="1:7">
      <c r="A10558" s="3"/>
      <c r="B10558" s="3"/>
      <c r="C10558" s="3"/>
      <c r="D10558" s="3"/>
      <c r="E10558" s="3">
        <v>15</v>
      </c>
      <c r="F10558" s="4" t="str">
        <f>HYPERLINK("http://141.218.60.56/~jnz1568/getInfo.php?workbook=10_05.xlsx&amp;sheet=U0&amp;row=10558&amp;col=6&amp;number=4.4&amp;sourceID=14","4.4")</f>
        <v>4.4</v>
      </c>
      <c r="G10558" s="4" t="str">
        <f>HYPERLINK("http://141.218.60.56/~jnz1568/getInfo.php?workbook=10_05.xlsx&amp;sheet=U0&amp;row=10558&amp;col=7&amp;number=9.15e-05&amp;sourceID=14","9.15e-05")</f>
        <v>9.15e-05</v>
      </c>
    </row>
    <row r="10559" spans="1:7">
      <c r="A10559" s="3"/>
      <c r="B10559" s="3"/>
      <c r="C10559" s="3"/>
      <c r="D10559" s="3"/>
      <c r="E10559" s="3">
        <v>16</v>
      </c>
      <c r="F10559" s="4" t="str">
        <f>HYPERLINK("http://141.218.60.56/~jnz1568/getInfo.php?workbook=10_05.xlsx&amp;sheet=U0&amp;row=10559&amp;col=6&amp;number=4.5&amp;sourceID=14","4.5")</f>
        <v>4.5</v>
      </c>
      <c r="G10559" s="4" t="str">
        <f>HYPERLINK("http://141.218.60.56/~jnz1568/getInfo.php?workbook=10_05.xlsx&amp;sheet=U0&amp;row=10559&amp;col=7&amp;number=8.91e-05&amp;sourceID=14","8.91e-05")</f>
        <v>8.91e-05</v>
      </c>
    </row>
    <row r="10560" spans="1:7">
      <c r="A10560" s="3"/>
      <c r="B10560" s="3"/>
      <c r="C10560" s="3"/>
      <c r="D10560" s="3"/>
      <c r="E10560" s="3">
        <v>17</v>
      </c>
      <c r="F10560" s="4" t="str">
        <f>HYPERLINK("http://141.218.60.56/~jnz1568/getInfo.php?workbook=10_05.xlsx&amp;sheet=U0&amp;row=10560&amp;col=6&amp;number=4.6&amp;sourceID=14","4.6")</f>
        <v>4.6</v>
      </c>
      <c r="G10560" s="4" t="str">
        <f>HYPERLINK("http://141.218.60.56/~jnz1568/getInfo.php?workbook=10_05.xlsx&amp;sheet=U0&amp;row=10560&amp;col=7&amp;number=8.67e-05&amp;sourceID=14","8.67e-05")</f>
        <v>8.67e-05</v>
      </c>
    </row>
    <row r="10561" spans="1:7">
      <c r="A10561" s="3"/>
      <c r="B10561" s="3"/>
      <c r="C10561" s="3"/>
      <c r="D10561" s="3"/>
      <c r="E10561" s="3">
        <v>18</v>
      </c>
      <c r="F10561" s="4" t="str">
        <f>HYPERLINK("http://141.218.60.56/~jnz1568/getInfo.php?workbook=10_05.xlsx&amp;sheet=U0&amp;row=10561&amp;col=6&amp;number=4.7&amp;sourceID=14","4.7")</f>
        <v>4.7</v>
      </c>
      <c r="G10561" s="4" t="str">
        <f>HYPERLINK("http://141.218.60.56/~jnz1568/getInfo.php?workbook=10_05.xlsx&amp;sheet=U0&amp;row=10561&amp;col=7&amp;number=8.43e-05&amp;sourceID=14","8.43e-05")</f>
        <v>8.43e-05</v>
      </c>
    </row>
    <row r="10562" spans="1:7">
      <c r="A10562" s="3"/>
      <c r="B10562" s="3"/>
      <c r="C10562" s="3"/>
      <c r="D10562" s="3"/>
      <c r="E10562" s="3">
        <v>19</v>
      </c>
      <c r="F10562" s="4" t="str">
        <f>HYPERLINK("http://141.218.60.56/~jnz1568/getInfo.php?workbook=10_05.xlsx&amp;sheet=U0&amp;row=10562&amp;col=6&amp;number=4.8&amp;sourceID=14","4.8")</f>
        <v>4.8</v>
      </c>
      <c r="G10562" s="4" t="str">
        <f>HYPERLINK("http://141.218.60.56/~jnz1568/getInfo.php?workbook=10_05.xlsx&amp;sheet=U0&amp;row=10562&amp;col=7&amp;number=8.18e-05&amp;sourceID=14","8.18e-05")</f>
        <v>8.18e-05</v>
      </c>
    </row>
    <row r="10563" spans="1:7">
      <c r="A10563" s="3"/>
      <c r="B10563" s="3"/>
      <c r="C10563" s="3"/>
      <c r="D10563" s="3"/>
      <c r="E10563" s="3">
        <v>20</v>
      </c>
      <c r="F10563" s="4" t="str">
        <f>HYPERLINK("http://141.218.60.56/~jnz1568/getInfo.php?workbook=10_05.xlsx&amp;sheet=U0&amp;row=10563&amp;col=6&amp;number=4.9&amp;sourceID=14","4.9")</f>
        <v>4.9</v>
      </c>
      <c r="G10563" s="4" t="str">
        <f>HYPERLINK("http://141.218.60.56/~jnz1568/getInfo.php?workbook=10_05.xlsx&amp;sheet=U0&amp;row=10563&amp;col=7&amp;number=7.91e-05&amp;sourceID=14","7.91e-05")</f>
        <v>7.91e-05</v>
      </c>
    </row>
    <row r="10564" spans="1:7">
      <c r="A10564" s="3">
        <v>10</v>
      </c>
      <c r="B10564" s="3">
        <v>5</v>
      </c>
      <c r="C10564" s="3">
        <v>3</v>
      </c>
      <c r="D10564" s="3">
        <v>175</v>
      </c>
      <c r="E10564" s="3">
        <v>1</v>
      </c>
      <c r="F10564" s="4" t="str">
        <f>HYPERLINK("http://141.218.60.56/~jnz1568/getInfo.php?workbook=10_05.xlsx&amp;sheet=U0&amp;row=10564&amp;col=6&amp;number=3&amp;sourceID=14","3")</f>
        <v>3</v>
      </c>
      <c r="G10564" s="4" t="str">
        <f>HYPERLINK("http://141.218.60.56/~jnz1568/getInfo.php?workbook=10_05.xlsx&amp;sheet=U0&amp;row=10564&amp;col=7&amp;number=0.000144&amp;sourceID=14","0.000144")</f>
        <v>0.000144</v>
      </c>
    </row>
    <row r="10565" spans="1:7">
      <c r="A10565" s="3"/>
      <c r="B10565" s="3"/>
      <c r="C10565" s="3"/>
      <c r="D10565" s="3"/>
      <c r="E10565" s="3">
        <v>2</v>
      </c>
      <c r="F10565" s="4" t="str">
        <f>HYPERLINK("http://141.218.60.56/~jnz1568/getInfo.php?workbook=10_05.xlsx&amp;sheet=U0&amp;row=10565&amp;col=6&amp;number=3.1&amp;sourceID=14","3.1")</f>
        <v>3.1</v>
      </c>
      <c r="G10565" s="4" t="str">
        <f>HYPERLINK("http://141.218.60.56/~jnz1568/getInfo.php?workbook=10_05.xlsx&amp;sheet=U0&amp;row=10565&amp;col=7&amp;number=0.000144&amp;sourceID=14","0.000144")</f>
        <v>0.000144</v>
      </c>
    </row>
    <row r="10566" spans="1:7">
      <c r="A10566" s="3"/>
      <c r="B10566" s="3"/>
      <c r="C10566" s="3"/>
      <c r="D10566" s="3"/>
      <c r="E10566" s="3">
        <v>3</v>
      </c>
      <c r="F10566" s="4" t="str">
        <f>HYPERLINK("http://141.218.60.56/~jnz1568/getInfo.php?workbook=10_05.xlsx&amp;sheet=U0&amp;row=10566&amp;col=6&amp;number=3.2&amp;sourceID=14","3.2")</f>
        <v>3.2</v>
      </c>
      <c r="G10566" s="4" t="str">
        <f>HYPERLINK("http://141.218.60.56/~jnz1568/getInfo.php?workbook=10_05.xlsx&amp;sheet=U0&amp;row=10566&amp;col=7&amp;number=0.000144&amp;sourceID=14","0.000144")</f>
        <v>0.000144</v>
      </c>
    </row>
    <row r="10567" spans="1:7">
      <c r="A10567" s="3"/>
      <c r="B10567" s="3"/>
      <c r="C10567" s="3"/>
      <c r="D10567" s="3"/>
      <c r="E10567" s="3">
        <v>4</v>
      </c>
      <c r="F10567" s="4" t="str">
        <f>HYPERLINK("http://141.218.60.56/~jnz1568/getInfo.php?workbook=10_05.xlsx&amp;sheet=U0&amp;row=10567&amp;col=6&amp;number=3.3&amp;sourceID=14","3.3")</f>
        <v>3.3</v>
      </c>
      <c r="G10567" s="4" t="str">
        <f>HYPERLINK("http://141.218.60.56/~jnz1568/getInfo.php?workbook=10_05.xlsx&amp;sheet=U0&amp;row=10567&amp;col=7&amp;number=0.000143&amp;sourceID=14","0.000143")</f>
        <v>0.000143</v>
      </c>
    </row>
    <row r="10568" spans="1:7">
      <c r="A10568" s="3"/>
      <c r="B10568" s="3"/>
      <c r="C10568" s="3"/>
      <c r="D10568" s="3"/>
      <c r="E10568" s="3">
        <v>5</v>
      </c>
      <c r="F10568" s="4" t="str">
        <f>HYPERLINK("http://141.218.60.56/~jnz1568/getInfo.php?workbook=10_05.xlsx&amp;sheet=U0&amp;row=10568&amp;col=6&amp;number=3.4&amp;sourceID=14","3.4")</f>
        <v>3.4</v>
      </c>
      <c r="G10568" s="4" t="str">
        <f>HYPERLINK("http://141.218.60.56/~jnz1568/getInfo.php?workbook=10_05.xlsx&amp;sheet=U0&amp;row=10568&amp;col=7&amp;number=0.000143&amp;sourceID=14","0.000143")</f>
        <v>0.000143</v>
      </c>
    </row>
    <row r="10569" spans="1:7">
      <c r="A10569" s="3"/>
      <c r="B10569" s="3"/>
      <c r="C10569" s="3"/>
      <c r="D10569" s="3"/>
      <c r="E10569" s="3">
        <v>6</v>
      </c>
      <c r="F10569" s="4" t="str">
        <f>HYPERLINK("http://141.218.60.56/~jnz1568/getInfo.php?workbook=10_05.xlsx&amp;sheet=U0&amp;row=10569&amp;col=6&amp;number=3.5&amp;sourceID=14","3.5")</f>
        <v>3.5</v>
      </c>
      <c r="G10569" s="4" t="str">
        <f>HYPERLINK("http://141.218.60.56/~jnz1568/getInfo.php?workbook=10_05.xlsx&amp;sheet=U0&amp;row=10569&amp;col=7&amp;number=0.000143&amp;sourceID=14","0.000143")</f>
        <v>0.000143</v>
      </c>
    </row>
    <row r="10570" spans="1:7">
      <c r="A10570" s="3"/>
      <c r="B10570" s="3"/>
      <c r="C10570" s="3"/>
      <c r="D10570" s="3"/>
      <c r="E10570" s="3">
        <v>7</v>
      </c>
      <c r="F10570" s="4" t="str">
        <f>HYPERLINK("http://141.218.60.56/~jnz1568/getInfo.php?workbook=10_05.xlsx&amp;sheet=U0&amp;row=10570&amp;col=6&amp;number=3.6&amp;sourceID=14","3.6")</f>
        <v>3.6</v>
      </c>
      <c r="G10570" s="4" t="str">
        <f>HYPERLINK("http://141.218.60.56/~jnz1568/getInfo.php?workbook=10_05.xlsx&amp;sheet=U0&amp;row=10570&amp;col=7&amp;number=0.000143&amp;sourceID=14","0.000143")</f>
        <v>0.000143</v>
      </c>
    </row>
    <row r="10571" spans="1:7">
      <c r="A10571" s="3"/>
      <c r="B10571" s="3"/>
      <c r="C10571" s="3"/>
      <c r="D10571" s="3"/>
      <c r="E10571" s="3">
        <v>8</v>
      </c>
      <c r="F10571" s="4" t="str">
        <f>HYPERLINK("http://141.218.60.56/~jnz1568/getInfo.php?workbook=10_05.xlsx&amp;sheet=U0&amp;row=10571&amp;col=6&amp;number=3.7&amp;sourceID=14","3.7")</f>
        <v>3.7</v>
      </c>
      <c r="G10571" s="4" t="str">
        <f>HYPERLINK("http://141.218.60.56/~jnz1568/getInfo.php?workbook=10_05.xlsx&amp;sheet=U0&amp;row=10571&amp;col=7&amp;number=0.000142&amp;sourceID=14","0.000142")</f>
        <v>0.000142</v>
      </c>
    </row>
    <row r="10572" spans="1:7">
      <c r="A10572" s="3"/>
      <c r="B10572" s="3"/>
      <c r="C10572" s="3"/>
      <c r="D10572" s="3"/>
      <c r="E10572" s="3">
        <v>9</v>
      </c>
      <c r="F10572" s="4" t="str">
        <f>HYPERLINK("http://141.218.60.56/~jnz1568/getInfo.php?workbook=10_05.xlsx&amp;sheet=U0&amp;row=10572&amp;col=6&amp;number=3.8&amp;sourceID=14","3.8")</f>
        <v>3.8</v>
      </c>
      <c r="G10572" s="4" t="str">
        <f>HYPERLINK("http://141.218.60.56/~jnz1568/getInfo.php?workbook=10_05.xlsx&amp;sheet=U0&amp;row=10572&amp;col=7&amp;number=0.000142&amp;sourceID=14","0.000142")</f>
        <v>0.000142</v>
      </c>
    </row>
    <row r="10573" spans="1:7">
      <c r="A10573" s="3"/>
      <c r="B10573" s="3"/>
      <c r="C10573" s="3"/>
      <c r="D10573" s="3"/>
      <c r="E10573" s="3">
        <v>10</v>
      </c>
      <c r="F10573" s="4" t="str">
        <f>HYPERLINK("http://141.218.60.56/~jnz1568/getInfo.php?workbook=10_05.xlsx&amp;sheet=U0&amp;row=10573&amp;col=6&amp;number=3.9&amp;sourceID=14","3.9")</f>
        <v>3.9</v>
      </c>
      <c r="G10573" s="4" t="str">
        <f>HYPERLINK("http://141.218.60.56/~jnz1568/getInfo.php?workbook=10_05.xlsx&amp;sheet=U0&amp;row=10573&amp;col=7&amp;number=0.000141&amp;sourceID=14","0.000141")</f>
        <v>0.000141</v>
      </c>
    </row>
    <row r="10574" spans="1:7">
      <c r="A10574" s="3"/>
      <c r="B10574" s="3"/>
      <c r="C10574" s="3"/>
      <c r="D10574" s="3"/>
      <c r="E10574" s="3">
        <v>11</v>
      </c>
      <c r="F10574" s="4" t="str">
        <f>HYPERLINK("http://141.218.60.56/~jnz1568/getInfo.php?workbook=10_05.xlsx&amp;sheet=U0&amp;row=10574&amp;col=6&amp;number=4&amp;sourceID=14","4")</f>
        <v>4</v>
      </c>
      <c r="G10574" s="4" t="str">
        <f>HYPERLINK("http://141.218.60.56/~jnz1568/getInfo.php?workbook=10_05.xlsx&amp;sheet=U0&amp;row=10574&amp;col=7&amp;number=0.00014&amp;sourceID=14","0.00014")</f>
        <v>0.00014</v>
      </c>
    </row>
    <row r="10575" spans="1:7">
      <c r="A10575" s="3"/>
      <c r="B10575" s="3"/>
      <c r="C10575" s="3"/>
      <c r="D10575" s="3"/>
      <c r="E10575" s="3">
        <v>12</v>
      </c>
      <c r="F10575" s="4" t="str">
        <f>HYPERLINK("http://141.218.60.56/~jnz1568/getInfo.php?workbook=10_05.xlsx&amp;sheet=U0&amp;row=10575&amp;col=6&amp;number=4.1&amp;sourceID=14","4.1")</f>
        <v>4.1</v>
      </c>
      <c r="G10575" s="4" t="str">
        <f>HYPERLINK("http://141.218.60.56/~jnz1568/getInfo.php?workbook=10_05.xlsx&amp;sheet=U0&amp;row=10575&amp;col=7&amp;number=0.000139&amp;sourceID=14","0.000139")</f>
        <v>0.000139</v>
      </c>
    </row>
    <row r="10576" spans="1:7">
      <c r="A10576" s="3"/>
      <c r="B10576" s="3"/>
      <c r="C10576" s="3"/>
      <c r="D10576" s="3"/>
      <c r="E10576" s="3">
        <v>13</v>
      </c>
      <c r="F10576" s="4" t="str">
        <f>HYPERLINK("http://141.218.60.56/~jnz1568/getInfo.php?workbook=10_05.xlsx&amp;sheet=U0&amp;row=10576&amp;col=6&amp;number=4.2&amp;sourceID=14","4.2")</f>
        <v>4.2</v>
      </c>
      <c r="G10576" s="4" t="str">
        <f>HYPERLINK("http://141.218.60.56/~jnz1568/getInfo.php?workbook=10_05.xlsx&amp;sheet=U0&amp;row=10576&amp;col=7&amp;number=0.000138&amp;sourceID=14","0.000138")</f>
        <v>0.000138</v>
      </c>
    </row>
    <row r="10577" spans="1:7">
      <c r="A10577" s="3"/>
      <c r="B10577" s="3"/>
      <c r="C10577" s="3"/>
      <c r="D10577" s="3"/>
      <c r="E10577" s="3">
        <v>14</v>
      </c>
      <c r="F10577" s="4" t="str">
        <f>HYPERLINK("http://141.218.60.56/~jnz1568/getInfo.php?workbook=10_05.xlsx&amp;sheet=U0&amp;row=10577&amp;col=6&amp;number=4.3&amp;sourceID=14","4.3")</f>
        <v>4.3</v>
      </c>
      <c r="G10577" s="4" t="str">
        <f>HYPERLINK("http://141.218.60.56/~jnz1568/getInfo.php?workbook=10_05.xlsx&amp;sheet=U0&amp;row=10577&amp;col=7&amp;number=0.000137&amp;sourceID=14","0.000137")</f>
        <v>0.000137</v>
      </c>
    </row>
    <row r="10578" spans="1:7">
      <c r="A10578" s="3"/>
      <c r="B10578" s="3"/>
      <c r="C10578" s="3"/>
      <c r="D10578" s="3"/>
      <c r="E10578" s="3">
        <v>15</v>
      </c>
      <c r="F10578" s="4" t="str">
        <f>HYPERLINK("http://141.218.60.56/~jnz1568/getInfo.php?workbook=10_05.xlsx&amp;sheet=U0&amp;row=10578&amp;col=6&amp;number=4.4&amp;sourceID=14","4.4")</f>
        <v>4.4</v>
      </c>
      <c r="G10578" s="4" t="str">
        <f>HYPERLINK("http://141.218.60.56/~jnz1568/getInfo.php?workbook=10_05.xlsx&amp;sheet=U0&amp;row=10578&amp;col=7&amp;number=0.000136&amp;sourceID=14","0.000136")</f>
        <v>0.000136</v>
      </c>
    </row>
    <row r="10579" spans="1:7">
      <c r="A10579" s="3"/>
      <c r="B10579" s="3"/>
      <c r="C10579" s="3"/>
      <c r="D10579" s="3"/>
      <c r="E10579" s="3">
        <v>16</v>
      </c>
      <c r="F10579" s="4" t="str">
        <f>HYPERLINK("http://141.218.60.56/~jnz1568/getInfo.php?workbook=10_05.xlsx&amp;sheet=U0&amp;row=10579&amp;col=6&amp;number=4.5&amp;sourceID=14","4.5")</f>
        <v>4.5</v>
      </c>
      <c r="G10579" s="4" t="str">
        <f>HYPERLINK("http://141.218.60.56/~jnz1568/getInfo.php?workbook=10_05.xlsx&amp;sheet=U0&amp;row=10579&amp;col=7&amp;number=0.000134&amp;sourceID=14","0.000134")</f>
        <v>0.000134</v>
      </c>
    </row>
    <row r="10580" spans="1:7">
      <c r="A10580" s="3"/>
      <c r="B10580" s="3"/>
      <c r="C10580" s="3"/>
      <c r="D10580" s="3"/>
      <c r="E10580" s="3">
        <v>17</v>
      </c>
      <c r="F10580" s="4" t="str">
        <f>HYPERLINK("http://141.218.60.56/~jnz1568/getInfo.php?workbook=10_05.xlsx&amp;sheet=U0&amp;row=10580&amp;col=6&amp;number=4.6&amp;sourceID=14","4.6")</f>
        <v>4.6</v>
      </c>
      <c r="G10580" s="4" t="str">
        <f>HYPERLINK("http://141.218.60.56/~jnz1568/getInfo.php?workbook=10_05.xlsx&amp;sheet=U0&amp;row=10580&amp;col=7&amp;number=0.000133&amp;sourceID=14","0.000133")</f>
        <v>0.000133</v>
      </c>
    </row>
    <row r="10581" spans="1:7">
      <c r="A10581" s="3"/>
      <c r="B10581" s="3"/>
      <c r="C10581" s="3"/>
      <c r="D10581" s="3"/>
      <c r="E10581" s="3">
        <v>18</v>
      </c>
      <c r="F10581" s="4" t="str">
        <f>HYPERLINK("http://141.218.60.56/~jnz1568/getInfo.php?workbook=10_05.xlsx&amp;sheet=U0&amp;row=10581&amp;col=6&amp;number=4.7&amp;sourceID=14","4.7")</f>
        <v>4.7</v>
      </c>
      <c r="G10581" s="4" t="str">
        <f>HYPERLINK("http://141.218.60.56/~jnz1568/getInfo.php?workbook=10_05.xlsx&amp;sheet=U0&amp;row=10581&amp;col=7&amp;number=0.000131&amp;sourceID=14","0.000131")</f>
        <v>0.000131</v>
      </c>
    </row>
    <row r="10582" spans="1:7">
      <c r="A10582" s="3"/>
      <c r="B10582" s="3"/>
      <c r="C10582" s="3"/>
      <c r="D10582" s="3"/>
      <c r="E10582" s="3">
        <v>19</v>
      </c>
      <c r="F10582" s="4" t="str">
        <f>HYPERLINK("http://141.218.60.56/~jnz1568/getInfo.php?workbook=10_05.xlsx&amp;sheet=U0&amp;row=10582&amp;col=6&amp;number=4.8&amp;sourceID=14","4.8")</f>
        <v>4.8</v>
      </c>
      <c r="G10582" s="4" t="str">
        <f>HYPERLINK("http://141.218.60.56/~jnz1568/getInfo.php?workbook=10_05.xlsx&amp;sheet=U0&amp;row=10582&amp;col=7&amp;number=0.000129&amp;sourceID=14","0.000129")</f>
        <v>0.000129</v>
      </c>
    </row>
    <row r="10583" spans="1:7">
      <c r="A10583" s="3"/>
      <c r="B10583" s="3"/>
      <c r="C10583" s="3"/>
      <c r="D10583" s="3"/>
      <c r="E10583" s="3">
        <v>20</v>
      </c>
      <c r="F10583" s="4" t="str">
        <f>HYPERLINK("http://141.218.60.56/~jnz1568/getInfo.php?workbook=10_05.xlsx&amp;sheet=U0&amp;row=10583&amp;col=6&amp;number=4.9&amp;sourceID=14","4.9")</f>
        <v>4.9</v>
      </c>
      <c r="G10583" s="4" t="str">
        <f>HYPERLINK("http://141.218.60.56/~jnz1568/getInfo.php?workbook=10_05.xlsx&amp;sheet=U0&amp;row=10583&amp;col=7&amp;number=0.000127&amp;sourceID=14","0.000127")</f>
        <v>0.000127</v>
      </c>
    </row>
    <row r="10584" spans="1:7">
      <c r="A10584" s="3">
        <v>10</v>
      </c>
      <c r="B10584" s="3">
        <v>5</v>
      </c>
      <c r="C10584" s="3">
        <v>3</v>
      </c>
      <c r="D10584" s="3">
        <v>176</v>
      </c>
      <c r="E10584" s="3">
        <v>1</v>
      </c>
      <c r="F10584" s="4" t="str">
        <f>HYPERLINK("http://141.218.60.56/~jnz1568/getInfo.php?workbook=10_05.xlsx&amp;sheet=U0&amp;row=10584&amp;col=6&amp;number=3&amp;sourceID=14","3")</f>
        <v>3</v>
      </c>
      <c r="G10584" s="4" t="str">
        <f>HYPERLINK("http://141.218.60.56/~jnz1568/getInfo.php?workbook=10_05.xlsx&amp;sheet=U0&amp;row=10584&amp;col=7&amp;number=0.000236&amp;sourceID=14","0.000236")</f>
        <v>0.000236</v>
      </c>
    </row>
    <row r="10585" spans="1:7">
      <c r="A10585" s="3"/>
      <c r="B10585" s="3"/>
      <c r="C10585" s="3"/>
      <c r="D10585" s="3"/>
      <c r="E10585" s="3">
        <v>2</v>
      </c>
      <c r="F10585" s="4" t="str">
        <f>HYPERLINK("http://141.218.60.56/~jnz1568/getInfo.php?workbook=10_05.xlsx&amp;sheet=U0&amp;row=10585&amp;col=6&amp;number=3.1&amp;sourceID=14","3.1")</f>
        <v>3.1</v>
      </c>
      <c r="G10585" s="4" t="str">
        <f>HYPERLINK("http://141.218.60.56/~jnz1568/getInfo.php?workbook=10_05.xlsx&amp;sheet=U0&amp;row=10585&amp;col=7&amp;number=0.000235&amp;sourceID=14","0.000235")</f>
        <v>0.000235</v>
      </c>
    </row>
    <row r="10586" spans="1:7">
      <c r="A10586" s="3"/>
      <c r="B10586" s="3"/>
      <c r="C10586" s="3"/>
      <c r="D10586" s="3"/>
      <c r="E10586" s="3">
        <v>3</v>
      </c>
      <c r="F10586" s="4" t="str">
        <f>HYPERLINK("http://141.218.60.56/~jnz1568/getInfo.php?workbook=10_05.xlsx&amp;sheet=U0&amp;row=10586&amp;col=6&amp;number=3.2&amp;sourceID=14","3.2")</f>
        <v>3.2</v>
      </c>
      <c r="G10586" s="4" t="str">
        <f>HYPERLINK("http://141.218.60.56/~jnz1568/getInfo.php?workbook=10_05.xlsx&amp;sheet=U0&amp;row=10586&amp;col=7&amp;number=0.000235&amp;sourceID=14","0.000235")</f>
        <v>0.000235</v>
      </c>
    </row>
    <row r="10587" spans="1:7">
      <c r="A10587" s="3"/>
      <c r="B10587" s="3"/>
      <c r="C10587" s="3"/>
      <c r="D10587" s="3"/>
      <c r="E10587" s="3">
        <v>4</v>
      </c>
      <c r="F10587" s="4" t="str">
        <f>HYPERLINK("http://141.218.60.56/~jnz1568/getInfo.php?workbook=10_05.xlsx&amp;sheet=U0&amp;row=10587&amp;col=6&amp;number=3.3&amp;sourceID=14","3.3")</f>
        <v>3.3</v>
      </c>
      <c r="G10587" s="4" t="str">
        <f>HYPERLINK("http://141.218.60.56/~jnz1568/getInfo.php?workbook=10_05.xlsx&amp;sheet=U0&amp;row=10587&amp;col=7&amp;number=0.000235&amp;sourceID=14","0.000235")</f>
        <v>0.000235</v>
      </c>
    </row>
    <row r="10588" spans="1:7">
      <c r="A10588" s="3"/>
      <c r="B10588" s="3"/>
      <c r="C10588" s="3"/>
      <c r="D10588" s="3"/>
      <c r="E10588" s="3">
        <v>5</v>
      </c>
      <c r="F10588" s="4" t="str">
        <f>HYPERLINK("http://141.218.60.56/~jnz1568/getInfo.php?workbook=10_05.xlsx&amp;sheet=U0&amp;row=10588&amp;col=6&amp;number=3.4&amp;sourceID=14","3.4")</f>
        <v>3.4</v>
      </c>
      <c r="G10588" s="4" t="str">
        <f>HYPERLINK("http://141.218.60.56/~jnz1568/getInfo.php?workbook=10_05.xlsx&amp;sheet=U0&amp;row=10588&amp;col=7&amp;number=0.000235&amp;sourceID=14","0.000235")</f>
        <v>0.000235</v>
      </c>
    </row>
    <row r="10589" spans="1:7">
      <c r="A10589" s="3"/>
      <c r="B10589" s="3"/>
      <c r="C10589" s="3"/>
      <c r="D10589" s="3"/>
      <c r="E10589" s="3">
        <v>6</v>
      </c>
      <c r="F10589" s="4" t="str">
        <f>HYPERLINK("http://141.218.60.56/~jnz1568/getInfo.php?workbook=10_05.xlsx&amp;sheet=U0&amp;row=10589&amp;col=6&amp;number=3.5&amp;sourceID=14","3.5")</f>
        <v>3.5</v>
      </c>
      <c r="G10589" s="4" t="str">
        <f>HYPERLINK("http://141.218.60.56/~jnz1568/getInfo.php?workbook=10_05.xlsx&amp;sheet=U0&amp;row=10589&amp;col=7&amp;number=0.000235&amp;sourceID=14","0.000235")</f>
        <v>0.000235</v>
      </c>
    </row>
    <row r="10590" spans="1:7">
      <c r="A10590" s="3"/>
      <c r="B10590" s="3"/>
      <c r="C10590" s="3"/>
      <c r="D10590" s="3"/>
      <c r="E10590" s="3">
        <v>7</v>
      </c>
      <c r="F10590" s="4" t="str">
        <f>HYPERLINK("http://141.218.60.56/~jnz1568/getInfo.php?workbook=10_05.xlsx&amp;sheet=U0&amp;row=10590&amp;col=6&amp;number=3.6&amp;sourceID=14","3.6")</f>
        <v>3.6</v>
      </c>
      <c r="G10590" s="4" t="str">
        <f>HYPERLINK("http://141.218.60.56/~jnz1568/getInfo.php?workbook=10_05.xlsx&amp;sheet=U0&amp;row=10590&amp;col=7&amp;number=0.000234&amp;sourceID=14","0.000234")</f>
        <v>0.000234</v>
      </c>
    </row>
    <row r="10591" spans="1:7">
      <c r="A10591" s="3"/>
      <c r="B10591" s="3"/>
      <c r="C10591" s="3"/>
      <c r="D10591" s="3"/>
      <c r="E10591" s="3">
        <v>8</v>
      </c>
      <c r="F10591" s="4" t="str">
        <f>HYPERLINK("http://141.218.60.56/~jnz1568/getInfo.php?workbook=10_05.xlsx&amp;sheet=U0&amp;row=10591&amp;col=6&amp;number=3.7&amp;sourceID=14","3.7")</f>
        <v>3.7</v>
      </c>
      <c r="G10591" s="4" t="str">
        <f>HYPERLINK("http://141.218.60.56/~jnz1568/getInfo.php?workbook=10_05.xlsx&amp;sheet=U0&amp;row=10591&amp;col=7&amp;number=0.000234&amp;sourceID=14","0.000234")</f>
        <v>0.000234</v>
      </c>
    </row>
    <row r="10592" spans="1:7">
      <c r="A10592" s="3"/>
      <c r="B10592" s="3"/>
      <c r="C10592" s="3"/>
      <c r="D10592" s="3"/>
      <c r="E10592" s="3">
        <v>9</v>
      </c>
      <c r="F10592" s="4" t="str">
        <f>HYPERLINK("http://141.218.60.56/~jnz1568/getInfo.php?workbook=10_05.xlsx&amp;sheet=U0&amp;row=10592&amp;col=6&amp;number=3.8&amp;sourceID=14","3.8")</f>
        <v>3.8</v>
      </c>
      <c r="G10592" s="4" t="str">
        <f>HYPERLINK("http://141.218.60.56/~jnz1568/getInfo.php?workbook=10_05.xlsx&amp;sheet=U0&amp;row=10592&amp;col=7&amp;number=0.000233&amp;sourceID=14","0.000233")</f>
        <v>0.000233</v>
      </c>
    </row>
    <row r="10593" spans="1:7">
      <c r="A10593" s="3"/>
      <c r="B10593" s="3"/>
      <c r="C10593" s="3"/>
      <c r="D10593" s="3"/>
      <c r="E10593" s="3">
        <v>10</v>
      </c>
      <c r="F10593" s="4" t="str">
        <f>HYPERLINK("http://141.218.60.56/~jnz1568/getInfo.php?workbook=10_05.xlsx&amp;sheet=U0&amp;row=10593&amp;col=6&amp;number=3.9&amp;sourceID=14","3.9")</f>
        <v>3.9</v>
      </c>
      <c r="G10593" s="4" t="str">
        <f>HYPERLINK("http://141.218.60.56/~jnz1568/getInfo.php?workbook=10_05.xlsx&amp;sheet=U0&amp;row=10593&amp;col=7&amp;number=0.000233&amp;sourceID=14","0.000233")</f>
        <v>0.000233</v>
      </c>
    </row>
    <row r="10594" spans="1:7">
      <c r="A10594" s="3"/>
      <c r="B10594" s="3"/>
      <c r="C10594" s="3"/>
      <c r="D10594" s="3"/>
      <c r="E10594" s="3">
        <v>11</v>
      </c>
      <c r="F10594" s="4" t="str">
        <f>HYPERLINK("http://141.218.60.56/~jnz1568/getInfo.php?workbook=10_05.xlsx&amp;sheet=U0&amp;row=10594&amp;col=6&amp;number=4&amp;sourceID=14","4")</f>
        <v>4</v>
      </c>
      <c r="G10594" s="4" t="str">
        <f>HYPERLINK("http://141.218.60.56/~jnz1568/getInfo.php?workbook=10_05.xlsx&amp;sheet=U0&amp;row=10594&amp;col=7&amp;number=0.000232&amp;sourceID=14","0.000232")</f>
        <v>0.000232</v>
      </c>
    </row>
    <row r="10595" spans="1:7">
      <c r="A10595" s="3"/>
      <c r="B10595" s="3"/>
      <c r="C10595" s="3"/>
      <c r="D10595" s="3"/>
      <c r="E10595" s="3">
        <v>12</v>
      </c>
      <c r="F10595" s="4" t="str">
        <f>HYPERLINK("http://141.218.60.56/~jnz1568/getInfo.php?workbook=10_05.xlsx&amp;sheet=U0&amp;row=10595&amp;col=6&amp;number=4.1&amp;sourceID=14","4.1")</f>
        <v>4.1</v>
      </c>
      <c r="G10595" s="4" t="str">
        <f>HYPERLINK("http://141.218.60.56/~jnz1568/getInfo.php?workbook=10_05.xlsx&amp;sheet=U0&amp;row=10595&amp;col=7&amp;number=0.000231&amp;sourceID=14","0.000231")</f>
        <v>0.000231</v>
      </c>
    </row>
    <row r="10596" spans="1:7">
      <c r="A10596" s="3"/>
      <c r="B10596" s="3"/>
      <c r="C10596" s="3"/>
      <c r="D10596" s="3"/>
      <c r="E10596" s="3">
        <v>13</v>
      </c>
      <c r="F10596" s="4" t="str">
        <f>HYPERLINK("http://141.218.60.56/~jnz1568/getInfo.php?workbook=10_05.xlsx&amp;sheet=U0&amp;row=10596&amp;col=6&amp;number=4.2&amp;sourceID=14","4.2")</f>
        <v>4.2</v>
      </c>
      <c r="G10596" s="4" t="str">
        <f>HYPERLINK("http://141.218.60.56/~jnz1568/getInfo.php?workbook=10_05.xlsx&amp;sheet=U0&amp;row=10596&amp;col=7&amp;number=0.00023&amp;sourceID=14","0.00023")</f>
        <v>0.00023</v>
      </c>
    </row>
    <row r="10597" spans="1:7">
      <c r="A10597" s="3"/>
      <c r="B10597" s="3"/>
      <c r="C10597" s="3"/>
      <c r="D10597" s="3"/>
      <c r="E10597" s="3">
        <v>14</v>
      </c>
      <c r="F10597" s="4" t="str">
        <f>HYPERLINK("http://141.218.60.56/~jnz1568/getInfo.php?workbook=10_05.xlsx&amp;sheet=U0&amp;row=10597&amp;col=6&amp;number=4.3&amp;sourceID=14","4.3")</f>
        <v>4.3</v>
      </c>
      <c r="G10597" s="4" t="str">
        <f>HYPERLINK("http://141.218.60.56/~jnz1568/getInfo.php?workbook=10_05.xlsx&amp;sheet=U0&amp;row=10597&amp;col=7&amp;number=0.000229&amp;sourceID=14","0.000229")</f>
        <v>0.000229</v>
      </c>
    </row>
    <row r="10598" spans="1:7">
      <c r="A10598" s="3"/>
      <c r="B10598" s="3"/>
      <c r="C10598" s="3"/>
      <c r="D10598" s="3"/>
      <c r="E10598" s="3">
        <v>15</v>
      </c>
      <c r="F10598" s="4" t="str">
        <f>HYPERLINK("http://141.218.60.56/~jnz1568/getInfo.php?workbook=10_05.xlsx&amp;sheet=U0&amp;row=10598&amp;col=6&amp;number=4.4&amp;sourceID=14","4.4")</f>
        <v>4.4</v>
      </c>
      <c r="G10598" s="4" t="str">
        <f>HYPERLINK("http://141.218.60.56/~jnz1568/getInfo.php?workbook=10_05.xlsx&amp;sheet=U0&amp;row=10598&amp;col=7&amp;number=0.000227&amp;sourceID=14","0.000227")</f>
        <v>0.000227</v>
      </c>
    </row>
    <row r="10599" spans="1:7">
      <c r="A10599" s="3"/>
      <c r="B10599" s="3"/>
      <c r="C10599" s="3"/>
      <c r="D10599" s="3"/>
      <c r="E10599" s="3">
        <v>16</v>
      </c>
      <c r="F10599" s="4" t="str">
        <f>HYPERLINK("http://141.218.60.56/~jnz1568/getInfo.php?workbook=10_05.xlsx&amp;sheet=U0&amp;row=10599&amp;col=6&amp;number=4.5&amp;sourceID=14","4.5")</f>
        <v>4.5</v>
      </c>
      <c r="G10599" s="4" t="str">
        <f>HYPERLINK("http://141.218.60.56/~jnz1568/getInfo.php?workbook=10_05.xlsx&amp;sheet=U0&amp;row=10599&amp;col=7&amp;number=0.000225&amp;sourceID=14","0.000225")</f>
        <v>0.000225</v>
      </c>
    </row>
    <row r="10600" spans="1:7">
      <c r="A10600" s="3"/>
      <c r="B10600" s="3"/>
      <c r="C10600" s="3"/>
      <c r="D10600" s="3"/>
      <c r="E10600" s="3">
        <v>17</v>
      </c>
      <c r="F10600" s="4" t="str">
        <f>HYPERLINK("http://141.218.60.56/~jnz1568/getInfo.php?workbook=10_05.xlsx&amp;sheet=U0&amp;row=10600&amp;col=6&amp;number=4.6&amp;sourceID=14","4.6")</f>
        <v>4.6</v>
      </c>
      <c r="G10600" s="4" t="str">
        <f>HYPERLINK("http://141.218.60.56/~jnz1568/getInfo.php?workbook=10_05.xlsx&amp;sheet=U0&amp;row=10600&amp;col=7&amp;number=0.000223&amp;sourceID=14","0.000223")</f>
        <v>0.000223</v>
      </c>
    </row>
    <row r="10601" spans="1:7">
      <c r="A10601" s="3"/>
      <c r="B10601" s="3"/>
      <c r="C10601" s="3"/>
      <c r="D10601" s="3"/>
      <c r="E10601" s="3">
        <v>18</v>
      </c>
      <c r="F10601" s="4" t="str">
        <f>HYPERLINK("http://141.218.60.56/~jnz1568/getInfo.php?workbook=10_05.xlsx&amp;sheet=U0&amp;row=10601&amp;col=6&amp;number=4.7&amp;sourceID=14","4.7")</f>
        <v>4.7</v>
      </c>
      <c r="G10601" s="4" t="str">
        <f>HYPERLINK("http://141.218.60.56/~jnz1568/getInfo.php?workbook=10_05.xlsx&amp;sheet=U0&amp;row=10601&amp;col=7&amp;number=0.00022&amp;sourceID=14","0.00022")</f>
        <v>0.00022</v>
      </c>
    </row>
    <row r="10602" spans="1:7">
      <c r="A10602" s="3"/>
      <c r="B10602" s="3"/>
      <c r="C10602" s="3"/>
      <c r="D10602" s="3"/>
      <c r="E10602" s="3">
        <v>19</v>
      </c>
      <c r="F10602" s="4" t="str">
        <f>HYPERLINK("http://141.218.60.56/~jnz1568/getInfo.php?workbook=10_05.xlsx&amp;sheet=U0&amp;row=10602&amp;col=6&amp;number=4.8&amp;sourceID=14","4.8")</f>
        <v>4.8</v>
      </c>
      <c r="G10602" s="4" t="str">
        <f>HYPERLINK("http://141.218.60.56/~jnz1568/getInfo.php?workbook=10_05.xlsx&amp;sheet=U0&amp;row=10602&amp;col=7&amp;number=0.000217&amp;sourceID=14","0.000217")</f>
        <v>0.000217</v>
      </c>
    </row>
    <row r="10603" spans="1:7">
      <c r="A10603" s="3"/>
      <c r="B10603" s="3"/>
      <c r="C10603" s="3"/>
      <c r="D10603" s="3"/>
      <c r="E10603" s="3">
        <v>20</v>
      </c>
      <c r="F10603" s="4" t="str">
        <f>HYPERLINK("http://141.218.60.56/~jnz1568/getInfo.php?workbook=10_05.xlsx&amp;sheet=U0&amp;row=10603&amp;col=6&amp;number=4.9&amp;sourceID=14","4.9")</f>
        <v>4.9</v>
      </c>
      <c r="G10603" s="4" t="str">
        <f>HYPERLINK("http://141.218.60.56/~jnz1568/getInfo.php?workbook=10_05.xlsx&amp;sheet=U0&amp;row=10603&amp;col=7&amp;number=0.000213&amp;sourceID=14","0.000213")</f>
        <v>0.000213</v>
      </c>
    </row>
    <row r="10604" spans="1:7">
      <c r="A10604" s="3">
        <v>10</v>
      </c>
      <c r="B10604" s="3">
        <v>5</v>
      </c>
      <c r="C10604" s="3">
        <v>3</v>
      </c>
      <c r="D10604" s="3">
        <v>177</v>
      </c>
      <c r="E10604" s="3">
        <v>1</v>
      </c>
      <c r="F10604" s="4" t="str">
        <f>HYPERLINK("http://141.218.60.56/~jnz1568/getInfo.php?workbook=10_05.xlsx&amp;sheet=U0&amp;row=10604&amp;col=6&amp;number=3&amp;sourceID=14","3")</f>
        <v>3</v>
      </c>
      <c r="G10604" s="4" t="str">
        <f>HYPERLINK("http://141.218.60.56/~jnz1568/getInfo.php?workbook=10_05.xlsx&amp;sheet=U0&amp;row=10604&amp;col=7&amp;number=6.03e-05&amp;sourceID=14","6.03e-05")</f>
        <v>6.03e-05</v>
      </c>
    </row>
    <row r="10605" spans="1:7">
      <c r="A10605" s="3"/>
      <c r="B10605" s="3"/>
      <c r="C10605" s="3"/>
      <c r="D10605" s="3"/>
      <c r="E10605" s="3">
        <v>2</v>
      </c>
      <c r="F10605" s="4" t="str">
        <f>HYPERLINK("http://141.218.60.56/~jnz1568/getInfo.php?workbook=10_05.xlsx&amp;sheet=U0&amp;row=10605&amp;col=6&amp;number=3.1&amp;sourceID=14","3.1")</f>
        <v>3.1</v>
      </c>
      <c r="G10605" s="4" t="str">
        <f>HYPERLINK("http://141.218.60.56/~jnz1568/getInfo.php?workbook=10_05.xlsx&amp;sheet=U0&amp;row=10605&amp;col=7&amp;number=6.03e-05&amp;sourceID=14","6.03e-05")</f>
        <v>6.03e-05</v>
      </c>
    </row>
    <row r="10606" spans="1:7">
      <c r="A10606" s="3"/>
      <c r="B10606" s="3"/>
      <c r="C10606" s="3"/>
      <c r="D10606" s="3"/>
      <c r="E10606" s="3">
        <v>3</v>
      </c>
      <c r="F10606" s="4" t="str">
        <f>HYPERLINK("http://141.218.60.56/~jnz1568/getInfo.php?workbook=10_05.xlsx&amp;sheet=U0&amp;row=10606&amp;col=6&amp;number=3.2&amp;sourceID=14","3.2")</f>
        <v>3.2</v>
      </c>
      <c r="G10606" s="4" t="str">
        <f>HYPERLINK("http://141.218.60.56/~jnz1568/getInfo.php?workbook=10_05.xlsx&amp;sheet=U0&amp;row=10606&amp;col=7&amp;number=6.02e-05&amp;sourceID=14","6.02e-05")</f>
        <v>6.02e-05</v>
      </c>
    </row>
    <row r="10607" spans="1:7">
      <c r="A10607" s="3"/>
      <c r="B10607" s="3"/>
      <c r="C10607" s="3"/>
      <c r="D10607" s="3"/>
      <c r="E10607" s="3">
        <v>4</v>
      </c>
      <c r="F10607" s="4" t="str">
        <f>HYPERLINK("http://141.218.60.56/~jnz1568/getInfo.php?workbook=10_05.xlsx&amp;sheet=U0&amp;row=10607&amp;col=6&amp;number=3.3&amp;sourceID=14","3.3")</f>
        <v>3.3</v>
      </c>
      <c r="G10607" s="4" t="str">
        <f>HYPERLINK("http://141.218.60.56/~jnz1568/getInfo.php?workbook=10_05.xlsx&amp;sheet=U0&amp;row=10607&amp;col=7&amp;number=6.01e-05&amp;sourceID=14","6.01e-05")</f>
        <v>6.01e-05</v>
      </c>
    </row>
    <row r="10608" spans="1:7">
      <c r="A10608" s="3"/>
      <c r="B10608" s="3"/>
      <c r="C10608" s="3"/>
      <c r="D10608" s="3"/>
      <c r="E10608" s="3">
        <v>5</v>
      </c>
      <c r="F10608" s="4" t="str">
        <f>HYPERLINK("http://141.218.60.56/~jnz1568/getInfo.php?workbook=10_05.xlsx&amp;sheet=U0&amp;row=10608&amp;col=6&amp;number=3.4&amp;sourceID=14","3.4")</f>
        <v>3.4</v>
      </c>
      <c r="G10608" s="4" t="str">
        <f>HYPERLINK("http://141.218.60.56/~jnz1568/getInfo.php?workbook=10_05.xlsx&amp;sheet=U0&amp;row=10608&amp;col=7&amp;number=6e-05&amp;sourceID=14","6e-05")</f>
        <v>6e-05</v>
      </c>
    </row>
    <row r="10609" spans="1:7">
      <c r="A10609" s="3"/>
      <c r="B10609" s="3"/>
      <c r="C10609" s="3"/>
      <c r="D10609" s="3"/>
      <c r="E10609" s="3">
        <v>6</v>
      </c>
      <c r="F10609" s="4" t="str">
        <f>HYPERLINK("http://141.218.60.56/~jnz1568/getInfo.php?workbook=10_05.xlsx&amp;sheet=U0&amp;row=10609&amp;col=6&amp;number=3.5&amp;sourceID=14","3.5")</f>
        <v>3.5</v>
      </c>
      <c r="G10609" s="4" t="str">
        <f>HYPERLINK("http://141.218.60.56/~jnz1568/getInfo.php?workbook=10_05.xlsx&amp;sheet=U0&amp;row=10609&amp;col=7&amp;number=5.99e-05&amp;sourceID=14","5.99e-05")</f>
        <v>5.99e-05</v>
      </c>
    </row>
    <row r="10610" spans="1:7">
      <c r="A10610" s="3"/>
      <c r="B10610" s="3"/>
      <c r="C10610" s="3"/>
      <c r="D10610" s="3"/>
      <c r="E10610" s="3">
        <v>7</v>
      </c>
      <c r="F10610" s="4" t="str">
        <f>HYPERLINK("http://141.218.60.56/~jnz1568/getInfo.php?workbook=10_05.xlsx&amp;sheet=U0&amp;row=10610&amp;col=6&amp;number=3.6&amp;sourceID=14","3.6")</f>
        <v>3.6</v>
      </c>
      <c r="G10610" s="4" t="str">
        <f>HYPERLINK("http://141.218.60.56/~jnz1568/getInfo.php?workbook=10_05.xlsx&amp;sheet=U0&amp;row=10610&amp;col=7&amp;number=5.97e-05&amp;sourceID=14","5.97e-05")</f>
        <v>5.97e-05</v>
      </c>
    </row>
    <row r="10611" spans="1:7">
      <c r="A10611" s="3"/>
      <c r="B10611" s="3"/>
      <c r="C10611" s="3"/>
      <c r="D10611" s="3"/>
      <c r="E10611" s="3">
        <v>8</v>
      </c>
      <c r="F10611" s="4" t="str">
        <f>HYPERLINK("http://141.218.60.56/~jnz1568/getInfo.php?workbook=10_05.xlsx&amp;sheet=U0&amp;row=10611&amp;col=6&amp;number=3.7&amp;sourceID=14","3.7")</f>
        <v>3.7</v>
      </c>
      <c r="G10611" s="4" t="str">
        <f>HYPERLINK("http://141.218.60.56/~jnz1568/getInfo.php?workbook=10_05.xlsx&amp;sheet=U0&amp;row=10611&amp;col=7&amp;number=5.95e-05&amp;sourceID=14","5.95e-05")</f>
        <v>5.95e-05</v>
      </c>
    </row>
    <row r="10612" spans="1:7">
      <c r="A10612" s="3"/>
      <c r="B10612" s="3"/>
      <c r="C10612" s="3"/>
      <c r="D10612" s="3"/>
      <c r="E10612" s="3">
        <v>9</v>
      </c>
      <c r="F10612" s="4" t="str">
        <f>HYPERLINK("http://141.218.60.56/~jnz1568/getInfo.php?workbook=10_05.xlsx&amp;sheet=U0&amp;row=10612&amp;col=6&amp;number=3.8&amp;sourceID=14","3.8")</f>
        <v>3.8</v>
      </c>
      <c r="G10612" s="4" t="str">
        <f>HYPERLINK("http://141.218.60.56/~jnz1568/getInfo.php?workbook=10_05.xlsx&amp;sheet=U0&amp;row=10612&amp;col=7&amp;number=5.92e-05&amp;sourceID=14","5.92e-05")</f>
        <v>5.92e-05</v>
      </c>
    </row>
    <row r="10613" spans="1:7">
      <c r="A10613" s="3"/>
      <c r="B10613" s="3"/>
      <c r="C10613" s="3"/>
      <c r="D10613" s="3"/>
      <c r="E10613" s="3">
        <v>10</v>
      </c>
      <c r="F10613" s="4" t="str">
        <f>HYPERLINK("http://141.218.60.56/~jnz1568/getInfo.php?workbook=10_05.xlsx&amp;sheet=U0&amp;row=10613&amp;col=6&amp;number=3.9&amp;sourceID=14","3.9")</f>
        <v>3.9</v>
      </c>
      <c r="G10613" s="4" t="str">
        <f>HYPERLINK("http://141.218.60.56/~jnz1568/getInfo.php?workbook=10_05.xlsx&amp;sheet=U0&amp;row=10613&amp;col=7&amp;number=5.89e-05&amp;sourceID=14","5.89e-05")</f>
        <v>5.89e-05</v>
      </c>
    </row>
    <row r="10614" spans="1:7">
      <c r="A10614" s="3"/>
      <c r="B10614" s="3"/>
      <c r="C10614" s="3"/>
      <c r="D10614" s="3"/>
      <c r="E10614" s="3">
        <v>11</v>
      </c>
      <c r="F10614" s="4" t="str">
        <f>HYPERLINK("http://141.218.60.56/~jnz1568/getInfo.php?workbook=10_05.xlsx&amp;sheet=U0&amp;row=10614&amp;col=6&amp;number=4&amp;sourceID=14","4")</f>
        <v>4</v>
      </c>
      <c r="G10614" s="4" t="str">
        <f>HYPERLINK("http://141.218.60.56/~jnz1568/getInfo.php?workbook=10_05.xlsx&amp;sheet=U0&amp;row=10614&amp;col=7&amp;number=5.85e-05&amp;sourceID=14","5.85e-05")</f>
        <v>5.85e-05</v>
      </c>
    </row>
    <row r="10615" spans="1:7">
      <c r="A10615" s="3"/>
      <c r="B10615" s="3"/>
      <c r="C10615" s="3"/>
      <c r="D10615" s="3"/>
      <c r="E10615" s="3">
        <v>12</v>
      </c>
      <c r="F10615" s="4" t="str">
        <f>HYPERLINK("http://141.218.60.56/~jnz1568/getInfo.php?workbook=10_05.xlsx&amp;sheet=U0&amp;row=10615&amp;col=6&amp;number=4.1&amp;sourceID=14","4.1")</f>
        <v>4.1</v>
      </c>
      <c r="G10615" s="4" t="str">
        <f>HYPERLINK("http://141.218.60.56/~jnz1568/getInfo.php?workbook=10_05.xlsx&amp;sheet=U0&amp;row=10615&amp;col=7&amp;number=5.8e-05&amp;sourceID=14","5.8e-05")</f>
        <v>5.8e-05</v>
      </c>
    </row>
    <row r="10616" spans="1:7">
      <c r="A10616" s="3"/>
      <c r="B10616" s="3"/>
      <c r="C10616" s="3"/>
      <c r="D10616" s="3"/>
      <c r="E10616" s="3">
        <v>13</v>
      </c>
      <c r="F10616" s="4" t="str">
        <f>HYPERLINK("http://141.218.60.56/~jnz1568/getInfo.php?workbook=10_05.xlsx&amp;sheet=U0&amp;row=10616&amp;col=6&amp;number=4.2&amp;sourceID=14","4.2")</f>
        <v>4.2</v>
      </c>
      <c r="G10616" s="4" t="str">
        <f>HYPERLINK("http://141.218.60.56/~jnz1568/getInfo.php?workbook=10_05.xlsx&amp;sheet=U0&amp;row=10616&amp;col=7&amp;number=5.75e-05&amp;sourceID=14","5.75e-05")</f>
        <v>5.75e-05</v>
      </c>
    </row>
    <row r="10617" spans="1:7">
      <c r="A10617" s="3"/>
      <c r="B10617" s="3"/>
      <c r="C10617" s="3"/>
      <c r="D10617" s="3"/>
      <c r="E10617" s="3">
        <v>14</v>
      </c>
      <c r="F10617" s="4" t="str">
        <f>HYPERLINK("http://141.218.60.56/~jnz1568/getInfo.php?workbook=10_05.xlsx&amp;sheet=U0&amp;row=10617&amp;col=6&amp;number=4.3&amp;sourceID=14","4.3")</f>
        <v>4.3</v>
      </c>
      <c r="G10617" s="4" t="str">
        <f>HYPERLINK("http://141.218.60.56/~jnz1568/getInfo.php?workbook=10_05.xlsx&amp;sheet=U0&amp;row=10617&amp;col=7&amp;number=5.68e-05&amp;sourceID=14","5.68e-05")</f>
        <v>5.68e-05</v>
      </c>
    </row>
    <row r="10618" spans="1:7">
      <c r="A10618" s="3"/>
      <c r="B10618" s="3"/>
      <c r="C10618" s="3"/>
      <c r="D10618" s="3"/>
      <c r="E10618" s="3">
        <v>15</v>
      </c>
      <c r="F10618" s="4" t="str">
        <f>HYPERLINK("http://141.218.60.56/~jnz1568/getInfo.php?workbook=10_05.xlsx&amp;sheet=U0&amp;row=10618&amp;col=6&amp;number=4.4&amp;sourceID=14","4.4")</f>
        <v>4.4</v>
      </c>
      <c r="G10618" s="4" t="str">
        <f>HYPERLINK("http://141.218.60.56/~jnz1568/getInfo.php?workbook=10_05.xlsx&amp;sheet=U0&amp;row=10618&amp;col=7&amp;number=5.61e-05&amp;sourceID=14","5.61e-05")</f>
        <v>5.61e-05</v>
      </c>
    </row>
    <row r="10619" spans="1:7">
      <c r="A10619" s="3"/>
      <c r="B10619" s="3"/>
      <c r="C10619" s="3"/>
      <c r="D10619" s="3"/>
      <c r="E10619" s="3">
        <v>16</v>
      </c>
      <c r="F10619" s="4" t="str">
        <f>HYPERLINK("http://141.218.60.56/~jnz1568/getInfo.php?workbook=10_05.xlsx&amp;sheet=U0&amp;row=10619&amp;col=6&amp;number=4.5&amp;sourceID=14","4.5")</f>
        <v>4.5</v>
      </c>
      <c r="G10619" s="4" t="str">
        <f>HYPERLINK("http://141.218.60.56/~jnz1568/getInfo.php?workbook=10_05.xlsx&amp;sheet=U0&amp;row=10619&amp;col=7&amp;number=5.53e-05&amp;sourceID=14","5.53e-05")</f>
        <v>5.53e-05</v>
      </c>
    </row>
    <row r="10620" spans="1:7">
      <c r="A10620" s="3"/>
      <c r="B10620" s="3"/>
      <c r="C10620" s="3"/>
      <c r="D10620" s="3"/>
      <c r="E10620" s="3">
        <v>17</v>
      </c>
      <c r="F10620" s="4" t="str">
        <f>HYPERLINK("http://141.218.60.56/~jnz1568/getInfo.php?workbook=10_05.xlsx&amp;sheet=U0&amp;row=10620&amp;col=6&amp;number=4.6&amp;sourceID=14","4.6")</f>
        <v>4.6</v>
      </c>
      <c r="G10620" s="4" t="str">
        <f>HYPERLINK("http://141.218.60.56/~jnz1568/getInfo.php?workbook=10_05.xlsx&amp;sheet=U0&amp;row=10620&amp;col=7&amp;number=5.45e-05&amp;sourceID=14","5.45e-05")</f>
        <v>5.45e-05</v>
      </c>
    </row>
    <row r="10621" spans="1:7">
      <c r="A10621" s="3"/>
      <c r="B10621" s="3"/>
      <c r="C10621" s="3"/>
      <c r="D10621" s="3"/>
      <c r="E10621" s="3">
        <v>18</v>
      </c>
      <c r="F10621" s="4" t="str">
        <f>HYPERLINK("http://141.218.60.56/~jnz1568/getInfo.php?workbook=10_05.xlsx&amp;sheet=U0&amp;row=10621&amp;col=6&amp;number=4.7&amp;sourceID=14","4.7")</f>
        <v>4.7</v>
      </c>
      <c r="G10621" s="4" t="str">
        <f>HYPERLINK("http://141.218.60.56/~jnz1568/getInfo.php?workbook=10_05.xlsx&amp;sheet=U0&amp;row=10621&amp;col=7&amp;number=5.37e-05&amp;sourceID=14","5.37e-05")</f>
        <v>5.37e-05</v>
      </c>
    </row>
    <row r="10622" spans="1:7">
      <c r="A10622" s="3"/>
      <c r="B10622" s="3"/>
      <c r="C10622" s="3"/>
      <c r="D10622" s="3"/>
      <c r="E10622" s="3">
        <v>19</v>
      </c>
      <c r="F10622" s="4" t="str">
        <f>HYPERLINK("http://141.218.60.56/~jnz1568/getInfo.php?workbook=10_05.xlsx&amp;sheet=U0&amp;row=10622&amp;col=6&amp;number=4.8&amp;sourceID=14","4.8")</f>
        <v>4.8</v>
      </c>
      <c r="G10622" s="4" t="str">
        <f>HYPERLINK("http://141.218.60.56/~jnz1568/getInfo.php?workbook=10_05.xlsx&amp;sheet=U0&amp;row=10622&amp;col=7&amp;number=5.27e-05&amp;sourceID=14","5.27e-05")</f>
        <v>5.27e-05</v>
      </c>
    </row>
    <row r="10623" spans="1:7">
      <c r="A10623" s="3"/>
      <c r="B10623" s="3"/>
      <c r="C10623" s="3"/>
      <c r="D10623" s="3"/>
      <c r="E10623" s="3">
        <v>20</v>
      </c>
      <c r="F10623" s="4" t="str">
        <f>HYPERLINK("http://141.218.60.56/~jnz1568/getInfo.php?workbook=10_05.xlsx&amp;sheet=U0&amp;row=10623&amp;col=6&amp;number=4.9&amp;sourceID=14","4.9")</f>
        <v>4.9</v>
      </c>
      <c r="G10623" s="4" t="str">
        <f>HYPERLINK("http://141.218.60.56/~jnz1568/getInfo.php?workbook=10_05.xlsx&amp;sheet=U0&amp;row=10623&amp;col=7&amp;number=5.16e-05&amp;sourceID=14","5.16e-05")</f>
        <v>5.16e-05</v>
      </c>
    </row>
    <row r="10624" spans="1:7">
      <c r="A10624" s="3">
        <v>10</v>
      </c>
      <c r="B10624" s="3">
        <v>5</v>
      </c>
      <c r="C10624" s="3">
        <v>3</v>
      </c>
      <c r="D10624" s="3">
        <v>178</v>
      </c>
      <c r="E10624" s="3">
        <v>1</v>
      </c>
      <c r="F10624" s="4" t="str">
        <f>HYPERLINK("http://141.218.60.56/~jnz1568/getInfo.php?workbook=10_05.xlsx&amp;sheet=U0&amp;row=10624&amp;col=6&amp;number=3&amp;sourceID=14","3")</f>
        <v>3</v>
      </c>
      <c r="G10624" s="4" t="str">
        <f>HYPERLINK("http://141.218.60.56/~jnz1568/getInfo.php?workbook=10_05.xlsx&amp;sheet=U0&amp;row=10624&amp;col=7&amp;number=0.000115&amp;sourceID=14","0.000115")</f>
        <v>0.000115</v>
      </c>
    </row>
    <row r="10625" spans="1:7">
      <c r="A10625" s="3"/>
      <c r="B10625" s="3"/>
      <c r="C10625" s="3"/>
      <c r="D10625" s="3"/>
      <c r="E10625" s="3">
        <v>2</v>
      </c>
      <c r="F10625" s="4" t="str">
        <f>HYPERLINK("http://141.218.60.56/~jnz1568/getInfo.php?workbook=10_05.xlsx&amp;sheet=U0&amp;row=10625&amp;col=6&amp;number=3.1&amp;sourceID=14","3.1")</f>
        <v>3.1</v>
      </c>
      <c r="G10625" s="4" t="str">
        <f>HYPERLINK("http://141.218.60.56/~jnz1568/getInfo.php?workbook=10_05.xlsx&amp;sheet=U0&amp;row=10625&amp;col=7&amp;number=0.000115&amp;sourceID=14","0.000115")</f>
        <v>0.000115</v>
      </c>
    </row>
    <row r="10626" spans="1:7">
      <c r="A10626" s="3"/>
      <c r="B10626" s="3"/>
      <c r="C10626" s="3"/>
      <c r="D10626" s="3"/>
      <c r="E10626" s="3">
        <v>3</v>
      </c>
      <c r="F10626" s="4" t="str">
        <f>HYPERLINK("http://141.218.60.56/~jnz1568/getInfo.php?workbook=10_05.xlsx&amp;sheet=U0&amp;row=10626&amp;col=6&amp;number=3.2&amp;sourceID=14","3.2")</f>
        <v>3.2</v>
      </c>
      <c r="G10626" s="4" t="str">
        <f>HYPERLINK("http://141.218.60.56/~jnz1568/getInfo.php?workbook=10_05.xlsx&amp;sheet=U0&amp;row=10626&amp;col=7&amp;number=0.000115&amp;sourceID=14","0.000115")</f>
        <v>0.000115</v>
      </c>
    </row>
    <row r="10627" spans="1:7">
      <c r="A10627" s="3"/>
      <c r="B10627" s="3"/>
      <c r="C10627" s="3"/>
      <c r="D10627" s="3"/>
      <c r="E10627" s="3">
        <v>4</v>
      </c>
      <c r="F10627" s="4" t="str">
        <f>HYPERLINK("http://141.218.60.56/~jnz1568/getInfo.php?workbook=10_05.xlsx&amp;sheet=U0&amp;row=10627&amp;col=6&amp;number=3.3&amp;sourceID=14","3.3")</f>
        <v>3.3</v>
      </c>
      <c r="G10627" s="4" t="str">
        <f>HYPERLINK("http://141.218.60.56/~jnz1568/getInfo.php?workbook=10_05.xlsx&amp;sheet=U0&amp;row=10627&amp;col=7&amp;number=0.000115&amp;sourceID=14","0.000115")</f>
        <v>0.000115</v>
      </c>
    </row>
    <row r="10628" spans="1:7">
      <c r="A10628" s="3"/>
      <c r="B10628" s="3"/>
      <c r="C10628" s="3"/>
      <c r="D10628" s="3"/>
      <c r="E10628" s="3">
        <v>5</v>
      </c>
      <c r="F10628" s="4" t="str">
        <f>HYPERLINK("http://141.218.60.56/~jnz1568/getInfo.php?workbook=10_05.xlsx&amp;sheet=U0&amp;row=10628&amp;col=6&amp;number=3.4&amp;sourceID=14","3.4")</f>
        <v>3.4</v>
      </c>
      <c r="G10628" s="4" t="str">
        <f>HYPERLINK("http://141.218.60.56/~jnz1568/getInfo.php?workbook=10_05.xlsx&amp;sheet=U0&amp;row=10628&amp;col=7&amp;number=0.000115&amp;sourceID=14","0.000115")</f>
        <v>0.000115</v>
      </c>
    </row>
    <row r="10629" spans="1:7">
      <c r="A10629" s="3"/>
      <c r="B10629" s="3"/>
      <c r="C10629" s="3"/>
      <c r="D10629" s="3"/>
      <c r="E10629" s="3">
        <v>6</v>
      </c>
      <c r="F10629" s="4" t="str">
        <f>HYPERLINK("http://141.218.60.56/~jnz1568/getInfo.php?workbook=10_05.xlsx&amp;sheet=U0&amp;row=10629&amp;col=6&amp;number=3.5&amp;sourceID=14","3.5")</f>
        <v>3.5</v>
      </c>
      <c r="G10629" s="4" t="str">
        <f>HYPERLINK("http://141.218.60.56/~jnz1568/getInfo.php?workbook=10_05.xlsx&amp;sheet=U0&amp;row=10629&amp;col=7&amp;number=0.000114&amp;sourceID=14","0.000114")</f>
        <v>0.000114</v>
      </c>
    </row>
    <row r="10630" spans="1:7">
      <c r="A10630" s="3"/>
      <c r="B10630" s="3"/>
      <c r="C10630" s="3"/>
      <c r="D10630" s="3"/>
      <c r="E10630" s="3">
        <v>7</v>
      </c>
      <c r="F10630" s="4" t="str">
        <f>HYPERLINK("http://141.218.60.56/~jnz1568/getInfo.php?workbook=10_05.xlsx&amp;sheet=U0&amp;row=10630&amp;col=6&amp;number=3.6&amp;sourceID=14","3.6")</f>
        <v>3.6</v>
      </c>
      <c r="G10630" s="4" t="str">
        <f>HYPERLINK("http://141.218.60.56/~jnz1568/getInfo.php?workbook=10_05.xlsx&amp;sheet=U0&amp;row=10630&amp;col=7&amp;number=0.000114&amp;sourceID=14","0.000114")</f>
        <v>0.000114</v>
      </c>
    </row>
    <row r="10631" spans="1:7">
      <c r="A10631" s="3"/>
      <c r="B10631" s="3"/>
      <c r="C10631" s="3"/>
      <c r="D10631" s="3"/>
      <c r="E10631" s="3">
        <v>8</v>
      </c>
      <c r="F10631" s="4" t="str">
        <f>HYPERLINK("http://141.218.60.56/~jnz1568/getInfo.php?workbook=10_05.xlsx&amp;sheet=U0&amp;row=10631&amp;col=6&amp;number=3.7&amp;sourceID=14","3.7")</f>
        <v>3.7</v>
      </c>
      <c r="G10631" s="4" t="str">
        <f>HYPERLINK("http://141.218.60.56/~jnz1568/getInfo.php?workbook=10_05.xlsx&amp;sheet=U0&amp;row=10631&amp;col=7&amp;number=0.000114&amp;sourceID=14","0.000114")</f>
        <v>0.000114</v>
      </c>
    </row>
    <row r="10632" spans="1:7">
      <c r="A10632" s="3"/>
      <c r="B10632" s="3"/>
      <c r="C10632" s="3"/>
      <c r="D10632" s="3"/>
      <c r="E10632" s="3">
        <v>9</v>
      </c>
      <c r="F10632" s="4" t="str">
        <f>HYPERLINK("http://141.218.60.56/~jnz1568/getInfo.php?workbook=10_05.xlsx&amp;sheet=U0&amp;row=10632&amp;col=6&amp;number=3.8&amp;sourceID=14","3.8")</f>
        <v>3.8</v>
      </c>
      <c r="G10632" s="4" t="str">
        <f>HYPERLINK("http://141.218.60.56/~jnz1568/getInfo.php?workbook=10_05.xlsx&amp;sheet=U0&amp;row=10632&amp;col=7&amp;number=0.000113&amp;sourceID=14","0.000113")</f>
        <v>0.000113</v>
      </c>
    </row>
    <row r="10633" spans="1:7">
      <c r="A10633" s="3"/>
      <c r="B10633" s="3"/>
      <c r="C10633" s="3"/>
      <c r="D10633" s="3"/>
      <c r="E10633" s="3">
        <v>10</v>
      </c>
      <c r="F10633" s="4" t="str">
        <f>HYPERLINK("http://141.218.60.56/~jnz1568/getInfo.php?workbook=10_05.xlsx&amp;sheet=U0&amp;row=10633&amp;col=6&amp;number=3.9&amp;sourceID=14","3.9")</f>
        <v>3.9</v>
      </c>
      <c r="G10633" s="4" t="str">
        <f>HYPERLINK("http://141.218.60.56/~jnz1568/getInfo.php?workbook=10_05.xlsx&amp;sheet=U0&amp;row=10633&amp;col=7&amp;number=0.000113&amp;sourceID=14","0.000113")</f>
        <v>0.000113</v>
      </c>
    </row>
    <row r="10634" spans="1:7">
      <c r="A10634" s="3"/>
      <c r="B10634" s="3"/>
      <c r="C10634" s="3"/>
      <c r="D10634" s="3"/>
      <c r="E10634" s="3">
        <v>11</v>
      </c>
      <c r="F10634" s="4" t="str">
        <f>HYPERLINK("http://141.218.60.56/~jnz1568/getInfo.php?workbook=10_05.xlsx&amp;sheet=U0&amp;row=10634&amp;col=6&amp;number=4&amp;sourceID=14","4")</f>
        <v>4</v>
      </c>
      <c r="G10634" s="4" t="str">
        <f>HYPERLINK("http://141.218.60.56/~jnz1568/getInfo.php?workbook=10_05.xlsx&amp;sheet=U0&amp;row=10634&amp;col=7&amp;number=0.000112&amp;sourceID=14","0.000112")</f>
        <v>0.000112</v>
      </c>
    </row>
    <row r="10635" spans="1:7">
      <c r="A10635" s="3"/>
      <c r="B10635" s="3"/>
      <c r="C10635" s="3"/>
      <c r="D10635" s="3"/>
      <c r="E10635" s="3">
        <v>12</v>
      </c>
      <c r="F10635" s="4" t="str">
        <f>HYPERLINK("http://141.218.60.56/~jnz1568/getInfo.php?workbook=10_05.xlsx&amp;sheet=U0&amp;row=10635&amp;col=6&amp;number=4.1&amp;sourceID=14","4.1")</f>
        <v>4.1</v>
      </c>
      <c r="G10635" s="4" t="str">
        <f>HYPERLINK("http://141.218.60.56/~jnz1568/getInfo.php?workbook=10_05.xlsx&amp;sheet=U0&amp;row=10635&amp;col=7&amp;number=0.000111&amp;sourceID=14","0.000111")</f>
        <v>0.000111</v>
      </c>
    </row>
    <row r="10636" spans="1:7">
      <c r="A10636" s="3"/>
      <c r="B10636" s="3"/>
      <c r="C10636" s="3"/>
      <c r="D10636" s="3"/>
      <c r="E10636" s="3">
        <v>13</v>
      </c>
      <c r="F10636" s="4" t="str">
        <f>HYPERLINK("http://141.218.60.56/~jnz1568/getInfo.php?workbook=10_05.xlsx&amp;sheet=U0&amp;row=10636&amp;col=6&amp;number=4.2&amp;sourceID=14","4.2")</f>
        <v>4.2</v>
      </c>
      <c r="G10636" s="4" t="str">
        <f>HYPERLINK("http://141.218.60.56/~jnz1568/getInfo.php?workbook=10_05.xlsx&amp;sheet=U0&amp;row=10636&amp;col=7&amp;number=0.00011&amp;sourceID=14","0.00011")</f>
        <v>0.00011</v>
      </c>
    </row>
    <row r="10637" spans="1:7">
      <c r="A10637" s="3"/>
      <c r="B10637" s="3"/>
      <c r="C10637" s="3"/>
      <c r="D10637" s="3"/>
      <c r="E10637" s="3">
        <v>14</v>
      </c>
      <c r="F10637" s="4" t="str">
        <f>HYPERLINK("http://141.218.60.56/~jnz1568/getInfo.php?workbook=10_05.xlsx&amp;sheet=U0&amp;row=10637&amp;col=6&amp;number=4.3&amp;sourceID=14","4.3")</f>
        <v>4.3</v>
      </c>
      <c r="G10637" s="4" t="str">
        <f>HYPERLINK("http://141.218.60.56/~jnz1568/getInfo.php?workbook=10_05.xlsx&amp;sheet=U0&amp;row=10637&amp;col=7&amp;number=0.000109&amp;sourceID=14","0.000109")</f>
        <v>0.000109</v>
      </c>
    </row>
    <row r="10638" spans="1:7">
      <c r="A10638" s="3"/>
      <c r="B10638" s="3"/>
      <c r="C10638" s="3"/>
      <c r="D10638" s="3"/>
      <c r="E10638" s="3">
        <v>15</v>
      </c>
      <c r="F10638" s="4" t="str">
        <f>HYPERLINK("http://141.218.60.56/~jnz1568/getInfo.php?workbook=10_05.xlsx&amp;sheet=U0&amp;row=10638&amp;col=6&amp;number=4.4&amp;sourceID=14","4.4")</f>
        <v>4.4</v>
      </c>
      <c r="G10638" s="4" t="str">
        <f>HYPERLINK("http://141.218.60.56/~jnz1568/getInfo.php?workbook=10_05.xlsx&amp;sheet=U0&amp;row=10638&amp;col=7&amp;number=0.000107&amp;sourceID=14","0.000107")</f>
        <v>0.000107</v>
      </c>
    </row>
    <row r="10639" spans="1:7">
      <c r="A10639" s="3"/>
      <c r="B10639" s="3"/>
      <c r="C10639" s="3"/>
      <c r="D10639" s="3"/>
      <c r="E10639" s="3">
        <v>16</v>
      </c>
      <c r="F10639" s="4" t="str">
        <f>HYPERLINK("http://141.218.60.56/~jnz1568/getInfo.php?workbook=10_05.xlsx&amp;sheet=U0&amp;row=10639&amp;col=6&amp;number=4.5&amp;sourceID=14","4.5")</f>
        <v>4.5</v>
      </c>
      <c r="G10639" s="4" t="str">
        <f>HYPERLINK("http://141.218.60.56/~jnz1568/getInfo.php?workbook=10_05.xlsx&amp;sheet=U0&amp;row=10639&amp;col=7&amp;number=0.000105&amp;sourceID=14","0.000105")</f>
        <v>0.000105</v>
      </c>
    </row>
    <row r="10640" spans="1:7">
      <c r="A10640" s="3"/>
      <c r="B10640" s="3"/>
      <c r="C10640" s="3"/>
      <c r="D10640" s="3"/>
      <c r="E10640" s="3">
        <v>17</v>
      </c>
      <c r="F10640" s="4" t="str">
        <f>HYPERLINK("http://141.218.60.56/~jnz1568/getInfo.php?workbook=10_05.xlsx&amp;sheet=U0&amp;row=10640&amp;col=6&amp;number=4.6&amp;sourceID=14","4.6")</f>
        <v>4.6</v>
      </c>
      <c r="G10640" s="4" t="str">
        <f>HYPERLINK("http://141.218.60.56/~jnz1568/getInfo.php?workbook=10_05.xlsx&amp;sheet=U0&amp;row=10640&amp;col=7&amp;number=0.000103&amp;sourceID=14","0.000103")</f>
        <v>0.000103</v>
      </c>
    </row>
    <row r="10641" spans="1:7">
      <c r="A10641" s="3"/>
      <c r="B10641" s="3"/>
      <c r="C10641" s="3"/>
      <c r="D10641" s="3"/>
      <c r="E10641" s="3">
        <v>18</v>
      </c>
      <c r="F10641" s="4" t="str">
        <f>HYPERLINK("http://141.218.60.56/~jnz1568/getInfo.php?workbook=10_05.xlsx&amp;sheet=U0&amp;row=10641&amp;col=6&amp;number=4.7&amp;sourceID=14","4.7")</f>
        <v>4.7</v>
      </c>
      <c r="G10641" s="4" t="str">
        <f>HYPERLINK("http://141.218.60.56/~jnz1568/getInfo.php?workbook=10_05.xlsx&amp;sheet=U0&amp;row=10641&amp;col=7&amp;number=0.000101&amp;sourceID=14","0.000101")</f>
        <v>0.000101</v>
      </c>
    </row>
    <row r="10642" spans="1:7">
      <c r="A10642" s="3"/>
      <c r="B10642" s="3"/>
      <c r="C10642" s="3"/>
      <c r="D10642" s="3"/>
      <c r="E10642" s="3">
        <v>19</v>
      </c>
      <c r="F10642" s="4" t="str">
        <f>HYPERLINK("http://141.218.60.56/~jnz1568/getInfo.php?workbook=10_05.xlsx&amp;sheet=U0&amp;row=10642&amp;col=6&amp;number=4.8&amp;sourceID=14","4.8")</f>
        <v>4.8</v>
      </c>
      <c r="G10642" s="4" t="str">
        <f>HYPERLINK("http://141.218.60.56/~jnz1568/getInfo.php?workbook=10_05.xlsx&amp;sheet=U0&amp;row=10642&amp;col=7&amp;number=9.84e-05&amp;sourceID=14","9.84e-05")</f>
        <v>9.84e-05</v>
      </c>
    </row>
    <row r="10643" spans="1:7">
      <c r="A10643" s="3"/>
      <c r="B10643" s="3"/>
      <c r="C10643" s="3"/>
      <c r="D10643" s="3"/>
      <c r="E10643" s="3">
        <v>20</v>
      </c>
      <c r="F10643" s="4" t="str">
        <f>HYPERLINK("http://141.218.60.56/~jnz1568/getInfo.php?workbook=10_05.xlsx&amp;sheet=U0&amp;row=10643&amp;col=6&amp;number=4.9&amp;sourceID=14","4.9")</f>
        <v>4.9</v>
      </c>
      <c r="G10643" s="4" t="str">
        <f>HYPERLINK("http://141.218.60.56/~jnz1568/getInfo.php?workbook=10_05.xlsx&amp;sheet=U0&amp;row=10643&amp;col=7&amp;number=9.57e-05&amp;sourceID=14","9.57e-05")</f>
        <v>9.57e-05</v>
      </c>
    </row>
    <row r="10644" spans="1:7">
      <c r="A10644" s="3">
        <v>10</v>
      </c>
      <c r="B10644" s="3">
        <v>5</v>
      </c>
      <c r="C10644" s="3">
        <v>3</v>
      </c>
      <c r="D10644" s="3">
        <v>179</v>
      </c>
      <c r="E10644" s="3">
        <v>1</v>
      </c>
      <c r="F10644" s="4" t="str">
        <f>HYPERLINK("http://141.218.60.56/~jnz1568/getInfo.php?workbook=10_05.xlsx&amp;sheet=U0&amp;row=10644&amp;col=6&amp;number=3&amp;sourceID=14","3")</f>
        <v>3</v>
      </c>
      <c r="G10644" s="4" t="str">
        <f>HYPERLINK("http://141.218.60.56/~jnz1568/getInfo.php?workbook=10_05.xlsx&amp;sheet=U0&amp;row=10644&amp;col=7&amp;number=5.28e-05&amp;sourceID=14","5.28e-05")</f>
        <v>5.28e-05</v>
      </c>
    </row>
    <row r="10645" spans="1:7">
      <c r="A10645" s="3"/>
      <c r="B10645" s="3"/>
      <c r="C10645" s="3"/>
      <c r="D10645" s="3"/>
      <c r="E10645" s="3">
        <v>2</v>
      </c>
      <c r="F10645" s="4" t="str">
        <f>HYPERLINK("http://141.218.60.56/~jnz1568/getInfo.php?workbook=10_05.xlsx&amp;sheet=U0&amp;row=10645&amp;col=6&amp;number=3.1&amp;sourceID=14","3.1")</f>
        <v>3.1</v>
      </c>
      <c r="G10645" s="4" t="str">
        <f>HYPERLINK("http://141.218.60.56/~jnz1568/getInfo.php?workbook=10_05.xlsx&amp;sheet=U0&amp;row=10645&amp;col=7&amp;number=5.28e-05&amp;sourceID=14","5.28e-05")</f>
        <v>5.28e-05</v>
      </c>
    </row>
    <row r="10646" spans="1:7">
      <c r="A10646" s="3"/>
      <c r="B10646" s="3"/>
      <c r="C10646" s="3"/>
      <c r="D10646" s="3"/>
      <c r="E10646" s="3">
        <v>3</v>
      </c>
      <c r="F10646" s="4" t="str">
        <f>HYPERLINK("http://141.218.60.56/~jnz1568/getInfo.php?workbook=10_05.xlsx&amp;sheet=U0&amp;row=10646&amp;col=6&amp;number=3.2&amp;sourceID=14","3.2")</f>
        <v>3.2</v>
      </c>
      <c r="G10646" s="4" t="str">
        <f>HYPERLINK("http://141.218.60.56/~jnz1568/getInfo.php?workbook=10_05.xlsx&amp;sheet=U0&amp;row=10646&amp;col=7&amp;number=5.28e-05&amp;sourceID=14","5.28e-05")</f>
        <v>5.28e-05</v>
      </c>
    </row>
    <row r="10647" spans="1:7">
      <c r="A10647" s="3"/>
      <c r="B10647" s="3"/>
      <c r="C10647" s="3"/>
      <c r="D10647" s="3"/>
      <c r="E10647" s="3">
        <v>4</v>
      </c>
      <c r="F10647" s="4" t="str">
        <f>HYPERLINK("http://141.218.60.56/~jnz1568/getInfo.php?workbook=10_05.xlsx&amp;sheet=U0&amp;row=10647&amp;col=6&amp;number=3.3&amp;sourceID=14","3.3")</f>
        <v>3.3</v>
      </c>
      <c r="G10647" s="4" t="str">
        <f>HYPERLINK("http://141.218.60.56/~jnz1568/getInfo.php?workbook=10_05.xlsx&amp;sheet=U0&amp;row=10647&amp;col=7&amp;number=5.28e-05&amp;sourceID=14","5.28e-05")</f>
        <v>5.28e-05</v>
      </c>
    </row>
    <row r="10648" spans="1:7">
      <c r="A10648" s="3"/>
      <c r="B10648" s="3"/>
      <c r="C10648" s="3"/>
      <c r="D10648" s="3"/>
      <c r="E10648" s="3">
        <v>5</v>
      </c>
      <c r="F10648" s="4" t="str">
        <f>HYPERLINK("http://141.218.60.56/~jnz1568/getInfo.php?workbook=10_05.xlsx&amp;sheet=U0&amp;row=10648&amp;col=6&amp;number=3.4&amp;sourceID=14","3.4")</f>
        <v>3.4</v>
      </c>
      <c r="G10648" s="4" t="str">
        <f>HYPERLINK("http://141.218.60.56/~jnz1568/getInfo.php?workbook=10_05.xlsx&amp;sheet=U0&amp;row=10648&amp;col=7&amp;number=5.27e-05&amp;sourceID=14","5.27e-05")</f>
        <v>5.27e-05</v>
      </c>
    </row>
    <row r="10649" spans="1:7">
      <c r="A10649" s="3"/>
      <c r="B10649" s="3"/>
      <c r="C10649" s="3"/>
      <c r="D10649" s="3"/>
      <c r="E10649" s="3">
        <v>6</v>
      </c>
      <c r="F10649" s="4" t="str">
        <f>HYPERLINK("http://141.218.60.56/~jnz1568/getInfo.php?workbook=10_05.xlsx&amp;sheet=U0&amp;row=10649&amp;col=6&amp;number=3.5&amp;sourceID=14","3.5")</f>
        <v>3.5</v>
      </c>
      <c r="G10649" s="4" t="str">
        <f>HYPERLINK("http://141.218.60.56/~jnz1568/getInfo.php?workbook=10_05.xlsx&amp;sheet=U0&amp;row=10649&amp;col=7&amp;number=5.27e-05&amp;sourceID=14","5.27e-05")</f>
        <v>5.27e-05</v>
      </c>
    </row>
    <row r="10650" spans="1:7">
      <c r="A10650" s="3"/>
      <c r="B10650" s="3"/>
      <c r="C10650" s="3"/>
      <c r="D10650" s="3"/>
      <c r="E10650" s="3">
        <v>7</v>
      </c>
      <c r="F10650" s="4" t="str">
        <f>HYPERLINK("http://141.218.60.56/~jnz1568/getInfo.php?workbook=10_05.xlsx&amp;sheet=U0&amp;row=10650&amp;col=6&amp;number=3.6&amp;sourceID=14","3.6")</f>
        <v>3.6</v>
      </c>
      <c r="G10650" s="4" t="str">
        <f>HYPERLINK("http://141.218.60.56/~jnz1568/getInfo.php?workbook=10_05.xlsx&amp;sheet=U0&amp;row=10650&amp;col=7&amp;number=5.26e-05&amp;sourceID=14","5.26e-05")</f>
        <v>5.26e-05</v>
      </c>
    </row>
    <row r="10651" spans="1:7">
      <c r="A10651" s="3"/>
      <c r="B10651" s="3"/>
      <c r="C10651" s="3"/>
      <c r="D10651" s="3"/>
      <c r="E10651" s="3">
        <v>8</v>
      </c>
      <c r="F10651" s="4" t="str">
        <f>HYPERLINK("http://141.218.60.56/~jnz1568/getInfo.php?workbook=10_05.xlsx&amp;sheet=U0&amp;row=10651&amp;col=6&amp;number=3.7&amp;sourceID=14","3.7")</f>
        <v>3.7</v>
      </c>
      <c r="G10651" s="4" t="str">
        <f>HYPERLINK("http://141.218.60.56/~jnz1568/getInfo.php?workbook=10_05.xlsx&amp;sheet=U0&amp;row=10651&amp;col=7&amp;number=5.26e-05&amp;sourceID=14","5.26e-05")</f>
        <v>5.26e-05</v>
      </c>
    </row>
    <row r="10652" spans="1:7">
      <c r="A10652" s="3"/>
      <c r="B10652" s="3"/>
      <c r="C10652" s="3"/>
      <c r="D10652" s="3"/>
      <c r="E10652" s="3">
        <v>9</v>
      </c>
      <c r="F10652" s="4" t="str">
        <f>HYPERLINK("http://141.218.60.56/~jnz1568/getInfo.php?workbook=10_05.xlsx&amp;sheet=U0&amp;row=10652&amp;col=6&amp;number=3.8&amp;sourceID=14","3.8")</f>
        <v>3.8</v>
      </c>
      <c r="G10652" s="4" t="str">
        <f>HYPERLINK("http://141.218.60.56/~jnz1568/getInfo.php?workbook=10_05.xlsx&amp;sheet=U0&amp;row=10652&amp;col=7&amp;number=5.25e-05&amp;sourceID=14","5.25e-05")</f>
        <v>5.25e-05</v>
      </c>
    </row>
    <row r="10653" spans="1:7">
      <c r="A10653" s="3"/>
      <c r="B10653" s="3"/>
      <c r="C10653" s="3"/>
      <c r="D10653" s="3"/>
      <c r="E10653" s="3">
        <v>10</v>
      </c>
      <c r="F10653" s="4" t="str">
        <f>HYPERLINK("http://141.218.60.56/~jnz1568/getInfo.php?workbook=10_05.xlsx&amp;sheet=U0&amp;row=10653&amp;col=6&amp;number=3.9&amp;sourceID=14","3.9")</f>
        <v>3.9</v>
      </c>
      <c r="G10653" s="4" t="str">
        <f>HYPERLINK("http://141.218.60.56/~jnz1568/getInfo.php?workbook=10_05.xlsx&amp;sheet=U0&amp;row=10653&amp;col=7&amp;number=5.24e-05&amp;sourceID=14","5.24e-05")</f>
        <v>5.24e-05</v>
      </c>
    </row>
    <row r="10654" spans="1:7">
      <c r="A10654" s="3"/>
      <c r="B10654" s="3"/>
      <c r="C10654" s="3"/>
      <c r="D10654" s="3"/>
      <c r="E10654" s="3">
        <v>11</v>
      </c>
      <c r="F10654" s="4" t="str">
        <f>HYPERLINK("http://141.218.60.56/~jnz1568/getInfo.php?workbook=10_05.xlsx&amp;sheet=U0&amp;row=10654&amp;col=6&amp;number=4&amp;sourceID=14","4")</f>
        <v>4</v>
      </c>
      <c r="G10654" s="4" t="str">
        <f>HYPERLINK("http://141.218.60.56/~jnz1568/getInfo.php?workbook=10_05.xlsx&amp;sheet=U0&amp;row=10654&amp;col=7&amp;number=5.22e-05&amp;sourceID=14","5.22e-05")</f>
        <v>5.22e-05</v>
      </c>
    </row>
    <row r="10655" spans="1:7">
      <c r="A10655" s="3"/>
      <c r="B10655" s="3"/>
      <c r="C10655" s="3"/>
      <c r="D10655" s="3"/>
      <c r="E10655" s="3">
        <v>12</v>
      </c>
      <c r="F10655" s="4" t="str">
        <f>HYPERLINK("http://141.218.60.56/~jnz1568/getInfo.php?workbook=10_05.xlsx&amp;sheet=U0&amp;row=10655&amp;col=6&amp;number=4.1&amp;sourceID=14","4.1")</f>
        <v>4.1</v>
      </c>
      <c r="G10655" s="4" t="str">
        <f>HYPERLINK("http://141.218.60.56/~jnz1568/getInfo.php?workbook=10_05.xlsx&amp;sheet=U0&amp;row=10655&amp;col=7&amp;number=5.21e-05&amp;sourceID=14","5.21e-05")</f>
        <v>5.21e-05</v>
      </c>
    </row>
    <row r="10656" spans="1:7">
      <c r="A10656" s="3"/>
      <c r="B10656" s="3"/>
      <c r="C10656" s="3"/>
      <c r="D10656" s="3"/>
      <c r="E10656" s="3">
        <v>13</v>
      </c>
      <c r="F10656" s="4" t="str">
        <f>HYPERLINK("http://141.218.60.56/~jnz1568/getInfo.php?workbook=10_05.xlsx&amp;sheet=U0&amp;row=10656&amp;col=6&amp;number=4.2&amp;sourceID=14","4.2")</f>
        <v>4.2</v>
      </c>
      <c r="G10656" s="4" t="str">
        <f>HYPERLINK("http://141.218.60.56/~jnz1568/getInfo.php?workbook=10_05.xlsx&amp;sheet=U0&amp;row=10656&amp;col=7&amp;number=5.18e-05&amp;sourceID=14","5.18e-05")</f>
        <v>5.18e-05</v>
      </c>
    </row>
    <row r="10657" spans="1:7">
      <c r="A10657" s="3"/>
      <c r="B10657" s="3"/>
      <c r="C10657" s="3"/>
      <c r="D10657" s="3"/>
      <c r="E10657" s="3">
        <v>14</v>
      </c>
      <c r="F10657" s="4" t="str">
        <f>HYPERLINK("http://141.218.60.56/~jnz1568/getInfo.php?workbook=10_05.xlsx&amp;sheet=U0&amp;row=10657&amp;col=6&amp;number=4.3&amp;sourceID=14","4.3")</f>
        <v>4.3</v>
      </c>
      <c r="G10657" s="4" t="str">
        <f>HYPERLINK("http://141.218.60.56/~jnz1568/getInfo.php?workbook=10_05.xlsx&amp;sheet=U0&amp;row=10657&amp;col=7&amp;number=5.16e-05&amp;sourceID=14","5.16e-05")</f>
        <v>5.16e-05</v>
      </c>
    </row>
    <row r="10658" spans="1:7">
      <c r="A10658" s="3"/>
      <c r="B10658" s="3"/>
      <c r="C10658" s="3"/>
      <c r="D10658" s="3"/>
      <c r="E10658" s="3">
        <v>15</v>
      </c>
      <c r="F10658" s="4" t="str">
        <f>HYPERLINK("http://141.218.60.56/~jnz1568/getInfo.php?workbook=10_05.xlsx&amp;sheet=U0&amp;row=10658&amp;col=6&amp;number=4.4&amp;sourceID=14","4.4")</f>
        <v>4.4</v>
      </c>
      <c r="G10658" s="4" t="str">
        <f>HYPERLINK("http://141.218.60.56/~jnz1568/getInfo.php?workbook=10_05.xlsx&amp;sheet=U0&amp;row=10658&amp;col=7&amp;number=5.12e-05&amp;sourceID=14","5.12e-05")</f>
        <v>5.12e-05</v>
      </c>
    </row>
    <row r="10659" spans="1:7">
      <c r="A10659" s="3"/>
      <c r="B10659" s="3"/>
      <c r="C10659" s="3"/>
      <c r="D10659" s="3"/>
      <c r="E10659" s="3">
        <v>16</v>
      </c>
      <c r="F10659" s="4" t="str">
        <f>HYPERLINK("http://141.218.60.56/~jnz1568/getInfo.php?workbook=10_05.xlsx&amp;sheet=U0&amp;row=10659&amp;col=6&amp;number=4.5&amp;sourceID=14","4.5")</f>
        <v>4.5</v>
      </c>
      <c r="G10659" s="4" t="str">
        <f>HYPERLINK("http://141.218.60.56/~jnz1568/getInfo.php?workbook=10_05.xlsx&amp;sheet=U0&amp;row=10659&amp;col=7&amp;number=5.08e-05&amp;sourceID=14","5.08e-05")</f>
        <v>5.08e-05</v>
      </c>
    </row>
    <row r="10660" spans="1:7">
      <c r="A10660" s="3"/>
      <c r="B10660" s="3"/>
      <c r="C10660" s="3"/>
      <c r="D10660" s="3"/>
      <c r="E10660" s="3">
        <v>17</v>
      </c>
      <c r="F10660" s="4" t="str">
        <f>HYPERLINK("http://141.218.60.56/~jnz1568/getInfo.php?workbook=10_05.xlsx&amp;sheet=U0&amp;row=10660&amp;col=6&amp;number=4.6&amp;sourceID=14","4.6")</f>
        <v>4.6</v>
      </c>
      <c r="G10660" s="4" t="str">
        <f>HYPERLINK("http://141.218.60.56/~jnz1568/getInfo.php?workbook=10_05.xlsx&amp;sheet=U0&amp;row=10660&amp;col=7&amp;number=5.03e-05&amp;sourceID=14","5.03e-05")</f>
        <v>5.03e-05</v>
      </c>
    </row>
    <row r="10661" spans="1:7">
      <c r="A10661" s="3"/>
      <c r="B10661" s="3"/>
      <c r="C10661" s="3"/>
      <c r="D10661" s="3"/>
      <c r="E10661" s="3">
        <v>18</v>
      </c>
      <c r="F10661" s="4" t="str">
        <f>HYPERLINK("http://141.218.60.56/~jnz1568/getInfo.php?workbook=10_05.xlsx&amp;sheet=U0&amp;row=10661&amp;col=6&amp;number=4.7&amp;sourceID=14","4.7")</f>
        <v>4.7</v>
      </c>
      <c r="G10661" s="4" t="str">
        <f>HYPERLINK("http://141.218.60.56/~jnz1568/getInfo.php?workbook=10_05.xlsx&amp;sheet=U0&amp;row=10661&amp;col=7&amp;number=4.98e-05&amp;sourceID=14","4.98e-05")</f>
        <v>4.98e-05</v>
      </c>
    </row>
    <row r="10662" spans="1:7">
      <c r="A10662" s="3"/>
      <c r="B10662" s="3"/>
      <c r="C10662" s="3"/>
      <c r="D10662" s="3"/>
      <c r="E10662" s="3">
        <v>19</v>
      </c>
      <c r="F10662" s="4" t="str">
        <f>HYPERLINK("http://141.218.60.56/~jnz1568/getInfo.php?workbook=10_05.xlsx&amp;sheet=U0&amp;row=10662&amp;col=6&amp;number=4.8&amp;sourceID=14","4.8")</f>
        <v>4.8</v>
      </c>
      <c r="G10662" s="4" t="str">
        <f>HYPERLINK("http://141.218.60.56/~jnz1568/getInfo.php?workbook=10_05.xlsx&amp;sheet=U0&amp;row=10662&amp;col=7&amp;number=4.91e-05&amp;sourceID=14","4.91e-05")</f>
        <v>4.91e-05</v>
      </c>
    </row>
    <row r="10663" spans="1:7">
      <c r="A10663" s="3"/>
      <c r="B10663" s="3"/>
      <c r="C10663" s="3"/>
      <c r="D10663" s="3"/>
      <c r="E10663" s="3">
        <v>20</v>
      </c>
      <c r="F10663" s="4" t="str">
        <f>HYPERLINK("http://141.218.60.56/~jnz1568/getInfo.php?workbook=10_05.xlsx&amp;sheet=U0&amp;row=10663&amp;col=6&amp;number=4.9&amp;sourceID=14","4.9")</f>
        <v>4.9</v>
      </c>
      <c r="G10663" s="4" t="str">
        <f>HYPERLINK("http://141.218.60.56/~jnz1568/getInfo.php?workbook=10_05.xlsx&amp;sheet=U0&amp;row=10663&amp;col=7&amp;number=4.84e-05&amp;sourceID=14","4.84e-05")</f>
        <v>4.84e-05</v>
      </c>
    </row>
    <row r="10664" spans="1:7">
      <c r="A10664" s="3">
        <v>10</v>
      </c>
      <c r="B10664" s="3">
        <v>5</v>
      </c>
      <c r="C10664" s="3">
        <v>3</v>
      </c>
      <c r="D10664" s="3">
        <v>180</v>
      </c>
      <c r="E10664" s="3">
        <v>1</v>
      </c>
      <c r="F10664" s="4" t="str">
        <f>HYPERLINK("http://141.218.60.56/~jnz1568/getInfo.php?workbook=10_05.xlsx&amp;sheet=U0&amp;row=10664&amp;col=6&amp;number=3&amp;sourceID=14","3")</f>
        <v>3</v>
      </c>
      <c r="G10664" s="4" t="str">
        <f>HYPERLINK("http://141.218.60.56/~jnz1568/getInfo.php?workbook=10_05.xlsx&amp;sheet=U0&amp;row=10664&amp;col=7&amp;number=4.74e-05&amp;sourceID=14","4.74e-05")</f>
        <v>4.74e-05</v>
      </c>
    </row>
    <row r="10665" spans="1:7">
      <c r="A10665" s="3"/>
      <c r="B10665" s="3"/>
      <c r="C10665" s="3"/>
      <c r="D10665" s="3"/>
      <c r="E10665" s="3">
        <v>2</v>
      </c>
      <c r="F10665" s="4" t="str">
        <f>HYPERLINK("http://141.218.60.56/~jnz1568/getInfo.php?workbook=10_05.xlsx&amp;sheet=U0&amp;row=10665&amp;col=6&amp;number=3.1&amp;sourceID=14","3.1")</f>
        <v>3.1</v>
      </c>
      <c r="G10665" s="4" t="str">
        <f>HYPERLINK("http://141.218.60.56/~jnz1568/getInfo.php?workbook=10_05.xlsx&amp;sheet=U0&amp;row=10665&amp;col=7&amp;number=4.73e-05&amp;sourceID=14","4.73e-05")</f>
        <v>4.73e-05</v>
      </c>
    </row>
    <row r="10666" spans="1:7">
      <c r="A10666" s="3"/>
      <c r="B10666" s="3"/>
      <c r="C10666" s="3"/>
      <c r="D10666" s="3"/>
      <c r="E10666" s="3">
        <v>3</v>
      </c>
      <c r="F10666" s="4" t="str">
        <f>HYPERLINK("http://141.218.60.56/~jnz1568/getInfo.php?workbook=10_05.xlsx&amp;sheet=U0&amp;row=10666&amp;col=6&amp;number=3.2&amp;sourceID=14","3.2")</f>
        <v>3.2</v>
      </c>
      <c r="G10666" s="4" t="str">
        <f>HYPERLINK("http://141.218.60.56/~jnz1568/getInfo.php?workbook=10_05.xlsx&amp;sheet=U0&amp;row=10666&amp;col=7&amp;number=4.73e-05&amp;sourceID=14","4.73e-05")</f>
        <v>4.73e-05</v>
      </c>
    </row>
    <row r="10667" spans="1:7">
      <c r="A10667" s="3"/>
      <c r="B10667" s="3"/>
      <c r="C10667" s="3"/>
      <c r="D10667" s="3"/>
      <c r="E10667" s="3">
        <v>4</v>
      </c>
      <c r="F10667" s="4" t="str">
        <f>HYPERLINK("http://141.218.60.56/~jnz1568/getInfo.php?workbook=10_05.xlsx&amp;sheet=U0&amp;row=10667&amp;col=6&amp;number=3.3&amp;sourceID=14","3.3")</f>
        <v>3.3</v>
      </c>
      <c r="G10667" s="4" t="str">
        <f>HYPERLINK("http://141.218.60.56/~jnz1568/getInfo.php?workbook=10_05.xlsx&amp;sheet=U0&amp;row=10667&amp;col=7&amp;number=4.72e-05&amp;sourceID=14","4.72e-05")</f>
        <v>4.72e-05</v>
      </c>
    </row>
    <row r="10668" spans="1:7">
      <c r="A10668" s="3"/>
      <c r="B10668" s="3"/>
      <c r="C10668" s="3"/>
      <c r="D10668" s="3"/>
      <c r="E10668" s="3">
        <v>5</v>
      </c>
      <c r="F10668" s="4" t="str">
        <f>HYPERLINK("http://141.218.60.56/~jnz1568/getInfo.php?workbook=10_05.xlsx&amp;sheet=U0&amp;row=10668&amp;col=6&amp;number=3.4&amp;sourceID=14","3.4")</f>
        <v>3.4</v>
      </c>
      <c r="G10668" s="4" t="str">
        <f>HYPERLINK("http://141.218.60.56/~jnz1568/getInfo.php?workbook=10_05.xlsx&amp;sheet=U0&amp;row=10668&amp;col=7&amp;number=4.71e-05&amp;sourceID=14","4.71e-05")</f>
        <v>4.71e-05</v>
      </c>
    </row>
    <row r="10669" spans="1:7">
      <c r="A10669" s="3"/>
      <c r="B10669" s="3"/>
      <c r="C10669" s="3"/>
      <c r="D10669" s="3"/>
      <c r="E10669" s="3">
        <v>6</v>
      </c>
      <c r="F10669" s="4" t="str">
        <f>HYPERLINK("http://141.218.60.56/~jnz1568/getInfo.php?workbook=10_05.xlsx&amp;sheet=U0&amp;row=10669&amp;col=6&amp;number=3.5&amp;sourceID=14","3.5")</f>
        <v>3.5</v>
      </c>
      <c r="G10669" s="4" t="str">
        <f>HYPERLINK("http://141.218.60.56/~jnz1568/getInfo.php?workbook=10_05.xlsx&amp;sheet=U0&amp;row=10669&amp;col=7&amp;number=4.7e-05&amp;sourceID=14","4.7e-05")</f>
        <v>4.7e-05</v>
      </c>
    </row>
    <row r="10670" spans="1:7">
      <c r="A10670" s="3"/>
      <c r="B10670" s="3"/>
      <c r="C10670" s="3"/>
      <c r="D10670" s="3"/>
      <c r="E10670" s="3">
        <v>7</v>
      </c>
      <c r="F10670" s="4" t="str">
        <f>HYPERLINK("http://141.218.60.56/~jnz1568/getInfo.php?workbook=10_05.xlsx&amp;sheet=U0&amp;row=10670&amp;col=6&amp;number=3.6&amp;sourceID=14","3.6")</f>
        <v>3.6</v>
      </c>
      <c r="G10670" s="4" t="str">
        <f>HYPERLINK("http://141.218.60.56/~jnz1568/getInfo.php?workbook=10_05.xlsx&amp;sheet=U0&amp;row=10670&amp;col=7&amp;number=4.69e-05&amp;sourceID=14","4.69e-05")</f>
        <v>4.69e-05</v>
      </c>
    </row>
    <row r="10671" spans="1:7">
      <c r="A10671" s="3"/>
      <c r="B10671" s="3"/>
      <c r="C10671" s="3"/>
      <c r="D10671" s="3"/>
      <c r="E10671" s="3">
        <v>8</v>
      </c>
      <c r="F10671" s="4" t="str">
        <f>HYPERLINK("http://141.218.60.56/~jnz1568/getInfo.php?workbook=10_05.xlsx&amp;sheet=U0&amp;row=10671&amp;col=6&amp;number=3.7&amp;sourceID=14","3.7")</f>
        <v>3.7</v>
      </c>
      <c r="G10671" s="4" t="str">
        <f>HYPERLINK("http://141.218.60.56/~jnz1568/getInfo.php?workbook=10_05.xlsx&amp;sheet=U0&amp;row=10671&amp;col=7&amp;number=4.67e-05&amp;sourceID=14","4.67e-05")</f>
        <v>4.67e-05</v>
      </c>
    </row>
    <row r="10672" spans="1:7">
      <c r="A10672" s="3"/>
      <c r="B10672" s="3"/>
      <c r="C10672" s="3"/>
      <c r="D10672" s="3"/>
      <c r="E10672" s="3">
        <v>9</v>
      </c>
      <c r="F10672" s="4" t="str">
        <f>HYPERLINK("http://141.218.60.56/~jnz1568/getInfo.php?workbook=10_05.xlsx&amp;sheet=U0&amp;row=10672&amp;col=6&amp;number=3.8&amp;sourceID=14","3.8")</f>
        <v>3.8</v>
      </c>
      <c r="G10672" s="4" t="str">
        <f>HYPERLINK("http://141.218.60.56/~jnz1568/getInfo.php?workbook=10_05.xlsx&amp;sheet=U0&amp;row=10672&amp;col=7&amp;number=4.65e-05&amp;sourceID=14","4.65e-05")</f>
        <v>4.65e-05</v>
      </c>
    </row>
    <row r="10673" spans="1:7">
      <c r="A10673" s="3"/>
      <c r="B10673" s="3"/>
      <c r="C10673" s="3"/>
      <c r="D10673" s="3"/>
      <c r="E10673" s="3">
        <v>10</v>
      </c>
      <c r="F10673" s="4" t="str">
        <f>HYPERLINK("http://141.218.60.56/~jnz1568/getInfo.php?workbook=10_05.xlsx&amp;sheet=U0&amp;row=10673&amp;col=6&amp;number=3.9&amp;sourceID=14","3.9")</f>
        <v>3.9</v>
      </c>
      <c r="G10673" s="4" t="str">
        <f>HYPERLINK("http://141.218.60.56/~jnz1568/getInfo.php?workbook=10_05.xlsx&amp;sheet=U0&amp;row=10673&amp;col=7&amp;number=4.63e-05&amp;sourceID=14","4.63e-05")</f>
        <v>4.63e-05</v>
      </c>
    </row>
    <row r="10674" spans="1:7">
      <c r="A10674" s="3"/>
      <c r="B10674" s="3"/>
      <c r="C10674" s="3"/>
      <c r="D10674" s="3"/>
      <c r="E10674" s="3">
        <v>11</v>
      </c>
      <c r="F10674" s="4" t="str">
        <f>HYPERLINK("http://141.218.60.56/~jnz1568/getInfo.php?workbook=10_05.xlsx&amp;sheet=U0&amp;row=10674&amp;col=6&amp;number=4&amp;sourceID=14","4")</f>
        <v>4</v>
      </c>
      <c r="G10674" s="4" t="str">
        <f>HYPERLINK("http://141.218.60.56/~jnz1568/getInfo.php?workbook=10_05.xlsx&amp;sheet=U0&amp;row=10674&amp;col=7&amp;number=4.6e-05&amp;sourceID=14","4.6e-05")</f>
        <v>4.6e-05</v>
      </c>
    </row>
    <row r="10675" spans="1:7">
      <c r="A10675" s="3"/>
      <c r="B10675" s="3"/>
      <c r="C10675" s="3"/>
      <c r="D10675" s="3"/>
      <c r="E10675" s="3">
        <v>12</v>
      </c>
      <c r="F10675" s="4" t="str">
        <f>HYPERLINK("http://141.218.60.56/~jnz1568/getInfo.php?workbook=10_05.xlsx&amp;sheet=U0&amp;row=10675&amp;col=6&amp;number=4.1&amp;sourceID=14","4.1")</f>
        <v>4.1</v>
      </c>
      <c r="G10675" s="4" t="str">
        <f>HYPERLINK("http://141.218.60.56/~jnz1568/getInfo.php?workbook=10_05.xlsx&amp;sheet=U0&amp;row=10675&amp;col=7&amp;number=4.56e-05&amp;sourceID=14","4.56e-05")</f>
        <v>4.56e-05</v>
      </c>
    </row>
    <row r="10676" spans="1:7">
      <c r="A10676" s="3"/>
      <c r="B10676" s="3"/>
      <c r="C10676" s="3"/>
      <c r="D10676" s="3"/>
      <c r="E10676" s="3">
        <v>13</v>
      </c>
      <c r="F10676" s="4" t="str">
        <f>HYPERLINK("http://141.218.60.56/~jnz1568/getInfo.php?workbook=10_05.xlsx&amp;sheet=U0&amp;row=10676&amp;col=6&amp;number=4.2&amp;sourceID=14","4.2")</f>
        <v>4.2</v>
      </c>
      <c r="G10676" s="4" t="str">
        <f>HYPERLINK("http://141.218.60.56/~jnz1568/getInfo.php?workbook=10_05.xlsx&amp;sheet=U0&amp;row=10676&amp;col=7&amp;number=4.52e-05&amp;sourceID=14","4.52e-05")</f>
        <v>4.52e-05</v>
      </c>
    </row>
    <row r="10677" spans="1:7">
      <c r="A10677" s="3"/>
      <c r="B10677" s="3"/>
      <c r="C10677" s="3"/>
      <c r="D10677" s="3"/>
      <c r="E10677" s="3">
        <v>14</v>
      </c>
      <c r="F10677" s="4" t="str">
        <f>HYPERLINK("http://141.218.60.56/~jnz1568/getInfo.php?workbook=10_05.xlsx&amp;sheet=U0&amp;row=10677&amp;col=6&amp;number=4.3&amp;sourceID=14","4.3")</f>
        <v>4.3</v>
      </c>
      <c r="G10677" s="4" t="str">
        <f>HYPERLINK("http://141.218.60.56/~jnz1568/getInfo.php?workbook=10_05.xlsx&amp;sheet=U0&amp;row=10677&amp;col=7&amp;number=4.47e-05&amp;sourceID=14","4.47e-05")</f>
        <v>4.47e-05</v>
      </c>
    </row>
    <row r="10678" spans="1:7">
      <c r="A10678" s="3"/>
      <c r="B10678" s="3"/>
      <c r="C10678" s="3"/>
      <c r="D10678" s="3"/>
      <c r="E10678" s="3">
        <v>15</v>
      </c>
      <c r="F10678" s="4" t="str">
        <f>HYPERLINK("http://141.218.60.56/~jnz1568/getInfo.php?workbook=10_05.xlsx&amp;sheet=U0&amp;row=10678&amp;col=6&amp;number=4.4&amp;sourceID=14","4.4")</f>
        <v>4.4</v>
      </c>
      <c r="G10678" s="4" t="str">
        <f>HYPERLINK("http://141.218.60.56/~jnz1568/getInfo.php?workbook=10_05.xlsx&amp;sheet=U0&amp;row=10678&amp;col=7&amp;number=4.41e-05&amp;sourceID=14","4.41e-05")</f>
        <v>4.41e-05</v>
      </c>
    </row>
    <row r="10679" spans="1:7">
      <c r="A10679" s="3"/>
      <c r="B10679" s="3"/>
      <c r="C10679" s="3"/>
      <c r="D10679" s="3"/>
      <c r="E10679" s="3">
        <v>16</v>
      </c>
      <c r="F10679" s="4" t="str">
        <f>HYPERLINK("http://141.218.60.56/~jnz1568/getInfo.php?workbook=10_05.xlsx&amp;sheet=U0&amp;row=10679&amp;col=6&amp;number=4.5&amp;sourceID=14","4.5")</f>
        <v>4.5</v>
      </c>
      <c r="G10679" s="4" t="str">
        <f>HYPERLINK("http://141.218.60.56/~jnz1568/getInfo.php?workbook=10_05.xlsx&amp;sheet=U0&amp;row=10679&amp;col=7&amp;number=4.36e-05&amp;sourceID=14","4.36e-05")</f>
        <v>4.36e-05</v>
      </c>
    </row>
    <row r="10680" spans="1:7">
      <c r="A10680" s="3"/>
      <c r="B10680" s="3"/>
      <c r="C10680" s="3"/>
      <c r="D10680" s="3"/>
      <c r="E10680" s="3">
        <v>17</v>
      </c>
      <c r="F10680" s="4" t="str">
        <f>HYPERLINK("http://141.218.60.56/~jnz1568/getInfo.php?workbook=10_05.xlsx&amp;sheet=U0&amp;row=10680&amp;col=6&amp;number=4.6&amp;sourceID=14","4.6")</f>
        <v>4.6</v>
      </c>
      <c r="G10680" s="4" t="str">
        <f>HYPERLINK("http://141.218.60.56/~jnz1568/getInfo.php?workbook=10_05.xlsx&amp;sheet=U0&amp;row=10680&amp;col=7&amp;number=4.3e-05&amp;sourceID=14","4.3e-05")</f>
        <v>4.3e-05</v>
      </c>
    </row>
    <row r="10681" spans="1:7">
      <c r="A10681" s="3"/>
      <c r="B10681" s="3"/>
      <c r="C10681" s="3"/>
      <c r="D10681" s="3"/>
      <c r="E10681" s="3">
        <v>18</v>
      </c>
      <c r="F10681" s="4" t="str">
        <f>HYPERLINK("http://141.218.60.56/~jnz1568/getInfo.php?workbook=10_05.xlsx&amp;sheet=U0&amp;row=10681&amp;col=6&amp;number=4.7&amp;sourceID=14","4.7")</f>
        <v>4.7</v>
      </c>
      <c r="G10681" s="4" t="str">
        <f>HYPERLINK("http://141.218.60.56/~jnz1568/getInfo.php?workbook=10_05.xlsx&amp;sheet=U0&amp;row=10681&amp;col=7&amp;number=4.24e-05&amp;sourceID=14","4.24e-05")</f>
        <v>4.24e-05</v>
      </c>
    </row>
    <row r="10682" spans="1:7">
      <c r="A10682" s="3"/>
      <c r="B10682" s="3"/>
      <c r="C10682" s="3"/>
      <c r="D10682" s="3"/>
      <c r="E10682" s="3">
        <v>19</v>
      </c>
      <c r="F10682" s="4" t="str">
        <f>HYPERLINK("http://141.218.60.56/~jnz1568/getInfo.php?workbook=10_05.xlsx&amp;sheet=U0&amp;row=10682&amp;col=6&amp;number=4.8&amp;sourceID=14","4.8")</f>
        <v>4.8</v>
      </c>
      <c r="G10682" s="4" t="str">
        <f>HYPERLINK("http://141.218.60.56/~jnz1568/getInfo.php?workbook=10_05.xlsx&amp;sheet=U0&amp;row=10682&amp;col=7&amp;number=4.17e-05&amp;sourceID=14","4.17e-05")</f>
        <v>4.17e-05</v>
      </c>
    </row>
    <row r="10683" spans="1:7">
      <c r="A10683" s="3"/>
      <c r="B10683" s="3"/>
      <c r="C10683" s="3"/>
      <c r="D10683" s="3"/>
      <c r="E10683" s="3">
        <v>20</v>
      </c>
      <c r="F10683" s="4" t="str">
        <f>HYPERLINK("http://141.218.60.56/~jnz1568/getInfo.php?workbook=10_05.xlsx&amp;sheet=U0&amp;row=10683&amp;col=6&amp;number=4.9&amp;sourceID=14","4.9")</f>
        <v>4.9</v>
      </c>
      <c r="G10683" s="4" t="str">
        <f>HYPERLINK("http://141.218.60.56/~jnz1568/getInfo.php?workbook=10_05.xlsx&amp;sheet=U0&amp;row=10683&amp;col=7&amp;number=4.09e-05&amp;sourceID=14","4.09e-05")</f>
        <v>4.09e-05</v>
      </c>
    </row>
    <row r="10684" spans="1:7">
      <c r="A10684" s="3">
        <v>10</v>
      </c>
      <c r="B10684" s="3">
        <v>5</v>
      </c>
      <c r="C10684" s="3">
        <v>4</v>
      </c>
      <c r="D10684" s="3">
        <v>5</v>
      </c>
      <c r="E10684" s="3">
        <v>1</v>
      </c>
      <c r="F10684" s="4" t="str">
        <f>HYPERLINK("http://141.218.60.56/~jnz1568/getInfo.php?workbook=10_05.xlsx&amp;sheet=U0&amp;row=10684&amp;col=6&amp;number=3&amp;sourceID=14","3")</f>
        <v>3</v>
      </c>
      <c r="G10684" s="4" t="str">
        <f>HYPERLINK("http://141.218.60.56/~jnz1568/getInfo.php?workbook=10_05.xlsx&amp;sheet=U0&amp;row=10684&amp;col=7&amp;number=0.767&amp;sourceID=14","0.767")</f>
        <v>0.767</v>
      </c>
    </row>
    <row r="10685" spans="1:7">
      <c r="A10685" s="3"/>
      <c r="B10685" s="3"/>
      <c r="C10685" s="3"/>
      <c r="D10685" s="3"/>
      <c r="E10685" s="3">
        <v>2</v>
      </c>
      <c r="F10685" s="4" t="str">
        <f>HYPERLINK("http://141.218.60.56/~jnz1568/getInfo.php?workbook=10_05.xlsx&amp;sheet=U0&amp;row=10685&amp;col=6&amp;number=3.1&amp;sourceID=14","3.1")</f>
        <v>3.1</v>
      </c>
      <c r="G10685" s="4" t="str">
        <f>HYPERLINK("http://141.218.60.56/~jnz1568/getInfo.php?workbook=10_05.xlsx&amp;sheet=U0&amp;row=10685&amp;col=7&amp;number=0.771&amp;sourceID=14","0.771")</f>
        <v>0.771</v>
      </c>
    </row>
    <row r="10686" spans="1:7">
      <c r="A10686" s="3"/>
      <c r="B10686" s="3"/>
      <c r="C10686" s="3"/>
      <c r="D10686" s="3"/>
      <c r="E10686" s="3">
        <v>3</v>
      </c>
      <c r="F10686" s="4" t="str">
        <f>HYPERLINK("http://141.218.60.56/~jnz1568/getInfo.php?workbook=10_05.xlsx&amp;sheet=U0&amp;row=10686&amp;col=6&amp;number=3.2&amp;sourceID=14","3.2")</f>
        <v>3.2</v>
      </c>
      <c r="G10686" s="4" t="str">
        <f>HYPERLINK("http://141.218.60.56/~jnz1568/getInfo.php?workbook=10_05.xlsx&amp;sheet=U0&amp;row=10686&amp;col=7&amp;number=0.776&amp;sourceID=14","0.776")</f>
        <v>0.776</v>
      </c>
    </row>
    <row r="10687" spans="1:7">
      <c r="A10687" s="3"/>
      <c r="B10687" s="3"/>
      <c r="C10687" s="3"/>
      <c r="D10687" s="3"/>
      <c r="E10687" s="3">
        <v>4</v>
      </c>
      <c r="F10687" s="4" t="str">
        <f>HYPERLINK("http://141.218.60.56/~jnz1568/getInfo.php?workbook=10_05.xlsx&amp;sheet=U0&amp;row=10687&amp;col=6&amp;number=3.3&amp;sourceID=14","3.3")</f>
        <v>3.3</v>
      </c>
      <c r="G10687" s="4" t="str">
        <f>HYPERLINK("http://141.218.60.56/~jnz1568/getInfo.php?workbook=10_05.xlsx&amp;sheet=U0&amp;row=10687&amp;col=7&amp;number=0.783&amp;sourceID=14","0.783")</f>
        <v>0.783</v>
      </c>
    </row>
    <row r="10688" spans="1:7">
      <c r="A10688" s="3"/>
      <c r="B10688" s="3"/>
      <c r="C10688" s="3"/>
      <c r="D10688" s="3"/>
      <c r="E10688" s="3">
        <v>5</v>
      </c>
      <c r="F10688" s="4" t="str">
        <f>HYPERLINK("http://141.218.60.56/~jnz1568/getInfo.php?workbook=10_05.xlsx&amp;sheet=U0&amp;row=10688&amp;col=6&amp;number=3.4&amp;sourceID=14","3.4")</f>
        <v>3.4</v>
      </c>
      <c r="G10688" s="4" t="str">
        <f>HYPERLINK("http://141.218.60.56/~jnz1568/getInfo.php?workbook=10_05.xlsx&amp;sheet=U0&amp;row=10688&amp;col=7&amp;number=0.79&amp;sourceID=14","0.79")</f>
        <v>0.79</v>
      </c>
    </row>
    <row r="10689" spans="1:7">
      <c r="A10689" s="3"/>
      <c r="B10689" s="3"/>
      <c r="C10689" s="3"/>
      <c r="D10689" s="3"/>
      <c r="E10689" s="3">
        <v>6</v>
      </c>
      <c r="F10689" s="4" t="str">
        <f>HYPERLINK("http://141.218.60.56/~jnz1568/getInfo.php?workbook=10_05.xlsx&amp;sheet=U0&amp;row=10689&amp;col=6&amp;number=3.5&amp;sourceID=14","3.5")</f>
        <v>3.5</v>
      </c>
      <c r="G10689" s="4" t="str">
        <f>HYPERLINK("http://141.218.60.56/~jnz1568/getInfo.php?workbook=10_05.xlsx&amp;sheet=U0&amp;row=10689&amp;col=7&amp;number=0.8&amp;sourceID=14","0.8")</f>
        <v>0.8</v>
      </c>
    </row>
    <row r="10690" spans="1:7">
      <c r="A10690" s="3"/>
      <c r="B10690" s="3"/>
      <c r="C10690" s="3"/>
      <c r="D10690" s="3"/>
      <c r="E10690" s="3">
        <v>7</v>
      </c>
      <c r="F10690" s="4" t="str">
        <f>HYPERLINK("http://141.218.60.56/~jnz1568/getInfo.php?workbook=10_05.xlsx&amp;sheet=U0&amp;row=10690&amp;col=6&amp;number=3.6&amp;sourceID=14","3.6")</f>
        <v>3.6</v>
      </c>
      <c r="G10690" s="4" t="str">
        <f>HYPERLINK("http://141.218.60.56/~jnz1568/getInfo.php?workbook=10_05.xlsx&amp;sheet=U0&amp;row=10690&amp;col=7&amp;number=0.812&amp;sourceID=14","0.812")</f>
        <v>0.812</v>
      </c>
    </row>
    <row r="10691" spans="1:7">
      <c r="A10691" s="3"/>
      <c r="B10691" s="3"/>
      <c r="C10691" s="3"/>
      <c r="D10691" s="3"/>
      <c r="E10691" s="3">
        <v>8</v>
      </c>
      <c r="F10691" s="4" t="str">
        <f>HYPERLINK("http://141.218.60.56/~jnz1568/getInfo.php?workbook=10_05.xlsx&amp;sheet=U0&amp;row=10691&amp;col=6&amp;number=3.7&amp;sourceID=14","3.7")</f>
        <v>3.7</v>
      </c>
      <c r="G10691" s="4" t="str">
        <f>HYPERLINK("http://141.218.60.56/~jnz1568/getInfo.php?workbook=10_05.xlsx&amp;sheet=U0&amp;row=10691&amp;col=7&amp;number=0.827&amp;sourceID=14","0.827")</f>
        <v>0.827</v>
      </c>
    </row>
    <row r="10692" spans="1:7">
      <c r="A10692" s="3"/>
      <c r="B10692" s="3"/>
      <c r="C10692" s="3"/>
      <c r="D10692" s="3"/>
      <c r="E10692" s="3">
        <v>9</v>
      </c>
      <c r="F10692" s="4" t="str">
        <f>HYPERLINK("http://141.218.60.56/~jnz1568/getInfo.php?workbook=10_05.xlsx&amp;sheet=U0&amp;row=10692&amp;col=6&amp;number=3.8&amp;sourceID=14","3.8")</f>
        <v>3.8</v>
      </c>
      <c r="G10692" s="4" t="str">
        <f>HYPERLINK("http://141.218.60.56/~jnz1568/getInfo.php?workbook=10_05.xlsx&amp;sheet=U0&amp;row=10692&amp;col=7&amp;number=0.846&amp;sourceID=14","0.846")</f>
        <v>0.846</v>
      </c>
    </row>
    <row r="10693" spans="1:7">
      <c r="A10693" s="3"/>
      <c r="B10693" s="3"/>
      <c r="C10693" s="3"/>
      <c r="D10693" s="3"/>
      <c r="E10693" s="3">
        <v>10</v>
      </c>
      <c r="F10693" s="4" t="str">
        <f>HYPERLINK("http://141.218.60.56/~jnz1568/getInfo.php?workbook=10_05.xlsx&amp;sheet=U0&amp;row=10693&amp;col=6&amp;number=3.9&amp;sourceID=14","3.9")</f>
        <v>3.9</v>
      </c>
      <c r="G10693" s="4" t="str">
        <f>HYPERLINK("http://141.218.60.56/~jnz1568/getInfo.php?workbook=10_05.xlsx&amp;sheet=U0&amp;row=10693&amp;col=7&amp;number=0.87&amp;sourceID=14","0.87")</f>
        <v>0.87</v>
      </c>
    </row>
    <row r="10694" spans="1:7">
      <c r="A10694" s="3"/>
      <c r="B10694" s="3"/>
      <c r="C10694" s="3"/>
      <c r="D10694" s="3"/>
      <c r="E10694" s="3">
        <v>11</v>
      </c>
      <c r="F10694" s="4" t="str">
        <f>HYPERLINK("http://141.218.60.56/~jnz1568/getInfo.php?workbook=10_05.xlsx&amp;sheet=U0&amp;row=10694&amp;col=6&amp;number=4&amp;sourceID=14","4")</f>
        <v>4</v>
      </c>
      <c r="G10694" s="4" t="str">
        <f>HYPERLINK("http://141.218.60.56/~jnz1568/getInfo.php?workbook=10_05.xlsx&amp;sheet=U0&amp;row=10694&amp;col=7&amp;number=0.899&amp;sourceID=14","0.899")</f>
        <v>0.899</v>
      </c>
    </row>
    <row r="10695" spans="1:7">
      <c r="A10695" s="3"/>
      <c r="B10695" s="3"/>
      <c r="C10695" s="3"/>
      <c r="D10695" s="3"/>
      <c r="E10695" s="3">
        <v>12</v>
      </c>
      <c r="F10695" s="4" t="str">
        <f>HYPERLINK("http://141.218.60.56/~jnz1568/getInfo.php?workbook=10_05.xlsx&amp;sheet=U0&amp;row=10695&amp;col=6&amp;number=4.1&amp;sourceID=14","4.1")</f>
        <v>4.1</v>
      </c>
      <c r="G10695" s="4" t="str">
        <f>HYPERLINK("http://141.218.60.56/~jnz1568/getInfo.php?workbook=10_05.xlsx&amp;sheet=U0&amp;row=10695&amp;col=7&amp;number=0.934&amp;sourceID=14","0.934")</f>
        <v>0.934</v>
      </c>
    </row>
    <row r="10696" spans="1:7">
      <c r="A10696" s="3"/>
      <c r="B10696" s="3"/>
      <c r="C10696" s="3"/>
      <c r="D10696" s="3"/>
      <c r="E10696" s="3">
        <v>13</v>
      </c>
      <c r="F10696" s="4" t="str">
        <f>HYPERLINK("http://141.218.60.56/~jnz1568/getInfo.php?workbook=10_05.xlsx&amp;sheet=U0&amp;row=10696&amp;col=6&amp;number=4.2&amp;sourceID=14","4.2")</f>
        <v>4.2</v>
      </c>
      <c r="G10696" s="4" t="str">
        <f>HYPERLINK("http://141.218.60.56/~jnz1568/getInfo.php?workbook=10_05.xlsx&amp;sheet=U0&amp;row=10696&amp;col=7&amp;number=0.978&amp;sourceID=14","0.978")</f>
        <v>0.978</v>
      </c>
    </row>
    <row r="10697" spans="1:7">
      <c r="A10697" s="3"/>
      <c r="B10697" s="3"/>
      <c r="C10697" s="3"/>
      <c r="D10697" s="3"/>
      <c r="E10697" s="3">
        <v>14</v>
      </c>
      <c r="F10697" s="4" t="str">
        <f>HYPERLINK("http://141.218.60.56/~jnz1568/getInfo.php?workbook=10_05.xlsx&amp;sheet=U0&amp;row=10697&amp;col=6&amp;number=4.3&amp;sourceID=14","4.3")</f>
        <v>4.3</v>
      </c>
      <c r="G10697" s="4" t="str">
        <f>HYPERLINK("http://141.218.60.56/~jnz1568/getInfo.php?workbook=10_05.xlsx&amp;sheet=U0&amp;row=10697&amp;col=7&amp;number=1.03&amp;sourceID=14","1.03")</f>
        <v>1.03</v>
      </c>
    </row>
    <row r="10698" spans="1:7">
      <c r="A10698" s="3"/>
      <c r="B10698" s="3"/>
      <c r="C10698" s="3"/>
      <c r="D10698" s="3"/>
      <c r="E10698" s="3">
        <v>15</v>
      </c>
      <c r="F10698" s="4" t="str">
        <f>HYPERLINK("http://141.218.60.56/~jnz1568/getInfo.php?workbook=10_05.xlsx&amp;sheet=U0&amp;row=10698&amp;col=6&amp;number=4.4&amp;sourceID=14","4.4")</f>
        <v>4.4</v>
      </c>
      <c r="G10698" s="4" t="str">
        <f>HYPERLINK("http://141.218.60.56/~jnz1568/getInfo.php?workbook=10_05.xlsx&amp;sheet=U0&amp;row=10698&amp;col=7&amp;number=1.1&amp;sourceID=14","1.1")</f>
        <v>1.1</v>
      </c>
    </row>
    <row r="10699" spans="1:7">
      <c r="A10699" s="3"/>
      <c r="B10699" s="3"/>
      <c r="C10699" s="3"/>
      <c r="D10699" s="3"/>
      <c r="E10699" s="3">
        <v>16</v>
      </c>
      <c r="F10699" s="4" t="str">
        <f>HYPERLINK("http://141.218.60.56/~jnz1568/getInfo.php?workbook=10_05.xlsx&amp;sheet=U0&amp;row=10699&amp;col=6&amp;number=4.5&amp;sourceID=14","4.5")</f>
        <v>4.5</v>
      </c>
      <c r="G10699" s="4" t="str">
        <f>HYPERLINK("http://141.218.60.56/~jnz1568/getInfo.php?workbook=10_05.xlsx&amp;sheet=U0&amp;row=10699&amp;col=7&amp;number=1.17&amp;sourceID=14","1.17")</f>
        <v>1.17</v>
      </c>
    </row>
    <row r="10700" spans="1:7">
      <c r="A10700" s="3"/>
      <c r="B10700" s="3"/>
      <c r="C10700" s="3"/>
      <c r="D10700" s="3"/>
      <c r="E10700" s="3">
        <v>17</v>
      </c>
      <c r="F10700" s="4" t="str">
        <f>HYPERLINK("http://141.218.60.56/~jnz1568/getInfo.php?workbook=10_05.xlsx&amp;sheet=U0&amp;row=10700&amp;col=6&amp;number=4.6&amp;sourceID=14","4.6")</f>
        <v>4.6</v>
      </c>
      <c r="G10700" s="4" t="str">
        <f>HYPERLINK("http://141.218.60.56/~jnz1568/getInfo.php?workbook=10_05.xlsx&amp;sheet=U0&amp;row=10700&amp;col=7&amp;number=1.25&amp;sourceID=14","1.25")</f>
        <v>1.25</v>
      </c>
    </row>
    <row r="10701" spans="1:7">
      <c r="A10701" s="3"/>
      <c r="B10701" s="3"/>
      <c r="C10701" s="3"/>
      <c r="D10701" s="3"/>
      <c r="E10701" s="3">
        <v>18</v>
      </c>
      <c r="F10701" s="4" t="str">
        <f>HYPERLINK("http://141.218.60.56/~jnz1568/getInfo.php?workbook=10_05.xlsx&amp;sheet=U0&amp;row=10701&amp;col=6&amp;number=4.7&amp;sourceID=14","4.7")</f>
        <v>4.7</v>
      </c>
      <c r="G10701" s="4" t="str">
        <f>HYPERLINK("http://141.218.60.56/~jnz1568/getInfo.php?workbook=10_05.xlsx&amp;sheet=U0&amp;row=10701&amp;col=7&amp;number=1.31&amp;sourceID=14","1.31")</f>
        <v>1.31</v>
      </c>
    </row>
    <row r="10702" spans="1:7">
      <c r="A10702" s="3"/>
      <c r="B10702" s="3"/>
      <c r="C10702" s="3"/>
      <c r="D10702" s="3"/>
      <c r="E10702" s="3">
        <v>19</v>
      </c>
      <c r="F10702" s="4" t="str">
        <f>HYPERLINK("http://141.218.60.56/~jnz1568/getInfo.php?workbook=10_05.xlsx&amp;sheet=U0&amp;row=10702&amp;col=6&amp;number=4.8&amp;sourceID=14","4.8")</f>
        <v>4.8</v>
      </c>
      <c r="G10702" s="4" t="str">
        <f>HYPERLINK("http://141.218.60.56/~jnz1568/getInfo.php?workbook=10_05.xlsx&amp;sheet=U0&amp;row=10702&amp;col=7&amp;number=1.34&amp;sourceID=14","1.34")</f>
        <v>1.34</v>
      </c>
    </row>
    <row r="10703" spans="1:7">
      <c r="A10703" s="3"/>
      <c r="B10703" s="3"/>
      <c r="C10703" s="3"/>
      <c r="D10703" s="3"/>
      <c r="E10703" s="3">
        <v>20</v>
      </c>
      <c r="F10703" s="4" t="str">
        <f>HYPERLINK("http://141.218.60.56/~jnz1568/getInfo.php?workbook=10_05.xlsx&amp;sheet=U0&amp;row=10703&amp;col=6&amp;number=4.9&amp;sourceID=14","4.9")</f>
        <v>4.9</v>
      </c>
      <c r="G10703" s="4" t="str">
        <f>HYPERLINK("http://141.218.60.56/~jnz1568/getInfo.php?workbook=10_05.xlsx&amp;sheet=U0&amp;row=10703&amp;col=7&amp;number=1.33&amp;sourceID=14","1.33")</f>
        <v>1.33</v>
      </c>
    </row>
    <row r="10704" spans="1:7">
      <c r="A10704" s="3">
        <v>10</v>
      </c>
      <c r="B10704" s="3">
        <v>5</v>
      </c>
      <c r="C10704" s="3">
        <v>4</v>
      </c>
      <c r="D10704" s="3">
        <v>6</v>
      </c>
      <c r="E10704" s="3">
        <v>1</v>
      </c>
      <c r="F10704" s="4" t="str">
        <f>HYPERLINK("http://141.218.60.56/~jnz1568/getInfo.php?workbook=10_05.xlsx&amp;sheet=U0&amp;row=10704&amp;col=6&amp;number=3&amp;sourceID=14","3")</f>
        <v>3</v>
      </c>
      <c r="G10704" s="4" t="str">
        <f>HYPERLINK("http://141.218.60.56/~jnz1568/getInfo.php?workbook=10_05.xlsx&amp;sheet=U0&amp;row=10704&amp;col=7&amp;number=0.352&amp;sourceID=14","0.352")</f>
        <v>0.352</v>
      </c>
    </row>
    <row r="10705" spans="1:7">
      <c r="A10705" s="3"/>
      <c r="B10705" s="3"/>
      <c r="C10705" s="3"/>
      <c r="D10705" s="3"/>
      <c r="E10705" s="3">
        <v>2</v>
      </c>
      <c r="F10705" s="4" t="str">
        <f>HYPERLINK("http://141.218.60.56/~jnz1568/getInfo.php?workbook=10_05.xlsx&amp;sheet=U0&amp;row=10705&amp;col=6&amp;number=3.1&amp;sourceID=14","3.1")</f>
        <v>3.1</v>
      </c>
      <c r="G10705" s="4" t="str">
        <f>HYPERLINK("http://141.218.60.56/~jnz1568/getInfo.php?workbook=10_05.xlsx&amp;sheet=U0&amp;row=10705&amp;col=7&amp;number=0.352&amp;sourceID=14","0.352")</f>
        <v>0.352</v>
      </c>
    </row>
    <row r="10706" spans="1:7">
      <c r="A10706" s="3"/>
      <c r="B10706" s="3"/>
      <c r="C10706" s="3"/>
      <c r="D10706" s="3"/>
      <c r="E10706" s="3">
        <v>3</v>
      </c>
      <c r="F10706" s="4" t="str">
        <f>HYPERLINK("http://141.218.60.56/~jnz1568/getInfo.php?workbook=10_05.xlsx&amp;sheet=U0&amp;row=10706&amp;col=6&amp;number=3.2&amp;sourceID=14","3.2")</f>
        <v>3.2</v>
      </c>
      <c r="G10706" s="4" t="str">
        <f>HYPERLINK("http://141.218.60.56/~jnz1568/getInfo.php?workbook=10_05.xlsx&amp;sheet=U0&amp;row=10706&amp;col=7&amp;number=0.351&amp;sourceID=14","0.351")</f>
        <v>0.351</v>
      </c>
    </row>
    <row r="10707" spans="1:7">
      <c r="A10707" s="3"/>
      <c r="B10707" s="3"/>
      <c r="C10707" s="3"/>
      <c r="D10707" s="3"/>
      <c r="E10707" s="3">
        <v>4</v>
      </c>
      <c r="F10707" s="4" t="str">
        <f>HYPERLINK("http://141.218.60.56/~jnz1568/getInfo.php?workbook=10_05.xlsx&amp;sheet=U0&amp;row=10707&amp;col=6&amp;number=3.3&amp;sourceID=14","3.3")</f>
        <v>3.3</v>
      </c>
      <c r="G10707" s="4" t="str">
        <f>HYPERLINK("http://141.218.60.56/~jnz1568/getInfo.php?workbook=10_05.xlsx&amp;sheet=U0&amp;row=10707&amp;col=7&amp;number=0.351&amp;sourceID=14","0.351")</f>
        <v>0.351</v>
      </c>
    </row>
    <row r="10708" spans="1:7">
      <c r="A10708" s="3"/>
      <c r="B10708" s="3"/>
      <c r="C10708" s="3"/>
      <c r="D10708" s="3"/>
      <c r="E10708" s="3">
        <v>5</v>
      </c>
      <c r="F10708" s="4" t="str">
        <f>HYPERLINK("http://141.218.60.56/~jnz1568/getInfo.php?workbook=10_05.xlsx&amp;sheet=U0&amp;row=10708&amp;col=6&amp;number=3.4&amp;sourceID=14","3.4")</f>
        <v>3.4</v>
      </c>
      <c r="G10708" s="4" t="str">
        <f>HYPERLINK("http://141.218.60.56/~jnz1568/getInfo.php?workbook=10_05.xlsx&amp;sheet=U0&amp;row=10708&amp;col=7&amp;number=0.35&amp;sourceID=14","0.35")</f>
        <v>0.35</v>
      </c>
    </row>
    <row r="10709" spans="1:7">
      <c r="A10709" s="3"/>
      <c r="B10709" s="3"/>
      <c r="C10709" s="3"/>
      <c r="D10709" s="3"/>
      <c r="E10709" s="3">
        <v>6</v>
      </c>
      <c r="F10709" s="4" t="str">
        <f>HYPERLINK("http://141.218.60.56/~jnz1568/getInfo.php?workbook=10_05.xlsx&amp;sheet=U0&amp;row=10709&amp;col=6&amp;number=3.5&amp;sourceID=14","3.5")</f>
        <v>3.5</v>
      </c>
      <c r="G10709" s="4" t="str">
        <f>HYPERLINK("http://141.218.60.56/~jnz1568/getInfo.php?workbook=10_05.xlsx&amp;sheet=U0&amp;row=10709&amp;col=7&amp;number=0.35&amp;sourceID=14","0.35")</f>
        <v>0.35</v>
      </c>
    </row>
    <row r="10710" spans="1:7">
      <c r="A10710" s="3"/>
      <c r="B10710" s="3"/>
      <c r="C10710" s="3"/>
      <c r="D10710" s="3"/>
      <c r="E10710" s="3">
        <v>7</v>
      </c>
      <c r="F10710" s="4" t="str">
        <f>HYPERLINK("http://141.218.60.56/~jnz1568/getInfo.php?workbook=10_05.xlsx&amp;sheet=U0&amp;row=10710&amp;col=6&amp;number=3.6&amp;sourceID=14","3.6")</f>
        <v>3.6</v>
      </c>
      <c r="G10710" s="4" t="str">
        <f>HYPERLINK("http://141.218.60.56/~jnz1568/getInfo.php?workbook=10_05.xlsx&amp;sheet=U0&amp;row=10710&amp;col=7&amp;number=0.349&amp;sourceID=14","0.349")</f>
        <v>0.349</v>
      </c>
    </row>
    <row r="10711" spans="1:7">
      <c r="A10711" s="3"/>
      <c r="B10711" s="3"/>
      <c r="C10711" s="3"/>
      <c r="D10711" s="3"/>
      <c r="E10711" s="3">
        <v>8</v>
      </c>
      <c r="F10711" s="4" t="str">
        <f>HYPERLINK("http://141.218.60.56/~jnz1568/getInfo.php?workbook=10_05.xlsx&amp;sheet=U0&amp;row=10711&amp;col=6&amp;number=3.7&amp;sourceID=14","3.7")</f>
        <v>3.7</v>
      </c>
      <c r="G10711" s="4" t="str">
        <f>HYPERLINK("http://141.218.60.56/~jnz1568/getInfo.php?workbook=10_05.xlsx&amp;sheet=U0&amp;row=10711&amp;col=7&amp;number=0.348&amp;sourceID=14","0.348")</f>
        <v>0.348</v>
      </c>
    </row>
    <row r="10712" spans="1:7">
      <c r="A10712" s="3"/>
      <c r="B10712" s="3"/>
      <c r="C10712" s="3"/>
      <c r="D10712" s="3"/>
      <c r="E10712" s="3">
        <v>9</v>
      </c>
      <c r="F10712" s="4" t="str">
        <f>HYPERLINK("http://141.218.60.56/~jnz1568/getInfo.php?workbook=10_05.xlsx&amp;sheet=U0&amp;row=10712&amp;col=6&amp;number=3.8&amp;sourceID=14","3.8")</f>
        <v>3.8</v>
      </c>
      <c r="G10712" s="4" t="str">
        <f>HYPERLINK("http://141.218.60.56/~jnz1568/getInfo.php?workbook=10_05.xlsx&amp;sheet=U0&amp;row=10712&amp;col=7&amp;number=0.346&amp;sourceID=14","0.346")</f>
        <v>0.346</v>
      </c>
    </row>
    <row r="10713" spans="1:7">
      <c r="A10713" s="3"/>
      <c r="B10713" s="3"/>
      <c r="C10713" s="3"/>
      <c r="D10713" s="3"/>
      <c r="E10713" s="3">
        <v>10</v>
      </c>
      <c r="F10713" s="4" t="str">
        <f>HYPERLINK("http://141.218.60.56/~jnz1568/getInfo.php?workbook=10_05.xlsx&amp;sheet=U0&amp;row=10713&amp;col=6&amp;number=3.9&amp;sourceID=14","3.9")</f>
        <v>3.9</v>
      </c>
      <c r="G10713" s="4" t="str">
        <f>HYPERLINK("http://141.218.60.56/~jnz1568/getInfo.php?workbook=10_05.xlsx&amp;sheet=U0&amp;row=10713&amp;col=7&amp;number=0.345&amp;sourceID=14","0.345")</f>
        <v>0.345</v>
      </c>
    </row>
    <row r="10714" spans="1:7">
      <c r="A10714" s="3"/>
      <c r="B10714" s="3"/>
      <c r="C10714" s="3"/>
      <c r="D10714" s="3"/>
      <c r="E10714" s="3">
        <v>11</v>
      </c>
      <c r="F10714" s="4" t="str">
        <f>HYPERLINK("http://141.218.60.56/~jnz1568/getInfo.php?workbook=10_05.xlsx&amp;sheet=U0&amp;row=10714&amp;col=6&amp;number=4&amp;sourceID=14","4")</f>
        <v>4</v>
      </c>
      <c r="G10714" s="4" t="str">
        <f>HYPERLINK("http://141.218.60.56/~jnz1568/getInfo.php?workbook=10_05.xlsx&amp;sheet=U0&amp;row=10714&amp;col=7&amp;number=0.343&amp;sourceID=14","0.343")</f>
        <v>0.343</v>
      </c>
    </row>
    <row r="10715" spans="1:7">
      <c r="A10715" s="3"/>
      <c r="B10715" s="3"/>
      <c r="C10715" s="3"/>
      <c r="D10715" s="3"/>
      <c r="E10715" s="3">
        <v>12</v>
      </c>
      <c r="F10715" s="4" t="str">
        <f>HYPERLINK("http://141.218.60.56/~jnz1568/getInfo.php?workbook=10_05.xlsx&amp;sheet=U0&amp;row=10715&amp;col=6&amp;number=4.1&amp;sourceID=14","4.1")</f>
        <v>4.1</v>
      </c>
      <c r="G10715" s="4" t="str">
        <f>HYPERLINK("http://141.218.60.56/~jnz1568/getInfo.php?workbook=10_05.xlsx&amp;sheet=U0&amp;row=10715&amp;col=7&amp;number=0.34&amp;sourceID=14","0.34")</f>
        <v>0.34</v>
      </c>
    </row>
    <row r="10716" spans="1:7">
      <c r="A10716" s="3"/>
      <c r="B10716" s="3"/>
      <c r="C10716" s="3"/>
      <c r="D10716" s="3"/>
      <c r="E10716" s="3">
        <v>13</v>
      </c>
      <c r="F10716" s="4" t="str">
        <f>HYPERLINK("http://141.218.60.56/~jnz1568/getInfo.php?workbook=10_05.xlsx&amp;sheet=U0&amp;row=10716&amp;col=6&amp;number=4.2&amp;sourceID=14","4.2")</f>
        <v>4.2</v>
      </c>
      <c r="G10716" s="4" t="str">
        <f>HYPERLINK("http://141.218.60.56/~jnz1568/getInfo.php?workbook=10_05.xlsx&amp;sheet=U0&amp;row=10716&amp;col=7&amp;number=0.337&amp;sourceID=14","0.337")</f>
        <v>0.337</v>
      </c>
    </row>
    <row r="10717" spans="1:7">
      <c r="A10717" s="3"/>
      <c r="B10717" s="3"/>
      <c r="C10717" s="3"/>
      <c r="D10717" s="3"/>
      <c r="E10717" s="3">
        <v>14</v>
      </c>
      <c r="F10717" s="4" t="str">
        <f>HYPERLINK("http://141.218.60.56/~jnz1568/getInfo.php?workbook=10_05.xlsx&amp;sheet=U0&amp;row=10717&amp;col=6&amp;number=4.3&amp;sourceID=14","4.3")</f>
        <v>4.3</v>
      </c>
      <c r="G10717" s="4" t="str">
        <f>HYPERLINK("http://141.218.60.56/~jnz1568/getInfo.php?workbook=10_05.xlsx&amp;sheet=U0&amp;row=10717&amp;col=7&amp;number=0.334&amp;sourceID=14","0.334")</f>
        <v>0.334</v>
      </c>
    </row>
    <row r="10718" spans="1:7">
      <c r="A10718" s="3"/>
      <c r="B10718" s="3"/>
      <c r="C10718" s="3"/>
      <c r="D10718" s="3"/>
      <c r="E10718" s="3">
        <v>15</v>
      </c>
      <c r="F10718" s="4" t="str">
        <f>HYPERLINK("http://141.218.60.56/~jnz1568/getInfo.php?workbook=10_05.xlsx&amp;sheet=U0&amp;row=10718&amp;col=6&amp;number=4.4&amp;sourceID=14","4.4")</f>
        <v>4.4</v>
      </c>
      <c r="G10718" s="4" t="str">
        <f>HYPERLINK("http://141.218.60.56/~jnz1568/getInfo.php?workbook=10_05.xlsx&amp;sheet=U0&amp;row=10718&amp;col=7&amp;number=0.33&amp;sourceID=14","0.33")</f>
        <v>0.33</v>
      </c>
    </row>
    <row r="10719" spans="1:7">
      <c r="A10719" s="3"/>
      <c r="B10719" s="3"/>
      <c r="C10719" s="3"/>
      <c r="D10719" s="3"/>
      <c r="E10719" s="3">
        <v>16</v>
      </c>
      <c r="F10719" s="4" t="str">
        <f>HYPERLINK("http://141.218.60.56/~jnz1568/getInfo.php?workbook=10_05.xlsx&amp;sheet=U0&amp;row=10719&amp;col=6&amp;number=4.5&amp;sourceID=14","4.5")</f>
        <v>4.5</v>
      </c>
      <c r="G10719" s="4" t="str">
        <f>HYPERLINK("http://141.218.60.56/~jnz1568/getInfo.php?workbook=10_05.xlsx&amp;sheet=U0&amp;row=10719&amp;col=7&amp;number=0.325&amp;sourceID=14","0.325")</f>
        <v>0.325</v>
      </c>
    </row>
    <row r="10720" spans="1:7">
      <c r="A10720" s="3"/>
      <c r="B10720" s="3"/>
      <c r="C10720" s="3"/>
      <c r="D10720" s="3"/>
      <c r="E10720" s="3">
        <v>17</v>
      </c>
      <c r="F10720" s="4" t="str">
        <f>HYPERLINK("http://141.218.60.56/~jnz1568/getInfo.php?workbook=10_05.xlsx&amp;sheet=U0&amp;row=10720&amp;col=6&amp;number=4.6&amp;sourceID=14","4.6")</f>
        <v>4.6</v>
      </c>
      <c r="G10720" s="4" t="str">
        <f>HYPERLINK("http://141.218.60.56/~jnz1568/getInfo.php?workbook=10_05.xlsx&amp;sheet=U0&amp;row=10720&amp;col=7&amp;number=0.32&amp;sourceID=14","0.32")</f>
        <v>0.32</v>
      </c>
    </row>
    <row r="10721" spans="1:7">
      <c r="A10721" s="3"/>
      <c r="B10721" s="3"/>
      <c r="C10721" s="3"/>
      <c r="D10721" s="3"/>
      <c r="E10721" s="3">
        <v>18</v>
      </c>
      <c r="F10721" s="4" t="str">
        <f>HYPERLINK("http://141.218.60.56/~jnz1568/getInfo.php?workbook=10_05.xlsx&amp;sheet=U0&amp;row=10721&amp;col=6&amp;number=4.7&amp;sourceID=14","4.7")</f>
        <v>4.7</v>
      </c>
      <c r="G10721" s="4" t="str">
        <f>HYPERLINK("http://141.218.60.56/~jnz1568/getInfo.php?workbook=10_05.xlsx&amp;sheet=U0&amp;row=10721&amp;col=7&amp;number=0.314&amp;sourceID=14","0.314")</f>
        <v>0.314</v>
      </c>
    </row>
    <row r="10722" spans="1:7">
      <c r="A10722" s="3"/>
      <c r="B10722" s="3"/>
      <c r="C10722" s="3"/>
      <c r="D10722" s="3"/>
      <c r="E10722" s="3">
        <v>19</v>
      </c>
      <c r="F10722" s="4" t="str">
        <f>HYPERLINK("http://141.218.60.56/~jnz1568/getInfo.php?workbook=10_05.xlsx&amp;sheet=U0&amp;row=10722&amp;col=6&amp;number=4.8&amp;sourceID=14","4.8")</f>
        <v>4.8</v>
      </c>
      <c r="G10722" s="4" t="str">
        <f>HYPERLINK("http://141.218.60.56/~jnz1568/getInfo.php?workbook=10_05.xlsx&amp;sheet=U0&amp;row=10722&amp;col=7&amp;number=0.308&amp;sourceID=14","0.308")</f>
        <v>0.308</v>
      </c>
    </row>
    <row r="10723" spans="1:7">
      <c r="A10723" s="3"/>
      <c r="B10723" s="3"/>
      <c r="C10723" s="3"/>
      <c r="D10723" s="3"/>
      <c r="E10723" s="3">
        <v>20</v>
      </c>
      <c r="F10723" s="4" t="str">
        <f>HYPERLINK("http://141.218.60.56/~jnz1568/getInfo.php?workbook=10_05.xlsx&amp;sheet=U0&amp;row=10723&amp;col=6&amp;number=4.9&amp;sourceID=14","4.9")</f>
        <v>4.9</v>
      </c>
      <c r="G10723" s="4" t="str">
        <f>HYPERLINK("http://141.218.60.56/~jnz1568/getInfo.php?workbook=10_05.xlsx&amp;sheet=U0&amp;row=10723&amp;col=7&amp;number=0.302&amp;sourceID=14","0.302")</f>
        <v>0.302</v>
      </c>
    </row>
    <row r="10724" spans="1:7">
      <c r="A10724" s="3">
        <v>10</v>
      </c>
      <c r="B10724" s="3">
        <v>5</v>
      </c>
      <c r="C10724" s="3">
        <v>4</v>
      </c>
      <c r="D10724" s="3">
        <v>7</v>
      </c>
      <c r="E10724" s="3">
        <v>1</v>
      </c>
      <c r="F10724" s="4" t="str">
        <f>HYPERLINK("http://141.218.60.56/~jnz1568/getInfo.php?workbook=10_05.xlsx&amp;sheet=U0&amp;row=10724&amp;col=6&amp;number=3&amp;sourceID=14","3")</f>
        <v>3</v>
      </c>
      <c r="G10724" s="4" t="str">
        <f>HYPERLINK("http://141.218.60.56/~jnz1568/getInfo.php?workbook=10_05.xlsx&amp;sheet=U0&amp;row=10724&amp;col=7&amp;number=0.363&amp;sourceID=14","0.363")</f>
        <v>0.363</v>
      </c>
    </row>
    <row r="10725" spans="1:7">
      <c r="A10725" s="3"/>
      <c r="B10725" s="3"/>
      <c r="C10725" s="3"/>
      <c r="D10725" s="3"/>
      <c r="E10725" s="3">
        <v>2</v>
      </c>
      <c r="F10725" s="4" t="str">
        <f>HYPERLINK("http://141.218.60.56/~jnz1568/getInfo.php?workbook=10_05.xlsx&amp;sheet=U0&amp;row=10725&amp;col=6&amp;number=3.1&amp;sourceID=14","3.1")</f>
        <v>3.1</v>
      </c>
      <c r="G10725" s="4" t="str">
        <f>HYPERLINK("http://141.218.60.56/~jnz1568/getInfo.php?workbook=10_05.xlsx&amp;sheet=U0&amp;row=10725&amp;col=7&amp;number=0.362&amp;sourceID=14","0.362")</f>
        <v>0.362</v>
      </c>
    </row>
    <row r="10726" spans="1:7">
      <c r="A10726" s="3"/>
      <c r="B10726" s="3"/>
      <c r="C10726" s="3"/>
      <c r="D10726" s="3"/>
      <c r="E10726" s="3">
        <v>3</v>
      </c>
      <c r="F10726" s="4" t="str">
        <f>HYPERLINK("http://141.218.60.56/~jnz1568/getInfo.php?workbook=10_05.xlsx&amp;sheet=U0&amp;row=10726&amp;col=6&amp;number=3.2&amp;sourceID=14","3.2")</f>
        <v>3.2</v>
      </c>
      <c r="G10726" s="4" t="str">
        <f>HYPERLINK("http://141.218.60.56/~jnz1568/getInfo.php?workbook=10_05.xlsx&amp;sheet=U0&amp;row=10726&amp;col=7&amp;number=0.362&amp;sourceID=14","0.362")</f>
        <v>0.362</v>
      </c>
    </row>
    <row r="10727" spans="1:7">
      <c r="A10727" s="3"/>
      <c r="B10727" s="3"/>
      <c r="C10727" s="3"/>
      <c r="D10727" s="3"/>
      <c r="E10727" s="3">
        <v>4</v>
      </c>
      <c r="F10727" s="4" t="str">
        <f>HYPERLINK("http://141.218.60.56/~jnz1568/getInfo.php?workbook=10_05.xlsx&amp;sheet=U0&amp;row=10727&amp;col=6&amp;number=3.3&amp;sourceID=14","3.3")</f>
        <v>3.3</v>
      </c>
      <c r="G10727" s="4" t="str">
        <f>HYPERLINK("http://141.218.60.56/~jnz1568/getInfo.php?workbook=10_05.xlsx&amp;sheet=U0&amp;row=10727&amp;col=7&amp;number=0.361&amp;sourceID=14","0.361")</f>
        <v>0.361</v>
      </c>
    </row>
    <row r="10728" spans="1:7">
      <c r="A10728" s="3"/>
      <c r="B10728" s="3"/>
      <c r="C10728" s="3"/>
      <c r="D10728" s="3"/>
      <c r="E10728" s="3">
        <v>5</v>
      </c>
      <c r="F10728" s="4" t="str">
        <f>HYPERLINK("http://141.218.60.56/~jnz1568/getInfo.php?workbook=10_05.xlsx&amp;sheet=U0&amp;row=10728&amp;col=6&amp;number=3.4&amp;sourceID=14","3.4")</f>
        <v>3.4</v>
      </c>
      <c r="G10728" s="4" t="str">
        <f>HYPERLINK("http://141.218.60.56/~jnz1568/getInfo.php?workbook=10_05.xlsx&amp;sheet=U0&amp;row=10728&amp;col=7&amp;number=0.36&amp;sourceID=14","0.36")</f>
        <v>0.36</v>
      </c>
    </row>
    <row r="10729" spans="1:7">
      <c r="A10729" s="3"/>
      <c r="B10729" s="3"/>
      <c r="C10729" s="3"/>
      <c r="D10729" s="3"/>
      <c r="E10729" s="3">
        <v>6</v>
      </c>
      <c r="F10729" s="4" t="str">
        <f>HYPERLINK("http://141.218.60.56/~jnz1568/getInfo.php?workbook=10_05.xlsx&amp;sheet=U0&amp;row=10729&amp;col=6&amp;number=3.5&amp;sourceID=14","3.5")</f>
        <v>3.5</v>
      </c>
      <c r="G10729" s="4" t="str">
        <f>HYPERLINK("http://141.218.60.56/~jnz1568/getInfo.php?workbook=10_05.xlsx&amp;sheet=U0&amp;row=10729&amp;col=7&amp;number=0.358&amp;sourceID=14","0.358")</f>
        <v>0.358</v>
      </c>
    </row>
    <row r="10730" spans="1:7">
      <c r="A10730" s="3"/>
      <c r="B10730" s="3"/>
      <c r="C10730" s="3"/>
      <c r="D10730" s="3"/>
      <c r="E10730" s="3">
        <v>7</v>
      </c>
      <c r="F10730" s="4" t="str">
        <f>HYPERLINK("http://141.218.60.56/~jnz1568/getInfo.php?workbook=10_05.xlsx&amp;sheet=U0&amp;row=10730&amp;col=6&amp;number=3.6&amp;sourceID=14","3.6")</f>
        <v>3.6</v>
      </c>
      <c r="G10730" s="4" t="str">
        <f>HYPERLINK("http://141.218.60.56/~jnz1568/getInfo.php?workbook=10_05.xlsx&amp;sheet=U0&amp;row=10730&amp;col=7&amp;number=0.357&amp;sourceID=14","0.357")</f>
        <v>0.357</v>
      </c>
    </row>
    <row r="10731" spans="1:7">
      <c r="A10731" s="3"/>
      <c r="B10731" s="3"/>
      <c r="C10731" s="3"/>
      <c r="D10731" s="3"/>
      <c r="E10731" s="3">
        <v>8</v>
      </c>
      <c r="F10731" s="4" t="str">
        <f>HYPERLINK("http://141.218.60.56/~jnz1568/getInfo.php?workbook=10_05.xlsx&amp;sheet=U0&amp;row=10731&amp;col=6&amp;number=3.7&amp;sourceID=14","3.7")</f>
        <v>3.7</v>
      </c>
      <c r="G10731" s="4" t="str">
        <f>HYPERLINK("http://141.218.60.56/~jnz1568/getInfo.php?workbook=10_05.xlsx&amp;sheet=U0&amp;row=10731&amp;col=7&amp;number=0.354&amp;sourceID=14","0.354")</f>
        <v>0.354</v>
      </c>
    </row>
    <row r="10732" spans="1:7">
      <c r="A10732" s="3"/>
      <c r="B10732" s="3"/>
      <c r="C10732" s="3"/>
      <c r="D10732" s="3"/>
      <c r="E10732" s="3">
        <v>9</v>
      </c>
      <c r="F10732" s="4" t="str">
        <f>HYPERLINK("http://141.218.60.56/~jnz1568/getInfo.php?workbook=10_05.xlsx&amp;sheet=U0&amp;row=10732&amp;col=6&amp;number=3.8&amp;sourceID=14","3.8")</f>
        <v>3.8</v>
      </c>
      <c r="G10732" s="4" t="str">
        <f>HYPERLINK("http://141.218.60.56/~jnz1568/getInfo.php?workbook=10_05.xlsx&amp;sheet=U0&amp;row=10732&amp;col=7&amp;number=0.352&amp;sourceID=14","0.352")</f>
        <v>0.352</v>
      </c>
    </row>
    <row r="10733" spans="1:7">
      <c r="A10733" s="3"/>
      <c r="B10733" s="3"/>
      <c r="C10733" s="3"/>
      <c r="D10733" s="3"/>
      <c r="E10733" s="3">
        <v>10</v>
      </c>
      <c r="F10733" s="4" t="str">
        <f>HYPERLINK("http://141.218.60.56/~jnz1568/getInfo.php?workbook=10_05.xlsx&amp;sheet=U0&amp;row=10733&amp;col=6&amp;number=3.9&amp;sourceID=14","3.9")</f>
        <v>3.9</v>
      </c>
      <c r="G10733" s="4" t="str">
        <f>HYPERLINK("http://141.218.60.56/~jnz1568/getInfo.php?workbook=10_05.xlsx&amp;sheet=U0&amp;row=10733&amp;col=7&amp;number=0.349&amp;sourceID=14","0.349")</f>
        <v>0.349</v>
      </c>
    </row>
    <row r="10734" spans="1:7">
      <c r="A10734" s="3"/>
      <c r="B10734" s="3"/>
      <c r="C10734" s="3"/>
      <c r="D10734" s="3"/>
      <c r="E10734" s="3">
        <v>11</v>
      </c>
      <c r="F10734" s="4" t="str">
        <f>HYPERLINK("http://141.218.60.56/~jnz1568/getInfo.php?workbook=10_05.xlsx&amp;sheet=U0&amp;row=10734&amp;col=6&amp;number=4&amp;sourceID=14","4")</f>
        <v>4</v>
      </c>
      <c r="G10734" s="4" t="str">
        <f>HYPERLINK("http://141.218.60.56/~jnz1568/getInfo.php?workbook=10_05.xlsx&amp;sheet=U0&amp;row=10734&amp;col=7&amp;number=0.345&amp;sourceID=14","0.345")</f>
        <v>0.345</v>
      </c>
    </row>
    <row r="10735" spans="1:7">
      <c r="A10735" s="3"/>
      <c r="B10735" s="3"/>
      <c r="C10735" s="3"/>
      <c r="D10735" s="3"/>
      <c r="E10735" s="3">
        <v>12</v>
      </c>
      <c r="F10735" s="4" t="str">
        <f>HYPERLINK("http://141.218.60.56/~jnz1568/getInfo.php?workbook=10_05.xlsx&amp;sheet=U0&amp;row=10735&amp;col=6&amp;number=4.1&amp;sourceID=14","4.1")</f>
        <v>4.1</v>
      </c>
      <c r="G10735" s="4" t="str">
        <f>HYPERLINK("http://141.218.60.56/~jnz1568/getInfo.php?workbook=10_05.xlsx&amp;sheet=U0&amp;row=10735&amp;col=7&amp;number=0.34&amp;sourceID=14","0.34")</f>
        <v>0.34</v>
      </c>
    </row>
    <row r="10736" spans="1:7">
      <c r="A10736" s="3"/>
      <c r="B10736" s="3"/>
      <c r="C10736" s="3"/>
      <c r="D10736" s="3"/>
      <c r="E10736" s="3">
        <v>13</v>
      </c>
      <c r="F10736" s="4" t="str">
        <f>HYPERLINK("http://141.218.60.56/~jnz1568/getInfo.php?workbook=10_05.xlsx&amp;sheet=U0&amp;row=10736&amp;col=6&amp;number=4.2&amp;sourceID=14","4.2")</f>
        <v>4.2</v>
      </c>
      <c r="G10736" s="4" t="str">
        <f>HYPERLINK("http://141.218.60.56/~jnz1568/getInfo.php?workbook=10_05.xlsx&amp;sheet=U0&amp;row=10736&amp;col=7&amp;number=0.334&amp;sourceID=14","0.334")</f>
        <v>0.334</v>
      </c>
    </row>
    <row r="10737" spans="1:7">
      <c r="A10737" s="3"/>
      <c r="B10737" s="3"/>
      <c r="C10737" s="3"/>
      <c r="D10737" s="3"/>
      <c r="E10737" s="3">
        <v>14</v>
      </c>
      <c r="F10737" s="4" t="str">
        <f>HYPERLINK("http://141.218.60.56/~jnz1568/getInfo.php?workbook=10_05.xlsx&amp;sheet=U0&amp;row=10737&amp;col=6&amp;number=4.3&amp;sourceID=14","4.3")</f>
        <v>4.3</v>
      </c>
      <c r="G10737" s="4" t="str">
        <f>HYPERLINK("http://141.218.60.56/~jnz1568/getInfo.php?workbook=10_05.xlsx&amp;sheet=U0&amp;row=10737&amp;col=7&amp;number=0.328&amp;sourceID=14","0.328")</f>
        <v>0.328</v>
      </c>
    </row>
    <row r="10738" spans="1:7">
      <c r="A10738" s="3"/>
      <c r="B10738" s="3"/>
      <c r="C10738" s="3"/>
      <c r="D10738" s="3"/>
      <c r="E10738" s="3">
        <v>15</v>
      </c>
      <c r="F10738" s="4" t="str">
        <f>HYPERLINK("http://141.218.60.56/~jnz1568/getInfo.php?workbook=10_05.xlsx&amp;sheet=U0&amp;row=10738&amp;col=6&amp;number=4.4&amp;sourceID=14","4.4")</f>
        <v>4.4</v>
      </c>
      <c r="G10738" s="4" t="str">
        <f>HYPERLINK("http://141.218.60.56/~jnz1568/getInfo.php?workbook=10_05.xlsx&amp;sheet=U0&amp;row=10738&amp;col=7&amp;number=0.32&amp;sourceID=14","0.32")</f>
        <v>0.32</v>
      </c>
    </row>
    <row r="10739" spans="1:7">
      <c r="A10739" s="3"/>
      <c r="B10739" s="3"/>
      <c r="C10739" s="3"/>
      <c r="D10739" s="3"/>
      <c r="E10739" s="3">
        <v>16</v>
      </c>
      <c r="F10739" s="4" t="str">
        <f>HYPERLINK("http://141.218.60.56/~jnz1568/getInfo.php?workbook=10_05.xlsx&amp;sheet=U0&amp;row=10739&amp;col=6&amp;number=4.5&amp;sourceID=14","4.5")</f>
        <v>4.5</v>
      </c>
      <c r="G10739" s="4" t="str">
        <f>HYPERLINK("http://141.218.60.56/~jnz1568/getInfo.php?workbook=10_05.xlsx&amp;sheet=U0&amp;row=10739&amp;col=7&amp;number=0.313&amp;sourceID=14","0.313")</f>
        <v>0.313</v>
      </c>
    </row>
    <row r="10740" spans="1:7">
      <c r="A10740" s="3"/>
      <c r="B10740" s="3"/>
      <c r="C10740" s="3"/>
      <c r="D10740" s="3"/>
      <c r="E10740" s="3">
        <v>17</v>
      </c>
      <c r="F10740" s="4" t="str">
        <f>HYPERLINK("http://141.218.60.56/~jnz1568/getInfo.php?workbook=10_05.xlsx&amp;sheet=U0&amp;row=10740&amp;col=6&amp;number=4.6&amp;sourceID=14","4.6")</f>
        <v>4.6</v>
      </c>
      <c r="G10740" s="4" t="str">
        <f>HYPERLINK("http://141.218.60.56/~jnz1568/getInfo.php?workbook=10_05.xlsx&amp;sheet=U0&amp;row=10740&amp;col=7&amp;number=0.305&amp;sourceID=14","0.305")</f>
        <v>0.305</v>
      </c>
    </row>
    <row r="10741" spans="1:7">
      <c r="A10741" s="3"/>
      <c r="B10741" s="3"/>
      <c r="C10741" s="3"/>
      <c r="D10741" s="3"/>
      <c r="E10741" s="3">
        <v>18</v>
      </c>
      <c r="F10741" s="4" t="str">
        <f>HYPERLINK("http://141.218.60.56/~jnz1568/getInfo.php?workbook=10_05.xlsx&amp;sheet=U0&amp;row=10741&amp;col=6&amp;number=4.7&amp;sourceID=14","4.7")</f>
        <v>4.7</v>
      </c>
      <c r="G10741" s="4" t="str">
        <f>HYPERLINK("http://141.218.60.56/~jnz1568/getInfo.php?workbook=10_05.xlsx&amp;sheet=U0&amp;row=10741&amp;col=7&amp;number=0.298&amp;sourceID=14","0.298")</f>
        <v>0.298</v>
      </c>
    </row>
    <row r="10742" spans="1:7">
      <c r="A10742" s="3"/>
      <c r="B10742" s="3"/>
      <c r="C10742" s="3"/>
      <c r="D10742" s="3"/>
      <c r="E10742" s="3">
        <v>19</v>
      </c>
      <c r="F10742" s="4" t="str">
        <f>HYPERLINK("http://141.218.60.56/~jnz1568/getInfo.php?workbook=10_05.xlsx&amp;sheet=U0&amp;row=10742&amp;col=6&amp;number=4.8&amp;sourceID=14","4.8")</f>
        <v>4.8</v>
      </c>
      <c r="G10742" s="4" t="str">
        <f>HYPERLINK("http://141.218.60.56/~jnz1568/getInfo.php?workbook=10_05.xlsx&amp;sheet=U0&amp;row=10742&amp;col=7&amp;number=0.29&amp;sourceID=14","0.29")</f>
        <v>0.29</v>
      </c>
    </row>
    <row r="10743" spans="1:7">
      <c r="A10743" s="3"/>
      <c r="B10743" s="3"/>
      <c r="C10743" s="3"/>
      <c r="D10743" s="3"/>
      <c r="E10743" s="3">
        <v>20</v>
      </c>
      <c r="F10743" s="4" t="str">
        <f>HYPERLINK("http://141.218.60.56/~jnz1568/getInfo.php?workbook=10_05.xlsx&amp;sheet=U0&amp;row=10743&amp;col=6&amp;number=4.9&amp;sourceID=14","4.9")</f>
        <v>4.9</v>
      </c>
      <c r="G10743" s="4" t="str">
        <f>HYPERLINK("http://141.218.60.56/~jnz1568/getInfo.php?workbook=10_05.xlsx&amp;sheet=U0&amp;row=10743&amp;col=7&amp;number=0.283&amp;sourceID=14","0.283")</f>
        <v>0.283</v>
      </c>
    </row>
    <row r="10744" spans="1:7">
      <c r="A10744" s="3">
        <v>10</v>
      </c>
      <c r="B10744" s="3">
        <v>5</v>
      </c>
      <c r="C10744" s="3">
        <v>4</v>
      </c>
      <c r="D10744" s="3">
        <v>8</v>
      </c>
      <c r="E10744" s="3">
        <v>1</v>
      </c>
      <c r="F10744" s="4" t="str">
        <f>HYPERLINK("http://141.218.60.56/~jnz1568/getInfo.php?workbook=10_05.xlsx&amp;sheet=U0&amp;row=10744&amp;col=6&amp;number=3&amp;sourceID=14","3")</f>
        <v>3</v>
      </c>
      <c r="G10744" s="4" t="str">
        <f>HYPERLINK("http://141.218.60.56/~jnz1568/getInfo.php?workbook=10_05.xlsx&amp;sheet=U0&amp;row=10744&amp;col=7&amp;number=0.0987&amp;sourceID=14","0.0987")</f>
        <v>0.0987</v>
      </c>
    </row>
    <row r="10745" spans="1:7">
      <c r="A10745" s="3"/>
      <c r="B10745" s="3"/>
      <c r="C10745" s="3"/>
      <c r="D10745" s="3"/>
      <c r="E10745" s="3">
        <v>2</v>
      </c>
      <c r="F10745" s="4" t="str">
        <f>HYPERLINK("http://141.218.60.56/~jnz1568/getInfo.php?workbook=10_05.xlsx&amp;sheet=U0&amp;row=10745&amp;col=6&amp;number=3.1&amp;sourceID=14","3.1")</f>
        <v>3.1</v>
      </c>
      <c r="G10745" s="4" t="str">
        <f>HYPERLINK("http://141.218.60.56/~jnz1568/getInfo.php?workbook=10_05.xlsx&amp;sheet=U0&amp;row=10745&amp;col=7&amp;number=0.0985&amp;sourceID=14","0.0985")</f>
        <v>0.0985</v>
      </c>
    </row>
    <row r="10746" spans="1:7">
      <c r="A10746" s="3"/>
      <c r="B10746" s="3"/>
      <c r="C10746" s="3"/>
      <c r="D10746" s="3"/>
      <c r="E10746" s="3">
        <v>3</v>
      </c>
      <c r="F10746" s="4" t="str">
        <f>HYPERLINK("http://141.218.60.56/~jnz1568/getInfo.php?workbook=10_05.xlsx&amp;sheet=U0&amp;row=10746&amp;col=6&amp;number=3.2&amp;sourceID=14","3.2")</f>
        <v>3.2</v>
      </c>
      <c r="G10746" s="4" t="str">
        <f>HYPERLINK("http://141.218.60.56/~jnz1568/getInfo.php?workbook=10_05.xlsx&amp;sheet=U0&amp;row=10746&amp;col=7&amp;number=0.0983&amp;sourceID=14","0.0983")</f>
        <v>0.0983</v>
      </c>
    </row>
    <row r="10747" spans="1:7">
      <c r="A10747" s="3"/>
      <c r="B10747" s="3"/>
      <c r="C10747" s="3"/>
      <c r="D10747" s="3"/>
      <c r="E10747" s="3">
        <v>4</v>
      </c>
      <c r="F10747" s="4" t="str">
        <f>HYPERLINK("http://141.218.60.56/~jnz1568/getInfo.php?workbook=10_05.xlsx&amp;sheet=U0&amp;row=10747&amp;col=6&amp;number=3.3&amp;sourceID=14","3.3")</f>
        <v>3.3</v>
      </c>
      <c r="G10747" s="4" t="str">
        <f>HYPERLINK("http://141.218.60.56/~jnz1568/getInfo.php?workbook=10_05.xlsx&amp;sheet=U0&amp;row=10747&amp;col=7&amp;number=0.098&amp;sourceID=14","0.098")</f>
        <v>0.098</v>
      </c>
    </row>
    <row r="10748" spans="1:7">
      <c r="A10748" s="3"/>
      <c r="B10748" s="3"/>
      <c r="C10748" s="3"/>
      <c r="D10748" s="3"/>
      <c r="E10748" s="3">
        <v>5</v>
      </c>
      <c r="F10748" s="4" t="str">
        <f>HYPERLINK("http://141.218.60.56/~jnz1568/getInfo.php?workbook=10_05.xlsx&amp;sheet=U0&amp;row=10748&amp;col=6&amp;number=3.4&amp;sourceID=14","3.4")</f>
        <v>3.4</v>
      </c>
      <c r="G10748" s="4" t="str">
        <f>HYPERLINK("http://141.218.60.56/~jnz1568/getInfo.php?workbook=10_05.xlsx&amp;sheet=U0&amp;row=10748&amp;col=7&amp;number=0.0976&amp;sourceID=14","0.0976")</f>
        <v>0.0976</v>
      </c>
    </row>
    <row r="10749" spans="1:7">
      <c r="A10749" s="3"/>
      <c r="B10749" s="3"/>
      <c r="C10749" s="3"/>
      <c r="D10749" s="3"/>
      <c r="E10749" s="3">
        <v>6</v>
      </c>
      <c r="F10749" s="4" t="str">
        <f>HYPERLINK("http://141.218.60.56/~jnz1568/getInfo.php?workbook=10_05.xlsx&amp;sheet=U0&amp;row=10749&amp;col=6&amp;number=3.5&amp;sourceID=14","3.5")</f>
        <v>3.5</v>
      </c>
      <c r="G10749" s="4" t="str">
        <f>HYPERLINK("http://141.218.60.56/~jnz1568/getInfo.php?workbook=10_05.xlsx&amp;sheet=U0&amp;row=10749&amp;col=7&amp;number=0.0972&amp;sourceID=14","0.0972")</f>
        <v>0.0972</v>
      </c>
    </row>
    <row r="10750" spans="1:7">
      <c r="A10750" s="3"/>
      <c r="B10750" s="3"/>
      <c r="C10750" s="3"/>
      <c r="D10750" s="3"/>
      <c r="E10750" s="3">
        <v>7</v>
      </c>
      <c r="F10750" s="4" t="str">
        <f>HYPERLINK("http://141.218.60.56/~jnz1568/getInfo.php?workbook=10_05.xlsx&amp;sheet=U0&amp;row=10750&amp;col=6&amp;number=3.6&amp;sourceID=14","3.6")</f>
        <v>3.6</v>
      </c>
      <c r="G10750" s="4" t="str">
        <f>HYPERLINK("http://141.218.60.56/~jnz1568/getInfo.php?workbook=10_05.xlsx&amp;sheet=U0&amp;row=10750&amp;col=7&amp;number=0.0966&amp;sourceID=14","0.0966")</f>
        <v>0.0966</v>
      </c>
    </row>
    <row r="10751" spans="1:7">
      <c r="A10751" s="3"/>
      <c r="B10751" s="3"/>
      <c r="C10751" s="3"/>
      <c r="D10751" s="3"/>
      <c r="E10751" s="3">
        <v>8</v>
      </c>
      <c r="F10751" s="4" t="str">
        <f>HYPERLINK("http://141.218.60.56/~jnz1568/getInfo.php?workbook=10_05.xlsx&amp;sheet=U0&amp;row=10751&amp;col=6&amp;number=3.7&amp;sourceID=14","3.7")</f>
        <v>3.7</v>
      </c>
      <c r="G10751" s="4" t="str">
        <f>HYPERLINK("http://141.218.60.56/~jnz1568/getInfo.php?workbook=10_05.xlsx&amp;sheet=U0&amp;row=10751&amp;col=7&amp;number=0.0959&amp;sourceID=14","0.0959")</f>
        <v>0.0959</v>
      </c>
    </row>
    <row r="10752" spans="1:7">
      <c r="A10752" s="3"/>
      <c r="B10752" s="3"/>
      <c r="C10752" s="3"/>
      <c r="D10752" s="3"/>
      <c r="E10752" s="3">
        <v>9</v>
      </c>
      <c r="F10752" s="4" t="str">
        <f>HYPERLINK("http://141.218.60.56/~jnz1568/getInfo.php?workbook=10_05.xlsx&amp;sheet=U0&amp;row=10752&amp;col=6&amp;number=3.8&amp;sourceID=14","3.8")</f>
        <v>3.8</v>
      </c>
      <c r="G10752" s="4" t="str">
        <f>HYPERLINK("http://141.218.60.56/~jnz1568/getInfo.php?workbook=10_05.xlsx&amp;sheet=U0&amp;row=10752&amp;col=7&amp;number=0.0951&amp;sourceID=14","0.0951")</f>
        <v>0.0951</v>
      </c>
    </row>
    <row r="10753" spans="1:7">
      <c r="A10753" s="3"/>
      <c r="B10753" s="3"/>
      <c r="C10753" s="3"/>
      <c r="D10753" s="3"/>
      <c r="E10753" s="3">
        <v>10</v>
      </c>
      <c r="F10753" s="4" t="str">
        <f>HYPERLINK("http://141.218.60.56/~jnz1568/getInfo.php?workbook=10_05.xlsx&amp;sheet=U0&amp;row=10753&amp;col=6&amp;number=3.9&amp;sourceID=14","3.9")</f>
        <v>3.9</v>
      </c>
      <c r="G10753" s="4" t="str">
        <f>HYPERLINK("http://141.218.60.56/~jnz1568/getInfo.php?workbook=10_05.xlsx&amp;sheet=U0&amp;row=10753&amp;col=7&amp;number=0.094&amp;sourceID=14","0.094")</f>
        <v>0.094</v>
      </c>
    </row>
    <row r="10754" spans="1:7">
      <c r="A10754" s="3"/>
      <c r="B10754" s="3"/>
      <c r="C10754" s="3"/>
      <c r="D10754" s="3"/>
      <c r="E10754" s="3">
        <v>11</v>
      </c>
      <c r="F10754" s="4" t="str">
        <f>HYPERLINK("http://141.218.60.56/~jnz1568/getInfo.php?workbook=10_05.xlsx&amp;sheet=U0&amp;row=10754&amp;col=6&amp;number=4&amp;sourceID=14","4")</f>
        <v>4</v>
      </c>
      <c r="G10754" s="4" t="str">
        <f>HYPERLINK("http://141.218.60.56/~jnz1568/getInfo.php?workbook=10_05.xlsx&amp;sheet=U0&amp;row=10754&amp;col=7&amp;number=0.0927&amp;sourceID=14","0.0927")</f>
        <v>0.0927</v>
      </c>
    </row>
    <row r="10755" spans="1:7">
      <c r="A10755" s="3"/>
      <c r="B10755" s="3"/>
      <c r="C10755" s="3"/>
      <c r="D10755" s="3"/>
      <c r="E10755" s="3">
        <v>12</v>
      </c>
      <c r="F10755" s="4" t="str">
        <f>HYPERLINK("http://141.218.60.56/~jnz1568/getInfo.php?workbook=10_05.xlsx&amp;sheet=U0&amp;row=10755&amp;col=6&amp;number=4.1&amp;sourceID=14","4.1")</f>
        <v>4.1</v>
      </c>
      <c r="G10755" s="4" t="str">
        <f>HYPERLINK("http://141.218.60.56/~jnz1568/getInfo.php?workbook=10_05.xlsx&amp;sheet=U0&amp;row=10755&amp;col=7&amp;number=0.0911&amp;sourceID=14","0.0911")</f>
        <v>0.0911</v>
      </c>
    </row>
    <row r="10756" spans="1:7">
      <c r="A10756" s="3"/>
      <c r="B10756" s="3"/>
      <c r="C10756" s="3"/>
      <c r="D10756" s="3"/>
      <c r="E10756" s="3">
        <v>13</v>
      </c>
      <c r="F10756" s="4" t="str">
        <f>HYPERLINK("http://141.218.60.56/~jnz1568/getInfo.php?workbook=10_05.xlsx&amp;sheet=U0&amp;row=10756&amp;col=6&amp;number=4.2&amp;sourceID=14","4.2")</f>
        <v>4.2</v>
      </c>
      <c r="G10756" s="4" t="str">
        <f>HYPERLINK("http://141.218.60.56/~jnz1568/getInfo.php?workbook=10_05.xlsx&amp;sheet=U0&amp;row=10756&amp;col=7&amp;number=0.0893&amp;sourceID=14","0.0893")</f>
        <v>0.0893</v>
      </c>
    </row>
    <row r="10757" spans="1:7">
      <c r="A10757" s="3"/>
      <c r="B10757" s="3"/>
      <c r="C10757" s="3"/>
      <c r="D10757" s="3"/>
      <c r="E10757" s="3">
        <v>14</v>
      </c>
      <c r="F10757" s="4" t="str">
        <f>HYPERLINK("http://141.218.60.56/~jnz1568/getInfo.php?workbook=10_05.xlsx&amp;sheet=U0&amp;row=10757&amp;col=6&amp;number=4.3&amp;sourceID=14","4.3")</f>
        <v>4.3</v>
      </c>
      <c r="G10757" s="4" t="str">
        <f>HYPERLINK("http://141.218.60.56/~jnz1568/getInfo.php?workbook=10_05.xlsx&amp;sheet=U0&amp;row=10757&amp;col=7&amp;number=0.087&amp;sourceID=14","0.087")</f>
        <v>0.087</v>
      </c>
    </row>
    <row r="10758" spans="1:7">
      <c r="A10758" s="3"/>
      <c r="B10758" s="3"/>
      <c r="C10758" s="3"/>
      <c r="D10758" s="3"/>
      <c r="E10758" s="3">
        <v>15</v>
      </c>
      <c r="F10758" s="4" t="str">
        <f>HYPERLINK("http://141.218.60.56/~jnz1568/getInfo.php?workbook=10_05.xlsx&amp;sheet=U0&amp;row=10758&amp;col=6&amp;number=4.4&amp;sourceID=14","4.4")</f>
        <v>4.4</v>
      </c>
      <c r="G10758" s="4" t="str">
        <f>HYPERLINK("http://141.218.60.56/~jnz1568/getInfo.php?workbook=10_05.xlsx&amp;sheet=U0&amp;row=10758&amp;col=7&amp;number=0.0844&amp;sourceID=14","0.0844")</f>
        <v>0.0844</v>
      </c>
    </row>
    <row r="10759" spans="1:7">
      <c r="A10759" s="3"/>
      <c r="B10759" s="3"/>
      <c r="C10759" s="3"/>
      <c r="D10759" s="3"/>
      <c r="E10759" s="3">
        <v>16</v>
      </c>
      <c r="F10759" s="4" t="str">
        <f>HYPERLINK("http://141.218.60.56/~jnz1568/getInfo.php?workbook=10_05.xlsx&amp;sheet=U0&amp;row=10759&amp;col=6&amp;number=4.5&amp;sourceID=14","4.5")</f>
        <v>4.5</v>
      </c>
      <c r="G10759" s="4" t="str">
        <f>HYPERLINK("http://141.218.60.56/~jnz1568/getInfo.php?workbook=10_05.xlsx&amp;sheet=U0&amp;row=10759&amp;col=7&amp;number=0.0815&amp;sourceID=14","0.0815")</f>
        <v>0.0815</v>
      </c>
    </row>
    <row r="10760" spans="1:7">
      <c r="A10760" s="3"/>
      <c r="B10760" s="3"/>
      <c r="C10760" s="3"/>
      <c r="D10760" s="3"/>
      <c r="E10760" s="3">
        <v>17</v>
      </c>
      <c r="F10760" s="4" t="str">
        <f>HYPERLINK("http://141.218.60.56/~jnz1568/getInfo.php?workbook=10_05.xlsx&amp;sheet=U0&amp;row=10760&amp;col=6&amp;number=4.6&amp;sourceID=14","4.6")</f>
        <v>4.6</v>
      </c>
      <c r="G10760" s="4" t="str">
        <f>HYPERLINK("http://141.218.60.56/~jnz1568/getInfo.php?workbook=10_05.xlsx&amp;sheet=U0&amp;row=10760&amp;col=7&amp;number=0.0786&amp;sourceID=14","0.0786")</f>
        <v>0.0786</v>
      </c>
    </row>
    <row r="10761" spans="1:7">
      <c r="A10761" s="3"/>
      <c r="B10761" s="3"/>
      <c r="C10761" s="3"/>
      <c r="D10761" s="3"/>
      <c r="E10761" s="3">
        <v>18</v>
      </c>
      <c r="F10761" s="4" t="str">
        <f>HYPERLINK("http://141.218.60.56/~jnz1568/getInfo.php?workbook=10_05.xlsx&amp;sheet=U0&amp;row=10761&amp;col=6&amp;number=4.7&amp;sourceID=14","4.7")</f>
        <v>4.7</v>
      </c>
      <c r="G10761" s="4" t="str">
        <f>HYPERLINK("http://141.218.60.56/~jnz1568/getInfo.php?workbook=10_05.xlsx&amp;sheet=U0&amp;row=10761&amp;col=7&amp;number=0.0759&amp;sourceID=14","0.0759")</f>
        <v>0.0759</v>
      </c>
    </row>
    <row r="10762" spans="1:7">
      <c r="A10762" s="3"/>
      <c r="B10762" s="3"/>
      <c r="C10762" s="3"/>
      <c r="D10762" s="3"/>
      <c r="E10762" s="3">
        <v>19</v>
      </c>
      <c r="F10762" s="4" t="str">
        <f>HYPERLINK("http://141.218.60.56/~jnz1568/getInfo.php?workbook=10_05.xlsx&amp;sheet=U0&amp;row=10762&amp;col=6&amp;number=4.8&amp;sourceID=14","4.8")</f>
        <v>4.8</v>
      </c>
      <c r="G10762" s="4" t="str">
        <f>HYPERLINK("http://141.218.60.56/~jnz1568/getInfo.php?workbook=10_05.xlsx&amp;sheet=U0&amp;row=10762&amp;col=7&amp;number=0.0739&amp;sourceID=14","0.0739")</f>
        <v>0.0739</v>
      </c>
    </row>
    <row r="10763" spans="1:7">
      <c r="A10763" s="3"/>
      <c r="B10763" s="3"/>
      <c r="C10763" s="3"/>
      <c r="D10763" s="3"/>
      <c r="E10763" s="3">
        <v>20</v>
      </c>
      <c r="F10763" s="4" t="str">
        <f>HYPERLINK("http://141.218.60.56/~jnz1568/getInfo.php?workbook=10_05.xlsx&amp;sheet=U0&amp;row=10763&amp;col=6&amp;number=4.9&amp;sourceID=14","4.9")</f>
        <v>4.9</v>
      </c>
      <c r="G10763" s="4" t="str">
        <f>HYPERLINK("http://141.218.60.56/~jnz1568/getInfo.php?workbook=10_05.xlsx&amp;sheet=U0&amp;row=10763&amp;col=7&amp;number=0.0722&amp;sourceID=14","0.0722")</f>
        <v>0.0722</v>
      </c>
    </row>
    <row r="10764" spans="1:7">
      <c r="A10764" s="3">
        <v>10</v>
      </c>
      <c r="B10764" s="3">
        <v>5</v>
      </c>
      <c r="C10764" s="3">
        <v>4</v>
      </c>
      <c r="D10764" s="3">
        <v>9</v>
      </c>
      <c r="E10764" s="3">
        <v>1</v>
      </c>
      <c r="F10764" s="4" t="str">
        <f>HYPERLINK("http://141.218.60.56/~jnz1568/getInfo.php?workbook=10_05.xlsx&amp;sheet=U0&amp;row=10764&amp;col=6&amp;number=3&amp;sourceID=14","3")</f>
        <v>3</v>
      </c>
      <c r="G10764" s="4" t="str">
        <f>HYPERLINK("http://141.218.60.56/~jnz1568/getInfo.php?workbook=10_05.xlsx&amp;sheet=U0&amp;row=10764&amp;col=7&amp;number=0.036&amp;sourceID=14","0.036")</f>
        <v>0.036</v>
      </c>
    </row>
    <row r="10765" spans="1:7">
      <c r="A10765" s="3"/>
      <c r="B10765" s="3"/>
      <c r="C10765" s="3"/>
      <c r="D10765" s="3"/>
      <c r="E10765" s="3">
        <v>2</v>
      </c>
      <c r="F10765" s="4" t="str">
        <f>HYPERLINK("http://141.218.60.56/~jnz1568/getInfo.php?workbook=10_05.xlsx&amp;sheet=U0&amp;row=10765&amp;col=6&amp;number=3.1&amp;sourceID=14","3.1")</f>
        <v>3.1</v>
      </c>
      <c r="G10765" s="4" t="str">
        <f>HYPERLINK("http://141.218.60.56/~jnz1568/getInfo.php?workbook=10_05.xlsx&amp;sheet=U0&amp;row=10765&amp;col=7&amp;number=0.0363&amp;sourceID=14","0.0363")</f>
        <v>0.0363</v>
      </c>
    </row>
    <row r="10766" spans="1:7">
      <c r="A10766" s="3"/>
      <c r="B10766" s="3"/>
      <c r="C10766" s="3"/>
      <c r="D10766" s="3"/>
      <c r="E10766" s="3">
        <v>3</v>
      </c>
      <c r="F10766" s="4" t="str">
        <f>HYPERLINK("http://141.218.60.56/~jnz1568/getInfo.php?workbook=10_05.xlsx&amp;sheet=U0&amp;row=10766&amp;col=6&amp;number=3.2&amp;sourceID=14","3.2")</f>
        <v>3.2</v>
      </c>
      <c r="G10766" s="4" t="str">
        <f>HYPERLINK("http://141.218.60.56/~jnz1568/getInfo.php?workbook=10_05.xlsx&amp;sheet=U0&amp;row=10766&amp;col=7&amp;number=0.0368&amp;sourceID=14","0.0368")</f>
        <v>0.0368</v>
      </c>
    </row>
    <row r="10767" spans="1:7">
      <c r="A10767" s="3"/>
      <c r="B10767" s="3"/>
      <c r="C10767" s="3"/>
      <c r="D10767" s="3"/>
      <c r="E10767" s="3">
        <v>4</v>
      </c>
      <c r="F10767" s="4" t="str">
        <f>HYPERLINK("http://141.218.60.56/~jnz1568/getInfo.php?workbook=10_05.xlsx&amp;sheet=U0&amp;row=10767&amp;col=6&amp;number=3.3&amp;sourceID=14","3.3")</f>
        <v>3.3</v>
      </c>
      <c r="G10767" s="4" t="str">
        <f>HYPERLINK("http://141.218.60.56/~jnz1568/getInfo.php?workbook=10_05.xlsx&amp;sheet=U0&amp;row=10767&amp;col=7&amp;number=0.0374&amp;sourceID=14","0.0374")</f>
        <v>0.0374</v>
      </c>
    </row>
    <row r="10768" spans="1:7">
      <c r="A10768" s="3"/>
      <c r="B10768" s="3"/>
      <c r="C10768" s="3"/>
      <c r="D10768" s="3"/>
      <c r="E10768" s="3">
        <v>5</v>
      </c>
      <c r="F10768" s="4" t="str">
        <f>HYPERLINK("http://141.218.60.56/~jnz1568/getInfo.php?workbook=10_05.xlsx&amp;sheet=U0&amp;row=10768&amp;col=6&amp;number=3.4&amp;sourceID=14","3.4")</f>
        <v>3.4</v>
      </c>
      <c r="G10768" s="4" t="str">
        <f>HYPERLINK("http://141.218.60.56/~jnz1568/getInfo.php?workbook=10_05.xlsx&amp;sheet=U0&amp;row=10768&amp;col=7&amp;number=0.0381&amp;sourceID=14","0.0381")</f>
        <v>0.0381</v>
      </c>
    </row>
    <row r="10769" spans="1:7">
      <c r="A10769" s="3"/>
      <c r="B10769" s="3"/>
      <c r="C10769" s="3"/>
      <c r="D10769" s="3"/>
      <c r="E10769" s="3">
        <v>6</v>
      </c>
      <c r="F10769" s="4" t="str">
        <f>HYPERLINK("http://141.218.60.56/~jnz1568/getInfo.php?workbook=10_05.xlsx&amp;sheet=U0&amp;row=10769&amp;col=6&amp;number=3.5&amp;sourceID=14","3.5")</f>
        <v>3.5</v>
      </c>
      <c r="G10769" s="4" t="str">
        <f>HYPERLINK("http://141.218.60.56/~jnz1568/getInfo.php?workbook=10_05.xlsx&amp;sheet=U0&amp;row=10769&amp;col=7&amp;number=0.0391&amp;sourceID=14","0.0391")</f>
        <v>0.0391</v>
      </c>
    </row>
    <row r="10770" spans="1:7">
      <c r="A10770" s="3"/>
      <c r="B10770" s="3"/>
      <c r="C10770" s="3"/>
      <c r="D10770" s="3"/>
      <c r="E10770" s="3">
        <v>7</v>
      </c>
      <c r="F10770" s="4" t="str">
        <f>HYPERLINK("http://141.218.60.56/~jnz1568/getInfo.php?workbook=10_05.xlsx&amp;sheet=U0&amp;row=10770&amp;col=6&amp;number=3.6&amp;sourceID=14","3.6")</f>
        <v>3.6</v>
      </c>
      <c r="G10770" s="4" t="str">
        <f>HYPERLINK("http://141.218.60.56/~jnz1568/getInfo.php?workbook=10_05.xlsx&amp;sheet=U0&amp;row=10770&amp;col=7&amp;number=0.0402&amp;sourceID=14","0.0402")</f>
        <v>0.0402</v>
      </c>
    </row>
    <row r="10771" spans="1:7">
      <c r="A10771" s="3"/>
      <c r="B10771" s="3"/>
      <c r="C10771" s="3"/>
      <c r="D10771" s="3"/>
      <c r="E10771" s="3">
        <v>8</v>
      </c>
      <c r="F10771" s="4" t="str">
        <f>HYPERLINK("http://141.218.60.56/~jnz1568/getInfo.php?workbook=10_05.xlsx&amp;sheet=U0&amp;row=10771&amp;col=6&amp;number=3.7&amp;sourceID=14","3.7")</f>
        <v>3.7</v>
      </c>
      <c r="G10771" s="4" t="str">
        <f>HYPERLINK("http://141.218.60.56/~jnz1568/getInfo.php?workbook=10_05.xlsx&amp;sheet=U0&amp;row=10771&amp;col=7&amp;number=0.0416&amp;sourceID=14","0.0416")</f>
        <v>0.0416</v>
      </c>
    </row>
    <row r="10772" spans="1:7">
      <c r="A10772" s="3"/>
      <c r="B10772" s="3"/>
      <c r="C10772" s="3"/>
      <c r="D10772" s="3"/>
      <c r="E10772" s="3">
        <v>9</v>
      </c>
      <c r="F10772" s="4" t="str">
        <f>HYPERLINK("http://141.218.60.56/~jnz1568/getInfo.php?workbook=10_05.xlsx&amp;sheet=U0&amp;row=10772&amp;col=6&amp;number=3.8&amp;sourceID=14","3.8")</f>
        <v>3.8</v>
      </c>
      <c r="G10772" s="4" t="str">
        <f>HYPERLINK("http://141.218.60.56/~jnz1568/getInfo.php?workbook=10_05.xlsx&amp;sheet=U0&amp;row=10772&amp;col=7&amp;number=0.0434&amp;sourceID=14","0.0434")</f>
        <v>0.0434</v>
      </c>
    </row>
    <row r="10773" spans="1:7">
      <c r="A10773" s="3"/>
      <c r="B10773" s="3"/>
      <c r="C10773" s="3"/>
      <c r="D10773" s="3"/>
      <c r="E10773" s="3">
        <v>10</v>
      </c>
      <c r="F10773" s="4" t="str">
        <f>HYPERLINK("http://141.218.60.56/~jnz1568/getInfo.php?workbook=10_05.xlsx&amp;sheet=U0&amp;row=10773&amp;col=6&amp;number=3.9&amp;sourceID=14","3.9")</f>
        <v>3.9</v>
      </c>
      <c r="G10773" s="4" t="str">
        <f>HYPERLINK("http://141.218.60.56/~jnz1568/getInfo.php?workbook=10_05.xlsx&amp;sheet=U0&amp;row=10773&amp;col=7&amp;number=0.0456&amp;sourceID=14","0.0456")</f>
        <v>0.0456</v>
      </c>
    </row>
    <row r="10774" spans="1:7">
      <c r="A10774" s="3"/>
      <c r="B10774" s="3"/>
      <c r="C10774" s="3"/>
      <c r="D10774" s="3"/>
      <c r="E10774" s="3">
        <v>11</v>
      </c>
      <c r="F10774" s="4" t="str">
        <f>HYPERLINK("http://141.218.60.56/~jnz1568/getInfo.php?workbook=10_05.xlsx&amp;sheet=U0&amp;row=10774&amp;col=6&amp;number=4&amp;sourceID=14","4")</f>
        <v>4</v>
      </c>
      <c r="G10774" s="4" t="str">
        <f>HYPERLINK("http://141.218.60.56/~jnz1568/getInfo.php?workbook=10_05.xlsx&amp;sheet=U0&amp;row=10774&amp;col=7&amp;number=0.0483&amp;sourceID=14","0.0483")</f>
        <v>0.0483</v>
      </c>
    </row>
    <row r="10775" spans="1:7">
      <c r="A10775" s="3"/>
      <c r="B10775" s="3"/>
      <c r="C10775" s="3"/>
      <c r="D10775" s="3"/>
      <c r="E10775" s="3">
        <v>12</v>
      </c>
      <c r="F10775" s="4" t="str">
        <f>HYPERLINK("http://141.218.60.56/~jnz1568/getInfo.php?workbook=10_05.xlsx&amp;sheet=U0&amp;row=10775&amp;col=6&amp;number=4.1&amp;sourceID=14","4.1")</f>
        <v>4.1</v>
      </c>
      <c r="G10775" s="4" t="str">
        <f>HYPERLINK("http://141.218.60.56/~jnz1568/getInfo.php?workbook=10_05.xlsx&amp;sheet=U0&amp;row=10775&amp;col=7&amp;number=0.0516&amp;sourceID=14","0.0516")</f>
        <v>0.0516</v>
      </c>
    </row>
    <row r="10776" spans="1:7">
      <c r="A10776" s="3"/>
      <c r="B10776" s="3"/>
      <c r="C10776" s="3"/>
      <c r="D10776" s="3"/>
      <c r="E10776" s="3">
        <v>13</v>
      </c>
      <c r="F10776" s="4" t="str">
        <f>HYPERLINK("http://141.218.60.56/~jnz1568/getInfo.php?workbook=10_05.xlsx&amp;sheet=U0&amp;row=10776&amp;col=6&amp;number=4.2&amp;sourceID=14","4.2")</f>
        <v>4.2</v>
      </c>
      <c r="G10776" s="4" t="str">
        <f>HYPERLINK("http://141.218.60.56/~jnz1568/getInfo.php?workbook=10_05.xlsx&amp;sheet=U0&amp;row=10776&amp;col=7&amp;number=0.0557&amp;sourceID=14","0.0557")</f>
        <v>0.0557</v>
      </c>
    </row>
    <row r="10777" spans="1:7">
      <c r="A10777" s="3"/>
      <c r="B10777" s="3"/>
      <c r="C10777" s="3"/>
      <c r="D10777" s="3"/>
      <c r="E10777" s="3">
        <v>14</v>
      </c>
      <c r="F10777" s="4" t="str">
        <f>HYPERLINK("http://141.218.60.56/~jnz1568/getInfo.php?workbook=10_05.xlsx&amp;sheet=U0&amp;row=10777&amp;col=6&amp;number=4.3&amp;sourceID=14","4.3")</f>
        <v>4.3</v>
      </c>
      <c r="G10777" s="4" t="str">
        <f>HYPERLINK("http://141.218.60.56/~jnz1568/getInfo.php?workbook=10_05.xlsx&amp;sheet=U0&amp;row=10777&amp;col=7&amp;number=0.0607&amp;sourceID=14","0.0607")</f>
        <v>0.0607</v>
      </c>
    </row>
    <row r="10778" spans="1:7">
      <c r="A10778" s="3"/>
      <c r="B10778" s="3"/>
      <c r="C10778" s="3"/>
      <c r="D10778" s="3"/>
      <c r="E10778" s="3">
        <v>15</v>
      </c>
      <c r="F10778" s="4" t="str">
        <f>HYPERLINK("http://141.218.60.56/~jnz1568/getInfo.php?workbook=10_05.xlsx&amp;sheet=U0&amp;row=10778&amp;col=6&amp;number=4.4&amp;sourceID=14","4.4")</f>
        <v>4.4</v>
      </c>
      <c r="G10778" s="4" t="str">
        <f>HYPERLINK("http://141.218.60.56/~jnz1568/getInfo.php?workbook=10_05.xlsx&amp;sheet=U0&amp;row=10778&amp;col=7&amp;number=0.0662&amp;sourceID=14","0.0662")</f>
        <v>0.0662</v>
      </c>
    </row>
    <row r="10779" spans="1:7">
      <c r="A10779" s="3"/>
      <c r="B10779" s="3"/>
      <c r="C10779" s="3"/>
      <c r="D10779" s="3"/>
      <c r="E10779" s="3">
        <v>16</v>
      </c>
      <c r="F10779" s="4" t="str">
        <f>HYPERLINK("http://141.218.60.56/~jnz1568/getInfo.php?workbook=10_05.xlsx&amp;sheet=U0&amp;row=10779&amp;col=6&amp;number=4.5&amp;sourceID=14","4.5")</f>
        <v>4.5</v>
      </c>
      <c r="G10779" s="4" t="str">
        <f>HYPERLINK("http://141.218.60.56/~jnz1568/getInfo.php?workbook=10_05.xlsx&amp;sheet=U0&amp;row=10779&amp;col=7&amp;number=0.0714&amp;sourceID=14","0.0714")</f>
        <v>0.0714</v>
      </c>
    </row>
    <row r="10780" spans="1:7">
      <c r="A10780" s="3"/>
      <c r="B10780" s="3"/>
      <c r="C10780" s="3"/>
      <c r="D10780" s="3"/>
      <c r="E10780" s="3">
        <v>17</v>
      </c>
      <c r="F10780" s="4" t="str">
        <f>HYPERLINK("http://141.218.60.56/~jnz1568/getInfo.php?workbook=10_05.xlsx&amp;sheet=U0&amp;row=10780&amp;col=6&amp;number=4.6&amp;sourceID=14","4.6")</f>
        <v>4.6</v>
      </c>
      <c r="G10780" s="4" t="str">
        <f>HYPERLINK("http://141.218.60.56/~jnz1568/getInfo.php?workbook=10_05.xlsx&amp;sheet=U0&amp;row=10780&amp;col=7&amp;number=0.0748&amp;sourceID=14","0.0748")</f>
        <v>0.0748</v>
      </c>
    </row>
    <row r="10781" spans="1:7">
      <c r="A10781" s="3"/>
      <c r="B10781" s="3"/>
      <c r="C10781" s="3"/>
      <c r="D10781" s="3"/>
      <c r="E10781" s="3">
        <v>18</v>
      </c>
      <c r="F10781" s="4" t="str">
        <f>HYPERLINK("http://141.218.60.56/~jnz1568/getInfo.php?workbook=10_05.xlsx&amp;sheet=U0&amp;row=10781&amp;col=6&amp;number=4.7&amp;sourceID=14","4.7")</f>
        <v>4.7</v>
      </c>
      <c r="G10781" s="4" t="str">
        <f>HYPERLINK("http://141.218.60.56/~jnz1568/getInfo.php?workbook=10_05.xlsx&amp;sheet=U0&amp;row=10781&amp;col=7&amp;number=0.0753&amp;sourceID=14","0.0753")</f>
        <v>0.0753</v>
      </c>
    </row>
    <row r="10782" spans="1:7">
      <c r="A10782" s="3"/>
      <c r="B10782" s="3"/>
      <c r="C10782" s="3"/>
      <c r="D10782" s="3"/>
      <c r="E10782" s="3">
        <v>19</v>
      </c>
      <c r="F10782" s="4" t="str">
        <f>HYPERLINK("http://141.218.60.56/~jnz1568/getInfo.php?workbook=10_05.xlsx&amp;sheet=U0&amp;row=10782&amp;col=6&amp;number=4.8&amp;sourceID=14","4.8")</f>
        <v>4.8</v>
      </c>
      <c r="G10782" s="4" t="str">
        <f>HYPERLINK("http://141.218.60.56/~jnz1568/getInfo.php?workbook=10_05.xlsx&amp;sheet=U0&amp;row=10782&amp;col=7&amp;number=0.0739&amp;sourceID=14","0.0739")</f>
        <v>0.0739</v>
      </c>
    </row>
    <row r="10783" spans="1:7">
      <c r="A10783" s="3"/>
      <c r="B10783" s="3"/>
      <c r="C10783" s="3"/>
      <c r="D10783" s="3"/>
      <c r="E10783" s="3">
        <v>20</v>
      </c>
      <c r="F10783" s="4" t="str">
        <f>HYPERLINK("http://141.218.60.56/~jnz1568/getInfo.php?workbook=10_05.xlsx&amp;sheet=U0&amp;row=10783&amp;col=6&amp;number=4.9&amp;sourceID=14","4.9")</f>
        <v>4.9</v>
      </c>
      <c r="G10783" s="4" t="str">
        <f>HYPERLINK("http://141.218.60.56/~jnz1568/getInfo.php?workbook=10_05.xlsx&amp;sheet=U0&amp;row=10783&amp;col=7&amp;number=0.0719&amp;sourceID=14","0.0719")</f>
        <v>0.0719</v>
      </c>
    </row>
    <row r="10784" spans="1:7">
      <c r="A10784" s="3">
        <v>10</v>
      </c>
      <c r="B10784" s="3">
        <v>5</v>
      </c>
      <c r="C10784" s="3">
        <v>4</v>
      </c>
      <c r="D10784" s="3">
        <v>10</v>
      </c>
      <c r="E10784" s="3">
        <v>1</v>
      </c>
      <c r="F10784" s="4" t="str">
        <f>HYPERLINK("http://141.218.60.56/~jnz1568/getInfo.php?workbook=10_05.xlsx&amp;sheet=U0&amp;row=10784&amp;col=6&amp;number=3&amp;sourceID=14","3")</f>
        <v>3</v>
      </c>
      <c r="G10784" s="4" t="str">
        <f>HYPERLINK("http://141.218.60.56/~jnz1568/getInfo.php?workbook=10_05.xlsx&amp;sheet=U0&amp;row=10784&amp;col=7&amp;number=0.0523&amp;sourceID=14","0.0523")</f>
        <v>0.0523</v>
      </c>
    </row>
    <row r="10785" spans="1:7">
      <c r="A10785" s="3"/>
      <c r="B10785" s="3"/>
      <c r="C10785" s="3"/>
      <c r="D10785" s="3"/>
      <c r="E10785" s="3">
        <v>2</v>
      </c>
      <c r="F10785" s="4" t="str">
        <f>HYPERLINK("http://141.218.60.56/~jnz1568/getInfo.php?workbook=10_05.xlsx&amp;sheet=U0&amp;row=10785&amp;col=6&amp;number=3.1&amp;sourceID=14","3.1")</f>
        <v>3.1</v>
      </c>
      <c r="G10785" s="4" t="str">
        <f>HYPERLINK("http://141.218.60.56/~jnz1568/getInfo.php?workbook=10_05.xlsx&amp;sheet=U0&amp;row=10785&amp;col=7&amp;number=0.0531&amp;sourceID=14","0.0531")</f>
        <v>0.0531</v>
      </c>
    </row>
    <row r="10786" spans="1:7">
      <c r="A10786" s="3"/>
      <c r="B10786" s="3"/>
      <c r="C10786" s="3"/>
      <c r="D10786" s="3"/>
      <c r="E10786" s="3">
        <v>3</v>
      </c>
      <c r="F10786" s="4" t="str">
        <f>HYPERLINK("http://141.218.60.56/~jnz1568/getInfo.php?workbook=10_05.xlsx&amp;sheet=U0&amp;row=10786&amp;col=6&amp;number=3.2&amp;sourceID=14","3.2")</f>
        <v>3.2</v>
      </c>
      <c r="G10786" s="4" t="str">
        <f>HYPERLINK("http://141.218.60.56/~jnz1568/getInfo.php?workbook=10_05.xlsx&amp;sheet=U0&amp;row=10786&amp;col=7&amp;number=0.0542&amp;sourceID=14","0.0542")</f>
        <v>0.0542</v>
      </c>
    </row>
    <row r="10787" spans="1:7">
      <c r="A10787" s="3"/>
      <c r="B10787" s="3"/>
      <c r="C10787" s="3"/>
      <c r="D10787" s="3"/>
      <c r="E10787" s="3">
        <v>4</v>
      </c>
      <c r="F10787" s="4" t="str">
        <f>HYPERLINK("http://141.218.60.56/~jnz1568/getInfo.php?workbook=10_05.xlsx&amp;sheet=U0&amp;row=10787&amp;col=6&amp;number=3.3&amp;sourceID=14","3.3")</f>
        <v>3.3</v>
      </c>
      <c r="G10787" s="4" t="str">
        <f>HYPERLINK("http://141.218.60.56/~jnz1568/getInfo.php?workbook=10_05.xlsx&amp;sheet=U0&amp;row=10787&amp;col=7&amp;number=0.0556&amp;sourceID=14","0.0556")</f>
        <v>0.0556</v>
      </c>
    </row>
    <row r="10788" spans="1:7">
      <c r="A10788" s="3"/>
      <c r="B10788" s="3"/>
      <c r="C10788" s="3"/>
      <c r="D10788" s="3"/>
      <c r="E10788" s="3">
        <v>5</v>
      </c>
      <c r="F10788" s="4" t="str">
        <f>HYPERLINK("http://141.218.60.56/~jnz1568/getInfo.php?workbook=10_05.xlsx&amp;sheet=U0&amp;row=10788&amp;col=6&amp;number=3.4&amp;sourceID=14","3.4")</f>
        <v>3.4</v>
      </c>
      <c r="G10788" s="4" t="str">
        <f>HYPERLINK("http://141.218.60.56/~jnz1568/getInfo.php?workbook=10_05.xlsx&amp;sheet=U0&amp;row=10788&amp;col=7&amp;number=0.0572&amp;sourceID=14","0.0572")</f>
        <v>0.0572</v>
      </c>
    </row>
    <row r="10789" spans="1:7">
      <c r="A10789" s="3"/>
      <c r="B10789" s="3"/>
      <c r="C10789" s="3"/>
      <c r="D10789" s="3"/>
      <c r="E10789" s="3">
        <v>6</v>
      </c>
      <c r="F10789" s="4" t="str">
        <f>HYPERLINK("http://141.218.60.56/~jnz1568/getInfo.php?workbook=10_05.xlsx&amp;sheet=U0&amp;row=10789&amp;col=6&amp;number=3.5&amp;sourceID=14","3.5")</f>
        <v>3.5</v>
      </c>
      <c r="G10789" s="4" t="str">
        <f>HYPERLINK("http://141.218.60.56/~jnz1568/getInfo.php?workbook=10_05.xlsx&amp;sheet=U0&amp;row=10789&amp;col=7&amp;number=0.0593&amp;sourceID=14","0.0593")</f>
        <v>0.0593</v>
      </c>
    </row>
    <row r="10790" spans="1:7">
      <c r="A10790" s="3"/>
      <c r="B10790" s="3"/>
      <c r="C10790" s="3"/>
      <c r="D10790" s="3"/>
      <c r="E10790" s="3">
        <v>7</v>
      </c>
      <c r="F10790" s="4" t="str">
        <f>HYPERLINK("http://141.218.60.56/~jnz1568/getInfo.php?workbook=10_05.xlsx&amp;sheet=U0&amp;row=10790&amp;col=6&amp;number=3.6&amp;sourceID=14","3.6")</f>
        <v>3.6</v>
      </c>
      <c r="G10790" s="4" t="str">
        <f>HYPERLINK("http://141.218.60.56/~jnz1568/getInfo.php?workbook=10_05.xlsx&amp;sheet=U0&amp;row=10790&amp;col=7&amp;number=0.0618&amp;sourceID=14","0.0618")</f>
        <v>0.0618</v>
      </c>
    </row>
    <row r="10791" spans="1:7">
      <c r="A10791" s="3"/>
      <c r="B10791" s="3"/>
      <c r="C10791" s="3"/>
      <c r="D10791" s="3"/>
      <c r="E10791" s="3">
        <v>8</v>
      </c>
      <c r="F10791" s="4" t="str">
        <f>HYPERLINK("http://141.218.60.56/~jnz1568/getInfo.php?workbook=10_05.xlsx&amp;sheet=U0&amp;row=10791&amp;col=6&amp;number=3.7&amp;sourceID=14","3.7")</f>
        <v>3.7</v>
      </c>
      <c r="G10791" s="4" t="str">
        <f>HYPERLINK("http://141.218.60.56/~jnz1568/getInfo.php?workbook=10_05.xlsx&amp;sheet=U0&amp;row=10791&amp;col=7&amp;number=0.065&amp;sourceID=14","0.065")</f>
        <v>0.065</v>
      </c>
    </row>
    <row r="10792" spans="1:7">
      <c r="A10792" s="3"/>
      <c r="B10792" s="3"/>
      <c r="C10792" s="3"/>
      <c r="D10792" s="3"/>
      <c r="E10792" s="3">
        <v>9</v>
      </c>
      <c r="F10792" s="4" t="str">
        <f>HYPERLINK("http://141.218.60.56/~jnz1568/getInfo.php?workbook=10_05.xlsx&amp;sheet=U0&amp;row=10792&amp;col=6&amp;number=3.8&amp;sourceID=14","3.8")</f>
        <v>3.8</v>
      </c>
      <c r="G10792" s="4" t="str">
        <f>HYPERLINK("http://141.218.60.56/~jnz1568/getInfo.php?workbook=10_05.xlsx&amp;sheet=U0&amp;row=10792&amp;col=7&amp;number=0.0688&amp;sourceID=14","0.0688")</f>
        <v>0.0688</v>
      </c>
    </row>
    <row r="10793" spans="1:7">
      <c r="A10793" s="3"/>
      <c r="B10793" s="3"/>
      <c r="C10793" s="3"/>
      <c r="D10793" s="3"/>
      <c r="E10793" s="3">
        <v>10</v>
      </c>
      <c r="F10793" s="4" t="str">
        <f>HYPERLINK("http://141.218.60.56/~jnz1568/getInfo.php?workbook=10_05.xlsx&amp;sheet=U0&amp;row=10793&amp;col=6&amp;number=3.9&amp;sourceID=14","3.9")</f>
        <v>3.9</v>
      </c>
      <c r="G10793" s="4" t="str">
        <f>HYPERLINK("http://141.218.60.56/~jnz1568/getInfo.php?workbook=10_05.xlsx&amp;sheet=U0&amp;row=10793&amp;col=7&amp;number=0.0734&amp;sourceID=14","0.0734")</f>
        <v>0.0734</v>
      </c>
    </row>
    <row r="10794" spans="1:7">
      <c r="A10794" s="3"/>
      <c r="B10794" s="3"/>
      <c r="C10794" s="3"/>
      <c r="D10794" s="3"/>
      <c r="E10794" s="3">
        <v>11</v>
      </c>
      <c r="F10794" s="4" t="str">
        <f>HYPERLINK("http://141.218.60.56/~jnz1568/getInfo.php?workbook=10_05.xlsx&amp;sheet=U0&amp;row=10794&amp;col=6&amp;number=4&amp;sourceID=14","4")</f>
        <v>4</v>
      </c>
      <c r="G10794" s="4" t="str">
        <f>HYPERLINK("http://141.218.60.56/~jnz1568/getInfo.php?workbook=10_05.xlsx&amp;sheet=U0&amp;row=10794&amp;col=7&amp;number=0.0789&amp;sourceID=14","0.0789")</f>
        <v>0.0789</v>
      </c>
    </row>
    <row r="10795" spans="1:7">
      <c r="A10795" s="3"/>
      <c r="B10795" s="3"/>
      <c r="C10795" s="3"/>
      <c r="D10795" s="3"/>
      <c r="E10795" s="3">
        <v>12</v>
      </c>
      <c r="F10795" s="4" t="str">
        <f>HYPERLINK("http://141.218.60.56/~jnz1568/getInfo.php?workbook=10_05.xlsx&amp;sheet=U0&amp;row=10795&amp;col=6&amp;number=4.1&amp;sourceID=14","4.1")</f>
        <v>4.1</v>
      </c>
      <c r="G10795" s="4" t="str">
        <f>HYPERLINK("http://141.218.60.56/~jnz1568/getInfo.php?workbook=10_05.xlsx&amp;sheet=U0&amp;row=10795&amp;col=7&amp;number=0.0853&amp;sourceID=14","0.0853")</f>
        <v>0.0853</v>
      </c>
    </row>
    <row r="10796" spans="1:7">
      <c r="A10796" s="3"/>
      <c r="B10796" s="3"/>
      <c r="C10796" s="3"/>
      <c r="D10796" s="3"/>
      <c r="E10796" s="3">
        <v>13</v>
      </c>
      <c r="F10796" s="4" t="str">
        <f>HYPERLINK("http://141.218.60.56/~jnz1568/getInfo.php?workbook=10_05.xlsx&amp;sheet=U0&amp;row=10796&amp;col=6&amp;number=4.2&amp;sourceID=14","4.2")</f>
        <v>4.2</v>
      </c>
      <c r="G10796" s="4" t="str">
        <f>HYPERLINK("http://141.218.60.56/~jnz1568/getInfo.php?workbook=10_05.xlsx&amp;sheet=U0&amp;row=10796&amp;col=7&amp;number=0.0924&amp;sourceID=14","0.0924")</f>
        <v>0.0924</v>
      </c>
    </row>
    <row r="10797" spans="1:7">
      <c r="A10797" s="3"/>
      <c r="B10797" s="3"/>
      <c r="C10797" s="3"/>
      <c r="D10797" s="3"/>
      <c r="E10797" s="3">
        <v>14</v>
      </c>
      <c r="F10797" s="4" t="str">
        <f>HYPERLINK("http://141.218.60.56/~jnz1568/getInfo.php?workbook=10_05.xlsx&amp;sheet=U0&amp;row=10797&amp;col=6&amp;number=4.3&amp;sourceID=14","4.3")</f>
        <v>4.3</v>
      </c>
      <c r="G10797" s="4" t="str">
        <f>HYPERLINK("http://141.218.60.56/~jnz1568/getInfo.php?workbook=10_05.xlsx&amp;sheet=U0&amp;row=10797&amp;col=7&amp;number=0.1&amp;sourceID=14","0.1")</f>
        <v>0.1</v>
      </c>
    </row>
    <row r="10798" spans="1:7">
      <c r="A10798" s="3"/>
      <c r="B10798" s="3"/>
      <c r="C10798" s="3"/>
      <c r="D10798" s="3"/>
      <c r="E10798" s="3">
        <v>15</v>
      </c>
      <c r="F10798" s="4" t="str">
        <f>HYPERLINK("http://141.218.60.56/~jnz1568/getInfo.php?workbook=10_05.xlsx&amp;sheet=U0&amp;row=10798&amp;col=6&amp;number=4.4&amp;sourceID=14","4.4")</f>
        <v>4.4</v>
      </c>
      <c r="G10798" s="4" t="str">
        <f>HYPERLINK("http://141.218.60.56/~jnz1568/getInfo.php?workbook=10_05.xlsx&amp;sheet=U0&amp;row=10798&amp;col=7&amp;number=0.108&amp;sourceID=14","0.108")</f>
        <v>0.108</v>
      </c>
    </row>
    <row r="10799" spans="1:7">
      <c r="A10799" s="3"/>
      <c r="B10799" s="3"/>
      <c r="C10799" s="3"/>
      <c r="D10799" s="3"/>
      <c r="E10799" s="3">
        <v>16</v>
      </c>
      <c r="F10799" s="4" t="str">
        <f>HYPERLINK("http://141.218.60.56/~jnz1568/getInfo.php?workbook=10_05.xlsx&amp;sheet=U0&amp;row=10799&amp;col=6&amp;number=4.5&amp;sourceID=14","4.5")</f>
        <v>4.5</v>
      </c>
      <c r="G10799" s="4" t="str">
        <f>HYPERLINK("http://141.218.60.56/~jnz1568/getInfo.php?workbook=10_05.xlsx&amp;sheet=U0&amp;row=10799&amp;col=7&amp;number=0.114&amp;sourceID=14","0.114")</f>
        <v>0.114</v>
      </c>
    </row>
    <row r="10800" spans="1:7">
      <c r="A10800" s="3"/>
      <c r="B10800" s="3"/>
      <c r="C10800" s="3"/>
      <c r="D10800" s="3"/>
      <c r="E10800" s="3">
        <v>17</v>
      </c>
      <c r="F10800" s="4" t="str">
        <f>HYPERLINK("http://141.218.60.56/~jnz1568/getInfo.php?workbook=10_05.xlsx&amp;sheet=U0&amp;row=10800&amp;col=6&amp;number=4.6&amp;sourceID=14","4.6")</f>
        <v>4.6</v>
      </c>
      <c r="G10800" s="4" t="str">
        <f>HYPERLINK("http://141.218.60.56/~jnz1568/getInfo.php?workbook=10_05.xlsx&amp;sheet=U0&amp;row=10800&amp;col=7&amp;number=0.119&amp;sourceID=14","0.119")</f>
        <v>0.119</v>
      </c>
    </row>
    <row r="10801" spans="1:7">
      <c r="A10801" s="3"/>
      <c r="B10801" s="3"/>
      <c r="C10801" s="3"/>
      <c r="D10801" s="3"/>
      <c r="E10801" s="3">
        <v>18</v>
      </c>
      <c r="F10801" s="4" t="str">
        <f>HYPERLINK("http://141.218.60.56/~jnz1568/getInfo.php?workbook=10_05.xlsx&amp;sheet=U0&amp;row=10801&amp;col=6&amp;number=4.7&amp;sourceID=14","4.7")</f>
        <v>4.7</v>
      </c>
      <c r="G10801" s="4" t="str">
        <f>HYPERLINK("http://141.218.60.56/~jnz1568/getInfo.php?workbook=10_05.xlsx&amp;sheet=U0&amp;row=10801&amp;col=7&amp;number=0.12&amp;sourceID=14","0.12")</f>
        <v>0.12</v>
      </c>
    </row>
    <row r="10802" spans="1:7">
      <c r="A10802" s="3"/>
      <c r="B10802" s="3"/>
      <c r="C10802" s="3"/>
      <c r="D10802" s="3"/>
      <c r="E10802" s="3">
        <v>19</v>
      </c>
      <c r="F10802" s="4" t="str">
        <f>HYPERLINK("http://141.218.60.56/~jnz1568/getInfo.php?workbook=10_05.xlsx&amp;sheet=U0&amp;row=10802&amp;col=6&amp;number=4.8&amp;sourceID=14","4.8")</f>
        <v>4.8</v>
      </c>
      <c r="G10802" s="4" t="str">
        <f>HYPERLINK("http://141.218.60.56/~jnz1568/getInfo.php?workbook=10_05.xlsx&amp;sheet=U0&amp;row=10802&amp;col=7&amp;number=0.119&amp;sourceID=14","0.119")</f>
        <v>0.119</v>
      </c>
    </row>
    <row r="10803" spans="1:7">
      <c r="A10803" s="3"/>
      <c r="B10803" s="3"/>
      <c r="C10803" s="3"/>
      <c r="D10803" s="3"/>
      <c r="E10803" s="3">
        <v>20</v>
      </c>
      <c r="F10803" s="4" t="str">
        <f>HYPERLINK("http://141.218.60.56/~jnz1568/getInfo.php?workbook=10_05.xlsx&amp;sheet=U0&amp;row=10803&amp;col=6&amp;number=4.9&amp;sourceID=14","4.9")</f>
        <v>4.9</v>
      </c>
      <c r="G10803" s="4" t="str">
        <f>HYPERLINK("http://141.218.60.56/~jnz1568/getInfo.php?workbook=10_05.xlsx&amp;sheet=U0&amp;row=10803&amp;col=7&amp;number=0.116&amp;sourceID=14","0.116")</f>
        <v>0.116</v>
      </c>
    </row>
    <row r="10804" spans="1:7">
      <c r="A10804" s="3">
        <v>10</v>
      </c>
      <c r="B10804" s="3">
        <v>5</v>
      </c>
      <c r="C10804" s="3">
        <v>4</v>
      </c>
      <c r="D10804" s="3">
        <v>11</v>
      </c>
      <c r="E10804" s="3">
        <v>1</v>
      </c>
      <c r="F10804" s="4" t="str">
        <f>HYPERLINK("http://141.218.60.56/~jnz1568/getInfo.php?workbook=10_05.xlsx&amp;sheet=U0&amp;row=10804&amp;col=6&amp;number=3&amp;sourceID=14","3")</f>
        <v>3</v>
      </c>
      <c r="G10804" s="4" t="str">
        <f>HYPERLINK("http://141.218.60.56/~jnz1568/getInfo.php?workbook=10_05.xlsx&amp;sheet=U0&amp;row=10804&amp;col=7&amp;number=1.59&amp;sourceID=14","1.59")</f>
        <v>1.59</v>
      </c>
    </row>
    <row r="10805" spans="1:7">
      <c r="A10805" s="3"/>
      <c r="B10805" s="3"/>
      <c r="C10805" s="3"/>
      <c r="D10805" s="3"/>
      <c r="E10805" s="3">
        <v>2</v>
      </c>
      <c r="F10805" s="4" t="str">
        <f>HYPERLINK("http://141.218.60.56/~jnz1568/getInfo.php?workbook=10_05.xlsx&amp;sheet=U0&amp;row=10805&amp;col=6&amp;number=3.1&amp;sourceID=14","3.1")</f>
        <v>3.1</v>
      </c>
      <c r="G10805" s="4" t="str">
        <f>HYPERLINK("http://141.218.60.56/~jnz1568/getInfo.php?workbook=10_05.xlsx&amp;sheet=U0&amp;row=10805&amp;col=7&amp;number=1.59&amp;sourceID=14","1.59")</f>
        <v>1.59</v>
      </c>
    </row>
    <row r="10806" spans="1:7">
      <c r="A10806" s="3"/>
      <c r="B10806" s="3"/>
      <c r="C10806" s="3"/>
      <c r="D10806" s="3"/>
      <c r="E10806" s="3">
        <v>3</v>
      </c>
      <c r="F10806" s="4" t="str">
        <f>HYPERLINK("http://141.218.60.56/~jnz1568/getInfo.php?workbook=10_05.xlsx&amp;sheet=U0&amp;row=10806&amp;col=6&amp;number=3.2&amp;sourceID=14","3.2")</f>
        <v>3.2</v>
      </c>
      <c r="G10806" s="4" t="str">
        <f>HYPERLINK("http://141.218.60.56/~jnz1568/getInfo.php?workbook=10_05.xlsx&amp;sheet=U0&amp;row=10806&amp;col=7&amp;number=1.6&amp;sourceID=14","1.6")</f>
        <v>1.6</v>
      </c>
    </row>
    <row r="10807" spans="1:7">
      <c r="A10807" s="3"/>
      <c r="B10807" s="3"/>
      <c r="C10807" s="3"/>
      <c r="D10807" s="3"/>
      <c r="E10807" s="3">
        <v>4</v>
      </c>
      <c r="F10807" s="4" t="str">
        <f>HYPERLINK("http://141.218.60.56/~jnz1568/getInfo.php?workbook=10_05.xlsx&amp;sheet=U0&amp;row=10807&amp;col=6&amp;number=3.3&amp;sourceID=14","3.3")</f>
        <v>3.3</v>
      </c>
      <c r="G10807" s="4" t="str">
        <f>HYPERLINK("http://141.218.60.56/~jnz1568/getInfo.php?workbook=10_05.xlsx&amp;sheet=U0&amp;row=10807&amp;col=7&amp;number=1.6&amp;sourceID=14","1.6")</f>
        <v>1.6</v>
      </c>
    </row>
    <row r="10808" spans="1:7">
      <c r="A10808" s="3"/>
      <c r="B10808" s="3"/>
      <c r="C10808" s="3"/>
      <c r="D10808" s="3"/>
      <c r="E10808" s="3">
        <v>5</v>
      </c>
      <c r="F10808" s="4" t="str">
        <f>HYPERLINK("http://141.218.60.56/~jnz1568/getInfo.php?workbook=10_05.xlsx&amp;sheet=U0&amp;row=10808&amp;col=6&amp;number=3.4&amp;sourceID=14","3.4")</f>
        <v>3.4</v>
      </c>
      <c r="G10808" s="4" t="str">
        <f>HYPERLINK("http://141.218.60.56/~jnz1568/getInfo.php?workbook=10_05.xlsx&amp;sheet=U0&amp;row=10808&amp;col=7&amp;number=1.6&amp;sourceID=14","1.6")</f>
        <v>1.6</v>
      </c>
    </row>
    <row r="10809" spans="1:7">
      <c r="A10809" s="3"/>
      <c r="B10809" s="3"/>
      <c r="C10809" s="3"/>
      <c r="D10809" s="3"/>
      <c r="E10809" s="3">
        <v>6</v>
      </c>
      <c r="F10809" s="4" t="str">
        <f>HYPERLINK("http://141.218.60.56/~jnz1568/getInfo.php?workbook=10_05.xlsx&amp;sheet=U0&amp;row=10809&amp;col=6&amp;number=3.5&amp;sourceID=14","3.5")</f>
        <v>3.5</v>
      </c>
      <c r="G10809" s="4" t="str">
        <f>HYPERLINK("http://141.218.60.56/~jnz1568/getInfo.php?workbook=10_05.xlsx&amp;sheet=U0&amp;row=10809&amp;col=7&amp;number=1.61&amp;sourceID=14","1.61")</f>
        <v>1.61</v>
      </c>
    </row>
    <row r="10810" spans="1:7">
      <c r="A10810" s="3"/>
      <c r="B10810" s="3"/>
      <c r="C10810" s="3"/>
      <c r="D10810" s="3"/>
      <c r="E10810" s="3">
        <v>7</v>
      </c>
      <c r="F10810" s="4" t="str">
        <f>HYPERLINK("http://141.218.60.56/~jnz1568/getInfo.php?workbook=10_05.xlsx&amp;sheet=U0&amp;row=10810&amp;col=6&amp;number=3.6&amp;sourceID=14","3.6")</f>
        <v>3.6</v>
      </c>
      <c r="G10810" s="4" t="str">
        <f>HYPERLINK("http://141.218.60.56/~jnz1568/getInfo.php?workbook=10_05.xlsx&amp;sheet=U0&amp;row=10810&amp;col=7&amp;number=1.61&amp;sourceID=14","1.61")</f>
        <v>1.61</v>
      </c>
    </row>
    <row r="10811" spans="1:7">
      <c r="A10811" s="3"/>
      <c r="B10811" s="3"/>
      <c r="C10811" s="3"/>
      <c r="D10811" s="3"/>
      <c r="E10811" s="3">
        <v>8</v>
      </c>
      <c r="F10811" s="4" t="str">
        <f>HYPERLINK("http://141.218.60.56/~jnz1568/getInfo.php?workbook=10_05.xlsx&amp;sheet=U0&amp;row=10811&amp;col=6&amp;number=3.7&amp;sourceID=14","3.7")</f>
        <v>3.7</v>
      </c>
      <c r="G10811" s="4" t="str">
        <f>HYPERLINK("http://141.218.60.56/~jnz1568/getInfo.php?workbook=10_05.xlsx&amp;sheet=U0&amp;row=10811&amp;col=7&amp;number=1.62&amp;sourceID=14","1.62")</f>
        <v>1.62</v>
      </c>
    </row>
    <row r="10812" spans="1:7">
      <c r="A10812" s="3"/>
      <c r="B10812" s="3"/>
      <c r="C10812" s="3"/>
      <c r="D10812" s="3"/>
      <c r="E10812" s="3">
        <v>9</v>
      </c>
      <c r="F10812" s="4" t="str">
        <f>HYPERLINK("http://141.218.60.56/~jnz1568/getInfo.php?workbook=10_05.xlsx&amp;sheet=U0&amp;row=10812&amp;col=6&amp;number=3.8&amp;sourceID=14","3.8")</f>
        <v>3.8</v>
      </c>
      <c r="G10812" s="4" t="str">
        <f>HYPERLINK("http://141.218.60.56/~jnz1568/getInfo.php?workbook=10_05.xlsx&amp;sheet=U0&amp;row=10812&amp;col=7&amp;number=1.62&amp;sourceID=14","1.62")</f>
        <v>1.62</v>
      </c>
    </row>
    <row r="10813" spans="1:7">
      <c r="A10813" s="3"/>
      <c r="B10813" s="3"/>
      <c r="C10813" s="3"/>
      <c r="D10813" s="3"/>
      <c r="E10813" s="3">
        <v>10</v>
      </c>
      <c r="F10813" s="4" t="str">
        <f>HYPERLINK("http://141.218.60.56/~jnz1568/getInfo.php?workbook=10_05.xlsx&amp;sheet=U0&amp;row=10813&amp;col=6&amp;number=3.9&amp;sourceID=14","3.9")</f>
        <v>3.9</v>
      </c>
      <c r="G10813" s="4" t="str">
        <f>HYPERLINK("http://141.218.60.56/~jnz1568/getInfo.php?workbook=10_05.xlsx&amp;sheet=U0&amp;row=10813&amp;col=7&amp;number=1.63&amp;sourceID=14","1.63")</f>
        <v>1.63</v>
      </c>
    </row>
    <row r="10814" spans="1:7">
      <c r="A10814" s="3"/>
      <c r="B10814" s="3"/>
      <c r="C10814" s="3"/>
      <c r="D10814" s="3"/>
      <c r="E10814" s="3">
        <v>11</v>
      </c>
      <c r="F10814" s="4" t="str">
        <f>HYPERLINK("http://141.218.60.56/~jnz1568/getInfo.php?workbook=10_05.xlsx&amp;sheet=U0&amp;row=10814&amp;col=6&amp;number=4&amp;sourceID=14","4")</f>
        <v>4</v>
      </c>
      <c r="G10814" s="4" t="str">
        <f>HYPERLINK("http://141.218.60.56/~jnz1568/getInfo.php?workbook=10_05.xlsx&amp;sheet=U0&amp;row=10814&amp;col=7&amp;number=1.64&amp;sourceID=14","1.64")</f>
        <v>1.64</v>
      </c>
    </row>
    <row r="10815" spans="1:7">
      <c r="A10815" s="3"/>
      <c r="B10815" s="3"/>
      <c r="C10815" s="3"/>
      <c r="D10815" s="3"/>
      <c r="E10815" s="3">
        <v>12</v>
      </c>
      <c r="F10815" s="4" t="str">
        <f>HYPERLINK("http://141.218.60.56/~jnz1568/getInfo.php?workbook=10_05.xlsx&amp;sheet=U0&amp;row=10815&amp;col=6&amp;number=4.1&amp;sourceID=14","4.1")</f>
        <v>4.1</v>
      </c>
      <c r="G10815" s="4" t="str">
        <f>HYPERLINK("http://141.218.60.56/~jnz1568/getInfo.php?workbook=10_05.xlsx&amp;sheet=U0&amp;row=10815&amp;col=7&amp;number=1.65&amp;sourceID=14","1.65")</f>
        <v>1.65</v>
      </c>
    </row>
    <row r="10816" spans="1:7">
      <c r="A10816" s="3"/>
      <c r="B10816" s="3"/>
      <c r="C10816" s="3"/>
      <c r="D10816" s="3"/>
      <c r="E10816" s="3">
        <v>13</v>
      </c>
      <c r="F10816" s="4" t="str">
        <f>HYPERLINK("http://141.218.60.56/~jnz1568/getInfo.php?workbook=10_05.xlsx&amp;sheet=U0&amp;row=10816&amp;col=6&amp;number=4.2&amp;sourceID=14","4.2")</f>
        <v>4.2</v>
      </c>
      <c r="G10816" s="4" t="str">
        <f>HYPERLINK("http://141.218.60.56/~jnz1568/getInfo.php?workbook=10_05.xlsx&amp;sheet=U0&amp;row=10816&amp;col=7&amp;number=1.66&amp;sourceID=14","1.66")</f>
        <v>1.66</v>
      </c>
    </row>
    <row r="10817" spans="1:7">
      <c r="A10817" s="3"/>
      <c r="B10817" s="3"/>
      <c r="C10817" s="3"/>
      <c r="D10817" s="3"/>
      <c r="E10817" s="3">
        <v>14</v>
      </c>
      <c r="F10817" s="4" t="str">
        <f>HYPERLINK("http://141.218.60.56/~jnz1568/getInfo.php?workbook=10_05.xlsx&amp;sheet=U0&amp;row=10817&amp;col=6&amp;number=4.3&amp;sourceID=14","4.3")</f>
        <v>4.3</v>
      </c>
      <c r="G10817" s="4" t="str">
        <f>HYPERLINK("http://141.218.60.56/~jnz1568/getInfo.php?workbook=10_05.xlsx&amp;sheet=U0&amp;row=10817&amp;col=7&amp;number=1.66&amp;sourceID=14","1.66")</f>
        <v>1.66</v>
      </c>
    </row>
    <row r="10818" spans="1:7">
      <c r="A10818" s="3"/>
      <c r="B10818" s="3"/>
      <c r="C10818" s="3"/>
      <c r="D10818" s="3"/>
      <c r="E10818" s="3">
        <v>15</v>
      </c>
      <c r="F10818" s="4" t="str">
        <f>HYPERLINK("http://141.218.60.56/~jnz1568/getInfo.php?workbook=10_05.xlsx&amp;sheet=U0&amp;row=10818&amp;col=6&amp;number=4.4&amp;sourceID=14","4.4")</f>
        <v>4.4</v>
      </c>
      <c r="G10818" s="4" t="str">
        <f>HYPERLINK("http://141.218.60.56/~jnz1568/getInfo.php?workbook=10_05.xlsx&amp;sheet=U0&amp;row=10818&amp;col=7&amp;number=1.67&amp;sourceID=14","1.67")</f>
        <v>1.67</v>
      </c>
    </row>
    <row r="10819" spans="1:7">
      <c r="A10819" s="3"/>
      <c r="B10819" s="3"/>
      <c r="C10819" s="3"/>
      <c r="D10819" s="3"/>
      <c r="E10819" s="3">
        <v>16</v>
      </c>
      <c r="F10819" s="4" t="str">
        <f>HYPERLINK("http://141.218.60.56/~jnz1568/getInfo.php?workbook=10_05.xlsx&amp;sheet=U0&amp;row=10819&amp;col=6&amp;number=4.5&amp;sourceID=14","4.5")</f>
        <v>4.5</v>
      </c>
      <c r="G10819" s="4" t="str">
        <f>HYPERLINK("http://141.218.60.56/~jnz1568/getInfo.php?workbook=10_05.xlsx&amp;sheet=U0&amp;row=10819&amp;col=7&amp;number=1.68&amp;sourceID=14","1.68")</f>
        <v>1.68</v>
      </c>
    </row>
    <row r="10820" spans="1:7">
      <c r="A10820" s="3"/>
      <c r="B10820" s="3"/>
      <c r="C10820" s="3"/>
      <c r="D10820" s="3"/>
      <c r="E10820" s="3">
        <v>17</v>
      </c>
      <c r="F10820" s="4" t="str">
        <f>HYPERLINK("http://141.218.60.56/~jnz1568/getInfo.php?workbook=10_05.xlsx&amp;sheet=U0&amp;row=10820&amp;col=6&amp;number=4.6&amp;sourceID=14","4.6")</f>
        <v>4.6</v>
      </c>
      <c r="G10820" s="4" t="str">
        <f>HYPERLINK("http://141.218.60.56/~jnz1568/getInfo.php?workbook=10_05.xlsx&amp;sheet=U0&amp;row=10820&amp;col=7&amp;number=1.68&amp;sourceID=14","1.68")</f>
        <v>1.68</v>
      </c>
    </row>
    <row r="10821" spans="1:7">
      <c r="A10821" s="3"/>
      <c r="B10821" s="3"/>
      <c r="C10821" s="3"/>
      <c r="D10821" s="3"/>
      <c r="E10821" s="3">
        <v>18</v>
      </c>
      <c r="F10821" s="4" t="str">
        <f>HYPERLINK("http://141.218.60.56/~jnz1568/getInfo.php?workbook=10_05.xlsx&amp;sheet=U0&amp;row=10821&amp;col=6&amp;number=4.7&amp;sourceID=14","4.7")</f>
        <v>4.7</v>
      </c>
      <c r="G10821" s="4" t="str">
        <f>HYPERLINK("http://141.218.60.56/~jnz1568/getInfo.php?workbook=10_05.xlsx&amp;sheet=U0&amp;row=10821&amp;col=7&amp;number=1.69&amp;sourceID=14","1.69")</f>
        <v>1.69</v>
      </c>
    </row>
    <row r="10822" spans="1:7">
      <c r="A10822" s="3"/>
      <c r="B10822" s="3"/>
      <c r="C10822" s="3"/>
      <c r="D10822" s="3"/>
      <c r="E10822" s="3">
        <v>19</v>
      </c>
      <c r="F10822" s="4" t="str">
        <f>HYPERLINK("http://141.218.60.56/~jnz1568/getInfo.php?workbook=10_05.xlsx&amp;sheet=U0&amp;row=10822&amp;col=6&amp;number=4.8&amp;sourceID=14","4.8")</f>
        <v>4.8</v>
      </c>
      <c r="G10822" s="4" t="str">
        <f>HYPERLINK("http://141.218.60.56/~jnz1568/getInfo.php?workbook=10_05.xlsx&amp;sheet=U0&amp;row=10822&amp;col=7&amp;number=1.7&amp;sourceID=14","1.7")</f>
        <v>1.7</v>
      </c>
    </row>
    <row r="10823" spans="1:7">
      <c r="A10823" s="3"/>
      <c r="B10823" s="3"/>
      <c r="C10823" s="3"/>
      <c r="D10823" s="3"/>
      <c r="E10823" s="3">
        <v>20</v>
      </c>
      <c r="F10823" s="4" t="str">
        <f>HYPERLINK("http://141.218.60.56/~jnz1568/getInfo.php?workbook=10_05.xlsx&amp;sheet=U0&amp;row=10823&amp;col=6&amp;number=4.9&amp;sourceID=14","4.9")</f>
        <v>4.9</v>
      </c>
      <c r="G10823" s="4" t="str">
        <f>HYPERLINK("http://141.218.60.56/~jnz1568/getInfo.php?workbook=10_05.xlsx&amp;sheet=U0&amp;row=10823&amp;col=7&amp;number=1.72&amp;sourceID=14","1.72")</f>
        <v>1.72</v>
      </c>
    </row>
    <row r="10824" spans="1:7">
      <c r="A10824" s="3">
        <v>10</v>
      </c>
      <c r="B10824" s="3">
        <v>5</v>
      </c>
      <c r="C10824" s="3">
        <v>4</v>
      </c>
      <c r="D10824" s="3">
        <v>12</v>
      </c>
      <c r="E10824" s="3">
        <v>1</v>
      </c>
      <c r="F10824" s="4" t="str">
        <f>HYPERLINK("http://141.218.60.56/~jnz1568/getInfo.php?workbook=10_05.xlsx&amp;sheet=U0&amp;row=10824&amp;col=6&amp;number=3&amp;sourceID=14","3")</f>
        <v>3</v>
      </c>
      <c r="G10824" s="4" t="str">
        <f>HYPERLINK("http://141.218.60.56/~jnz1568/getInfo.php?workbook=10_05.xlsx&amp;sheet=U0&amp;row=10824&amp;col=7&amp;number=0.0697&amp;sourceID=14","0.0697")</f>
        <v>0.0697</v>
      </c>
    </row>
    <row r="10825" spans="1:7">
      <c r="A10825" s="3"/>
      <c r="B10825" s="3"/>
      <c r="C10825" s="3"/>
      <c r="D10825" s="3"/>
      <c r="E10825" s="3">
        <v>2</v>
      </c>
      <c r="F10825" s="4" t="str">
        <f>HYPERLINK("http://141.218.60.56/~jnz1568/getInfo.php?workbook=10_05.xlsx&amp;sheet=U0&amp;row=10825&amp;col=6&amp;number=3.1&amp;sourceID=14","3.1")</f>
        <v>3.1</v>
      </c>
      <c r="G10825" s="4" t="str">
        <f>HYPERLINK("http://141.218.60.56/~jnz1568/getInfo.php?workbook=10_05.xlsx&amp;sheet=U0&amp;row=10825&amp;col=7&amp;number=0.0698&amp;sourceID=14","0.0698")</f>
        <v>0.0698</v>
      </c>
    </row>
    <row r="10826" spans="1:7">
      <c r="A10826" s="3"/>
      <c r="B10826" s="3"/>
      <c r="C10826" s="3"/>
      <c r="D10826" s="3"/>
      <c r="E10826" s="3">
        <v>3</v>
      </c>
      <c r="F10826" s="4" t="str">
        <f>HYPERLINK("http://141.218.60.56/~jnz1568/getInfo.php?workbook=10_05.xlsx&amp;sheet=U0&amp;row=10826&amp;col=6&amp;number=3.2&amp;sourceID=14","3.2")</f>
        <v>3.2</v>
      </c>
      <c r="G10826" s="4" t="str">
        <f>HYPERLINK("http://141.218.60.56/~jnz1568/getInfo.php?workbook=10_05.xlsx&amp;sheet=U0&amp;row=10826&amp;col=7&amp;number=0.0698&amp;sourceID=14","0.0698")</f>
        <v>0.0698</v>
      </c>
    </row>
    <row r="10827" spans="1:7">
      <c r="A10827" s="3"/>
      <c r="B10827" s="3"/>
      <c r="C10827" s="3"/>
      <c r="D10827" s="3"/>
      <c r="E10827" s="3">
        <v>4</v>
      </c>
      <c r="F10827" s="4" t="str">
        <f>HYPERLINK("http://141.218.60.56/~jnz1568/getInfo.php?workbook=10_05.xlsx&amp;sheet=U0&amp;row=10827&amp;col=6&amp;number=3.3&amp;sourceID=14","3.3")</f>
        <v>3.3</v>
      </c>
      <c r="G10827" s="4" t="str">
        <f>HYPERLINK("http://141.218.60.56/~jnz1568/getInfo.php?workbook=10_05.xlsx&amp;sheet=U0&amp;row=10827&amp;col=7&amp;number=0.0699&amp;sourceID=14","0.0699")</f>
        <v>0.0699</v>
      </c>
    </row>
    <row r="10828" spans="1:7">
      <c r="A10828" s="3"/>
      <c r="B10828" s="3"/>
      <c r="C10828" s="3"/>
      <c r="D10828" s="3"/>
      <c r="E10828" s="3">
        <v>5</v>
      </c>
      <c r="F10828" s="4" t="str">
        <f>HYPERLINK("http://141.218.60.56/~jnz1568/getInfo.php?workbook=10_05.xlsx&amp;sheet=U0&amp;row=10828&amp;col=6&amp;number=3.4&amp;sourceID=14","3.4")</f>
        <v>3.4</v>
      </c>
      <c r="G10828" s="4" t="str">
        <f>HYPERLINK("http://141.218.60.56/~jnz1568/getInfo.php?workbook=10_05.xlsx&amp;sheet=U0&amp;row=10828&amp;col=7&amp;number=0.07&amp;sourceID=14","0.07")</f>
        <v>0.07</v>
      </c>
    </row>
    <row r="10829" spans="1:7">
      <c r="A10829" s="3"/>
      <c r="B10829" s="3"/>
      <c r="C10829" s="3"/>
      <c r="D10829" s="3"/>
      <c r="E10829" s="3">
        <v>6</v>
      </c>
      <c r="F10829" s="4" t="str">
        <f>HYPERLINK("http://141.218.60.56/~jnz1568/getInfo.php?workbook=10_05.xlsx&amp;sheet=U0&amp;row=10829&amp;col=6&amp;number=3.5&amp;sourceID=14","3.5")</f>
        <v>3.5</v>
      </c>
      <c r="G10829" s="4" t="str">
        <f>HYPERLINK("http://141.218.60.56/~jnz1568/getInfo.php?workbook=10_05.xlsx&amp;sheet=U0&amp;row=10829&amp;col=7&amp;number=0.0701&amp;sourceID=14","0.0701")</f>
        <v>0.0701</v>
      </c>
    </row>
    <row r="10830" spans="1:7">
      <c r="A10830" s="3"/>
      <c r="B10830" s="3"/>
      <c r="C10830" s="3"/>
      <c r="D10830" s="3"/>
      <c r="E10830" s="3">
        <v>7</v>
      </c>
      <c r="F10830" s="4" t="str">
        <f>HYPERLINK("http://141.218.60.56/~jnz1568/getInfo.php?workbook=10_05.xlsx&amp;sheet=U0&amp;row=10830&amp;col=6&amp;number=3.6&amp;sourceID=14","3.6")</f>
        <v>3.6</v>
      </c>
      <c r="G10830" s="4" t="str">
        <f>HYPERLINK("http://141.218.60.56/~jnz1568/getInfo.php?workbook=10_05.xlsx&amp;sheet=U0&amp;row=10830&amp;col=7&amp;number=0.0702&amp;sourceID=14","0.0702")</f>
        <v>0.0702</v>
      </c>
    </row>
    <row r="10831" spans="1:7">
      <c r="A10831" s="3"/>
      <c r="B10831" s="3"/>
      <c r="C10831" s="3"/>
      <c r="D10831" s="3"/>
      <c r="E10831" s="3">
        <v>8</v>
      </c>
      <c r="F10831" s="4" t="str">
        <f>HYPERLINK("http://141.218.60.56/~jnz1568/getInfo.php?workbook=10_05.xlsx&amp;sheet=U0&amp;row=10831&amp;col=6&amp;number=3.7&amp;sourceID=14","3.7")</f>
        <v>3.7</v>
      </c>
      <c r="G10831" s="4" t="str">
        <f>HYPERLINK("http://141.218.60.56/~jnz1568/getInfo.php?workbook=10_05.xlsx&amp;sheet=U0&amp;row=10831&amp;col=7&amp;number=0.0704&amp;sourceID=14","0.0704")</f>
        <v>0.0704</v>
      </c>
    </row>
    <row r="10832" spans="1:7">
      <c r="A10832" s="3"/>
      <c r="B10832" s="3"/>
      <c r="C10832" s="3"/>
      <c r="D10832" s="3"/>
      <c r="E10832" s="3">
        <v>9</v>
      </c>
      <c r="F10832" s="4" t="str">
        <f>HYPERLINK("http://141.218.60.56/~jnz1568/getInfo.php?workbook=10_05.xlsx&amp;sheet=U0&amp;row=10832&amp;col=6&amp;number=3.8&amp;sourceID=14","3.8")</f>
        <v>3.8</v>
      </c>
      <c r="G10832" s="4" t="str">
        <f>HYPERLINK("http://141.218.60.56/~jnz1568/getInfo.php?workbook=10_05.xlsx&amp;sheet=U0&amp;row=10832&amp;col=7&amp;number=0.0706&amp;sourceID=14","0.0706")</f>
        <v>0.0706</v>
      </c>
    </row>
    <row r="10833" spans="1:7">
      <c r="A10833" s="3"/>
      <c r="B10833" s="3"/>
      <c r="C10833" s="3"/>
      <c r="D10833" s="3"/>
      <c r="E10833" s="3">
        <v>10</v>
      </c>
      <c r="F10833" s="4" t="str">
        <f>HYPERLINK("http://141.218.60.56/~jnz1568/getInfo.php?workbook=10_05.xlsx&amp;sheet=U0&amp;row=10833&amp;col=6&amp;number=3.9&amp;sourceID=14","3.9")</f>
        <v>3.9</v>
      </c>
      <c r="G10833" s="4" t="str">
        <f>HYPERLINK("http://141.218.60.56/~jnz1568/getInfo.php?workbook=10_05.xlsx&amp;sheet=U0&amp;row=10833&amp;col=7&amp;number=0.0708&amp;sourceID=14","0.0708")</f>
        <v>0.0708</v>
      </c>
    </row>
    <row r="10834" spans="1:7">
      <c r="A10834" s="3"/>
      <c r="B10834" s="3"/>
      <c r="C10834" s="3"/>
      <c r="D10834" s="3"/>
      <c r="E10834" s="3">
        <v>11</v>
      </c>
      <c r="F10834" s="4" t="str">
        <f>HYPERLINK("http://141.218.60.56/~jnz1568/getInfo.php?workbook=10_05.xlsx&amp;sheet=U0&amp;row=10834&amp;col=6&amp;number=4&amp;sourceID=14","4")</f>
        <v>4</v>
      </c>
      <c r="G10834" s="4" t="str">
        <f>HYPERLINK("http://141.218.60.56/~jnz1568/getInfo.php?workbook=10_05.xlsx&amp;sheet=U0&amp;row=10834&amp;col=7&amp;number=0.0711&amp;sourceID=14","0.0711")</f>
        <v>0.0711</v>
      </c>
    </row>
    <row r="10835" spans="1:7">
      <c r="A10835" s="3"/>
      <c r="B10835" s="3"/>
      <c r="C10835" s="3"/>
      <c r="D10835" s="3"/>
      <c r="E10835" s="3">
        <v>12</v>
      </c>
      <c r="F10835" s="4" t="str">
        <f>HYPERLINK("http://141.218.60.56/~jnz1568/getInfo.php?workbook=10_05.xlsx&amp;sheet=U0&amp;row=10835&amp;col=6&amp;number=4.1&amp;sourceID=14","4.1")</f>
        <v>4.1</v>
      </c>
      <c r="G10835" s="4" t="str">
        <f>HYPERLINK("http://141.218.60.56/~jnz1568/getInfo.php?workbook=10_05.xlsx&amp;sheet=U0&amp;row=10835&amp;col=7&amp;number=0.0713&amp;sourceID=14","0.0713")</f>
        <v>0.0713</v>
      </c>
    </row>
    <row r="10836" spans="1:7">
      <c r="A10836" s="3"/>
      <c r="B10836" s="3"/>
      <c r="C10836" s="3"/>
      <c r="D10836" s="3"/>
      <c r="E10836" s="3">
        <v>13</v>
      </c>
      <c r="F10836" s="4" t="str">
        <f>HYPERLINK("http://141.218.60.56/~jnz1568/getInfo.php?workbook=10_05.xlsx&amp;sheet=U0&amp;row=10836&amp;col=6&amp;number=4.2&amp;sourceID=14","4.2")</f>
        <v>4.2</v>
      </c>
      <c r="G10836" s="4" t="str">
        <f>HYPERLINK("http://141.218.60.56/~jnz1568/getInfo.php?workbook=10_05.xlsx&amp;sheet=U0&amp;row=10836&amp;col=7&amp;number=0.0716&amp;sourceID=14","0.0716")</f>
        <v>0.0716</v>
      </c>
    </row>
    <row r="10837" spans="1:7">
      <c r="A10837" s="3"/>
      <c r="B10837" s="3"/>
      <c r="C10837" s="3"/>
      <c r="D10837" s="3"/>
      <c r="E10837" s="3">
        <v>14</v>
      </c>
      <c r="F10837" s="4" t="str">
        <f>HYPERLINK("http://141.218.60.56/~jnz1568/getInfo.php?workbook=10_05.xlsx&amp;sheet=U0&amp;row=10837&amp;col=6&amp;number=4.3&amp;sourceID=14","4.3")</f>
        <v>4.3</v>
      </c>
      <c r="G10837" s="4" t="str">
        <f>HYPERLINK("http://141.218.60.56/~jnz1568/getInfo.php?workbook=10_05.xlsx&amp;sheet=U0&amp;row=10837&amp;col=7&amp;number=0.0718&amp;sourceID=14","0.0718")</f>
        <v>0.0718</v>
      </c>
    </row>
    <row r="10838" spans="1:7">
      <c r="A10838" s="3"/>
      <c r="B10838" s="3"/>
      <c r="C10838" s="3"/>
      <c r="D10838" s="3"/>
      <c r="E10838" s="3">
        <v>15</v>
      </c>
      <c r="F10838" s="4" t="str">
        <f>HYPERLINK("http://141.218.60.56/~jnz1568/getInfo.php?workbook=10_05.xlsx&amp;sheet=U0&amp;row=10838&amp;col=6&amp;number=4.4&amp;sourceID=14","4.4")</f>
        <v>4.4</v>
      </c>
      <c r="G10838" s="4" t="str">
        <f>HYPERLINK("http://141.218.60.56/~jnz1568/getInfo.php?workbook=10_05.xlsx&amp;sheet=U0&amp;row=10838&amp;col=7&amp;number=0.0717&amp;sourceID=14","0.0717")</f>
        <v>0.0717</v>
      </c>
    </row>
    <row r="10839" spans="1:7">
      <c r="A10839" s="3"/>
      <c r="B10839" s="3"/>
      <c r="C10839" s="3"/>
      <c r="D10839" s="3"/>
      <c r="E10839" s="3">
        <v>16</v>
      </c>
      <c r="F10839" s="4" t="str">
        <f>HYPERLINK("http://141.218.60.56/~jnz1568/getInfo.php?workbook=10_05.xlsx&amp;sheet=U0&amp;row=10839&amp;col=6&amp;number=4.5&amp;sourceID=14","4.5")</f>
        <v>4.5</v>
      </c>
      <c r="G10839" s="4" t="str">
        <f>HYPERLINK("http://141.218.60.56/~jnz1568/getInfo.php?workbook=10_05.xlsx&amp;sheet=U0&amp;row=10839&amp;col=7&amp;number=0.0714&amp;sourceID=14","0.0714")</f>
        <v>0.0714</v>
      </c>
    </row>
    <row r="10840" spans="1:7">
      <c r="A10840" s="3"/>
      <c r="B10840" s="3"/>
      <c r="C10840" s="3"/>
      <c r="D10840" s="3"/>
      <c r="E10840" s="3">
        <v>17</v>
      </c>
      <c r="F10840" s="4" t="str">
        <f>HYPERLINK("http://141.218.60.56/~jnz1568/getInfo.php?workbook=10_05.xlsx&amp;sheet=U0&amp;row=10840&amp;col=6&amp;number=4.6&amp;sourceID=14","4.6")</f>
        <v>4.6</v>
      </c>
      <c r="G10840" s="4" t="str">
        <f>HYPERLINK("http://141.218.60.56/~jnz1568/getInfo.php?workbook=10_05.xlsx&amp;sheet=U0&amp;row=10840&amp;col=7&amp;number=0.0709&amp;sourceID=14","0.0709")</f>
        <v>0.0709</v>
      </c>
    </row>
    <row r="10841" spans="1:7">
      <c r="A10841" s="3"/>
      <c r="B10841" s="3"/>
      <c r="C10841" s="3"/>
      <c r="D10841" s="3"/>
      <c r="E10841" s="3">
        <v>18</v>
      </c>
      <c r="F10841" s="4" t="str">
        <f>HYPERLINK("http://141.218.60.56/~jnz1568/getInfo.php?workbook=10_05.xlsx&amp;sheet=U0&amp;row=10841&amp;col=6&amp;number=4.7&amp;sourceID=14","4.7")</f>
        <v>4.7</v>
      </c>
      <c r="G10841" s="4" t="str">
        <f>HYPERLINK("http://141.218.60.56/~jnz1568/getInfo.php?workbook=10_05.xlsx&amp;sheet=U0&amp;row=10841&amp;col=7&amp;number=0.0703&amp;sourceID=14","0.0703")</f>
        <v>0.0703</v>
      </c>
    </row>
    <row r="10842" spans="1:7">
      <c r="A10842" s="3"/>
      <c r="B10842" s="3"/>
      <c r="C10842" s="3"/>
      <c r="D10842" s="3"/>
      <c r="E10842" s="3">
        <v>19</v>
      </c>
      <c r="F10842" s="4" t="str">
        <f>HYPERLINK("http://141.218.60.56/~jnz1568/getInfo.php?workbook=10_05.xlsx&amp;sheet=U0&amp;row=10842&amp;col=6&amp;number=4.8&amp;sourceID=14","4.8")</f>
        <v>4.8</v>
      </c>
      <c r="G10842" s="4" t="str">
        <f>HYPERLINK("http://141.218.60.56/~jnz1568/getInfo.php?workbook=10_05.xlsx&amp;sheet=U0&amp;row=10842&amp;col=7&amp;number=0.0699&amp;sourceID=14","0.0699")</f>
        <v>0.0699</v>
      </c>
    </row>
    <row r="10843" spans="1:7">
      <c r="A10843" s="3"/>
      <c r="B10843" s="3"/>
      <c r="C10843" s="3"/>
      <c r="D10843" s="3"/>
      <c r="E10843" s="3">
        <v>20</v>
      </c>
      <c r="F10843" s="4" t="str">
        <f>HYPERLINK("http://141.218.60.56/~jnz1568/getInfo.php?workbook=10_05.xlsx&amp;sheet=U0&amp;row=10843&amp;col=6&amp;number=4.9&amp;sourceID=14","4.9")</f>
        <v>4.9</v>
      </c>
      <c r="G10843" s="4" t="str">
        <f>HYPERLINK("http://141.218.60.56/~jnz1568/getInfo.php?workbook=10_05.xlsx&amp;sheet=U0&amp;row=10843&amp;col=7&amp;number=0.0699&amp;sourceID=14","0.0699")</f>
        <v>0.0699</v>
      </c>
    </row>
    <row r="10844" spans="1:7">
      <c r="A10844" s="3">
        <v>10</v>
      </c>
      <c r="B10844" s="3">
        <v>5</v>
      </c>
      <c r="C10844" s="3">
        <v>4</v>
      </c>
      <c r="D10844" s="3">
        <v>13</v>
      </c>
      <c r="E10844" s="3">
        <v>1</v>
      </c>
      <c r="F10844" s="4" t="str">
        <f>HYPERLINK("http://141.218.60.56/~jnz1568/getInfo.php?workbook=10_05.xlsx&amp;sheet=U0&amp;row=10844&amp;col=6&amp;number=3&amp;sourceID=14","3")</f>
        <v>3</v>
      </c>
      <c r="G10844" s="4" t="str">
        <f>HYPERLINK("http://141.218.60.56/~jnz1568/getInfo.php?workbook=10_05.xlsx&amp;sheet=U0&amp;row=10844&amp;col=7&amp;number=0.0522&amp;sourceID=14","0.0522")</f>
        <v>0.0522</v>
      </c>
    </row>
    <row r="10845" spans="1:7">
      <c r="A10845" s="3"/>
      <c r="B10845" s="3"/>
      <c r="C10845" s="3"/>
      <c r="D10845" s="3"/>
      <c r="E10845" s="3">
        <v>2</v>
      </c>
      <c r="F10845" s="4" t="str">
        <f>HYPERLINK("http://141.218.60.56/~jnz1568/getInfo.php?workbook=10_05.xlsx&amp;sheet=U0&amp;row=10845&amp;col=6&amp;number=3.1&amp;sourceID=14","3.1")</f>
        <v>3.1</v>
      </c>
      <c r="G10845" s="4" t="str">
        <f>HYPERLINK("http://141.218.60.56/~jnz1568/getInfo.php?workbook=10_05.xlsx&amp;sheet=U0&amp;row=10845&amp;col=7&amp;number=0.0522&amp;sourceID=14","0.0522")</f>
        <v>0.0522</v>
      </c>
    </row>
    <row r="10846" spans="1:7">
      <c r="A10846" s="3"/>
      <c r="B10846" s="3"/>
      <c r="C10846" s="3"/>
      <c r="D10846" s="3"/>
      <c r="E10846" s="3">
        <v>3</v>
      </c>
      <c r="F10846" s="4" t="str">
        <f>HYPERLINK("http://141.218.60.56/~jnz1568/getInfo.php?workbook=10_05.xlsx&amp;sheet=U0&amp;row=10846&amp;col=6&amp;number=3.2&amp;sourceID=14","3.2")</f>
        <v>3.2</v>
      </c>
      <c r="G10846" s="4" t="str">
        <f>HYPERLINK("http://141.218.60.56/~jnz1568/getInfo.php?workbook=10_05.xlsx&amp;sheet=U0&amp;row=10846&amp;col=7&amp;number=0.0522&amp;sourceID=14","0.0522")</f>
        <v>0.0522</v>
      </c>
    </row>
    <row r="10847" spans="1:7">
      <c r="A10847" s="3"/>
      <c r="B10847" s="3"/>
      <c r="C10847" s="3"/>
      <c r="D10847" s="3"/>
      <c r="E10847" s="3">
        <v>4</v>
      </c>
      <c r="F10847" s="4" t="str">
        <f>HYPERLINK("http://141.218.60.56/~jnz1568/getInfo.php?workbook=10_05.xlsx&amp;sheet=U0&amp;row=10847&amp;col=6&amp;number=3.3&amp;sourceID=14","3.3")</f>
        <v>3.3</v>
      </c>
      <c r="G10847" s="4" t="str">
        <f>HYPERLINK("http://141.218.60.56/~jnz1568/getInfo.php?workbook=10_05.xlsx&amp;sheet=U0&amp;row=10847&amp;col=7&amp;number=0.0522&amp;sourceID=14","0.0522")</f>
        <v>0.0522</v>
      </c>
    </row>
    <row r="10848" spans="1:7">
      <c r="A10848" s="3"/>
      <c r="B10848" s="3"/>
      <c r="C10848" s="3"/>
      <c r="D10848" s="3"/>
      <c r="E10848" s="3">
        <v>5</v>
      </c>
      <c r="F10848" s="4" t="str">
        <f>HYPERLINK("http://141.218.60.56/~jnz1568/getInfo.php?workbook=10_05.xlsx&amp;sheet=U0&amp;row=10848&amp;col=6&amp;number=3.4&amp;sourceID=14","3.4")</f>
        <v>3.4</v>
      </c>
      <c r="G10848" s="4" t="str">
        <f>HYPERLINK("http://141.218.60.56/~jnz1568/getInfo.php?workbook=10_05.xlsx&amp;sheet=U0&amp;row=10848&amp;col=7&amp;number=0.0523&amp;sourceID=14","0.0523")</f>
        <v>0.0523</v>
      </c>
    </row>
    <row r="10849" spans="1:7">
      <c r="A10849" s="3"/>
      <c r="B10849" s="3"/>
      <c r="C10849" s="3"/>
      <c r="D10849" s="3"/>
      <c r="E10849" s="3">
        <v>6</v>
      </c>
      <c r="F10849" s="4" t="str">
        <f>HYPERLINK("http://141.218.60.56/~jnz1568/getInfo.php?workbook=10_05.xlsx&amp;sheet=U0&amp;row=10849&amp;col=6&amp;number=3.5&amp;sourceID=14","3.5")</f>
        <v>3.5</v>
      </c>
      <c r="G10849" s="4" t="str">
        <f>HYPERLINK("http://141.218.60.56/~jnz1568/getInfo.php?workbook=10_05.xlsx&amp;sheet=U0&amp;row=10849&amp;col=7&amp;number=0.0523&amp;sourceID=14","0.0523")</f>
        <v>0.0523</v>
      </c>
    </row>
    <row r="10850" spans="1:7">
      <c r="A10850" s="3"/>
      <c r="B10850" s="3"/>
      <c r="C10850" s="3"/>
      <c r="D10850" s="3"/>
      <c r="E10850" s="3">
        <v>7</v>
      </c>
      <c r="F10850" s="4" t="str">
        <f>HYPERLINK("http://141.218.60.56/~jnz1568/getInfo.php?workbook=10_05.xlsx&amp;sheet=U0&amp;row=10850&amp;col=6&amp;number=3.6&amp;sourceID=14","3.6")</f>
        <v>3.6</v>
      </c>
      <c r="G10850" s="4" t="str">
        <f>HYPERLINK("http://141.218.60.56/~jnz1568/getInfo.php?workbook=10_05.xlsx&amp;sheet=U0&amp;row=10850&amp;col=7&amp;number=0.0524&amp;sourceID=14","0.0524")</f>
        <v>0.0524</v>
      </c>
    </row>
    <row r="10851" spans="1:7">
      <c r="A10851" s="3"/>
      <c r="B10851" s="3"/>
      <c r="C10851" s="3"/>
      <c r="D10851" s="3"/>
      <c r="E10851" s="3">
        <v>8</v>
      </c>
      <c r="F10851" s="4" t="str">
        <f>HYPERLINK("http://141.218.60.56/~jnz1568/getInfo.php?workbook=10_05.xlsx&amp;sheet=U0&amp;row=10851&amp;col=6&amp;number=3.7&amp;sourceID=14","3.7")</f>
        <v>3.7</v>
      </c>
      <c r="G10851" s="4" t="str">
        <f>HYPERLINK("http://141.218.60.56/~jnz1568/getInfo.php?workbook=10_05.xlsx&amp;sheet=U0&amp;row=10851&amp;col=7&amp;number=0.0524&amp;sourceID=14","0.0524")</f>
        <v>0.0524</v>
      </c>
    </row>
    <row r="10852" spans="1:7">
      <c r="A10852" s="3"/>
      <c r="B10852" s="3"/>
      <c r="C10852" s="3"/>
      <c r="D10852" s="3"/>
      <c r="E10852" s="3">
        <v>9</v>
      </c>
      <c r="F10852" s="4" t="str">
        <f>HYPERLINK("http://141.218.60.56/~jnz1568/getInfo.php?workbook=10_05.xlsx&amp;sheet=U0&amp;row=10852&amp;col=6&amp;number=3.8&amp;sourceID=14","3.8")</f>
        <v>3.8</v>
      </c>
      <c r="G10852" s="4" t="str">
        <f>HYPERLINK("http://141.218.60.56/~jnz1568/getInfo.php?workbook=10_05.xlsx&amp;sheet=U0&amp;row=10852&amp;col=7&amp;number=0.0525&amp;sourceID=14","0.0525")</f>
        <v>0.0525</v>
      </c>
    </row>
    <row r="10853" spans="1:7">
      <c r="A10853" s="3"/>
      <c r="B10853" s="3"/>
      <c r="C10853" s="3"/>
      <c r="D10853" s="3"/>
      <c r="E10853" s="3">
        <v>10</v>
      </c>
      <c r="F10853" s="4" t="str">
        <f>HYPERLINK("http://141.218.60.56/~jnz1568/getInfo.php?workbook=10_05.xlsx&amp;sheet=U0&amp;row=10853&amp;col=6&amp;number=3.9&amp;sourceID=14","3.9")</f>
        <v>3.9</v>
      </c>
      <c r="G10853" s="4" t="str">
        <f>HYPERLINK("http://141.218.60.56/~jnz1568/getInfo.php?workbook=10_05.xlsx&amp;sheet=U0&amp;row=10853&amp;col=7&amp;number=0.0526&amp;sourceID=14","0.0526")</f>
        <v>0.0526</v>
      </c>
    </row>
    <row r="10854" spans="1:7">
      <c r="A10854" s="3"/>
      <c r="B10854" s="3"/>
      <c r="C10854" s="3"/>
      <c r="D10854" s="3"/>
      <c r="E10854" s="3">
        <v>11</v>
      </c>
      <c r="F10854" s="4" t="str">
        <f>HYPERLINK("http://141.218.60.56/~jnz1568/getInfo.php?workbook=10_05.xlsx&amp;sheet=U0&amp;row=10854&amp;col=6&amp;number=4&amp;sourceID=14","4")</f>
        <v>4</v>
      </c>
      <c r="G10854" s="4" t="str">
        <f>HYPERLINK("http://141.218.60.56/~jnz1568/getInfo.php?workbook=10_05.xlsx&amp;sheet=U0&amp;row=10854&amp;col=7&amp;number=0.0527&amp;sourceID=14","0.0527")</f>
        <v>0.0527</v>
      </c>
    </row>
    <row r="10855" spans="1:7">
      <c r="A10855" s="3"/>
      <c r="B10855" s="3"/>
      <c r="C10855" s="3"/>
      <c r="D10855" s="3"/>
      <c r="E10855" s="3">
        <v>12</v>
      </c>
      <c r="F10855" s="4" t="str">
        <f>HYPERLINK("http://141.218.60.56/~jnz1568/getInfo.php?workbook=10_05.xlsx&amp;sheet=U0&amp;row=10855&amp;col=6&amp;number=4.1&amp;sourceID=14","4.1")</f>
        <v>4.1</v>
      </c>
      <c r="G10855" s="4" t="str">
        <f>HYPERLINK("http://141.218.60.56/~jnz1568/getInfo.php?workbook=10_05.xlsx&amp;sheet=U0&amp;row=10855&amp;col=7&amp;number=0.0528&amp;sourceID=14","0.0528")</f>
        <v>0.0528</v>
      </c>
    </row>
    <row r="10856" spans="1:7">
      <c r="A10856" s="3"/>
      <c r="B10856" s="3"/>
      <c r="C10856" s="3"/>
      <c r="D10856" s="3"/>
      <c r="E10856" s="3">
        <v>13</v>
      </c>
      <c r="F10856" s="4" t="str">
        <f>HYPERLINK("http://141.218.60.56/~jnz1568/getInfo.php?workbook=10_05.xlsx&amp;sheet=U0&amp;row=10856&amp;col=6&amp;number=4.2&amp;sourceID=14","4.2")</f>
        <v>4.2</v>
      </c>
      <c r="G10856" s="4" t="str">
        <f>HYPERLINK("http://141.218.60.56/~jnz1568/getInfo.php?workbook=10_05.xlsx&amp;sheet=U0&amp;row=10856&amp;col=7&amp;number=0.0528&amp;sourceID=14","0.0528")</f>
        <v>0.0528</v>
      </c>
    </row>
    <row r="10857" spans="1:7">
      <c r="A10857" s="3"/>
      <c r="B10857" s="3"/>
      <c r="C10857" s="3"/>
      <c r="D10857" s="3"/>
      <c r="E10857" s="3">
        <v>14</v>
      </c>
      <c r="F10857" s="4" t="str">
        <f>HYPERLINK("http://141.218.60.56/~jnz1568/getInfo.php?workbook=10_05.xlsx&amp;sheet=U0&amp;row=10857&amp;col=6&amp;number=4.3&amp;sourceID=14","4.3")</f>
        <v>4.3</v>
      </c>
      <c r="G10857" s="4" t="str">
        <f>HYPERLINK("http://141.218.60.56/~jnz1568/getInfo.php?workbook=10_05.xlsx&amp;sheet=U0&amp;row=10857&amp;col=7&amp;number=0.0528&amp;sourceID=14","0.0528")</f>
        <v>0.0528</v>
      </c>
    </row>
    <row r="10858" spans="1:7">
      <c r="A10858" s="3"/>
      <c r="B10858" s="3"/>
      <c r="C10858" s="3"/>
      <c r="D10858" s="3"/>
      <c r="E10858" s="3">
        <v>15</v>
      </c>
      <c r="F10858" s="4" t="str">
        <f>HYPERLINK("http://141.218.60.56/~jnz1568/getInfo.php?workbook=10_05.xlsx&amp;sheet=U0&amp;row=10858&amp;col=6&amp;number=4.4&amp;sourceID=14","4.4")</f>
        <v>4.4</v>
      </c>
      <c r="G10858" s="4" t="str">
        <f>HYPERLINK("http://141.218.60.56/~jnz1568/getInfo.php?workbook=10_05.xlsx&amp;sheet=U0&amp;row=10858&amp;col=7&amp;number=0.0527&amp;sourceID=14","0.0527")</f>
        <v>0.0527</v>
      </c>
    </row>
    <row r="10859" spans="1:7">
      <c r="A10859" s="3"/>
      <c r="B10859" s="3"/>
      <c r="C10859" s="3"/>
      <c r="D10859" s="3"/>
      <c r="E10859" s="3">
        <v>16</v>
      </c>
      <c r="F10859" s="4" t="str">
        <f>HYPERLINK("http://141.218.60.56/~jnz1568/getInfo.php?workbook=10_05.xlsx&amp;sheet=U0&amp;row=10859&amp;col=6&amp;number=4.5&amp;sourceID=14","4.5")</f>
        <v>4.5</v>
      </c>
      <c r="G10859" s="4" t="str">
        <f>HYPERLINK("http://141.218.60.56/~jnz1568/getInfo.php?workbook=10_05.xlsx&amp;sheet=U0&amp;row=10859&amp;col=7&amp;number=0.0524&amp;sourceID=14","0.0524")</f>
        <v>0.0524</v>
      </c>
    </row>
    <row r="10860" spans="1:7">
      <c r="A10860" s="3"/>
      <c r="B10860" s="3"/>
      <c r="C10860" s="3"/>
      <c r="D10860" s="3"/>
      <c r="E10860" s="3">
        <v>17</v>
      </c>
      <c r="F10860" s="4" t="str">
        <f>HYPERLINK("http://141.218.60.56/~jnz1568/getInfo.php?workbook=10_05.xlsx&amp;sheet=U0&amp;row=10860&amp;col=6&amp;number=4.6&amp;sourceID=14","4.6")</f>
        <v>4.6</v>
      </c>
      <c r="G10860" s="4" t="str">
        <f>HYPERLINK("http://141.218.60.56/~jnz1568/getInfo.php?workbook=10_05.xlsx&amp;sheet=U0&amp;row=10860&amp;col=7&amp;number=0.0519&amp;sourceID=14","0.0519")</f>
        <v>0.0519</v>
      </c>
    </row>
    <row r="10861" spans="1:7">
      <c r="A10861" s="3"/>
      <c r="B10861" s="3"/>
      <c r="C10861" s="3"/>
      <c r="D10861" s="3"/>
      <c r="E10861" s="3">
        <v>18</v>
      </c>
      <c r="F10861" s="4" t="str">
        <f>HYPERLINK("http://141.218.60.56/~jnz1568/getInfo.php?workbook=10_05.xlsx&amp;sheet=U0&amp;row=10861&amp;col=6&amp;number=4.7&amp;sourceID=14","4.7")</f>
        <v>4.7</v>
      </c>
      <c r="G10861" s="4" t="str">
        <f>HYPERLINK("http://141.218.60.56/~jnz1568/getInfo.php?workbook=10_05.xlsx&amp;sheet=U0&amp;row=10861&amp;col=7&amp;number=0.0514&amp;sourceID=14","0.0514")</f>
        <v>0.0514</v>
      </c>
    </row>
    <row r="10862" spans="1:7">
      <c r="A10862" s="3"/>
      <c r="B10862" s="3"/>
      <c r="C10862" s="3"/>
      <c r="D10862" s="3"/>
      <c r="E10862" s="3">
        <v>19</v>
      </c>
      <c r="F10862" s="4" t="str">
        <f>HYPERLINK("http://141.218.60.56/~jnz1568/getInfo.php?workbook=10_05.xlsx&amp;sheet=U0&amp;row=10862&amp;col=6&amp;number=4.8&amp;sourceID=14","4.8")</f>
        <v>4.8</v>
      </c>
      <c r="G10862" s="4" t="str">
        <f>HYPERLINK("http://141.218.60.56/~jnz1568/getInfo.php?workbook=10_05.xlsx&amp;sheet=U0&amp;row=10862&amp;col=7&amp;number=0.051&amp;sourceID=14","0.051")</f>
        <v>0.051</v>
      </c>
    </row>
    <row r="10863" spans="1:7">
      <c r="A10863" s="3"/>
      <c r="B10863" s="3"/>
      <c r="C10863" s="3"/>
      <c r="D10863" s="3"/>
      <c r="E10863" s="3">
        <v>20</v>
      </c>
      <c r="F10863" s="4" t="str">
        <f>HYPERLINK("http://141.218.60.56/~jnz1568/getInfo.php?workbook=10_05.xlsx&amp;sheet=U0&amp;row=10863&amp;col=6&amp;number=4.9&amp;sourceID=14","4.9")</f>
        <v>4.9</v>
      </c>
      <c r="G10863" s="4" t="str">
        <f>HYPERLINK("http://141.218.60.56/~jnz1568/getInfo.php?workbook=10_05.xlsx&amp;sheet=U0&amp;row=10863&amp;col=7&amp;number=0.0509&amp;sourceID=14","0.0509")</f>
        <v>0.0509</v>
      </c>
    </row>
    <row r="10864" spans="1:7">
      <c r="A10864" s="3">
        <v>10</v>
      </c>
      <c r="B10864" s="3">
        <v>5</v>
      </c>
      <c r="C10864" s="3">
        <v>4</v>
      </c>
      <c r="D10864" s="3">
        <v>14</v>
      </c>
      <c r="E10864" s="3">
        <v>1</v>
      </c>
      <c r="F10864" s="4" t="str">
        <f>HYPERLINK("http://141.218.60.56/~jnz1568/getInfo.php?workbook=10_05.xlsx&amp;sheet=U0&amp;row=10864&amp;col=6&amp;number=3&amp;sourceID=14","3")</f>
        <v>3</v>
      </c>
      <c r="G10864" s="4" t="str">
        <f>HYPERLINK("http://141.218.60.56/~jnz1568/getInfo.php?workbook=10_05.xlsx&amp;sheet=U0&amp;row=10864&amp;col=7&amp;number=0.0198&amp;sourceID=14","0.0198")</f>
        <v>0.0198</v>
      </c>
    </row>
    <row r="10865" spans="1:7">
      <c r="A10865" s="3"/>
      <c r="B10865" s="3"/>
      <c r="C10865" s="3"/>
      <c r="D10865" s="3"/>
      <c r="E10865" s="3">
        <v>2</v>
      </c>
      <c r="F10865" s="4" t="str">
        <f>HYPERLINK("http://141.218.60.56/~jnz1568/getInfo.php?workbook=10_05.xlsx&amp;sheet=U0&amp;row=10865&amp;col=6&amp;number=3.1&amp;sourceID=14","3.1")</f>
        <v>3.1</v>
      </c>
      <c r="G10865" s="4" t="str">
        <f>HYPERLINK("http://141.218.60.56/~jnz1568/getInfo.php?workbook=10_05.xlsx&amp;sheet=U0&amp;row=10865&amp;col=7&amp;number=0.0198&amp;sourceID=14","0.0198")</f>
        <v>0.0198</v>
      </c>
    </row>
    <row r="10866" spans="1:7">
      <c r="A10866" s="3"/>
      <c r="B10866" s="3"/>
      <c r="C10866" s="3"/>
      <c r="D10866" s="3"/>
      <c r="E10866" s="3">
        <v>3</v>
      </c>
      <c r="F10866" s="4" t="str">
        <f>HYPERLINK("http://141.218.60.56/~jnz1568/getInfo.php?workbook=10_05.xlsx&amp;sheet=U0&amp;row=10866&amp;col=6&amp;number=3.2&amp;sourceID=14","3.2")</f>
        <v>3.2</v>
      </c>
      <c r="G10866" s="4" t="str">
        <f>HYPERLINK("http://141.218.60.56/~jnz1568/getInfo.php?workbook=10_05.xlsx&amp;sheet=U0&amp;row=10866&amp;col=7&amp;number=0.0198&amp;sourceID=14","0.0198")</f>
        <v>0.0198</v>
      </c>
    </row>
    <row r="10867" spans="1:7">
      <c r="A10867" s="3"/>
      <c r="B10867" s="3"/>
      <c r="C10867" s="3"/>
      <c r="D10867" s="3"/>
      <c r="E10867" s="3">
        <v>4</v>
      </c>
      <c r="F10867" s="4" t="str">
        <f>HYPERLINK("http://141.218.60.56/~jnz1568/getInfo.php?workbook=10_05.xlsx&amp;sheet=U0&amp;row=10867&amp;col=6&amp;number=3.3&amp;sourceID=14","3.3")</f>
        <v>3.3</v>
      </c>
      <c r="G10867" s="4" t="str">
        <f>HYPERLINK("http://141.218.60.56/~jnz1568/getInfo.php?workbook=10_05.xlsx&amp;sheet=U0&amp;row=10867&amp;col=7&amp;number=0.0198&amp;sourceID=14","0.0198")</f>
        <v>0.0198</v>
      </c>
    </row>
    <row r="10868" spans="1:7">
      <c r="A10868" s="3"/>
      <c r="B10868" s="3"/>
      <c r="C10868" s="3"/>
      <c r="D10868" s="3"/>
      <c r="E10868" s="3">
        <v>5</v>
      </c>
      <c r="F10868" s="4" t="str">
        <f>HYPERLINK("http://141.218.60.56/~jnz1568/getInfo.php?workbook=10_05.xlsx&amp;sheet=U0&amp;row=10868&amp;col=6&amp;number=3.4&amp;sourceID=14","3.4")</f>
        <v>3.4</v>
      </c>
      <c r="G10868" s="4" t="str">
        <f>HYPERLINK("http://141.218.60.56/~jnz1568/getInfo.php?workbook=10_05.xlsx&amp;sheet=U0&amp;row=10868&amp;col=7&amp;number=0.0199&amp;sourceID=14","0.0199")</f>
        <v>0.0199</v>
      </c>
    </row>
    <row r="10869" spans="1:7">
      <c r="A10869" s="3"/>
      <c r="B10869" s="3"/>
      <c r="C10869" s="3"/>
      <c r="D10869" s="3"/>
      <c r="E10869" s="3">
        <v>6</v>
      </c>
      <c r="F10869" s="4" t="str">
        <f>HYPERLINK("http://141.218.60.56/~jnz1568/getInfo.php?workbook=10_05.xlsx&amp;sheet=U0&amp;row=10869&amp;col=6&amp;number=3.5&amp;sourceID=14","3.5")</f>
        <v>3.5</v>
      </c>
      <c r="G10869" s="4" t="str">
        <f>HYPERLINK("http://141.218.60.56/~jnz1568/getInfo.php?workbook=10_05.xlsx&amp;sheet=U0&amp;row=10869&amp;col=7&amp;number=0.0199&amp;sourceID=14","0.0199")</f>
        <v>0.0199</v>
      </c>
    </row>
    <row r="10870" spans="1:7">
      <c r="A10870" s="3"/>
      <c r="B10870" s="3"/>
      <c r="C10870" s="3"/>
      <c r="D10870" s="3"/>
      <c r="E10870" s="3">
        <v>7</v>
      </c>
      <c r="F10870" s="4" t="str">
        <f>HYPERLINK("http://141.218.60.56/~jnz1568/getInfo.php?workbook=10_05.xlsx&amp;sheet=U0&amp;row=10870&amp;col=6&amp;number=3.6&amp;sourceID=14","3.6")</f>
        <v>3.6</v>
      </c>
      <c r="G10870" s="4" t="str">
        <f>HYPERLINK("http://141.218.60.56/~jnz1568/getInfo.php?workbook=10_05.xlsx&amp;sheet=U0&amp;row=10870&amp;col=7&amp;number=0.0199&amp;sourceID=14","0.0199")</f>
        <v>0.0199</v>
      </c>
    </row>
    <row r="10871" spans="1:7">
      <c r="A10871" s="3"/>
      <c r="B10871" s="3"/>
      <c r="C10871" s="3"/>
      <c r="D10871" s="3"/>
      <c r="E10871" s="3">
        <v>8</v>
      </c>
      <c r="F10871" s="4" t="str">
        <f>HYPERLINK("http://141.218.60.56/~jnz1568/getInfo.php?workbook=10_05.xlsx&amp;sheet=U0&amp;row=10871&amp;col=6&amp;number=3.7&amp;sourceID=14","3.7")</f>
        <v>3.7</v>
      </c>
      <c r="G10871" s="4" t="str">
        <f>HYPERLINK("http://141.218.60.56/~jnz1568/getInfo.php?workbook=10_05.xlsx&amp;sheet=U0&amp;row=10871&amp;col=7&amp;number=0.02&amp;sourceID=14","0.02")</f>
        <v>0.02</v>
      </c>
    </row>
    <row r="10872" spans="1:7">
      <c r="A10872" s="3"/>
      <c r="B10872" s="3"/>
      <c r="C10872" s="3"/>
      <c r="D10872" s="3"/>
      <c r="E10872" s="3">
        <v>9</v>
      </c>
      <c r="F10872" s="4" t="str">
        <f>HYPERLINK("http://141.218.60.56/~jnz1568/getInfo.php?workbook=10_05.xlsx&amp;sheet=U0&amp;row=10872&amp;col=6&amp;number=3.8&amp;sourceID=14","3.8")</f>
        <v>3.8</v>
      </c>
      <c r="G10872" s="4" t="str">
        <f>HYPERLINK("http://141.218.60.56/~jnz1568/getInfo.php?workbook=10_05.xlsx&amp;sheet=U0&amp;row=10872&amp;col=7&amp;number=0.02&amp;sourceID=14","0.02")</f>
        <v>0.02</v>
      </c>
    </row>
    <row r="10873" spans="1:7">
      <c r="A10873" s="3"/>
      <c r="B10873" s="3"/>
      <c r="C10873" s="3"/>
      <c r="D10873" s="3"/>
      <c r="E10873" s="3">
        <v>10</v>
      </c>
      <c r="F10873" s="4" t="str">
        <f>HYPERLINK("http://141.218.60.56/~jnz1568/getInfo.php?workbook=10_05.xlsx&amp;sheet=U0&amp;row=10873&amp;col=6&amp;number=3.9&amp;sourceID=14","3.9")</f>
        <v>3.9</v>
      </c>
      <c r="G10873" s="4" t="str">
        <f>HYPERLINK("http://141.218.60.56/~jnz1568/getInfo.php?workbook=10_05.xlsx&amp;sheet=U0&amp;row=10873&amp;col=7&amp;number=0.0201&amp;sourceID=14","0.0201")</f>
        <v>0.0201</v>
      </c>
    </row>
    <row r="10874" spans="1:7">
      <c r="A10874" s="3"/>
      <c r="B10874" s="3"/>
      <c r="C10874" s="3"/>
      <c r="D10874" s="3"/>
      <c r="E10874" s="3">
        <v>11</v>
      </c>
      <c r="F10874" s="4" t="str">
        <f>HYPERLINK("http://141.218.60.56/~jnz1568/getInfo.php?workbook=10_05.xlsx&amp;sheet=U0&amp;row=10874&amp;col=6&amp;number=4&amp;sourceID=14","4")</f>
        <v>4</v>
      </c>
      <c r="G10874" s="4" t="str">
        <f>HYPERLINK("http://141.218.60.56/~jnz1568/getInfo.php?workbook=10_05.xlsx&amp;sheet=U0&amp;row=10874&amp;col=7&amp;number=0.0201&amp;sourceID=14","0.0201")</f>
        <v>0.0201</v>
      </c>
    </row>
    <row r="10875" spans="1:7">
      <c r="A10875" s="3"/>
      <c r="B10875" s="3"/>
      <c r="C10875" s="3"/>
      <c r="D10875" s="3"/>
      <c r="E10875" s="3">
        <v>12</v>
      </c>
      <c r="F10875" s="4" t="str">
        <f>HYPERLINK("http://141.218.60.56/~jnz1568/getInfo.php?workbook=10_05.xlsx&amp;sheet=U0&amp;row=10875&amp;col=6&amp;number=4.1&amp;sourceID=14","4.1")</f>
        <v>4.1</v>
      </c>
      <c r="G10875" s="4" t="str">
        <f>HYPERLINK("http://141.218.60.56/~jnz1568/getInfo.php?workbook=10_05.xlsx&amp;sheet=U0&amp;row=10875&amp;col=7&amp;number=0.0202&amp;sourceID=14","0.0202")</f>
        <v>0.0202</v>
      </c>
    </row>
    <row r="10876" spans="1:7">
      <c r="A10876" s="3"/>
      <c r="B10876" s="3"/>
      <c r="C10876" s="3"/>
      <c r="D10876" s="3"/>
      <c r="E10876" s="3">
        <v>13</v>
      </c>
      <c r="F10876" s="4" t="str">
        <f>HYPERLINK("http://141.218.60.56/~jnz1568/getInfo.php?workbook=10_05.xlsx&amp;sheet=U0&amp;row=10876&amp;col=6&amp;number=4.2&amp;sourceID=14","4.2")</f>
        <v>4.2</v>
      </c>
      <c r="G10876" s="4" t="str">
        <f>HYPERLINK("http://141.218.60.56/~jnz1568/getInfo.php?workbook=10_05.xlsx&amp;sheet=U0&amp;row=10876&amp;col=7&amp;number=0.0203&amp;sourceID=14","0.0203")</f>
        <v>0.0203</v>
      </c>
    </row>
    <row r="10877" spans="1:7">
      <c r="A10877" s="3"/>
      <c r="B10877" s="3"/>
      <c r="C10877" s="3"/>
      <c r="D10877" s="3"/>
      <c r="E10877" s="3">
        <v>14</v>
      </c>
      <c r="F10877" s="4" t="str">
        <f>HYPERLINK("http://141.218.60.56/~jnz1568/getInfo.php?workbook=10_05.xlsx&amp;sheet=U0&amp;row=10877&amp;col=6&amp;number=4.3&amp;sourceID=14","4.3")</f>
        <v>4.3</v>
      </c>
      <c r="G10877" s="4" t="str">
        <f>HYPERLINK("http://141.218.60.56/~jnz1568/getInfo.php?workbook=10_05.xlsx&amp;sheet=U0&amp;row=10877&amp;col=7&amp;number=0.0204&amp;sourceID=14","0.0204")</f>
        <v>0.0204</v>
      </c>
    </row>
    <row r="10878" spans="1:7">
      <c r="A10878" s="3"/>
      <c r="B10878" s="3"/>
      <c r="C10878" s="3"/>
      <c r="D10878" s="3"/>
      <c r="E10878" s="3">
        <v>15</v>
      </c>
      <c r="F10878" s="4" t="str">
        <f>HYPERLINK("http://141.218.60.56/~jnz1568/getInfo.php?workbook=10_05.xlsx&amp;sheet=U0&amp;row=10878&amp;col=6&amp;number=4.4&amp;sourceID=14","4.4")</f>
        <v>4.4</v>
      </c>
      <c r="G10878" s="4" t="str">
        <f>HYPERLINK("http://141.218.60.56/~jnz1568/getInfo.php?workbook=10_05.xlsx&amp;sheet=U0&amp;row=10878&amp;col=7&amp;number=0.0205&amp;sourceID=14","0.0205")</f>
        <v>0.0205</v>
      </c>
    </row>
    <row r="10879" spans="1:7">
      <c r="A10879" s="3"/>
      <c r="B10879" s="3"/>
      <c r="C10879" s="3"/>
      <c r="D10879" s="3"/>
      <c r="E10879" s="3">
        <v>16</v>
      </c>
      <c r="F10879" s="4" t="str">
        <f>HYPERLINK("http://141.218.60.56/~jnz1568/getInfo.php?workbook=10_05.xlsx&amp;sheet=U0&amp;row=10879&amp;col=6&amp;number=4.5&amp;sourceID=14","4.5")</f>
        <v>4.5</v>
      </c>
      <c r="G10879" s="4" t="str">
        <f>HYPERLINK("http://141.218.60.56/~jnz1568/getInfo.php?workbook=10_05.xlsx&amp;sheet=U0&amp;row=10879&amp;col=7&amp;number=0.0205&amp;sourceID=14","0.0205")</f>
        <v>0.0205</v>
      </c>
    </row>
    <row r="10880" spans="1:7">
      <c r="A10880" s="3"/>
      <c r="B10880" s="3"/>
      <c r="C10880" s="3"/>
      <c r="D10880" s="3"/>
      <c r="E10880" s="3">
        <v>17</v>
      </c>
      <c r="F10880" s="4" t="str">
        <f>HYPERLINK("http://141.218.60.56/~jnz1568/getInfo.php?workbook=10_05.xlsx&amp;sheet=U0&amp;row=10880&amp;col=6&amp;number=4.6&amp;sourceID=14","4.6")</f>
        <v>4.6</v>
      </c>
      <c r="G10880" s="4" t="str">
        <f>HYPERLINK("http://141.218.60.56/~jnz1568/getInfo.php?workbook=10_05.xlsx&amp;sheet=U0&amp;row=10880&amp;col=7&amp;number=0.0205&amp;sourceID=14","0.0205")</f>
        <v>0.0205</v>
      </c>
    </row>
    <row r="10881" spans="1:7">
      <c r="A10881" s="3"/>
      <c r="B10881" s="3"/>
      <c r="C10881" s="3"/>
      <c r="D10881" s="3"/>
      <c r="E10881" s="3">
        <v>18</v>
      </c>
      <c r="F10881" s="4" t="str">
        <f>HYPERLINK("http://141.218.60.56/~jnz1568/getInfo.php?workbook=10_05.xlsx&amp;sheet=U0&amp;row=10881&amp;col=6&amp;number=4.7&amp;sourceID=14","4.7")</f>
        <v>4.7</v>
      </c>
      <c r="G10881" s="4" t="str">
        <f>HYPERLINK("http://141.218.60.56/~jnz1568/getInfo.php?workbook=10_05.xlsx&amp;sheet=U0&amp;row=10881&amp;col=7&amp;number=0.0205&amp;sourceID=14","0.0205")</f>
        <v>0.0205</v>
      </c>
    </row>
    <row r="10882" spans="1:7">
      <c r="A10882" s="3"/>
      <c r="B10882" s="3"/>
      <c r="C10882" s="3"/>
      <c r="D10882" s="3"/>
      <c r="E10882" s="3">
        <v>19</v>
      </c>
      <c r="F10882" s="4" t="str">
        <f>HYPERLINK("http://141.218.60.56/~jnz1568/getInfo.php?workbook=10_05.xlsx&amp;sheet=U0&amp;row=10882&amp;col=6&amp;number=4.8&amp;sourceID=14","4.8")</f>
        <v>4.8</v>
      </c>
      <c r="G10882" s="4" t="str">
        <f>HYPERLINK("http://141.218.60.56/~jnz1568/getInfo.php?workbook=10_05.xlsx&amp;sheet=U0&amp;row=10882&amp;col=7&amp;number=0.0206&amp;sourceID=14","0.0206")</f>
        <v>0.0206</v>
      </c>
    </row>
    <row r="10883" spans="1:7">
      <c r="A10883" s="3"/>
      <c r="B10883" s="3"/>
      <c r="C10883" s="3"/>
      <c r="D10883" s="3"/>
      <c r="E10883" s="3">
        <v>20</v>
      </c>
      <c r="F10883" s="4" t="str">
        <f>HYPERLINK("http://141.218.60.56/~jnz1568/getInfo.php?workbook=10_05.xlsx&amp;sheet=U0&amp;row=10883&amp;col=6&amp;number=4.9&amp;sourceID=14","4.9")</f>
        <v>4.9</v>
      </c>
      <c r="G10883" s="4" t="str">
        <f>HYPERLINK("http://141.218.60.56/~jnz1568/getInfo.php?workbook=10_05.xlsx&amp;sheet=U0&amp;row=10883&amp;col=7&amp;number=0.0208&amp;sourceID=14","0.0208")</f>
        <v>0.0208</v>
      </c>
    </row>
    <row r="10884" spans="1:7">
      <c r="A10884" s="3">
        <v>10</v>
      </c>
      <c r="B10884" s="3">
        <v>5</v>
      </c>
      <c r="C10884" s="3">
        <v>4</v>
      </c>
      <c r="D10884" s="3">
        <v>15</v>
      </c>
      <c r="E10884" s="3">
        <v>1</v>
      </c>
      <c r="F10884" s="4" t="str">
        <f>HYPERLINK("http://141.218.60.56/~jnz1568/getInfo.php?workbook=10_05.xlsx&amp;sheet=U0&amp;row=10884&amp;col=6&amp;number=3&amp;sourceID=14","3")</f>
        <v>3</v>
      </c>
      <c r="G10884" s="4" t="str">
        <f>HYPERLINK("http://141.218.60.56/~jnz1568/getInfo.php?workbook=10_05.xlsx&amp;sheet=U0&amp;row=10884&amp;col=7&amp;number=0.0244&amp;sourceID=14","0.0244")</f>
        <v>0.0244</v>
      </c>
    </row>
    <row r="10885" spans="1:7">
      <c r="A10885" s="3"/>
      <c r="B10885" s="3"/>
      <c r="C10885" s="3"/>
      <c r="D10885" s="3"/>
      <c r="E10885" s="3">
        <v>2</v>
      </c>
      <c r="F10885" s="4" t="str">
        <f>HYPERLINK("http://141.218.60.56/~jnz1568/getInfo.php?workbook=10_05.xlsx&amp;sheet=U0&amp;row=10885&amp;col=6&amp;number=3.1&amp;sourceID=14","3.1")</f>
        <v>3.1</v>
      </c>
      <c r="G10885" s="4" t="str">
        <f>HYPERLINK("http://141.218.60.56/~jnz1568/getInfo.php?workbook=10_05.xlsx&amp;sheet=U0&amp;row=10885&amp;col=7&amp;number=0.0244&amp;sourceID=14","0.0244")</f>
        <v>0.0244</v>
      </c>
    </row>
    <row r="10886" spans="1:7">
      <c r="A10886" s="3"/>
      <c r="B10886" s="3"/>
      <c r="C10886" s="3"/>
      <c r="D10886" s="3"/>
      <c r="E10886" s="3">
        <v>3</v>
      </c>
      <c r="F10886" s="4" t="str">
        <f>HYPERLINK("http://141.218.60.56/~jnz1568/getInfo.php?workbook=10_05.xlsx&amp;sheet=U0&amp;row=10886&amp;col=6&amp;number=3.2&amp;sourceID=14","3.2")</f>
        <v>3.2</v>
      </c>
      <c r="G10886" s="4" t="str">
        <f>HYPERLINK("http://141.218.60.56/~jnz1568/getInfo.php?workbook=10_05.xlsx&amp;sheet=U0&amp;row=10886&amp;col=7&amp;number=0.0244&amp;sourceID=14","0.0244")</f>
        <v>0.0244</v>
      </c>
    </row>
    <row r="10887" spans="1:7">
      <c r="A10887" s="3"/>
      <c r="B10887" s="3"/>
      <c r="C10887" s="3"/>
      <c r="D10887" s="3"/>
      <c r="E10887" s="3">
        <v>4</v>
      </c>
      <c r="F10887" s="4" t="str">
        <f>HYPERLINK("http://141.218.60.56/~jnz1568/getInfo.php?workbook=10_05.xlsx&amp;sheet=U0&amp;row=10887&amp;col=6&amp;number=3.3&amp;sourceID=14","3.3")</f>
        <v>3.3</v>
      </c>
      <c r="G10887" s="4" t="str">
        <f>HYPERLINK("http://141.218.60.56/~jnz1568/getInfo.php?workbook=10_05.xlsx&amp;sheet=U0&amp;row=10887&amp;col=7&amp;number=0.0245&amp;sourceID=14","0.0245")</f>
        <v>0.0245</v>
      </c>
    </row>
    <row r="10888" spans="1:7">
      <c r="A10888" s="3"/>
      <c r="B10888" s="3"/>
      <c r="C10888" s="3"/>
      <c r="D10888" s="3"/>
      <c r="E10888" s="3">
        <v>5</v>
      </c>
      <c r="F10888" s="4" t="str">
        <f>HYPERLINK("http://141.218.60.56/~jnz1568/getInfo.php?workbook=10_05.xlsx&amp;sheet=U0&amp;row=10888&amp;col=6&amp;number=3.4&amp;sourceID=14","3.4")</f>
        <v>3.4</v>
      </c>
      <c r="G10888" s="4" t="str">
        <f>HYPERLINK("http://141.218.60.56/~jnz1568/getInfo.php?workbook=10_05.xlsx&amp;sheet=U0&amp;row=10888&amp;col=7&amp;number=0.0245&amp;sourceID=14","0.0245")</f>
        <v>0.0245</v>
      </c>
    </row>
    <row r="10889" spans="1:7">
      <c r="A10889" s="3"/>
      <c r="B10889" s="3"/>
      <c r="C10889" s="3"/>
      <c r="D10889" s="3"/>
      <c r="E10889" s="3">
        <v>6</v>
      </c>
      <c r="F10889" s="4" t="str">
        <f>HYPERLINK("http://141.218.60.56/~jnz1568/getInfo.php?workbook=10_05.xlsx&amp;sheet=U0&amp;row=10889&amp;col=6&amp;number=3.5&amp;sourceID=14","3.5")</f>
        <v>3.5</v>
      </c>
      <c r="G10889" s="4" t="str">
        <f>HYPERLINK("http://141.218.60.56/~jnz1568/getInfo.php?workbook=10_05.xlsx&amp;sheet=U0&amp;row=10889&amp;col=7&amp;number=0.0246&amp;sourceID=14","0.0246")</f>
        <v>0.0246</v>
      </c>
    </row>
    <row r="10890" spans="1:7">
      <c r="A10890" s="3"/>
      <c r="B10890" s="3"/>
      <c r="C10890" s="3"/>
      <c r="D10890" s="3"/>
      <c r="E10890" s="3">
        <v>7</v>
      </c>
      <c r="F10890" s="4" t="str">
        <f>HYPERLINK("http://141.218.60.56/~jnz1568/getInfo.php?workbook=10_05.xlsx&amp;sheet=U0&amp;row=10890&amp;col=6&amp;number=3.6&amp;sourceID=14","3.6")</f>
        <v>3.6</v>
      </c>
      <c r="G10890" s="4" t="str">
        <f>HYPERLINK("http://141.218.60.56/~jnz1568/getInfo.php?workbook=10_05.xlsx&amp;sheet=U0&amp;row=10890&amp;col=7&amp;number=0.0246&amp;sourceID=14","0.0246")</f>
        <v>0.0246</v>
      </c>
    </row>
    <row r="10891" spans="1:7">
      <c r="A10891" s="3"/>
      <c r="B10891" s="3"/>
      <c r="C10891" s="3"/>
      <c r="D10891" s="3"/>
      <c r="E10891" s="3">
        <v>8</v>
      </c>
      <c r="F10891" s="4" t="str">
        <f>HYPERLINK("http://141.218.60.56/~jnz1568/getInfo.php?workbook=10_05.xlsx&amp;sheet=U0&amp;row=10891&amp;col=6&amp;number=3.7&amp;sourceID=14","3.7")</f>
        <v>3.7</v>
      </c>
      <c r="G10891" s="4" t="str">
        <f>HYPERLINK("http://141.218.60.56/~jnz1568/getInfo.php?workbook=10_05.xlsx&amp;sheet=U0&amp;row=10891&amp;col=7&amp;number=0.0247&amp;sourceID=14","0.0247")</f>
        <v>0.0247</v>
      </c>
    </row>
    <row r="10892" spans="1:7">
      <c r="A10892" s="3"/>
      <c r="B10892" s="3"/>
      <c r="C10892" s="3"/>
      <c r="D10892" s="3"/>
      <c r="E10892" s="3">
        <v>9</v>
      </c>
      <c r="F10892" s="4" t="str">
        <f>HYPERLINK("http://141.218.60.56/~jnz1568/getInfo.php?workbook=10_05.xlsx&amp;sheet=U0&amp;row=10892&amp;col=6&amp;number=3.8&amp;sourceID=14","3.8")</f>
        <v>3.8</v>
      </c>
      <c r="G10892" s="4" t="str">
        <f>HYPERLINK("http://141.218.60.56/~jnz1568/getInfo.php?workbook=10_05.xlsx&amp;sheet=U0&amp;row=10892&amp;col=7&amp;number=0.0248&amp;sourceID=14","0.0248")</f>
        <v>0.0248</v>
      </c>
    </row>
    <row r="10893" spans="1:7">
      <c r="A10893" s="3"/>
      <c r="B10893" s="3"/>
      <c r="C10893" s="3"/>
      <c r="D10893" s="3"/>
      <c r="E10893" s="3">
        <v>10</v>
      </c>
      <c r="F10893" s="4" t="str">
        <f>HYPERLINK("http://141.218.60.56/~jnz1568/getInfo.php?workbook=10_05.xlsx&amp;sheet=U0&amp;row=10893&amp;col=6&amp;number=3.9&amp;sourceID=14","3.9")</f>
        <v>3.9</v>
      </c>
      <c r="G10893" s="4" t="str">
        <f>HYPERLINK("http://141.218.60.56/~jnz1568/getInfo.php?workbook=10_05.xlsx&amp;sheet=U0&amp;row=10893&amp;col=7&amp;number=0.0249&amp;sourceID=14","0.0249")</f>
        <v>0.0249</v>
      </c>
    </row>
    <row r="10894" spans="1:7">
      <c r="A10894" s="3"/>
      <c r="B10894" s="3"/>
      <c r="C10894" s="3"/>
      <c r="D10894" s="3"/>
      <c r="E10894" s="3">
        <v>11</v>
      </c>
      <c r="F10894" s="4" t="str">
        <f>HYPERLINK("http://141.218.60.56/~jnz1568/getInfo.php?workbook=10_05.xlsx&amp;sheet=U0&amp;row=10894&amp;col=6&amp;number=4&amp;sourceID=14","4")</f>
        <v>4</v>
      </c>
      <c r="G10894" s="4" t="str">
        <f>HYPERLINK("http://141.218.60.56/~jnz1568/getInfo.php?workbook=10_05.xlsx&amp;sheet=U0&amp;row=10894&amp;col=7&amp;number=0.025&amp;sourceID=14","0.025")</f>
        <v>0.025</v>
      </c>
    </row>
    <row r="10895" spans="1:7">
      <c r="A10895" s="3"/>
      <c r="B10895" s="3"/>
      <c r="C10895" s="3"/>
      <c r="D10895" s="3"/>
      <c r="E10895" s="3">
        <v>12</v>
      </c>
      <c r="F10895" s="4" t="str">
        <f>HYPERLINK("http://141.218.60.56/~jnz1568/getInfo.php?workbook=10_05.xlsx&amp;sheet=U0&amp;row=10895&amp;col=6&amp;number=4.1&amp;sourceID=14","4.1")</f>
        <v>4.1</v>
      </c>
      <c r="G10895" s="4" t="str">
        <f>HYPERLINK("http://141.218.60.56/~jnz1568/getInfo.php?workbook=10_05.xlsx&amp;sheet=U0&amp;row=10895&amp;col=7&amp;number=0.0251&amp;sourceID=14","0.0251")</f>
        <v>0.0251</v>
      </c>
    </row>
    <row r="10896" spans="1:7">
      <c r="A10896" s="3"/>
      <c r="B10896" s="3"/>
      <c r="C10896" s="3"/>
      <c r="D10896" s="3"/>
      <c r="E10896" s="3">
        <v>13</v>
      </c>
      <c r="F10896" s="4" t="str">
        <f>HYPERLINK("http://141.218.60.56/~jnz1568/getInfo.php?workbook=10_05.xlsx&amp;sheet=U0&amp;row=10896&amp;col=6&amp;number=4.2&amp;sourceID=14","4.2")</f>
        <v>4.2</v>
      </c>
      <c r="G10896" s="4" t="str">
        <f>HYPERLINK("http://141.218.60.56/~jnz1568/getInfo.php?workbook=10_05.xlsx&amp;sheet=U0&amp;row=10896&amp;col=7&amp;number=0.0253&amp;sourceID=14","0.0253")</f>
        <v>0.0253</v>
      </c>
    </row>
    <row r="10897" spans="1:7">
      <c r="A10897" s="3"/>
      <c r="B10897" s="3"/>
      <c r="C10897" s="3"/>
      <c r="D10897" s="3"/>
      <c r="E10897" s="3">
        <v>14</v>
      </c>
      <c r="F10897" s="4" t="str">
        <f>HYPERLINK("http://141.218.60.56/~jnz1568/getInfo.php?workbook=10_05.xlsx&amp;sheet=U0&amp;row=10897&amp;col=6&amp;number=4.3&amp;sourceID=14","4.3")</f>
        <v>4.3</v>
      </c>
      <c r="G10897" s="4" t="str">
        <f>HYPERLINK("http://141.218.60.56/~jnz1568/getInfo.php?workbook=10_05.xlsx&amp;sheet=U0&amp;row=10897&amp;col=7&amp;number=0.0255&amp;sourceID=14","0.0255")</f>
        <v>0.0255</v>
      </c>
    </row>
    <row r="10898" spans="1:7">
      <c r="A10898" s="3"/>
      <c r="B10898" s="3"/>
      <c r="C10898" s="3"/>
      <c r="D10898" s="3"/>
      <c r="E10898" s="3">
        <v>15</v>
      </c>
      <c r="F10898" s="4" t="str">
        <f>HYPERLINK("http://141.218.60.56/~jnz1568/getInfo.php?workbook=10_05.xlsx&amp;sheet=U0&amp;row=10898&amp;col=6&amp;number=4.4&amp;sourceID=14","4.4")</f>
        <v>4.4</v>
      </c>
      <c r="G10898" s="4" t="str">
        <f>HYPERLINK("http://141.218.60.56/~jnz1568/getInfo.php?workbook=10_05.xlsx&amp;sheet=U0&amp;row=10898&amp;col=7&amp;number=0.0256&amp;sourceID=14","0.0256")</f>
        <v>0.0256</v>
      </c>
    </row>
    <row r="10899" spans="1:7">
      <c r="A10899" s="3"/>
      <c r="B10899" s="3"/>
      <c r="C10899" s="3"/>
      <c r="D10899" s="3"/>
      <c r="E10899" s="3">
        <v>16</v>
      </c>
      <c r="F10899" s="4" t="str">
        <f>HYPERLINK("http://141.218.60.56/~jnz1568/getInfo.php?workbook=10_05.xlsx&amp;sheet=U0&amp;row=10899&amp;col=6&amp;number=4.5&amp;sourceID=14","4.5")</f>
        <v>4.5</v>
      </c>
      <c r="G10899" s="4" t="str">
        <f>HYPERLINK("http://141.218.60.56/~jnz1568/getInfo.php?workbook=10_05.xlsx&amp;sheet=U0&amp;row=10899&amp;col=7&amp;number=0.0256&amp;sourceID=14","0.0256")</f>
        <v>0.0256</v>
      </c>
    </row>
    <row r="10900" spans="1:7">
      <c r="A10900" s="3"/>
      <c r="B10900" s="3"/>
      <c r="C10900" s="3"/>
      <c r="D10900" s="3"/>
      <c r="E10900" s="3">
        <v>17</v>
      </c>
      <c r="F10900" s="4" t="str">
        <f>HYPERLINK("http://141.218.60.56/~jnz1568/getInfo.php?workbook=10_05.xlsx&amp;sheet=U0&amp;row=10900&amp;col=6&amp;number=4.6&amp;sourceID=14","4.6")</f>
        <v>4.6</v>
      </c>
      <c r="G10900" s="4" t="str">
        <f>HYPERLINK("http://141.218.60.56/~jnz1568/getInfo.php?workbook=10_05.xlsx&amp;sheet=U0&amp;row=10900&amp;col=7&amp;number=0.0256&amp;sourceID=14","0.0256")</f>
        <v>0.0256</v>
      </c>
    </row>
    <row r="10901" spans="1:7">
      <c r="A10901" s="3"/>
      <c r="B10901" s="3"/>
      <c r="C10901" s="3"/>
      <c r="D10901" s="3"/>
      <c r="E10901" s="3">
        <v>18</v>
      </c>
      <c r="F10901" s="4" t="str">
        <f>HYPERLINK("http://141.218.60.56/~jnz1568/getInfo.php?workbook=10_05.xlsx&amp;sheet=U0&amp;row=10901&amp;col=6&amp;number=4.7&amp;sourceID=14","4.7")</f>
        <v>4.7</v>
      </c>
      <c r="G10901" s="4" t="str">
        <f>HYPERLINK("http://141.218.60.56/~jnz1568/getInfo.php?workbook=10_05.xlsx&amp;sheet=U0&amp;row=10901&amp;col=7&amp;number=0.0257&amp;sourceID=14","0.0257")</f>
        <v>0.0257</v>
      </c>
    </row>
    <row r="10902" spans="1:7">
      <c r="A10902" s="3"/>
      <c r="B10902" s="3"/>
      <c r="C10902" s="3"/>
      <c r="D10902" s="3"/>
      <c r="E10902" s="3">
        <v>19</v>
      </c>
      <c r="F10902" s="4" t="str">
        <f>HYPERLINK("http://141.218.60.56/~jnz1568/getInfo.php?workbook=10_05.xlsx&amp;sheet=U0&amp;row=10902&amp;col=6&amp;number=4.8&amp;sourceID=14","4.8")</f>
        <v>4.8</v>
      </c>
      <c r="G10902" s="4" t="str">
        <f>HYPERLINK("http://141.218.60.56/~jnz1568/getInfo.php?workbook=10_05.xlsx&amp;sheet=U0&amp;row=10902&amp;col=7&amp;number=0.0259&amp;sourceID=14","0.0259")</f>
        <v>0.0259</v>
      </c>
    </row>
    <row r="10903" spans="1:7">
      <c r="A10903" s="3"/>
      <c r="B10903" s="3"/>
      <c r="C10903" s="3"/>
      <c r="D10903" s="3"/>
      <c r="E10903" s="3">
        <v>20</v>
      </c>
      <c r="F10903" s="4" t="str">
        <f>HYPERLINK("http://141.218.60.56/~jnz1568/getInfo.php?workbook=10_05.xlsx&amp;sheet=U0&amp;row=10903&amp;col=6&amp;number=4.9&amp;sourceID=14","4.9")</f>
        <v>4.9</v>
      </c>
      <c r="G10903" s="4" t="str">
        <f>HYPERLINK("http://141.218.60.56/~jnz1568/getInfo.php?workbook=10_05.xlsx&amp;sheet=U0&amp;row=10903&amp;col=7&amp;number=0.0264&amp;sourceID=14","0.0264")</f>
        <v>0.0264</v>
      </c>
    </row>
    <row r="10904" spans="1:7">
      <c r="A10904" s="3">
        <v>10</v>
      </c>
      <c r="B10904" s="3">
        <v>5</v>
      </c>
      <c r="C10904" s="3">
        <v>4</v>
      </c>
      <c r="D10904" s="3">
        <v>16</v>
      </c>
      <c r="E10904" s="3">
        <v>1</v>
      </c>
      <c r="F10904" s="4" t="str">
        <f>HYPERLINK("http://141.218.60.56/~jnz1568/getInfo.php?workbook=10_05.xlsx&amp;sheet=U0&amp;row=10904&amp;col=6&amp;number=3&amp;sourceID=14","3")</f>
        <v>3</v>
      </c>
      <c r="G10904" s="4" t="str">
        <f>HYPERLINK("http://141.218.60.56/~jnz1568/getInfo.php?workbook=10_05.xlsx&amp;sheet=U0&amp;row=10904&amp;col=7&amp;number=0.0307&amp;sourceID=14","0.0307")</f>
        <v>0.0307</v>
      </c>
    </row>
    <row r="10905" spans="1:7">
      <c r="A10905" s="3"/>
      <c r="B10905" s="3"/>
      <c r="C10905" s="3"/>
      <c r="D10905" s="3"/>
      <c r="E10905" s="3">
        <v>2</v>
      </c>
      <c r="F10905" s="4" t="str">
        <f>HYPERLINK("http://141.218.60.56/~jnz1568/getInfo.php?workbook=10_05.xlsx&amp;sheet=U0&amp;row=10905&amp;col=6&amp;number=3.1&amp;sourceID=14","3.1")</f>
        <v>3.1</v>
      </c>
      <c r="G10905" s="4" t="str">
        <f>HYPERLINK("http://141.218.60.56/~jnz1568/getInfo.php?workbook=10_05.xlsx&amp;sheet=U0&amp;row=10905&amp;col=7&amp;number=0.0313&amp;sourceID=14","0.0313")</f>
        <v>0.0313</v>
      </c>
    </row>
    <row r="10906" spans="1:7">
      <c r="A10906" s="3"/>
      <c r="B10906" s="3"/>
      <c r="C10906" s="3"/>
      <c r="D10906" s="3"/>
      <c r="E10906" s="3">
        <v>3</v>
      </c>
      <c r="F10906" s="4" t="str">
        <f>HYPERLINK("http://141.218.60.56/~jnz1568/getInfo.php?workbook=10_05.xlsx&amp;sheet=U0&amp;row=10906&amp;col=6&amp;number=3.2&amp;sourceID=14","3.2")</f>
        <v>3.2</v>
      </c>
      <c r="G10906" s="4" t="str">
        <f>HYPERLINK("http://141.218.60.56/~jnz1568/getInfo.php?workbook=10_05.xlsx&amp;sheet=U0&amp;row=10906&amp;col=7&amp;number=0.032&amp;sourceID=14","0.032")</f>
        <v>0.032</v>
      </c>
    </row>
    <row r="10907" spans="1:7">
      <c r="A10907" s="3"/>
      <c r="B10907" s="3"/>
      <c r="C10907" s="3"/>
      <c r="D10907" s="3"/>
      <c r="E10907" s="3">
        <v>4</v>
      </c>
      <c r="F10907" s="4" t="str">
        <f>HYPERLINK("http://141.218.60.56/~jnz1568/getInfo.php?workbook=10_05.xlsx&amp;sheet=U0&amp;row=10907&amp;col=6&amp;number=3.3&amp;sourceID=14","3.3")</f>
        <v>3.3</v>
      </c>
      <c r="G10907" s="4" t="str">
        <f>HYPERLINK("http://141.218.60.56/~jnz1568/getInfo.php?workbook=10_05.xlsx&amp;sheet=U0&amp;row=10907&amp;col=7&amp;number=0.0329&amp;sourceID=14","0.0329")</f>
        <v>0.0329</v>
      </c>
    </row>
    <row r="10908" spans="1:7">
      <c r="A10908" s="3"/>
      <c r="B10908" s="3"/>
      <c r="C10908" s="3"/>
      <c r="D10908" s="3"/>
      <c r="E10908" s="3">
        <v>5</v>
      </c>
      <c r="F10908" s="4" t="str">
        <f>HYPERLINK("http://141.218.60.56/~jnz1568/getInfo.php?workbook=10_05.xlsx&amp;sheet=U0&amp;row=10908&amp;col=6&amp;number=3.4&amp;sourceID=14","3.4")</f>
        <v>3.4</v>
      </c>
      <c r="G10908" s="4" t="str">
        <f>HYPERLINK("http://141.218.60.56/~jnz1568/getInfo.php?workbook=10_05.xlsx&amp;sheet=U0&amp;row=10908&amp;col=7&amp;number=0.034&amp;sourceID=14","0.034")</f>
        <v>0.034</v>
      </c>
    </row>
    <row r="10909" spans="1:7">
      <c r="A10909" s="3"/>
      <c r="B10909" s="3"/>
      <c r="C10909" s="3"/>
      <c r="D10909" s="3"/>
      <c r="E10909" s="3">
        <v>6</v>
      </c>
      <c r="F10909" s="4" t="str">
        <f>HYPERLINK("http://141.218.60.56/~jnz1568/getInfo.php?workbook=10_05.xlsx&amp;sheet=U0&amp;row=10909&amp;col=6&amp;number=3.5&amp;sourceID=14","3.5")</f>
        <v>3.5</v>
      </c>
      <c r="G10909" s="4" t="str">
        <f>HYPERLINK("http://141.218.60.56/~jnz1568/getInfo.php?workbook=10_05.xlsx&amp;sheet=U0&amp;row=10909&amp;col=7&amp;number=0.0354&amp;sourceID=14","0.0354")</f>
        <v>0.0354</v>
      </c>
    </row>
    <row r="10910" spans="1:7">
      <c r="A10910" s="3"/>
      <c r="B10910" s="3"/>
      <c r="C10910" s="3"/>
      <c r="D10910" s="3"/>
      <c r="E10910" s="3">
        <v>7</v>
      </c>
      <c r="F10910" s="4" t="str">
        <f>HYPERLINK("http://141.218.60.56/~jnz1568/getInfo.php?workbook=10_05.xlsx&amp;sheet=U0&amp;row=10910&amp;col=6&amp;number=3.6&amp;sourceID=14","3.6")</f>
        <v>3.6</v>
      </c>
      <c r="G10910" s="4" t="str">
        <f>HYPERLINK("http://141.218.60.56/~jnz1568/getInfo.php?workbook=10_05.xlsx&amp;sheet=U0&amp;row=10910&amp;col=7&amp;number=0.0371&amp;sourceID=14","0.0371")</f>
        <v>0.0371</v>
      </c>
    </row>
    <row r="10911" spans="1:7">
      <c r="A10911" s="3"/>
      <c r="B10911" s="3"/>
      <c r="C10911" s="3"/>
      <c r="D10911" s="3"/>
      <c r="E10911" s="3">
        <v>8</v>
      </c>
      <c r="F10911" s="4" t="str">
        <f>HYPERLINK("http://141.218.60.56/~jnz1568/getInfo.php?workbook=10_05.xlsx&amp;sheet=U0&amp;row=10911&amp;col=6&amp;number=3.7&amp;sourceID=14","3.7")</f>
        <v>3.7</v>
      </c>
      <c r="G10911" s="4" t="str">
        <f>HYPERLINK("http://141.218.60.56/~jnz1568/getInfo.php?workbook=10_05.xlsx&amp;sheet=U0&amp;row=10911&amp;col=7&amp;number=0.0393&amp;sourceID=14","0.0393")</f>
        <v>0.0393</v>
      </c>
    </row>
    <row r="10912" spans="1:7">
      <c r="A10912" s="3"/>
      <c r="B10912" s="3"/>
      <c r="C10912" s="3"/>
      <c r="D10912" s="3"/>
      <c r="E10912" s="3">
        <v>9</v>
      </c>
      <c r="F10912" s="4" t="str">
        <f>HYPERLINK("http://141.218.60.56/~jnz1568/getInfo.php?workbook=10_05.xlsx&amp;sheet=U0&amp;row=10912&amp;col=6&amp;number=3.8&amp;sourceID=14","3.8")</f>
        <v>3.8</v>
      </c>
      <c r="G10912" s="4" t="str">
        <f>HYPERLINK("http://141.218.60.56/~jnz1568/getInfo.php?workbook=10_05.xlsx&amp;sheet=U0&amp;row=10912&amp;col=7&amp;number=0.0419&amp;sourceID=14","0.0419")</f>
        <v>0.0419</v>
      </c>
    </row>
    <row r="10913" spans="1:7">
      <c r="A10913" s="3"/>
      <c r="B10913" s="3"/>
      <c r="C10913" s="3"/>
      <c r="D10913" s="3"/>
      <c r="E10913" s="3">
        <v>10</v>
      </c>
      <c r="F10913" s="4" t="str">
        <f>HYPERLINK("http://141.218.60.56/~jnz1568/getInfo.php?workbook=10_05.xlsx&amp;sheet=U0&amp;row=10913&amp;col=6&amp;number=3.9&amp;sourceID=14","3.9")</f>
        <v>3.9</v>
      </c>
      <c r="G10913" s="4" t="str">
        <f>HYPERLINK("http://141.218.60.56/~jnz1568/getInfo.php?workbook=10_05.xlsx&amp;sheet=U0&amp;row=10913&amp;col=7&amp;number=0.0453&amp;sourceID=14","0.0453")</f>
        <v>0.0453</v>
      </c>
    </row>
    <row r="10914" spans="1:7">
      <c r="A10914" s="3"/>
      <c r="B10914" s="3"/>
      <c r="C10914" s="3"/>
      <c r="D10914" s="3"/>
      <c r="E10914" s="3">
        <v>11</v>
      </c>
      <c r="F10914" s="4" t="str">
        <f>HYPERLINK("http://141.218.60.56/~jnz1568/getInfo.php?workbook=10_05.xlsx&amp;sheet=U0&amp;row=10914&amp;col=6&amp;number=4&amp;sourceID=14","4")</f>
        <v>4</v>
      </c>
      <c r="G10914" s="4" t="str">
        <f>HYPERLINK("http://141.218.60.56/~jnz1568/getInfo.php?workbook=10_05.xlsx&amp;sheet=U0&amp;row=10914&amp;col=7&amp;number=0.0495&amp;sourceID=14","0.0495")</f>
        <v>0.0495</v>
      </c>
    </row>
    <row r="10915" spans="1:7">
      <c r="A10915" s="3"/>
      <c r="B10915" s="3"/>
      <c r="C10915" s="3"/>
      <c r="D10915" s="3"/>
      <c r="E10915" s="3">
        <v>12</v>
      </c>
      <c r="F10915" s="4" t="str">
        <f>HYPERLINK("http://141.218.60.56/~jnz1568/getInfo.php?workbook=10_05.xlsx&amp;sheet=U0&amp;row=10915&amp;col=6&amp;number=4.1&amp;sourceID=14","4.1")</f>
        <v>4.1</v>
      </c>
      <c r="G10915" s="4" t="str">
        <f>HYPERLINK("http://141.218.60.56/~jnz1568/getInfo.php?workbook=10_05.xlsx&amp;sheet=U0&amp;row=10915&amp;col=7&amp;number=0.0547&amp;sourceID=14","0.0547")</f>
        <v>0.0547</v>
      </c>
    </row>
    <row r="10916" spans="1:7">
      <c r="A10916" s="3"/>
      <c r="B10916" s="3"/>
      <c r="C10916" s="3"/>
      <c r="D10916" s="3"/>
      <c r="E10916" s="3">
        <v>13</v>
      </c>
      <c r="F10916" s="4" t="str">
        <f>HYPERLINK("http://141.218.60.56/~jnz1568/getInfo.php?workbook=10_05.xlsx&amp;sheet=U0&amp;row=10916&amp;col=6&amp;number=4.2&amp;sourceID=14","4.2")</f>
        <v>4.2</v>
      </c>
      <c r="G10916" s="4" t="str">
        <f>HYPERLINK("http://141.218.60.56/~jnz1568/getInfo.php?workbook=10_05.xlsx&amp;sheet=U0&amp;row=10916&amp;col=7&amp;number=0.0613&amp;sourceID=14","0.0613")</f>
        <v>0.0613</v>
      </c>
    </row>
    <row r="10917" spans="1:7">
      <c r="A10917" s="3"/>
      <c r="B10917" s="3"/>
      <c r="C10917" s="3"/>
      <c r="D10917" s="3"/>
      <c r="E10917" s="3">
        <v>14</v>
      </c>
      <c r="F10917" s="4" t="str">
        <f>HYPERLINK("http://141.218.60.56/~jnz1568/getInfo.php?workbook=10_05.xlsx&amp;sheet=U0&amp;row=10917&amp;col=6&amp;number=4.3&amp;sourceID=14","4.3")</f>
        <v>4.3</v>
      </c>
      <c r="G10917" s="4" t="str">
        <f>HYPERLINK("http://141.218.60.56/~jnz1568/getInfo.php?workbook=10_05.xlsx&amp;sheet=U0&amp;row=10917&amp;col=7&amp;number=0.0691&amp;sourceID=14","0.0691")</f>
        <v>0.0691</v>
      </c>
    </row>
    <row r="10918" spans="1:7">
      <c r="A10918" s="3"/>
      <c r="B10918" s="3"/>
      <c r="C10918" s="3"/>
      <c r="D10918" s="3"/>
      <c r="E10918" s="3">
        <v>15</v>
      </c>
      <c r="F10918" s="4" t="str">
        <f>HYPERLINK("http://141.218.60.56/~jnz1568/getInfo.php?workbook=10_05.xlsx&amp;sheet=U0&amp;row=10918&amp;col=6&amp;number=4.4&amp;sourceID=14","4.4")</f>
        <v>4.4</v>
      </c>
      <c r="G10918" s="4" t="str">
        <f>HYPERLINK("http://141.218.60.56/~jnz1568/getInfo.php?workbook=10_05.xlsx&amp;sheet=U0&amp;row=10918&amp;col=7&amp;number=0.0775&amp;sourceID=14","0.0775")</f>
        <v>0.0775</v>
      </c>
    </row>
    <row r="10919" spans="1:7">
      <c r="A10919" s="3"/>
      <c r="B10919" s="3"/>
      <c r="C10919" s="3"/>
      <c r="D10919" s="3"/>
      <c r="E10919" s="3">
        <v>16</v>
      </c>
      <c r="F10919" s="4" t="str">
        <f>HYPERLINK("http://141.218.60.56/~jnz1568/getInfo.php?workbook=10_05.xlsx&amp;sheet=U0&amp;row=10919&amp;col=6&amp;number=4.5&amp;sourceID=14","4.5")</f>
        <v>4.5</v>
      </c>
      <c r="G10919" s="4" t="str">
        <f>HYPERLINK("http://141.218.60.56/~jnz1568/getInfo.php?workbook=10_05.xlsx&amp;sheet=U0&amp;row=10919&amp;col=7&amp;number=0.0848&amp;sourceID=14","0.0848")</f>
        <v>0.0848</v>
      </c>
    </row>
    <row r="10920" spans="1:7">
      <c r="A10920" s="3"/>
      <c r="B10920" s="3"/>
      <c r="C10920" s="3"/>
      <c r="D10920" s="3"/>
      <c r="E10920" s="3">
        <v>17</v>
      </c>
      <c r="F10920" s="4" t="str">
        <f>HYPERLINK("http://141.218.60.56/~jnz1568/getInfo.php?workbook=10_05.xlsx&amp;sheet=U0&amp;row=10920&amp;col=6&amp;number=4.6&amp;sourceID=14","4.6")</f>
        <v>4.6</v>
      </c>
      <c r="G10920" s="4" t="str">
        <f>HYPERLINK("http://141.218.60.56/~jnz1568/getInfo.php?workbook=10_05.xlsx&amp;sheet=U0&amp;row=10920&amp;col=7&amp;number=0.0897&amp;sourceID=14","0.0897")</f>
        <v>0.0897</v>
      </c>
    </row>
    <row r="10921" spans="1:7">
      <c r="A10921" s="3"/>
      <c r="B10921" s="3"/>
      <c r="C10921" s="3"/>
      <c r="D10921" s="3"/>
      <c r="E10921" s="3">
        <v>18</v>
      </c>
      <c r="F10921" s="4" t="str">
        <f>HYPERLINK("http://141.218.60.56/~jnz1568/getInfo.php?workbook=10_05.xlsx&amp;sheet=U0&amp;row=10921&amp;col=6&amp;number=4.7&amp;sourceID=14","4.7")</f>
        <v>4.7</v>
      </c>
      <c r="G10921" s="4" t="str">
        <f>HYPERLINK("http://141.218.60.56/~jnz1568/getInfo.php?workbook=10_05.xlsx&amp;sheet=U0&amp;row=10921&amp;col=7&amp;number=0.0915&amp;sourceID=14","0.0915")</f>
        <v>0.0915</v>
      </c>
    </row>
    <row r="10922" spans="1:7">
      <c r="A10922" s="3"/>
      <c r="B10922" s="3"/>
      <c r="C10922" s="3"/>
      <c r="D10922" s="3"/>
      <c r="E10922" s="3">
        <v>19</v>
      </c>
      <c r="F10922" s="4" t="str">
        <f>HYPERLINK("http://141.218.60.56/~jnz1568/getInfo.php?workbook=10_05.xlsx&amp;sheet=U0&amp;row=10922&amp;col=6&amp;number=4.8&amp;sourceID=14","4.8")</f>
        <v>4.8</v>
      </c>
      <c r="G10922" s="4" t="str">
        <f>HYPERLINK("http://141.218.60.56/~jnz1568/getInfo.php?workbook=10_05.xlsx&amp;sheet=U0&amp;row=10922&amp;col=7&amp;number=0.0906&amp;sourceID=14","0.0906")</f>
        <v>0.0906</v>
      </c>
    </row>
    <row r="10923" spans="1:7">
      <c r="A10923" s="3"/>
      <c r="B10923" s="3"/>
      <c r="C10923" s="3"/>
      <c r="D10923" s="3"/>
      <c r="E10923" s="3">
        <v>20</v>
      </c>
      <c r="F10923" s="4" t="str">
        <f>HYPERLINK("http://141.218.60.56/~jnz1568/getInfo.php?workbook=10_05.xlsx&amp;sheet=U0&amp;row=10923&amp;col=6&amp;number=4.9&amp;sourceID=14","4.9")</f>
        <v>4.9</v>
      </c>
      <c r="G10923" s="4" t="str">
        <f>HYPERLINK("http://141.218.60.56/~jnz1568/getInfo.php?workbook=10_05.xlsx&amp;sheet=U0&amp;row=10923&amp;col=7&amp;number=0.0872&amp;sourceID=14","0.0872")</f>
        <v>0.0872</v>
      </c>
    </row>
    <row r="10924" spans="1:7">
      <c r="A10924" s="3">
        <v>10</v>
      </c>
      <c r="B10924" s="3">
        <v>5</v>
      </c>
      <c r="C10924" s="3">
        <v>4</v>
      </c>
      <c r="D10924" s="3">
        <v>17</v>
      </c>
      <c r="E10924" s="3">
        <v>1</v>
      </c>
      <c r="F10924" s="4" t="str">
        <f>HYPERLINK("http://141.218.60.56/~jnz1568/getInfo.php?workbook=10_05.xlsx&amp;sheet=U0&amp;row=10924&amp;col=6&amp;number=3&amp;sourceID=14","3")</f>
        <v>3</v>
      </c>
      <c r="G10924" s="4" t="str">
        <f>HYPERLINK("http://141.218.60.56/~jnz1568/getInfo.php?workbook=10_05.xlsx&amp;sheet=U0&amp;row=10924&amp;col=7&amp;number=0.0755&amp;sourceID=14","0.0755")</f>
        <v>0.0755</v>
      </c>
    </row>
    <row r="10925" spans="1:7">
      <c r="A10925" s="3"/>
      <c r="B10925" s="3"/>
      <c r="C10925" s="3"/>
      <c r="D10925" s="3"/>
      <c r="E10925" s="3">
        <v>2</v>
      </c>
      <c r="F10925" s="4" t="str">
        <f>HYPERLINK("http://141.218.60.56/~jnz1568/getInfo.php?workbook=10_05.xlsx&amp;sheet=U0&amp;row=10925&amp;col=6&amp;number=3.1&amp;sourceID=14","3.1")</f>
        <v>3.1</v>
      </c>
      <c r="G10925" s="4" t="str">
        <f>HYPERLINK("http://141.218.60.56/~jnz1568/getInfo.php?workbook=10_05.xlsx&amp;sheet=U0&amp;row=10925&amp;col=7&amp;number=0.0743&amp;sourceID=14","0.0743")</f>
        <v>0.0743</v>
      </c>
    </row>
    <row r="10926" spans="1:7">
      <c r="A10926" s="3"/>
      <c r="B10926" s="3"/>
      <c r="C10926" s="3"/>
      <c r="D10926" s="3"/>
      <c r="E10926" s="3">
        <v>3</v>
      </c>
      <c r="F10926" s="4" t="str">
        <f>HYPERLINK("http://141.218.60.56/~jnz1568/getInfo.php?workbook=10_05.xlsx&amp;sheet=U0&amp;row=10926&amp;col=6&amp;number=3.2&amp;sourceID=14","3.2")</f>
        <v>3.2</v>
      </c>
      <c r="G10926" s="4" t="str">
        <f>HYPERLINK("http://141.218.60.56/~jnz1568/getInfo.php?workbook=10_05.xlsx&amp;sheet=U0&amp;row=10926&amp;col=7&amp;number=0.0728&amp;sourceID=14","0.0728")</f>
        <v>0.0728</v>
      </c>
    </row>
    <row r="10927" spans="1:7">
      <c r="A10927" s="3"/>
      <c r="B10927" s="3"/>
      <c r="C10927" s="3"/>
      <c r="D10927" s="3"/>
      <c r="E10927" s="3">
        <v>4</v>
      </c>
      <c r="F10927" s="4" t="str">
        <f>HYPERLINK("http://141.218.60.56/~jnz1568/getInfo.php?workbook=10_05.xlsx&amp;sheet=U0&amp;row=10927&amp;col=6&amp;number=3.3&amp;sourceID=14","3.3")</f>
        <v>3.3</v>
      </c>
      <c r="G10927" s="4" t="str">
        <f>HYPERLINK("http://141.218.60.56/~jnz1568/getInfo.php?workbook=10_05.xlsx&amp;sheet=U0&amp;row=10927&amp;col=7&amp;number=0.071&amp;sourceID=14","0.071")</f>
        <v>0.071</v>
      </c>
    </row>
    <row r="10928" spans="1:7">
      <c r="A10928" s="3"/>
      <c r="B10928" s="3"/>
      <c r="C10928" s="3"/>
      <c r="D10928" s="3"/>
      <c r="E10928" s="3">
        <v>5</v>
      </c>
      <c r="F10928" s="4" t="str">
        <f>HYPERLINK("http://141.218.60.56/~jnz1568/getInfo.php?workbook=10_05.xlsx&amp;sheet=U0&amp;row=10928&amp;col=6&amp;number=3.4&amp;sourceID=14","3.4")</f>
        <v>3.4</v>
      </c>
      <c r="G10928" s="4" t="str">
        <f>HYPERLINK("http://141.218.60.56/~jnz1568/getInfo.php?workbook=10_05.xlsx&amp;sheet=U0&amp;row=10928&amp;col=7&amp;number=0.0688&amp;sourceID=14","0.0688")</f>
        <v>0.0688</v>
      </c>
    </row>
    <row r="10929" spans="1:7">
      <c r="A10929" s="3"/>
      <c r="B10929" s="3"/>
      <c r="C10929" s="3"/>
      <c r="D10929" s="3"/>
      <c r="E10929" s="3">
        <v>6</v>
      </c>
      <c r="F10929" s="4" t="str">
        <f>HYPERLINK("http://141.218.60.56/~jnz1568/getInfo.php?workbook=10_05.xlsx&amp;sheet=U0&amp;row=10929&amp;col=6&amp;number=3.5&amp;sourceID=14","3.5")</f>
        <v>3.5</v>
      </c>
      <c r="G10929" s="4" t="str">
        <f>HYPERLINK("http://141.218.60.56/~jnz1568/getInfo.php?workbook=10_05.xlsx&amp;sheet=U0&amp;row=10929&amp;col=7&amp;number=0.0662&amp;sourceID=14","0.0662")</f>
        <v>0.0662</v>
      </c>
    </row>
    <row r="10930" spans="1:7">
      <c r="A10930" s="3"/>
      <c r="B10930" s="3"/>
      <c r="C10930" s="3"/>
      <c r="D10930" s="3"/>
      <c r="E10930" s="3">
        <v>7</v>
      </c>
      <c r="F10930" s="4" t="str">
        <f>HYPERLINK("http://141.218.60.56/~jnz1568/getInfo.php?workbook=10_05.xlsx&amp;sheet=U0&amp;row=10930&amp;col=6&amp;number=3.6&amp;sourceID=14","3.6")</f>
        <v>3.6</v>
      </c>
      <c r="G10930" s="4" t="str">
        <f>HYPERLINK("http://141.218.60.56/~jnz1568/getInfo.php?workbook=10_05.xlsx&amp;sheet=U0&amp;row=10930&amp;col=7&amp;number=0.0632&amp;sourceID=14","0.0632")</f>
        <v>0.0632</v>
      </c>
    </row>
    <row r="10931" spans="1:7">
      <c r="A10931" s="3"/>
      <c r="B10931" s="3"/>
      <c r="C10931" s="3"/>
      <c r="D10931" s="3"/>
      <c r="E10931" s="3">
        <v>8</v>
      </c>
      <c r="F10931" s="4" t="str">
        <f>HYPERLINK("http://141.218.60.56/~jnz1568/getInfo.php?workbook=10_05.xlsx&amp;sheet=U0&amp;row=10931&amp;col=6&amp;number=3.7&amp;sourceID=14","3.7")</f>
        <v>3.7</v>
      </c>
      <c r="G10931" s="4" t="str">
        <f>HYPERLINK("http://141.218.60.56/~jnz1568/getInfo.php?workbook=10_05.xlsx&amp;sheet=U0&amp;row=10931&amp;col=7&amp;number=0.0599&amp;sourceID=14","0.0599")</f>
        <v>0.0599</v>
      </c>
    </row>
    <row r="10932" spans="1:7">
      <c r="A10932" s="3"/>
      <c r="B10932" s="3"/>
      <c r="C10932" s="3"/>
      <c r="D10932" s="3"/>
      <c r="E10932" s="3">
        <v>9</v>
      </c>
      <c r="F10932" s="4" t="str">
        <f>HYPERLINK("http://141.218.60.56/~jnz1568/getInfo.php?workbook=10_05.xlsx&amp;sheet=U0&amp;row=10932&amp;col=6&amp;number=3.8&amp;sourceID=14","3.8")</f>
        <v>3.8</v>
      </c>
      <c r="G10932" s="4" t="str">
        <f>HYPERLINK("http://141.218.60.56/~jnz1568/getInfo.php?workbook=10_05.xlsx&amp;sheet=U0&amp;row=10932&amp;col=7&amp;number=0.0564&amp;sourceID=14","0.0564")</f>
        <v>0.0564</v>
      </c>
    </row>
    <row r="10933" spans="1:7">
      <c r="A10933" s="3"/>
      <c r="B10933" s="3"/>
      <c r="C10933" s="3"/>
      <c r="D10933" s="3"/>
      <c r="E10933" s="3">
        <v>10</v>
      </c>
      <c r="F10933" s="4" t="str">
        <f>HYPERLINK("http://141.218.60.56/~jnz1568/getInfo.php?workbook=10_05.xlsx&amp;sheet=U0&amp;row=10933&amp;col=6&amp;number=3.9&amp;sourceID=14","3.9")</f>
        <v>3.9</v>
      </c>
      <c r="G10933" s="4" t="str">
        <f>HYPERLINK("http://141.218.60.56/~jnz1568/getInfo.php?workbook=10_05.xlsx&amp;sheet=U0&amp;row=10933&amp;col=7&amp;number=0.0533&amp;sourceID=14","0.0533")</f>
        <v>0.0533</v>
      </c>
    </row>
    <row r="10934" spans="1:7">
      <c r="A10934" s="3"/>
      <c r="B10934" s="3"/>
      <c r="C10934" s="3"/>
      <c r="D10934" s="3"/>
      <c r="E10934" s="3">
        <v>11</v>
      </c>
      <c r="F10934" s="4" t="str">
        <f>HYPERLINK("http://141.218.60.56/~jnz1568/getInfo.php?workbook=10_05.xlsx&amp;sheet=U0&amp;row=10934&amp;col=6&amp;number=4&amp;sourceID=14","4")</f>
        <v>4</v>
      </c>
      <c r="G10934" s="4" t="str">
        <f>HYPERLINK("http://141.218.60.56/~jnz1568/getInfo.php?workbook=10_05.xlsx&amp;sheet=U0&amp;row=10934&amp;col=7&amp;number=0.0514&amp;sourceID=14","0.0514")</f>
        <v>0.0514</v>
      </c>
    </row>
    <row r="10935" spans="1:7">
      <c r="A10935" s="3"/>
      <c r="B10935" s="3"/>
      <c r="C10935" s="3"/>
      <c r="D10935" s="3"/>
      <c r="E10935" s="3">
        <v>12</v>
      </c>
      <c r="F10935" s="4" t="str">
        <f>HYPERLINK("http://141.218.60.56/~jnz1568/getInfo.php?workbook=10_05.xlsx&amp;sheet=U0&amp;row=10935&amp;col=6&amp;number=4.1&amp;sourceID=14","4.1")</f>
        <v>4.1</v>
      </c>
      <c r="G10935" s="4" t="str">
        <f>HYPERLINK("http://141.218.60.56/~jnz1568/getInfo.php?workbook=10_05.xlsx&amp;sheet=U0&amp;row=10935&amp;col=7&amp;number=0.0512&amp;sourceID=14","0.0512")</f>
        <v>0.0512</v>
      </c>
    </row>
    <row r="10936" spans="1:7">
      <c r="A10936" s="3"/>
      <c r="B10936" s="3"/>
      <c r="C10936" s="3"/>
      <c r="D10936" s="3"/>
      <c r="E10936" s="3">
        <v>13</v>
      </c>
      <c r="F10936" s="4" t="str">
        <f>HYPERLINK("http://141.218.60.56/~jnz1568/getInfo.php?workbook=10_05.xlsx&amp;sheet=U0&amp;row=10936&amp;col=6&amp;number=4.2&amp;sourceID=14","4.2")</f>
        <v>4.2</v>
      </c>
      <c r="G10936" s="4" t="str">
        <f>HYPERLINK("http://141.218.60.56/~jnz1568/getInfo.php?workbook=10_05.xlsx&amp;sheet=U0&amp;row=10936&amp;col=7&amp;number=0.0527&amp;sourceID=14","0.0527")</f>
        <v>0.0527</v>
      </c>
    </row>
    <row r="10937" spans="1:7">
      <c r="A10937" s="3"/>
      <c r="B10937" s="3"/>
      <c r="C10937" s="3"/>
      <c r="D10937" s="3"/>
      <c r="E10937" s="3">
        <v>14</v>
      </c>
      <c r="F10937" s="4" t="str">
        <f>HYPERLINK("http://141.218.60.56/~jnz1568/getInfo.php?workbook=10_05.xlsx&amp;sheet=U0&amp;row=10937&amp;col=6&amp;number=4.3&amp;sourceID=14","4.3")</f>
        <v>4.3</v>
      </c>
      <c r="G10937" s="4" t="str">
        <f>HYPERLINK("http://141.218.60.56/~jnz1568/getInfo.php?workbook=10_05.xlsx&amp;sheet=U0&amp;row=10937&amp;col=7&amp;number=0.0552&amp;sourceID=14","0.0552")</f>
        <v>0.0552</v>
      </c>
    </row>
    <row r="10938" spans="1:7">
      <c r="A10938" s="3"/>
      <c r="B10938" s="3"/>
      <c r="C10938" s="3"/>
      <c r="D10938" s="3"/>
      <c r="E10938" s="3">
        <v>15</v>
      </c>
      <c r="F10938" s="4" t="str">
        <f>HYPERLINK("http://141.218.60.56/~jnz1568/getInfo.php?workbook=10_05.xlsx&amp;sheet=U0&amp;row=10938&amp;col=6&amp;number=4.4&amp;sourceID=14","4.4")</f>
        <v>4.4</v>
      </c>
      <c r="G10938" s="4" t="str">
        <f>HYPERLINK("http://141.218.60.56/~jnz1568/getInfo.php?workbook=10_05.xlsx&amp;sheet=U0&amp;row=10938&amp;col=7&amp;number=0.0573&amp;sourceID=14","0.0573")</f>
        <v>0.0573</v>
      </c>
    </row>
    <row r="10939" spans="1:7">
      <c r="A10939" s="3"/>
      <c r="B10939" s="3"/>
      <c r="C10939" s="3"/>
      <c r="D10939" s="3"/>
      <c r="E10939" s="3">
        <v>16</v>
      </c>
      <c r="F10939" s="4" t="str">
        <f>HYPERLINK("http://141.218.60.56/~jnz1568/getInfo.php?workbook=10_05.xlsx&amp;sheet=U0&amp;row=10939&amp;col=6&amp;number=4.5&amp;sourceID=14","4.5")</f>
        <v>4.5</v>
      </c>
      <c r="G10939" s="4" t="str">
        <f>HYPERLINK("http://141.218.60.56/~jnz1568/getInfo.php?workbook=10_05.xlsx&amp;sheet=U0&amp;row=10939&amp;col=7&amp;number=0.0589&amp;sourceID=14","0.0589")</f>
        <v>0.0589</v>
      </c>
    </row>
    <row r="10940" spans="1:7">
      <c r="A10940" s="3"/>
      <c r="B10940" s="3"/>
      <c r="C10940" s="3"/>
      <c r="D10940" s="3"/>
      <c r="E10940" s="3">
        <v>17</v>
      </c>
      <c r="F10940" s="4" t="str">
        <f>HYPERLINK("http://141.218.60.56/~jnz1568/getInfo.php?workbook=10_05.xlsx&amp;sheet=U0&amp;row=10940&amp;col=6&amp;number=4.6&amp;sourceID=14","4.6")</f>
        <v>4.6</v>
      </c>
      <c r="G10940" s="4" t="str">
        <f>HYPERLINK("http://141.218.60.56/~jnz1568/getInfo.php?workbook=10_05.xlsx&amp;sheet=U0&amp;row=10940&amp;col=7&amp;number=0.0599&amp;sourceID=14","0.0599")</f>
        <v>0.0599</v>
      </c>
    </row>
    <row r="10941" spans="1:7">
      <c r="A10941" s="3"/>
      <c r="B10941" s="3"/>
      <c r="C10941" s="3"/>
      <c r="D10941" s="3"/>
      <c r="E10941" s="3">
        <v>18</v>
      </c>
      <c r="F10941" s="4" t="str">
        <f>HYPERLINK("http://141.218.60.56/~jnz1568/getInfo.php?workbook=10_05.xlsx&amp;sheet=U0&amp;row=10941&amp;col=6&amp;number=4.7&amp;sourceID=14","4.7")</f>
        <v>4.7</v>
      </c>
      <c r="G10941" s="4" t="str">
        <f>HYPERLINK("http://141.218.60.56/~jnz1568/getInfo.php?workbook=10_05.xlsx&amp;sheet=U0&amp;row=10941&amp;col=7&amp;number=0.06&amp;sourceID=14","0.06")</f>
        <v>0.06</v>
      </c>
    </row>
    <row r="10942" spans="1:7">
      <c r="A10942" s="3"/>
      <c r="B10942" s="3"/>
      <c r="C10942" s="3"/>
      <c r="D10942" s="3"/>
      <c r="E10942" s="3">
        <v>19</v>
      </c>
      <c r="F10942" s="4" t="str">
        <f>HYPERLINK("http://141.218.60.56/~jnz1568/getInfo.php?workbook=10_05.xlsx&amp;sheet=U0&amp;row=10942&amp;col=6&amp;number=4.8&amp;sourceID=14","4.8")</f>
        <v>4.8</v>
      </c>
      <c r="G10942" s="4" t="str">
        <f>HYPERLINK("http://141.218.60.56/~jnz1568/getInfo.php?workbook=10_05.xlsx&amp;sheet=U0&amp;row=10942&amp;col=7&amp;number=0.0585&amp;sourceID=14","0.0585")</f>
        <v>0.0585</v>
      </c>
    </row>
    <row r="10943" spans="1:7">
      <c r="A10943" s="3"/>
      <c r="B10943" s="3"/>
      <c r="C10943" s="3"/>
      <c r="D10943" s="3"/>
      <c r="E10943" s="3">
        <v>20</v>
      </c>
      <c r="F10943" s="4" t="str">
        <f>HYPERLINK("http://141.218.60.56/~jnz1568/getInfo.php?workbook=10_05.xlsx&amp;sheet=U0&amp;row=10943&amp;col=6&amp;number=4.9&amp;sourceID=14","4.9")</f>
        <v>4.9</v>
      </c>
      <c r="G10943" s="4" t="str">
        <f>HYPERLINK("http://141.218.60.56/~jnz1568/getInfo.php?workbook=10_05.xlsx&amp;sheet=U0&amp;row=10943&amp;col=7&amp;number=0.0551&amp;sourceID=14","0.0551")</f>
        <v>0.0551</v>
      </c>
    </row>
    <row r="10944" spans="1:7">
      <c r="A10944" s="3">
        <v>10</v>
      </c>
      <c r="B10944" s="3">
        <v>5</v>
      </c>
      <c r="C10944" s="3">
        <v>4</v>
      </c>
      <c r="D10944" s="3">
        <v>18</v>
      </c>
      <c r="E10944" s="3">
        <v>1</v>
      </c>
      <c r="F10944" s="4" t="str">
        <f>HYPERLINK("http://141.218.60.56/~jnz1568/getInfo.php?workbook=10_05.xlsx&amp;sheet=U0&amp;row=10944&amp;col=6&amp;number=3&amp;sourceID=14","3")</f>
        <v>3</v>
      </c>
      <c r="G10944" s="4" t="str">
        <f>HYPERLINK("http://141.218.60.56/~jnz1568/getInfo.php?workbook=10_05.xlsx&amp;sheet=U0&amp;row=10944&amp;col=7&amp;number=0.114&amp;sourceID=14","0.114")</f>
        <v>0.114</v>
      </c>
    </row>
    <row r="10945" spans="1:7">
      <c r="A10945" s="3"/>
      <c r="B10945" s="3"/>
      <c r="C10945" s="3"/>
      <c r="D10945" s="3"/>
      <c r="E10945" s="3">
        <v>2</v>
      </c>
      <c r="F10945" s="4" t="str">
        <f>HYPERLINK("http://141.218.60.56/~jnz1568/getInfo.php?workbook=10_05.xlsx&amp;sheet=U0&amp;row=10945&amp;col=6&amp;number=3.1&amp;sourceID=14","3.1")</f>
        <v>3.1</v>
      </c>
      <c r="G10945" s="4" t="str">
        <f>HYPERLINK("http://141.218.60.56/~jnz1568/getInfo.php?workbook=10_05.xlsx&amp;sheet=U0&amp;row=10945&amp;col=7&amp;number=0.112&amp;sourceID=14","0.112")</f>
        <v>0.112</v>
      </c>
    </row>
    <row r="10946" spans="1:7">
      <c r="A10946" s="3"/>
      <c r="B10946" s="3"/>
      <c r="C10946" s="3"/>
      <c r="D10946" s="3"/>
      <c r="E10946" s="3">
        <v>3</v>
      </c>
      <c r="F10946" s="4" t="str">
        <f>HYPERLINK("http://141.218.60.56/~jnz1568/getInfo.php?workbook=10_05.xlsx&amp;sheet=U0&amp;row=10946&amp;col=6&amp;number=3.2&amp;sourceID=14","3.2")</f>
        <v>3.2</v>
      </c>
      <c r="G10946" s="4" t="str">
        <f>HYPERLINK("http://141.218.60.56/~jnz1568/getInfo.php?workbook=10_05.xlsx&amp;sheet=U0&amp;row=10946&amp;col=7&amp;number=0.11&amp;sourceID=14","0.11")</f>
        <v>0.11</v>
      </c>
    </row>
    <row r="10947" spans="1:7">
      <c r="A10947" s="3"/>
      <c r="B10947" s="3"/>
      <c r="C10947" s="3"/>
      <c r="D10947" s="3"/>
      <c r="E10947" s="3">
        <v>4</v>
      </c>
      <c r="F10947" s="4" t="str">
        <f>HYPERLINK("http://141.218.60.56/~jnz1568/getInfo.php?workbook=10_05.xlsx&amp;sheet=U0&amp;row=10947&amp;col=6&amp;number=3.3&amp;sourceID=14","3.3")</f>
        <v>3.3</v>
      </c>
      <c r="G10947" s="4" t="str">
        <f>HYPERLINK("http://141.218.60.56/~jnz1568/getInfo.php?workbook=10_05.xlsx&amp;sheet=U0&amp;row=10947&amp;col=7&amp;number=0.108&amp;sourceID=14","0.108")</f>
        <v>0.108</v>
      </c>
    </row>
    <row r="10948" spans="1:7">
      <c r="A10948" s="3"/>
      <c r="B10948" s="3"/>
      <c r="C10948" s="3"/>
      <c r="D10948" s="3"/>
      <c r="E10948" s="3">
        <v>5</v>
      </c>
      <c r="F10948" s="4" t="str">
        <f>HYPERLINK("http://141.218.60.56/~jnz1568/getInfo.php?workbook=10_05.xlsx&amp;sheet=U0&amp;row=10948&amp;col=6&amp;number=3.4&amp;sourceID=14","3.4")</f>
        <v>3.4</v>
      </c>
      <c r="G10948" s="4" t="str">
        <f>HYPERLINK("http://141.218.60.56/~jnz1568/getInfo.php?workbook=10_05.xlsx&amp;sheet=U0&amp;row=10948&amp;col=7&amp;number=0.104&amp;sourceID=14","0.104")</f>
        <v>0.104</v>
      </c>
    </row>
    <row r="10949" spans="1:7">
      <c r="A10949" s="3"/>
      <c r="B10949" s="3"/>
      <c r="C10949" s="3"/>
      <c r="D10949" s="3"/>
      <c r="E10949" s="3">
        <v>6</v>
      </c>
      <c r="F10949" s="4" t="str">
        <f>HYPERLINK("http://141.218.60.56/~jnz1568/getInfo.php?workbook=10_05.xlsx&amp;sheet=U0&amp;row=10949&amp;col=6&amp;number=3.5&amp;sourceID=14","3.5")</f>
        <v>3.5</v>
      </c>
      <c r="G10949" s="4" t="str">
        <f>HYPERLINK("http://141.218.60.56/~jnz1568/getInfo.php?workbook=10_05.xlsx&amp;sheet=U0&amp;row=10949&amp;col=7&amp;number=0.101&amp;sourceID=14","0.101")</f>
        <v>0.101</v>
      </c>
    </row>
    <row r="10950" spans="1:7">
      <c r="A10950" s="3"/>
      <c r="B10950" s="3"/>
      <c r="C10950" s="3"/>
      <c r="D10950" s="3"/>
      <c r="E10950" s="3">
        <v>7</v>
      </c>
      <c r="F10950" s="4" t="str">
        <f>HYPERLINK("http://141.218.60.56/~jnz1568/getInfo.php?workbook=10_05.xlsx&amp;sheet=U0&amp;row=10950&amp;col=6&amp;number=3.6&amp;sourceID=14","3.6")</f>
        <v>3.6</v>
      </c>
      <c r="G10950" s="4" t="str">
        <f>HYPERLINK("http://141.218.60.56/~jnz1568/getInfo.php?workbook=10_05.xlsx&amp;sheet=U0&amp;row=10950&amp;col=7&amp;number=0.0963&amp;sourceID=14","0.0963")</f>
        <v>0.0963</v>
      </c>
    </row>
    <row r="10951" spans="1:7">
      <c r="A10951" s="3"/>
      <c r="B10951" s="3"/>
      <c r="C10951" s="3"/>
      <c r="D10951" s="3"/>
      <c r="E10951" s="3">
        <v>8</v>
      </c>
      <c r="F10951" s="4" t="str">
        <f>HYPERLINK("http://141.218.60.56/~jnz1568/getInfo.php?workbook=10_05.xlsx&amp;sheet=U0&amp;row=10951&amp;col=6&amp;number=3.7&amp;sourceID=14","3.7")</f>
        <v>3.7</v>
      </c>
      <c r="G10951" s="4" t="str">
        <f>HYPERLINK("http://141.218.60.56/~jnz1568/getInfo.php?workbook=10_05.xlsx&amp;sheet=U0&amp;row=10951&amp;col=7&amp;number=0.0917&amp;sourceID=14","0.0917")</f>
        <v>0.0917</v>
      </c>
    </row>
    <row r="10952" spans="1:7">
      <c r="A10952" s="3"/>
      <c r="B10952" s="3"/>
      <c r="C10952" s="3"/>
      <c r="D10952" s="3"/>
      <c r="E10952" s="3">
        <v>9</v>
      </c>
      <c r="F10952" s="4" t="str">
        <f>HYPERLINK("http://141.218.60.56/~jnz1568/getInfo.php?workbook=10_05.xlsx&amp;sheet=U0&amp;row=10952&amp;col=6&amp;number=3.8&amp;sourceID=14","3.8")</f>
        <v>3.8</v>
      </c>
      <c r="G10952" s="4" t="str">
        <f>HYPERLINK("http://141.218.60.56/~jnz1568/getInfo.php?workbook=10_05.xlsx&amp;sheet=U0&amp;row=10952&amp;col=7&amp;number=0.0873&amp;sourceID=14","0.0873")</f>
        <v>0.0873</v>
      </c>
    </row>
    <row r="10953" spans="1:7">
      <c r="A10953" s="3"/>
      <c r="B10953" s="3"/>
      <c r="C10953" s="3"/>
      <c r="D10953" s="3"/>
      <c r="E10953" s="3">
        <v>10</v>
      </c>
      <c r="F10953" s="4" t="str">
        <f>HYPERLINK("http://141.218.60.56/~jnz1568/getInfo.php?workbook=10_05.xlsx&amp;sheet=U0&amp;row=10953&amp;col=6&amp;number=3.9&amp;sourceID=14","3.9")</f>
        <v>3.9</v>
      </c>
      <c r="G10953" s="4" t="str">
        <f>HYPERLINK("http://141.218.60.56/~jnz1568/getInfo.php?workbook=10_05.xlsx&amp;sheet=U0&amp;row=10953&amp;col=7&amp;number=0.084&amp;sourceID=14","0.084")</f>
        <v>0.084</v>
      </c>
    </row>
    <row r="10954" spans="1:7">
      <c r="A10954" s="3"/>
      <c r="B10954" s="3"/>
      <c r="C10954" s="3"/>
      <c r="D10954" s="3"/>
      <c r="E10954" s="3">
        <v>11</v>
      </c>
      <c r="F10954" s="4" t="str">
        <f>HYPERLINK("http://141.218.60.56/~jnz1568/getInfo.php?workbook=10_05.xlsx&amp;sheet=U0&amp;row=10954&amp;col=6&amp;number=4&amp;sourceID=14","4")</f>
        <v>4</v>
      </c>
      <c r="G10954" s="4" t="str">
        <f>HYPERLINK("http://141.218.60.56/~jnz1568/getInfo.php?workbook=10_05.xlsx&amp;sheet=U0&amp;row=10954&amp;col=7&amp;number=0.0825&amp;sourceID=14","0.0825")</f>
        <v>0.0825</v>
      </c>
    </row>
    <row r="10955" spans="1:7">
      <c r="A10955" s="3"/>
      <c r="B10955" s="3"/>
      <c r="C10955" s="3"/>
      <c r="D10955" s="3"/>
      <c r="E10955" s="3">
        <v>12</v>
      </c>
      <c r="F10955" s="4" t="str">
        <f>HYPERLINK("http://141.218.60.56/~jnz1568/getInfo.php?workbook=10_05.xlsx&amp;sheet=U0&amp;row=10955&amp;col=6&amp;number=4.1&amp;sourceID=14","4.1")</f>
        <v>4.1</v>
      </c>
      <c r="G10955" s="4" t="str">
        <f>HYPERLINK("http://141.218.60.56/~jnz1568/getInfo.php?workbook=10_05.xlsx&amp;sheet=U0&amp;row=10955&amp;col=7&amp;number=0.0834&amp;sourceID=14","0.0834")</f>
        <v>0.0834</v>
      </c>
    </row>
    <row r="10956" spans="1:7">
      <c r="A10956" s="3"/>
      <c r="B10956" s="3"/>
      <c r="C10956" s="3"/>
      <c r="D10956" s="3"/>
      <c r="E10956" s="3">
        <v>13</v>
      </c>
      <c r="F10956" s="4" t="str">
        <f>HYPERLINK("http://141.218.60.56/~jnz1568/getInfo.php?workbook=10_05.xlsx&amp;sheet=U0&amp;row=10956&amp;col=6&amp;number=4.2&amp;sourceID=14","4.2")</f>
        <v>4.2</v>
      </c>
      <c r="G10956" s="4" t="str">
        <f>HYPERLINK("http://141.218.60.56/~jnz1568/getInfo.php?workbook=10_05.xlsx&amp;sheet=U0&amp;row=10956&amp;col=7&amp;number=0.0862&amp;sourceID=14","0.0862")</f>
        <v>0.0862</v>
      </c>
    </row>
    <row r="10957" spans="1:7">
      <c r="A10957" s="3"/>
      <c r="B10957" s="3"/>
      <c r="C10957" s="3"/>
      <c r="D10957" s="3"/>
      <c r="E10957" s="3">
        <v>14</v>
      </c>
      <c r="F10957" s="4" t="str">
        <f>HYPERLINK("http://141.218.60.56/~jnz1568/getInfo.php?workbook=10_05.xlsx&amp;sheet=U0&amp;row=10957&amp;col=6&amp;number=4.3&amp;sourceID=14","4.3")</f>
        <v>4.3</v>
      </c>
      <c r="G10957" s="4" t="str">
        <f>HYPERLINK("http://141.218.60.56/~jnz1568/getInfo.php?workbook=10_05.xlsx&amp;sheet=U0&amp;row=10957&amp;col=7&amp;number=0.0901&amp;sourceID=14","0.0901")</f>
        <v>0.0901</v>
      </c>
    </row>
    <row r="10958" spans="1:7">
      <c r="A10958" s="3"/>
      <c r="B10958" s="3"/>
      <c r="C10958" s="3"/>
      <c r="D10958" s="3"/>
      <c r="E10958" s="3">
        <v>15</v>
      </c>
      <c r="F10958" s="4" t="str">
        <f>HYPERLINK("http://141.218.60.56/~jnz1568/getInfo.php?workbook=10_05.xlsx&amp;sheet=U0&amp;row=10958&amp;col=6&amp;number=4.4&amp;sourceID=14","4.4")</f>
        <v>4.4</v>
      </c>
      <c r="G10958" s="4" t="str">
        <f>HYPERLINK("http://141.218.60.56/~jnz1568/getInfo.php?workbook=10_05.xlsx&amp;sheet=U0&amp;row=10958&amp;col=7&amp;number=0.0942&amp;sourceID=14","0.0942")</f>
        <v>0.0942</v>
      </c>
    </row>
    <row r="10959" spans="1:7">
      <c r="A10959" s="3"/>
      <c r="B10959" s="3"/>
      <c r="C10959" s="3"/>
      <c r="D10959" s="3"/>
      <c r="E10959" s="3">
        <v>16</v>
      </c>
      <c r="F10959" s="4" t="str">
        <f>HYPERLINK("http://141.218.60.56/~jnz1568/getInfo.php?workbook=10_05.xlsx&amp;sheet=U0&amp;row=10959&amp;col=6&amp;number=4.5&amp;sourceID=14","4.5")</f>
        <v>4.5</v>
      </c>
      <c r="G10959" s="4" t="str">
        <f>HYPERLINK("http://141.218.60.56/~jnz1568/getInfo.php?workbook=10_05.xlsx&amp;sheet=U0&amp;row=10959&amp;col=7&amp;number=0.0977&amp;sourceID=14","0.0977")</f>
        <v>0.0977</v>
      </c>
    </row>
    <row r="10960" spans="1:7">
      <c r="A10960" s="3"/>
      <c r="B10960" s="3"/>
      <c r="C10960" s="3"/>
      <c r="D10960" s="3"/>
      <c r="E10960" s="3">
        <v>17</v>
      </c>
      <c r="F10960" s="4" t="str">
        <f>HYPERLINK("http://141.218.60.56/~jnz1568/getInfo.php?workbook=10_05.xlsx&amp;sheet=U0&amp;row=10960&amp;col=6&amp;number=4.6&amp;sourceID=14","4.6")</f>
        <v>4.6</v>
      </c>
      <c r="G10960" s="4" t="str">
        <f>HYPERLINK("http://141.218.60.56/~jnz1568/getInfo.php?workbook=10_05.xlsx&amp;sheet=U0&amp;row=10960&amp;col=7&amp;number=0.0998&amp;sourceID=14","0.0998")</f>
        <v>0.0998</v>
      </c>
    </row>
    <row r="10961" spans="1:7">
      <c r="A10961" s="3"/>
      <c r="B10961" s="3"/>
      <c r="C10961" s="3"/>
      <c r="D10961" s="3"/>
      <c r="E10961" s="3">
        <v>18</v>
      </c>
      <c r="F10961" s="4" t="str">
        <f>HYPERLINK("http://141.218.60.56/~jnz1568/getInfo.php?workbook=10_05.xlsx&amp;sheet=U0&amp;row=10961&amp;col=6&amp;number=4.7&amp;sourceID=14","4.7")</f>
        <v>4.7</v>
      </c>
      <c r="G10961" s="4" t="str">
        <f>HYPERLINK("http://141.218.60.56/~jnz1568/getInfo.php?workbook=10_05.xlsx&amp;sheet=U0&amp;row=10961&amp;col=7&amp;number=0.0997&amp;sourceID=14","0.0997")</f>
        <v>0.0997</v>
      </c>
    </row>
    <row r="10962" spans="1:7">
      <c r="A10962" s="3"/>
      <c r="B10962" s="3"/>
      <c r="C10962" s="3"/>
      <c r="D10962" s="3"/>
      <c r="E10962" s="3">
        <v>19</v>
      </c>
      <c r="F10962" s="4" t="str">
        <f>HYPERLINK("http://141.218.60.56/~jnz1568/getInfo.php?workbook=10_05.xlsx&amp;sheet=U0&amp;row=10962&amp;col=6&amp;number=4.8&amp;sourceID=14","4.8")</f>
        <v>4.8</v>
      </c>
      <c r="G10962" s="4" t="str">
        <f>HYPERLINK("http://141.218.60.56/~jnz1568/getInfo.php?workbook=10_05.xlsx&amp;sheet=U0&amp;row=10962&amp;col=7&amp;number=0.0969&amp;sourceID=14","0.0969")</f>
        <v>0.0969</v>
      </c>
    </row>
    <row r="10963" spans="1:7">
      <c r="A10963" s="3"/>
      <c r="B10963" s="3"/>
      <c r="C10963" s="3"/>
      <c r="D10963" s="3"/>
      <c r="E10963" s="3">
        <v>20</v>
      </c>
      <c r="F10963" s="4" t="str">
        <f>HYPERLINK("http://141.218.60.56/~jnz1568/getInfo.php?workbook=10_05.xlsx&amp;sheet=U0&amp;row=10963&amp;col=6&amp;number=4.9&amp;sourceID=14","4.9")</f>
        <v>4.9</v>
      </c>
      <c r="G10963" s="4" t="str">
        <f>HYPERLINK("http://141.218.60.56/~jnz1568/getInfo.php?workbook=10_05.xlsx&amp;sheet=U0&amp;row=10963&amp;col=7&amp;number=0.0916&amp;sourceID=14","0.0916")</f>
        <v>0.0916</v>
      </c>
    </row>
    <row r="10964" spans="1:7">
      <c r="A10964" s="3">
        <v>10</v>
      </c>
      <c r="B10964" s="3">
        <v>5</v>
      </c>
      <c r="C10964" s="3">
        <v>4</v>
      </c>
      <c r="D10964" s="3">
        <v>19</v>
      </c>
      <c r="E10964" s="3">
        <v>1</v>
      </c>
      <c r="F10964" s="4" t="str">
        <f>HYPERLINK("http://141.218.60.56/~jnz1568/getInfo.php?workbook=10_05.xlsx&amp;sheet=U0&amp;row=10964&amp;col=6&amp;number=3&amp;sourceID=14","3")</f>
        <v>3</v>
      </c>
      <c r="G10964" s="4" t="str">
        <f>HYPERLINK("http://141.218.60.56/~jnz1568/getInfo.php?workbook=10_05.xlsx&amp;sheet=U0&amp;row=10964&amp;col=7&amp;number=0.128&amp;sourceID=14","0.128")</f>
        <v>0.128</v>
      </c>
    </row>
    <row r="10965" spans="1:7">
      <c r="A10965" s="3"/>
      <c r="B10965" s="3"/>
      <c r="C10965" s="3"/>
      <c r="D10965" s="3"/>
      <c r="E10965" s="3">
        <v>2</v>
      </c>
      <c r="F10965" s="4" t="str">
        <f>HYPERLINK("http://141.218.60.56/~jnz1568/getInfo.php?workbook=10_05.xlsx&amp;sheet=U0&amp;row=10965&amp;col=6&amp;number=3.1&amp;sourceID=14","3.1")</f>
        <v>3.1</v>
      </c>
      <c r="G10965" s="4" t="str">
        <f>HYPERLINK("http://141.218.60.56/~jnz1568/getInfo.php?workbook=10_05.xlsx&amp;sheet=U0&amp;row=10965&amp;col=7&amp;number=0.127&amp;sourceID=14","0.127")</f>
        <v>0.127</v>
      </c>
    </row>
    <row r="10966" spans="1:7">
      <c r="A10966" s="3"/>
      <c r="B10966" s="3"/>
      <c r="C10966" s="3"/>
      <c r="D10966" s="3"/>
      <c r="E10966" s="3">
        <v>3</v>
      </c>
      <c r="F10966" s="4" t="str">
        <f>HYPERLINK("http://141.218.60.56/~jnz1568/getInfo.php?workbook=10_05.xlsx&amp;sheet=U0&amp;row=10966&amp;col=6&amp;number=3.2&amp;sourceID=14","3.2")</f>
        <v>3.2</v>
      </c>
      <c r="G10966" s="4" t="str">
        <f>HYPERLINK("http://141.218.60.56/~jnz1568/getInfo.php?workbook=10_05.xlsx&amp;sheet=U0&amp;row=10966&amp;col=7&amp;number=0.124&amp;sourceID=14","0.124")</f>
        <v>0.124</v>
      </c>
    </row>
    <row r="10967" spans="1:7">
      <c r="A10967" s="3"/>
      <c r="B10967" s="3"/>
      <c r="C10967" s="3"/>
      <c r="D10967" s="3"/>
      <c r="E10967" s="3">
        <v>4</v>
      </c>
      <c r="F10967" s="4" t="str">
        <f>HYPERLINK("http://141.218.60.56/~jnz1568/getInfo.php?workbook=10_05.xlsx&amp;sheet=U0&amp;row=10967&amp;col=6&amp;number=3.3&amp;sourceID=14","3.3")</f>
        <v>3.3</v>
      </c>
      <c r="G10967" s="4" t="str">
        <f>HYPERLINK("http://141.218.60.56/~jnz1568/getInfo.php?workbook=10_05.xlsx&amp;sheet=U0&amp;row=10967&amp;col=7&amp;number=0.122&amp;sourceID=14","0.122")</f>
        <v>0.122</v>
      </c>
    </row>
    <row r="10968" spans="1:7">
      <c r="A10968" s="3"/>
      <c r="B10968" s="3"/>
      <c r="C10968" s="3"/>
      <c r="D10968" s="3"/>
      <c r="E10968" s="3">
        <v>5</v>
      </c>
      <c r="F10968" s="4" t="str">
        <f>HYPERLINK("http://141.218.60.56/~jnz1568/getInfo.php?workbook=10_05.xlsx&amp;sheet=U0&amp;row=10968&amp;col=6&amp;number=3.4&amp;sourceID=14","3.4")</f>
        <v>3.4</v>
      </c>
      <c r="G10968" s="4" t="str">
        <f>HYPERLINK("http://141.218.60.56/~jnz1568/getInfo.php?workbook=10_05.xlsx&amp;sheet=U0&amp;row=10968&amp;col=7&amp;number=0.119&amp;sourceID=14","0.119")</f>
        <v>0.119</v>
      </c>
    </row>
    <row r="10969" spans="1:7">
      <c r="A10969" s="3"/>
      <c r="B10969" s="3"/>
      <c r="C10969" s="3"/>
      <c r="D10969" s="3"/>
      <c r="E10969" s="3">
        <v>6</v>
      </c>
      <c r="F10969" s="4" t="str">
        <f>HYPERLINK("http://141.218.60.56/~jnz1568/getInfo.php?workbook=10_05.xlsx&amp;sheet=U0&amp;row=10969&amp;col=6&amp;number=3.5&amp;sourceID=14","3.5")</f>
        <v>3.5</v>
      </c>
      <c r="G10969" s="4" t="str">
        <f>HYPERLINK("http://141.218.60.56/~jnz1568/getInfo.php?workbook=10_05.xlsx&amp;sheet=U0&amp;row=10969&amp;col=7&amp;number=0.115&amp;sourceID=14","0.115")</f>
        <v>0.115</v>
      </c>
    </row>
    <row r="10970" spans="1:7">
      <c r="A10970" s="3"/>
      <c r="B10970" s="3"/>
      <c r="C10970" s="3"/>
      <c r="D10970" s="3"/>
      <c r="E10970" s="3">
        <v>7</v>
      </c>
      <c r="F10970" s="4" t="str">
        <f>HYPERLINK("http://141.218.60.56/~jnz1568/getInfo.php?workbook=10_05.xlsx&amp;sheet=U0&amp;row=10970&amp;col=6&amp;number=3.6&amp;sourceID=14","3.6")</f>
        <v>3.6</v>
      </c>
      <c r="G10970" s="4" t="str">
        <f>HYPERLINK("http://141.218.60.56/~jnz1568/getInfo.php?workbook=10_05.xlsx&amp;sheet=U0&amp;row=10970&amp;col=7&amp;number=0.111&amp;sourceID=14","0.111")</f>
        <v>0.111</v>
      </c>
    </row>
    <row r="10971" spans="1:7">
      <c r="A10971" s="3"/>
      <c r="B10971" s="3"/>
      <c r="C10971" s="3"/>
      <c r="D10971" s="3"/>
      <c r="E10971" s="3">
        <v>8</v>
      </c>
      <c r="F10971" s="4" t="str">
        <f>HYPERLINK("http://141.218.60.56/~jnz1568/getInfo.php?workbook=10_05.xlsx&amp;sheet=U0&amp;row=10971&amp;col=6&amp;number=3.7&amp;sourceID=14","3.7")</f>
        <v>3.7</v>
      </c>
      <c r="G10971" s="4" t="str">
        <f>HYPERLINK("http://141.218.60.56/~jnz1568/getInfo.php?workbook=10_05.xlsx&amp;sheet=U0&amp;row=10971&amp;col=7&amp;number=0.106&amp;sourceID=14","0.106")</f>
        <v>0.106</v>
      </c>
    </row>
    <row r="10972" spans="1:7">
      <c r="A10972" s="3"/>
      <c r="B10972" s="3"/>
      <c r="C10972" s="3"/>
      <c r="D10972" s="3"/>
      <c r="E10972" s="3">
        <v>9</v>
      </c>
      <c r="F10972" s="4" t="str">
        <f>HYPERLINK("http://141.218.60.56/~jnz1568/getInfo.php?workbook=10_05.xlsx&amp;sheet=U0&amp;row=10972&amp;col=6&amp;number=3.8&amp;sourceID=14","3.8")</f>
        <v>3.8</v>
      </c>
      <c r="G10972" s="4" t="str">
        <f>HYPERLINK("http://141.218.60.56/~jnz1568/getInfo.php?workbook=10_05.xlsx&amp;sheet=U0&amp;row=10972&amp;col=7&amp;number=0.1&amp;sourceID=14","0.1")</f>
        <v>0.1</v>
      </c>
    </row>
    <row r="10973" spans="1:7">
      <c r="A10973" s="3"/>
      <c r="B10973" s="3"/>
      <c r="C10973" s="3"/>
      <c r="D10973" s="3"/>
      <c r="E10973" s="3">
        <v>10</v>
      </c>
      <c r="F10973" s="4" t="str">
        <f>HYPERLINK("http://141.218.60.56/~jnz1568/getInfo.php?workbook=10_05.xlsx&amp;sheet=U0&amp;row=10973&amp;col=6&amp;number=3.9&amp;sourceID=14","3.9")</f>
        <v>3.9</v>
      </c>
      <c r="G10973" s="4" t="str">
        <f>HYPERLINK("http://141.218.60.56/~jnz1568/getInfo.php?workbook=10_05.xlsx&amp;sheet=U0&amp;row=10973&amp;col=7&amp;number=0.0951&amp;sourceID=14","0.0951")</f>
        <v>0.0951</v>
      </c>
    </row>
    <row r="10974" spans="1:7">
      <c r="A10974" s="3"/>
      <c r="B10974" s="3"/>
      <c r="C10974" s="3"/>
      <c r="D10974" s="3"/>
      <c r="E10974" s="3">
        <v>11</v>
      </c>
      <c r="F10974" s="4" t="str">
        <f>HYPERLINK("http://141.218.60.56/~jnz1568/getInfo.php?workbook=10_05.xlsx&amp;sheet=U0&amp;row=10974&amp;col=6&amp;number=4&amp;sourceID=14","4")</f>
        <v>4</v>
      </c>
      <c r="G10974" s="4" t="str">
        <f>HYPERLINK("http://141.218.60.56/~jnz1568/getInfo.php?workbook=10_05.xlsx&amp;sheet=U0&amp;row=10974&amp;col=7&amp;number=0.0907&amp;sourceID=14","0.0907")</f>
        <v>0.0907</v>
      </c>
    </row>
    <row r="10975" spans="1:7">
      <c r="A10975" s="3"/>
      <c r="B10975" s="3"/>
      <c r="C10975" s="3"/>
      <c r="D10975" s="3"/>
      <c r="E10975" s="3">
        <v>12</v>
      </c>
      <c r="F10975" s="4" t="str">
        <f>HYPERLINK("http://141.218.60.56/~jnz1568/getInfo.php?workbook=10_05.xlsx&amp;sheet=U0&amp;row=10975&amp;col=6&amp;number=4.1&amp;sourceID=14","4.1")</f>
        <v>4.1</v>
      </c>
      <c r="G10975" s="4" t="str">
        <f>HYPERLINK("http://141.218.60.56/~jnz1568/getInfo.php?workbook=10_05.xlsx&amp;sheet=U0&amp;row=10975&amp;col=7&amp;number=0.0872&amp;sourceID=14","0.0872")</f>
        <v>0.0872</v>
      </c>
    </row>
    <row r="10976" spans="1:7">
      <c r="A10976" s="3"/>
      <c r="B10976" s="3"/>
      <c r="C10976" s="3"/>
      <c r="D10976" s="3"/>
      <c r="E10976" s="3">
        <v>13</v>
      </c>
      <c r="F10976" s="4" t="str">
        <f>HYPERLINK("http://141.218.60.56/~jnz1568/getInfo.php?workbook=10_05.xlsx&amp;sheet=U0&amp;row=10976&amp;col=6&amp;number=4.2&amp;sourceID=14","4.2")</f>
        <v>4.2</v>
      </c>
      <c r="G10976" s="4" t="str">
        <f>HYPERLINK("http://141.218.60.56/~jnz1568/getInfo.php?workbook=10_05.xlsx&amp;sheet=U0&amp;row=10976&amp;col=7&amp;number=0.0845&amp;sourceID=14","0.0845")</f>
        <v>0.0845</v>
      </c>
    </row>
    <row r="10977" spans="1:7">
      <c r="A10977" s="3"/>
      <c r="B10977" s="3"/>
      <c r="C10977" s="3"/>
      <c r="D10977" s="3"/>
      <c r="E10977" s="3">
        <v>14</v>
      </c>
      <c r="F10977" s="4" t="str">
        <f>HYPERLINK("http://141.218.60.56/~jnz1568/getInfo.php?workbook=10_05.xlsx&amp;sheet=U0&amp;row=10977&amp;col=6&amp;number=4.3&amp;sourceID=14","4.3")</f>
        <v>4.3</v>
      </c>
      <c r="G10977" s="4" t="str">
        <f>HYPERLINK("http://141.218.60.56/~jnz1568/getInfo.php?workbook=10_05.xlsx&amp;sheet=U0&amp;row=10977&amp;col=7&amp;number=0.0818&amp;sourceID=14","0.0818")</f>
        <v>0.0818</v>
      </c>
    </row>
    <row r="10978" spans="1:7">
      <c r="A10978" s="3"/>
      <c r="B10978" s="3"/>
      <c r="C10978" s="3"/>
      <c r="D10978" s="3"/>
      <c r="E10978" s="3">
        <v>15</v>
      </c>
      <c r="F10978" s="4" t="str">
        <f>HYPERLINK("http://141.218.60.56/~jnz1568/getInfo.php?workbook=10_05.xlsx&amp;sheet=U0&amp;row=10978&amp;col=6&amp;number=4.4&amp;sourceID=14","4.4")</f>
        <v>4.4</v>
      </c>
      <c r="G10978" s="4" t="str">
        <f>HYPERLINK("http://141.218.60.56/~jnz1568/getInfo.php?workbook=10_05.xlsx&amp;sheet=U0&amp;row=10978&amp;col=7&amp;number=0.0786&amp;sourceID=14","0.0786")</f>
        <v>0.0786</v>
      </c>
    </row>
    <row r="10979" spans="1:7">
      <c r="A10979" s="3"/>
      <c r="B10979" s="3"/>
      <c r="C10979" s="3"/>
      <c r="D10979" s="3"/>
      <c r="E10979" s="3">
        <v>16</v>
      </c>
      <c r="F10979" s="4" t="str">
        <f>HYPERLINK("http://141.218.60.56/~jnz1568/getInfo.php?workbook=10_05.xlsx&amp;sheet=U0&amp;row=10979&amp;col=6&amp;number=4.5&amp;sourceID=14","4.5")</f>
        <v>4.5</v>
      </c>
      <c r="G10979" s="4" t="str">
        <f>HYPERLINK("http://141.218.60.56/~jnz1568/getInfo.php?workbook=10_05.xlsx&amp;sheet=U0&amp;row=10979&amp;col=7&amp;number=0.075&amp;sourceID=14","0.075")</f>
        <v>0.075</v>
      </c>
    </row>
    <row r="10980" spans="1:7">
      <c r="A10980" s="3"/>
      <c r="B10980" s="3"/>
      <c r="C10980" s="3"/>
      <c r="D10980" s="3"/>
      <c r="E10980" s="3">
        <v>17</v>
      </c>
      <c r="F10980" s="4" t="str">
        <f>HYPERLINK("http://141.218.60.56/~jnz1568/getInfo.php?workbook=10_05.xlsx&amp;sheet=U0&amp;row=10980&amp;col=6&amp;number=4.6&amp;sourceID=14","4.6")</f>
        <v>4.6</v>
      </c>
      <c r="G10980" s="4" t="str">
        <f>HYPERLINK("http://141.218.60.56/~jnz1568/getInfo.php?workbook=10_05.xlsx&amp;sheet=U0&amp;row=10980&amp;col=7&amp;number=0.0714&amp;sourceID=14","0.0714")</f>
        <v>0.0714</v>
      </c>
    </row>
    <row r="10981" spans="1:7">
      <c r="A10981" s="3"/>
      <c r="B10981" s="3"/>
      <c r="C10981" s="3"/>
      <c r="D10981" s="3"/>
      <c r="E10981" s="3">
        <v>18</v>
      </c>
      <c r="F10981" s="4" t="str">
        <f>HYPERLINK("http://141.218.60.56/~jnz1568/getInfo.php?workbook=10_05.xlsx&amp;sheet=U0&amp;row=10981&amp;col=6&amp;number=4.7&amp;sourceID=14","4.7")</f>
        <v>4.7</v>
      </c>
      <c r="G10981" s="4" t="str">
        <f>HYPERLINK("http://141.218.60.56/~jnz1568/getInfo.php?workbook=10_05.xlsx&amp;sheet=U0&amp;row=10981&amp;col=7&amp;number=0.0674&amp;sourceID=14","0.0674")</f>
        <v>0.0674</v>
      </c>
    </row>
    <row r="10982" spans="1:7">
      <c r="A10982" s="3"/>
      <c r="B10982" s="3"/>
      <c r="C10982" s="3"/>
      <c r="D10982" s="3"/>
      <c r="E10982" s="3">
        <v>19</v>
      </c>
      <c r="F10982" s="4" t="str">
        <f>HYPERLINK("http://141.218.60.56/~jnz1568/getInfo.php?workbook=10_05.xlsx&amp;sheet=U0&amp;row=10982&amp;col=6&amp;number=4.8&amp;sourceID=14","4.8")</f>
        <v>4.8</v>
      </c>
      <c r="G10982" s="4" t="str">
        <f>HYPERLINK("http://141.218.60.56/~jnz1568/getInfo.php?workbook=10_05.xlsx&amp;sheet=U0&amp;row=10982&amp;col=7&amp;number=0.0627&amp;sourceID=14","0.0627")</f>
        <v>0.0627</v>
      </c>
    </row>
    <row r="10983" spans="1:7">
      <c r="A10983" s="3"/>
      <c r="B10983" s="3"/>
      <c r="C10983" s="3"/>
      <c r="D10983" s="3"/>
      <c r="E10983" s="3">
        <v>20</v>
      </c>
      <c r="F10983" s="4" t="str">
        <f>HYPERLINK("http://141.218.60.56/~jnz1568/getInfo.php?workbook=10_05.xlsx&amp;sheet=U0&amp;row=10983&amp;col=6&amp;number=4.9&amp;sourceID=14","4.9")</f>
        <v>4.9</v>
      </c>
      <c r="G10983" s="4" t="str">
        <f>HYPERLINK("http://141.218.60.56/~jnz1568/getInfo.php?workbook=10_05.xlsx&amp;sheet=U0&amp;row=10983&amp;col=7&amp;number=0.0574&amp;sourceID=14","0.0574")</f>
        <v>0.0574</v>
      </c>
    </row>
    <row r="10984" spans="1:7">
      <c r="A10984" s="3">
        <v>10</v>
      </c>
      <c r="B10984" s="3">
        <v>5</v>
      </c>
      <c r="C10984" s="3">
        <v>4</v>
      </c>
      <c r="D10984" s="3">
        <v>20</v>
      </c>
      <c r="E10984" s="3">
        <v>1</v>
      </c>
      <c r="F10984" s="4" t="str">
        <f>HYPERLINK("http://141.218.60.56/~jnz1568/getInfo.php?workbook=10_05.xlsx&amp;sheet=U0&amp;row=10984&amp;col=6&amp;number=3&amp;sourceID=14","3")</f>
        <v>3</v>
      </c>
      <c r="G10984" s="4" t="str">
        <f>HYPERLINK("http://141.218.60.56/~jnz1568/getInfo.php?workbook=10_05.xlsx&amp;sheet=U0&amp;row=10984&amp;col=7&amp;number=0.284&amp;sourceID=14","0.284")</f>
        <v>0.284</v>
      </c>
    </row>
    <row r="10985" spans="1:7">
      <c r="A10985" s="3"/>
      <c r="B10985" s="3"/>
      <c r="C10985" s="3"/>
      <c r="D10985" s="3"/>
      <c r="E10985" s="3">
        <v>2</v>
      </c>
      <c r="F10985" s="4" t="str">
        <f>HYPERLINK("http://141.218.60.56/~jnz1568/getInfo.php?workbook=10_05.xlsx&amp;sheet=U0&amp;row=10985&amp;col=6&amp;number=3.1&amp;sourceID=14","3.1")</f>
        <v>3.1</v>
      </c>
      <c r="G10985" s="4" t="str">
        <f>HYPERLINK("http://141.218.60.56/~jnz1568/getInfo.php?workbook=10_05.xlsx&amp;sheet=U0&amp;row=10985&amp;col=7&amp;number=0.275&amp;sourceID=14","0.275")</f>
        <v>0.275</v>
      </c>
    </row>
    <row r="10986" spans="1:7">
      <c r="A10986" s="3"/>
      <c r="B10986" s="3"/>
      <c r="C10986" s="3"/>
      <c r="D10986" s="3"/>
      <c r="E10986" s="3">
        <v>3</v>
      </c>
      <c r="F10986" s="4" t="str">
        <f>HYPERLINK("http://141.218.60.56/~jnz1568/getInfo.php?workbook=10_05.xlsx&amp;sheet=U0&amp;row=10986&amp;col=6&amp;number=3.2&amp;sourceID=14","3.2")</f>
        <v>3.2</v>
      </c>
      <c r="G10986" s="4" t="str">
        <f>HYPERLINK("http://141.218.60.56/~jnz1568/getInfo.php?workbook=10_05.xlsx&amp;sheet=U0&amp;row=10986&amp;col=7&amp;number=0.263&amp;sourceID=14","0.263")</f>
        <v>0.263</v>
      </c>
    </row>
    <row r="10987" spans="1:7">
      <c r="A10987" s="3"/>
      <c r="B10987" s="3"/>
      <c r="C10987" s="3"/>
      <c r="D10987" s="3"/>
      <c r="E10987" s="3">
        <v>4</v>
      </c>
      <c r="F10987" s="4" t="str">
        <f>HYPERLINK("http://141.218.60.56/~jnz1568/getInfo.php?workbook=10_05.xlsx&amp;sheet=U0&amp;row=10987&amp;col=6&amp;number=3.3&amp;sourceID=14","3.3")</f>
        <v>3.3</v>
      </c>
      <c r="G10987" s="4" t="str">
        <f>HYPERLINK("http://141.218.60.56/~jnz1568/getInfo.php?workbook=10_05.xlsx&amp;sheet=U0&amp;row=10987&amp;col=7&amp;number=0.25&amp;sourceID=14","0.25")</f>
        <v>0.25</v>
      </c>
    </row>
    <row r="10988" spans="1:7">
      <c r="A10988" s="3"/>
      <c r="B10988" s="3"/>
      <c r="C10988" s="3"/>
      <c r="D10988" s="3"/>
      <c r="E10988" s="3">
        <v>5</v>
      </c>
      <c r="F10988" s="4" t="str">
        <f>HYPERLINK("http://141.218.60.56/~jnz1568/getInfo.php?workbook=10_05.xlsx&amp;sheet=U0&amp;row=10988&amp;col=6&amp;number=3.4&amp;sourceID=14","3.4")</f>
        <v>3.4</v>
      </c>
      <c r="G10988" s="4" t="str">
        <f>HYPERLINK("http://141.218.60.56/~jnz1568/getInfo.php?workbook=10_05.xlsx&amp;sheet=U0&amp;row=10988&amp;col=7&amp;number=0.234&amp;sourceID=14","0.234")</f>
        <v>0.234</v>
      </c>
    </row>
    <row r="10989" spans="1:7">
      <c r="A10989" s="3"/>
      <c r="B10989" s="3"/>
      <c r="C10989" s="3"/>
      <c r="D10989" s="3"/>
      <c r="E10989" s="3">
        <v>6</v>
      </c>
      <c r="F10989" s="4" t="str">
        <f>HYPERLINK("http://141.218.60.56/~jnz1568/getInfo.php?workbook=10_05.xlsx&amp;sheet=U0&amp;row=10989&amp;col=6&amp;number=3.5&amp;sourceID=14","3.5")</f>
        <v>3.5</v>
      </c>
      <c r="G10989" s="4" t="str">
        <f>HYPERLINK("http://141.218.60.56/~jnz1568/getInfo.php?workbook=10_05.xlsx&amp;sheet=U0&amp;row=10989&amp;col=7&amp;number=0.216&amp;sourceID=14","0.216")</f>
        <v>0.216</v>
      </c>
    </row>
    <row r="10990" spans="1:7">
      <c r="A10990" s="3"/>
      <c r="B10990" s="3"/>
      <c r="C10990" s="3"/>
      <c r="D10990" s="3"/>
      <c r="E10990" s="3">
        <v>7</v>
      </c>
      <c r="F10990" s="4" t="str">
        <f>HYPERLINK("http://141.218.60.56/~jnz1568/getInfo.php?workbook=10_05.xlsx&amp;sheet=U0&amp;row=10990&amp;col=6&amp;number=3.6&amp;sourceID=14","3.6")</f>
        <v>3.6</v>
      </c>
      <c r="G10990" s="4" t="str">
        <f>HYPERLINK("http://141.218.60.56/~jnz1568/getInfo.php?workbook=10_05.xlsx&amp;sheet=U0&amp;row=10990&amp;col=7&amp;number=0.197&amp;sourceID=14","0.197")</f>
        <v>0.197</v>
      </c>
    </row>
    <row r="10991" spans="1:7">
      <c r="A10991" s="3"/>
      <c r="B10991" s="3"/>
      <c r="C10991" s="3"/>
      <c r="D10991" s="3"/>
      <c r="E10991" s="3">
        <v>8</v>
      </c>
      <c r="F10991" s="4" t="str">
        <f>HYPERLINK("http://141.218.60.56/~jnz1568/getInfo.php?workbook=10_05.xlsx&amp;sheet=U0&amp;row=10991&amp;col=6&amp;number=3.7&amp;sourceID=14","3.7")</f>
        <v>3.7</v>
      </c>
      <c r="G10991" s="4" t="str">
        <f>HYPERLINK("http://141.218.60.56/~jnz1568/getInfo.php?workbook=10_05.xlsx&amp;sheet=U0&amp;row=10991&amp;col=7&amp;number=0.178&amp;sourceID=14","0.178")</f>
        <v>0.178</v>
      </c>
    </row>
    <row r="10992" spans="1:7">
      <c r="A10992" s="3"/>
      <c r="B10992" s="3"/>
      <c r="C10992" s="3"/>
      <c r="D10992" s="3"/>
      <c r="E10992" s="3">
        <v>9</v>
      </c>
      <c r="F10992" s="4" t="str">
        <f>HYPERLINK("http://141.218.60.56/~jnz1568/getInfo.php?workbook=10_05.xlsx&amp;sheet=U0&amp;row=10992&amp;col=6&amp;number=3.8&amp;sourceID=14","3.8")</f>
        <v>3.8</v>
      </c>
      <c r="G10992" s="4" t="str">
        <f>HYPERLINK("http://141.218.60.56/~jnz1568/getInfo.php?workbook=10_05.xlsx&amp;sheet=U0&amp;row=10992&amp;col=7&amp;number=0.161&amp;sourceID=14","0.161")</f>
        <v>0.161</v>
      </c>
    </row>
    <row r="10993" spans="1:7">
      <c r="A10993" s="3"/>
      <c r="B10993" s="3"/>
      <c r="C10993" s="3"/>
      <c r="D10993" s="3"/>
      <c r="E10993" s="3">
        <v>10</v>
      </c>
      <c r="F10993" s="4" t="str">
        <f>HYPERLINK("http://141.218.60.56/~jnz1568/getInfo.php?workbook=10_05.xlsx&amp;sheet=U0&amp;row=10993&amp;col=6&amp;number=3.9&amp;sourceID=14","3.9")</f>
        <v>3.9</v>
      </c>
      <c r="G10993" s="4" t="str">
        <f>HYPERLINK("http://141.218.60.56/~jnz1568/getInfo.php?workbook=10_05.xlsx&amp;sheet=U0&amp;row=10993&amp;col=7&amp;number=0.148&amp;sourceID=14","0.148")</f>
        <v>0.148</v>
      </c>
    </row>
    <row r="10994" spans="1:7">
      <c r="A10994" s="3"/>
      <c r="B10994" s="3"/>
      <c r="C10994" s="3"/>
      <c r="D10994" s="3"/>
      <c r="E10994" s="3">
        <v>11</v>
      </c>
      <c r="F10994" s="4" t="str">
        <f>HYPERLINK("http://141.218.60.56/~jnz1568/getInfo.php?workbook=10_05.xlsx&amp;sheet=U0&amp;row=10994&amp;col=6&amp;number=4&amp;sourceID=14","4")</f>
        <v>4</v>
      </c>
      <c r="G10994" s="4" t="str">
        <f>HYPERLINK("http://141.218.60.56/~jnz1568/getInfo.php?workbook=10_05.xlsx&amp;sheet=U0&amp;row=10994&amp;col=7&amp;number=0.137&amp;sourceID=14","0.137")</f>
        <v>0.137</v>
      </c>
    </row>
    <row r="10995" spans="1:7">
      <c r="A10995" s="3"/>
      <c r="B10995" s="3"/>
      <c r="C10995" s="3"/>
      <c r="D10995" s="3"/>
      <c r="E10995" s="3">
        <v>12</v>
      </c>
      <c r="F10995" s="4" t="str">
        <f>HYPERLINK("http://141.218.60.56/~jnz1568/getInfo.php?workbook=10_05.xlsx&amp;sheet=U0&amp;row=10995&amp;col=6&amp;number=4.1&amp;sourceID=14","4.1")</f>
        <v>4.1</v>
      </c>
      <c r="G10995" s="4" t="str">
        <f>HYPERLINK("http://141.218.60.56/~jnz1568/getInfo.php?workbook=10_05.xlsx&amp;sheet=U0&amp;row=10995&amp;col=7&amp;number=0.128&amp;sourceID=14","0.128")</f>
        <v>0.128</v>
      </c>
    </row>
    <row r="10996" spans="1:7">
      <c r="A10996" s="3"/>
      <c r="B10996" s="3"/>
      <c r="C10996" s="3"/>
      <c r="D10996" s="3"/>
      <c r="E10996" s="3">
        <v>13</v>
      </c>
      <c r="F10996" s="4" t="str">
        <f>HYPERLINK("http://141.218.60.56/~jnz1568/getInfo.php?workbook=10_05.xlsx&amp;sheet=U0&amp;row=10996&amp;col=6&amp;number=4.2&amp;sourceID=14","4.2")</f>
        <v>4.2</v>
      </c>
      <c r="G10996" s="4" t="str">
        <f>HYPERLINK("http://141.218.60.56/~jnz1568/getInfo.php?workbook=10_05.xlsx&amp;sheet=U0&amp;row=10996&amp;col=7&amp;number=0.119&amp;sourceID=14","0.119")</f>
        <v>0.119</v>
      </c>
    </row>
    <row r="10997" spans="1:7">
      <c r="A10997" s="3"/>
      <c r="B10997" s="3"/>
      <c r="C10997" s="3"/>
      <c r="D10997" s="3"/>
      <c r="E10997" s="3">
        <v>14</v>
      </c>
      <c r="F10997" s="4" t="str">
        <f>HYPERLINK("http://141.218.60.56/~jnz1568/getInfo.php?workbook=10_05.xlsx&amp;sheet=U0&amp;row=10997&amp;col=6&amp;number=4.3&amp;sourceID=14","4.3")</f>
        <v>4.3</v>
      </c>
      <c r="G10997" s="4" t="str">
        <f>HYPERLINK("http://141.218.60.56/~jnz1568/getInfo.php?workbook=10_05.xlsx&amp;sheet=U0&amp;row=10997&amp;col=7&amp;number=0.112&amp;sourceID=14","0.112")</f>
        <v>0.112</v>
      </c>
    </row>
    <row r="10998" spans="1:7">
      <c r="A10998" s="3"/>
      <c r="B10998" s="3"/>
      <c r="C10998" s="3"/>
      <c r="D10998" s="3"/>
      <c r="E10998" s="3">
        <v>15</v>
      </c>
      <c r="F10998" s="4" t="str">
        <f>HYPERLINK("http://141.218.60.56/~jnz1568/getInfo.php?workbook=10_05.xlsx&amp;sheet=U0&amp;row=10998&amp;col=6&amp;number=4.4&amp;sourceID=14","4.4")</f>
        <v>4.4</v>
      </c>
      <c r="G10998" s="4" t="str">
        <f>HYPERLINK("http://141.218.60.56/~jnz1568/getInfo.php?workbook=10_05.xlsx&amp;sheet=U0&amp;row=10998&amp;col=7&amp;number=0.106&amp;sourceID=14","0.106")</f>
        <v>0.106</v>
      </c>
    </row>
    <row r="10999" spans="1:7">
      <c r="A10999" s="3"/>
      <c r="B10999" s="3"/>
      <c r="C10999" s="3"/>
      <c r="D10999" s="3"/>
      <c r="E10999" s="3">
        <v>16</v>
      </c>
      <c r="F10999" s="4" t="str">
        <f>HYPERLINK("http://141.218.60.56/~jnz1568/getInfo.php?workbook=10_05.xlsx&amp;sheet=U0&amp;row=10999&amp;col=6&amp;number=4.5&amp;sourceID=14","4.5")</f>
        <v>4.5</v>
      </c>
      <c r="G10999" s="4" t="str">
        <f>HYPERLINK("http://141.218.60.56/~jnz1568/getInfo.php?workbook=10_05.xlsx&amp;sheet=U0&amp;row=10999&amp;col=7&amp;number=0.1&amp;sourceID=14","0.1")</f>
        <v>0.1</v>
      </c>
    </row>
    <row r="11000" spans="1:7">
      <c r="A11000" s="3"/>
      <c r="B11000" s="3"/>
      <c r="C11000" s="3"/>
      <c r="D11000" s="3"/>
      <c r="E11000" s="3">
        <v>17</v>
      </c>
      <c r="F11000" s="4" t="str">
        <f>HYPERLINK("http://141.218.60.56/~jnz1568/getInfo.php?workbook=10_05.xlsx&amp;sheet=U0&amp;row=11000&amp;col=6&amp;number=4.6&amp;sourceID=14","4.6")</f>
        <v>4.6</v>
      </c>
      <c r="G11000" s="4" t="str">
        <f>HYPERLINK("http://141.218.60.56/~jnz1568/getInfo.php?workbook=10_05.xlsx&amp;sheet=U0&amp;row=11000&amp;col=7&amp;number=0.0945&amp;sourceID=14","0.0945")</f>
        <v>0.0945</v>
      </c>
    </row>
    <row r="11001" spans="1:7">
      <c r="A11001" s="3"/>
      <c r="B11001" s="3"/>
      <c r="C11001" s="3"/>
      <c r="D11001" s="3"/>
      <c r="E11001" s="3">
        <v>18</v>
      </c>
      <c r="F11001" s="4" t="str">
        <f>HYPERLINK("http://141.218.60.56/~jnz1568/getInfo.php?workbook=10_05.xlsx&amp;sheet=U0&amp;row=11001&amp;col=6&amp;number=4.7&amp;sourceID=14","4.7")</f>
        <v>4.7</v>
      </c>
      <c r="G11001" s="4" t="str">
        <f>HYPERLINK("http://141.218.60.56/~jnz1568/getInfo.php?workbook=10_05.xlsx&amp;sheet=U0&amp;row=11001&amp;col=7&amp;number=0.0884&amp;sourceID=14","0.0884")</f>
        <v>0.0884</v>
      </c>
    </row>
    <row r="11002" spans="1:7">
      <c r="A11002" s="3"/>
      <c r="B11002" s="3"/>
      <c r="C11002" s="3"/>
      <c r="D11002" s="3"/>
      <c r="E11002" s="3">
        <v>19</v>
      </c>
      <c r="F11002" s="4" t="str">
        <f>HYPERLINK("http://141.218.60.56/~jnz1568/getInfo.php?workbook=10_05.xlsx&amp;sheet=U0&amp;row=11002&amp;col=6&amp;number=4.8&amp;sourceID=14","4.8")</f>
        <v>4.8</v>
      </c>
      <c r="G11002" s="4" t="str">
        <f>HYPERLINK("http://141.218.60.56/~jnz1568/getInfo.php?workbook=10_05.xlsx&amp;sheet=U0&amp;row=11002&amp;col=7&amp;number=0.0813&amp;sourceID=14","0.0813")</f>
        <v>0.0813</v>
      </c>
    </row>
    <row r="11003" spans="1:7">
      <c r="A11003" s="3"/>
      <c r="B11003" s="3"/>
      <c r="C11003" s="3"/>
      <c r="D11003" s="3"/>
      <c r="E11003" s="3">
        <v>20</v>
      </c>
      <c r="F11003" s="4" t="str">
        <f>HYPERLINK("http://141.218.60.56/~jnz1568/getInfo.php?workbook=10_05.xlsx&amp;sheet=U0&amp;row=11003&amp;col=6&amp;number=4.9&amp;sourceID=14","4.9")</f>
        <v>4.9</v>
      </c>
      <c r="G11003" s="4" t="str">
        <f>HYPERLINK("http://141.218.60.56/~jnz1568/getInfo.php?workbook=10_05.xlsx&amp;sheet=U0&amp;row=11003&amp;col=7&amp;number=0.0736&amp;sourceID=14","0.0736")</f>
        <v>0.0736</v>
      </c>
    </row>
    <row r="11004" spans="1:7">
      <c r="A11004" s="3">
        <v>10</v>
      </c>
      <c r="B11004" s="3">
        <v>5</v>
      </c>
      <c r="C11004" s="3">
        <v>4</v>
      </c>
      <c r="D11004" s="3">
        <v>21</v>
      </c>
      <c r="E11004" s="3">
        <v>1</v>
      </c>
      <c r="F11004" s="4" t="str">
        <f>HYPERLINK("http://141.218.60.56/~jnz1568/getInfo.php?workbook=10_05.xlsx&amp;sheet=U0&amp;row=11004&amp;col=6&amp;number=3&amp;sourceID=14","3")</f>
        <v>3</v>
      </c>
      <c r="G11004" s="4" t="str">
        <f>HYPERLINK("http://141.218.60.56/~jnz1568/getInfo.php?workbook=10_05.xlsx&amp;sheet=U0&amp;row=11004&amp;col=7&amp;number=0.352&amp;sourceID=14","0.352")</f>
        <v>0.352</v>
      </c>
    </row>
    <row r="11005" spans="1:7">
      <c r="A11005" s="3"/>
      <c r="B11005" s="3"/>
      <c r="C11005" s="3"/>
      <c r="D11005" s="3"/>
      <c r="E11005" s="3">
        <v>2</v>
      </c>
      <c r="F11005" s="4" t="str">
        <f>HYPERLINK("http://141.218.60.56/~jnz1568/getInfo.php?workbook=10_05.xlsx&amp;sheet=U0&amp;row=11005&amp;col=6&amp;number=3.1&amp;sourceID=14","3.1")</f>
        <v>3.1</v>
      </c>
      <c r="G11005" s="4" t="str">
        <f>HYPERLINK("http://141.218.60.56/~jnz1568/getInfo.php?workbook=10_05.xlsx&amp;sheet=U0&amp;row=11005&amp;col=7&amp;number=0.351&amp;sourceID=14","0.351")</f>
        <v>0.351</v>
      </c>
    </row>
    <row r="11006" spans="1:7">
      <c r="A11006" s="3"/>
      <c r="B11006" s="3"/>
      <c r="C11006" s="3"/>
      <c r="D11006" s="3"/>
      <c r="E11006" s="3">
        <v>3</v>
      </c>
      <c r="F11006" s="4" t="str">
        <f>HYPERLINK("http://141.218.60.56/~jnz1568/getInfo.php?workbook=10_05.xlsx&amp;sheet=U0&amp;row=11006&amp;col=6&amp;number=3.2&amp;sourceID=14","3.2")</f>
        <v>3.2</v>
      </c>
      <c r="G11006" s="4" t="str">
        <f>HYPERLINK("http://141.218.60.56/~jnz1568/getInfo.php?workbook=10_05.xlsx&amp;sheet=U0&amp;row=11006&amp;col=7&amp;number=0.35&amp;sourceID=14","0.35")</f>
        <v>0.35</v>
      </c>
    </row>
    <row r="11007" spans="1:7">
      <c r="A11007" s="3"/>
      <c r="B11007" s="3"/>
      <c r="C11007" s="3"/>
      <c r="D11007" s="3"/>
      <c r="E11007" s="3">
        <v>4</v>
      </c>
      <c r="F11007" s="4" t="str">
        <f>HYPERLINK("http://141.218.60.56/~jnz1568/getInfo.php?workbook=10_05.xlsx&amp;sheet=U0&amp;row=11007&amp;col=6&amp;number=3.3&amp;sourceID=14","3.3")</f>
        <v>3.3</v>
      </c>
      <c r="G11007" s="4" t="str">
        <f>HYPERLINK("http://141.218.60.56/~jnz1568/getInfo.php?workbook=10_05.xlsx&amp;sheet=U0&amp;row=11007&amp;col=7&amp;number=0.348&amp;sourceID=14","0.348")</f>
        <v>0.348</v>
      </c>
    </row>
    <row r="11008" spans="1:7">
      <c r="A11008" s="3"/>
      <c r="B11008" s="3"/>
      <c r="C11008" s="3"/>
      <c r="D11008" s="3"/>
      <c r="E11008" s="3">
        <v>5</v>
      </c>
      <c r="F11008" s="4" t="str">
        <f>HYPERLINK("http://141.218.60.56/~jnz1568/getInfo.php?workbook=10_05.xlsx&amp;sheet=U0&amp;row=11008&amp;col=6&amp;number=3.4&amp;sourceID=14","3.4")</f>
        <v>3.4</v>
      </c>
      <c r="G11008" s="4" t="str">
        <f>HYPERLINK("http://141.218.60.56/~jnz1568/getInfo.php?workbook=10_05.xlsx&amp;sheet=U0&amp;row=11008&amp;col=7&amp;number=0.346&amp;sourceID=14","0.346")</f>
        <v>0.346</v>
      </c>
    </row>
    <row r="11009" spans="1:7">
      <c r="A11009" s="3"/>
      <c r="B11009" s="3"/>
      <c r="C11009" s="3"/>
      <c r="D11009" s="3"/>
      <c r="E11009" s="3">
        <v>6</v>
      </c>
      <c r="F11009" s="4" t="str">
        <f>HYPERLINK("http://141.218.60.56/~jnz1568/getInfo.php?workbook=10_05.xlsx&amp;sheet=U0&amp;row=11009&amp;col=6&amp;number=3.5&amp;sourceID=14","3.5")</f>
        <v>3.5</v>
      </c>
      <c r="G11009" s="4" t="str">
        <f>HYPERLINK("http://141.218.60.56/~jnz1568/getInfo.php?workbook=10_05.xlsx&amp;sheet=U0&amp;row=11009&amp;col=7&amp;number=0.344&amp;sourceID=14","0.344")</f>
        <v>0.344</v>
      </c>
    </row>
    <row r="11010" spans="1:7">
      <c r="A11010" s="3"/>
      <c r="B11010" s="3"/>
      <c r="C11010" s="3"/>
      <c r="D11010" s="3"/>
      <c r="E11010" s="3">
        <v>7</v>
      </c>
      <c r="F11010" s="4" t="str">
        <f>HYPERLINK("http://141.218.60.56/~jnz1568/getInfo.php?workbook=10_05.xlsx&amp;sheet=U0&amp;row=11010&amp;col=6&amp;number=3.6&amp;sourceID=14","3.6")</f>
        <v>3.6</v>
      </c>
      <c r="G11010" s="4" t="str">
        <f>HYPERLINK("http://141.218.60.56/~jnz1568/getInfo.php?workbook=10_05.xlsx&amp;sheet=U0&amp;row=11010&amp;col=7&amp;number=0.341&amp;sourceID=14","0.341")</f>
        <v>0.341</v>
      </c>
    </row>
    <row r="11011" spans="1:7">
      <c r="A11011" s="3"/>
      <c r="B11011" s="3"/>
      <c r="C11011" s="3"/>
      <c r="D11011" s="3"/>
      <c r="E11011" s="3">
        <v>8</v>
      </c>
      <c r="F11011" s="4" t="str">
        <f>HYPERLINK("http://141.218.60.56/~jnz1568/getInfo.php?workbook=10_05.xlsx&amp;sheet=U0&amp;row=11011&amp;col=6&amp;number=3.7&amp;sourceID=14","3.7")</f>
        <v>3.7</v>
      </c>
      <c r="G11011" s="4" t="str">
        <f>HYPERLINK("http://141.218.60.56/~jnz1568/getInfo.php?workbook=10_05.xlsx&amp;sheet=U0&amp;row=11011&amp;col=7&amp;number=0.337&amp;sourceID=14","0.337")</f>
        <v>0.337</v>
      </c>
    </row>
    <row r="11012" spans="1:7">
      <c r="A11012" s="3"/>
      <c r="B11012" s="3"/>
      <c r="C11012" s="3"/>
      <c r="D11012" s="3"/>
      <c r="E11012" s="3">
        <v>9</v>
      </c>
      <c r="F11012" s="4" t="str">
        <f>HYPERLINK("http://141.218.60.56/~jnz1568/getInfo.php?workbook=10_05.xlsx&amp;sheet=U0&amp;row=11012&amp;col=6&amp;number=3.8&amp;sourceID=14","3.8")</f>
        <v>3.8</v>
      </c>
      <c r="G11012" s="4" t="str">
        <f>HYPERLINK("http://141.218.60.56/~jnz1568/getInfo.php?workbook=10_05.xlsx&amp;sheet=U0&amp;row=11012&amp;col=7&amp;number=0.332&amp;sourceID=14","0.332")</f>
        <v>0.332</v>
      </c>
    </row>
    <row r="11013" spans="1:7">
      <c r="A11013" s="3"/>
      <c r="B11013" s="3"/>
      <c r="C11013" s="3"/>
      <c r="D11013" s="3"/>
      <c r="E11013" s="3">
        <v>10</v>
      </c>
      <c r="F11013" s="4" t="str">
        <f>HYPERLINK("http://141.218.60.56/~jnz1568/getInfo.php?workbook=10_05.xlsx&amp;sheet=U0&amp;row=11013&amp;col=6&amp;number=3.9&amp;sourceID=14","3.9")</f>
        <v>3.9</v>
      </c>
      <c r="G11013" s="4" t="str">
        <f>HYPERLINK("http://141.218.60.56/~jnz1568/getInfo.php?workbook=10_05.xlsx&amp;sheet=U0&amp;row=11013&amp;col=7&amp;number=0.326&amp;sourceID=14","0.326")</f>
        <v>0.326</v>
      </c>
    </row>
    <row r="11014" spans="1:7">
      <c r="A11014" s="3"/>
      <c r="B11014" s="3"/>
      <c r="C11014" s="3"/>
      <c r="D11014" s="3"/>
      <c r="E11014" s="3">
        <v>11</v>
      </c>
      <c r="F11014" s="4" t="str">
        <f>HYPERLINK("http://141.218.60.56/~jnz1568/getInfo.php?workbook=10_05.xlsx&amp;sheet=U0&amp;row=11014&amp;col=6&amp;number=4&amp;sourceID=14","4")</f>
        <v>4</v>
      </c>
      <c r="G11014" s="4" t="str">
        <f>HYPERLINK("http://141.218.60.56/~jnz1568/getInfo.php?workbook=10_05.xlsx&amp;sheet=U0&amp;row=11014&amp;col=7&amp;number=0.318&amp;sourceID=14","0.318")</f>
        <v>0.318</v>
      </c>
    </row>
    <row r="11015" spans="1:7">
      <c r="A11015" s="3"/>
      <c r="B11015" s="3"/>
      <c r="C11015" s="3"/>
      <c r="D11015" s="3"/>
      <c r="E11015" s="3">
        <v>12</v>
      </c>
      <c r="F11015" s="4" t="str">
        <f>HYPERLINK("http://141.218.60.56/~jnz1568/getInfo.php?workbook=10_05.xlsx&amp;sheet=U0&amp;row=11015&amp;col=6&amp;number=4.1&amp;sourceID=14","4.1")</f>
        <v>4.1</v>
      </c>
      <c r="G11015" s="4" t="str">
        <f>HYPERLINK("http://141.218.60.56/~jnz1568/getInfo.php?workbook=10_05.xlsx&amp;sheet=U0&amp;row=11015&amp;col=7&amp;number=0.309&amp;sourceID=14","0.309")</f>
        <v>0.309</v>
      </c>
    </row>
    <row r="11016" spans="1:7">
      <c r="A11016" s="3"/>
      <c r="B11016" s="3"/>
      <c r="C11016" s="3"/>
      <c r="D11016" s="3"/>
      <c r="E11016" s="3">
        <v>13</v>
      </c>
      <c r="F11016" s="4" t="str">
        <f>HYPERLINK("http://141.218.60.56/~jnz1568/getInfo.php?workbook=10_05.xlsx&amp;sheet=U0&amp;row=11016&amp;col=6&amp;number=4.2&amp;sourceID=14","4.2")</f>
        <v>4.2</v>
      </c>
      <c r="G11016" s="4" t="str">
        <f>HYPERLINK("http://141.218.60.56/~jnz1568/getInfo.php?workbook=10_05.xlsx&amp;sheet=U0&amp;row=11016&amp;col=7&amp;number=0.298&amp;sourceID=14","0.298")</f>
        <v>0.298</v>
      </c>
    </row>
    <row r="11017" spans="1:7">
      <c r="A11017" s="3"/>
      <c r="B11017" s="3"/>
      <c r="C11017" s="3"/>
      <c r="D11017" s="3"/>
      <c r="E11017" s="3">
        <v>14</v>
      </c>
      <c r="F11017" s="4" t="str">
        <f>HYPERLINK("http://141.218.60.56/~jnz1568/getInfo.php?workbook=10_05.xlsx&amp;sheet=U0&amp;row=11017&amp;col=6&amp;number=4.3&amp;sourceID=14","4.3")</f>
        <v>4.3</v>
      </c>
      <c r="G11017" s="4" t="str">
        <f>HYPERLINK("http://141.218.60.56/~jnz1568/getInfo.php?workbook=10_05.xlsx&amp;sheet=U0&amp;row=11017&amp;col=7&amp;number=0.286&amp;sourceID=14","0.286")</f>
        <v>0.286</v>
      </c>
    </row>
    <row r="11018" spans="1:7">
      <c r="A11018" s="3"/>
      <c r="B11018" s="3"/>
      <c r="C11018" s="3"/>
      <c r="D11018" s="3"/>
      <c r="E11018" s="3">
        <v>15</v>
      </c>
      <c r="F11018" s="4" t="str">
        <f>HYPERLINK("http://141.218.60.56/~jnz1568/getInfo.php?workbook=10_05.xlsx&amp;sheet=U0&amp;row=11018&amp;col=6&amp;number=4.4&amp;sourceID=14","4.4")</f>
        <v>4.4</v>
      </c>
      <c r="G11018" s="4" t="str">
        <f>HYPERLINK("http://141.218.60.56/~jnz1568/getInfo.php?workbook=10_05.xlsx&amp;sheet=U0&amp;row=11018&amp;col=7&amp;number=0.271&amp;sourceID=14","0.271")</f>
        <v>0.271</v>
      </c>
    </row>
    <row r="11019" spans="1:7">
      <c r="A11019" s="3"/>
      <c r="B11019" s="3"/>
      <c r="C11019" s="3"/>
      <c r="D11019" s="3"/>
      <c r="E11019" s="3">
        <v>16</v>
      </c>
      <c r="F11019" s="4" t="str">
        <f>HYPERLINK("http://141.218.60.56/~jnz1568/getInfo.php?workbook=10_05.xlsx&amp;sheet=U0&amp;row=11019&amp;col=6&amp;number=4.5&amp;sourceID=14","4.5")</f>
        <v>4.5</v>
      </c>
      <c r="G11019" s="4" t="str">
        <f>HYPERLINK("http://141.218.60.56/~jnz1568/getInfo.php?workbook=10_05.xlsx&amp;sheet=U0&amp;row=11019&amp;col=7&amp;number=0.255&amp;sourceID=14","0.255")</f>
        <v>0.255</v>
      </c>
    </row>
    <row r="11020" spans="1:7">
      <c r="A11020" s="3"/>
      <c r="B11020" s="3"/>
      <c r="C11020" s="3"/>
      <c r="D11020" s="3"/>
      <c r="E11020" s="3">
        <v>17</v>
      </c>
      <c r="F11020" s="4" t="str">
        <f>HYPERLINK("http://141.218.60.56/~jnz1568/getInfo.php?workbook=10_05.xlsx&amp;sheet=U0&amp;row=11020&amp;col=6&amp;number=4.6&amp;sourceID=14","4.6")</f>
        <v>4.6</v>
      </c>
      <c r="G11020" s="4" t="str">
        <f>HYPERLINK("http://141.218.60.56/~jnz1568/getInfo.php?workbook=10_05.xlsx&amp;sheet=U0&amp;row=11020&amp;col=7&amp;number=0.238&amp;sourceID=14","0.238")</f>
        <v>0.238</v>
      </c>
    </row>
    <row r="11021" spans="1:7">
      <c r="A11021" s="3"/>
      <c r="B11021" s="3"/>
      <c r="C11021" s="3"/>
      <c r="D11021" s="3"/>
      <c r="E11021" s="3">
        <v>18</v>
      </c>
      <c r="F11021" s="4" t="str">
        <f>HYPERLINK("http://141.218.60.56/~jnz1568/getInfo.php?workbook=10_05.xlsx&amp;sheet=U0&amp;row=11021&amp;col=6&amp;number=4.7&amp;sourceID=14","4.7")</f>
        <v>4.7</v>
      </c>
      <c r="G11021" s="4" t="str">
        <f>HYPERLINK("http://141.218.60.56/~jnz1568/getInfo.php?workbook=10_05.xlsx&amp;sheet=U0&amp;row=11021&amp;col=7&amp;number=0.221&amp;sourceID=14","0.221")</f>
        <v>0.221</v>
      </c>
    </row>
    <row r="11022" spans="1:7">
      <c r="A11022" s="3"/>
      <c r="B11022" s="3"/>
      <c r="C11022" s="3"/>
      <c r="D11022" s="3"/>
      <c r="E11022" s="3">
        <v>19</v>
      </c>
      <c r="F11022" s="4" t="str">
        <f>HYPERLINK("http://141.218.60.56/~jnz1568/getInfo.php?workbook=10_05.xlsx&amp;sheet=U0&amp;row=11022&amp;col=6&amp;number=4.8&amp;sourceID=14","4.8")</f>
        <v>4.8</v>
      </c>
      <c r="G11022" s="4" t="str">
        <f>HYPERLINK("http://141.218.60.56/~jnz1568/getInfo.php?workbook=10_05.xlsx&amp;sheet=U0&amp;row=11022&amp;col=7&amp;number=0.204&amp;sourceID=14","0.204")</f>
        <v>0.204</v>
      </c>
    </row>
    <row r="11023" spans="1:7">
      <c r="A11023" s="3"/>
      <c r="B11023" s="3"/>
      <c r="C11023" s="3"/>
      <c r="D11023" s="3"/>
      <c r="E11023" s="3">
        <v>20</v>
      </c>
      <c r="F11023" s="4" t="str">
        <f>HYPERLINK("http://141.218.60.56/~jnz1568/getInfo.php?workbook=10_05.xlsx&amp;sheet=U0&amp;row=11023&amp;col=6&amp;number=4.9&amp;sourceID=14","4.9")</f>
        <v>4.9</v>
      </c>
      <c r="G11023" s="4" t="str">
        <f>HYPERLINK("http://141.218.60.56/~jnz1568/getInfo.php?workbook=10_05.xlsx&amp;sheet=U0&amp;row=11023&amp;col=7&amp;number=0.187&amp;sourceID=14","0.187")</f>
        <v>0.187</v>
      </c>
    </row>
    <row r="11024" spans="1:7">
      <c r="A11024" s="3">
        <v>10</v>
      </c>
      <c r="B11024" s="3">
        <v>5</v>
      </c>
      <c r="C11024" s="3">
        <v>4</v>
      </c>
      <c r="D11024" s="3">
        <v>22</v>
      </c>
      <c r="E11024" s="3">
        <v>1</v>
      </c>
      <c r="F11024" s="4" t="str">
        <f>HYPERLINK("http://141.218.60.56/~jnz1568/getInfo.php?workbook=10_05.xlsx&amp;sheet=U0&amp;row=11024&amp;col=6&amp;number=3&amp;sourceID=14","3")</f>
        <v>3</v>
      </c>
      <c r="G11024" s="4" t="str">
        <f>HYPERLINK("http://141.218.60.56/~jnz1568/getInfo.php?workbook=10_05.xlsx&amp;sheet=U0&amp;row=11024&amp;col=7&amp;number=0.372&amp;sourceID=14","0.372")</f>
        <v>0.372</v>
      </c>
    </row>
    <row r="11025" spans="1:7">
      <c r="A11025" s="3"/>
      <c r="B11025" s="3"/>
      <c r="C11025" s="3"/>
      <c r="D11025" s="3"/>
      <c r="E11025" s="3">
        <v>2</v>
      </c>
      <c r="F11025" s="4" t="str">
        <f>HYPERLINK("http://141.218.60.56/~jnz1568/getInfo.php?workbook=10_05.xlsx&amp;sheet=U0&amp;row=11025&amp;col=6&amp;number=3.1&amp;sourceID=14","3.1")</f>
        <v>3.1</v>
      </c>
      <c r="G11025" s="4" t="str">
        <f>HYPERLINK("http://141.218.60.56/~jnz1568/getInfo.php?workbook=10_05.xlsx&amp;sheet=U0&amp;row=11025&amp;col=7&amp;number=0.372&amp;sourceID=14","0.372")</f>
        <v>0.372</v>
      </c>
    </row>
    <row r="11026" spans="1:7">
      <c r="A11026" s="3"/>
      <c r="B11026" s="3"/>
      <c r="C11026" s="3"/>
      <c r="D11026" s="3"/>
      <c r="E11026" s="3">
        <v>3</v>
      </c>
      <c r="F11026" s="4" t="str">
        <f>HYPERLINK("http://141.218.60.56/~jnz1568/getInfo.php?workbook=10_05.xlsx&amp;sheet=U0&amp;row=11026&amp;col=6&amp;number=3.2&amp;sourceID=14","3.2")</f>
        <v>3.2</v>
      </c>
      <c r="G11026" s="4" t="str">
        <f>HYPERLINK("http://141.218.60.56/~jnz1568/getInfo.php?workbook=10_05.xlsx&amp;sheet=U0&amp;row=11026&amp;col=7&amp;number=0.371&amp;sourceID=14","0.371")</f>
        <v>0.371</v>
      </c>
    </row>
    <row r="11027" spans="1:7">
      <c r="A11027" s="3"/>
      <c r="B11027" s="3"/>
      <c r="C11027" s="3"/>
      <c r="D11027" s="3"/>
      <c r="E11027" s="3">
        <v>4</v>
      </c>
      <c r="F11027" s="4" t="str">
        <f>HYPERLINK("http://141.218.60.56/~jnz1568/getInfo.php?workbook=10_05.xlsx&amp;sheet=U0&amp;row=11027&amp;col=6&amp;number=3.3&amp;sourceID=14","3.3")</f>
        <v>3.3</v>
      </c>
      <c r="G11027" s="4" t="str">
        <f>HYPERLINK("http://141.218.60.56/~jnz1568/getInfo.php?workbook=10_05.xlsx&amp;sheet=U0&amp;row=11027&amp;col=7&amp;number=0.37&amp;sourceID=14","0.37")</f>
        <v>0.37</v>
      </c>
    </row>
    <row r="11028" spans="1:7">
      <c r="A11028" s="3"/>
      <c r="B11028" s="3"/>
      <c r="C11028" s="3"/>
      <c r="D11028" s="3"/>
      <c r="E11028" s="3">
        <v>5</v>
      </c>
      <c r="F11028" s="4" t="str">
        <f>HYPERLINK("http://141.218.60.56/~jnz1568/getInfo.php?workbook=10_05.xlsx&amp;sheet=U0&amp;row=11028&amp;col=6&amp;number=3.4&amp;sourceID=14","3.4")</f>
        <v>3.4</v>
      </c>
      <c r="G11028" s="4" t="str">
        <f>HYPERLINK("http://141.218.60.56/~jnz1568/getInfo.php?workbook=10_05.xlsx&amp;sheet=U0&amp;row=11028&amp;col=7&amp;number=0.368&amp;sourceID=14","0.368")</f>
        <v>0.368</v>
      </c>
    </row>
    <row r="11029" spans="1:7">
      <c r="A11029" s="3"/>
      <c r="B11029" s="3"/>
      <c r="C11029" s="3"/>
      <c r="D11029" s="3"/>
      <c r="E11029" s="3">
        <v>6</v>
      </c>
      <c r="F11029" s="4" t="str">
        <f>HYPERLINK("http://141.218.60.56/~jnz1568/getInfo.php?workbook=10_05.xlsx&amp;sheet=U0&amp;row=11029&amp;col=6&amp;number=3.5&amp;sourceID=14","3.5")</f>
        <v>3.5</v>
      </c>
      <c r="G11029" s="4" t="str">
        <f>HYPERLINK("http://141.218.60.56/~jnz1568/getInfo.php?workbook=10_05.xlsx&amp;sheet=U0&amp;row=11029&amp;col=7&amp;number=0.366&amp;sourceID=14","0.366")</f>
        <v>0.366</v>
      </c>
    </row>
    <row r="11030" spans="1:7">
      <c r="A11030" s="3"/>
      <c r="B11030" s="3"/>
      <c r="C11030" s="3"/>
      <c r="D11030" s="3"/>
      <c r="E11030" s="3">
        <v>7</v>
      </c>
      <c r="F11030" s="4" t="str">
        <f>HYPERLINK("http://141.218.60.56/~jnz1568/getInfo.php?workbook=10_05.xlsx&amp;sheet=U0&amp;row=11030&amp;col=6&amp;number=3.6&amp;sourceID=14","3.6")</f>
        <v>3.6</v>
      </c>
      <c r="G11030" s="4" t="str">
        <f>HYPERLINK("http://141.218.60.56/~jnz1568/getInfo.php?workbook=10_05.xlsx&amp;sheet=U0&amp;row=11030&amp;col=7&amp;number=0.364&amp;sourceID=14","0.364")</f>
        <v>0.364</v>
      </c>
    </row>
    <row r="11031" spans="1:7">
      <c r="A11031" s="3"/>
      <c r="B11031" s="3"/>
      <c r="C11031" s="3"/>
      <c r="D11031" s="3"/>
      <c r="E11031" s="3">
        <v>8</v>
      </c>
      <c r="F11031" s="4" t="str">
        <f>HYPERLINK("http://141.218.60.56/~jnz1568/getInfo.php?workbook=10_05.xlsx&amp;sheet=U0&amp;row=11031&amp;col=6&amp;number=3.7&amp;sourceID=14","3.7")</f>
        <v>3.7</v>
      </c>
      <c r="G11031" s="4" t="str">
        <f>HYPERLINK("http://141.218.60.56/~jnz1568/getInfo.php?workbook=10_05.xlsx&amp;sheet=U0&amp;row=11031&amp;col=7&amp;number=0.361&amp;sourceID=14","0.361")</f>
        <v>0.361</v>
      </c>
    </row>
    <row r="11032" spans="1:7">
      <c r="A11032" s="3"/>
      <c r="B11032" s="3"/>
      <c r="C11032" s="3"/>
      <c r="D11032" s="3"/>
      <c r="E11032" s="3">
        <v>9</v>
      </c>
      <c r="F11032" s="4" t="str">
        <f>HYPERLINK("http://141.218.60.56/~jnz1568/getInfo.php?workbook=10_05.xlsx&amp;sheet=U0&amp;row=11032&amp;col=6&amp;number=3.8&amp;sourceID=14","3.8")</f>
        <v>3.8</v>
      </c>
      <c r="G11032" s="4" t="str">
        <f>HYPERLINK("http://141.218.60.56/~jnz1568/getInfo.php?workbook=10_05.xlsx&amp;sheet=U0&amp;row=11032&amp;col=7&amp;number=0.358&amp;sourceID=14","0.358")</f>
        <v>0.358</v>
      </c>
    </row>
    <row r="11033" spans="1:7">
      <c r="A11033" s="3"/>
      <c r="B11033" s="3"/>
      <c r="C11033" s="3"/>
      <c r="D11033" s="3"/>
      <c r="E11033" s="3">
        <v>10</v>
      </c>
      <c r="F11033" s="4" t="str">
        <f>HYPERLINK("http://141.218.60.56/~jnz1568/getInfo.php?workbook=10_05.xlsx&amp;sheet=U0&amp;row=11033&amp;col=6&amp;number=3.9&amp;sourceID=14","3.9")</f>
        <v>3.9</v>
      </c>
      <c r="G11033" s="4" t="str">
        <f>HYPERLINK("http://141.218.60.56/~jnz1568/getInfo.php?workbook=10_05.xlsx&amp;sheet=U0&amp;row=11033&amp;col=7&amp;number=0.353&amp;sourceID=14","0.353")</f>
        <v>0.353</v>
      </c>
    </row>
    <row r="11034" spans="1:7">
      <c r="A11034" s="3"/>
      <c r="B11034" s="3"/>
      <c r="C11034" s="3"/>
      <c r="D11034" s="3"/>
      <c r="E11034" s="3">
        <v>11</v>
      </c>
      <c r="F11034" s="4" t="str">
        <f>HYPERLINK("http://141.218.60.56/~jnz1568/getInfo.php?workbook=10_05.xlsx&amp;sheet=U0&amp;row=11034&amp;col=6&amp;number=4&amp;sourceID=14","4")</f>
        <v>4</v>
      </c>
      <c r="G11034" s="4" t="str">
        <f>HYPERLINK("http://141.218.60.56/~jnz1568/getInfo.php?workbook=10_05.xlsx&amp;sheet=U0&amp;row=11034&amp;col=7&amp;number=0.348&amp;sourceID=14","0.348")</f>
        <v>0.348</v>
      </c>
    </row>
    <row r="11035" spans="1:7">
      <c r="A11035" s="3"/>
      <c r="B11035" s="3"/>
      <c r="C11035" s="3"/>
      <c r="D11035" s="3"/>
      <c r="E11035" s="3">
        <v>12</v>
      </c>
      <c r="F11035" s="4" t="str">
        <f>HYPERLINK("http://141.218.60.56/~jnz1568/getInfo.php?workbook=10_05.xlsx&amp;sheet=U0&amp;row=11035&amp;col=6&amp;number=4.1&amp;sourceID=14","4.1")</f>
        <v>4.1</v>
      </c>
      <c r="G11035" s="4" t="str">
        <f>HYPERLINK("http://141.218.60.56/~jnz1568/getInfo.php?workbook=10_05.xlsx&amp;sheet=U0&amp;row=11035&amp;col=7&amp;number=0.341&amp;sourceID=14","0.341")</f>
        <v>0.341</v>
      </c>
    </row>
    <row r="11036" spans="1:7">
      <c r="A11036" s="3"/>
      <c r="B11036" s="3"/>
      <c r="C11036" s="3"/>
      <c r="D11036" s="3"/>
      <c r="E11036" s="3">
        <v>13</v>
      </c>
      <c r="F11036" s="4" t="str">
        <f>HYPERLINK("http://141.218.60.56/~jnz1568/getInfo.php?workbook=10_05.xlsx&amp;sheet=U0&amp;row=11036&amp;col=6&amp;number=4.2&amp;sourceID=14","4.2")</f>
        <v>4.2</v>
      </c>
      <c r="G11036" s="4" t="str">
        <f>HYPERLINK("http://141.218.60.56/~jnz1568/getInfo.php?workbook=10_05.xlsx&amp;sheet=U0&amp;row=11036&amp;col=7&amp;number=0.333&amp;sourceID=14","0.333")</f>
        <v>0.333</v>
      </c>
    </row>
    <row r="11037" spans="1:7">
      <c r="A11037" s="3"/>
      <c r="B11037" s="3"/>
      <c r="C11037" s="3"/>
      <c r="D11037" s="3"/>
      <c r="E11037" s="3">
        <v>14</v>
      </c>
      <c r="F11037" s="4" t="str">
        <f>HYPERLINK("http://141.218.60.56/~jnz1568/getInfo.php?workbook=10_05.xlsx&amp;sheet=U0&amp;row=11037&amp;col=6&amp;number=4.3&amp;sourceID=14","4.3")</f>
        <v>4.3</v>
      </c>
      <c r="G11037" s="4" t="str">
        <f>HYPERLINK("http://141.218.60.56/~jnz1568/getInfo.php?workbook=10_05.xlsx&amp;sheet=U0&amp;row=11037&amp;col=7&amp;number=0.323&amp;sourceID=14","0.323")</f>
        <v>0.323</v>
      </c>
    </row>
    <row r="11038" spans="1:7">
      <c r="A11038" s="3"/>
      <c r="B11038" s="3"/>
      <c r="C11038" s="3"/>
      <c r="D11038" s="3"/>
      <c r="E11038" s="3">
        <v>15</v>
      </c>
      <c r="F11038" s="4" t="str">
        <f>HYPERLINK("http://141.218.60.56/~jnz1568/getInfo.php?workbook=10_05.xlsx&amp;sheet=U0&amp;row=11038&amp;col=6&amp;number=4.4&amp;sourceID=14","4.4")</f>
        <v>4.4</v>
      </c>
      <c r="G11038" s="4" t="str">
        <f>HYPERLINK("http://141.218.60.56/~jnz1568/getInfo.php?workbook=10_05.xlsx&amp;sheet=U0&amp;row=11038&amp;col=7&amp;number=0.31&amp;sourceID=14","0.31")</f>
        <v>0.31</v>
      </c>
    </row>
    <row r="11039" spans="1:7">
      <c r="A11039" s="3"/>
      <c r="B11039" s="3"/>
      <c r="C11039" s="3"/>
      <c r="D11039" s="3"/>
      <c r="E11039" s="3">
        <v>16</v>
      </c>
      <c r="F11039" s="4" t="str">
        <f>HYPERLINK("http://141.218.60.56/~jnz1568/getInfo.php?workbook=10_05.xlsx&amp;sheet=U0&amp;row=11039&amp;col=6&amp;number=4.5&amp;sourceID=14","4.5")</f>
        <v>4.5</v>
      </c>
      <c r="G11039" s="4" t="str">
        <f>HYPERLINK("http://141.218.60.56/~jnz1568/getInfo.php?workbook=10_05.xlsx&amp;sheet=U0&amp;row=11039&amp;col=7&amp;number=0.296&amp;sourceID=14","0.296")</f>
        <v>0.296</v>
      </c>
    </row>
    <row r="11040" spans="1:7">
      <c r="A11040" s="3"/>
      <c r="B11040" s="3"/>
      <c r="C11040" s="3"/>
      <c r="D11040" s="3"/>
      <c r="E11040" s="3">
        <v>17</v>
      </c>
      <c r="F11040" s="4" t="str">
        <f>HYPERLINK("http://141.218.60.56/~jnz1568/getInfo.php?workbook=10_05.xlsx&amp;sheet=U0&amp;row=11040&amp;col=6&amp;number=4.6&amp;sourceID=14","4.6")</f>
        <v>4.6</v>
      </c>
      <c r="G11040" s="4" t="str">
        <f>HYPERLINK("http://141.218.60.56/~jnz1568/getInfo.php?workbook=10_05.xlsx&amp;sheet=U0&amp;row=11040&amp;col=7&amp;number=0.279&amp;sourceID=14","0.279")</f>
        <v>0.279</v>
      </c>
    </row>
    <row r="11041" spans="1:7">
      <c r="A11041" s="3"/>
      <c r="B11041" s="3"/>
      <c r="C11041" s="3"/>
      <c r="D11041" s="3"/>
      <c r="E11041" s="3">
        <v>18</v>
      </c>
      <c r="F11041" s="4" t="str">
        <f>HYPERLINK("http://141.218.60.56/~jnz1568/getInfo.php?workbook=10_05.xlsx&amp;sheet=U0&amp;row=11041&amp;col=6&amp;number=4.7&amp;sourceID=14","4.7")</f>
        <v>4.7</v>
      </c>
      <c r="G11041" s="4" t="str">
        <f>HYPERLINK("http://141.218.60.56/~jnz1568/getInfo.php?workbook=10_05.xlsx&amp;sheet=U0&amp;row=11041&amp;col=7&amp;number=0.259&amp;sourceID=14","0.259")</f>
        <v>0.259</v>
      </c>
    </row>
    <row r="11042" spans="1:7">
      <c r="A11042" s="3"/>
      <c r="B11042" s="3"/>
      <c r="C11042" s="3"/>
      <c r="D11042" s="3"/>
      <c r="E11042" s="3">
        <v>19</v>
      </c>
      <c r="F11042" s="4" t="str">
        <f>HYPERLINK("http://141.218.60.56/~jnz1568/getInfo.php?workbook=10_05.xlsx&amp;sheet=U0&amp;row=11042&amp;col=6&amp;number=4.8&amp;sourceID=14","4.8")</f>
        <v>4.8</v>
      </c>
      <c r="G11042" s="4" t="str">
        <f>HYPERLINK("http://141.218.60.56/~jnz1568/getInfo.php?workbook=10_05.xlsx&amp;sheet=U0&amp;row=11042&amp;col=7&amp;number=0.236&amp;sourceID=14","0.236")</f>
        <v>0.236</v>
      </c>
    </row>
    <row r="11043" spans="1:7">
      <c r="A11043" s="3"/>
      <c r="B11043" s="3"/>
      <c r="C11043" s="3"/>
      <c r="D11043" s="3"/>
      <c r="E11043" s="3">
        <v>20</v>
      </c>
      <c r="F11043" s="4" t="str">
        <f>HYPERLINK("http://141.218.60.56/~jnz1568/getInfo.php?workbook=10_05.xlsx&amp;sheet=U0&amp;row=11043&amp;col=6&amp;number=4.9&amp;sourceID=14","4.9")</f>
        <v>4.9</v>
      </c>
      <c r="G11043" s="4" t="str">
        <f>HYPERLINK("http://141.218.60.56/~jnz1568/getInfo.php?workbook=10_05.xlsx&amp;sheet=U0&amp;row=11043&amp;col=7&amp;number=0.212&amp;sourceID=14","0.212")</f>
        <v>0.212</v>
      </c>
    </row>
    <row r="11044" spans="1:7">
      <c r="A11044" s="3">
        <v>10</v>
      </c>
      <c r="B11044" s="3">
        <v>5</v>
      </c>
      <c r="C11044" s="3">
        <v>4</v>
      </c>
      <c r="D11044" s="3">
        <v>23</v>
      </c>
      <c r="E11044" s="3">
        <v>1</v>
      </c>
      <c r="F11044" s="4" t="str">
        <f>HYPERLINK("http://141.218.60.56/~jnz1568/getInfo.php?workbook=10_05.xlsx&amp;sheet=U0&amp;row=11044&amp;col=6&amp;number=3&amp;sourceID=14","3")</f>
        <v>3</v>
      </c>
      <c r="G11044" s="4" t="str">
        <f>HYPERLINK("http://141.218.60.56/~jnz1568/getInfo.php?workbook=10_05.xlsx&amp;sheet=U0&amp;row=11044&amp;col=7&amp;number=0.575&amp;sourceID=14","0.575")</f>
        <v>0.575</v>
      </c>
    </row>
    <row r="11045" spans="1:7">
      <c r="A11045" s="3"/>
      <c r="B11045" s="3"/>
      <c r="C11045" s="3"/>
      <c r="D11045" s="3"/>
      <c r="E11045" s="3">
        <v>2</v>
      </c>
      <c r="F11045" s="4" t="str">
        <f>HYPERLINK("http://141.218.60.56/~jnz1568/getInfo.php?workbook=10_05.xlsx&amp;sheet=U0&amp;row=11045&amp;col=6&amp;number=3.1&amp;sourceID=14","3.1")</f>
        <v>3.1</v>
      </c>
      <c r="G11045" s="4" t="str">
        <f>HYPERLINK("http://141.218.60.56/~jnz1568/getInfo.php?workbook=10_05.xlsx&amp;sheet=U0&amp;row=11045&amp;col=7&amp;number=0.575&amp;sourceID=14","0.575")</f>
        <v>0.575</v>
      </c>
    </row>
    <row r="11046" spans="1:7">
      <c r="A11046" s="3"/>
      <c r="B11046" s="3"/>
      <c r="C11046" s="3"/>
      <c r="D11046" s="3"/>
      <c r="E11046" s="3">
        <v>3</v>
      </c>
      <c r="F11046" s="4" t="str">
        <f>HYPERLINK("http://141.218.60.56/~jnz1568/getInfo.php?workbook=10_05.xlsx&amp;sheet=U0&amp;row=11046&amp;col=6&amp;number=3.2&amp;sourceID=14","3.2")</f>
        <v>3.2</v>
      </c>
      <c r="G11046" s="4" t="str">
        <f>HYPERLINK("http://141.218.60.56/~jnz1568/getInfo.php?workbook=10_05.xlsx&amp;sheet=U0&amp;row=11046&amp;col=7&amp;number=0.573&amp;sourceID=14","0.573")</f>
        <v>0.573</v>
      </c>
    </row>
    <row r="11047" spans="1:7">
      <c r="A11047" s="3"/>
      <c r="B11047" s="3"/>
      <c r="C11047" s="3"/>
      <c r="D11047" s="3"/>
      <c r="E11047" s="3">
        <v>4</v>
      </c>
      <c r="F11047" s="4" t="str">
        <f>HYPERLINK("http://141.218.60.56/~jnz1568/getInfo.php?workbook=10_05.xlsx&amp;sheet=U0&amp;row=11047&amp;col=6&amp;number=3.3&amp;sourceID=14","3.3")</f>
        <v>3.3</v>
      </c>
      <c r="G11047" s="4" t="str">
        <f>HYPERLINK("http://141.218.60.56/~jnz1568/getInfo.php?workbook=10_05.xlsx&amp;sheet=U0&amp;row=11047&amp;col=7&amp;number=0.572&amp;sourceID=14","0.572")</f>
        <v>0.572</v>
      </c>
    </row>
    <row r="11048" spans="1:7">
      <c r="A11048" s="3"/>
      <c r="B11048" s="3"/>
      <c r="C11048" s="3"/>
      <c r="D11048" s="3"/>
      <c r="E11048" s="3">
        <v>5</v>
      </c>
      <c r="F11048" s="4" t="str">
        <f>HYPERLINK("http://141.218.60.56/~jnz1568/getInfo.php?workbook=10_05.xlsx&amp;sheet=U0&amp;row=11048&amp;col=6&amp;number=3.4&amp;sourceID=14","3.4")</f>
        <v>3.4</v>
      </c>
      <c r="G11048" s="4" t="str">
        <f>HYPERLINK("http://141.218.60.56/~jnz1568/getInfo.php?workbook=10_05.xlsx&amp;sheet=U0&amp;row=11048&amp;col=7&amp;number=0.57&amp;sourceID=14","0.57")</f>
        <v>0.57</v>
      </c>
    </row>
    <row r="11049" spans="1:7">
      <c r="A11049" s="3"/>
      <c r="B11049" s="3"/>
      <c r="C11049" s="3"/>
      <c r="D11049" s="3"/>
      <c r="E11049" s="3">
        <v>6</v>
      </c>
      <c r="F11049" s="4" t="str">
        <f>HYPERLINK("http://141.218.60.56/~jnz1568/getInfo.php?workbook=10_05.xlsx&amp;sheet=U0&amp;row=11049&amp;col=6&amp;number=3.5&amp;sourceID=14","3.5")</f>
        <v>3.5</v>
      </c>
      <c r="G11049" s="4" t="str">
        <f>HYPERLINK("http://141.218.60.56/~jnz1568/getInfo.php?workbook=10_05.xlsx&amp;sheet=U0&amp;row=11049&amp;col=7&amp;number=0.568&amp;sourceID=14","0.568")</f>
        <v>0.568</v>
      </c>
    </row>
    <row r="11050" spans="1:7">
      <c r="A11050" s="3"/>
      <c r="B11050" s="3"/>
      <c r="C11050" s="3"/>
      <c r="D11050" s="3"/>
      <c r="E11050" s="3">
        <v>7</v>
      </c>
      <c r="F11050" s="4" t="str">
        <f>HYPERLINK("http://141.218.60.56/~jnz1568/getInfo.php?workbook=10_05.xlsx&amp;sheet=U0&amp;row=11050&amp;col=6&amp;number=3.6&amp;sourceID=14","3.6")</f>
        <v>3.6</v>
      </c>
      <c r="G11050" s="4" t="str">
        <f>HYPERLINK("http://141.218.60.56/~jnz1568/getInfo.php?workbook=10_05.xlsx&amp;sheet=U0&amp;row=11050&amp;col=7&amp;number=0.565&amp;sourceID=14","0.565")</f>
        <v>0.565</v>
      </c>
    </row>
    <row r="11051" spans="1:7">
      <c r="A11051" s="3"/>
      <c r="B11051" s="3"/>
      <c r="C11051" s="3"/>
      <c r="D11051" s="3"/>
      <c r="E11051" s="3">
        <v>8</v>
      </c>
      <c r="F11051" s="4" t="str">
        <f>HYPERLINK("http://141.218.60.56/~jnz1568/getInfo.php?workbook=10_05.xlsx&amp;sheet=U0&amp;row=11051&amp;col=6&amp;number=3.7&amp;sourceID=14","3.7")</f>
        <v>3.7</v>
      </c>
      <c r="G11051" s="4" t="str">
        <f>HYPERLINK("http://141.218.60.56/~jnz1568/getInfo.php?workbook=10_05.xlsx&amp;sheet=U0&amp;row=11051&amp;col=7&amp;number=0.562&amp;sourceID=14","0.562")</f>
        <v>0.562</v>
      </c>
    </row>
    <row r="11052" spans="1:7">
      <c r="A11052" s="3"/>
      <c r="B11052" s="3"/>
      <c r="C11052" s="3"/>
      <c r="D11052" s="3"/>
      <c r="E11052" s="3">
        <v>9</v>
      </c>
      <c r="F11052" s="4" t="str">
        <f>HYPERLINK("http://141.218.60.56/~jnz1568/getInfo.php?workbook=10_05.xlsx&amp;sheet=U0&amp;row=11052&amp;col=6&amp;number=3.8&amp;sourceID=14","3.8")</f>
        <v>3.8</v>
      </c>
      <c r="G11052" s="4" t="str">
        <f>HYPERLINK("http://141.218.60.56/~jnz1568/getInfo.php?workbook=10_05.xlsx&amp;sheet=U0&amp;row=11052&amp;col=7&amp;number=0.558&amp;sourceID=14","0.558")</f>
        <v>0.558</v>
      </c>
    </row>
    <row r="11053" spans="1:7">
      <c r="A11053" s="3"/>
      <c r="B11053" s="3"/>
      <c r="C11053" s="3"/>
      <c r="D11053" s="3"/>
      <c r="E11053" s="3">
        <v>10</v>
      </c>
      <c r="F11053" s="4" t="str">
        <f>HYPERLINK("http://141.218.60.56/~jnz1568/getInfo.php?workbook=10_05.xlsx&amp;sheet=U0&amp;row=11053&amp;col=6&amp;number=3.9&amp;sourceID=14","3.9")</f>
        <v>3.9</v>
      </c>
      <c r="G11053" s="4" t="str">
        <f>HYPERLINK("http://141.218.60.56/~jnz1568/getInfo.php?workbook=10_05.xlsx&amp;sheet=U0&amp;row=11053&amp;col=7&amp;number=0.552&amp;sourceID=14","0.552")</f>
        <v>0.552</v>
      </c>
    </row>
    <row r="11054" spans="1:7">
      <c r="A11054" s="3"/>
      <c r="B11054" s="3"/>
      <c r="C11054" s="3"/>
      <c r="D11054" s="3"/>
      <c r="E11054" s="3">
        <v>11</v>
      </c>
      <c r="F11054" s="4" t="str">
        <f>HYPERLINK("http://141.218.60.56/~jnz1568/getInfo.php?workbook=10_05.xlsx&amp;sheet=U0&amp;row=11054&amp;col=6&amp;number=4&amp;sourceID=14","4")</f>
        <v>4</v>
      </c>
      <c r="G11054" s="4" t="str">
        <f>HYPERLINK("http://141.218.60.56/~jnz1568/getInfo.php?workbook=10_05.xlsx&amp;sheet=U0&amp;row=11054&amp;col=7&amp;number=0.546&amp;sourceID=14","0.546")</f>
        <v>0.546</v>
      </c>
    </row>
    <row r="11055" spans="1:7">
      <c r="A11055" s="3"/>
      <c r="B11055" s="3"/>
      <c r="C11055" s="3"/>
      <c r="D11055" s="3"/>
      <c r="E11055" s="3">
        <v>12</v>
      </c>
      <c r="F11055" s="4" t="str">
        <f>HYPERLINK("http://141.218.60.56/~jnz1568/getInfo.php?workbook=10_05.xlsx&amp;sheet=U0&amp;row=11055&amp;col=6&amp;number=4.1&amp;sourceID=14","4.1")</f>
        <v>4.1</v>
      </c>
      <c r="G11055" s="4" t="str">
        <f>HYPERLINK("http://141.218.60.56/~jnz1568/getInfo.php?workbook=10_05.xlsx&amp;sheet=U0&amp;row=11055&amp;col=7&amp;number=0.538&amp;sourceID=14","0.538")</f>
        <v>0.538</v>
      </c>
    </row>
    <row r="11056" spans="1:7">
      <c r="A11056" s="3"/>
      <c r="B11056" s="3"/>
      <c r="C11056" s="3"/>
      <c r="D11056" s="3"/>
      <c r="E11056" s="3">
        <v>13</v>
      </c>
      <c r="F11056" s="4" t="str">
        <f>HYPERLINK("http://141.218.60.56/~jnz1568/getInfo.php?workbook=10_05.xlsx&amp;sheet=U0&amp;row=11056&amp;col=6&amp;number=4.2&amp;sourceID=14","4.2")</f>
        <v>4.2</v>
      </c>
      <c r="G11056" s="4" t="str">
        <f>HYPERLINK("http://141.218.60.56/~jnz1568/getInfo.php?workbook=10_05.xlsx&amp;sheet=U0&amp;row=11056&amp;col=7&amp;number=0.527&amp;sourceID=14","0.527")</f>
        <v>0.527</v>
      </c>
    </row>
    <row r="11057" spans="1:7">
      <c r="A11057" s="3"/>
      <c r="B11057" s="3"/>
      <c r="C11057" s="3"/>
      <c r="D11057" s="3"/>
      <c r="E11057" s="3">
        <v>14</v>
      </c>
      <c r="F11057" s="4" t="str">
        <f>HYPERLINK("http://141.218.60.56/~jnz1568/getInfo.php?workbook=10_05.xlsx&amp;sheet=U0&amp;row=11057&amp;col=6&amp;number=4.3&amp;sourceID=14","4.3")</f>
        <v>4.3</v>
      </c>
      <c r="G11057" s="4" t="str">
        <f>HYPERLINK("http://141.218.60.56/~jnz1568/getInfo.php?workbook=10_05.xlsx&amp;sheet=U0&amp;row=11057&amp;col=7&amp;number=0.514&amp;sourceID=14","0.514")</f>
        <v>0.514</v>
      </c>
    </row>
    <row r="11058" spans="1:7">
      <c r="A11058" s="3"/>
      <c r="B11058" s="3"/>
      <c r="C11058" s="3"/>
      <c r="D11058" s="3"/>
      <c r="E11058" s="3">
        <v>15</v>
      </c>
      <c r="F11058" s="4" t="str">
        <f>HYPERLINK("http://141.218.60.56/~jnz1568/getInfo.php?workbook=10_05.xlsx&amp;sheet=U0&amp;row=11058&amp;col=6&amp;number=4.4&amp;sourceID=14","4.4")</f>
        <v>4.4</v>
      </c>
      <c r="G11058" s="4" t="str">
        <f>HYPERLINK("http://141.218.60.56/~jnz1568/getInfo.php?workbook=10_05.xlsx&amp;sheet=U0&amp;row=11058&amp;col=7&amp;number=0.499&amp;sourceID=14","0.499")</f>
        <v>0.499</v>
      </c>
    </row>
    <row r="11059" spans="1:7">
      <c r="A11059" s="3"/>
      <c r="B11059" s="3"/>
      <c r="C11059" s="3"/>
      <c r="D11059" s="3"/>
      <c r="E11059" s="3">
        <v>16</v>
      </c>
      <c r="F11059" s="4" t="str">
        <f>HYPERLINK("http://141.218.60.56/~jnz1568/getInfo.php?workbook=10_05.xlsx&amp;sheet=U0&amp;row=11059&amp;col=6&amp;number=4.5&amp;sourceID=14","4.5")</f>
        <v>4.5</v>
      </c>
      <c r="G11059" s="4" t="str">
        <f>HYPERLINK("http://141.218.60.56/~jnz1568/getInfo.php?workbook=10_05.xlsx&amp;sheet=U0&amp;row=11059&amp;col=7&amp;number=0.479&amp;sourceID=14","0.479")</f>
        <v>0.479</v>
      </c>
    </row>
    <row r="11060" spans="1:7">
      <c r="A11060" s="3"/>
      <c r="B11060" s="3"/>
      <c r="C11060" s="3"/>
      <c r="D11060" s="3"/>
      <c r="E11060" s="3">
        <v>17</v>
      </c>
      <c r="F11060" s="4" t="str">
        <f>HYPERLINK("http://141.218.60.56/~jnz1568/getInfo.php?workbook=10_05.xlsx&amp;sheet=U0&amp;row=11060&amp;col=6&amp;number=4.6&amp;sourceID=14","4.6")</f>
        <v>4.6</v>
      </c>
      <c r="G11060" s="4" t="str">
        <f>HYPERLINK("http://141.218.60.56/~jnz1568/getInfo.php?workbook=10_05.xlsx&amp;sheet=U0&amp;row=11060&amp;col=7&amp;number=0.454&amp;sourceID=14","0.454")</f>
        <v>0.454</v>
      </c>
    </row>
    <row r="11061" spans="1:7">
      <c r="A11061" s="3"/>
      <c r="B11061" s="3"/>
      <c r="C11061" s="3"/>
      <c r="D11061" s="3"/>
      <c r="E11061" s="3">
        <v>18</v>
      </c>
      <c r="F11061" s="4" t="str">
        <f>HYPERLINK("http://141.218.60.56/~jnz1568/getInfo.php?workbook=10_05.xlsx&amp;sheet=U0&amp;row=11061&amp;col=6&amp;number=4.7&amp;sourceID=14","4.7")</f>
        <v>4.7</v>
      </c>
      <c r="G11061" s="4" t="str">
        <f>HYPERLINK("http://141.218.60.56/~jnz1568/getInfo.php?workbook=10_05.xlsx&amp;sheet=U0&amp;row=11061&amp;col=7&amp;number=0.423&amp;sourceID=14","0.423")</f>
        <v>0.423</v>
      </c>
    </row>
    <row r="11062" spans="1:7">
      <c r="A11062" s="3"/>
      <c r="B11062" s="3"/>
      <c r="C11062" s="3"/>
      <c r="D11062" s="3"/>
      <c r="E11062" s="3">
        <v>19</v>
      </c>
      <c r="F11062" s="4" t="str">
        <f>HYPERLINK("http://141.218.60.56/~jnz1568/getInfo.php?workbook=10_05.xlsx&amp;sheet=U0&amp;row=11062&amp;col=6&amp;number=4.8&amp;sourceID=14","4.8")</f>
        <v>4.8</v>
      </c>
      <c r="G11062" s="4" t="str">
        <f>HYPERLINK("http://141.218.60.56/~jnz1568/getInfo.php?workbook=10_05.xlsx&amp;sheet=U0&amp;row=11062&amp;col=7&amp;number=0.388&amp;sourceID=14","0.388")</f>
        <v>0.388</v>
      </c>
    </row>
    <row r="11063" spans="1:7">
      <c r="A11063" s="3"/>
      <c r="B11063" s="3"/>
      <c r="C11063" s="3"/>
      <c r="D11063" s="3"/>
      <c r="E11063" s="3">
        <v>20</v>
      </c>
      <c r="F11063" s="4" t="str">
        <f>HYPERLINK("http://141.218.60.56/~jnz1568/getInfo.php?workbook=10_05.xlsx&amp;sheet=U0&amp;row=11063&amp;col=6&amp;number=4.9&amp;sourceID=14","4.9")</f>
        <v>4.9</v>
      </c>
      <c r="G11063" s="4" t="str">
        <f>HYPERLINK("http://141.218.60.56/~jnz1568/getInfo.php?workbook=10_05.xlsx&amp;sheet=U0&amp;row=11063&amp;col=7&amp;number=0.35&amp;sourceID=14","0.35")</f>
        <v>0.35</v>
      </c>
    </row>
    <row r="11064" spans="1:7">
      <c r="A11064" s="3">
        <v>10</v>
      </c>
      <c r="B11064" s="3">
        <v>5</v>
      </c>
      <c r="C11064" s="3">
        <v>4</v>
      </c>
      <c r="D11064" s="3">
        <v>24</v>
      </c>
      <c r="E11064" s="3">
        <v>1</v>
      </c>
      <c r="F11064" s="4" t="str">
        <f>HYPERLINK("http://141.218.60.56/~jnz1568/getInfo.php?workbook=10_05.xlsx&amp;sheet=U0&amp;row=11064&amp;col=6&amp;number=3&amp;sourceID=14","3")</f>
        <v>3</v>
      </c>
      <c r="G11064" s="4" t="str">
        <f>HYPERLINK("http://141.218.60.56/~jnz1568/getInfo.php?workbook=10_05.xlsx&amp;sheet=U0&amp;row=11064&amp;col=7&amp;number=0.105&amp;sourceID=14","0.105")</f>
        <v>0.105</v>
      </c>
    </row>
    <row r="11065" spans="1:7">
      <c r="A11065" s="3"/>
      <c r="B11065" s="3"/>
      <c r="C11065" s="3"/>
      <c r="D11065" s="3"/>
      <c r="E11065" s="3">
        <v>2</v>
      </c>
      <c r="F11065" s="4" t="str">
        <f>HYPERLINK("http://141.218.60.56/~jnz1568/getInfo.php?workbook=10_05.xlsx&amp;sheet=U0&amp;row=11065&amp;col=6&amp;number=3.1&amp;sourceID=14","3.1")</f>
        <v>3.1</v>
      </c>
      <c r="G11065" s="4" t="str">
        <f>HYPERLINK("http://141.218.60.56/~jnz1568/getInfo.php?workbook=10_05.xlsx&amp;sheet=U0&amp;row=11065&amp;col=7&amp;number=0.105&amp;sourceID=14","0.105")</f>
        <v>0.105</v>
      </c>
    </row>
    <row r="11066" spans="1:7">
      <c r="A11066" s="3"/>
      <c r="B11066" s="3"/>
      <c r="C11066" s="3"/>
      <c r="D11066" s="3"/>
      <c r="E11066" s="3">
        <v>3</v>
      </c>
      <c r="F11066" s="4" t="str">
        <f>HYPERLINK("http://141.218.60.56/~jnz1568/getInfo.php?workbook=10_05.xlsx&amp;sheet=U0&amp;row=11066&amp;col=6&amp;number=3.2&amp;sourceID=14","3.2")</f>
        <v>3.2</v>
      </c>
      <c r="G11066" s="4" t="str">
        <f>HYPERLINK("http://141.218.60.56/~jnz1568/getInfo.php?workbook=10_05.xlsx&amp;sheet=U0&amp;row=11066&amp;col=7&amp;number=0.105&amp;sourceID=14","0.105")</f>
        <v>0.105</v>
      </c>
    </row>
    <row r="11067" spans="1:7">
      <c r="A11067" s="3"/>
      <c r="B11067" s="3"/>
      <c r="C11067" s="3"/>
      <c r="D11067" s="3"/>
      <c r="E11067" s="3">
        <v>4</v>
      </c>
      <c r="F11067" s="4" t="str">
        <f>HYPERLINK("http://141.218.60.56/~jnz1568/getInfo.php?workbook=10_05.xlsx&amp;sheet=U0&amp;row=11067&amp;col=6&amp;number=3.3&amp;sourceID=14","3.3")</f>
        <v>3.3</v>
      </c>
      <c r="G11067" s="4" t="str">
        <f>HYPERLINK("http://141.218.60.56/~jnz1568/getInfo.php?workbook=10_05.xlsx&amp;sheet=U0&amp;row=11067&amp;col=7&amp;number=0.105&amp;sourceID=14","0.105")</f>
        <v>0.105</v>
      </c>
    </row>
    <row r="11068" spans="1:7">
      <c r="A11068" s="3"/>
      <c r="B11068" s="3"/>
      <c r="C11068" s="3"/>
      <c r="D11068" s="3"/>
      <c r="E11068" s="3">
        <v>5</v>
      </c>
      <c r="F11068" s="4" t="str">
        <f>HYPERLINK("http://141.218.60.56/~jnz1568/getInfo.php?workbook=10_05.xlsx&amp;sheet=U0&amp;row=11068&amp;col=6&amp;number=3.4&amp;sourceID=14","3.4")</f>
        <v>3.4</v>
      </c>
      <c r="G11068" s="4" t="str">
        <f>HYPERLINK("http://141.218.60.56/~jnz1568/getInfo.php?workbook=10_05.xlsx&amp;sheet=U0&amp;row=11068&amp;col=7&amp;number=0.105&amp;sourceID=14","0.105")</f>
        <v>0.105</v>
      </c>
    </row>
    <row r="11069" spans="1:7">
      <c r="A11069" s="3"/>
      <c r="B11069" s="3"/>
      <c r="C11069" s="3"/>
      <c r="D11069" s="3"/>
      <c r="E11069" s="3">
        <v>6</v>
      </c>
      <c r="F11069" s="4" t="str">
        <f>HYPERLINK("http://141.218.60.56/~jnz1568/getInfo.php?workbook=10_05.xlsx&amp;sheet=U0&amp;row=11069&amp;col=6&amp;number=3.5&amp;sourceID=14","3.5")</f>
        <v>3.5</v>
      </c>
      <c r="G11069" s="4" t="str">
        <f>HYPERLINK("http://141.218.60.56/~jnz1568/getInfo.php?workbook=10_05.xlsx&amp;sheet=U0&amp;row=11069&amp;col=7&amp;number=0.105&amp;sourceID=14","0.105")</f>
        <v>0.105</v>
      </c>
    </row>
    <row r="11070" spans="1:7">
      <c r="A11070" s="3"/>
      <c r="B11070" s="3"/>
      <c r="C11070" s="3"/>
      <c r="D11070" s="3"/>
      <c r="E11070" s="3">
        <v>7</v>
      </c>
      <c r="F11070" s="4" t="str">
        <f>HYPERLINK("http://141.218.60.56/~jnz1568/getInfo.php?workbook=10_05.xlsx&amp;sheet=U0&amp;row=11070&amp;col=6&amp;number=3.6&amp;sourceID=14","3.6")</f>
        <v>3.6</v>
      </c>
      <c r="G11070" s="4" t="str">
        <f>HYPERLINK("http://141.218.60.56/~jnz1568/getInfo.php?workbook=10_05.xlsx&amp;sheet=U0&amp;row=11070&amp;col=7&amp;number=0.105&amp;sourceID=14","0.105")</f>
        <v>0.105</v>
      </c>
    </row>
    <row r="11071" spans="1:7">
      <c r="A11071" s="3"/>
      <c r="B11071" s="3"/>
      <c r="C11071" s="3"/>
      <c r="D11071" s="3"/>
      <c r="E11071" s="3">
        <v>8</v>
      </c>
      <c r="F11071" s="4" t="str">
        <f>HYPERLINK("http://141.218.60.56/~jnz1568/getInfo.php?workbook=10_05.xlsx&amp;sheet=U0&amp;row=11071&amp;col=6&amp;number=3.7&amp;sourceID=14","3.7")</f>
        <v>3.7</v>
      </c>
      <c r="G11071" s="4" t="str">
        <f>HYPERLINK("http://141.218.60.56/~jnz1568/getInfo.php?workbook=10_05.xlsx&amp;sheet=U0&amp;row=11071&amp;col=7&amp;number=0.105&amp;sourceID=14","0.105")</f>
        <v>0.105</v>
      </c>
    </row>
    <row r="11072" spans="1:7">
      <c r="A11072" s="3"/>
      <c r="B11072" s="3"/>
      <c r="C11072" s="3"/>
      <c r="D11072" s="3"/>
      <c r="E11072" s="3">
        <v>9</v>
      </c>
      <c r="F11072" s="4" t="str">
        <f>HYPERLINK("http://141.218.60.56/~jnz1568/getInfo.php?workbook=10_05.xlsx&amp;sheet=U0&amp;row=11072&amp;col=6&amp;number=3.8&amp;sourceID=14","3.8")</f>
        <v>3.8</v>
      </c>
      <c r="G11072" s="4" t="str">
        <f>HYPERLINK("http://141.218.60.56/~jnz1568/getInfo.php?workbook=10_05.xlsx&amp;sheet=U0&amp;row=11072&amp;col=7&amp;number=0.104&amp;sourceID=14","0.104")</f>
        <v>0.104</v>
      </c>
    </row>
    <row r="11073" spans="1:7">
      <c r="A11073" s="3"/>
      <c r="B11073" s="3"/>
      <c r="C11073" s="3"/>
      <c r="D11073" s="3"/>
      <c r="E11073" s="3">
        <v>10</v>
      </c>
      <c r="F11073" s="4" t="str">
        <f>HYPERLINK("http://141.218.60.56/~jnz1568/getInfo.php?workbook=10_05.xlsx&amp;sheet=U0&amp;row=11073&amp;col=6&amp;number=3.9&amp;sourceID=14","3.9")</f>
        <v>3.9</v>
      </c>
      <c r="G11073" s="4" t="str">
        <f>HYPERLINK("http://141.218.60.56/~jnz1568/getInfo.php?workbook=10_05.xlsx&amp;sheet=U0&amp;row=11073&amp;col=7&amp;number=0.104&amp;sourceID=14","0.104")</f>
        <v>0.104</v>
      </c>
    </row>
    <row r="11074" spans="1:7">
      <c r="A11074" s="3"/>
      <c r="B11074" s="3"/>
      <c r="C11074" s="3"/>
      <c r="D11074" s="3"/>
      <c r="E11074" s="3">
        <v>11</v>
      </c>
      <c r="F11074" s="4" t="str">
        <f>HYPERLINK("http://141.218.60.56/~jnz1568/getInfo.php?workbook=10_05.xlsx&amp;sheet=U0&amp;row=11074&amp;col=6&amp;number=4&amp;sourceID=14","4")</f>
        <v>4</v>
      </c>
      <c r="G11074" s="4" t="str">
        <f>HYPERLINK("http://141.218.60.56/~jnz1568/getInfo.php?workbook=10_05.xlsx&amp;sheet=U0&amp;row=11074&amp;col=7&amp;number=0.104&amp;sourceID=14","0.104")</f>
        <v>0.104</v>
      </c>
    </row>
    <row r="11075" spans="1:7">
      <c r="A11075" s="3"/>
      <c r="B11075" s="3"/>
      <c r="C11075" s="3"/>
      <c r="D11075" s="3"/>
      <c r="E11075" s="3">
        <v>12</v>
      </c>
      <c r="F11075" s="4" t="str">
        <f>HYPERLINK("http://141.218.60.56/~jnz1568/getInfo.php?workbook=10_05.xlsx&amp;sheet=U0&amp;row=11075&amp;col=6&amp;number=4.1&amp;sourceID=14","4.1")</f>
        <v>4.1</v>
      </c>
      <c r="G11075" s="4" t="str">
        <f>HYPERLINK("http://141.218.60.56/~jnz1568/getInfo.php?workbook=10_05.xlsx&amp;sheet=U0&amp;row=11075&amp;col=7&amp;number=0.103&amp;sourceID=14","0.103")</f>
        <v>0.103</v>
      </c>
    </row>
    <row r="11076" spans="1:7">
      <c r="A11076" s="3"/>
      <c r="B11076" s="3"/>
      <c r="C11076" s="3"/>
      <c r="D11076" s="3"/>
      <c r="E11076" s="3">
        <v>13</v>
      </c>
      <c r="F11076" s="4" t="str">
        <f>HYPERLINK("http://141.218.60.56/~jnz1568/getInfo.php?workbook=10_05.xlsx&amp;sheet=U0&amp;row=11076&amp;col=6&amp;number=4.2&amp;sourceID=14","4.2")</f>
        <v>4.2</v>
      </c>
      <c r="G11076" s="4" t="str">
        <f>HYPERLINK("http://141.218.60.56/~jnz1568/getInfo.php?workbook=10_05.xlsx&amp;sheet=U0&amp;row=11076&amp;col=7&amp;number=0.102&amp;sourceID=14","0.102")</f>
        <v>0.102</v>
      </c>
    </row>
    <row r="11077" spans="1:7">
      <c r="A11077" s="3"/>
      <c r="B11077" s="3"/>
      <c r="C11077" s="3"/>
      <c r="D11077" s="3"/>
      <c r="E11077" s="3">
        <v>14</v>
      </c>
      <c r="F11077" s="4" t="str">
        <f>HYPERLINK("http://141.218.60.56/~jnz1568/getInfo.php?workbook=10_05.xlsx&amp;sheet=U0&amp;row=11077&amp;col=6&amp;number=4.3&amp;sourceID=14","4.3")</f>
        <v>4.3</v>
      </c>
      <c r="G11077" s="4" t="str">
        <f>HYPERLINK("http://141.218.60.56/~jnz1568/getInfo.php?workbook=10_05.xlsx&amp;sheet=U0&amp;row=11077&amp;col=7&amp;number=0.0995&amp;sourceID=14","0.0995")</f>
        <v>0.0995</v>
      </c>
    </row>
    <row r="11078" spans="1:7">
      <c r="A11078" s="3"/>
      <c r="B11078" s="3"/>
      <c r="C11078" s="3"/>
      <c r="D11078" s="3"/>
      <c r="E11078" s="3">
        <v>15</v>
      </c>
      <c r="F11078" s="4" t="str">
        <f>HYPERLINK("http://141.218.60.56/~jnz1568/getInfo.php?workbook=10_05.xlsx&amp;sheet=U0&amp;row=11078&amp;col=6&amp;number=4.4&amp;sourceID=14","4.4")</f>
        <v>4.4</v>
      </c>
      <c r="G11078" s="4" t="str">
        <f>HYPERLINK("http://141.218.60.56/~jnz1568/getInfo.php?workbook=10_05.xlsx&amp;sheet=U0&amp;row=11078&amp;col=7&amp;number=0.0966&amp;sourceID=14","0.0966")</f>
        <v>0.0966</v>
      </c>
    </row>
    <row r="11079" spans="1:7">
      <c r="A11079" s="3"/>
      <c r="B11079" s="3"/>
      <c r="C11079" s="3"/>
      <c r="D11079" s="3"/>
      <c r="E11079" s="3">
        <v>16</v>
      </c>
      <c r="F11079" s="4" t="str">
        <f>HYPERLINK("http://141.218.60.56/~jnz1568/getInfo.php?workbook=10_05.xlsx&amp;sheet=U0&amp;row=11079&amp;col=6&amp;number=4.5&amp;sourceID=14","4.5")</f>
        <v>4.5</v>
      </c>
      <c r="G11079" s="4" t="str">
        <f>HYPERLINK("http://141.218.60.56/~jnz1568/getInfo.php?workbook=10_05.xlsx&amp;sheet=U0&amp;row=11079&amp;col=7&amp;number=0.0924&amp;sourceID=14","0.0924")</f>
        <v>0.0924</v>
      </c>
    </row>
    <row r="11080" spans="1:7">
      <c r="A11080" s="3"/>
      <c r="B11080" s="3"/>
      <c r="C11080" s="3"/>
      <c r="D11080" s="3"/>
      <c r="E11080" s="3">
        <v>17</v>
      </c>
      <c r="F11080" s="4" t="str">
        <f>HYPERLINK("http://141.218.60.56/~jnz1568/getInfo.php?workbook=10_05.xlsx&amp;sheet=U0&amp;row=11080&amp;col=6&amp;number=4.6&amp;sourceID=14","4.6")</f>
        <v>4.6</v>
      </c>
      <c r="G11080" s="4" t="str">
        <f>HYPERLINK("http://141.218.60.56/~jnz1568/getInfo.php?workbook=10_05.xlsx&amp;sheet=U0&amp;row=11080&amp;col=7&amp;number=0.087&amp;sourceID=14","0.087")</f>
        <v>0.087</v>
      </c>
    </row>
    <row r="11081" spans="1:7">
      <c r="A11081" s="3"/>
      <c r="B11081" s="3"/>
      <c r="C11081" s="3"/>
      <c r="D11081" s="3"/>
      <c r="E11081" s="3">
        <v>18</v>
      </c>
      <c r="F11081" s="4" t="str">
        <f>HYPERLINK("http://141.218.60.56/~jnz1568/getInfo.php?workbook=10_05.xlsx&amp;sheet=U0&amp;row=11081&amp;col=6&amp;number=4.7&amp;sourceID=14","4.7")</f>
        <v>4.7</v>
      </c>
      <c r="G11081" s="4" t="str">
        <f>HYPERLINK("http://141.218.60.56/~jnz1568/getInfo.php?workbook=10_05.xlsx&amp;sheet=U0&amp;row=11081&amp;col=7&amp;number=0.0803&amp;sourceID=14","0.0803")</f>
        <v>0.0803</v>
      </c>
    </row>
    <row r="11082" spans="1:7">
      <c r="A11082" s="3"/>
      <c r="B11082" s="3"/>
      <c r="C11082" s="3"/>
      <c r="D11082" s="3"/>
      <c r="E11082" s="3">
        <v>19</v>
      </c>
      <c r="F11082" s="4" t="str">
        <f>HYPERLINK("http://141.218.60.56/~jnz1568/getInfo.php?workbook=10_05.xlsx&amp;sheet=U0&amp;row=11082&amp;col=6&amp;number=4.8&amp;sourceID=14","4.8")</f>
        <v>4.8</v>
      </c>
      <c r="G11082" s="4" t="str">
        <f>HYPERLINK("http://141.218.60.56/~jnz1568/getInfo.php?workbook=10_05.xlsx&amp;sheet=U0&amp;row=11082&amp;col=7&amp;number=0.0731&amp;sourceID=14","0.0731")</f>
        <v>0.0731</v>
      </c>
    </row>
    <row r="11083" spans="1:7">
      <c r="A11083" s="3"/>
      <c r="B11083" s="3"/>
      <c r="C11083" s="3"/>
      <c r="D11083" s="3"/>
      <c r="E11083" s="3">
        <v>20</v>
      </c>
      <c r="F11083" s="4" t="str">
        <f>HYPERLINK("http://141.218.60.56/~jnz1568/getInfo.php?workbook=10_05.xlsx&amp;sheet=U0&amp;row=11083&amp;col=6&amp;number=4.9&amp;sourceID=14","4.9")</f>
        <v>4.9</v>
      </c>
      <c r="G11083" s="4" t="str">
        <f>HYPERLINK("http://141.218.60.56/~jnz1568/getInfo.php?workbook=10_05.xlsx&amp;sheet=U0&amp;row=11083&amp;col=7&amp;number=0.0661&amp;sourceID=14","0.0661")</f>
        <v>0.0661</v>
      </c>
    </row>
    <row r="11084" spans="1:7">
      <c r="A11084" s="3">
        <v>10</v>
      </c>
      <c r="B11084" s="3">
        <v>5</v>
      </c>
      <c r="C11084" s="3">
        <v>4</v>
      </c>
      <c r="D11084" s="3">
        <v>25</v>
      </c>
      <c r="E11084" s="3">
        <v>1</v>
      </c>
      <c r="F11084" s="4" t="str">
        <f>HYPERLINK("http://141.218.60.56/~jnz1568/getInfo.php?workbook=10_05.xlsx&amp;sheet=U0&amp;row=11084&amp;col=6&amp;number=3&amp;sourceID=14","3")</f>
        <v>3</v>
      </c>
      <c r="G11084" s="4" t="str">
        <f>HYPERLINK("http://141.218.60.56/~jnz1568/getInfo.php?workbook=10_05.xlsx&amp;sheet=U0&amp;row=11084&amp;col=7&amp;number=0.113&amp;sourceID=14","0.113")</f>
        <v>0.113</v>
      </c>
    </row>
    <row r="11085" spans="1:7">
      <c r="A11085" s="3"/>
      <c r="B11085" s="3"/>
      <c r="C11085" s="3"/>
      <c r="D11085" s="3"/>
      <c r="E11085" s="3">
        <v>2</v>
      </c>
      <c r="F11085" s="4" t="str">
        <f>HYPERLINK("http://141.218.60.56/~jnz1568/getInfo.php?workbook=10_05.xlsx&amp;sheet=U0&amp;row=11085&amp;col=6&amp;number=3.1&amp;sourceID=14","3.1")</f>
        <v>3.1</v>
      </c>
      <c r="G11085" s="4" t="str">
        <f>HYPERLINK("http://141.218.60.56/~jnz1568/getInfo.php?workbook=10_05.xlsx&amp;sheet=U0&amp;row=11085&amp;col=7&amp;number=0.114&amp;sourceID=14","0.114")</f>
        <v>0.114</v>
      </c>
    </row>
    <row r="11086" spans="1:7">
      <c r="A11086" s="3"/>
      <c r="B11086" s="3"/>
      <c r="C11086" s="3"/>
      <c r="D11086" s="3"/>
      <c r="E11086" s="3">
        <v>3</v>
      </c>
      <c r="F11086" s="4" t="str">
        <f>HYPERLINK("http://141.218.60.56/~jnz1568/getInfo.php?workbook=10_05.xlsx&amp;sheet=U0&amp;row=11086&amp;col=6&amp;number=3.2&amp;sourceID=14","3.2")</f>
        <v>3.2</v>
      </c>
      <c r="G11086" s="4" t="str">
        <f>HYPERLINK("http://141.218.60.56/~jnz1568/getInfo.php?workbook=10_05.xlsx&amp;sheet=U0&amp;row=11086&amp;col=7&amp;number=0.116&amp;sourceID=14","0.116")</f>
        <v>0.116</v>
      </c>
    </row>
    <row r="11087" spans="1:7">
      <c r="A11087" s="3"/>
      <c r="B11087" s="3"/>
      <c r="C11087" s="3"/>
      <c r="D11087" s="3"/>
      <c r="E11087" s="3">
        <v>4</v>
      </c>
      <c r="F11087" s="4" t="str">
        <f>HYPERLINK("http://141.218.60.56/~jnz1568/getInfo.php?workbook=10_05.xlsx&amp;sheet=U0&amp;row=11087&amp;col=6&amp;number=3.3&amp;sourceID=14","3.3")</f>
        <v>3.3</v>
      </c>
      <c r="G11087" s="4" t="str">
        <f>HYPERLINK("http://141.218.60.56/~jnz1568/getInfo.php?workbook=10_05.xlsx&amp;sheet=U0&amp;row=11087&amp;col=7&amp;number=0.118&amp;sourceID=14","0.118")</f>
        <v>0.118</v>
      </c>
    </row>
    <row r="11088" spans="1:7">
      <c r="A11088" s="3"/>
      <c r="B11088" s="3"/>
      <c r="C11088" s="3"/>
      <c r="D11088" s="3"/>
      <c r="E11088" s="3">
        <v>5</v>
      </c>
      <c r="F11088" s="4" t="str">
        <f>HYPERLINK("http://141.218.60.56/~jnz1568/getInfo.php?workbook=10_05.xlsx&amp;sheet=U0&amp;row=11088&amp;col=6&amp;number=3.4&amp;sourceID=14","3.4")</f>
        <v>3.4</v>
      </c>
      <c r="G11088" s="4" t="str">
        <f>HYPERLINK("http://141.218.60.56/~jnz1568/getInfo.php?workbook=10_05.xlsx&amp;sheet=U0&amp;row=11088&amp;col=7&amp;number=0.121&amp;sourceID=14","0.121")</f>
        <v>0.121</v>
      </c>
    </row>
    <row r="11089" spans="1:7">
      <c r="A11089" s="3"/>
      <c r="B11089" s="3"/>
      <c r="C11089" s="3"/>
      <c r="D11089" s="3"/>
      <c r="E11089" s="3">
        <v>6</v>
      </c>
      <c r="F11089" s="4" t="str">
        <f>HYPERLINK("http://141.218.60.56/~jnz1568/getInfo.php?workbook=10_05.xlsx&amp;sheet=U0&amp;row=11089&amp;col=6&amp;number=3.5&amp;sourceID=14","3.5")</f>
        <v>3.5</v>
      </c>
      <c r="G11089" s="4" t="str">
        <f>HYPERLINK("http://141.218.60.56/~jnz1568/getInfo.php?workbook=10_05.xlsx&amp;sheet=U0&amp;row=11089&amp;col=7&amp;number=0.125&amp;sourceID=14","0.125")</f>
        <v>0.125</v>
      </c>
    </row>
    <row r="11090" spans="1:7">
      <c r="A11090" s="3"/>
      <c r="B11090" s="3"/>
      <c r="C11090" s="3"/>
      <c r="D11090" s="3"/>
      <c r="E11090" s="3">
        <v>7</v>
      </c>
      <c r="F11090" s="4" t="str">
        <f>HYPERLINK("http://141.218.60.56/~jnz1568/getInfo.php?workbook=10_05.xlsx&amp;sheet=U0&amp;row=11090&amp;col=6&amp;number=3.6&amp;sourceID=14","3.6")</f>
        <v>3.6</v>
      </c>
      <c r="G11090" s="4" t="str">
        <f>HYPERLINK("http://141.218.60.56/~jnz1568/getInfo.php?workbook=10_05.xlsx&amp;sheet=U0&amp;row=11090&amp;col=7&amp;number=0.129&amp;sourceID=14","0.129")</f>
        <v>0.129</v>
      </c>
    </row>
    <row r="11091" spans="1:7">
      <c r="A11091" s="3"/>
      <c r="B11091" s="3"/>
      <c r="C11091" s="3"/>
      <c r="D11091" s="3"/>
      <c r="E11091" s="3">
        <v>8</v>
      </c>
      <c r="F11091" s="4" t="str">
        <f>HYPERLINK("http://141.218.60.56/~jnz1568/getInfo.php?workbook=10_05.xlsx&amp;sheet=U0&amp;row=11091&amp;col=6&amp;number=3.7&amp;sourceID=14","3.7")</f>
        <v>3.7</v>
      </c>
      <c r="G11091" s="4" t="str">
        <f>HYPERLINK("http://141.218.60.56/~jnz1568/getInfo.php?workbook=10_05.xlsx&amp;sheet=U0&amp;row=11091&amp;col=7&amp;number=0.134&amp;sourceID=14","0.134")</f>
        <v>0.134</v>
      </c>
    </row>
    <row r="11092" spans="1:7">
      <c r="A11092" s="3"/>
      <c r="B11092" s="3"/>
      <c r="C11092" s="3"/>
      <c r="D11092" s="3"/>
      <c r="E11092" s="3">
        <v>9</v>
      </c>
      <c r="F11092" s="4" t="str">
        <f>HYPERLINK("http://141.218.60.56/~jnz1568/getInfo.php?workbook=10_05.xlsx&amp;sheet=U0&amp;row=11092&amp;col=6&amp;number=3.8&amp;sourceID=14","3.8")</f>
        <v>3.8</v>
      </c>
      <c r="G11092" s="4" t="str">
        <f>HYPERLINK("http://141.218.60.56/~jnz1568/getInfo.php?workbook=10_05.xlsx&amp;sheet=U0&amp;row=11092&amp;col=7&amp;number=0.14&amp;sourceID=14","0.14")</f>
        <v>0.14</v>
      </c>
    </row>
    <row r="11093" spans="1:7">
      <c r="A11093" s="3"/>
      <c r="B11093" s="3"/>
      <c r="C11093" s="3"/>
      <c r="D11093" s="3"/>
      <c r="E11093" s="3">
        <v>10</v>
      </c>
      <c r="F11093" s="4" t="str">
        <f>HYPERLINK("http://141.218.60.56/~jnz1568/getInfo.php?workbook=10_05.xlsx&amp;sheet=U0&amp;row=11093&amp;col=6&amp;number=3.9&amp;sourceID=14","3.9")</f>
        <v>3.9</v>
      </c>
      <c r="G11093" s="4" t="str">
        <f>HYPERLINK("http://141.218.60.56/~jnz1568/getInfo.php?workbook=10_05.xlsx&amp;sheet=U0&amp;row=11093&amp;col=7&amp;number=0.146&amp;sourceID=14","0.146")</f>
        <v>0.146</v>
      </c>
    </row>
    <row r="11094" spans="1:7">
      <c r="A11094" s="3"/>
      <c r="B11094" s="3"/>
      <c r="C11094" s="3"/>
      <c r="D11094" s="3"/>
      <c r="E11094" s="3">
        <v>11</v>
      </c>
      <c r="F11094" s="4" t="str">
        <f>HYPERLINK("http://141.218.60.56/~jnz1568/getInfo.php?workbook=10_05.xlsx&amp;sheet=U0&amp;row=11094&amp;col=6&amp;number=4&amp;sourceID=14","4")</f>
        <v>4</v>
      </c>
      <c r="G11094" s="4" t="str">
        <f>HYPERLINK("http://141.218.60.56/~jnz1568/getInfo.php?workbook=10_05.xlsx&amp;sheet=U0&amp;row=11094&amp;col=7&amp;number=0.153&amp;sourceID=14","0.153")</f>
        <v>0.153</v>
      </c>
    </row>
    <row r="11095" spans="1:7">
      <c r="A11095" s="3"/>
      <c r="B11095" s="3"/>
      <c r="C11095" s="3"/>
      <c r="D11095" s="3"/>
      <c r="E11095" s="3">
        <v>12</v>
      </c>
      <c r="F11095" s="4" t="str">
        <f>HYPERLINK("http://141.218.60.56/~jnz1568/getInfo.php?workbook=10_05.xlsx&amp;sheet=U0&amp;row=11095&amp;col=6&amp;number=4.1&amp;sourceID=14","4.1")</f>
        <v>4.1</v>
      </c>
      <c r="G11095" s="4" t="str">
        <f>HYPERLINK("http://141.218.60.56/~jnz1568/getInfo.php?workbook=10_05.xlsx&amp;sheet=U0&amp;row=11095&amp;col=7&amp;number=0.158&amp;sourceID=14","0.158")</f>
        <v>0.158</v>
      </c>
    </row>
    <row r="11096" spans="1:7">
      <c r="A11096" s="3"/>
      <c r="B11096" s="3"/>
      <c r="C11096" s="3"/>
      <c r="D11096" s="3"/>
      <c r="E11096" s="3">
        <v>13</v>
      </c>
      <c r="F11096" s="4" t="str">
        <f>HYPERLINK("http://141.218.60.56/~jnz1568/getInfo.php?workbook=10_05.xlsx&amp;sheet=U0&amp;row=11096&amp;col=6&amp;number=4.2&amp;sourceID=14","4.2")</f>
        <v>4.2</v>
      </c>
      <c r="G11096" s="4" t="str">
        <f>HYPERLINK("http://141.218.60.56/~jnz1568/getInfo.php?workbook=10_05.xlsx&amp;sheet=U0&amp;row=11096&amp;col=7&amp;number=0.161&amp;sourceID=14","0.161")</f>
        <v>0.161</v>
      </c>
    </row>
    <row r="11097" spans="1:7">
      <c r="A11097" s="3"/>
      <c r="B11097" s="3"/>
      <c r="C11097" s="3"/>
      <c r="D11097" s="3"/>
      <c r="E11097" s="3">
        <v>14</v>
      </c>
      <c r="F11097" s="4" t="str">
        <f>HYPERLINK("http://141.218.60.56/~jnz1568/getInfo.php?workbook=10_05.xlsx&amp;sheet=U0&amp;row=11097&amp;col=6&amp;number=4.3&amp;sourceID=14","4.3")</f>
        <v>4.3</v>
      </c>
      <c r="G11097" s="4" t="str">
        <f>HYPERLINK("http://141.218.60.56/~jnz1568/getInfo.php?workbook=10_05.xlsx&amp;sheet=U0&amp;row=11097&amp;col=7&amp;number=0.161&amp;sourceID=14","0.161")</f>
        <v>0.161</v>
      </c>
    </row>
    <row r="11098" spans="1:7">
      <c r="A11098" s="3"/>
      <c r="B11098" s="3"/>
      <c r="C11098" s="3"/>
      <c r="D11098" s="3"/>
      <c r="E11098" s="3">
        <v>15</v>
      </c>
      <c r="F11098" s="4" t="str">
        <f>HYPERLINK("http://141.218.60.56/~jnz1568/getInfo.php?workbook=10_05.xlsx&amp;sheet=U0&amp;row=11098&amp;col=6&amp;number=4.4&amp;sourceID=14","4.4")</f>
        <v>4.4</v>
      </c>
      <c r="G11098" s="4" t="str">
        <f>HYPERLINK("http://141.218.60.56/~jnz1568/getInfo.php?workbook=10_05.xlsx&amp;sheet=U0&amp;row=11098&amp;col=7&amp;number=0.156&amp;sourceID=14","0.156")</f>
        <v>0.156</v>
      </c>
    </row>
    <row r="11099" spans="1:7">
      <c r="A11099" s="3"/>
      <c r="B11099" s="3"/>
      <c r="C11099" s="3"/>
      <c r="D11099" s="3"/>
      <c r="E11099" s="3">
        <v>16</v>
      </c>
      <c r="F11099" s="4" t="str">
        <f>HYPERLINK("http://141.218.60.56/~jnz1568/getInfo.php?workbook=10_05.xlsx&amp;sheet=U0&amp;row=11099&amp;col=6&amp;number=4.5&amp;sourceID=14","4.5")</f>
        <v>4.5</v>
      </c>
      <c r="G11099" s="4" t="str">
        <f>HYPERLINK("http://141.218.60.56/~jnz1568/getInfo.php?workbook=10_05.xlsx&amp;sheet=U0&amp;row=11099&amp;col=7&amp;number=0.149&amp;sourceID=14","0.149")</f>
        <v>0.149</v>
      </c>
    </row>
    <row r="11100" spans="1:7">
      <c r="A11100" s="3"/>
      <c r="B11100" s="3"/>
      <c r="C11100" s="3"/>
      <c r="D11100" s="3"/>
      <c r="E11100" s="3">
        <v>17</v>
      </c>
      <c r="F11100" s="4" t="str">
        <f>HYPERLINK("http://141.218.60.56/~jnz1568/getInfo.php?workbook=10_05.xlsx&amp;sheet=U0&amp;row=11100&amp;col=6&amp;number=4.6&amp;sourceID=14","4.6")</f>
        <v>4.6</v>
      </c>
      <c r="G11100" s="4" t="str">
        <f>HYPERLINK("http://141.218.60.56/~jnz1568/getInfo.php?workbook=10_05.xlsx&amp;sheet=U0&amp;row=11100&amp;col=7&amp;number=0.14&amp;sourceID=14","0.14")</f>
        <v>0.14</v>
      </c>
    </row>
    <row r="11101" spans="1:7">
      <c r="A11101" s="3"/>
      <c r="B11101" s="3"/>
      <c r="C11101" s="3"/>
      <c r="D11101" s="3"/>
      <c r="E11101" s="3">
        <v>18</v>
      </c>
      <c r="F11101" s="4" t="str">
        <f>HYPERLINK("http://141.218.60.56/~jnz1568/getInfo.php?workbook=10_05.xlsx&amp;sheet=U0&amp;row=11101&amp;col=6&amp;number=4.7&amp;sourceID=14","4.7")</f>
        <v>4.7</v>
      </c>
      <c r="G11101" s="4" t="str">
        <f>HYPERLINK("http://141.218.60.56/~jnz1568/getInfo.php?workbook=10_05.xlsx&amp;sheet=U0&amp;row=11101&amp;col=7&amp;number=0.13&amp;sourceID=14","0.13")</f>
        <v>0.13</v>
      </c>
    </row>
    <row r="11102" spans="1:7">
      <c r="A11102" s="3"/>
      <c r="B11102" s="3"/>
      <c r="C11102" s="3"/>
      <c r="D11102" s="3"/>
      <c r="E11102" s="3">
        <v>19</v>
      </c>
      <c r="F11102" s="4" t="str">
        <f>HYPERLINK("http://141.218.60.56/~jnz1568/getInfo.php?workbook=10_05.xlsx&amp;sheet=U0&amp;row=11102&amp;col=6&amp;number=4.8&amp;sourceID=14","4.8")</f>
        <v>4.8</v>
      </c>
      <c r="G11102" s="4" t="str">
        <f>HYPERLINK("http://141.218.60.56/~jnz1568/getInfo.php?workbook=10_05.xlsx&amp;sheet=U0&amp;row=11102&amp;col=7&amp;number=0.119&amp;sourceID=14","0.119")</f>
        <v>0.119</v>
      </c>
    </row>
    <row r="11103" spans="1:7">
      <c r="A11103" s="3"/>
      <c r="B11103" s="3"/>
      <c r="C11103" s="3"/>
      <c r="D11103" s="3"/>
      <c r="E11103" s="3">
        <v>20</v>
      </c>
      <c r="F11103" s="4" t="str">
        <f>HYPERLINK("http://141.218.60.56/~jnz1568/getInfo.php?workbook=10_05.xlsx&amp;sheet=U0&amp;row=11103&amp;col=6&amp;number=4.9&amp;sourceID=14","4.9")</f>
        <v>4.9</v>
      </c>
      <c r="G11103" s="4" t="str">
        <f>HYPERLINK("http://141.218.60.56/~jnz1568/getInfo.php?workbook=10_05.xlsx&amp;sheet=U0&amp;row=11103&amp;col=7&amp;number=0.107&amp;sourceID=14","0.107")</f>
        <v>0.107</v>
      </c>
    </row>
    <row r="11104" spans="1:7">
      <c r="A11104" s="3">
        <v>10</v>
      </c>
      <c r="B11104" s="3">
        <v>5</v>
      </c>
      <c r="C11104" s="3">
        <v>4</v>
      </c>
      <c r="D11104" s="3">
        <v>26</v>
      </c>
      <c r="E11104" s="3">
        <v>1</v>
      </c>
      <c r="F11104" s="4" t="str">
        <f>HYPERLINK("http://141.218.60.56/~jnz1568/getInfo.php?workbook=10_05.xlsx&amp;sheet=U0&amp;row=11104&amp;col=6&amp;number=3&amp;sourceID=14","3")</f>
        <v>3</v>
      </c>
      <c r="G11104" s="4" t="str">
        <f>HYPERLINK("http://141.218.60.56/~jnz1568/getInfo.php?workbook=10_05.xlsx&amp;sheet=U0&amp;row=11104&amp;col=7&amp;number=0.0538&amp;sourceID=14","0.0538")</f>
        <v>0.0538</v>
      </c>
    </row>
    <row r="11105" spans="1:7">
      <c r="A11105" s="3"/>
      <c r="B11105" s="3"/>
      <c r="C11105" s="3"/>
      <c r="D11105" s="3"/>
      <c r="E11105" s="3">
        <v>2</v>
      </c>
      <c r="F11105" s="4" t="str">
        <f>HYPERLINK("http://141.218.60.56/~jnz1568/getInfo.php?workbook=10_05.xlsx&amp;sheet=U0&amp;row=11105&amp;col=6&amp;number=3.1&amp;sourceID=14","3.1")</f>
        <v>3.1</v>
      </c>
      <c r="G11105" s="4" t="str">
        <f>HYPERLINK("http://141.218.60.56/~jnz1568/getInfo.php?workbook=10_05.xlsx&amp;sheet=U0&amp;row=11105&amp;col=7&amp;number=0.0547&amp;sourceID=14","0.0547")</f>
        <v>0.0547</v>
      </c>
    </row>
    <row r="11106" spans="1:7">
      <c r="A11106" s="3"/>
      <c r="B11106" s="3"/>
      <c r="C11106" s="3"/>
      <c r="D11106" s="3"/>
      <c r="E11106" s="3">
        <v>3</v>
      </c>
      <c r="F11106" s="4" t="str">
        <f>HYPERLINK("http://141.218.60.56/~jnz1568/getInfo.php?workbook=10_05.xlsx&amp;sheet=U0&amp;row=11106&amp;col=6&amp;number=3.2&amp;sourceID=14","3.2")</f>
        <v>3.2</v>
      </c>
      <c r="G11106" s="4" t="str">
        <f>HYPERLINK("http://141.218.60.56/~jnz1568/getInfo.php?workbook=10_05.xlsx&amp;sheet=U0&amp;row=11106&amp;col=7&amp;number=0.0558&amp;sourceID=14","0.0558")</f>
        <v>0.0558</v>
      </c>
    </row>
    <row r="11107" spans="1:7">
      <c r="A11107" s="3"/>
      <c r="B11107" s="3"/>
      <c r="C11107" s="3"/>
      <c r="D11107" s="3"/>
      <c r="E11107" s="3">
        <v>4</v>
      </c>
      <c r="F11107" s="4" t="str">
        <f>HYPERLINK("http://141.218.60.56/~jnz1568/getInfo.php?workbook=10_05.xlsx&amp;sheet=U0&amp;row=11107&amp;col=6&amp;number=3.3&amp;sourceID=14","3.3")</f>
        <v>3.3</v>
      </c>
      <c r="G11107" s="4" t="str">
        <f>HYPERLINK("http://141.218.60.56/~jnz1568/getInfo.php?workbook=10_05.xlsx&amp;sheet=U0&amp;row=11107&amp;col=7&amp;number=0.0572&amp;sourceID=14","0.0572")</f>
        <v>0.0572</v>
      </c>
    </row>
    <row r="11108" spans="1:7">
      <c r="A11108" s="3"/>
      <c r="B11108" s="3"/>
      <c r="C11108" s="3"/>
      <c r="D11108" s="3"/>
      <c r="E11108" s="3">
        <v>5</v>
      </c>
      <c r="F11108" s="4" t="str">
        <f>HYPERLINK("http://141.218.60.56/~jnz1568/getInfo.php?workbook=10_05.xlsx&amp;sheet=U0&amp;row=11108&amp;col=6&amp;number=3.4&amp;sourceID=14","3.4")</f>
        <v>3.4</v>
      </c>
      <c r="G11108" s="4" t="str">
        <f>HYPERLINK("http://141.218.60.56/~jnz1568/getInfo.php?workbook=10_05.xlsx&amp;sheet=U0&amp;row=11108&amp;col=7&amp;number=0.0589&amp;sourceID=14","0.0589")</f>
        <v>0.0589</v>
      </c>
    </row>
    <row r="11109" spans="1:7">
      <c r="A11109" s="3"/>
      <c r="B11109" s="3"/>
      <c r="C11109" s="3"/>
      <c r="D11109" s="3"/>
      <c r="E11109" s="3">
        <v>6</v>
      </c>
      <c r="F11109" s="4" t="str">
        <f>HYPERLINK("http://141.218.60.56/~jnz1568/getInfo.php?workbook=10_05.xlsx&amp;sheet=U0&amp;row=11109&amp;col=6&amp;number=3.5&amp;sourceID=14","3.5")</f>
        <v>3.5</v>
      </c>
      <c r="G11109" s="4" t="str">
        <f>HYPERLINK("http://141.218.60.56/~jnz1568/getInfo.php?workbook=10_05.xlsx&amp;sheet=U0&amp;row=11109&amp;col=7&amp;number=0.061&amp;sourceID=14","0.061")</f>
        <v>0.061</v>
      </c>
    </row>
    <row r="11110" spans="1:7">
      <c r="A11110" s="3"/>
      <c r="B11110" s="3"/>
      <c r="C11110" s="3"/>
      <c r="D11110" s="3"/>
      <c r="E11110" s="3">
        <v>7</v>
      </c>
      <c r="F11110" s="4" t="str">
        <f>HYPERLINK("http://141.218.60.56/~jnz1568/getInfo.php?workbook=10_05.xlsx&amp;sheet=U0&amp;row=11110&amp;col=6&amp;number=3.6&amp;sourceID=14","3.6")</f>
        <v>3.6</v>
      </c>
      <c r="G11110" s="4" t="str">
        <f>HYPERLINK("http://141.218.60.56/~jnz1568/getInfo.php?workbook=10_05.xlsx&amp;sheet=U0&amp;row=11110&amp;col=7&amp;number=0.0634&amp;sourceID=14","0.0634")</f>
        <v>0.0634</v>
      </c>
    </row>
    <row r="11111" spans="1:7">
      <c r="A11111" s="3"/>
      <c r="B11111" s="3"/>
      <c r="C11111" s="3"/>
      <c r="D11111" s="3"/>
      <c r="E11111" s="3">
        <v>8</v>
      </c>
      <c r="F11111" s="4" t="str">
        <f>HYPERLINK("http://141.218.60.56/~jnz1568/getInfo.php?workbook=10_05.xlsx&amp;sheet=U0&amp;row=11111&amp;col=6&amp;number=3.7&amp;sourceID=14","3.7")</f>
        <v>3.7</v>
      </c>
      <c r="G11111" s="4" t="str">
        <f>HYPERLINK("http://141.218.60.56/~jnz1568/getInfo.php?workbook=10_05.xlsx&amp;sheet=U0&amp;row=11111&amp;col=7&amp;number=0.0663&amp;sourceID=14","0.0663")</f>
        <v>0.0663</v>
      </c>
    </row>
    <row r="11112" spans="1:7">
      <c r="A11112" s="3"/>
      <c r="B11112" s="3"/>
      <c r="C11112" s="3"/>
      <c r="D11112" s="3"/>
      <c r="E11112" s="3">
        <v>9</v>
      </c>
      <c r="F11112" s="4" t="str">
        <f>HYPERLINK("http://141.218.60.56/~jnz1568/getInfo.php?workbook=10_05.xlsx&amp;sheet=U0&amp;row=11112&amp;col=6&amp;number=3.8&amp;sourceID=14","3.8")</f>
        <v>3.8</v>
      </c>
      <c r="G11112" s="4" t="str">
        <f>HYPERLINK("http://141.218.60.56/~jnz1568/getInfo.php?workbook=10_05.xlsx&amp;sheet=U0&amp;row=11112&amp;col=7&amp;number=0.0696&amp;sourceID=14","0.0696")</f>
        <v>0.0696</v>
      </c>
    </row>
    <row r="11113" spans="1:7">
      <c r="A11113" s="3"/>
      <c r="B11113" s="3"/>
      <c r="C11113" s="3"/>
      <c r="D11113" s="3"/>
      <c r="E11113" s="3">
        <v>10</v>
      </c>
      <c r="F11113" s="4" t="str">
        <f>HYPERLINK("http://141.218.60.56/~jnz1568/getInfo.php?workbook=10_05.xlsx&amp;sheet=U0&amp;row=11113&amp;col=6&amp;number=3.9&amp;sourceID=14","3.9")</f>
        <v>3.9</v>
      </c>
      <c r="G11113" s="4" t="str">
        <f>HYPERLINK("http://141.218.60.56/~jnz1568/getInfo.php?workbook=10_05.xlsx&amp;sheet=U0&amp;row=11113&amp;col=7&amp;number=0.073&amp;sourceID=14","0.073")</f>
        <v>0.073</v>
      </c>
    </row>
    <row r="11114" spans="1:7">
      <c r="A11114" s="3"/>
      <c r="B11114" s="3"/>
      <c r="C11114" s="3"/>
      <c r="D11114" s="3"/>
      <c r="E11114" s="3">
        <v>11</v>
      </c>
      <c r="F11114" s="4" t="str">
        <f>HYPERLINK("http://141.218.60.56/~jnz1568/getInfo.php?workbook=10_05.xlsx&amp;sheet=U0&amp;row=11114&amp;col=6&amp;number=4&amp;sourceID=14","4")</f>
        <v>4</v>
      </c>
      <c r="G11114" s="4" t="str">
        <f>HYPERLINK("http://141.218.60.56/~jnz1568/getInfo.php?workbook=10_05.xlsx&amp;sheet=U0&amp;row=11114&amp;col=7&amp;number=0.0762&amp;sourceID=14","0.0762")</f>
        <v>0.0762</v>
      </c>
    </row>
    <row r="11115" spans="1:7">
      <c r="A11115" s="3"/>
      <c r="B11115" s="3"/>
      <c r="C11115" s="3"/>
      <c r="D11115" s="3"/>
      <c r="E11115" s="3">
        <v>12</v>
      </c>
      <c r="F11115" s="4" t="str">
        <f>HYPERLINK("http://141.218.60.56/~jnz1568/getInfo.php?workbook=10_05.xlsx&amp;sheet=U0&amp;row=11115&amp;col=6&amp;number=4.1&amp;sourceID=14","4.1")</f>
        <v>4.1</v>
      </c>
      <c r="G11115" s="4" t="str">
        <f>HYPERLINK("http://141.218.60.56/~jnz1568/getInfo.php?workbook=10_05.xlsx&amp;sheet=U0&amp;row=11115&amp;col=7&amp;number=0.0783&amp;sourceID=14","0.0783")</f>
        <v>0.0783</v>
      </c>
    </row>
    <row r="11116" spans="1:7">
      <c r="A11116" s="3"/>
      <c r="B11116" s="3"/>
      <c r="C11116" s="3"/>
      <c r="D11116" s="3"/>
      <c r="E11116" s="3">
        <v>13</v>
      </c>
      <c r="F11116" s="4" t="str">
        <f>HYPERLINK("http://141.218.60.56/~jnz1568/getInfo.php?workbook=10_05.xlsx&amp;sheet=U0&amp;row=11116&amp;col=6&amp;number=4.2&amp;sourceID=14","4.2")</f>
        <v>4.2</v>
      </c>
      <c r="G11116" s="4" t="str">
        <f>HYPERLINK("http://141.218.60.56/~jnz1568/getInfo.php?workbook=10_05.xlsx&amp;sheet=U0&amp;row=11116&amp;col=7&amp;number=0.0786&amp;sourceID=14","0.0786")</f>
        <v>0.0786</v>
      </c>
    </row>
    <row r="11117" spans="1:7">
      <c r="A11117" s="3"/>
      <c r="B11117" s="3"/>
      <c r="C11117" s="3"/>
      <c r="D11117" s="3"/>
      <c r="E11117" s="3">
        <v>14</v>
      </c>
      <c r="F11117" s="4" t="str">
        <f>HYPERLINK("http://141.218.60.56/~jnz1568/getInfo.php?workbook=10_05.xlsx&amp;sheet=U0&amp;row=11117&amp;col=6&amp;number=4.3&amp;sourceID=14","4.3")</f>
        <v>4.3</v>
      </c>
      <c r="G11117" s="4" t="str">
        <f>HYPERLINK("http://141.218.60.56/~jnz1568/getInfo.php?workbook=10_05.xlsx&amp;sheet=U0&amp;row=11117&amp;col=7&amp;number=0.077&amp;sourceID=14","0.077")</f>
        <v>0.077</v>
      </c>
    </row>
    <row r="11118" spans="1:7">
      <c r="A11118" s="3"/>
      <c r="B11118" s="3"/>
      <c r="C11118" s="3"/>
      <c r="D11118" s="3"/>
      <c r="E11118" s="3">
        <v>15</v>
      </c>
      <c r="F11118" s="4" t="str">
        <f>HYPERLINK("http://141.218.60.56/~jnz1568/getInfo.php?workbook=10_05.xlsx&amp;sheet=U0&amp;row=11118&amp;col=6&amp;number=4.4&amp;sourceID=14","4.4")</f>
        <v>4.4</v>
      </c>
      <c r="G11118" s="4" t="str">
        <f>HYPERLINK("http://141.218.60.56/~jnz1568/getInfo.php?workbook=10_05.xlsx&amp;sheet=U0&amp;row=11118&amp;col=7&amp;number=0.0741&amp;sourceID=14","0.0741")</f>
        <v>0.0741</v>
      </c>
    </row>
    <row r="11119" spans="1:7">
      <c r="A11119" s="3"/>
      <c r="B11119" s="3"/>
      <c r="C11119" s="3"/>
      <c r="D11119" s="3"/>
      <c r="E11119" s="3">
        <v>16</v>
      </c>
      <c r="F11119" s="4" t="str">
        <f>HYPERLINK("http://141.218.60.56/~jnz1568/getInfo.php?workbook=10_05.xlsx&amp;sheet=U0&amp;row=11119&amp;col=6&amp;number=4.5&amp;sourceID=14","4.5")</f>
        <v>4.5</v>
      </c>
      <c r="G11119" s="4" t="str">
        <f>HYPERLINK("http://141.218.60.56/~jnz1568/getInfo.php?workbook=10_05.xlsx&amp;sheet=U0&amp;row=11119&amp;col=7&amp;number=0.0714&amp;sourceID=14","0.0714")</f>
        <v>0.0714</v>
      </c>
    </row>
    <row r="11120" spans="1:7">
      <c r="A11120" s="3"/>
      <c r="B11120" s="3"/>
      <c r="C11120" s="3"/>
      <c r="D11120" s="3"/>
      <c r="E11120" s="3">
        <v>17</v>
      </c>
      <c r="F11120" s="4" t="str">
        <f>HYPERLINK("http://141.218.60.56/~jnz1568/getInfo.php?workbook=10_05.xlsx&amp;sheet=U0&amp;row=11120&amp;col=6&amp;number=4.6&amp;sourceID=14","4.6")</f>
        <v>4.6</v>
      </c>
      <c r="G11120" s="4" t="str">
        <f>HYPERLINK("http://141.218.60.56/~jnz1568/getInfo.php?workbook=10_05.xlsx&amp;sheet=U0&amp;row=11120&amp;col=7&amp;number=0.069&amp;sourceID=14","0.069")</f>
        <v>0.069</v>
      </c>
    </row>
    <row r="11121" spans="1:7">
      <c r="A11121" s="3"/>
      <c r="B11121" s="3"/>
      <c r="C11121" s="3"/>
      <c r="D11121" s="3"/>
      <c r="E11121" s="3">
        <v>18</v>
      </c>
      <c r="F11121" s="4" t="str">
        <f>HYPERLINK("http://141.218.60.56/~jnz1568/getInfo.php?workbook=10_05.xlsx&amp;sheet=U0&amp;row=11121&amp;col=6&amp;number=4.7&amp;sourceID=14","4.7")</f>
        <v>4.7</v>
      </c>
      <c r="G11121" s="4" t="str">
        <f>HYPERLINK("http://141.218.60.56/~jnz1568/getInfo.php?workbook=10_05.xlsx&amp;sheet=U0&amp;row=11121&amp;col=7&amp;number=0.0658&amp;sourceID=14","0.0658")</f>
        <v>0.0658</v>
      </c>
    </row>
    <row r="11122" spans="1:7">
      <c r="A11122" s="3"/>
      <c r="B11122" s="3"/>
      <c r="C11122" s="3"/>
      <c r="D11122" s="3"/>
      <c r="E11122" s="3">
        <v>19</v>
      </c>
      <c r="F11122" s="4" t="str">
        <f>HYPERLINK("http://141.218.60.56/~jnz1568/getInfo.php?workbook=10_05.xlsx&amp;sheet=U0&amp;row=11122&amp;col=6&amp;number=4.8&amp;sourceID=14","4.8")</f>
        <v>4.8</v>
      </c>
      <c r="G11122" s="4" t="str">
        <f>HYPERLINK("http://141.218.60.56/~jnz1568/getInfo.php?workbook=10_05.xlsx&amp;sheet=U0&amp;row=11122&amp;col=7&amp;number=0.0612&amp;sourceID=14","0.0612")</f>
        <v>0.0612</v>
      </c>
    </row>
    <row r="11123" spans="1:7">
      <c r="A11123" s="3"/>
      <c r="B11123" s="3"/>
      <c r="C11123" s="3"/>
      <c r="D11123" s="3"/>
      <c r="E11123" s="3">
        <v>20</v>
      </c>
      <c r="F11123" s="4" t="str">
        <f>HYPERLINK("http://141.218.60.56/~jnz1568/getInfo.php?workbook=10_05.xlsx&amp;sheet=U0&amp;row=11123&amp;col=6&amp;number=4.9&amp;sourceID=14","4.9")</f>
        <v>4.9</v>
      </c>
      <c r="G11123" s="4" t="str">
        <f>HYPERLINK("http://141.218.60.56/~jnz1568/getInfo.php?workbook=10_05.xlsx&amp;sheet=U0&amp;row=11123&amp;col=7&amp;number=0.0564&amp;sourceID=14","0.0564")</f>
        <v>0.0564</v>
      </c>
    </row>
    <row r="11124" spans="1:7">
      <c r="A11124" s="3">
        <v>10</v>
      </c>
      <c r="B11124" s="3">
        <v>5</v>
      </c>
      <c r="C11124" s="3">
        <v>4</v>
      </c>
      <c r="D11124" s="3">
        <v>27</v>
      </c>
      <c r="E11124" s="3">
        <v>1</v>
      </c>
      <c r="F11124" s="4" t="str">
        <f>HYPERLINK("http://141.218.60.56/~jnz1568/getInfo.php?workbook=10_05.xlsx&amp;sheet=U0&amp;row=11124&amp;col=6&amp;number=3&amp;sourceID=14","3")</f>
        <v>3</v>
      </c>
      <c r="G11124" s="4" t="str">
        <f>HYPERLINK("http://141.218.60.56/~jnz1568/getInfo.php?workbook=10_05.xlsx&amp;sheet=U0&amp;row=11124&amp;col=7&amp;number=0.0685&amp;sourceID=14","0.0685")</f>
        <v>0.0685</v>
      </c>
    </row>
    <row r="11125" spans="1:7">
      <c r="A11125" s="3"/>
      <c r="B11125" s="3"/>
      <c r="C11125" s="3"/>
      <c r="D11125" s="3"/>
      <c r="E11125" s="3">
        <v>2</v>
      </c>
      <c r="F11125" s="4" t="str">
        <f>HYPERLINK("http://141.218.60.56/~jnz1568/getInfo.php?workbook=10_05.xlsx&amp;sheet=U0&amp;row=11125&amp;col=6&amp;number=3.1&amp;sourceID=14","3.1")</f>
        <v>3.1</v>
      </c>
      <c r="G11125" s="4" t="str">
        <f>HYPERLINK("http://141.218.60.56/~jnz1568/getInfo.php?workbook=10_05.xlsx&amp;sheet=U0&amp;row=11125&amp;col=7&amp;number=0.0704&amp;sourceID=14","0.0704")</f>
        <v>0.0704</v>
      </c>
    </row>
    <row r="11126" spans="1:7">
      <c r="A11126" s="3"/>
      <c r="B11126" s="3"/>
      <c r="C11126" s="3"/>
      <c r="D11126" s="3"/>
      <c r="E11126" s="3">
        <v>3</v>
      </c>
      <c r="F11126" s="4" t="str">
        <f>HYPERLINK("http://141.218.60.56/~jnz1568/getInfo.php?workbook=10_05.xlsx&amp;sheet=U0&amp;row=11126&amp;col=6&amp;number=3.2&amp;sourceID=14","3.2")</f>
        <v>3.2</v>
      </c>
      <c r="G11126" s="4" t="str">
        <f>HYPERLINK("http://141.218.60.56/~jnz1568/getInfo.php?workbook=10_05.xlsx&amp;sheet=U0&amp;row=11126&amp;col=7&amp;number=0.0728&amp;sourceID=14","0.0728")</f>
        <v>0.0728</v>
      </c>
    </row>
    <row r="11127" spans="1:7">
      <c r="A11127" s="3"/>
      <c r="B11127" s="3"/>
      <c r="C11127" s="3"/>
      <c r="D11127" s="3"/>
      <c r="E11127" s="3">
        <v>4</v>
      </c>
      <c r="F11127" s="4" t="str">
        <f>HYPERLINK("http://141.218.60.56/~jnz1568/getInfo.php?workbook=10_05.xlsx&amp;sheet=U0&amp;row=11127&amp;col=6&amp;number=3.3&amp;sourceID=14","3.3")</f>
        <v>3.3</v>
      </c>
      <c r="G11127" s="4" t="str">
        <f>HYPERLINK("http://141.218.60.56/~jnz1568/getInfo.php?workbook=10_05.xlsx&amp;sheet=U0&amp;row=11127&amp;col=7&amp;number=0.0757&amp;sourceID=14","0.0757")</f>
        <v>0.0757</v>
      </c>
    </row>
    <row r="11128" spans="1:7">
      <c r="A11128" s="3"/>
      <c r="B11128" s="3"/>
      <c r="C11128" s="3"/>
      <c r="D11128" s="3"/>
      <c r="E11128" s="3">
        <v>5</v>
      </c>
      <c r="F11128" s="4" t="str">
        <f>HYPERLINK("http://141.218.60.56/~jnz1568/getInfo.php?workbook=10_05.xlsx&amp;sheet=U0&amp;row=11128&amp;col=6&amp;number=3.4&amp;sourceID=14","3.4")</f>
        <v>3.4</v>
      </c>
      <c r="G11128" s="4" t="str">
        <f>HYPERLINK("http://141.218.60.56/~jnz1568/getInfo.php?workbook=10_05.xlsx&amp;sheet=U0&amp;row=11128&amp;col=7&amp;number=0.0793&amp;sourceID=14","0.0793")</f>
        <v>0.0793</v>
      </c>
    </row>
    <row r="11129" spans="1:7">
      <c r="A11129" s="3"/>
      <c r="B11129" s="3"/>
      <c r="C11129" s="3"/>
      <c r="D11129" s="3"/>
      <c r="E11129" s="3">
        <v>6</v>
      </c>
      <c r="F11129" s="4" t="str">
        <f>HYPERLINK("http://141.218.60.56/~jnz1568/getInfo.php?workbook=10_05.xlsx&amp;sheet=U0&amp;row=11129&amp;col=6&amp;number=3.5&amp;sourceID=14","3.5")</f>
        <v>3.5</v>
      </c>
      <c r="G11129" s="4" t="str">
        <f>HYPERLINK("http://141.218.60.56/~jnz1568/getInfo.php?workbook=10_05.xlsx&amp;sheet=U0&amp;row=11129&amp;col=7&amp;number=0.0836&amp;sourceID=14","0.0836")</f>
        <v>0.0836</v>
      </c>
    </row>
    <row r="11130" spans="1:7">
      <c r="A11130" s="3"/>
      <c r="B11130" s="3"/>
      <c r="C11130" s="3"/>
      <c r="D11130" s="3"/>
      <c r="E11130" s="3">
        <v>7</v>
      </c>
      <c r="F11130" s="4" t="str">
        <f>HYPERLINK("http://141.218.60.56/~jnz1568/getInfo.php?workbook=10_05.xlsx&amp;sheet=U0&amp;row=11130&amp;col=6&amp;number=3.6&amp;sourceID=14","3.6")</f>
        <v>3.6</v>
      </c>
      <c r="G11130" s="4" t="str">
        <f>HYPERLINK("http://141.218.60.56/~jnz1568/getInfo.php?workbook=10_05.xlsx&amp;sheet=U0&amp;row=11130&amp;col=7&amp;number=0.0887&amp;sourceID=14","0.0887")</f>
        <v>0.0887</v>
      </c>
    </row>
    <row r="11131" spans="1:7">
      <c r="A11131" s="3"/>
      <c r="B11131" s="3"/>
      <c r="C11131" s="3"/>
      <c r="D11131" s="3"/>
      <c r="E11131" s="3">
        <v>8</v>
      </c>
      <c r="F11131" s="4" t="str">
        <f>HYPERLINK("http://141.218.60.56/~jnz1568/getInfo.php?workbook=10_05.xlsx&amp;sheet=U0&amp;row=11131&amp;col=6&amp;number=3.7&amp;sourceID=14","3.7")</f>
        <v>3.7</v>
      </c>
      <c r="G11131" s="4" t="str">
        <f>HYPERLINK("http://141.218.60.56/~jnz1568/getInfo.php?workbook=10_05.xlsx&amp;sheet=U0&amp;row=11131&amp;col=7&amp;number=0.0946&amp;sourceID=14","0.0946")</f>
        <v>0.0946</v>
      </c>
    </row>
    <row r="11132" spans="1:7">
      <c r="A11132" s="3"/>
      <c r="B11132" s="3"/>
      <c r="C11132" s="3"/>
      <c r="D11132" s="3"/>
      <c r="E11132" s="3">
        <v>9</v>
      </c>
      <c r="F11132" s="4" t="str">
        <f>HYPERLINK("http://141.218.60.56/~jnz1568/getInfo.php?workbook=10_05.xlsx&amp;sheet=U0&amp;row=11132&amp;col=6&amp;number=3.8&amp;sourceID=14","3.8")</f>
        <v>3.8</v>
      </c>
      <c r="G11132" s="4" t="str">
        <f>HYPERLINK("http://141.218.60.56/~jnz1568/getInfo.php?workbook=10_05.xlsx&amp;sheet=U0&amp;row=11132&amp;col=7&amp;number=0.101&amp;sourceID=14","0.101")</f>
        <v>0.101</v>
      </c>
    </row>
    <row r="11133" spans="1:7">
      <c r="A11133" s="3"/>
      <c r="B11133" s="3"/>
      <c r="C11133" s="3"/>
      <c r="D11133" s="3"/>
      <c r="E11133" s="3">
        <v>10</v>
      </c>
      <c r="F11133" s="4" t="str">
        <f>HYPERLINK("http://141.218.60.56/~jnz1568/getInfo.php?workbook=10_05.xlsx&amp;sheet=U0&amp;row=11133&amp;col=6&amp;number=3.9&amp;sourceID=14","3.9")</f>
        <v>3.9</v>
      </c>
      <c r="G11133" s="4" t="str">
        <f>HYPERLINK("http://141.218.60.56/~jnz1568/getInfo.php?workbook=10_05.xlsx&amp;sheet=U0&amp;row=11133&amp;col=7&amp;number=0.108&amp;sourceID=14","0.108")</f>
        <v>0.108</v>
      </c>
    </row>
    <row r="11134" spans="1:7">
      <c r="A11134" s="3"/>
      <c r="B11134" s="3"/>
      <c r="C11134" s="3"/>
      <c r="D11134" s="3"/>
      <c r="E11134" s="3">
        <v>11</v>
      </c>
      <c r="F11134" s="4" t="str">
        <f>HYPERLINK("http://141.218.60.56/~jnz1568/getInfo.php?workbook=10_05.xlsx&amp;sheet=U0&amp;row=11134&amp;col=6&amp;number=4&amp;sourceID=14","4")</f>
        <v>4</v>
      </c>
      <c r="G11134" s="4" t="str">
        <f>HYPERLINK("http://141.218.60.56/~jnz1568/getInfo.php?workbook=10_05.xlsx&amp;sheet=U0&amp;row=11134&amp;col=7&amp;number=0.113&amp;sourceID=14","0.113")</f>
        <v>0.113</v>
      </c>
    </row>
    <row r="11135" spans="1:7">
      <c r="A11135" s="3"/>
      <c r="B11135" s="3"/>
      <c r="C11135" s="3"/>
      <c r="D11135" s="3"/>
      <c r="E11135" s="3">
        <v>12</v>
      </c>
      <c r="F11135" s="4" t="str">
        <f>HYPERLINK("http://141.218.60.56/~jnz1568/getInfo.php?workbook=10_05.xlsx&amp;sheet=U0&amp;row=11135&amp;col=6&amp;number=4.1&amp;sourceID=14","4.1")</f>
        <v>4.1</v>
      </c>
      <c r="G11135" s="4" t="str">
        <f>HYPERLINK("http://141.218.60.56/~jnz1568/getInfo.php?workbook=10_05.xlsx&amp;sheet=U0&amp;row=11135&amp;col=7&amp;number=0.116&amp;sourceID=14","0.116")</f>
        <v>0.116</v>
      </c>
    </row>
    <row r="11136" spans="1:7">
      <c r="A11136" s="3"/>
      <c r="B11136" s="3"/>
      <c r="C11136" s="3"/>
      <c r="D11136" s="3"/>
      <c r="E11136" s="3">
        <v>13</v>
      </c>
      <c r="F11136" s="4" t="str">
        <f>HYPERLINK("http://141.218.60.56/~jnz1568/getInfo.php?workbook=10_05.xlsx&amp;sheet=U0&amp;row=11136&amp;col=6&amp;number=4.2&amp;sourceID=14","4.2")</f>
        <v>4.2</v>
      </c>
      <c r="G11136" s="4" t="str">
        <f>HYPERLINK("http://141.218.60.56/~jnz1568/getInfo.php?workbook=10_05.xlsx&amp;sheet=U0&amp;row=11136&amp;col=7&amp;number=0.117&amp;sourceID=14","0.117")</f>
        <v>0.117</v>
      </c>
    </row>
    <row r="11137" spans="1:7">
      <c r="A11137" s="3"/>
      <c r="B11137" s="3"/>
      <c r="C11137" s="3"/>
      <c r="D11137" s="3"/>
      <c r="E11137" s="3">
        <v>14</v>
      </c>
      <c r="F11137" s="4" t="str">
        <f>HYPERLINK("http://141.218.60.56/~jnz1568/getInfo.php?workbook=10_05.xlsx&amp;sheet=U0&amp;row=11137&amp;col=6&amp;number=4.3&amp;sourceID=14","4.3")</f>
        <v>4.3</v>
      </c>
      <c r="G11137" s="4" t="str">
        <f>HYPERLINK("http://141.218.60.56/~jnz1568/getInfo.php?workbook=10_05.xlsx&amp;sheet=U0&amp;row=11137&amp;col=7&amp;number=0.114&amp;sourceID=14","0.114")</f>
        <v>0.114</v>
      </c>
    </row>
    <row r="11138" spans="1:7">
      <c r="A11138" s="3"/>
      <c r="B11138" s="3"/>
      <c r="C11138" s="3"/>
      <c r="D11138" s="3"/>
      <c r="E11138" s="3">
        <v>15</v>
      </c>
      <c r="F11138" s="4" t="str">
        <f>HYPERLINK("http://141.218.60.56/~jnz1568/getInfo.php?workbook=10_05.xlsx&amp;sheet=U0&amp;row=11138&amp;col=6&amp;number=4.4&amp;sourceID=14","4.4")</f>
        <v>4.4</v>
      </c>
      <c r="G11138" s="4" t="str">
        <f>HYPERLINK("http://141.218.60.56/~jnz1568/getInfo.php?workbook=10_05.xlsx&amp;sheet=U0&amp;row=11138&amp;col=7&amp;number=0.111&amp;sourceID=14","0.111")</f>
        <v>0.111</v>
      </c>
    </row>
    <row r="11139" spans="1:7">
      <c r="A11139" s="3"/>
      <c r="B11139" s="3"/>
      <c r="C11139" s="3"/>
      <c r="D11139" s="3"/>
      <c r="E11139" s="3">
        <v>16</v>
      </c>
      <c r="F11139" s="4" t="str">
        <f>HYPERLINK("http://141.218.60.56/~jnz1568/getInfo.php?workbook=10_05.xlsx&amp;sheet=U0&amp;row=11139&amp;col=6&amp;number=4.5&amp;sourceID=14","4.5")</f>
        <v>4.5</v>
      </c>
      <c r="G11139" s="4" t="str">
        <f>HYPERLINK("http://141.218.60.56/~jnz1568/getInfo.php?workbook=10_05.xlsx&amp;sheet=U0&amp;row=11139&amp;col=7&amp;number=0.107&amp;sourceID=14","0.107")</f>
        <v>0.107</v>
      </c>
    </row>
    <row r="11140" spans="1:7">
      <c r="A11140" s="3"/>
      <c r="B11140" s="3"/>
      <c r="C11140" s="3"/>
      <c r="D11140" s="3"/>
      <c r="E11140" s="3">
        <v>17</v>
      </c>
      <c r="F11140" s="4" t="str">
        <f>HYPERLINK("http://141.218.60.56/~jnz1568/getInfo.php?workbook=10_05.xlsx&amp;sheet=U0&amp;row=11140&amp;col=6&amp;number=4.6&amp;sourceID=14","4.6")</f>
        <v>4.6</v>
      </c>
      <c r="G11140" s="4" t="str">
        <f>HYPERLINK("http://141.218.60.56/~jnz1568/getInfo.php?workbook=10_05.xlsx&amp;sheet=U0&amp;row=11140&amp;col=7&amp;number=0.103&amp;sourceID=14","0.103")</f>
        <v>0.103</v>
      </c>
    </row>
    <row r="11141" spans="1:7">
      <c r="A11141" s="3"/>
      <c r="B11141" s="3"/>
      <c r="C11141" s="3"/>
      <c r="D11141" s="3"/>
      <c r="E11141" s="3">
        <v>18</v>
      </c>
      <c r="F11141" s="4" t="str">
        <f>HYPERLINK("http://141.218.60.56/~jnz1568/getInfo.php?workbook=10_05.xlsx&amp;sheet=U0&amp;row=11141&amp;col=6&amp;number=4.7&amp;sourceID=14","4.7")</f>
        <v>4.7</v>
      </c>
      <c r="G11141" s="4" t="str">
        <f>HYPERLINK("http://141.218.60.56/~jnz1568/getInfo.php?workbook=10_05.xlsx&amp;sheet=U0&amp;row=11141&amp;col=7&amp;number=0.0969&amp;sourceID=14","0.0969")</f>
        <v>0.0969</v>
      </c>
    </row>
    <row r="11142" spans="1:7">
      <c r="A11142" s="3"/>
      <c r="B11142" s="3"/>
      <c r="C11142" s="3"/>
      <c r="D11142" s="3"/>
      <c r="E11142" s="3">
        <v>19</v>
      </c>
      <c r="F11142" s="4" t="str">
        <f>HYPERLINK("http://141.218.60.56/~jnz1568/getInfo.php?workbook=10_05.xlsx&amp;sheet=U0&amp;row=11142&amp;col=6&amp;number=4.8&amp;sourceID=14","4.8")</f>
        <v>4.8</v>
      </c>
      <c r="G11142" s="4" t="str">
        <f>HYPERLINK("http://141.218.60.56/~jnz1568/getInfo.php?workbook=10_05.xlsx&amp;sheet=U0&amp;row=11142&amp;col=7&amp;number=0.0893&amp;sourceID=14","0.0893")</f>
        <v>0.0893</v>
      </c>
    </row>
    <row r="11143" spans="1:7">
      <c r="A11143" s="3"/>
      <c r="B11143" s="3"/>
      <c r="C11143" s="3"/>
      <c r="D11143" s="3"/>
      <c r="E11143" s="3">
        <v>20</v>
      </c>
      <c r="F11143" s="4" t="str">
        <f>HYPERLINK("http://141.218.60.56/~jnz1568/getInfo.php?workbook=10_05.xlsx&amp;sheet=U0&amp;row=11143&amp;col=6&amp;number=4.9&amp;sourceID=14","4.9")</f>
        <v>4.9</v>
      </c>
      <c r="G11143" s="4" t="str">
        <f>HYPERLINK("http://141.218.60.56/~jnz1568/getInfo.php?workbook=10_05.xlsx&amp;sheet=U0&amp;row=11143&amp;col=7&amp;number=0.0823&amp;sourceID=14","0.0823")</f>
        <v>0.0823</v>
      </c>
    </row>
    <row r="11144" spans="1:7">
      <c r="A11144" s="3">
        <v>10</v>
      </c>
      <c r="B11144" s="3">
        <v>5</v>
      </c>
      <c r="C11144" s="3">
        <v>4</v>
      </c>
      <c r="D11144" s="3">
        <v>28</v>
      </c>
      <c r="E11144" s="3">
        <v>1</v>
      </c>
      <c r="F11144" s="4" t="str">
        <f>HYPERLINK("http://141.218.60.56/~jnz1568/getInfo.php?workbook=10_05.xlsx&amp;sheet=U0&amp;row=11144&amp;col=6&amp;number=3&amp;sourceID=14","3")</f>
        <v>3</v>
      </c>
      <c r="G11144" s="4" t="str">
        <f>HYPERLINK("http://141.218.60.56/~jnz1568/getInfo.php?workbook=10_05.xlsx&amp;sheet=U0&amp;row=11144&amp;col=7&amp;number=0.0852&amp;sourceID=14","0.0852")</f>
        <v>0.0852</v>
      </c>
    </row>
    <row r="11145" spans="1:7">
      <c r="A11145" s="3"/>
      <c r="B11145" s="3"/>
      <c r="C11145" s="3"/>
      <c r="D11145" s="3"/>
      <c r="E11145" s="3">
        <v>2</v>
      </c>
      <c r="F11145" s="4" t="str">
        <f>HYPERLINK("http://141.218.60.56/~jnz1568/getInfo.php?workbook=10_05.xlsx&amp;sheet=U0&amp;row=11145&amp;col=6&amp;number=3.1&amp;sourceID=14","3.1")</f>
        <v>3.1</v>
      </c>
      <c r="G11145" s="4" t="str">
        <f>HYPERLINK("http://141.218.60.56/~jnz1568/getInfo.php?workbook=10_05.xlsx&amp;sheet=U0&amp;row=11145&amp;col=7&amp;number=0.0861&amp;sourceID=14","0.0861")</f>
        <v>0.0861</v>
      </c>
    </row>
    <row r="11146" spans="1:7">
      <c r="A11146" s="3"/>
      <c r="B11146" s="3"/>
      <c r="C11146" s="3"/>
      <c r="D11146" s="3"/>
      <c r="E11146" s="3">
        <v>3</v>
      </c>
      <c r="F11146" s="4" t="str">
        <f>HYPERLINK("http://141.218.60.56/~jnz1568/getInfo.php?workbook=10_05.xlsx&amp;sheet=U0&amp;row=11146&amp;col=6&amp;number=3.2&amp;sourceID=14","3.2")</f>
        <v>3.2</v>
      </c>
      <c r="G11146" s="4" t="str">
        <f>HYPERLINK("http://141.218.60.56/~jnz1568/getInfo.php?workbook=10_05.xlsx&amp;sheet=U0&amp;row=11146&amp;col=7&amp;number=0.0873&amp;sourceID=14","0.0873")</f>
        <v>0.0873</v>
      </c>
    </row>
    <row r="11147" spans="1:7">
      <c r="A11147" s="3"/>
      <c r="B11147" s="3"/>
      <c r="C11147" s="3"/>
      <c r="D11147" s="3"/>
      <c r="E11147" s="3">
        <v>4</v>
      </c>
      <c r="F11147" s="4" t="str">
        <f>HYPERLINK("http://141.218.60.56/~jnz1568/getInfo.php?workbook=10_05.xlsx&amp;sheet=U0&amp;row=11147&amp;col=6&amp;number=3.3&amp;sourceID=14","3.3")</f>
        <v>3.3</v>
      </c>
      <c r="G11147" s="4" t="str">
        <f>HYPERLINK("http://141.218.60.56/~jnz1568/getInfo.php?workbook=10_05.xlsx&amp;sheet=U0&amp;row=11147&amp;col=7&amp;number=0.0888&amp;sourceID=14","0.0888")</f>
        <v>0.0888</v>
      </c>
    </row>
    <row r="11148" spans="1:7">
      <c r="A11148" s="3"/>
      <c r="B11148" s="3"/>
      <c r="C11148" s="3"/>
      <c r="D11148" s="3"/>
      <c r="E11148" s="3">
        <v>5</v>
      </c>
      <c r="F11148" s="4" t="str">
        <f>HYPERLINK("http://141.218.60.56/~jnz1568/getInfo.php?workbook=10_05.xlsx&amp;sheet=U0&amp;row=11148&amp;col=6&amp;number=3.4&amp;sourceID=14","3.4")</f>
        <v>3.4</v>
      </c>
      <c r="G11148" s="4" t="str">
        <f>HYPERLINK("http://141.218.60.56/~jnz1568/getInfo.php?workbook=10_05.xlsx&amp;sheet=U0&amp;row=11148&amp;col=7&amp;number=0.0906&amp;sourceID=14","0.0906")</f>
        <v>0.0906</v>
      </c>
    </row>
    <row r="11149" spans="1:7">
      <c r="A11149" s="3"/>
      <c r="B11149" s="3"/>
      <c r="C11149" s="3"/>
      <c r="D11149" s="3"/>
      <c r="E11149" s="3">
        <v>6</v>
      </c>
      <c r="F11149" s="4" t="str">
        <f>HYPERLINK("http://141.218.60.56/~jnz1568/getInfo.php?workbook=10_05.xlsx&amp;sheet=U0&amp;row=11149&amp;col=6&amp;number=3.5&amp;sourceID=14","3.5")</f>
        <v>3.5</v>
      </c>
      <c r="G11149" s="4" t="str">
        <f>HYPERLINK("http://141.218.60.56/~jnz1568/getInfo.php?workbook=10_05.xlsx&amp;sheet=U0&amp;row=11149&amp;col=7&amp;number=0.0927&amp;sourceID=14","0.0927")</f>
        <v>0.0927</v>
      </c>
    </row>
    <row r="11150" spans="1:7">
      <c r="A11150" s="3"/>
      <c r="B11150" s="3"/>
      <c r="C11150" s="3"/>
      <c r="D11150" s="3"/>
      <c r="E11150" s="3">
        <v>7</v>
      </c>
      <c r="F11150" s="4" t="str">
        <f>HYPERLINK("http://141.218.60.56/~jnz1568/getInfo.php?workbook=10_05.xlsx&amp;sheet=U0&amp;row=11150&amp;col=6&amp;number=3.6&amp;sourceID=14","3.6")</f>
        <v>3.6</v>
      </c>
      <c r="G11150" s="4" t="str">
        <f>HYPERLINK("http://141.218.60.56/~jnz1568/getInfo.php?workbook=10_05.xlsx&amp;sheet=U0&amp;row=11150&amp;col=7&amp;number=0.0951&amp;sourceID=14","0.0951")</f>
        <v>0.0951</v>
      </c>
    </row>
    <row r="11151" spans="1:7">
      <c r="A11151" s="3"/>
      <c r="B11151" s="3"/>
      <c r="C11151" s="3"/>
      <c r="D11151" s="3"/>
      <c r="E11151" s="3">
        <v>8</v>
      </c>
      <c r="F11151" s="4" t="str">
        <f>HYPERLINK("http://141.218.60.56/~jnz1568/getInfo.php?workbook=10_05.xlsx&amp;sheet=U0&amp;row=11151&amp;col=6&amp;number=3.7&amp;sourceID=14","3.7")</f>
        <v>3.7</v>
      </c>
      <c r="G11151" s="4" t="str">
        <f>HYPERLINK("http://141.218.60.56/~jnz1568/getInfo.php?workbook=10_05.xlsx&amp;sheet=U0&amp;row=11151&amp;col=7&amp;number=0.0978&amp;sourceID=14","0.0978")</f>
        <v>0.0978</v>
      </c>
    </row>
    <row r="11152" spans="1:7">
      <c r="A11152" s="3"/>
      <c r="B11152" s="3"/>
      <c r="C11152" s="3"/>
      <c r="D11152" s="3"/>
      <c r="E11152" s="3">
        <v>9</v>
      </c>
      <c r="F11152" s="4" t="str">
        <f>HYPERLINK("http://141.218.60.56/~jnz1568/getInfo.php?workbook=10_05.xlsx&amp;sheet=U0&amp;row=11152&amp;col=6&amp;number=3.8&amp;sourceID=14","3.8")</f>
        <v>3.8</v>
      </c>
      <c r="G11152" s="4" t="str">
        <f>HYPERLINK("http://141.218.60.56/~jnz1568/getInfo.php?workbook=10_05.xlsx&amp;sheet=U0&amp;row=11152&amp;col=7&amp;number=0.101&amp;sourceID=14","0.101")</f>
        <v>0.101</v>
      </c>
    </row>
    <row r="11153" spans="1:7">
      <c r="A11153" s="3"/>
      <c r="B11153" s="3"/>
      <c r="C11153" s="3"/>
      <c r="D11153" s="3"/>
      <c r="E11153" s="3">
        <v>10</v>
      </c>
      <c r="F11153" s="4" t="str">
        <f>HYPERLINK("http://141.218.60.56/~jnz1568/getInfo.php?workbook=10_05.xlsx&amp;sheet=U0&amp;row=11153&amp;col=6&amp;number=3.9&amp;sourceID=14","3.9")</f>
        <v>3.9</v>
      </c>
      <c r="G11153" s="4" t="str">
        <f>HYPERLINK("http://141.218.60.56/~jnz1568/getInfo.php?workbook=10_05.xlsx&amp;sheet=U0&amp;row=11153&amp;col=7&amp;number=0.103&amp;sourceID=14","0.103")</f>
        <v>0.103</v>
      </c>
    </row>
    <row r="11154" spans="1:7">
      <c r="A11154" s="3"/>
      <c r="B11154" s="3"/>
      <c r="C11154" s="3"/>
      <c r="D11154" s="3"/>
      <c r="E11154" s="3">
        <v>11</v>
      </c>
      <c r="F11154" s="4" t="str">
        <f>HYPERLINK("http://141.218.60.56/~jnz1568/getInfo.php?workbook=10_05.xlsx&amp;sheet=U0&amp;row=11154&amp;col=6&amp;number=4&amp;sourceID=14","4")</f>
        <v>4</v>
      </c>
      <c r="G11154" s="4" t="str">
        <f>HYPERLINK("http://141.218.60.56/~jnz1568/getInfo.php?workbook=10_05.xlsx&amp;sheet=U0&amp;row=11154&amp;col=7&amp;number=0.104&amp;sourceID=14","0.104")</f>
        <v>0.104</v>
      </c>
    </row>
    <row r="11155" spans="1:7">
      <c r="A11155" s="3"/>
      <c r="B11155" s="3"/>
      <c r="C11155" s="3"/>
      <c r="D11155" s="3"/>
      <c r="E11155" s="3">
        <v>12</v>
      </c>
      <c r="F11155" s="4" t="str">
        <f>HYPERLINK("http://141.218.60.56/~jnz1568/getInfo.php?workbook=10_05.xlsx&amp;sheet=U0&amp;row=11155&amp;col=6&amp;number=4.1&amp;sourceID=14","4.1")</f>
        <v>4.1</v>
      </c>
      <c r="G11155" s="4" t="str">
        <f>HYPERLINK("http://141.218.60.56/~jnz1568/getInfo.php?workbook=10_05.xlsx&amp;sheet=U0&amp;row=11155&amp;col=7&amp;number=0.104&amp;sourceID=14","0.104")</f>
        <v>0.104</v>
      </c>
    </row>
    <row r="11156" spans="1:7">
      <c r="A11156" s="3"/>
      <c r="B11156" s="3"/>
      <c r="C11156" s="3"/>
      <c r="D11156" s="3"/>
      <c r="E11156" s="3">
        <v>13</v>
      </c>
      <c r="F11156" s="4" t="str">
        <f>HYPERLINK("http://141.218.60.56/~jnz1568/getInfo.php?workbook=10_05.xlsx&amp;sheet=U0&amp;row=11156&amp;col=6&amp;number=4.2&amp;sourceID=14","4.2")</f>
        <v>4.2</v>
      </c>
      <c r="G11156" s="4" t="str">
        <f>HYPERLINK("http://141.218.60.56/~jnz1568/getInfo.php?workbook=10_05.xlsx&amp;sheet=U0&amp;row=11156&amp;col=7&amp;number=0.102&amp;sourceID=14","0.102")</f>
        <v>0.102</v>
      </c>
    </row>
    <row r="11157" spans="1:7">
      <c r="A11157" s="3"/>
      <c r="B11157" s="3"/>
      <c r="C11157" s="3"/>
      <c r="D11157" s="3"/>
      <c r="E11157" s="3">
        <v>14</v>
      </c>
      <c r="F11157" s="4" t="str">
        <f>HYPERLINK("http://141.218.60.56/~jnz1568/getInfo.php?workbook=10_05.xlsx&amp;sheet=U0&amp;row=11157&amp;col=6&amp;number=4.3&amp;sourceID=14","4.3")</f>
        <v>4.3</v>
      </c>
      <c r="G11157" s="4" t="str">
        <f>HYPERLINK("http://141.218.60.56/~jnz1568/getInfo.php?workbook=10_05.xlsx&amp;sheet=U0&amp;row=11157&amp;col=7&amp;number=0.0986&amp;sourceID=14","0.0986")</f>
        <v>0.0986</v>
      </c>
    </row>
    <row r="11158" spans="1:7">
      <c r="A11158" s="3"/>
      <c r="B11158" s="3"/>
      <c r="C11158" s="3"/>
      <c r="D11158" s="3"/>
      <c r="E11158" s="3">
        <v>15</v>
      </c>
      <c r="F11158" s="4" t="str">
        <f>HYPERLINK("http://141.218.60.56/~jnz1568/getInfo.php?workbook=10_05.xlsx&amp;sheet=U0&amp;row=11158&amp;col=6&amp;number=4.4&amp;sourceID=14","4.4")</f>
        <v>4.4</v>
      </c>
      <c r="G11158" s="4" t="str">
        <f>HYPERLINK("http://141.218.60.56/~jnz1568/getInfo.php?workbook=10_05.xlsx&amp;sheet=U0&amp;row=11158&amp;col=7&amp;number=0.0941&amp;sourceID=14","0.0941")</f>
        <v>0.0941</v>
      </c>
    </row>
    <row r="11159" spans="1:7">
      <c r="A11159" s="3"/>
      <c r="B11159" s="3"/>
      <c r="C11159" s="3"/>
      <c r="D11159" s="3"/>
      <c r="E11159" s="3">
        <v>16</v>
      </c>
      <c r="F11159" s="4" t="str">
        <f>HYPERLINK("http://141.218.60.56/~jnz1568/getInfo.php?workbook=10_05.xlsx&amp;sheet=U0&amp;row=11159&amp;col=6&amp;number=4.5&amp;sourceID=14","4.5")</f>
        <v>4.5</v>
      </c>
      <c r="G11159" s="4" t="str">
        <f>HYPERLINK("http://141.218.60.56/~jnz1568/getInfo.php?workbook=10_05.xlsx&amp;sheet=U0&amp;row=11159&amp;col=7&amp;number=0.0888&amp;sourceID=14","0.0888")</f>
        <v>0.0888</v>
      </c>
    </row>
    <row r="11160" spans="1:7">
      <c r="A11160" s="3"/>
      <c r="B11160" s="3"/>
      <c r="C11160" s="3"/>
      <c r="D11160" s="3"/>
      <c r="E11160" s="3">
        <v>17</v>
      </c>
      <c r="F11160" s="4" t="str">
        <f>HYPERLINK("http://141.218.60.56/~jnz1568/getInfo.php?workbook=10_05.xlsx&amp;sheet=U0&amp;row=11160&amp;col=6&amp;number=4.6&amp;sourceID=14","4.6")</f>
        <v>4.6</v>
      </c>
      <c r="G11160" s="4" t="str">
        <f>HYPERLINK("http://141.218.60.56/~jnz1568/getInfo.php?workbook=10_05.xlsx&amp;sheet=U0&amp;row=11160&amp;col=7&amp;number=0.0829&amp;sourceID=14","0.0829")</f>
        <v>0.0829</v>
      </c>
    </row>
    <row r="11161" spans="1:7">
      <c r="A11161" s="3"/>
      <c r="B11161" s="3"/>
      <c r="C11161" s="3"/>
      <c r="D11161" s="3"/>
      <c r="E11161" s="3">
        <v>18</v>
      </c>
      <c r="F11161" s="4" t="str">
        <f>HYPERLINK("http://141.218.60.56/~jnz1568/getInfo.php?workbook=10_05.xlsx&amp;sheet=U0&amp;row=11161&amp;col=6&amp;number=4.7&amp;sourceID=14","4.7")</f>
        <v>4.7</v>
      </c>
      <c r="G11161" s="4" t="str">
        <f>HYPERLINK("http://141.218.60.56/~jnz1568/getInfo.php?workbook=10_05.xlsx&amp;sheet=U0&amp;row=11161&amp;col=7&amp;number=0.0765&amp;sourceID=14","0.0765")</f>
        <v>0.0765</v>
      </c>
    </row>
    <row r="11162" spans="1:7">
      <c r="A11162" s="3"/>
      <c r="B11162" s="3"/>
      <c r="C11162" s="3"/>
      <c r="D11162" s="3"/>
      <c r="E11162" s="3">
        <v>19</v>
      </c>
      <c r="F11162" s="4" t="str">
        <f>HYPERLINK("http://141.218.60.56/~jnz1568/getInfo.php?workbook=10_05.xlsx&amp;sheet=U0&amp;row=11162&amp;col=6&amp;number=4.8&amp;sourceID=14","4.8")</f>
        <v>4.8</v>
      </c>
      <c r="G11162" s="4" t="str">
        <f>HYPERLINK("http://141.218.60.56/~jnz1568/getInfo.php?workbook=10_05.xlsx&amp;sheet=U0&amp;row=11162&amp;col=7&amp;number=0.0697&amp;sourceID=14","0.0697")</f>
        <v>0.0697</v>
      </c>
    </row>
    <row r="11163" spans="1:7">
      <c r="A11163" s="3"/>
      <c r="B11163" s="3"/>
      <c r="C11163" s="3"/>
      <c r="D11163" s="3"/>
      <c r="E11163" s="3">
        <v>20</v>
      </c>
      <c r="F11163" s="4" t="str">
        <f>HYPERLINK("http://141.218.60.56/~jnz1568/getInfo.php?workbook=10_05.xlsx&amp;sheet=U0&amp;row=11163&amp;col=6&amp;number=4.9&amp;sourceID=14","4.9")</f>
        <v>4.9</v>
      </c>
      <c r="G11163" s="4" t="str">
        <f>HYPERLINK("http://141.218.60.56/~jnz1568/getInfo.php?workbook=10_05.xlsx&amp;sheet=U0&amp;row=11163&amp;col=7&amp;number=0.0631&amp;sourceID=14","0.0631")</f>
        <v>0.0631</v>
      </c>
    </row>
    <row r="11164" spans="1:7">
      <c r="A11164" s="3">
        <v>10</v>
      </c>
      <c r="B11164" s="3">
        <v>5</v>
      </c>
      <c r="C11164" s="3">
        <v>4</v>
      </c>
      <c r="D11164" s="3">
        <v>29</v>
      </c>
      <c r="E11164" s="3">
        <v>1</v>
      </c>
      <c r="F11164" s="4" t="str">
        <f>HYPERLINK("http://141.218.60.56/~jnz1568/getInfo.php?workbook=10_05.xlsx&amp;sheet=U0&amp;row=11164&amp;col=6&amp;number=3&amp;sourceID=14","3")</f>
        <v>3</v>
      </c>
      <c r="G11164" s="4" t="str">
        <f>HYPERLINK("http://141.218.60.56/~jnz1568/getInfo.php?workbook=10_05.xlsx&amp;sheet=U0&amp;row=11164&amp;col=7&amp;number=0.165&amp;sourceID=14","0.165")</f>
        <v>0.165</v>
      </c>
    </row>
    <row r="11165" spans="1:7">
      <c r="A11165" s="3"/>
      <c r="B11165" s="3"/>
      <c r="C11165" s="3"/>
      <c r="D11165" s="3"/>
      <c r="E11165" s="3">
        <v>2</v>
      </c>
      <c r="F11165" s="4" t="str">
        <f>HYPERLINK("http://141.218.60.56/~jnz1568/getInfo.php?workbook=10_05.xlsx&amp;sheet=U0&amp;row=11165&amp;col=6&amp;number=3.1&amp;sourceID=14","3.1")</f>
        <v>3.1</v>
      </c>
      <c r="G11165" s="4" t="str">
        <f>HYPERLINK("http://141.218.60.56/~jnz1568/getInfo.php?workbook=10_05.xlsx&amp;sheet=U0&amp;row=11165&amp;col=7&amp;number=0.167&amp;sourceID=14","0.167")</f>
        <v>0.167</v>
      </c>
    </row>
    <row r="11166" spans="1:7">
      <c r="A11166" s="3"/>
      <c r="B11166" s="3"/>
      <c r="C11166" s="3"/>
      <c r="D11166" s="3"/>
      <c r="E11166" s="3">
        <v>3</v>
      </c>
      <c r="F11166" s="4" t="str">
        <f>HYPERLINK("http://141.218.60.56/~jnz1568/getInfo.php?workbook=10_05.xlsx&amp;sheet=U0&amp;row=11166&amp;col=6&amp;number=3.2&amp;sourceID=14","3.2")</f>
        <v>3.2</v>
      </c>
      <c r="G11166" s="4" t="str">
        <f>HYPERLINK("http://141.218.60.56/~jnz1568/getInfo.php?workbook=10_05.xlsx&amp;sheet=U0&amp;row=11166&amp;col=7&amp;number=0.169&amp;sourceID=14","0.169")</f>
        <v>0.169</v>
      </c>
    </row>
    <row r="11167" spans="1:7">
      <c r="A11167" s="3"/>
      <c r="B11167" s="3"/>
      <c r="C11167" s="3"/>
      <c r="D11167" s="3"/>
      <c r="E11167" s="3">
        <v>4</v>
      </c>
      <c r="F11167" s="4" t="str">
        <f>HYPERLINK("http://141.218.60.56/~jnz1568/getInfo.php?workbook=10_05.xlsx&amp;sheet=U0&amp;row=11167&amp;col=6&amp;number=3.3&amp;sourceID=14","3.3")</f>
        <v>3.3</v>
      </c>
      <c r="G11167" s="4" t="str">
        <f>HYPERLINK("http://141.218.60.56/~jnz1568/getInfo.php?workbook=10_05.xlsx&amp;sheet=U0&amp;row=11167&amp;col=7&amp;number=0.171&amp;sourceID=14","0.171")</f>
        <v>0.171</v>
      </c>
    </row>
    <row r="11168" spans="1:7">
      <c r="A11168" s="3"/>
      <c r="B11168" s="3"/>
      <c r="C11168" s="3"/>
      <c r="D11168" s="3"/>
      <c r="E11168" s="3">
        <v>5</v>
      </c>
      <c r="F11168" s="4" t="str">
        <f>HYPERLINK("http://141.218.60.56/~jnz1568/getInfo.php?workbook=10_05.xlsx&amp;sheet=U0&amp;row=11168&amp;col=6&amp;number=3.4&amp;sourceID=14","3.4")</f>
        <v>3.4</v>
      </c>
      <c r="G11168" s="4" t="str">
        <f>HYPERLINK("http://141.218.60.56/~jnz1568/getInfo.php?workbook=10_05.xlsx&amp;sheet=U0&amp;row=11168&amp;col=7&amp;number=0.174&amp;sourceID=14","0.174")</f>
        <v>0.174</v>
      </c>
    </row>
    <row r="11169" spans="1:7">
      <c r="A11169" s="3"/>
      <c r="B11169" s="3"/>
      <c r="C11169" s="3"/>
      <c r="D11169" s="3"/>
      <c r="E11169" s="3">
        <v>6</v>
      </c>
      <c r="F11169" s="4" t="str">
        <f>HYPERLINK("http://141.218.60.56/~jnz1568/getInfo.php?workbook=10_05.xlsx&amp;sheet=U0&amp;row=11169&amp;col=6&amp;number=3.5&amp;sourceID=14","3.5")</f>
        <v>3.5</v>
      </c>
      <c r="G11169" s="4" t="str">
        <f>HYPERLINK("http://141.218.60.56/~jnz1568/getInfo.php?workbook=10_05.xlsx&amp;sheet=U0&amp;row=11169&amp;col=7&amp;number=0.178&amp;sourceID=14","0.178")</f>
        <v>0.178</v>
      </c>
    </row>
    <row r="11170" spans="1:7">
      <c r="A11170" s="3"/>
      <c r="B11170" s="3"/>
      <c r="C11170" s="3"/>
      <c r="D11170" s="3"/>
      <c r="E11170" s="3">
        <v>7</v>
      </c>
      <c r="F11170" s="4" t="str">
        <f>HYPERLINK("http://141.218.60.56/~jnz1568/getInfo.php?workbook=10_05.xlsx&amp;sheet=U0&amp;row=11170&amp;col=6&amp;number=3.6&amp;sourceID=14","3.6")</f>
        <v>3.6</v>
      </c>
      <c r="G11170" s="4" t="str">
        <f>HYPERLINK("http://141.218.60.56/~jnz1568/getInfo.php?workbook=10_05.xlsx&amp;sheet=U0&amp;row=11170&amp;col=7&amp;number=0.183&amp;sourceID=14","0.183")</f>
        <v>0.183</v>
      </c>
    </row>
    <row r="11171" spans="1:7">
      <c r="A11171" s="3"/>
      <c r="B11171" s="3"/>
      <c r="C11171" s="3"/>
      <c r="D11171" s="3"/>
      <c r="E11171" s="3">
        <v>8</v>
      </c>
      <c r="F11171" s="4" t="str">
        <f>HYPERLINK("http://141.218.60.56/~jnz1568/getInfo.php?workbook=10_05.xlsx&amp;sheet=U0&amp;row=11171&amp;col=6&amp;number=3.7&amp;sourceID=14","3.7")</f>
        <v>3.7</v>
      </c>
      <c r="G11171" s="4" t="str">
        <f>HYPERLINK("http://141.218.60.56/~jnz1568/getInfo.php?workbook=10_05.xlsx&amp;sheet=U0&amp;row=11171&amp;col=7&amp;number=0.188&amp;sourceID=14","0.188")</f>
        <v>0.188</v>
      </c>
    </row>
    <row r="11172" spans="1:7">
      <c r="A11172" s="3"/>
      <c r="B11172" s="3"/>
      <c r="C11172" s="3"/>
      <c r="D11172" s="3"/>
      <c r="E11172" s="3">
        <v>9</v>
      </c>
      <c r="F11172" s="4" t="str">
        <f>HYPERLINK("http://141.218.60.56/~jnz1568/getInfo.php?workbook=10_05.xlsx&amp;sheet=U0&amp;row=11172&amp;col=6&amp;number=3.8&amp;sourceID=14","3.8")</f>
        <v>3.8</v>
      </c>
      <c r="G11172" s="4" t="str">
        <f>HYPERLINK("http://141.218.60.56/~jnz1568/getInfo.php?workbook=10_05.xlsx&amp;sheet=U0&amp;row=11172&amp;col=7&amp;number=0.193&amp;sourceID=14","0.193")</f>
        <v>0.193</v>
      </c>
    </row>
    <row r="11173" spans="1:7">
      <c r="A11173" s="3"/>
      <c r="B11173" s="3"/>
      <c r="C11173" s="3"/>
      <c r="D11173" s="3"/>
      <c r="E11173" s="3">
        <v>10</v>
      </c>
      <c r="F11173" s="4" t="str">
        <f>HYPERLINK("http://141.218.60.56/~jnz1568/getInfo.php?workbook=10_05.xlsx&amp;sheet=U0&amp;row=11173&amp;col=6&amp;number=3.9&amp;sourceID=14","3.9")</f>
        <v>3.9</v>
      </c>
      <c r="G11173" s="4" t="str">
        <f>HYPERLINK("http://141.218.60.56/~jnz1568/getInfo.php?workbook=10_05.xlsx&amp;sheet=U0&amp;row=11173&amp;col=7&amp;number=0.199&amp;sourceID=14","0.199")</f>
        <v>0.199</v>
      </c>
    </row>
    <row r="11174" spans="1:7">
      <c r="A11174" s="3"/>
      <c r="B11174" s="3"/>
      <c r="C11174" s="3"/>
      <c r="D11174" s="3"/>
      <c r="E11174" s="3">
        <v>11</v>
      </c>
      <c r="F11174" s="4" t="str">
        <f>HYPERLINK("http://141.218.60.56/~jnz1568/getInfo.php?workbook=10_05.xlsx&amp;sheet=U0&amp;row=11174&amp;col=6&amp;number=4&amp;sourceID=14","4")</f>
        <v>4</v>
      </c>
      <c r="G11174" s="4" t="str">
        <f>HYPERLINK("http://141.218.60.56/~jnz1568/getInfo.php?workbook=10_05.xlsx&amp;sheet=U0&amp;row=11174&amp;col=7&amp;number=0.204&amp;sourceID=14","0.204")</f>
        <v>0.204</v>
      </c>
    </row>
    <row r="11175" spans="1:7">
      <c r="A11175" s="3"/>
      <c r="B11175" s="3"/>
      <c r="C11175" s="3"/>
      <c r="D11175" s="3"/>
      <c r="E11175" s="3">
        <v>12</v>
      </c>
      <c r="F11175" s="4" t="str">
        <f>HYPERLINK("http://141.218.60.56/~jnz1568/getInfo.php?workbook=10_05.xlsx&amp;sheet=U0&amp;row=11175&amp;col=6&amp;number=4.1&amp;sourceID=14","4.1")</f>
        <v>4.1</v>
      </c>
      <c r="G11175" s="4" t="str">
        <f>HYPERLINK("http://141.218.60.56/~jnz1568/getInfo.php?workbook=10_05.xlsx&amp;sheet=U0&amp;row=11175&amp;col=7&amp;number=0.206&amp;sourceID=14","0.206")</f>
        <v>0.206</v>
      </c>
    </row>
    <row r="11176" spans="1:7">
      <c r="A11176" s="3"/>
      <c r="B11176" s="3"/>
      <c r="C11176" s="3"/>
      <c r="D11176" s="3"/>
      <c r="E11176" s="3">
        <v>13</v>
      </c>
      <c r="F11176" s="4" t="str">
        <f>HYPERLINK("http://141.218.60.56/~jnz1568/getInfo.php?workbook=10_05.xlsx&amp;sheet=U0&amp;row=11176&amp;col=6&amp;number=4.2&amp;sourceID=14","4.2")</f>
        <v>4.2</v>
      </c>
      <c r="G11176" s="4" t="str">
        <f>HYPERLINK("http://141.218.60.56/~jnz1568/getInfo.php?workbook=10_05.xlsx&amp;sheet=U0&amp;row=11176&amp;col=7&amp;number=0.203&amp;sourceID=14","0.203")</f>
        <v>0.203</v>
      </c>
    </row>
    <row r="11177" spans="1:7">
      <c r="A11177" s="3"/>
      <c r="B11177" s="3"/>
      <c r="C11177" s="3"/>
      <c r="D11177" s="3"/>
      <c r="E11177" s="3">
        <v>14</v>
      </c>
      <c r="F11177" s="4" t="str">
        <f>HYPERLINK("http://141.218.60.56/~jnz1568/getInfo.php?workbook=10_05.xlsx&amp;sheet=U0&amp;row=11177&amp;col=6&amp;number=4.3&amp;sourceID=14","4.3")</f>
        <v>4.3</v>
      </c>
      <c r="G11177" s="4" t="str">
        <f>HYPERLINK("http://141.218.60.56/~jnz1568/getInfo.php?workbook=10_05.xlsx&amp;sheet=U0&amp;row=11177&amp;col=7&amp;number=0.195&amp;sourceID=14","0.195")</f>
        <v>0.195</v>
      </c>
    </row>
    <row r="11178" spans="1:7">
      <c r="A11178" s="3"/>
      <c r="B11178" s="3"/>
      <c r="C11178" s="3"/>
      <c r="D11178" s="3"/>
      <c r="E11178" s="3">
        <v>15</v>
      </c>
      <c r="F11178" s="4" t="str">
        <f>HYPERLINK("http://141.218.60.56/~jnz1568/getInfo.php?workbook=10_05.xlsx&amp;sheet=U0&amp;row=11178&amp;col=6&amp;number=4.4&amp;sourceID=14","4.4")</f>
        <v>4.4</v>
      </c>
      <c r="G11178" s="4" t="str">
        <f>HYPERLINK("http://141.218.60.56/~jnz1568/getInfo.php?workbook=10_05.xlsx&amp;sheet=U0&amp;row=11178&amp;col=7&amp;number=0.184&amp;sourceID=14","0.184")</f>
        <v>0.184</v>
      </c>
    </row>
    <row r="11179" spans="1:7">
      <c r="A11179" s="3"/>
      <c r="B11179" s="3"/>
      <c r="C11179" s="3"/>
      <c r="D11179" s="3"/>
      <c r="E11179" s="3">
        <v>16</v>
      </c>
      <c r="F11179" s="4" t="str">
        <f>HYPERLINK("http://141.218.60.56/~jnz1568/getInfo.php?workbook=10_05.xlsx&amp;sheet=U0&amp;row=11179&amp;col=6&amp;number=4.5&amp;sourceID=14","4.5")</f>
        <v>4.5</v>
      </c>
      <c r="G11179" s="4" t="str">
        <f>HYPERLINK("http://141.218.60.56/~jnz1568/getInfo.php?workbook=10_05.xlsx&amp;sheet=U0&amp;row=11179&amp;col=7&amp;number=0.172&amp;sourceID=14","0.172")</f>
        <v>0.172</v>
      </c>
    </row>
    <row r="11180" spans="1:7">
      <c r="A11180" s="3"/>
      <c r="B11180" s="3"/>
      <c r="C11180" s="3"/>
      <c r="D11180" s="3"/>
      <c r="E11180" s="3">
        <v>17</v>
      </c>
      <c r="F11180" s="4" t="str">
        <f>HYPERLINK("http://141.218.60.56/~jnz1568/getInfo.php?workbook=10_05.xlsx&amp;sheet=U0&amp;row=11180&amp;col=6&amp;number=4.6&amp;sourceID=14","4.6")</f>
        <v>4.6</v>
      </c>
      <c r="G11180" s="4" t="str">
        <f>HYPERLINK("http://141.218.60.56/~jnz1568/getInfo.php?workbook=10_05.xlsx&amp;sheet=U0&amp;row=11180&amp;col=7&amp;number=0.16&amp;sourceID=14","0.16")</f>
        <v>0.16</v>
      </c>
    </row>
    <row r="11181" spans="1:7">
      <c r="A11181" s="3"/>
      <c r="B11181" s="3"/>
      <c r="C11181" s="3"/>
      <c r="D11181" s="3"/>
      <c r="E11181" s="3">
        <v>18</v>
      </c>
      <c r="F11181" s="4" t="str">
        <f>HYPERLINK("http://141.218.60.56/~jnz1568/getInfo.php?workbook=10_05.xlsx&amp;sheet=U0&amp;row=11181&amp;col=6&amp;number=4.7&amp;sourceID=14","4.7")</f>
        <v>4.7</v>
      </c>
      <c r="G11181" s="4" t="str">
        <f>HYPERLINK("http://141.218.60.56/~jnz1568/getInfo.php?workbook=10_05.xlsx&amp;sheet=U0&amp;row=11181&amp;col=7&amp;number=0.148&amp;sourceID=14","0.148")</f>
        <v>0.148</v>
      </c>
    </row>
    <row r="11182" spans="1:7">
      <c r="A11182" s="3"/>
      <c r="B11182" s="3"/>
      <c r="C11182" s="3"/>
      <c r="D11182" s="3"/>
      <c r="E11182" s="3">
        <v>19</v>
      </c>
      <c r="F11182" s="4" t="str">
        <f>HYPERLINK("http://141.218.60.56/~jnz1568/getInfo.php?workbook=10_05.xlsx&amp;sheet=U0&amp;row=11182&amp;col=6&amp;number=4.8&amp;sourceID=14","4.8")</f>
        <v>4.8</v>
      </c>
      <c r="G11182" s="4" t="str">
        <f>HYPERLINK("http://141.218.60.56/~jnz1568/getInfo.php?workbook=10_05.xlsx&amp;sheet=U0&amp;row=11182&amp;col=7&amp;number=0.134&amp;sourceID=14","0.134")</f>
        <v>0.134</v>
      </c>
    </row>
    <row r="11183" spans="1:7">
      <c r="A11183" s="3"/>
      <c r="B11183" s="3"/>
      <c r="C11183" s="3"/>
      <c r="D11183" s="3"/>
      <c r="E11183" s="3">
        <v>20</v>
      </c>
      <c r="F11183" s="4" t="str">
        <f>HYPERLINK("http://141.218.60.56/~jnz1568/getInfo.php?workbook=10_05.xlsx&amp;sheet=U0&amp;row=11183&amp;col=6&amp;number=4.9&amp;sourceID=14","4.9")</f>
        <v>4.9</v>
      </c>
      <c r="G11183" s="4" t="str">
        <f>HYPERLINK("http://141.218.60.56/~jnz1568/getInfo.php?workbook=10_05.xlsx&amp;sheet=U0&amp;row=11183&amp;col=7&amp;number=0.12&amp;sourceID=14","0.12")</f>
        <v>0.12</v>
      </c>
    </row>
    <row r="11184" spans="1:7">
      <c r="A11184" s="3">
        <v>10</v>
      </c>
      <c r="B11184" s="3">
        <v>5</v>
      </c>
      <c r="C11184" s="3">
        <v>4</v>
      </c>
      <c r="D11184" s="3">
        <v>30</v>
      </c>
      <c r="E11184" s="3">
        <v>1</v>
      </c>
      <c r="F11184" s="4" t="str">
        <f>HYPERLINK("http://141.218.60.56/~jnz1568/getInfo.php?workbook=10_05.xlsx&amp;sheet=U0&amp;row=11184&amp;col=6&amp;number=3&amp;sourceID=14","3")</f>
        <v>3</v>
      </c>
      <c r="G11184" s="4" t="str">
        <f>HYPERLINK("http://141.218.60.56/~jnz1568/getInfo.php?workbook=10_05.xlsx&amp;sheet=U0&amp;row=11184&amp;col=7&amp;number=0.189&amp;sourceID=14","0.189")</f>
        <v>0.189</v>
      </c>
    </row>
    <row r="11185" spans="1:7">
      <c r="A11185" s="3"/>
      <c r="B11185" s="3"/>
      <c r="C11185" s="3"/>
      <c r="D11185" s="3"/>
      <c r="E11185" s="3">
        <v>2</v>
      </c>
      <c r="F11185" s="4" t="str">
        <f>HYPERLINK("http://141.218.60.56/~jnz1568/getInfo.php?workbook=10_05.xlsx&amp;sheet=U0&amp;row=11185&amp;col=6&amp;number=3.1&amp;sourceID=14","3.1")</f>
        <v>3.1</v>
      </c>
      <c r="G11185" s="4" t="str">
        <f>HYPERLINK("http://141.218.60.56/~jnz1568/getInfo.php?workbook=10_05.xlsx&amp;sheet=U0&amp;row=11185&amp;col=7&amp;number=0.192&amp;sourceID=14","0.192")</f>
        <v>0.192</v>
      </c>
    </row>
    <row r="11186" spans="1:7">
      <c r="A11186" s="3"/>
      <c r="B11186" s="3"/>
      <c r="C11186" s="3"/>
      <c r="D11186" s="3"/>
      <c r="E11186" s="3">
        <v>3</v>
      </c>
      <c r="F11186" s="4" t="str">
        <f>HYPERLINK("http://141.218.60.56/~jnz1568/getInfo.php?workbook=10_05.xlsx&amp;sheet=U0&amp;row=11186&amp;col=6&amp;number=3.2&amp;sourceID=14","3.2")</f>
        <v>3.2</v>
      </c>
      <c r="G11186" s="4" t="str">
        <f>HYPERLINK("http://141.218.60.56/~jnz1568/getInfo.php?workbook=10_05.xlsx&amp;sheet=U0&amp;row=11186&amp;col=7&amp;number=0.195&amp;sourceID=14","0.195")</f>
        <v>0.195</v>
      </c>
    </row>
    <row r="11187" spans="1:7">
      <c r="A11187" s="3"/>
      <c r="B11187" s="3"/>
      <c r="C11187" s="3"/>
      <c r="D11187" s="3"/>
      <c r="E11187" s="3">
        <v>4</v>
      </c>
      <c r="F11187" s="4" t="str">
        <f>HYPERLINK("http://141.218.60.56/~jnz1568/getInfo.php?workbook=10_05.xlsx&amp;sheet=U0&amp;row=11187&amp;col=6&amp;number=3.3&amp;sourceID=14","3.3")</f>
        <v>3.3</v>
      </c>
      <c r="G11187" s="4" t="str">
        <f>HYPERLINK("http://141.218.60.56/~jnz1568/getInfo.php?workbook=10_05.xlsx&amp;sheet=U0&amp;row=11187&amp;col=7&amp;number=0.199&amp;sourceID=14","0.199")</f>
        <v>0.199</v>
      </c>
    </row>
    <row r="11188" spans="1:7">
      <c r="A11188" s="3"/>
      <c r="B11188" s="3"/>
      <c r="C11188" s="3"/>
      <c r="D11188" s="3"/>
      <c r="E11188" s="3">
        <v>5</v>
      </c>
      <c r="F11188" s="4" t="str">
        <f>HYPERLINK("http://141.218.60.56/~jnz1568/getInfo.php?workbook=10_05.xlsx&amp;sheet=U0&amp;row=11188&amp;col=6&amp;number=3.4&amp;sourceID=14","3.4")</f>
        <v>3.4</v>
      </c>
      <c r="G11188" s="4" t="str">
        <f>HYPERLINK("http://141.218.60.56/~jnz1568/getInfo.php?workbook=10_05.xlsx&amp;sheet=U0&amp;row=11188&amp;col=7&amp;number=0.204&amp;sourceID=14","0.204")</f>
        <v>0.204</v>
      </c>
    </row>
    <row r="11189" spans="1:7">
      <c r="A11189" s="3"/>
      <c r="B11189" s="3"/>
      <c r="C11189" s="3"/>
      <c r="D11189" s="3"/>
      <c r="E11189" s="3">
        <v>6</v>
      </c>
      <c r="F11189" s="4" t="str">
        <f>HYPERLINK("http://141.218.60.56/~jnz1568/getInfo.php?workbook=10_05.xlsx&amp;sheet=U0&amp;row=11189&amp;col=6&amp;number=3.5&amp;sourceID=14","3.5")</f>
        <v>3.5</v>
      </c>
      <c r="G11189" s="4" t="str">
        <f>HYPERLINK("http://141.218.60.56/~jnz1568/getInfo.php?workbook=10_05.xlsx&amp;sheet=U0&amp;row=11189&amp;col=7&amp;number=0.21&amp;sourceID=14","0.21")</f>
        <v>0.21</v>
      </c>
    </row>
    <row r="11190" spans="1:7">
      <c r="A11190" s="3"/>
      <c r="B11190" s="3"/>
      <c r="C11190" s="3"/>
      <c r="D11190" s="3"/>
      <c r="E11190" s="3">
        <v>7</v>
      </c>
      <c r="F11190" s="4" t="str">
        <f>HYPERLINK("http://141.218.60.56/~jnz1568/getInfo.php?workbook=10_05.xlsx&amp;sheet=U0&amp;row=11190&amp;col=6&amp;number=3.6&amp;sourceID=14","3.6")</f>
        <v>3.6</v>
      </c>
      <c r="G11190" s="4" t="str">
        <f>HYPERLINK("http://141.218.60.56/~jnz1568/getInfo.php?workbook=10_05.xlsx&amp;sheet=U0&amp;row=11190&amp;col=7&amp;number=0.217&amp;sourceID=14","0.217")</f>
        <v>0.217</v>
      </c>
    </row>
    <row r="11191" spans="1:7">
      <c r="A11191" s="3"/>
      <c r="B11191" s="3"/>
      <c r="C11191" s="3"/>
      <c r="D11191" s="3"/>
      <c r="E11191" s="3">
        <v>8</v>
      </c>
      <c r="F11191" s="4" t="str">
        <f>HYPERLINK("http://141.218.60.56/~jnz1568/getInfo.php?workbook=10_05.xlsx&amp;sheet=U0&amp;row=11191&amp;col=6&amp;number=3.7&amp;sourceID=14","3.7")</f>
        <v>3.7</v>
      </c>
      <c r="G11191" s="4" t="str">
        <f>HYPERLINK("http://141.218.60.56/~jnz1568/getInfo.php?workbook=10_05.xlsx&amp;sheet=U0&amp;row=11191&amp;col=7&amp;number=0.225&amp;sourceID=14","0.225")</f>
        <v>0.225</v>
      </c>
    </row>
    <row r="11192" spans="1:7">
      <c r="A11192" s="3"/>
      <c r="B11192" s="3"/>
      <c r="C11192" s="3"/>
      <c r="D11192" s="3"/>
      <c r="E11192" s="3">
        <v>9</v>
      </c>
      <c r="F11192" s="4" t="str">
        <f>HYPERLINK("http://141.218.60.56/~jnz1568/getInfo.php?workbook=10_05.xlsx&amp;sheet=U0&amp;row=11192&amp;col=6&amp;number=3.8&amp;sourceID=14","3.8")</f>
        <v>3.8</v>
      </c>
      <c r="G11192" s="4" t="str">
        <f>HYPERLINK("http://141.218.60.56/~jnz1568/getInfo.php?workbook=10_05.xlsx&amp;sheet=U0&amp;row=11192&amp;col=7&amp;number=0.234&amp;sourceID=14","0.234")</f>
        <v>0.234</v>
      </c>
    </row>
    <row r="11193" spans="1:7">
      <c r="A11193" s="3"/>
      <c r="B11193" s="3"/>
      <c r="C11193" s="3"/>
      <c r="D11193" s="3"/>
      <c r="E11193" s="3">
        <v>10</v>
      </c>
      <c r="F11193" s="4" t="str">
        <f>HYPERLINK("http://141.218.60.56/~jnz1568/getInfo.php?workbook=10_05.xlsx&amp;sheet=U0&amp;row=11193&amp;col=6&amp;number=3.9&amp;sourceID=14","3.9")</f>
        <v>3.9</v>
      </c>
      <c r="G11193" s="4" t="str">
        <f>HYPERLINK("http://141.218.60.56/~jnz1568/getInfo.php?workbook=10_05.xlsx&amp;sheet=U0&amp;row=11193&amp;col=7&amp;number=0.241&amp;sourceID=14","0.241")</f>
        <v>0.241</v>
      </c>
    </row>
    <row r="11194" spans="1:7">
      <c r="A11194" s="3"/>
      <c r="B11194" s="3"/>
      <c r="C11194" s="3"/>
      <c r="D11194" s="3"/>
      <c r="E11194" s="3">
        <v>11</v>
      </c>
      <c r="F11194" s="4" t="str">
        <f>HYPERLINK("http://141.218.60.56/~jnz1568/getInfo.php?workbook=10_05.xlsx&amp;sheet=U0&amp;row=11194&amp;col=6&amp;number=4&amp;sourceID=14","4")</f>
        <v>4</v>
      </c>
      <c r="G11194" s="4" t="str">
        <f>HYPERLINK("http://141.218.60.56/~jnz1568/getInfo.php?workbook=10_05.xlsx&amp;sheet=U0&amp;row=11194&amp;col=7&amp;number=0.247&amp;sourceID=14","0.247")</f>
        <v>0.247</v>
      </c>
    </row>
    <row r="11195" spans="1:7">
      <c r="A11195" s="3"/>
      <c r="B11195" s="3"/>
      <c r="C11195" s="3"/>
      <c r="D11195" s="3"/>
      <c r="E11195" s="3">
        <v>12</v>
      </c>
      <c r="F11195" s="4" t="str">
        <f>HYPERLINK("http://141.218.60.56/~jnz1568/getInfo.php?workbook=10_05.xlsx&amp;sheet=U0&amp;row=11195&amp;col=6&amp;number=4.1&amp;sourceID=14","4.1")</f>
        <v>4.1</v>
      </c>
      <c r="G11195" s="4" t="str">
        <f>HYPERLINK("http://141.218.60.56/~jnz1568/getInfo.php?workbook=10_05.xlsx&amp;sheet=U0&amp;row=11195&amp;col=7&amp;number=0.247&amp;sourceID=14","0.247")</f>
        <v>0.247</v>
      </c>
    </row>
    <row r="11196" spans="1:7">
      <c r="A11196" s="3"/>
      <c r="B11196" s="3"/>
      <c r="C11196" s="3"/>
      <c r="D11196" s="3"/>
      <c r="E11196" s="3">
        <v>13</v>
      </c>
      <c r="F11196" s="4" t="str">
        <f>HYPERLINK("http://141.218.60.56/~jnz1568/getInfo.php?workbook=10_05.xlsx&amp;sheet=U0&amp;row=11196&amp;col=6&amp;number=4.2&amp;sourceID=14","4.2")</f>
        <v>4.2</v>
      </c>
      <c r="G11196" s="4" t="str">
        <f>HYPERLINK("http://141.218.60.56/~jnz1568/getInfo.php?workbook=10_05.xlsx&amp;sheet=U0&amp;row=11196&amp;col=7&amp;number=0.241&amp;sourceID=14","0.241")</f>
        <v>0.241</v>
      </c>
    </row>
    <row r="11197" spans="1:7">
      <c r="A11197" s="3"/>
      <c r="B11197" s="3"/>
      <c r="C11197" s="3"/>
      <c r="D11197" s="3"/>
      <c r="E11197" s="3">
        <v>14</v>
      </c>
      <c r="F11197" s="4" t="str">
        <f>HYPERLINK("http://141.218.60.56/~jnz1568/getInfo.php?workbook=10_05.xlsx&amp;sheet=U0&amp;row=11197&amp;col=6&amp;number=4.3&amp;sourceID=14","4.3")</f>
        <v>4.3</v>
      </c>
      <c r="G11197" s="4" t="str">
        <f>HYPERLINK("http://141.218.60.56/~jnz1568/getInfo.php?workbook=10_05.xlsx&amp;sheet=U0&amp;row=11197&amp;col=7&amp;number=0.23&amp;sourceID=14","0.23")</f>
        <v>0.23</v>
      </c>
    </row>
    <row r="11198" spans="1:7">
      <c r="A11198" s="3"/>
      <c r="B11198" s="3"/>
      <c r="C11198" s="3"/>
      <c r="D11198" s="3"/>
      <c r="E11198" s="3">
        <v>15</v>
      </c>
      <c r="F11198" s="4" t="str">
        <f>HYPERLINK("http://141.218.60.56/~jnz1568/getInfo.php?workbook=10_05.xlsx&amp;sheet=U0&amp;row=11198&amp;col=6&amp;number=4.4&amp;sourceID=14","4.4")</f>
        <v>4.4</v>
      </c>
      <c r="G11198" s="4" t="str">
        <f>HYPERLINK("http://141.218.60.56/~jnz1568/getInfo.php?workbook=10_05.xlsx&amp;sheet=U0&amp;row=11198&amp;col=7&amp;number=0.216&amp;sourceID=14","0.216")</f>
        <v>0.216</v>
      </c>
    </row>
    <row r="11199" spans="1:7">
      <c r="A11199" s="3"/>
      <c r="B11199" s="3"/>
      <c r="C11199" s="3"/>
      <c r="D11199" s="3"/>
      <c r="E11199" s="3">
        <v>16</v>
      </c>
      <c r="F11199" s="4" t="str">
        <f>HYPERLINK("http://141.218.60.56/~jnz1568/getInfo.php?workbook=10_05.xlsx&amp;sheet=U0&amp;row=11199&amp;col=6&amp;number=4.5&amp;sourceID=14","4.5")</f>
        <v>4.5</v>
      </c>
      <c r="G11199" s="4" t="str">
        <f>HYPERLINK("http://141.218.60.56/~jnz1568/getInfo.php?workbook=10_05.xlsx&amp;sheet=U0&amp;row=11199&amp;col=7&amp;number=0.204&amp;sourceID=14","0.204")</f>
        <v>0.204</v>
      </c>
    </row>
    <row r="11200" spans="1:7">
      <c r="A11200" s="3"/>
      <c r="B11200" s="3"/>
      <c r="C11200" s="3"/>
      <c r="D11200" s="3"/>
      <c r="E11200" s="3">
        <v>17</v>
      </c>
      <c r="F11200" s="4" t="str">
        <f>HYPERLINK("http://141.218.60.56/~jnz1568/getInfo.php?workbook=10_05.xlsx&amp;sheet=U0&amp;row=11200&amp;col=6&amp;number=4.6&amp;sourceID=14","4.6")</f>
        <v>4.6</v>
      </c>
      <c r="G11200" s="4" t="str">
        <f>HYPERLINK("http://141.218.60.56/~jnz1568/getInfo.php?workbook=10_05.xlsx&amp;sheet=U0&amp;row=11200&amp;col=7&amp;number=0.19&amp;sourceID=14","0.19")</f>
        <v>0.19</v>
      </c>
    </row>
    <row r="11201" spans="1:7">
      <c r="A11201" s="3"/>
      <c r="B11201" s="3"/>
      <c r="C11201" s="3"/>
      <c r="D11201" s="3"/>
      <c r="E11201" s="3">
        <v>18</v>
      </c>
      <c r="F11201" s="4" t="str">
        <f>HYPERLINK("http://141.218.60.56/~jnz1568/getInfo.php?workbook=10_05.xlsx&amp;sheet=U0&amp;row=11201&amp;col=6&amp;number=4.7&amp;sourceID=14","4.7")</f>
        <v>4.7</v>
      </c>
      <c r="G11201" s="4" t="str">
        <f>HYPERLINK("http://141.218.60.56/~jnz1568/getInfo.php?workbook=10_05.xlsx&amp;sheet=U0&amp;row=11201&amp;col=7&amp;number=0.174&amp;sourceID=14","0.174")</f>
        <v>0.174</v>
      </c>
    </row>
    <row r="11202" spans="1:7">
      <c r="A11202" s="3"/>
      <c r="B11202" s="3"/>
      <c r="C11202" s="3"/>
      <c r="D11202" s="3"/>
      <c r="E11202" s="3">
        <v>19</v>
      </c>
      <c r="F11202" s="4" t="str">
        <f>HYPERLINK("http://141.218.60.56/~jnz1568/getInfo.php?workbook=10_05.xlsx&amp;sheet=U0&amp;row=11202&amp;col=6&amp;number=4.8&amp;sourceID=14","4.8")</f>
        <v>4.8</v>
      </c>
      <c r="G11202" s="4" t="str">
        <f>HYPERLINK("http://141.218.60.56/~jnz1568/getInfo.php?workbook=10_05.xlsx&amp;sheet=U0&amp;row=11202&amp;col=7&amp;number=0.156&amp;sourceID=14","0.156")</f>
        <v>0.156</v>
      </c>
    </row>
    <row r="11203" spans="1:7">
      <c r="A11203" s="3"/>
      <c r="B11203" s="3"/>
      <c r="C11203" s="3"/>
      <c r="D11203" s="3"/>
      <c r="E11203" s="3">
        <v>20</v>
      </c>
      <c r="F11203" s="4" t="str">
        <f>HYPERLINK("http://141.218.60.56/~jnz1568/getInfo.php?workbook=10_05.xlsx&amp;sheet=U0&amp;row=11203&amp;col=6&amp;number=4.9&amp;sourceID=14","4.9")</f>
        <v>4.9</v>
      </c>
      <c r="G11203" s="4" t="str">
        <f>HYPERLINK("http://141.218.60.56/~jnz1568/getInfo.php?workbook=10_05.xlsx&amp;sheet=U0&amp;row=11203&amp;col=7&amp;number=0.14&amp;sourceID=14","0.14")</f>
        <v>0.14</v>
      </c>
    </row>
    <row r="11204" spans="1:7">
      <c r="A11204" s="3">
        <v>10</v>
      </c>
      <c r="B11204" s="3">
        <v>5</v>
      </c>
      <c r="C11204" s="3">
        <v>4</v>
      </c>
      <c r="D11204" s="3">
        <v>31</v>
      </c>
      <c r="E11204" s="3">
        <v>1</v>
      </c>
      <c r="F11204" s="4" t="str">
        <f>HYPERLINK("http://141.218.60.56/~jnz1568/getInfo.php?workbook=10_05.xlsx&amp;sheet=U0&amp;row=11204&amp;col=6&amp;number=3&amp;sourceID=14","3")</f>
        <v>3</v>
      </c>
      <c r="G11204" s="4" t="str">
        <f>HYPERLINK("http://141.218.60.56/~jnz1568/getInfo.php?workbook=10_05.xlsx&amp;sheet=U0&amp;row=11204&amp;col=7&amp;number=0.295&amp;sourceID=14","0.295")</f>
        <v>0.295</v>
      </c>
    </row>
    <row r="11205" spans="1:7">
      <c r="A11205" s="3"/>
      <c r="B11205" s="3"/>
      <c r="C11205" s="3"/>
      <c r="D11205" s="3"/>
      <c r="E11205" s="3">
        <v>2</v>
      </c>
      <c r="F11205" s="4" t="str">
        <f>HYPERLINK("http://141.218.60.56/~jnz1568/getInfo.php?workbook=10_05.xlsx&amp;sheet=U0&amp;row=11205&amp;col=6&amp;number=3.1&amp;sourceID=14","3.1")</f>
        <v>3.1</v>
      </c>
      <c r="G11205" s="4" t="str">
        <f>HYPERLINK("http://141.218.60.56/~jnz1568/getInfo.php?workbook=10_05.xlsx&amp;sheet=U0&amp;row=11205&amp;col=7&amp;number=0.298&amp;sourceID=14","0.298")</f>
        <v>0.298</v>
      </c>
    </row>
    <row r="11206" spans="1:7">
      <c r="A11206" s="3"/>
      <c r="B11206" s="3"/>
      <c r="C11206" s="3"/>
      <c r="D11206" s="3"/>
      <c r="E11206" s="3">
        <v>3</v>
      </c>
      <c r="F11206" s="4" t="str">
        <f>HYPERLINK("http://141.218.60.56/~jnz1568/getInfo.php?workbook=10_05.xlsx&amp;sheet=U0&amp;row=11206&amp;col=6&amp;number=3.2&amp;sourceID=14","3.2")</f>
        <v>3.2</v>
      </c>
      <c r="G11206" s="4" t="str">
        <f>HYPERLINK("http://141.218.60.56/~jnz1568/getInfo.php?workbook=10_05.xlsx&amp;sheet=U0&amp;row=11206&amp;col=7&amp;number=0.301&amp;sourceID=14","0.301")</f>
        <v>0.301</v>
      </c>
    </row>
    <row r="11207" spans="1:7">
      <c r="A11207" s="3"/>
      <c r="B11207" s="3"/>
      <c r="C11207" s="3"/>
      <c r="D11207" s="3"/>
      <c r="E11207" s="3">
        <v>4</v>
      </c>
      <c r="F11207" s="4" t="str">
        <f>HYPERLINK("http://141.218.60.56/~jnz1568/getInfo.php?workbook=10_05.xlsx&amp;sheet=U0&amp;row=11207&amp;col=6&amp;number=3.3&amp;sourceID=14","3.3")</f>
        <v>3.3</v>
      </c>
      <c r="G11207" s="4" t="str">
        <f>HYPERLINK("http://141.218.60.56/~jnz1568/getInfo.php?workbook=10_05.xlsx&amp;sheet=U0&amp;row=11207&amp;col=7&amp;number=0.305&amp;sourceID=14","0.305")</f>
        <v>0.305</v>
      </c>
    </row>
    <row r="11208" spans="1:7">
      <c r="A11208" s="3"/>
      <c r="B11208" s="3"/>
      <c r="C11208" s="3"/>
      <c r="D11208" s="3"/>
      <c r="E11208" s="3">
        <v>5</v>
      </c>
      <c r="F11208" s="4" t="str">
        <f>HYPERLINK("http://141.218.60.56/~jnz1568/getInfo.php?workbook=10_05.xlsx&amp;sheet=U0&amp;row=11208&amp;col=6&amp;number=3.4&amp;sourceID=14","3.4")</f>
        <v>3.4</v>
      </c>
      <c r="G11208" s="4" t="str">
        <f>HYPERLINK("http://141.218.60.56/~jnz1568/getInfo.php?workbook=10_05.xlsx&amp;sheet=U0&amp;row=11208&amp;col=7&amp;number=0.31&amp;sourceID=14","0.31")</f>
        <v>0.31</v>
      </c>
    </row>
    <row r="11209" spans="1:7">
      <c r="A11209" s="3"/>
      <c r="B11209" s="3"/>
      <c r="C11209" s="3"/>
      <c r="D11209" s="3"/>
      <c r="E11209" s="3">
        <v>6</v>
      </c>
      <c r="F11209" s="4" t="str">
        <f>HYPERLINK("http://141.218.60.56/~jnz1568/getInfo.php?workbook=10_05.xlsx&amp;sheet=U0&amp;row=11209&amp;col=6&amp;number=3.5&amp;sourceID=14","3.5")</f>
        <v>3.5</v>
      </c>
      <c r="G11209" s="4" t="str">
        <f>HYPERLINK("http://141.218.60.56/~jnz1568/getInfo.php?workbook=10_05.xlsx&amp;sheet=U0&amp;row=11209&amp;col=7&amp;number=0.315&amp;sourceID=14","0.315")</f>
        <v>0.315</v>
      </c>
    </row>
    <row r="11210" spans="1:7">
      <c r="A11210" s="3"/>
      <c r="B11210" s="3"/>
      <c r="C11210" s="3"/>
      <c r="D11210" s="3"/>
      <c r="E11210" s="3">
        <v>7</v>
      </c>
      <c r="F11210" s="4" t="str">
        <f>HYPERLINK("http://141.218.60.56/~jnz1568/getInfo.php?workbook=10_05.xlsx&amp;sheet=U0&amp;row=11210&amp;col=6&amp;number=3.6&amp;sourceID=14","3.6")</f>
        <v>3.6</v>
      </c>
      <c r="G11210" s="4" t="str">
        <f>HYPERLINK("http://141.218.60.56/~jnz1568/getInfo.php?workbook=10_05.xlsx&amp;sheet=U0&amp;row=11210&amp;col=7&amp;number=0.321&amp;sourceID=14","0.321")</f>
        <v>0.321</v>
      </c>
    </row>
    <row r="11211" spans="1:7">
      <c r="A11211" s="3"/>
      <c r="B11211" s="3"/>
      <c r="C11211" s="3"/>
      <c r="D11211" s="3"/>
      <c r="E11211" s="3">
        <v>8</v>
      </c>
      <c r="F11211" s="4" t="str">
        <f>HYPERLINK("http://141.218.60.56/~jnz1568/getInfo.php?workbook=10_05.xlsx&amp;sheet=U0&amp;row=11211&amp;col=6&amp;number=3.7&amp;sourceID=14","3.7")</f>
        <v>3.7</v>
      </c>
      <c r="G11211" s="4" t="str">
        <f>HYPERLINK("http://141.218.60.56/~jnz1568/getInfo.php?workbook=10_05.xlsx&amp;sheet=U0&amp;row=11211&amp;col=7&amp;number=0.326&amp;sourceID=14","0.326")</f>
        <v>0.326</v>
      </c>
    </row>
    <row r="11212" spans="1:7">
      <c r="A11212" s="3"/>
      <c r="B11212" s="3"/>
      <c r="C11212" s="3"/>
      <c r="D11212" s="3"/>
      <c r="E11212" s="3">
        <v>9</v>
      </c>
      <c r="F11212" s="4" t="str">
        <f>HYPERLINK("http://141.218.60.56/~jnz1568/getInfo.php?workbook=10_05.xlsx&amp;sheet=U0&amp;row=11212&amp;col=6&amp;number=3.8&amp;sourceID=14","3.8")</f>
        <v>3.8</v>
      </c>
      <c r="G11212" s="4" t="str">
        <f>HYPERLINK("http://141.218.60.56/~jnz1568/getInfo.php?workbook=10_05.xlsx&amp;sheet=U0&amp;row=11212&amp;col=7&amp;number=0.33&amp;sourceID=14","0.33")</f>
        <v>0.33</v>
      </c>
    </row>
    <row r="11213" spans="1:7">
      <c r="A11213" s="3"/>
      <c r="B11213" s="3"/>
      <c r="C11213" s="3"/>
      <c r="D11213" s="3"/>
      <c r="E11213" s="3">
        <v>10</v>
      </c>
      <c r="F11213" s="4" t="str">
        <f>HYPERLINK("http://141.218.60.56/~jnz1568/getInfo.php?workbook=10_05.xlsx&amp;sheet=U0&amp;row=11213&amp;col=6&amp;number=3.9&amp;sourceID=14","3.9")</f>
        <v>3.9</v>
      </c>
      <c r="G11213" s="4" t="str">
        <f>HYPERLINK("http://141.218.60.56/~jnz1568/getInfo.php?workbook=10_05.xlsx&amp;sheet=U0&amp;row=11213&amp;col=7&amp;number=0.33&amp;sourceID=14","0.33")</f>
        <v>0.33</v>
      </c>
    </row>
    <row r="11214" spans="1:7">
      <c r="A11214" s="3"/>
      <c r="B11214" s="3"/>
      <c r="C11214" s="3"/>
      <c r="D11214" s="3"/>
      <c r="E11214" s="3">
        <v>11</v>
      </c>
      <c r="F11214" s="4" t="str">
        <f>HYPERLINK("http://141.218.60.56/~jnz1568/getInfo.php?workbook=10_05.xlsx&amp;sheet=U0&amp;row=11214&amp;col=6&amp;number=4&amp;sourceID=14","4")</f>
        <v>4</v>
      </c>
      <c r="G11214" s="4" t="str">
        <f>HYPERLINK("http://141.218.60.56/~jnz1568/getInfo.php?workbook=10_05.xlsx&amp;sheet=U0&amp;row=11214&amp;col=7&amp;number=0.325&amp;sourceID=14","0.325")</f>
        <v>0.325</v>
      </c>
    </row>
    <row r="11215" spans="1:7">
      <c r="A11215" s="3"/>
      <c r="B11215" s="3"/>
      <c r="C11215" s="3"/>
      <c r="D11215" s="3"/>
      <c r="E11215" s="3">
        <v>12</v>
      </c>
      <c r="F11215" s="4" t="str">
        <f>HYPERLINK("http://141.218.60.56/~jnz1568/getInfo.php?workbook=10_05.xlsx&amp;sheet=U0&amp;row=11215&amp;col=6&amp;number=4.1&amp;sourceID=14","4.1")</f>
        <v>4.1</v>
      </c>
      <c r="G11215" s="4" t="str">
        <f>HYPERLINK("http://141.218.60.56/~jnz1568/getInfo.php?workbook=10_05.xlsx&amp;sheet=U0&amp;row=11215&amp;col=7&amp;number=0.315&amp;sourceID=14","0.315")</f>
        <v>0.315</v>
      </c>
    </row>
    <row r="11216" spans="1:7">
      <c r="A11216" s="3"/>
      <c r="B11216" s="3"/>
      <c r="C11216" s="3"/>
      <c r="D11216" s="3"/>
      <c r="E11216" s="3">
        <v>13</v>
      </c>
      <c r="F11216" s="4" t="str">
        <f>HYPERLINK("http://141.218.60.56/~jnz1568/getInfo.php?workbook=10_05.xlsx&amp;sheet=U0&amp;row=11216&amp;col=6&amp;number=4.2&amp;sourceID=14","4.2")</f>
        <v>4.2</v>
      </c>
      <c r="G11216" s="4" t="str">
        <f>HYPERLINK("http://141.218.60.56/~jnz1568/getInfo.php?workbook=10_05.xlsx&amp;sheet=U0&amp;row=11216&amp;col=7&amp;number=0.302&amp;sourceID=14","0.302")</f>
        <v>0.302</v>
      </c>
    </row>
    <row r="11217" spans="1:7">
      <c r="A11217" s="3"/>
      <c r="B11217" s="3"/>
      <c r="C11217" s="3"/>
      <c r="D11217" s="3"/>
      <c r="E11217" s="3">
        <v>14</v>
      </c>
      <c r="F11217" s="4" t="str">
        <f>HYPERLINK("http://141.218.60.56/~jnz1568/getInfo.php?workbook=10_05.xlsx&amp;sheet=U0&amp;row=11217&amp;col=6&amp;number=4.3&amp;sourceID=14","4.3")</f>
        <v>4.3</v>
      </c>
      <c r="G11217" s="4" t="str">
        <f>HYPERLINK("http://141.218.60.56/~jnz1568/getInfo.php?workbook=10_05.xlsx&amp;sheet=U0&amp;row=11217&amp;col=7&amp;number=0.287&amp;sourceID=14","0.287")</f>
        <v>0.287</v>
      </c>
    </row>
    <row r="11218" spans="1:7">
      <c r="A11218" s="3"/>
      <c r="B11218" s="3"/>
      <c r="C11218" s="3"/>
      <c r="D11218" s="3"/>
      <c r="E11218" s="3">
        <v>15</v>
      </c>
      <c r="F11218" s="4" t="str">
        <f>HYPERLINK("http://141.218.60.56/~jnz1568/getInfo.php?workbook=10_05.xlsx&amp;sheet=U0&amp;row=11218&amp;col=6&amp;number=4.4&amp;sourceID=14","4.4")</f>
        <v>4.4</v>
      </c>
      <c r="G11218" s="4" t="str">
        <f>HYPERLINK("http://141.218.60.56/~jnz1568/getInfo.php?workbook=10_05.xlsx&amp;sheet=U0&amp;row=11218&amp;col=7&amp;number=0.271&amp;sourceID=14","0.271")</f>
        <v>0.271</v>
      </c>
    </row>
    <row r="11219" spans="1:7">
      <c r="A11219" s="3"/>
      <c r="B11219" s="3"/>
      <c r="C11219" s="3"/>
      <c r="D11219" s="3"/>
      <c r="E11219" s="3">
        <v>16</v>
      </c>
      <c r="F11219" s="4" t="str">
        <f>HYPERLINK("http://141.218.60.56/~jnz1568/getInfo.php?workbook=10_05.xlsx&amp;sheet=U0&amp;row=11219&amp;col=6&amp;number=4.5&amp;sourceID=14","4.5")</f>
        <v>4.5</v>
      </c>
      <c r="G11219" s="4" t="str">
        <f>HYPERLINK("http://141.218.60.56/~jnz1568/getInfo.php?workbook=10_05.xlsx&amp;sheet=U0&amp;row=11219&amp;col=7&amp;number=0.253&amp;sourceID=14","0.253")</f>
        <v>0.253</v>
      </c>
    </row>
    <row r="11220" spans="1:7">
      <c r="A11220" s="3"/>
      <c r="B11220" s="3"/>
      <c r="C11220" s="3"/>
      <c r="D11220" s="3"/>
      <c r="E11220" s="3">
        <v>17</v>
      </c>
      <c r="F11220" s="4" t="str">
        <f>HYPERLINK("http://141.218.60.56/~jnz1568/getInfo.php?workbook=10_05.xlsx&amp;sheet=U0&amp;row=11220&amp;col=6&amp;number=4.6&amp;sourceID=14","4.6")</f>
        <v>4.6</v>
      </c>
      <c r="G11220" s="4" t="str">
        <f>HYPERLINK("http://141.218.60.56/~jnz1568/getInfo.php?workbook=10_05.xlsx&amp;sheet=U0&amp;row=11220&amp;col=7&amp;number=0.233&amp;sourceID=14","0.233")</f>
        <v>0.233</v>
      </c>
    </row>
    <row r="11221" spans="1:7">
      <c r="A11221" s="3"/>
      <c r="B11221" s="3"/>
      <c r="C11221" s="3"/>
      <c r="D11221" s="3"/>
      <c r="E11221" s="3">
        <v>18</v>
      </c>
      <c r="F11221" s="4" t="str">
        <f>HYPERLINK("http://141.218.60.56/~jnz1568/getInfo.php?workbook=10_05.xlsx&amp;sheet=U0&amp;row=11221&amp;col=6&amp;number=4.7&amp;sourceID=14","4.7")</f>
        <v>4.7</v>
      </c>
      <c r="G11221" s="4" t="str">
        <f>HYPERLINK("http://141.218.60.56/~jnz1568/getInfo.php?workbook=10_05.xlsx&amp;sheet=U0&amp;row=11221&amp;col=7&amp;number=0.212&amp;sourceID=14","0.212")</f>
        <v>0.212</v>
      </c>
    </row>
    <row r="11222" spans="1:7">
      <c r="A11222" s="3"/>
      <c r="B11222" s="3"/>
      <c r="C11222" s="3"/>
      <c r="D11222" s="3"/>
      <c r="E11222" s="3">
        <v>19</v>
      </c>
      <c r="F11222" s="4" t="str">
        <f>HYPERLINK("http://141.218.60.56/~jnz1568/getInfo.php?workbook=10_05.xlsx&amp;sheet=U0&amp;row=11222&amp;col=6&amp;number=4.8&amp;sourceID=14","4.8")</f>
        <v>4.8</v>
      </c>
      <c r="G11222" s="4" t="str">
        <f>HYPERLINK("http://141.218.60.56/~jnz1568/getInfo.php?workbook=10_05.xlsx&amp;sheet=U0&amp;row=11222&amp;col=7&amp;number=0.191&amp;sourceID=14","0.191")</f>
        <v>0.191</v>
      </c>
    </row>
    <row r="11223" spans="1:7">
      <c r="A11223" s="3"/>
      <c r="B11223" s="3"/>
      <c r="C11223" s="3"/>
      <c r="D11223" s="3"/>
      <c r="E11223" s="3">
        <v>20</v>
      </c>
      <c r="F11223" s="4" t="str">
        <f>HYPERLINK("http://141.218.60.56/~jnz1568/getInfo.php?workbook=10_05.xlsx&amp;sheet=U0&amp;row=11223&amp;col=6&amp;number=4.9&amp;sourceID=14","4.9")</f>
        <v>4.9</v>
      </c>
      <c r="G11223" s="4" t="str">
        <f>HYPERLINK("http://141.218.60.56/~jnz1568/getInfo.php?workbook=10_05.xlsx&amp;sheet=U0&amp;row=11223&amp;col=7&amp;number=0.172&amp;sourceID=14","0.172")</f>
        <v>0.172</v>
      </c>
    </row>
    <row r="11224" spans="1:7">
      <c r="A11224" s="3">
        <v>10</v>
      </c>
      <c r="B11224" s="3">
        <v>5</v>
      </c>
      <c r="C11224" s="3">
        <v>4</v>
      </c>
      <c r="D11224" s="3">
        <v>32</v>
      </c>
      <c r="E11224" s="3">
        <v>1</v>
      </c>
      <c r="F11224" s="4" t="str">
        <f>HYPERLINK("http://141.218.60.56/~jnz1568/getInfo.php?workbook=10_05.xlsx&amp;sheet=U0&amp;row=11224&amp;col=6&amp;number=3&amp;sourceID=14","3")</f>
        <v>3</v>
      </c>
      <c r="G11224" s="4" t="str">
        <f>HYPERLINK("http://141.218.60.56/~jnz1568/getInfo.php?workbook=10_05.xlsx&amp;sheet=U0&amp;row=11224&amp;col=7&amp;number=0.261&amp;sourceID=14","0.261")</f>
        <v>0.261</v>
      </c>
    </row>
    <row r="11225" spans="1:7">
      <c r="A11225" s="3"/>
      <c r="B11225" s="3"/>
      <c r="C11225" s="3"/>
      <c r="D11225" s="3"/>
      <c r="E11225" s="3">
        <v>2</v>
      </c>
      <c r="F11225" s="4" t="str">
        <f>HYPERLINK("http://141.218.60.56/~jnz1568/getInfo.php?workbook=10_05.xlsx&amp;sheet=U0&amp;row=11225&amp;col=6&amp;number=3.1&amp;sourceID=14","3.1")</f>
        <v>3.1</v>
      </c>
      <c r="G11225" s="4" t="str">
        <f>HYPERLINK("http://141.218.60.56/~jnz1568/getInfo.php?workbook=10_05.xlsx&amp;sheet=U0&amp;row=11225&amp;col=7&amp;number=0.259&amp;sourceID=14","0.259")</f>
        <v>0.259</v>
      </c>
    </row>
    <row r="11226" spans="1:7">
      <c r="A11226" s="3"/>
      <c r="B11226" s="3"/>
      <c r="C11226" s="3"/>
      <c r="D11226" s="3"/>
      <c r="E11226" s="3">
        <v>3</v>
      </c>
      <c r="F11226" s="4" t="str">
        <f>HYPERLINK("http://141.218.60.56/~jnz1568/getInfo.php?workbook=10_05.xlsx&amp;sheet=U0&amp;row=11226&amp;col=6&amp;number=3.2&amp;sourceID=14","3.2")</f>
        <v>3.2</v>
      </c>
      <c r="G11226" s="4" t="str">
        <f>HYPERLINK("http://141.218.60.56/~jnz1568/getInfo.php?workbook=10_05.xlsx&amp;sheet=U0&amp;row=11226&amp;col=7&amp;number=0.257&amp;sourceID=14","0.257")</f>
        <v>0.257</v>
      </c>
    </row>
    <row r="11227" spans="1:7">
      <c r="A11227" s="3"/>
      <c r="B11227" s="3"/>
      <c r="C11227" s="3"/>
      <c r="D11227" s="3"/>
      <c r="E11227" s="3">
        <v>4</v>
      </c>
      <c r="F11227" s="4" t="str">
        <f>HYPERLINK("http://141.218.60.56/~jnz1568/getInfo.php?workbook=10_05.xlsx&amp;sheet=U0&amp;row=11227&amp;col=6&amp;number=3.3&amp;sourceID=14","3.3")</f>
        <v>3.3</v>
      </c>
      <c r="G11227" s="4" t="str">
        <f>HYPERLINK("http://141.218.60.56/~jnz1568/getInfo.php?workbook=10_05.xlsx&amp;sheet=U0&amp;row=11227&amp;col=7&amp;number=0.253&amp;sourceID=14","0.253")</f>
        <v>0.253</v>
      </c>
    </row>
    <row r="11228" spans="1:7">
      <c r="A11228" s="3"/>
      <c r="B11228" s="3"/>
      <c r="C11228" s="3"/>
      <c r="D11228" s="3"/>
      <c r="E11228" s="3">
        <v>5</v>
      </c>
      <c r="F11228" s="4" t="str">
        <f>HYPERLINK("http://141.218.60.56/~jnz1568/getInfo.php?workbook=10_05.xlsx&amp;sheet=U0&amp;row=11228&amp;col=6&amp;number=3.4&amp;sourceID=14","3.4")</f>
        <v>3.4</v>
      </c>
      <c r="G11228" s="4" t="str">
        <f>HYPERLINK("http://141.218.60.56/~jnz1568/getInfo.php?workbook=10_05.xlsx&amp;sheet=U0&amp;row=11228&amp;col=7&amp;number=0.249&amp;sourceID=14","0.249")</f>
        <v>0.249</v>
      </c>
    </row>
    <row r="11229" spans="1:7">
      <c r="A11229" s="3"/>
      <c r="B11229" s="3"/>
      <c r="C11229" s="3"/>
      <c r="D11229" s="3"/>
      <c r="E11229" s="3">
        <v>6</v>
      </c>
      <c r="F11229" s="4" t="str">
        <f>HYPERLINK("http://141.218.60.56/~jnz1568/getInfo.php?workbook=10_05.xlsx&amp;sheet=U0&amp;row=11229&amp;col=6&amp;number=3.5&amp;sourceID=14","3.5")</f>
        <v>3.5</v>
      </c>
      <c r="G11229" s="4" t="str">
        <f>HYPERLINK("http://141.218.60.56/~jnz1568/getInfo.php?workbook=10_05.xlsx&amp;sheet=U0&amp;row=11229&amp;col=7&amp;number=0.245&amp;sourceID=14","0.245")</f>
        <v>0.245</v>
      </c>
    </row>
    <row r="11230" spans="1:7">
      <c r="A11230" s="3"/>
      <c r="B11230" s="3"/>
      <c r="C11230" s="3"/>
      <c r="D11230" s="3"/>
      <c r="E11230" s="3">
        <v>7</v>
      </c>
      <c r="F11230" s="4" t="str">
        <f>HYPERLINK("http://141.218.60.56/~jnz1568/getInfo.php?workbook=10_05.xlsx&amp;sheet=U0&amp;row=11230&amp;col=6&amp;number=3.6&amp;sourceID=14","3.6")</f>
        <v>3.6</v>
      </c>
      <c r="G11230" s="4" t="str">
        <f>HYPERLINK("http://141.218.60.56/~jnz1568/getInfo.php?workbook=10_05.xlsx&amp;sheet=U0&amp;row=11230&amp;col=7&amp;number=0.239&amp;sourceID=14","0.239")</f>
        <v>0.239</v>
      </c>
    </row>
    <row r="11231" spans="1:7">
      <c r="A11231" s="3"/>
      <c r="B11231" s="3"/>
      <c r="C11231" s="3"/>
      <c r="D11231" s="3"/>
      <c r="E11231" s="3">
        <v>8</v>
      </c>
      <c r="F11231" s="4" t="str">
        <f>HYPERLINK("http://141.218.60.56/~jnz1568/getInfo.php?workbook=10_05.xlsx&amp;sheet=U0&amp;row=11231&amp;col=6&amp;number=3.7&amp;sourceID=14","3.7")</f>
        <v>3.7</v>
      </c>
      <c r="G11231" s="4" t="str">
        <f>HYPERLINK("http://141.218.60.56/~jnz1568/getInfo.php?workbook=10_05.xlsx&amp;sheet=U0&amp;row=11231&amp;col=7&amp;number=0.231&amp;sourceID=14","0.231")</f>
        <v>0.231</v>
      </c>
    </row>
    <row r="11232" spans="1:7">
      <c r="A11232" s="3"/>
      <c r="B11232" s="3"/>
      <c r="C11232" s="3"/>
      <c r="D11232" s="3"/>
      <c r="E11232" s="3">
        <v>9</v>
      </c>
      <c r="F11232" s="4" t="str">
        <f>HYPERLINK("http://141.218.60.56/~jnz1568/getInfo.php?workbook=10_05.xlsx&amp;sheet=U0&amp;row=11232&amp;col=6&amp;number=3.8&amp;sourceID=14","3.8")</f>
        <v>3.8</v>
      </c>
      <c r="G11232" s="4" t="str">
        <f>HYPERLINK("http://141.218.60.56/~jnz1568/getInfo.php?workbook=10_05.xlsx&amp;sheet=U0&amp;row=11232&amp;col=7&amp;number=0.223&amp;sourceID=14","0.223")</f>
        <v>0.223</v>
      </c>
    </row>
    <row r="11233" spans="1:7">
      <c r="A11233" s="3"/>
      <c r="B11233" s="3"/>
      <c r="C11233" s="3"/>
      <c r="D11233" s="3"/>
      <c r="E11233" s="3">
        <v>10</v>
      </c>
      <c r="F11233" s="4" t="str">
        <f>HYPERLINK("http://141.218.60.56/~jnz1568/getInfo.php?workbook=10_05.xlsx&amp;sheet=U0&amp;row=11233&amp;col=6&amp;number=3.9&amp;sourceID=14","3.9")</f>
        <v>3.9</v>
      </c>
      <c r="G11233" s="4" t="str">
        <f>HYPERLINK("http://141.218.60.56/~jnz1568/getInfo.php?workbook=10_05.xlsx&amp;sheet=U0&amp;row=11233&amp;col=7&amp;number=0.213&amp;sourceID=14","0.213")</f>
        <v>0.213</v>
      </c>
    </row>
    <row r="11234" spans="1:7">
      <c r="A11234" s="3"/>
      <c r="B11234" s="3"/>
      <c r="C11234" s="3"/>
      <c r="D11234" s="3"/>
      <c r="E11234" s="3">
        <v>11</v>
      </c>
      <c r="F11234" s="4" t="str">
        <f>HYPERLINK("http://141.218.60.56/~jnz1568/getInfo.php?workbook=10_05.xlsx&amp;sheet=U0&amp;row=11234&amp;col=6&amp;number=4&amp;sourceID=14","4")</f>
        <v>4</v>
      </c>
      <c r="G11234" s="4" t="str">
        <f>HYPERLINK("http://141.218.60.56/~jnz1568/getInfo.php?workbook=10_05.xlsx&amp;sheet=U0&amp;row=11234&amp;col=7&amp;number=0.202&amp;sourceID=14","0.202")</f>
        <v>0.202</v>
      </c>
    </row>
    <row r="11235" spans="1:7">
      <c r="A11235" s="3"/>
      <c r="B11235" s="3"/>
      <c r="C11235" s="3"/>
      <c r="D11235" s="3"/>
      <c r="E11235" s="3">
        <v>12</v>
      </c>
      <c r="F11235" s="4" t="str">
        <f>HYPERLINK("http://141.218.60.56/~jnz1568/getInfo.php?workbook=10_05.xlsx&amp;sheet=U0&amp;row=11235&amp;col=6&amp;number=4.1&amp;sourceID=14","4.1")</f>
        <v>4.1</v>
      </c>
      <c r="G11235" s="4" t="str">
        <f>HYPERLINK("http://141.218.60.56/~jnz1568/getInfo.php?workbook=10_05.xlsx&amp;sheet=U0&amp;row=11235&amp;col=7&amp;number=0.191&amp;sourceID=14","0.191")</f>
        <v>0.191</v>
      </c>
    </row>
    <row r="11236" spans="1:7">
      <c r="A11236" s="3"/>
      <c r="B11236" s="3"/>
      <c r="C11236" s="3"/>
      <c r="D11236" s="3"/>
      <c r="E11236" s="3">
        <v>13</v>
      </c>
      <c r="F11236" s="4" t="str">
        <f>HYPERLINK("http://141.218.60.56/~jnz1568/getInfo.php?workbook=10_05.xlsx&amp;sheet=U0&amp;row=11236&amp;col=6&amp;number=4.2&amp;sourceID=14","4.2")</f>
        <v>4.2</v>
      </c>
      <c r="G11236" s="4" t="str">
        <f>HYPERLINK("http://141.218.60.56/~jnz1568/getInfo.php?workbook=10_05.xlsx&amp;sheet=U0&amp;row=11236&amp;col=7&amp;number=0.179&amp;sourceID=14","0.179")</f>
        <v>0.179</v>
      </c>
    </row>
    <row r="11237" spans="1:7">
      <c r="A11237" s="3"/>
      <c r="B11237" s="3"/>
      <c r="C11237" s="3"/>
      <c r="D11237" s="3"/>
      <c r="E11237" s="3">
        <v>14</v>
      </c>
      <c r="F11237" s="4" t="str">
        <f>HYPERLINK("http://141.218.60.56/~jnz1568/getInfo.php?workbook=10_05.xlsx&amp;sheet=U0&amp;row=11237&amp;col=6&amp;number=4.3&amp;sourceID=14","4.3")</f>
        <v>4.3</v>
      </c>
      <c r="G11237" s="4" t="str">
        <f>HYPERLINK("http://141.218.60.56/~jnz1568/getInfo.php?workbook=10_05.xlsx&amp;sheet=U0&amp;row=11237&amp;col=7&amp;number=0.168&amp;sourceID=14","0.168")</f>
        <v>0.168</v>
      </c>
    </row>
    <row r="11238" spans="1:7">
      <c r="A11238" s="3"/>
      <c r="B11238" s="3"/>
      <c r="C11238" s="3"/>
      <c r="D11238" s="3"/>
      <c r="E11238" s="3">
        <v>15</v>
      </c>
      <c r="F11238" s="4" t="str">
        <f>HYPERLINK("http://141.218.60.56/~jnz1568/getInfo.php?workbook=10_05.xlsx&amp;sheet=U0&amp;row=11238&amp;col=6&amp;number=4.4&amp;sourceID=14","4.4")</f>
        <v>4.4</v>
      </c>
      <c r="G11238" s="4" t="str">
        <f>HYPERLINK("http://141.218.60.56/~jnz1568/getInfo.php?workbook=10_05.xlsx&amp;sheet=U0&amp;row=11238&amp;col=7&amp;number=0.158&amp;sourceID=14","0.158")</f>
        <v>0.158</v>
      </c>
    </row>
    <row r="11239" spans="1:7">
      <c r="A11239" s="3"/>
      <c r="B11239" s="3"/>
      <c r="C11239" s="3"/>
      <c r="D11239" s="3"/>
      <c r="E11239" s="3">
        <v>16</v>
      </c>
      <c r="F11239" s="4" t="str">
        <f>HYPERLINK("http://141.218.60.56/~jnz1568/getInfo.php?workbook=10_05.xlsx&amp;sheet=U0&amp;row=11239&amp;col=6&amp;number=4.5&amp;sourceID=14","4.5")</f>
        <v>4.5</v>
      </c>
      <c r="G11239" s="4" t="str">
        <f>HYPERLINK("http://141.218.60.56/~jnz1568/getInfo.php?workbook=10_05.xlsx&amp;sheet=U0&amp;row=11239&amp;col=7&amp;number=0.147&amp;sourceID=14","0.147")</f>
        <v>0.147</v>
      </c>
    </row>
    <row r="11240" spans="1:7">
      <c r="A11240" s="3"/>
      <c r="B11240" s="3"/>
      <c r="C11240" s="3"/>
      <c r="D11240" s="3"/>
      <c r="E11240" s="3">
        <v>17</v>
      </c>
      <c r="F11240" s="4" t="str">
        <f>HYPERLINK("http://141.218.60.56/~jnz1568/getInfo.php?workbook=10_05.xlsx&amp;sheet=U0&amp;row=11240&amp;col=6&amp;number=4.6&amp;sourceID=14","4.6")</f>
        <v>4.6</v>
      </c>
      <c r="G11240" s="4" t="str">
        <f>HYPERLINK("http://141.218.60.56/~jnz1568/getInfo.php?workbook=10_05.xlsx&amp;sheet=U0&amp;row=11240&amp;col=7&amp;number=0.135&amp;sourceID=14","0.135")</f>
        <v>0.135</v>
      </c>
    </row>
    <row r="11241" spans="1:7">
      <c r="A11241" s="3"/>
      <c r="B11241" s="3"/>
      <c r="C11241" s="3"/>
      <c r="D11241" s="3"/>
      <c r="E11241" s="3">
        <v>18</v>
      </c>
      <c r="F11241" s="4" t="str">
        <f>HYPERLINK("http://141.218.60.56/~jnz1568/getInfo.php?workbook=10_05.xlsx&amp;sheet=U0&amp;row=11241&amp;col=6&amp;number=4.7&amp;sourceID=14","4.7")</f>
        <v>4.7</v>
      </c>
      <c r="G11241" s="4" t="str">
        <f>HYPERLINK("http://141.218.60.56/~jnz1568/getInfo.php?workbook=10_05.xlsx&amp;sheet=U0&amp;row=11241&amp;col=7&amp;number=0.123&amp;sourceID=14","0.123")</f>
        <v>0.123</v>
      </c>
    </row>
    <row r="11242" spans="1:7">
      <c r="A11242" s="3"/>
      <c r="B11242" s="3"/>
      <c r="C11242" s="3"/>
      <c r="D11242" s="3"/>
      <c r="E11242" s="3">
        <v>19</v>
      </c>
      <c r="F11242" s="4" t="str">
        <f>HYPERLINK("http://141.218.60.56/~jnz1568/getInfo.php?workbook=10_05.xlsx&amp;sheet=U0&amp;row=11242&amp;col=6&amp;number=4.8&amp;sourceID=14","4.8")</f>
        <v>4.8</v>
      </c>
      <c r="G11242" s="4" t="str">
        <f>HYPERLINK("http://141.218.60.56/~jnz1568/getInfo.php?workbook=10_05.xlsx&amp;sheet=U0&amp;row=11242&amp;col=7&amp;number=0.111&amp;sourceID=14","0.111")</f>
        <v>0.111</v>
      </c>
    </row>
    <row r="11243" spans="1:7">
      <c r="A11243" s="3"/>
      <c r="B11243" s="3"/>
      <c r="C11243" s="3"/>
      <c r="D11243" s="3"/>
      <c r="E11243" s="3">
        <v>20</v>
      </c>
      <c r="F11243" s="4" t="str">
        <f>HYPERLINK("http://141.218.60.56/~jnz1568/getInfo.php?workbook=10_05.xlsx&amp;sheet=U0&amp;row=11243&amp;col=6&amp;number=4.9&amp;sourceID=14","4.9")</f>
        <v>4.9</v>
      </c>
      <c r="G11243" s="4" t="str">
        <f>HYPERLINK("http://141.218.60.56/~jnz1568/getInfo.php?workbook=10_05.xlsx&amp;sheet=U0&amp;row=11243&amp;col=7&amp;number=0.0994&amp;sourceID=14","0.0994")</f>
        <v>0.0994</v>
      </c>
    </row>
    <row r="11244" spans="1:7">
      <c r="A11244" s="3">
        <v>10</v>
      </c>
      <c r="B11244" s="3">
        <v>5</v>
      </c>
      <c r="C11244" s="3">
        <v>4</v>
      </c>
      <c r="D11244" s="3">
        <v>33</v>
      </c>
      <c r="E11244" s="3">
        <v>1</v>
      </c>
      <c r="F11244" s="4" t="str">
        <f>HYPERLINK("http://141.218.60.56/~jnz1568/getInfo.php?workbook=10_05.xlsx&amp;sheet=U0&amp;row=11244&amp;col=6&amp;number=3&amp;sourceID=14","3")</f>
        <v>3</v>
      </c>
      <c r="G11244" s="4" t="str">
        <f>HYPERLINK("http://141.218.60.56/~jnz1568/getInfo.php?workbook=10_05.xlsx&amp;sheet=U0&amp;row=11244&amp;col=7&amp;number=0.0741&amp;sourceID=14","0.0741")</f>
        <v>0.0741</v>
      </c>
    </row>
    <row r="11245" spans="1:7">
      <c r="A11245" s="3"/>
      <c r="B11245" s="3"/>
      <c r="C11245" s="3"/>
      <c r="D11245" s="3"/>
      <c r="E11245" s="3">
        <v>2</v>
      </c>
      <c r="F11245" s="4" t="str">
        <f>HYPERLINK("http://141.218.60.56/~jnz1568/getInfo.php?workbook=10_05.xlsx&amp;sheet=U0&amp;row=11245&amp;col=6&amp;number=3.1&amp;sourceID=14","3.1")</f>
        <v>3.1</v>
      </c>
      <c r="G11245" s="4" t="str">
        <f>HYPERLINK("http://141.218.60.56/~jnz1568/getInfo.php?workbook=10_05.xlsx&amp;sheet=U0&amp;row=11245&amp;col=7&amp;number=0.0747&amp;sourceID=14","0.0747")</f>
        <v>0.0747</v>
      </c>
    </row>
    <row r="11246" spans="1:7">
      <c r="A11246" s="3"/>
      <c r="B11246" s="3"/>
      <c r="C11246" s="3"/>
      <c r="D11246" s="3"/>
      <c r="E11246" s="3">
        <v>3</v>
      </c>
      <c r="F11246" s="4" t="str">
        <f>HYPERLINK("http://141.218.60.56/~jnz1568/getInfo.php?workbook=10_05.xlsx&amp;sheet=U0&amp;row=11246&amp;col=6&amp;number=3.2&amp;sourceID=14","3.2")</f>
        <v>3.2</v>
      </c>
      <c r="G11246" s="4" t="str">
        <f>HYPERLINK("http://141.218.60.56/~jnz1568/getInfo.php?workbook=10_05.xlsx&amp;sheet=U0&amp;row=11246&amp;col=7&amp;number=0.0754&amp;sourceID=14","0.0754")</f>
        <v>0.0754</v>
      </c>
    </row>
    <row r="11247" spans="1:7">
      <c r="A11247" s="3"/>
      <c r="B11247" s="3"/>
      <c r="C11247" s="3"/>
      <c r="D11247" s="3"/>
      <c r="E11247" s="3">
        <v>4</v>
      </c>
      <c r="F11247" s="4" t="str">
        <f>HYPERLINK("http://141.218.60.56/~jnz1568/getInfo.php?workbook=10_05.xlsx&amp;sheet=U0&amp;row=11247&amp;col=6&amp;number=3.3&amp;sourceID=14","3.3")</f>
        <v>3.3</v>
      </c>
      <c r="G11247" s="4" t="str">
        <f>HYPERLINK("http://141.218.60.56/~jnz1568/getInfo.php?workbook=10_05.xlsx&amp;sheet=U0&amp;row=11247&amp;col=7&amp;number=0.0762&amp;sourceID=14","0.0762")</f>
        <v>0.0762</v>
      </c>
    </row>
    <row r="11248" spans="1:7">
      <c r="A11248" s="3"/>
      <c r="B11248" s="3"/>
      <c r="C11248" s="3"/>
      <c r="D11248" s="3"/>
      <c r="E11248" s="3">
        <v>5</v>
      </c>
      <c r="F11248" s="4" t="str">
        <f>HYPERLINK("http://141.218.60.56/~jnz1568/getInfo.php?workbook=10_05.xlsx&amp;sheet=U0&amp;row=11248&amp;col=6&amp;number=3.4&amp;sourceID=14","3.4")</f>
        <v>3.4</v>
      </c>
      <c r="G11248" s="4" t="str">
        <f>HYPERLINK("http://141.218.60.56/~jnz1568/getInfo.php?workbook=10_05.xlsx&amp;sheet=U0&amp;row=11248&amp;col=7&amp;number=0.0772&amp;sourceID=14","0.0772")</f>
        <v>0.0772</v>
      </c>
    </row>
    <row r="11249" spans="1:7">
      <c r="A11249" s="3"/>
      <c r="B11249" s="3"/>
      <c r="C11249" s="3"/>
      <c r="D11249" s="3"/>
      <c r="E11249" s="3">
        <v>6</v>
      </c>
      <c r="F11249" s="4" t="str">
        <f>HYPERLINK("http://141.218.60.56/~jnz1568/getInfo.php?workbook=10_05.xlsx&amp;sheet=U0&amp;row=11249&amp;col=6&amp;number=3.5&amp;sourceID=14","3.5")</f>
        <v>3.5</v>
      </c>
      <c r="G11249" s="4" t="str">
        <f>HYPERLINK("http://141.218.60.56/~jnz1568/getInfo.php?workbook=10_05.xlsx&amp;sheet=U0&amp;row=11249&amp;col=7&amp;number=0.0785&amp;sourceID=14","0.0785")</f>
        <v>0.0785</v>
      </c>
    </row>
    <row r="11250" spans="1:7">
      <c r="A11250" s="3"/>
      <c r="B11250" s="3"/>
      <c r="C11250" s="3"/>
      <c r="D11250" s="3"/>
      <c r="E11250" s="3">
        <v>7</v>
      </c>
      <c r="F11250" s="4" t="str">
        <f>HYPERLINK("http://141.218.60.56/~jnz1568/getInfo.php?workbook=10_05.xlsx&amp;sheet=U0&amp;row=11250&amp;col=6&amp;number=3.6&amp;sourceID=14","3.6")</f>
        <v>3.6</v>
      </c>
      <c r="G11250" s="4" t="str">
        <f>HYPERLINK("http://141.218.60.56/~jnz1568/getInfo.php?workbook=10_05.xlsx&amp;sheet=U0&amp;row=11250&amp;col=7&amp;number=0.0799&amp;sourceID=14","0.0799")</f>
        <v>0.0799</v>
      </c>
    </row>
    <row r="11251" spans="1:7">
      <c r="A11251" s="3"/>
      <c r="B11251" s="3"/>
      <c r="C11251" s="3"/>
      <c r="D11251" s="3"/>
      <c r="E11251" s="3">
        <v>8</v>
      </c>
      <c r="F11251" s="4" t="str">
        <f>HYPERLINK("http://141.218.60.56/~jnz1568/getInfo.php?workbook=10_05.xlsx&amp;sheet=U0&amp;row=11251&amp;col=6&amp;number=3.7&amp;sourceID=14","3.7")</f>
        <v>3.7</v>
      </c>
      <c r="G11251" s="4" t="str">
        <f>HYPERLINK("http://141.218.60.56/~jnz1568/getInfo.php?workbook=10_05.xlsx&amp;sheet=U0&amp;row=11251&amp;col=7&amp;number=0.0817&amp;sourceID=14","0.0817")</f>
        <v>0.0817</v>
      </c>
    </row>
    <row r="11252" spans="1:7">
      <c r="A11252" s="3"/>
      <c r="B11252" s="3"/>
      <c r="C11252" s="3"/>
      <c r="D11252" s="3"/>
      <c r="E11252" s="3">
        <v>9</v>
      </c>
      <c r="F11252" s="4" t="str">
        <f>HYPERLINK("http://141.218.60.56/~jnz1568/getInfo.php?workbook=10_05.xlsx&amp;sheet=U0&amp;row=11252&amp;col=6&amp;number=3.8&amp;sourceID=14","3.8")</f>
        <v>3.8</v>
      </c>
      <c r="G11252" s="4" t="str">
        <f>HYPERLINK("http://141.218.60.56/~jnz1568/getInfo.php?workbook=10_05.xlsx&amp;sheet=U0&amp;row=11252&amp;col=7&amp;number=0.0835&amp;sourceID=14","0.0835")</f>
        <v>0.0835</v>
      </c>
    </row>
    <row r="11253" spans="1:7">
      <c r="A11253" s="3"/>
      <c r="B11253" s="3"/>
      <c r="C11253" s="3"/>
      <c r="D11253" s="3"/>
      <c r="E11253" s="3">
        <v>10</v>
      </c>
      <c r="F11253" s="4" t="str">
        <f>HYPERLINK("http://141.218.60.56/~jnz1568/getInfo.php?workbook=10_05.xlsx&amp;sheet=U0&amp;row=11253&amp;col=6&amp;number=3.9&amp;sourceID=14","3.9")</f>
        <v>3.9</v>
      </c>
      <c r="G11253" s="4" t="str">
        <f>HYPERLINK("http://141.218.60.56/~jnz1568/getInfo.php?workbook=10_05.xlsx&amp;sheet=U0&amp;row=11253&amp;col=7&amp;number=0.0855&amp;sourceID=14","0.0855")</f>
        <v>0.0855</v>
      </c>
    </row>
    <row r="11254" spans="1:7">
      <c r="A11254" s="3"/>
      <c r="B11254" s="3"/>
      <c r="C11254" s="3"/>
      <c r="D11254" s="3"/>
      <c r="E11254" s="3">
        <v>11</v>
      </c>
      <c r="F11254" s="4" t="str">
        <f>HYPERLINK("http://141.218.60.56/~jnz1568/getInfo.php?workbook=10_05.xlsx&amp;sheet=U0&amp;row=11254&amp;col=6&amp;number=4&amp;sourceID=14","4")</f>
        <v>4</v>
      </c>
      <c r="G11254" s="4" t="str">
        <f>HYPERLINK("http://141.218.60.56/~jnz1568/getInfo.php?workbook=10_05.xlsx&amp;sheet=U0&amp;row=11254&amp;col=7&amp;number=0.0871&amp;sourceID=14","0.0871")</f>
        <v>0.0871</v>
      </c>
    </row>
    <row r="11255" spans="1:7">
      <c r="A11255" s="3"/>
      <c r="B11255" s="3"/>
      <c r="C11255" s="3"/>
      <c r="D11255" s="3"/>
      <c r="E11255" s="3">
        <v>12</v>
      </c>
      <c r="F11255" s="4" t="str">
        <f>HYPERLINK("http://141.218.60.56/~jnz1568/getInfo.php?workbook=10_05.xlsx&amp;sheet=U0&amp;row=11255&amp;col=6&amp;number=4.1&amp;sourceID=14","4.1")</f>
        <v>4.1</v>
      </c>
      <c r="G11255" s="4" t="str">
        <f>HYPERLINK("http://141.218.60.56/~jnz1568/getInfo.php?workbook=10_05.xlsx&amp;sheet=U0&amp;row=11255&amp;col=7&amp;number=0.0879&amp;sourceID=14","0.0879")</f>
        <v>0.0879</v>
      </c>
    </row>
    <row r="11256" spans="1:7">
      <c r="A11256" s="3"/>
      <c r="B11256" s="3"/>
      <c r="C11256" s="3"/>
      <c r="D11256" s="3"/>
      <c r="E11256" s="3">
        <v>13</v>
      </c>
      <c r="F11256" s="4" t="str">
        <f>HYPERLINK("http://141.218.60.56/~jnz1568/getInfo.php?workbook=10_05.xlsx&amp;sheet=U0&amp;row=11256&amp;col=6&amp;number=4.2&amp;sourceID=14","4.2")</f>
        <v>4.2</v>
      </c>
      <c r="G11256" s="4" t="str">
        <f>HYPERLINK("http://141.218.60.56/~jnz1568/getInfo.php?workbook=10_05.xlsx&amp;sheet=U0&amp;row=11256&amp;col=7&amp;number=0.0872&amp;sourceID=14","0.0872")</f>
        <v>0.0872</v>
      </c>
    </row>
    <row r="11257" spans="1:7">
      <c r="A11257" s="3"/>
      <c r="B11257" s="3"/>
      <c r="C11257" s="3"/>
      <c r="D11257" s="3"/>
      <c r="E11257" s="3">
        <v>14</v>
      </c>
      <c r="F11257" s="4" t="str">
        <f>HYPERLINK("http://141.218.60.56/~jnz1568/getInfo.php?workbook=10_05.xlsx&amp;sheet=U0&amp;row=11257&amp;col=6&amp;number=4.3&amp;sourceID=14","4.3")</f>
        <v>4.3</v>
      </c>
      <c r="G11257" s="4" t="str">
        <f>HYPERLINK("http://141.218.60.56/~jnz1568/getInfo.php?workbook=10_05.xlsx&amp;sheet=U0&amp;row=11257&amp;col=7&amp;number=0.0848&amp;sourceID=14","0.0848")</f>
        <v>0.0848</v>
      </c>
    </row>
    <row r="11258" spans="1:7">
      <c r="A11258" s="3"/>
      <c r="B11258" s="3"/>
      <c r="C11258" s="3"/>
      <c r="D11258" s="3"/>
      <c r="E11258" s="3">
        <v>15</v>
      </c>
      <c r="F11258" s="4" t="str">
        <f>HYPERLINK("http://141.218.60.56/~jnz1568/getInfo.php?workbook=10_05.xlsx&amp;sheet=U0&amp;row=11258&amp;col=6&amp;number=4.4&amp;sourceID=14","4.4")</f>
        <v>4.4</v>
      </c>
      <c r="G11258" s="4" t="str">
        <f>HYPERLINK("http://141.218.60.56/~jnz1568/getInfo.php?workbook=10_05.xlsx&amp;sheet=U0&amp;row=11258&amp;col=7&amp;number=0.081&amp;sourceID=14","0.081")</f>
        <v>0.081</v>
      </c>
    </row>
    <row r="11259" spans="1:7">
      <c r="A11259" s="3"/>
      <c r="B11259" s="3"/>
      <c r="C11259" s="3"/>
      <c r="D11259" s="3"/>
      <c r="E11259" s="3">
        <v>16</v>
      </c>
      <c r="F11259" s="4" t="str">
        <f>HYPERLINK("http://141.218.60.56/~jnz1568/getInfo.php?workbook=10_05.xlsx&amp;sheet=U0&amp;row=11259&amp;col=6&amp;number=4.5&amp;sourceID=14","4.5")</f>
        <v>4.5</v>
      </c>
      <c r="G11259" s="4" t="str">
        <f>HYPERLINK("http://141.218.60.56/~jnz1568/getInfo.php?workbook=10_05.xlsx&amp;sheet=U0&amp;row=11259&amp;col=7&amp;number=0.0767&amp;sourceID=14","0.0767")</f>
        <v>0.0767</v>
      </c>
    </row>
    <row r="11260" spans="1:7">
      <c r="A11260" s="3"/>
      <c r="B11260" s="3"/>
      <c r="C11260" s="3"/>
      <c r="D11260" s="3"/>
      <c r="E11260" s="3">
        <v>17</v>
      </c>
      <c r="F11260" s="4" t="str">
        <f>HYPERLINK("http://141.218.60.56/~jnz1568/getInfo.php?workbook=10_05.xlsx&amp;sheet=U0&amp;row=11260&amp;col=6&amp;number=4.6&amp;sourceID=14","4.6")</f>
        <v>4.6</v>
      </c>
      <c r="G11260" s="4" t="str">
        <f>HYPERLINK("http://141.218.60.56/~jnz1568/getInfo.php?workbook=10_05.xlsx&amp;sheet=U0&amp;row=11260&amp;col=7&amp;number=0.0722&amp;sourceID=14","0.0722")</f>
        <v>0.0722</v>
      </c>
    </row>
    <row r="11261" spans="1:7">
      <c r="A11261" s="3"/>
      <c r="B11261" s="3"/>
      <c r="C11261" s="3"/>
      <c r="D11261" s="3"/>
      <c r="E11261" s="3">
        <v>18</v>
      </c>
      <c r="F11261" s="4" t="str">
        <f>HYPERLINK("http://141.218.60.56/~jnz1568/getInfo.php?workbook=10_05.xlsx&amp;sheet=U0&amp;row=11261&amp;col=6&amp;number=4.7&amp;sourceID=14","4.7")</f>
        <v>4.7</v>
      </c>
      <c r="G11261" s="4" t="str">
        <f>HYPERLINK("http://141.218.60.56/~jnz1568/getInfo.php?workbook=10_05.xlsx&amp;sheet=U0&amp;row=11261&amp;col=7&amp;number=0.0673&amp;sourceID=14","0.0673")</f>
        <v>0.0673</v>
      </c>
    </row>
    <row r="11262" spans="1:7">
      <c r="A11262" s="3"/>
      <c r="B11262" s="3"/>
      <c r="C11262" s="3"/>
      <c r="D11262" s="3"/>
      <c r="E11262" s="3">
        <v>19</v>
      </c>
      <c r="F11262" s="4" t="str">
        <f>HYPERLINK("http://141.218.60.56/~jnz1568/getInfo.php?workbook=10_05.xlsx&amp;sheet=U0&amp;row=11262&amp;col=6&amp;number=4.8&amp;sourceID=14","4.8")</f>
        <v>4.8</v>
      </c>
      <c r="G11262" s="4" t="str">
        <f>HYPERLINK("http://141.218.60.56/~jnz1568/getInfo.php?workbook=10_05.xlsx&amp;sheet=U0&amp;row=11262&amp;col=7&amp;number=0.0616&amp;sourceID=14","0.0616")</f>
        <v>0.0616</v>
      </c>
    </row>
    <row r="11263" spans="1:7">
      <c r="A11263" s="3"/>
      <c r="B11263" s="3"/>
      <c r="C11263" s="3"/>
      <c r="D11263" s="3"/>
      <c r="E11263" s="3">
        <v>20</v>
      </c>
      <c r="F11263" s="4" t="str">
        <f>HYPERLINK("http://141.218.60.56/~jnz1568/getInfo.php?workbook=10_05.xlsx&amp;sheet=U0&amp;row=11263&amp;col=6&amp;number=4.9&amp;sourceID=14","4.9")</f>
        <v>4.9</v>
      </c>
      <c r="G11263" s="4" t="str">
        <f>HYPERLINK("http://141.218.60.56/~jnz1568/getInfo.php?workbook=10_05.xlsx&amp;sheet=U0&amp;row=11263&amp;col=7&amp;number=0.0559&amp;sourceID=14","0.0559")</f>
        <v>0.0559</v>
      </c>
    </row>
    <row r="11264" spans="1:7">
      <c r="A11264" s="3">
        <v>10</v>
      </c>
      <c r="B11264" s="3">
        <v>5</v>
      </c>
      <c r="C11264" s="3">
        <v>4</v>
      </c>
      <c r="D11264" s="3">
        <v>34</v>
      </c>
      <c r="E11264" s="3">
        <v>1</v>
      </c>
      <c r="F11264" s="4" t="str">
        <f>HYPERLINK("http://141.218.60.56/~jnz1568/getInfo.php?workbook=10_05.xlsx&amp;sheet=U0&amp;row=11264&amp;col=6&amp;number=3&amp;sourceID=14","3")</f>
        <v>3</v>
      </c>
      <c r="G11264" s="4" t="str">
        <f>HYPERLINK("http://141.218.60.56/~jnz1568/getInfo.php?workbook=10_05.xlsx&amp;sheet=U0&amp;row=11264&amp;col=7&amp;number=0.543&amp;sourceID=14","0.543")</f>
        <v>0.543</v>
      </c>
    </row>
    <row r="11265" spans="1:7">
      <c r="A11265" s="3"/>
      <c r="B11265" s="3"/>
      <c r="C11265" s="3"/>
      <c r="D11265" s="3"/>
      <c r="E11265" s="3">
        <v>2</v>
      </c>
      <c r="F11265" s="4" t="str">
        <f>HYPERLINK("http://141.218.60.56/~jnz1568/getInfo.php?workbook=10_05.xlsx&amp;sheet=U0&amp;row=11265&amp;col=6&amp;number=3.1&amp;sourceID=14","3.1")</f>
        <v>3.1</v>
      </c>
      <c r="G11265" s="4" t="str">
        <f>HYPERLINK("http://141.218.60.56/~jnz1568/getInfo.php?workbook=10_05.xlsx&amp;sheet=U0&amp;row=11265&amp;col=7&amp;number=0.549&amp;sourceID=14","0.549")</f>
        <v>0.549</v>
      </c>
    </row>
    <row r="11266" spans="1:7">
      <c r="A11266" s="3"/>
      <c r="B11266" s="3"/>
      <c r="C11266" s="3"/>
      <c r="D11266" s="3"/>
      <c r="E11266" s="3">
        <v>3</v>
      </c>
      <c r="F11266" s="4" t="str">
        <f>HYPERLINK("http://141.218.60.56/~jnz1568/getInfo.php?workbook=10_05.xlsx&amp;sheet=U0&amp;row=11266&amp;col=6&amp;number=3.2&amp;sourceID=14","3.2")</f>
        <v>3.2</v>
      </c>
      <c r="G11266" s="4" t="str">
        <f>HYPERLINK("http://141.218.60.56/~jnz1568/getInfo.php?workbook=10_05.xlsx&amp;sheet=U0&amp;row=11266&amp;col=7&amp;number=0.555&amp;sourceID=14","0.555")</f>
        <v>0.555</v>
      </c>
    </row>
    <row r="11267" spans="1:7">
      <c r="A11267" s="3"/>
      <c r="B11267" s="3"/>
      <c r="C11267" s="3"/>
      <c r="D11267" s="3"/>
      <c r="E11267" s="3">
        <v>4</v>
      </c>
      <c r="F11267" s="4" t="str">
        <f>HYPERLINK("http://141.218.60.56/~jnz1568/getInfo.php?workbook=10_05.xlsx&amp;sheet=U0&amp;row=11267&amp;col=6&amp;number=3.3&amp;sourceID=14","3.3")</f>
        <v>3.3</v>
      </c>
      <c r="G11267" s="4" t="str">
        <f>HYPERLINK("http://141.218.60.56/~jnz1568/getInfo.php?workbook=10_05.xlsx&amp;sheet=U0&amp;row=11267&amp;col=7&amp;number=0.562&amp;sourceID=14","0.562")</f>
        <v>0.562</v>
      </c>
    </row>
    <row r="11268" spans="1:7">
      <c r="A11268" s="3"/>
      <c r="B11268" s="3"/>
      <c r="C11268" s="3"/>
      <c r="D11268" s="3"/>
      <c r="E11268" s="3">
        <v>5</v>
      </c>
      <c r="F11268" s="4" t="str">
        <f>HYPERLINK("http://141.218.60.56/~jnz1568/getInfo.php?workbook=10_05.xlsx&amp;sheet=U0&amp;row=11268&amp;col=6&amp;number=3.4&amp;sourceID=14","3.4")</f>
        <v>3.4</v>
      </c>
      <c r="G11268" s="4" t="str">
        <f>HYPERLINK("http://141.218.60.56/~jnz1568/getInfo.php?workbook=10_05.xlsx&amp;sheet=U0&amp;row=11268&amp;col=7&amp;number=0.572&amp;sourceID=14","0.572")</f>
        <v>0.572</v>
      </c>
    </row>
    <row r="11269" spans="1:7">
      <c r="A11269" s="3"/>
      <c r="B11269" s="3"/>
      <c r="C11269" s="3"/>
      <c r="D11269" s="3"/>
      <c r="E11269" s="3">
        <v>6</v>
      </c>
      <c r="F11269" s="4" t="str">
        <f>HYPERLINK("http://141.218.60.56/~jnz1568/getInfo.php?workbook=10_05.xlsx&amp;sheet=U0&amp;row=11269&amp;col=6&amp;number=3.5&amp;sourceID=14","3.5")</f>
        <v>3.5</v>
      </c>
      <c r="G11269" s="4" t="str">
        <f>HYPERLINK("http://141.218.60.56/~jnz1568/getInfo.php?workbook=10_05.xlsx&amp;sheet=U0&amp;row=11269&amp;col=7&amp;number=0.583&amp;sourceID=14","0.583")</f>
        <v>0.583</v>
      </c>
    </row>
    <row r="11270" spans="1:7">
      <c r="A11270" s="3"/>
      <c r="B11270" s="3"/>
      <c r="C11270" s="3"/>
      <c r="D11270" s="3"/>
      <c r="E11270" s="3">
        <v>7</v>
      </c>
      <c r="F11270" s="4" t="str">
        <f>HYPERLINK("http://141.218.60.56/~jnz1568/getInfo.php?workbook=10_05.xlsx&amp;sheet=U0&amp;row=11270&amp;col=6&amp;number=3.6&amp;sourceID=14","3.6")</f>
        <v>3.6</v>
      </c>
      <c r="G11270" s="4" t="str">
        <f>HYPERLINK("http://141.218.60.56/~jnz1568/getInfo.php?workbook=10_05.xlsx&amp;sheet=U0&amp;row=11270&amp;col=7&amp;number=0.596&amp;sourceID=14","0.596")</f>
        <v>0.596</v>
      </c>
    </row>
    <row r="11271" spans="1:7">
      <c r="A11271" s="3"/>
      <c r="B11271" s="3"/>
      <c r="C11271" s="3"/>
      <c r="D11271" s="3"/>
      <c r="E11271" s="3">
        <v>8</v>
      </c>
      <c r="F11271" s="4" t="str">
        <f>HYPERLINK("http://141.218.60.56/~jnz1568/getInfo.php?workbook=10_05.xlsx&amp;sheet=U0&amp;row=11271&amp;col=6&amp;number=3.7&amp;sourceID=14","3.7")</f>
        <v>3.7</v>
      </c>
      <c r="G11271" s="4" t="str">
        <f>HYPERLINK("http://141.218.60.56/~jnz1568/getInfo.php?workbook=10_05.xlsx&amp;sheet=U0&amp;row=11271&amp;col=7&amp;number=0.61&amp;sourceID=14","0.61")</f>
        <v>0.61</v>
      </c>
    </row>
    <row r="11272" spans="1:7">
      <c r="A11272" s="3"/>
      <c r="B11272" s="3"/>
      <c r="C11272" s="3"/>
      <c r="D11272" s="3"/>
      <c r="E11272" s="3">
        <v>9</v>
      </c>
      <c r="F11272" s="4" t="str">
        <f>HYPERLINK("http://141.218.60.56/~jnz1568/getInfo.php?workbook=10_05.xlsx&amp;sheet=U0&amp;row=11272&amp;col=6&amp;number=3.8&amp;sourceID=14","3.8")</f>
        <v>3.8</v>
      </c>
      <c r="G11272" s="4" t="str">
        <f>HYPERLINK("http://141.218.60.56/~jnz1568/getInfo.php?workbook=10_05.xlsx&amp;sheet=U0&amp;row=11272&amp;col=7&amp;number=0.626&amp;sourceID=14","0.626")</f>
        <v>0.626</v>
      </c>
    </row>
    <row r="11273" spans="1:7">
      <c r="A11273" s="3"/>
      <c r="B11273" s="3"/>
      <c r="C11273" s="3"/>
      <c r="D11273" s="3"/>
      <c r="E11273" s="3">
        <v>10</v>
      </c>
      <c r="F11273" s="4" t="str">
        <f>HYPERLINK("http://141.218.60.56/~jnz1568/getInfo.php?workbook=10_05.xlsx&amp;sheet=U0&amp;row=11273&amp;col=6&amp;number=3.9&amp;sourceID=14","3.9")</f>
        <v>3.9</v>
      </c>
      <c r="G11273" s="4" t="str">
        <f>HYPERLINK("http://141.218.60.56/~jnz1568/getInfo.php?workbook=10_05.xlsx&amp;sheet=U0&amp;row=11273&amp;col=7&amp;number=0.64&amp;sourceID=14","0.64")</f>
        <v>0.64</v>
      </c>
    </row>
    <row r="11274" spans="1:7">
      <c r="A11274" s="3"/>
      <c r="B11274" s="3"/>
      <c r="C11274" s="3"/>
      <c r="D11274" s="3"/>
      <c r="E11274" s="3">
        <v>11</v>
      </c>
      <c r="F11274" s="4" t="str">
        <f>HYPERLINK("http://141.218.60.56/~jnz1568/getInfo.php?workbook=10_05.xlsx&amp;sheet=U0&amp;row=11274&amp;col=6&amp;number=4&amp;sourceID=14","4")</f>
        <v>4</v>
      </c>
      <c r="G11274" s="4" t="str">
        <f>HYPERLINK("http://141.218.60.56/~jnz1568/getInfo.php?workbook=10_05.xlsx&amp;sheet=U0&amp;row=11274&amp;col=7&amp;number=0.65&amp;sourceID=14","0.65")</f>
        <v>0.65</v>
      </c>
    </row>
    <row r="11275" spans="1:7">
      <c r="A11275" s="3"/>
      <c r="B11275" s="3"/>
      <c r="C11275" s="3"/>
      <c r="D11275" s="3"/>
      <c r="E11275" s="3">
        <v>12</v>
      </c>
      <c r="F11275" s="4" t="str">
        <f>HYPERLINK("http://141.218.60.56/~jnz1568/getInfo.php?workbook=10_05.xlsx&amp;sheet=U0&amp;row=11275&amp;col=6&amp;number=4.1&amp;sourceID=14","4.1")</f>
        <v>4.1</v>
      </c>
      <c r="G11275" s="4" t="str">
        <f>HYPERLINK("http://141.218.60.56/~jnz1568/getInfo.php?workbook=10_05.xlsx&amp;sheet=U0&amp;row=11275&amp;col=7&amp;number=0.654&amp;sourceID=14","0.654")</f>
        <v>0.654</v>
      </c>
    </row>
    <row r="11276" spans="1:7">
      <c r="A11276" s="3"/>
      <c r="B11276" s="3"/>
      <c r="C11276" s="3"/>
      <c r="D11276" s="3"/>
      <c r="E11276" s="3">
        <v>13</v>
      </c>
      <c r="F11276" s="4" t="str">
        <f>HYPERLINK("http://141.218.60.56/~jnz1568/getInfo.php?workbook=10_05.xlsx&amp;sheet=U0&amp;row=11276&amp;col=6&amp;number=4.2&amp;sourceID=14","4.2")</f>
        <v>4.2</v>
      </c>
      <c r="G11276" s="4" t="str">
        <f>HYPERLINK("http://141.218.60.56/~jnz1568/getInfo.php?workbook=10_05.xlsx&amp;sheet=U0&amp;row=11276&amp;col=7&amp;number=0.652&amp;sourceID=14","0.652")</f>
        <v>0.652</v>
      </c>
    </row>
    <row r="11277" spans="1:7">
      <c r="A11277" s="3"/>
      <c r="B11277" s="3"/>
      <c r="C11277" s="3"/>
      <c r="D11277" s="3"/>
      <c r="E11277" s="3">
        <v>14</v>
      </c>
      <c r="F11277" s="4" t="str">
        <f>HYPERLINK("http://141.218.60.56/~jnz1568/getInfo.php?workbook=10_05.xlsx&amp;sheet=U0&amp;row=11277&amp;col=6&amp;number=4.3&amp;sourceID=14","4.3")</f>
        <v>4.3</v>
      </c>
      <c r="G11277" s="4" t="str">
        <f>HYPERLINK("http://141.218.60.56/~jnz1568/getInfo.php?workbook=10_05.xlsx&amp;sheet=U0&amp;row=11277&amp;col=7&amp;number=0.645&amp;sourceID=14","0.645")</f>
        <v>0.645</v>
      </c>
    </row>
    <row r="11278" spans="1:7">
      <c r="A11278" s="3"/>
      <c r="B11278" s="3"/>
      <c r="C11278" s="3"/>
      <c r="D11278" s="3"/>
      <c r="E11278" s="3">
        <v>15</v>
      </c>
      <c r="F11278" s="4" t="str">
        <f>HYPERLINK("http://141.218.60.56/~jnz1568/getInfo.php?workbook=10_05.xlsx&amp;sheet=U0&amp;row=11278&amp;col=6&amp;number=4.4&amp;sourceID=14","4.4")</f>
        <v>4.4</v>
      </c>
      <c r="G11278" s="4" t="str">
        <f>HYPERLINK("http://141.218.60.56/~jnz1568/getInfo.php?workbook=10_05.xlsx&amp;sheet=U0&amp;row=11278&amp;col=7&amp;number=0.639&amp;sourceID=14","0.639")</f>
        <v>0.639</v>
      </c>
    </row>
    <row r="11279" spans="1:7">
      <c r="A11279" s="3"/>
      <c r="B11279" s="3"/>
      <c r="C11279" s="3"/>
      <c r="D11279" s="3"/>
      <c r="E11279" s="3">
        <v>16</v>
      </c>
      <c r="F11279" s="4" t="str">
        <f>HYPERLINK("http://141.218.60.56/~jnz1568/getInfo.php?workbook=10_05.xlsx&amp;sheet=U0&amp;row=11279&amp;col=6&amp;number=4.5&amp;sourceID=14","4.5")</f>
        <v>4.5</v>
      </c>
      <c r="G11279" s="4" t="str">
        <f>HYPERLINK("http://141.218.60.56/~jnz1568/getInfo.php?workbook=10_05.xlsx&amp;sheet=U0&amp;row=11279&amp;col=7&amp;number=0.63&amp;sourceID=14","0.63")</f>
        <v>0.63</v>
      </c>
    </row>
    <row r="11280" spans="1:7">
      <c r="A11280" s="3"/>
      <c r="B11280" s="3"/>
      <c r="C11280" s="3"/>
      <c r="D11280" s="3"/>
      <c r="E11280" s="3">
        <v>17</v>
      </c>
      <c r="F11280" s="4" t="str">
        <f>HYPERLINK("http://141.218.60.56/~jnz1568/getInfo.php?workbook=10_05.xlsx&amp;sheet=U0&amp;row=11280&amp;col=6&amp;number=4.6&amp;sourceID=14","4.6")</f>
        <v>4.6</v>
      </c>
      <c r="G11280" s="4" t="str">
        <f>HYPERLINK("http://141.218.60.56/~jnz1568/getInfo.php?workbook=10_05.xlsx&amp;sheet=U0&amp;row=11280&amp;col=7&amp;number=0.618&amp;sourceID=14","0.618")</f>
        <v>0.618</v>
      </c>
    </row>
    <row r="11281" spans="1:7">
      <c r="A11281" s="3"/>
      <c r="B11281" s="3"/>
      <c r="C11281" s="3"/>
      <c r="D11281" s="3"/>
      <c r="E11281" s="3">
        <v>18</v>
      </c>
      <c r="F11281" s="4" t="str">
        <f>HYPERLINK("http://141.218.60.56/~jnz1568/getInfo.php?workbook=10_05.xlsx&amp;sheet=U0&amp;row=11281&amp;col=6&amp;number=4.7&amp;sourceID=14","4.7")</f>
        <v>4.7</v>
      </c>
      <c r="G11281" s="4" t="str">
        <f>HYPERLINK("http://141.218.60.56/~jnz1568/getInfo.php?workbook=10_05.xlsx&amp;sheet=U0&amp;row=11281&amp;col=7&amp;number=0.6&amp;sourceID=14","0.6")</f>
        <v>0.6</v>
      </c>
    </row>
    <row r="11282" spans="1:7">
      <c r="A11282" s="3"/>
      <c r="B11282" s="3"/>
      <c r="C11282" s="3"/>
      <c r="D11282" s="3"/>
      <c r="E11282" s="3">
        <v>19</v>
      </c>
      <c r="F11282" s="4" t="str">
        <f>HYPERLINK("http://141.218.60.56/~jnz1568/getInfo.php?workbook=10_05.xlsx&amp;sheet=U0&amp;row=11282&amp;col=6&amp;number=4.8&amp;sourceID=14","4.8")</f>
        <v>4.8</v>
      </c>
      <c r="G11282" s="4" t="str">
        <f>HYPERLINK("http://141.218.60.56/~jnz1568/getInfo.php?workbook=10_05.xlsx&amp;sheet=U0&amp;row=11282&amp;col=7&amp;number=0.581&amp;sourceID=14","0.581")</f>
        <v>0.581</v>
      </c>
    </row>
    <row r="11283" spans="1:7">
      <c r="A11283" s="3"/>
      <c r="B11283" s="3"/>
      <c r="C11283" s="3"/>
      <c r="D11283" s="3"/>
      <c r="E11283" s="3">
        <v>20</v>
      </c>
      <c r="F11283" s="4" t="str">
        <f>HYPERLINK("http://141.218.60.56/~jnz1568/getInfo.php?workbook=10_05.xlsx&amp;sheet=U0&amp;row=11283&amp;col=6&amp;number=4.9&amp;sourceID=14","4.9")</f>
        <v>4.9</v>
      </c>
      <c r="G11283" s="4" t="str">
        <f>HYPERLINK("http://141.218.60.56/~jnz1568/getInfo.php?workbook=10_05.xlsx&amp;sheet=U0&amp;row=11283&amp;col=7&amp;number=0.563&amp;sourceID=14","0.563")</f>
        <v>0.563</v>
      </c>
    </row>
    <row r="11284" spans="1:7">
      <c r="A11284" s="3">
        <v>10</v>
      </c>
      <c r="B11284" s="3">
        <v>5</v>
      </c>
      <c r="C11284" s="3">
        <v>4</v>
      </c>
      <c r="D11284" s="3">
        <v>35</v>
      </c>
      <c r="E11284" s="3">
        <v>1</v>
      </c>
      <c r="F11284" s="4" t="str">
        <f>HYPERLINK("http://141.218.60.56/~jnz1568/getInfo.php?workbook=10_05.xlsx&amp;sheet=U0&amp;row=11284&amp;col=6&amp;number=3&amp;sourceID=14","3")</f>
        <v>3</v>
      </c>
      <c r="G11284" s="4" t="str">
        <f>HYPERLINK("http://141.218.60.56/~jnz1568/getInfo.php?workbook=10_05.xlsx&amp;sheet=U0&amp;row=11284&amp;col=7&amp;number=0.297&amp;sourceID=14","0.297")</f>
        <v>0.297</v>
      </c>
    </row>
    <row r="11285" spans="1:7">
      <c r="A11285" s="3"/>
      <c r="B11285" s="3"/>
      <c r="C11285" s="3"/>
      <c r="D11285" s="3"/>
      <c r="E11285" s="3">
        <v>2</v>
      </c>
      <c r="F11285" s="4" t="str">
        <f>HYPERLINK("http://141.218.60.56/~jnz1568/getInfo.php?workbook=10_05.xlsx&amp;sheet=U0&amp;row=11285&amp;col=6&amp;number=3.1&amp;sourceID=14","3.1")</f>
        <v>3.1</v>
      </c>
      <c r="G11285" s="4" t="str">
        <f>HYPERLINK("http://141.218.60.56/~jnz1568/getInfo.php?workbook=10_05.xlsx&amp;sheet=U0&amp;row=11285&amp;col=7&amp;number=0.295&amp;sourceID=14","0.295")</f>
        <v>0.295</v>
      </c>
    </row>
    <row r="11286" spans="1:7">
      <c r="A11286" s="3"/>
      <c r="B11286" s="3"/>
      <c r="C11286" s="3"/>
      <c r="D11286" s="3"/>
      <c r="E11286" s="3">
        <v>3</v>
      </c>
      <c r="F11286" s="4" t="str">
        <f>HYPERLINK("http://141.218.60.56/~jnz1568/getInfo.php?workbook=10_05.xlsx&amp;sheet=U0&amp;row=11286&amp;col=6&amp;number=3.2&amp;sourceID=14","3.2")</f>
        <v>3.2</v>
      </c>
      <c r="G11286" s="4" t="str">
        <f>HYPERLINK("http://141.218.60.56/~jnz1568/getInfo.php?workbook=10_05.xlsx&amp;sheet=U0&amp;row=11286&amp;col=7&amp;number=0.294&amp;sourceID=14","0.294")</f>
        <v>0.294</v>
      </c>
    </row>
    <row r="11287" spans="1:7">
      <c r="A11287" s="3"/>
      <c r="B11287" s="3"/>
      <c r="C11287" s="3"/>
      <c r="D11287" s="3"/>
      <c r="E11287" s="3">
        <v>4</v>
      </c>
      <c r="F11287" s="4" t="str">
        <f>HYPERLINK("http://141.218.60.56/~jnz1568/getInfo.php?workbook=10_05.xlsx&amp;sheet=U0&amp;row=11287&amp;col=6&amp;number=3.3&amp;sourceID=14","3.3")</f>
        <v>3.3</v>
      </c>
      <c r="G11287" s="4" t="str">
        <f>HYPERLINK("http://141.218.60.56/~jnz1568/getInfo.php?workbook=10_05.xlsx&amp;sheet=U0&amp;row=11287&amp;col=7&amp;number=0.292&amp;sourceID=14","0.292")</f>
        <v>0.292</v>
      </c>
    </row>
    <row r="11288" spans="1:7">
      <c r="A11288" s="3"/>
      <c r="B11288" s="3"/>
      <c r="C11288" s="3"/>
      <c r="D11288" s="3"/>
      <c r="E11288" s="3">
        <v>5</v>
      </c>
      <c r="F11288" s="4" t="str">
        <f>HYPERLINK("http://141.218.60.56/~jnz1568/getInfo.php?workbook=10_05.xlsx&amp;sheet=U0&amp;row=11288&amp;col=6&amp;number=3.4&amp;sourceID=14","3.4")</f>
        <v>3.4</v>
      </c>
      <c r="G11288" s="4" t="str">
        <f>HYPERLINK("http://141.218.60.56/~jnz1568/getInfo.php?workbook=10_05.xlsx&amp;sheet=U0&amp;row=11288&amp;col=7&amp;number=0.29&amp;sourceID=14","0.29")</f>
        <v>0.29</v>
      </c>
    </row>
    <row r="11289" spans="1:7">
      <c r="A11289" s="3"/>
      <c r="B11289" s="3"/>
      <c r="C11289" s="3"/>
      <c r="D11289" s="3"/>
      <c r="E11289" s="3">
        <v>6</v>
      </c>
      <c r="F11289" s="4" t="str">
        <f>HYPERLINK("http://141.218.60.56/~jnz1568/getInfo.php?workbook=10_05.xlsx&amp;sheet=U0&amp;row=11289&amp;col=6&amp;number=3.5&amp;sourceID=14","3.5")</f>
        <v>3.5</v>
      </c>
      <c r="G11289" s="4" t="str">
        <f>HYPERLINK("http://141.218.60.56/~jnz1568/getInfo.php?workbook=10_05.xlsx&amp;sheet=U0&amp;row=11289&amp;col=7&amp;number=0.288&amp;sourceID=14","0.288")</f>
        <v>0.288</v>
      </c>
    </row>
    <row r="11290" spans="1:7">
      <c r="A11290" s="3"/>
      <c r="B11290" s="3"/>
      <c r="C11290" s="3"/>
      <c r="D11290" s="3"/>
      <c r="E11290" s="3">
        <v>7</v>
      </c>
      <c r="F11290" s="4" t="str">
        <f>HYPERLINK("http://141.218.60.56/~jnz1568/getInfo.php?workbook=10_05.xlsx&amp;sheet=U0&amp;row=11290&amp;col=6&amp;number=3.6&amp;sourceID=14","3.6")</f>
        <v>3.6</v>
      </c>
      <c r="G11290" s="4" t="str">
        <f>HYPERLINK("http://141.218.60.56/~jnz1568/getInfo.php?workbook=10_05.xlsx&amp;sheet=U0&amp;row=11290&amp;col=7&amp;number=0.284&amp;sourceID=14","0.284")</f>
        <v>0.284</v>
      </c>
    </row>
    <row r="11291" spans="1:7">
      <c r="A11291" s="3"/>
      <c r="B11291" s="3"/>
      <c r="C11291" s="3"/>
      <c r="D11291" s="3"/>
      <c r="E11291" s="3">
        <v>8</v>
      </c>
      <c r="F11291" s="4" t="str">
        <f>HYPERLINK("http://141.218.60.56/~jnz1568/getInfo.php?workbook=10_05.xlsx&amp;sheet=U0&amp;row=11291&amp;col=6&amp;number=3.7&amp;sourceID=14","3.7")</f>
        <v>3.7</v>
      </c>
      <c r="G11291" s="4" t="str">
        <f>HYPERLINK("http://141.218.60.56/~jnz1568/getInfo.php?workbook=10_05.xlsx&amp;sheet=U0&amp;row=11291&amp;col=7&amp;number=0.28&amp;sourceID=14","0.28")</f>
        <v>0.28</v>
      </c>
    </row>
    <row r="11292" spans="1:7">
      <c r="A11292" s="3"/>
      <c r="B11292" s="3"/>
      <c r="C11292" s="3"/>
      <c r="D11292" s="3"/>
      <c r="E11292" s="3">
        <v>9</v>
      </c>
      <c r="F11292" s="4" t="str">
        <f>HYPERLINK("http://141.218.60.56/~jnz1568/getInfo.php?workbook=10_05.xlsx&amp;sheet=U0&amp;row=11292&amp;col=6&amp;number=3.8&amp;sourceID=14","3.8")</f>
        <v>3.8</v>
      </c>
      <c r="G11292" s="4" t="str">
        <f>HYPERLINK("http://141.218.60.56/~jnz1568/getInfo.php?workbook=10_05.xlsx&amp;sheet=U0&amp;row=11292&amp;col=7&amp;number=0.275&amp;sourceID=14","0.275")</f>
        <v>0.275</v>
      </c>
    </row>
    <row r="11293" spans="1:7">
      <c r="A11293" s="3"/>
      <c r="B11293" s="3"/>
      <c r="C11293" s="3"/>
      <c r="D11293" s="3"/>
      <c r="E11293" s="3">
        <v>10</v>
      </c>
      <c r="F11293" s="4" t="str">
        <f>HYPERLINK("http://141.218.60.56/~jnz1568/getInfo.php?workbook=10_05.xlsx&amp;sheet=U0&amp;row=11293&amp;col=6&amp;number=3.9&amp;sourceID=14","3.9")</f>
        <v>3.9</v>
      </c>
      <c r="G11293" s="4" t="str">
        <f>HYPERLINK("http://141.218.60.56/~jnz1568/getInfo.php?workbook=10_05.xlsx&amp;sheet=U0&amp;row=11293&amp;col=7&amp;number=0.269&amp;sourceID=14","0.269")</f>
        <v>0.269</v>
      </c>
    </row>
    <row r="11294" spans="1:7">
      <c r="A11294" s="3"/>
      <c r="B11294" s="3"/>
      <c r="C11294" s="3"/>
      <c r="D11294" s="3"/>
      <c r="E11294" s="3">
        <v>11</v>
      </c>
      <c r="F11294" s="4" t="str">
        <f>HYPERLINK("http://141.218.60.56/~jnz1568/getInfo.php?workbook=10_05.xlsx&amp;sheet=U0&amp;row=11294&amp;col=6&amp;number=4&amp;sourceID=14","4")</f>
        <v>4</v>
      </c>
      <c r="G11294" s="4" t="str">
        <f>HYPERLINK("http://141.218.60.56/~jnz1568/getInfo.php?workbook=10_05.xlsx&amp;sheet=U0&amp;row=11294&amp;col=7&amp;number=0.262&amp;sourceID=14","0.262")</f>
        <v>0.262</v>
      </c>
    </row>
    <row r="11295" spans="1:7">
      <c r="A11295" s="3"/>
      <c r="B11295" s="3"/>
      <c r="C11295" s="3"/>
      <c r="D11295" s="3"/>
      <c r="E11295" s="3">
        <v>12</v>
      </c>
      <c r="F11295" s="4" t="str">
        <f>HYPERLINK("http://141.218.60.56/~jnz1568/getInfo.php?workbook=10_05.xlsx&amp;sheet=U0&amp;row=11295&amp;col=6&amp;number=4.1&amp;sourceID=14","4.1")</f>
        <v>4.1</v>
      </c>
      <c r="G11295" s="4" t="str">
        <f>HYPERLINK("http://141.218.60.56/~jnz1568/getInfo.php?workbook=10_05.xlsx&amp;sheet=U0&amp;row=11295&amp;col=7&amp;number=0.253&amp;sourceID=14","0.253")</f>
        <v>0.253</v>
      </c>
    </row>
    <row r="11296" spans="1:7">
      <c r="A11296" s="3"/>
      <c r="B11296" s="3"/>
      <c r="C11296" s="3"/>
      <c r="D11296" s="3"/>
      <c r="E11296" s="3">
        <v>13</v>
      </c>
      <c r="F11296" s="4" t="str">
        <f>HYPERLINK("http://141.218.60.56/~jnz1568/getInfo.php?workbook=10_05.xlsx&amp;sheet=U0&amp;row=11296&amp;col=6&amp;number=4.2&amp;sourceID=14","4.2")</f>
        <v>4.2</v>
      </c>
      <c r="G11296" s="4" t="str">
        <f>HYPERLINK("http://141.218.60.56/~jnz1568/getInfo.php?workbook=10_05.xlsx&amp;sheet=U0&amp;row=11296&amp;col=7&amp;number=0.242&amp;sourceID=14","0.242")</f>
        <v>0.242</v>
      </c>
    </row>
    <row r="11297" spans="1:7">
      <c r="A11297" s="3"/>
      <c r="B11297" s="3"/>
      <c r="C11297" s="3"/>
      <c r="D11297" s="3"/>
      <c r="E11297" s="3">
        <v>14</v>
      </c>
      <c r="F11297" s="4" t="str">
        <f>HYPERLINK("http://141.218.60.56/~jnz1568/getInfo.php?workbook=10_05.xlsx&amp;sheet=U0&amp;row=11297&amp;col=6&amp;number=4.3&amp;sourceID=14","4.3")</f>
        <v>4.3</v>
      </c>
      <c r="G11297" s="4" t="str">
        <f>HYPERLINK("http://141.218.60.56/~jnz1568/getInfo.php?workbook=10_05.xlsx&amp;sheet=U0&amp;row=11297&amp;col=7&amp;number=0.23&amp;sourceID=14","0.23")</f>
        <v>0.23</v>
      </c>
    </row>
    <row r="11298" spans="1:7">
      <c r="A11298" s="3"/>
      <c r="B11298" s="3"/>
      <c r="C11298" s="3"/>
      <c r="D11298" s="3"/>
      <c r="E11298" s="3">
        <v>15</v>
      </c>
      <c r="F11298" s="4" t="str">
        <f>HYPERLINK("http://141.218.60.56/~jnz1568/getInfo.php?workbook=10_05.xlsx&amp;sheet=U0&amp;row=11298&amp;col=6&amp;number=4.4&amp;sourceID=14","4.4")</f>
        <v>4.4</v>
      </c>
      <c r="G11298" s="4" t="str">
        <f>HYPERLINK("http://141.218.60.56/~jnz1568/getInfo.php?workbook=10_05.xlsx&amp;sheet=U0&amp;row=11298&amp;col=7&amp;number=0.216&amp;sourceID=14","0.216")</f>
        <v>0.216</v>
      </c>
    </row>
    <row r="11299" spans="1:7">
      <c r="A11299" s="3"/>
      <c r="B11299" s="3"/>
      <c r="C11299" s="3"/>
      <c r="D11299" s="3"/>
      <c r="E11299" s="3">
        <v>16</v>
      </c>
      <c r="F11299" s="4" t="str">
        <f>HYPERLINK("http://141.218.60.56/~jnz1568/getInfo.php?workbook=10_05.xlsx&amp;sheet=U0&amp;row=11299&amp;col=6&amp;number=4.5&amp;sourceID=14","4.5")</f>
        <v>4.5</v>
      </c>
      <c r="G11299" s="4" t="str">
        <f>HYPERLINK("http://141.218.60.56/~jnz1568/getInfo.php?workbook=10_05.xlsx&amp;sheet=U0&amp;row=11299&amp;col=7&amp;number=0.201&amp;sourceID=14","0.201")</f>
        <v>0.201</v>
      </c>
    </row>
    <row r="11300" spans="1:7">
      <c r="A11300" s="3"/>
      <c r="B11300" s="3"/>
      <c r="C11300" s="3"/>
      <c r="D11300" s="3"/>
      <c r="E11300" s="3">
        <v>17</v>
      </c>
      <c r="F11300" s="4" t="str">
        <f>HYPERLINK("http://141.218.60.56/~jnz1568/getInfo.php?workbook=10_05.xlsx&amp;sheet=U0&amp;row=11300&amp;col=6&amp;number=4.6&amp;sourceID=14","4.6")</f>
        <v>4.6</v>
      </c>
      <c r="G11300" s="4" t="str">
        <f>HYPERLINK("http://141.218.60.56/~jnz1568/getInfo.php?workbook=10_05.xlsx&amp;sheet=U0&amp;row=11300&amp;col=7&amp;number=0.185&amp;sourceID=14","0.185")</f>
        <v>0.185</v>
      </c>
    </row>
    <row r="11301" spans="1:7">
      <c r="A11301" s="3"/>
      <c r="B11301" s="3"/>
      <c r="C11301" s="3"/>
      <c r="D11301" s="3"/>
      <c r="E11301" s="3">
        <v>18</v>
      </c>
      <c r="F11301" s="4" t="str">
        <f>HYPERLINK("http://141.218.60.56/~jnz1568/getInfo.php?workbook=10_05.xlsx&amp;sheet=U0&amp;row=11301&amp;col=6&amp;number=4.7&amp;sourceID=14","4.7")</f>
        <v>4.7</v>
      </c>
      <c r="G11301" s="4" t="str">
        <f>HYPERLINK("http://141.218.60.56/~jnz1568/getInfo.php?workbook=10_05.xlsx&amp;sheet=U0&amp;row=11301&amp;col=7&amp;number=0.169&amp;sourceID=14","0.169")</f>
        <v>0.169</v>
      </c>
    </row>
    <row r="11302" spans="1:7">
      <c r="A11302" s="3"/>
      <c r="B11302" s="3"/>
      <c r="C11302" s="3"/>
      <c r="D11302" s="3"/>
      <c r="E11302" s="3">
        <v>19</v>
      </c>
      <c r="F11302" s="4" t="str">
        <f>HYPERLINK("http://141.218.60.56/~jnz1568/getInfo.php?workbook=10_05.xlsx&amp;sheet=U0&amp;row=11302&amp;col=6&amp;number=4.8&amp;sourceID=14","4.8")</f>
        <v>4.8</v>
      </c>
      <c r="G11302" s="4" t="str">
        <f>HYPERLINK("http://141.218.60.56/~jnz1568/getInfo.php?workbook=10_05.xlsx&amp;sheet=U0&amp;row=11302&amp;col=7&amp;number=0.153&amp;sourceID=14","0.153")</f>
        <v>0.153</v>
      </c>
    </row>
    <row r="11303" spans="1:7">
      <c r="A11303" s="3"/>
      <c r="B11303" s="3"/>
      <c r="C11303" s="3"/>
      <c r="D11303" s="3"/>
      <c r="E11303" s="3">
        <v>20</v>
      </c>
      <c r="F11303" s="4" t="str">
        <f>HYPERLINK("http://141.218.60.56/~jnz1568/getInfo.php?workbook=10_05.xlsx&amp;sheet=U0&amp;row=11303&amp;col=6&amp;number=4.9&amp;sourceID=14","4.9")</f>
        <v>4.9</v>
      </c>
      <c r="G11303" s="4" t="str">
        <f>HYPERLINK("http://141.218.60.56/~jnz1568/getInfo.php?workbook=10_05.xlsx&amp;sheet=U0&amp;row=11303&amp;col=7&amp;number=0.139&amp;sourceID=14","0.139")</f>
        <v>0.139</v>
      </c>
    </row>
    <row r="11304" spans="1:7">
      <c r="A11304" s="3">
        <v>10</v>
      </c>
      <c r="B11304" s="3">
        <v>5</v>
      </c>
      <c r="C11304" s="3">
        <v>4</v>
      </c>
      <c r="D11304" s="3">
        <v>36</v>
      </c>
      <c r="E11304" s="3">
        <v>1</v>
      </c>
      <c r="F11304" s="4" t="str">
        <f>HYPERLINK("http://141.218.60.56/~jnz1568/getInfo.php?workbook=10_05.xlsx&amp;sheet=U0&amp;row=11304&amp;col=6&amp;number=3&amp;sourceID=14","3")</f>
        <v>3</v>
      </c>
      <c r="G11304" s="4" t="str">
        <f>HYPERLINK("http://141.218.60.56/~jnz1568/getInfo.php?workbook=10_05.xlsx&amp;sheet=U0&amp;row=11304&amp;col=7&amp;number=0.0916&amp;sourceID=14","0.0916")</f>
        <v>0.0916</v>
      </c>
    </row>
    <row r="11305" spans="1:7">
      <c r="A11305" s="3"/>
      <c r="B11305" s="3"/>
      <c r="C11305" s="3"/>
      <c r="D11305" s="3"/>
      <c r="E11305" s="3">
        <v>2</v>
      </c>
      <c r="F11305" s="4" t="str">
        <f>HYPERLINK("http://141.218.60.56/~jnz1568/getInfo.php?workbook=10_05.xlsx&amp;sheet=U0&amp;row=11305&amp;col=6&amp;number=3.1&amp;sourceID=14","3.1")</f>
        <v>3.1</v>
      </c>
      <c r="G11305" s="4" t="str">
        <f>HYPERLINK("http://141.218.60.56/~jnz1568/getInfo.php?workbook=10_05.xlsx&amp;sheet=U0&amp;row=11305&amp;col=7&amp;number=0.092&amp;sourceID=14","0.092")</f>
        <v>0.092</v>
      </c>
    </row>
    <row r="11306" spans="1:7">
      <c r="A11306" s="3"/>
      <c r="B11306" s="3"/>
      <c r="C11306" s="3"/>
      <c r="D11306" s="3"/>
      <c r="E11306" s="3">
        <v>3</v>
      </c>
      <c r="F11306" s="4" t="str">
        <f>HYPERLINK("http://141.218.60.56/~jnz1568/getInfo.php?workbook=10_05.xlsx&amp;sheet=U0&amp;row=11306&amp;col=6&amp;number=3.2&amp;sourceID=14","3.2")</f>
        <v>3.2</v>
      </c>
      <c r="G11306" s="4" t="str">
        <f>HYPERLINK("http://141.218.60.56/~jnz1568/getInfo.php?workbook=10_05.xlsx&amp;sheet=U0&amp;row=11306&amp;col=7&amp;number=0.0924&amp;sourceID=14","0.0924")</f>
        <v>0.0924</v>
      </c>
    </row>
    <row r="11307" spans="1:7">
      <c r="A11307" s="3"/>
      <c r="B11307" s="3"/>
      <c r="C11307" s="3"/>
      <c r="D11307" s="3"/>
      <c r="E11307" s="3">
        <v>4</v>
      </c>
      <c r="F11307" s="4" t="str">
        <f>HYPERLINK("http://141.218.60.56/~jnz1568/getInfo.php?workbook=10_05.xlsx&amp;sheet=U0&amp;row=11307&amp;col=6&amp;number=3.3&amp;sourceID=14","3.3")</f>
        <v>3.3</v>
      </c>
      <c r="G11307" s="4" t="str">
        <f>HYPERLINK("http://141.218.60.56/~jnz1568/getInfo.php?workbook=10_05.xlsx&amp;sheet=U0&amp;row=11307&amp;col=7&amp;number=0.093&amp;sourceID=14","0.093")</f>
        <v>0.093</v>
      </c>
    </row>
    <row r="11308" spans="1:7">
      <c r="A11308" s="3"/>
      <c r="B11308" s="3"/>
      <c r="C11308" s="3"/>
      <c r="D11308" s="3"/>
      <c r="E11308" s="3">
        <v>5</v>
      </c>
      <c r="F11308" s="4" t="str">
        <f>HYPERLINK("http://141.218.60.56/~jnz1568/getInfo.php?workbook=10_05.xlsx&amp;sheet=U0&amp;row=11308&amp;col=6&amp;number=3.4&amp;sourceID=14","3.4")</f>
        <v>3.4</v>
      </c>
      <c r="G11308" s="4" t="str">
        <f>HYPERLINK("http://141.218.60.56/~jnz1568/getInfo.php?workbook=10_05.xlsx&amp;sheet=U0&amp;row=11308&amp;col=7&amp;number=0.0937&amp;sourceID=14","0.0937")</f>
        <v>0.0937</v>
      </c>
    </row>
    <row r="11309" spans="1:7">
      <c r="A11309" s="3"/>
      <c r="B11309" s="3"/>
      <c r="C11309" s="3"/>
      <c r="D11309" s="3"/>
      <c r="E11309" s="3">
        <v>6</v>
      </c>
      <c r="F11309" s="4" t="str">
        <f>HYPERLINK("http://141.218.60.56/~jnz1568/getInfo.php?workbook=10_05.xlsx&amp;sheet=U0&amp;row=11309&amp;col=6&amp;number=3.5&amp;sourceID=14","3.5")</f>
        <v>3.5</v>
      </c>
      <c r="G11309" s="4" t="str">
        <f>HYPERLINK("http://141.218.60.56/~jnz1568/getInfo.php?workbook=10_05.xlsx&amp;sheet=U0&amp;row=11309&amp;col=7&amp;number=0.0945&amp;sourceID=14","0.0945")</f>
        <v>0.0945</v>
      </c>
    </row>
    <row r="11310" spans="1:7">
      <c r="A11310" s="3"/>
      <c r="B11310" s="3"/>
      <c r="C11310" s="3"/>
      <c r="D11310" s="3"/>
      <c r="E11310" s="3">
        <v>7</v>
      </c>
      <c r="F11310" s="4" t="str">
        <f>HYPERLINK("http://141.218.60.56/~jnz1568/getInfo.php?workbook=10_05.xlsx&amp;sheet=U0&amp;row=11310&amp;col=6&amp;number=3.6&amp;sourceID=14","3.6")</f>
        <v>3.6</v>
      </c>
      <c r="G11310" s="4" t="str">
        <f>HYPERLINK("http://141.218.60.56/~jnz1568/getInfo.php?workbook=10_05.xlsx&amp;sheet=U0&amp;row=11310&amp;col=7&amp;number=0.0955&amp;sourceID=14","0.0955")</f>
        <v>0.0955</v>
      </c>
    </row>
    <row r="11311" spans="1:7">
      <c r="A11311" s="3"/>
      <c r="B11311" s="3"/>
      <c r="C11311" s="3"/>
      <c r="D11311" s="3"/>
      <c r="E11311" s="3">
        <v>8</v>
      </c>
      <c r="F11311" s="4" t="str">
        <f>HYPERLINK("http://141.218.60.56/~jnz1568/getInfo.php?workbook=10_05.xlsx&amp;sheet=U0&amp;row=11311&amp;col=6&amp;number=3.7&amp;sourceID=14","3.7")</f>
        <v>3.7</v>
      </c>
      <c r="G11311" s="4" t="str">
        <f>HYPERLINK("http://141.218.60.56/~jnz1568/getInfo.php?workbook=10_05.xlsx&amp;sheet=U0&amp;row=11311&amp;col=7&amp;number=0.0966&amp;sourceID=14","0.0966")</f>
        <v>0.0966</v>
      </c>
    </row>
    <row r="11312" spans="1:7">
      <c r="A11312" s="3"/>
      <c r="B11312" s="3"/>
      <c r="C11312" s="3"/>
      <c r="D11312" s="3"/>
      <c r="E11312" s="3">
        <v>9</v>
      </c>
      <c r="F11312" s="4" t="str">
        <f>HYPERLINK("http://141.218.60.56/~jnz1568/getInfo.php?workbook=10_05.xlsx&amp;sheet=U0&amp;row=11312&amp;col=6&amp;number=3.8&amp;sourceID=14","3.8")</f>
        <v>3.8</v>
      </c>
      <c r="G11312" s="4" t="str">
        <f>HYPERLINK("http://141.218.60.56/~jnz1568/getInfo.php?workbook=10_05.xlsx&amp;sheet=U0&amp;row=11312&amp;col=7&amp;number=0.0978&amp;sourceID=14","0.0978")</f>
        <v>0.0978</v>
      </c>
    </row>
    <row r="11313" spans="1:7">
      <c r="A11313" s="3"/>
      <c r="B11313" s="3"/>
      <c r="C11313" s="3"/>
      <c r="D11313" s="3"/>
      <c r="E11313" s="3">
        <v>10</v>
      </c>
      <c r="F11313" s="4" t="str">
        <f>HYPERLINK("http://141.218.60.56/~jnz1568/getInfo.php?workbook=10_05.xlsx&amp;sheet=U0&amp;row=11313&amp;col=6&amp;number=3.9&amp;sourceID=14","3.9")</f>
        <v>3.9</v>
      </c>
      <c r="G11313" s="4" t="str">
        <f>HYPERLINK("http://141.218.60.56/~jnz1568/getInfo.php?workbook=10_05.xlsx&amp;sheet=U0&amp;row=11313&amp;col=7&amp;number=0.099&amp;sourceID=14","0.099")</f>
        <v>0.099</v>
      </c>
    </row>
    <row r="11314" spans="1:7">
      <c r="A11314" s="3"/>
      <c r="B11314" s="3"/>
      <c r="C11314" s="3"/>
      <c r="D11314" s="3"/>
      <c r="E11314" s="3">
        <v>11</v>
      </c>
      <c r="F11314" s="4" t="str">
        <f>HYPERLINK("http://141.218.60.56/~jnz1568/getInfo.php?workbook=10_05.xlsx&amp;sheet=U0&amp;row=11314&amp;col=6&amp;number=4&amp;sourceID=14","4")</f>
        <v>4</v>
      </c>
      <c r="G11314" s="4" t="str">
        <f>HYPERLINK("http://141.218.60.56/~jnz1568/getInfo.php?workbook=10_05.xlsx&amp;sheet=U0&amp;row=11314&amp;col=7&amp;number=0.0998&amp;sourceID=14","0.0998")</f>
        <v>0.0998</v>
      </c>
    </row>
    <row r="11315" spans="1:7">
      <c r="A11315" s="3"/>
      <c r="B11315" s="3"/>
      <c r="C11315" s="3"/>
      <c r="D11315" s="3"/>
      <c r="E11315" s="3">
        <v>12</v>
      </c>
      <c r="F11315" s="4" t="str">
        <f>HYPERLINK("http://141.218.60.56/~jnz1568/getInfo.php?workbook=10_05.xlsx&amp;sheet=U0&amp;row=11315&amp;col=6&amp;number=4.1&amp;sourceID=14","4.1")</f>
        <v>4.1</v>
      </c>
      <c r="G11315" s="4" t="str">
        <f>HYPERLINK("http://141.218.60.56/~jnz1568/getInfo.php?workbook=10_05.xlsx&amp;sheet=U0&amp;row=11315&amp;col=7&amp;number=0.0997&amp;sourceID=14","0.0997")</f>
        <v>0.0997</v>
      </c>
    </row>
    <row r="11316" spans="1:7">
      <c r="A11316" s="3"/>
      <c r="B11316" s="3"/>
      <c r="C11316" s="3"/>
      <c r="D11316" s="3"/>
      <c r="E11316" s="3">
        <v>13</v>
      </c>
      <c r="F11316" s="4" t="str">
        <f>HYPERLINK("http://141.218.60.56/~jnz1568/getInfo.php?workbook=10_05.xlsx&amp;sheet=U0&amp;row=11316&amp;col=6&amp;number=4.2&amp;sourceID=14","4.2")</f>
        <v>4.2</v>
      </c>
      <c r="G11316" s="4" t="str">
        <f>HYPERLINK("http://141.218.60.56/~jnz1568/getInfo.php?workbook=10_05.xlsx&amp;sheet=U0&amp;row=11316&amp;col=7&amp;number=0.0983&amp;sourceID=14","0.0983")</f>
        <v>0.0983</v>
      </c>
    </row>
    <row r="11317" spans="1:7">
      <c r="A11317" s="3"/>
      <c r="B11317" s="3"/>
      <c r="C11317" s="3"/>
      <c r="D11317" s="3"/>
      <c r="E11317" s="3">
        <v>14</v>
      </c>
      <c r="F11317" s="4" t="str">
        <f>HYPERLINK("http://141.218.60.56/~jnz1568/getInfo.php?workbook=10_05.xlsx&amp;sheet=U0&amp;row=11317&amp;col=6&amp;number=4.3&amp;sourceID=14","4.3")</f>
        <v>4.3</v>
      </c>
      <c r="G11317" s="4" t="str">
        <f>HYPERLINK("http://141.218.60.56/~jnz1568/getInfo.php?workbook=10_05.xlsx&amp;sheet=U0&amp;row=11317&amp;col=7&amp;number=0.0953&amp;sourceID=14","0.0953")</f>
        <v>0.0953</v>
      </c>
    </row>
    <row r="11318" spans="1:7">
      <c r="A11318" s="3"/>
      <c r="B11318" s="3"/>
      <c r="C11318" s="3"/>
      <c r="D11318" s="3"/>
      <c r="E11318" s="3">
        <v>15</v>
      </c>
      <c r="F11318" s="4" t="str">
        <f>HYPERLINK("http://141.218.60.56/~jnz1568/getInfo.php?workbook=10_05.xlsx&amp;sheet=U0&amp;row=11318&amp;col=6&amp;number=4.4&amp;sourceID=14","4.4")</f>
        <v>4.4</v>
      </c>
      <c r="G11318" s="4" t="str">
        <f>HYPERLINK("http://141.218.60.56/~jnz1568/getInfo.php?workbook=10_05.xlsx&amp;sheet=U0&amp;row=11318&amp;col=7&amp;number=0.0911&amp;sourceID=14","0.0911")</f>
        <v>0.0911</v>
      </c>
    </row>
    <row r="11319" spans="1:7">
      <c r="A11319" s="3"/>
      <c r="B11319" s="3"/>
      <c r="C11319" s="3"/>
      <c r="D11319" s="3"/>
      <c r="E11319" s="3">
        <v>16</v>
      </c>
      <c r="F11319" s="4" t="str">
        <f>HYPERLINK("http://141.218.60.56/~jnz1568/getInfo.php?workbook=10_05.xlsx&amp;sheet=U0&amp;row=11319&amp;col=6&amp;number=4.5&amp;sourceID=14","4.5")</f>
        <v>4.5</v>
      </c>
      <c r="G11319" s="4" t="str">
        <f>HYPERLINK("http://141.218.60.56/~jnz1568/getInfo.php?workbook=10_05.xlsx&amp;sheet=U0&amp;row=11319&amp;col=7&amp;number=0.0867&amp;sourceID=14","0.0867")</f>
        <v>0.0867</v>
      </c>
    </row>
    <row r="11320" spans="1:7">
      <c r="A11320" s="3"/>
      <c r="B11320" s="3"/>
      <c r="C11320" s="3"/>
      <c r="D11320" s="3"/>
      <c r="E11320" s="3">
        <v>17</v>
      </c>
      <c r="F11320" s="4" t="str">
        <f>HYPERLINK("http://141.218.60.56/~jnz1568/getInfo.php?workbook=10_05.xlsx&amp;sheet=U0&amp;row=11320&amp;col=6&amp;number=4.6&amp;sourceID=14","4.6")</f>
        <v>4.6</v>
      </c>
      <c r="G11320" s="4" t="str">
        <f>HYPERLINK("http://141.218.60.56/~jnz1568/getInfo.php?workbook=10_05.xlsx&amp;sheet=U0&amp;row=11320&amp;col=7&amp;number=0.0825&amp;sourceID=14","0.0825")</f>
        <v>0.0825</v>
      </c>
    </row>
    <row r="11321" spans="1:7">
      <c r="A11321" s="3"/>
      <c r="B11321" s="3"/>
      <c r="C11321" s="3"/>
      <c r="D11321" s="3"/>
      <c r="E11321" s="3">
        <v>18</v>
      </c>
      <c r="F11321" s="4" t="str">
        <f>HYPERLINK("http://141.218.60.56/~jnz1568/getInfo.php?workbook=10_05.xlsx&amp;sheet=U0&amp;row=11321&amp;col=6&amp;number=4.7&amp;sourceID=14","4.7")</f>
        <v>4.7</v>
      </c>
      <c r="G11321" s="4" t="str">
        <f>HYPERLINK("http://141.218.60.56/~jnz1568/getInfo.php?workbook=10_05.xlsx&amp;sheet=U0&amp;row=11321&amp;col=7&amp;number=0.0777&amp;sourceID=14","0.0777")</f>
        <v>0.0777</v>
      </c>
    </row>
    <row r="11322" spans="1:7">
      <c r="A11322" s="3"/>
      <c r="B11322" s="3"/>
      <c r="C11322" s="3"/>
      <c r="D11322" s="3"/>
      <c r="E11322" s="3">
        <v>19</v>
      </c>
      <c r="F11322" s="4" t="str">
        <f>HYPERLINK("http://141.218.60.56/~jnz1568/getInfo.php?workbook=10_05.xlsx&amp;sheet=U0&amp;row=11322&amp;col=6&amp;number=4.8&amp;sourceID=14","4.8")</f>
        <v>4.8</v>
      </c>
      <c r="G11322" s="4" t="str">
        <f>HYPERLINK("http://141.218.60.56/~jnz1568/getInfo.php?workbook=10_05.xlsx&amp;sheet=U0&amp;row=11322&amp;col=7&amp;number=0.072&amp;sourceID=14","0.072")</f>
        <v>0.072</v>
      </c>
    </row>
    <row r="11323" spans="1:7">
      <c r="A11323" s="3"/>
      <c r="B11323" s="3"/>
      <c r="C11323" s="3"/>
      <c r="D11323" s="3"/>
      <c r="E11323" s="3">
        <v>20</v>
      </c>
      <c r="F11323" s="4" t="str">
        <f>HYPERLINK("http://141.218.60.56/~jnz1568/getInfo.php?workbook=10_05.xlsx&amp;sheet=U0&amp;row=11323&amp;col=6&amp;number=4.9&amp;sourceID=14","4.9")</f>
        <v>4.9</v>
      </c>
      <c r="G11323" s="4" t="str">
        <f>HYPERLINK("http://141.218.60.56/~jnz1568/getInfo.php?workbook=10_05.xlsx&amp;sheet=U0&amp;row=11323&amp;col=7&amp;number=0.0662&amp;sourceID=14","0.0662")</f>
        <v>0.0662</v>
      </c>
    </row>
    <row r="11324" spans="1:7">
      <c r="A11324" s="3">
        <v>10</v>
      </c>
      <c r="B11324" s="3">
        <v>5</v>
      </c>
      <c r="C11324" s="3">
        <v>4</v>
      </c>
      <c r="D11324" s="3">
        <v>37</v>
      </c>
      <c r="E11324" s="3">
        <v>1</v>
      </c>
      <c r="F11324" s="4" t="str">
        <f>HYPERLINK("http://141.218.60.56/~jnz1568/getInfo.php?workbook=10_05.xlsx&amp;sheet=U0&amp;row=11324&amp;col=6&amp;number=3&amp;sourceID=14","3")</f>
        <v>3</v>
      </c>
      <c r="G11324" s="4" t="str">
        <f>HYPERLINK("http://141.218.60.56/~jnz1568/getInfo.php?workbook=10_05.xlsx&amp;sheet=U0&amp;row=11324&amp;col=7&amp;number=0.147&amp;sourceID=14","0.147")</f>
        <v>0.147</v>
      </c>
    </row>
    <row r="11325" spans="1:7">
      <c r="A11325" s="3"/>
      <c r="B11325" s="3"/>
      <c r="C11325" s="3"/>
      <c r="D11325" s="3"/>
      <c r="E11325" s="3">
        <v>2</v>
      </c>
      <c r="F11325" s="4" t="str">
        <f>HYPERLINK("http://141.218.60.56/~jnz1568/getInfo.php?workbook=10_05.xlsx&amp;sheet=U0&amp;row=11325&amp;col=6&amp;number=3.1&amp;sourceID=14","3.1")</f>
        <v>3.1</v>
      </c>
      <c r="G11325" s="4" t="str">
        <f>HYPERLINK("http://141.218.60.56/~jnz1568/getInfo.php?workbook=10_05.xlsx&amp;sheet=U0&amp;row=11325&amp;col=7&amp;number=0.148&amp;sourceID=14","0.148")</f>
        <v>0.148</v>
      </c>
    </row>
    <row r="11326" spans="1:7">
      <c r="A11326" s="3"/>
      <c r="B11326" s="3"/>
      <c r="C11326" s="3"/>
      <c r="D11326" s="3"/>
      <c r="E11326" s="3">
        <v>3</v>
      </c>
      <c r="F11326" s="4" t="str">
        <f>HYPERLINK("http://141.218.60.56/~jnz1568/getInfo.php?workbook=10_05.xlsx&amp;sheet=U0&amp;row=11326&amp;col=6&amp;number=3.2&amp;sourceID=14","3.2")</f>
        <v>3.2</v>
      </c>
      <c r="G11326" s="4" t="str">
        <f>HYPERLINK("http://141.218.60.56/~jnz1568/getInfo.php?workbook=10_05.xlsx&amp;sheet=U0&amp;row=11326&amp;col=7&amp;number=0.148&amp;sourceID=14","0.148")</f>
        <v>0.148</v>
      </c>
    </row>
    <row r="11327" spans="1:7">
      <c r="A11327" s="3"/>
      <c r="B11327" s="3"/>
      <c r="C11327" s="3"/>
      <c r="D11327" s="3"/>
      <c r="E11327" s="3">
        <v>4</v>
      </c>
      <c r="F11327" s="4" t="str">
        <f>HYPERLINK("http://141.218.60.56/~jnz1568/getInfo.php?workbook=10_05.xlsx&amp;sheet=U0&amp;row=11327&amp;col=6&amp;number=3.3&amp;sourceID=14","3.3")</f>
        <v>3.3</v>
      </c>
      <c r="G11327" s="4" t="str">
        <f>HYPERLINK("http://141.218.60.56/~jnz1568/getInfo.php?workbook=10_05.xlsx&amp;sheet=U0&amp;row=11327&amp;col=7&amp;number=0.149&amp;sourceID=14","0.149")</f>
        <v>0.149</v>
      </c>
    </row>
    <row r="11328" spans="1:7">
      <c r="A11328" s="3"/>
      <c r="B11328" s="3"/>
      <c r="C11328" s="3"/>
      <c r="D11328" s="3"/>
      <c r="E11328" s="3">
        <v>5</v>
      </c>
      <c r="F11328" s="4" t="str">
        <f>HYPERLINK("http://141.218.60.56/~jnz1568/getInfo.php?workbook=10_05.xlsx&amp;sheet=U0&amp;row=11328&amp;col=6&amp;number=3.4&amp;sourceID=14","3.4")</f>
        <v>3.4</v>
      </c>
      <c r="G11328" s="4" t="str">
        <f>HYPERLINK("http://141.218.60.56/~jnz1568/getInfo.php?workbook=10_05.xlsx&amp;sheet=U0&amp;row=11328&amp;col=7&amp;number=0.15&amp;sourceID=14","0.15")</f>
        <v>0.15</v>
      </c>
    </row>
    <row r="11329" spans="1:7">
      <c r="A11329" s="3"/>
      <c r="B11329" s="3"/>
      <c r="C11329" s="3"/>
      <c r="D11329" s="3"/>
      <c r="E11329" s="3">
        <v>6</v>
      </c>
      <c r="F11329" s="4" t="str">
        <f>HYPERLINK("http://141.218.60.56/~jnz1568/getInfo.php?workbook=10_05.xlsx&amp;sheet=U0&amp;row=11329&amp;col=6&amp;number=3.5&amp;sourceID=14","3.5")</f>
        <v>3.5</v>
      </c>
      <c r="G11329" s="4" t="str">
        <f>HYPERLINK("http://141.218.60.56/~jnz1568/getInfo.php?workbook=10_05.xlsx&amp;sheet=U0&amp;row=11329&amp;col=7&amp;number=0.151&amp;sourceID=14","0.151")</f>
        <v>0.151</v>
      </c>
    </row>
    <row r="11330" spans="1:7">
      <c r="A11330" s="3"/>
      <c r="B11330" s="3"/>
      <c r="C11330" s="3"/>
      <c r="D11330" s="3"/>
      <c r="E11330" s="3">
        <v>7</v>
      </c>
      <c r="F11330" s="4" t="str">
        <f>HYPERLINK("http://141.218.60.56/~jnz1568/getInfo.php?workbook=10_05.xlsx&amp;sheet=U0&amp;row=11330&amp;col=6&amp;number=3.6&amp;sourceID=14","3.6")</f>
        <v>3.6</v>
      </c>
      <c r="G11330" s="4" t="str">
        <f>HYPERLINK("http://141.218.60.56/~jnz1568/getInfo.php?workbook=10_05.xlsx&amp;sheet=U0&amp;row=11330&amp;col=7&amp;number=0.152&amp;sourceID=14","0.152")</f>
        <v>0.152</v>
      </c>
    </row>
    <row r="11331" spans="1:7">
      <c r="A11331" s="3"/>
      <c r="B11331" s="3"/>
      <c r="C11331" s="3"/>
      <c r="D11331" s="3"/>
      <c r="E11331" s="3">
        <v>8</v>
      </c>
      <c r="F11331" s="4" t="str">
        <f>HYPERLINK("http://141.218.60.56/~jnz1568/getInfo.php?workbook=10_05.xlsx&amp;sheet=U0&amp;row=11331&amp;col=6&amp;number=3.7&amp;sourceID=14","3.7")</f>
        <v>3.7</v>
      </c>
      <c r="G11331" s="4" t="str">
        <f>HYPERLINK("http://141.218.60.56/~jnz1568/getInfo.php?workbook=10_05.xlsx&amp;sheet=U0&amp;row=11331&amp;col=7&amp;number=0.153&amp;sourceID=14","0.153")</f>
        <v>0.153</v>
      </c>
    </row>
    <row r="11332" spans="1:7">
      <c r="A11332" s="3"/>
      <c r="B11332" s="3"/>
      <c r="C11332" s="3"/>
      <c r="D11332" s="3"/>
      <c r="E11332" s="3">
        <v>9</v>
      </c>
      <c r="F11332" s="4" t="str">
        <f>HYPERLINK("http://141.218.60.56/~jnz1568/getInfo.php?workbook=10_05.xlsx&amp;sheet=U0&amp;row=11332&amp;col=6&amp;number=3.8&amp;sourceID=14","3.8")</f>
        <v>3.8</v>
      </c>
      <c r="G11332" s="4" t="str">
        <f>HYPERLINK("http://141.218.60.56/~jnz1568/getInfo.php?workbook=10_05.xlsx&amp;sheet=U0&amp;row=11332&amp;col=7&amp;number=0.155&amp;sourceID=14","0.155")</f>
        <v>0.155</v>
      </c>
    </row>
    <row r="11333" spans="1:7">
      <c r="A11333" s="3"/>
      <c r="B11333" s="3"/>
      <c r="C11333" s="3"/>
      <c r="D11333" s="3"/>
      <c r="E11333" s="3">
        <v>10</v>
      </c>
      <c r="F11333" s="4" t="str">
        <f>HYPERLINK("http://141.218.60.56/~jnz1568/getInfo.php?workbook=10_05.xlsx&amp;sheet=U0&amp;row=11333&amp;col=6&amp;number=3.9&amp;sourceID=14","3.9")</f>
        <v>3.9</v>
      </c>
      <c r="G11333" s="4" t="str">
        <f>HYPERLINK("http://141.218.60.56/~jnz1568/getInfo.php?workbook=10_05.xlsx&amp;sheet=U0&amp;row=11333&amp;col=7&amp;number=0.156&amp;sourceID=14","0.156")</f>
        <v>0.156</v>
      </c>
    </row>
    <row r="11334" spans="1:7">
      <c r="A11334" s="3"/>
      <c r="B11334" s="3"/>
      <c r="C11334" s="3"/>
      <c r="D11334" s="3"/>
      <c r="E11334" s="3">
        <v>11</v>
      </c>
      <c r="F11334" s="4" t="str">
        <f>HYPERLINK("http://141.218.60.56/~jnz1568/getInfo.php?workbook=10_05.xlsx&amp;sheet=U0&amp;row=11334&amp;col=6&amp;number=4&amp;sourceID=14","4")</f>
        <v>4</v>
      </c>
      <c r="G11334" s="4" t="str">
        <f>HYPERLINK("http://141.218.60.56/~jnz1568/getInfo.php?workbook=10_05.xlsx&amp;sheet=U0&amp;row=11334&amp;col=7&amp;number=0.156&amp;sourceID=14","0.156")</f>
        <v>0.156</v>
      </c>
    </row>
    <row r="11335" spans="1:7">
      <c r="A11335" s="3"/>
      <c r="B11335" s="3"/>
      <c r="C11335" s="3"/>
      <c r="D11335" s="3"/>
      <c r="E11335" s="3">
        <v>12</v>
      </c>
      <c r="F11335" s="4" t="str">
        <f>HYPERLINK("http://141.218.60.56/~jnz1568/getInfo.php?workbook=10_05.xlsx&amp;sheet=U0&amp;row=11335&amp;col=6&amp;number=4.1&amp;sourceID=14","4.1")</f>
        <v>4.1</v>
      </c>
      <c r="G11335" s="4" t="str">
        <f>HYPERLINK("http://141.218.60.56/~jnz1568/getInfo.php?workbook=10_05.xlsx&amp;sheet=U0&amp;row=11335&amp;col=7&amp;number=0.155&amp;sourceID=14","0.155")</f>
        <v>0.155</v>
      </c>
    </row>
    <row r="11336" spans="1:7">
      <c r="A11336" s="3"/>
      <c r="B11336" s="3"/>
      <c r="C11336" s="3"/>
      <c r="D11336" s="3"/>
      <c r="E11336" s="3">
        <v>13</v>
      </c>
      <c r="F11336" s="4" t="str">
        <f>HYPERLINK("http://141.218.60.56/~jnz1568/getInfo.php?workbook=10_05.xlsx&amp;sheet=U0&amp;row=11336&amp;col=6&amp;number=4.2&amp;sourceID=14","4.2")</f>
        <v>4.2</v>
      </c>
      <c r="G11336" s="4" t="str">
        <f>HYPERLINK("http://141.218.60.56/~jnz1568/getInfo.php?workbook=10_05.xlsx&amp;sheet=U0&amp;row=11336&amp;col=7&amp;number=0.151&amp;sourceID=14","0.151")</f>
        <v>0.151</v>
      </c>
    </row>
    <row r="11337" spans="1:7">
      <c r="A11337" s="3"/>
      <c r="B11337" s="3"/>
      <c r="C11337" s="3"/>
      <c r="D11337" s="3"/>
      <c r="E11337" s="3">
        <v>14</v>
      </c>
      <c r="F11337" s="4" t="str">
        <f>HYPERLINK("http://141.218.60.56/~jnz1568/getInfo.php?workbook=10_05.xlsx&amp;sheet=U0&amp;row=11337&amp;col=6&amp;number=4.3&amp;sourceID=14","4.3")</f>
        <v>4.3</v>
      </c>
      <c r="G11337" s="4" t="str">
        <f>HYPERLINK("http://141.218.60.56/~jnz1568/getInfo.php?workbook=10_05.xlsx&amp;sheet=U0&amp;row=11337&amp;col=7&amp;number=0.145&amp;sourceID=14","0.145")</f>
        <v>0.145</v>
      </c>
    </row>
    <row r="11338" spans="1:7">
      <c r="A11338" s="3"/>
      <c r="B11338" s="3"/>
      <c r="C11338" s="3"/>
      <c r="D11338" s="3"/>
      <c r="E11338" s="3">
        <v>15</v>
      </c>
      <c r="F11338" s="4" t="str">
        <f>HYPERLINK("http://141.218.60.56/~jnz1568/getInfo.php?workbook=10_05.xlsx&amp;sheet=U0&amp;row=11338&amp;col=6&amp;number=4.4&amp;sourceID=14","4.4")</f>
        <v>4.4</v>
      </c>
      <c r="G11338" s="4" t="str">
        <f>HYPERLINK("http://141.218.60.56/~jnz1568/getInfo.php?workbook=10_05.xlsx&amp;sheet=U0&amp;row=11338&amp;col=7&amp;number=0.136&amp;sourceID=14","0.136")</f>
        <v>0.136</v>
      </c>
    </row>
    <row r="11339" spans="1:7">
      <c r="A11339" s="3"/>
      <c r="B11339" s="3"/>
      <c r="C11339" s="3"/>
      <c r="D11339" s="3"/>
      <c r="E11339" s="3">
        <v>16</v>
      </c>
      <c r="F11339" s="4" t="str">
        <f>HYPERLINK("http://141.218.60.56/~jnz1568/getInfo.php?workbook=10_05.xlsx&amp;sheet=U0&amp;row=11339&amp;col=6&amp;number=4.5&amp;sourceID=14","4.5")</f>
        <v>4.5</v>
      </c>
      <c r="G11339" s="4" t="str">
        <f>HYPERLINK("http://141.218.60.56/~jnz1568/getInfo.php?workbook=10_05.xlsx&amp;sheet=U0&amp;row=11339&amp;col=7&amp;number=0.127&amp;sourceID=14","0.127")</f>
        <v>0.127</v>
      </c>
    </row>
    <row r="11340" spans="1:7">
      <c r="A11340" s="3"/>
      <c r="B11340" s="3"/>
      <c r="C11340" s="3"/>
      <c r="D11340" s="3"/>
      <c r="E11340" s="3">
        <v>17</v>
      </c>
      <c r="F11340" s="4" t="str">
        <f>HYPERLINK("http://141.218.60.56/~jnz1568/getInfo.php?workbook=10_05.xlsx&amp;sheet=U0&amp;row=11340&amp;col=6&amp;number=4.6&amp;sourceID=14","4.6")</f>
        <v>4.6</v>
      </c>
      <c r="G11340" s="4" t="str">
        <f>HYPERLINK("http://141.218.60.56/~jnz1568/getInfo.php?workbook=10_05.xlsx&amp;sheet=U0&amp;row=11340&amp;col=7&amp;number=0.119&amp;sourceID=14","0.119")</f>
        <v>0.119</v>
      </c>
    </row>
    <row r="11341" spans="1:7">
      <c r="A11341" s="3"/>
      <c r="B11341" s="3"/>
      <c r="C11341" s="3"/>
      <c r="D11341" s="3"/>
      <c r="E11341" s="3">
        <v>18</v>
      </c>
      <c r="F11341" s="4" t="str">
        <f>HYPERLINK("http://141.218.60.56/~jnz1568/getInfo.php?workbook=10_05.xlsx&amp;sheet=U0&amp;row=11341&amp;col=6&amp;number=4.7&amp;sourceID=14","4.7")</f>
        <v>4.7</v>
      </c>
      <c r="G11341" s="4" t="str">
        <f>HYPERLINK("http://141.218.60.56/~jnz1568/getInfo.php?workbook=10_05.xlsx&amp;sheet=U0&amp;row=11341&amp;col=7&amp;number=0.109&amp;sourceID=14","0.109")</f>
        <v>0.109</v>
      </c>
    </row>
    <row r="11342" spans="1:7">
      <c r="A11342" s="3"/>
      <c r="B11342" s="3"/>
      <c r="C11342" s="3"/>
      <c r="D11342" s="3"/>
      <c r="E11342" s="3">
        <v>19</v>
      </c>
      <c r="F11342" s="4" t="str">
        <f>HYPERLINK("http://141.218.60.56/~jnz1568/getInfo.php?workbook=10_05.xlsx&amp;sheet=U0&amp;row=11342&amp;col=6&amp;number=4.8&amp;sourceID=14","4.8")</f>
        <v>4.8</v>
      </c>
      <c r="G11342" s="4" t="str">
        <f>HYPERLINK("http://141.218.60.56/~jnz1568/getInfo.php?workbook=10_05.xlsx&amp;sheet=U0&amp;row=11342&amp;col=7&amp;number=0.0993&amp;sourceID=14","0.0993")</f>
        <v>0.0993</v>
      </c>
    </row>
    <row r="11343" spans="1:7">
      <c r="A11343" s="3"/>
      <c r="B11343" s="3"/>
      <c r="C11343" s="3"/>
      <c r="D11343" s="3"/>
      <c r="E11343" s="3">
        <v>20</v>
      </c>
      <c r="F11343" s="4" t="str">
        <f>HYPERLINK("http://141.218.60.56/~jnz1568/getInfo.php?workbook=10_05.xlsx&amp;sheet=U0&amp;row=11343&amp;col=6&amp;number=4.9&amp;sourceID=14","4.9")</f>
        <v>4.9</v>
      </c>
      <c r="G11343" s="4" t="str">
        <f>HYPERLINK("http://141.218.60.56/~jnz1568/getInfo.php?workbook=10_05.xlsx&amp;sheet=U0&amp;row=11343&amp;col=7&amp;number=0.0894&amp;sourceID=14","0.0894")</f>
        <v>0.0894</v>
      </c>
    </row>
    <row r="11344" spans="1:7">
      <c r="A11344" s="3">
        <v>10</v>
      </c>
      <c r="B11344" s="3">
        <v>5</v>
      </c>
      <c r="C11344" s="3">
        <v>4</v>
      </c>
      <c r="D11344" s="3">
        <v>38</v>
      </c>
      <c r="E11344" s="3">
        <v>1</v>
      </c>
      <c r="F11344" s="4" t="str">
        <f>HYPERLINK("http://141.218.60.56/~jnz1568/getInfo.php?workbook=10_05.xlsx&amp;sheet=U0&amp;row=11344&amp;col=6&amp;number=3&amp;sourceID=14","3")</f>
        <v>3</v>
      </c>
      <c r="G11344" s="4" t="str">
        <f>HYPERLINK("http://141.218.60.56/~jnz1568/getInfo.php?workbook=10_05.xlsx&amp;sheet=U0&amp;row=11344&amp;col=7&amp;number=0.145&amp;sourceID=14","0.145")</f>
        <v>0.145</v>
      </c>
    </row>
    <row r="11345" spans="1:7">
      <c r="A11345" s="3"/>
      <c r="B11345" s="3"/>
      <c r="C11345" s="3"/>
      <c r="D11345" s="3"/>
      <c r="E11345" s="3">
        <v>2</v>
      </c>
      <c r="F11345" s="4" t="str">
        <f>HYPERLINK("http://141.218.60.56/~jnz1568/getInfo.php?workbook=10_05.xlsx&amp;sheet=U0&amp;row=11345&amp;col=6&amp;number=3.1&amp;sourceID=14","3.1")</f>
        <v>3.1</v>
      </c>
      <c r="G11345" s="4" t="str">
        <f>HYPERLINK("http://141.218.60.56/~jnz1568/getInfo.php?workbook=10_05.xlsx&amp;sheet=U0&amp;row=11345&amp;col=7&amp;number=0.144&amp;sourceID=14","0.144")</f>
        <v>0.144</v>
      </c>
    </row>
    <row r="11346" spans="1:7">
      <c r="A11346" s="3"/>
      <c r="B11346" s="3"/>
      <c r="C11346" s="3"/>
      <c r="D11346" s="3"/>
      <c r="E11346" s="3">
        <v>3</v>
      </c>
      <c r="F11346" s="4" t="str">
        <f>HYPERLINK("http://141.218.60.56/~jnz1568/getInfo.php?workbook=10_05.xlsx&amp;sheet=U0&amp;row=11346&amp;col=6&amp;number=3.2&amp;sourceID=14","3.2")</f>
        <v>3.2</v>
      </c>
      <c r="G11346" s="4" t="str">
        <f>HYPERLINK("http://141.218.60.56/~jnz1568/getInfo.php?workbook=10_05.xlsx&amp;sheet=U0&amp;row=11346&amp;col=7&amp;number=0.144&amp;sourceID=14","0.144")</f>
        <v>0.144</v>
      </c>
    </row>
    <row r="11347" spans="1:7">
      <c r="A11347" s="3"/>
      <c r="B11347" s="3"/>
      <c r="C11347" s="3"/>
      <c r="D11347" s="3"/>
      <c r="E11347" s="3">
        <v>4</v>
      </c>
      <c r="F11347" s="4" t="str">
        <f>HYPERLINK("http://141.218.60.56/~jnz1568/getInfo.php?workbook=10_05.xlsx&amp;sheet=U0&amp;row=11347&amp;col=6&amp;number=3.3&amp;sourceID=14","3.3")</f>
        <v>3.3</v>
      </c>
      <c r="G11347" s="4" t="str">
        <f>HYPERLINK("http://141.218.60.56/~jnz1568/getInfo.php?workbook=10_05.xlsx&amp;sheet=U0&amp;row=11347&amp;col=7&amp;number=0.143&amp;sourceID=14","0.143")</f>
        <v>0.143</v>
      </c>
    </row>
    <row r="11348" spans="1:7">
      <c r="A11348" s="3"/>
      <c r="B11348" s="3"/>
      <c r="C11348" s="3"/>
      <c r="D11348" s="3"/>
      <c r="E11348" s="3">
        <v>5</v>
      </c>
      <c r="F11348" s="4" t="str">
        <f>HYPERLINK("http://141.218.60.56/~jnz1568/getInfo.php?workbook=10_05.xlsx&amp;sheet=U0&amp;row=11348&amp;col=6&amp;number=3.4&amp;sourceID=14","3.4")</f>
        <v>3.4</v>
      </c>
      <c r="G11348" s="4" t="str">
        <f>HYPERLINK("http://141.218.60.56/~jnz1568/getInfo.php?workbook=10_05.xlsx&amp;sheet=U0&amp;row=11348&amp;col=7&amp;number=0.141&amp;sourceID=14","0.141")</f>
        <v>0.141</v>
      </c>
    </row>
    <row r="11349" spans="1:7">
      <c r="A11349" s="3"/>
      <c r="B11349" s="3"/>
      <c r="C11349" s="3"/>
      <c r="D11349" s="3"/>
      <c r="E11349" s="3">
        <v>6</v>
      </c>
      <c r="F11349" s="4" t="str">
        <f>HYPERLINK("http://141.218.60.56/~jnz1568/getInfo.php?workbook=10_05.xlsx&amp;sheet=U0&amp;row=11349&amp;col=6&amp;number=3.5&amp;sourceID=14","3.5")</f>
        <v>3.5</v>
      </c>
      <c r="G11349" s="4" t="str">
        <f>HYPERLINK("http://141.218.60.56/~jnz1568/getInfo.php?workbook=10_05.xlsx&amp;sheet=U0&amp;row=11349&amp;col=7&amp;number=0.14&amp;sourceID=14","0.14")</f>
        <v>0.14</v>
      </c>
    </row>
    <row r="11350" spans="1:7">
      <c r="A11350" s="3"/>
      <c r="B11350" s="3"/>
      <c r="C11350" s="3"/>
      <c r="D11350" s="3"/>
      <c r="E11350" s="3">
        <v>7</v>
      </c>
      <c r="F11350" s="4" t="str">
        <f>HYPERLINK("http://141.218.60.56/~jnz1568/getInfo.php?workbook=10_05.xlsx&amp;sheet=U0&amp;row=11350&amp;col=6&amp;number=3.6&amp;sourceID=14","3.6")</f>
        <v>3.6</v>
      </c>
      <c r="G11350" s="4" t="str">
        <f>HYPERLINK("http://141.218.60.56/~jnz1568/getInfo.php?workbook=10_05.xlsx&amp;sheet=U0&amp;row=11350&amp;col=7&amp;number=0.138&amp;sourceID=14","0.138")</f>
        <v>0.138</v>
      </c>
    </row>
    <row r="11351" spans="1:7">
      <c r="A11351" s="3"/>
      <c r="B11351" s="3"/>
      <c r="C11351" s="3"/>
      <c r="D11351" s="3"/>
      <c r="E11351" s="3">
        <v>8</v>
      </c>
      <c r="F11351" s="4" t="str">
        <f>HYPERLINK("http://141.218.60.56/~jnz1568/getInfo.php?workbook=10_05.xlsx&amp;sheet=U0&amp;row=11351&amp;col=6&amp;number=3.7&amp;sourceID=14","3.7")</f>
        <v>3.7</v>
      </c>
      <c r="G11351" s="4" t="str">
        <f>HYPERLINK("http://141.218.60.56/~jnz1568/getInfo.php?workbook=10_05.xlsx&amp;sheet=U0&amp;row=11351&amp;col=7&amp;number=0.136&amp;sourceID=14","0.136")</f>
        <v>0.136</v>
      </c>
    </row>
    <row r="11352" spans="1:7">
      <c r="A11352" s="3"/>
      <c r="B11352" s="3"/>
      <c r="C11352" s="3"/>
      <c r="D11352" s="3"/>
      <c r="E11352" s="3">
        <v>9</v>
      </c>
      <c r="F11352" s="4" t="str">
        <f>HYPERLINK("http://141.218.60.56/~jnz1568/getInfo.php?workbook=10_05.xlsx&amp;sheet=U0&amp;row=11352&amp;col=6&amp;number=3.8&amp;sourceID=14","3.8")</f>
        <v>3.8</v>
      </c>
      <c r="G11352" s="4" t="str">
        <f>HYPERLINK("http://141.218.60.56/~jnz1568/getInfo.php?workbook=10_05.xlsx&amp;sheet=U0&amp;row=11352&amp;col=7&amp;number=0.133&amp;sourceID=14","0.133")</f>
        <v>0.133</v>
      </c>
    </row>
    <row r="11353" spans="1:7">
      <c r="A11353" s="3"/>
      <c r="B11353" s="3"/>
      <c r="C11353" s="3"/>
      <c r="D11353" s="3"/>
      <c r="E11353" s="3">
        <v>10</v>
      </c>
      <c r="F11353" s="4" t="str">
        <f>HYPERLINK("http://141.218.60.56/~jnz1568/getInfo.php?workbook=10_05.xlsx&amp;sheet=U0&amp;row=11353&amp;col=6&amp;number=3.9&amp;sourceID=14","3.9")</f>
        <v>3.9</v>
      </c>
      <c r="G11353" s="4" t="str">
        <f>HYPERLINK("http://141.218.60.56/~jnz1568/getInfo.php?workbook=10_05.xlsx&amp;sheet=U0&amp;row=11353&amp;col=7&amp;number=0.13&amp;sourceID=14","0.13")</f>
        <v>0.13</v>
      </c>
    </row>
    <row r="11354" spans="1:7">
      <c r="A11354" s="3"/>
      <c r="B11354" s="3"/>
      <c r="C11354" s="3"/>
      <c r="D11354" s="3"/>
      <c r="E11354" s="3">
        <v>11</v>
      </c>
      <c r="F11354" s="4" t="str">
        <f>HYPERLINK("http://141.218.60.56/~jnz1568/getInfo.php?workbook=10_05.xlsx&amp;sheet=U0&amp;row=11354&amp;col=6&amp;number=4&amp;sourceID=14","4")</f>
        <v>4</v>
      </c>
      <c r="G11354" s="4" t="str">
        <f>HYPERLINK("http://141.218.60.56/~jnz1568/getInfo.php?workbook=10_05.xlsx&amp;sheet=U0&amp;row=11354&amp;col=7&amp;number=0.126&amp;sourceID=14","0.126")</f>
        <v>0.126</v>
      </c>
    </row>
    <row r="11355" spans="1:7">
      <c r="A11355" s="3"/>
      <c r="B11355" s="3"/>
      <c r="C11355" s="3"/>
      <c r="D11355" s="3"/>
      <c r="E11355" s="3">
        <v>12</v>
      </c>
      <c r="F11355" s="4" t="str">
        <f>HYPERLINK("http://141.218.60.56/~jnz1568/getInfo.php?workbook=10_05.xlsx&amp;sheet=U0&amp;row=11355&amp;col=6&amp;number=4.1&amp;sourceID=14","4.1")</f>
        <v>4.1</v>
      </c>
      <c r="G11355" s="4" t="str">
        <f>HYPERLINK("http://141.218.60.56/~jnz1568/getInfo.php?workbook=10_05.xlsx&amp;sheet=U0&amp;row=11355&amp;col=7&amp;number=0.121&amp;sourceID=14","0.121")</f>
        <v>0.121</v>
      </c>
    </row>
    <row r="11356" spans="1:7">
      <c r="A11356" s="3"/>
      <c r="B11356" s="3"/>
      <c r="C11356" s="3"/>
      <c r="D11356" s="3"/>
      <c r="E11356" s="3">
        <v>13</v>
      </c>
      <c r="F11356" s="4" t="str">
        <f>HYPERLINK("http://141.218.60.56/~jnz1568/getInfo.php?workbook=10_05.xlsx&amp;sheet=U0&amp;row=11356&amp;col=6&amp;number=4.2&amp;sourceID=14","4.2")</f>
        <v>4.2</v>
      </c>
      <c r="G11356" s="4" t="str">
        <f>HYPERLINK("http://141.218.60.56/~jnz1568/getInfo.php?workbook=10_05.xlsx&amp;sheet=U0&amp;row=11356&amp;col=7&amp;number=0.115&amp;sourceID=14","0.115")</f>
        <v>0.115</v>
      </c>
    </row>
    <row r="11357" spans="1:7">
      <c r="A11357" s="3"/>
      <c r="B11357" s="3"/>
      <c r="C11357" s="3"/>
      <c r="D11357" s="3"/>
      <c r="E11357" s="3">
        <v>14</v>
      </c>
      <c r="F11357" s="4" t="str">
        <f>HYPERLINK("http://141.218.60.56/~jnz1568/getInfo.php?workbook=10_05.xlsx&amp;sheet=U0&amp;row=11357&amp;col=6&amp;number=4.3&amp;sourceID=14","4.3")</f>
        <v>4.3</v>
      </c>
      <c r="G11357" s="4" t="str">
        <f>HYPERLINK("http://141.218.60.56/~jnz1568/getInfo.php?workbook=10_05.xlsx&amp;sheet=U0&amp;row=11357&amp;col=7&amp;number=0.108&amp;sourceID=14","0.108")</f>
        <v>0.108</v>
      </c>
    </row>
    <row r="11358" spans="1:7">
      <c r="A11358" s="3"/>
      <c r="B11358" s="3"/>
      <c r="C11358" s="3"/>
      <c r="D11358" s="3"/>
      <c r="E11358" s="3">
        <v>15</v>
      </c>
      <c r="F11358" s="4" t="str">
        <f>HYPERLINK("http://141.218.60.56/~jnz1568/getInfo.php?workbook=10_05.xlsx&amp;sheet=U0&amp;row=11358&amp;col=6&amp;number=4.4&amp;sourceID=14","4.4")</f>
        <v>4.4</v>
      </c>
      <c r="G11358" s="4" t="str">
        <f>HYPERLINK("http://141.218.60.56/~jnz1568/getInfo.php?workbook=10_05.xlsx&amp;sheet=U0&amp;row=11358&amp;col=7&amp;number=0.101&amp;sourceID=14","0.101")</f>
        <v>0.101</v>
      </c>
    </row>
    <row r="11359" spans="1:7">
      <c r="A11359" s="3"/>
      <c r="B11359" s="3"/>
      <c r="C11359" s="3"/>
      <c r="D11359" s="3"/>
      <c r="E11359" s="3">
        <v>16</v>
      </c>
      <c r="F11359" s="4" t="str">
        <f>HYPERLINK("http://141.218.60.56/~jnz1568/getInfo.php?workbook=10_05.xlsx&amp;sheet=U0&amp;row=11359&amp;col=6&amp;number=4.5&amp;sourceID=14","4.5")</f>
        <v>4.5</v>
      </c>
      <c r="G11359" s="4" t="str">
        <f>HYPERLINK("http://141.218.60.56/~jnz1568/getInfo.php?workbook=10_05.xlsx&amp;sheet=U0&amp;row=11359&amp;col=7&amp;number=0.0938&amp;sourceID=14","0.0938")</f>
        <v>0.0938</v>
      </c>
    </row>
    <row r="11360" spans="1:7">
      <c r="A11360" s="3"/>
      <c r="B11360" s="3"/>
      <c r="C11360" s="3"/>
      <c r="D11360" s="3"/>
      <c r="E11360" s="3">
        <v>17</v>
      </c>
      <c r="F11360" s="4" t="str">
        <f>HYPERLINK("http://141.218.60.56/~jnz1568/getInfo.php?workbook=10_05.xlsx&amp;sheet=U0&amp;row=11360&amp;col=6&amp;number=4.6&amp;sourceID=14","4.6")</f>
        <v>4.6</v>
      </c>
      <c r="G11360" s="4" t="str">
        <f>HYPERLINK("http://141.218.60.56/~jnz1568/getInfo.php?workbook=10_05.xlsx&amp;sheet=U0&amp;row=11360&amp;col=7&amp;number=0.0871&amp;sourceID=14","0.0871")</f>
        <v>0.0871</v>
      </c>
    </row>
    <row r="11361" spans="1:7">
      <c r="A11361" s="3"/>
      <c r="B11361" s="3"/>
      <c r="C11361" s="3"/>
      <c r="D11361" s="3"/>
      <c r="E11361" s="3">
        <v>18</v>
      </c>
      <c r="F11361" s="4" t="str">
        <f>HYPERLINK("http://141.218.60.56/~jnz1568/getInfo.php?workbook=10_05.xlsx&amp;sheet=U0&amp;row=11361&amp;col=6&amp;number=4.7&amp;sourceID=14","4.7")</f>
        <v>4.7</v>
      </c>
      <c r="G11361" s="4" t="str">
        <f>HYPERLINK("http://141.218.60.56/~jnz1568/getInfo.php?workbook=10_05.xlsx&amp;sheet=U0&amp;row=11361&amp;col=7&amp;number=0.0812&amp;sourceID=14","0.0812")</f>
        <v>0.0812</v>
      </c>
    </row>
    <row r="11362" spans="1:7">
      <c r="A11362" s="3"/>
      <c r="B11362" s="3"/>
      <c r="C11362" s="3"/>
      <c r="D11362" s="3"/>
      <c r="E11362" s="3">
        <v>19</v>
      </c>
      <c r="F11362" s="4" t="str">
        <f>HYPERLINK("http://141.218.60.56/~jnz1568/getInfo.php?workbook=10_05.xlsx&amp;sheet=U0&amp;row=11362&amp;col=6&amp;number=4.8&amp;sourceID=14","4.8")</f>
        <v>4.8</v>
      </c>
      <c r="G11362" s="4" t="str">
        <f>HYPERLINK("http://141.218.60.56/~jnz1568/getInfo.php?workbook=10_05.xlsx&amp;sheet=U0&amp;row=11362&amp;col=7&amp;number=0.076&amp;sourceID=14","0.076")</f>
        <v>0.076</v>
      </c>
    </row>
    <row r="11363" spans="1:7">
      <c r="A11363" s="3"/>
      <c r="B11363" s="3"/>
      <c r="C11363" s="3"/>
      <c r="D11363" s="3"/>
      <c r="E11363" s="3">
        <v>20</v>
      </c>
      <c r="F11363" s="4" t="str">
        <f>HYPERLINK("http://141.218.60.56/~jnz1568/getInfo.php?workbook=10_05.xlsx&amp;sheet=U0&amp;row=11363&amp;col=6&amp;number=4.9&amp;sourceID=14","4.9")</f>
        <v>4.9</v>
      </c>
      <c r="G11363" s="4" t="str">
        <f>HYPERLINK("http://141.218.60.56/~jnz1568/getInfo.php?workbook=10_05.xlsx&amp;sheet=U0&amp;row=11363&amp;col=7&amp;number=0.0711&amp;sourceID=14","0.0711")</f>
        <v>0.0711</v>
      </c>
    </row>
    <row r="11364" spans="1:7">
      <c r="A11364" s="3">
        <v>10</v>
      </c>
      <c r="B11364" s="3">
        <v>5</v>
      </c>
      <c r="C11364" s="3">
        <v>4</v>
      </c>
      <c r="D11364" s="3">
        <v>39</v>
      </c>
      <c r="E11364" s="3">
        <v>1</v>
      </c>
      <c r="F11364" s="4" t="str">
        <f>HYPERLINK("http://141.218.60.56/~jnz1568/getInfo.php?workbook=10_05.xlsx&amp;sheet=U0&amp;row=11364&amp;col=6&amp;number=3&amp;sourceID=14","3")</f>
        <v>3</v>
      </c>
      <c r="G11364" s="4" t="str">
        <f>HYPERLINK("http://141.218.60.56/~jnz1568/getInfo.php?workbook=10_05.xlsx&amp;sheet=U0&amp;row=11364&amp;col=7&amp;number=0.221&amp;sourceID=14","0.221")</f>
        <v>0.221</v>
      </c>
    </row>
    <row r="11365" spans="1:7">
      <c r="A11365" s="3"/>
      <c r="B11365" s="3"/>
      <c r="C11365" s="3"/>
      <c r="D11365" s="3"/>
      <c r="E11365" s="3">
        <v>2</v>
      </c>
      <c r="F11365" s="4" t="str">
        <f>HYPERLINK("http://141.218.60.56/~jnz1568/getInfo.php?workbook=10_05.xlsx&amp;sheet=U0&amp;row=11365&amp;col=6&amp;number=3.1&amp;sourceID=14","3.1")</f>
        <v>3.1</v>
      </c>
      <c r="G11365" s="4" t="str">
        <f>HYPERLINK("http://141.218.60.56/~jnz1568/getInfo.php?workbook=10_05.xlsx&amp;sheet=U0&amp;row=11365&amp;col=7&amp;number=0.22&amp;sourceID=14","0.22")</f>
        <v>0.22</v>
      </c>
    </row>
    <row r="11366" spans="1:7">
      <c r="A11366" s="3"/>
      <c r="B11366" s="3"/>
      <c r="C11366" s="3"/>
      <c r="D11366" s="3"/>
      <c r="E11366" s="3">
        <v>3</v>
      </c>
      <c r="F11366" s="4" t="str">
        <f>HYPERLINK("http://141.218.60.56/~jnz1568/getInfo.php?workbook=10_05.xlsx&amp;sheet=U0&amp;row=11366&amp;col=6&amp;number=3.2&amp;sourceID=14","3.2")</f>
        <v>3.2</v>
      </c>
      <c r="G11366" s="4" t="str">
        <f>HYPERLINK("http://141.218.60.56/~jnz1568/getInfo.php?workbook=10_05.xlsx&amp;sheet=U0&amp;row=11366&amp;col=7&amp;number=0.218&amp;sourceID=14","0.218")</f>
        <v>0.218</v>
      </c>
    </row>
    <row r="11367" spans="1:7">
      <c r="A11367" s="3"/>
      <c r="B11367" s="3"/>
      <c r="C11367" s="3"/>
      <c r="D11367" s="3"/>
      <c r="E11367" s="3">
        <v>4</v>
      </c>
      <c r="F11367" s="4" t="str">
        <f>HYPERLINK("http://141.218.60.56/~jnz1568/getInfo.php?workbook=10_05.xlsx&amp;sheet=U0&amp;row=11367&amp;col=6&amp;number=3.3&amp;sourceID=14","3.3")</f>
        <v>3.3</v>
      </c>
      <c r="G11367" s="4" t="str">
        <f>HYPERLINK("http://141.218.60.56/~jnz1568/getInfo.php?workbook=10_05.xlsx&amp;sheet=U0&amp;row=11367&amp;col=7&amp;number=0.216&amp;sourceID=14","0.216")</f>
        <v>0.216</v>
      </c>
    </row>
    <row r="11368" spans="1:7">
      <c r="A11368" s="3"/>
      <c r="B11368" s="3"/>
      <c r="C11368" s="3"/>
      <c r="D11368" s="3"/>
      <c r="E11368" s="3">
        <v>5</v>
      </c>
      <c r="F11368" s="4" t="str">
        <f>HYPERLINK("http://141.218.60.56/~jnz1568/getInfo.php?workbook=10_05.xlsx&amp;sheet=U0&amp;row=11368&amp;col=6&amp;number=3.4&amp;sourceID=14","3.4")</f>
        <v>3.4</v>
      </c>
      <c r="G11368" s="4" t="str">
        <f>HYPERLINK("http://141.218.60.56/~jnz1568/getInfo.php?workbook=10_05.xlsx&amp;sheet=U0&amp;row=11368&amp;col=7&amp;number=0.214&amp;sourceID=14","0.214")</f>
        <v>0.214</v>
      </c>
    </row>
    <row r="11369" spans="1:7">
      <c r="A11369" s="3"/>
      <c r="B11369" s="3"/>
      <c r="C11369" s="3"/>
      <c r="D11369" s="3"/>
      <c r="E11369" s="3">
        <v>6</v>
      </c>
      <c r="F11369" s="4" t="str">
        <f>HYPERLINK("http://141.218.60.56/~jnz1568/getInfo.php?workbook=10_05.xlsx&amp;sheet=U0&amp;row=11369&amp;col=6&amp;number=3.5&amp;sourceID=14","3.5")</f>
        <v>3.5</v>
      </c>
      <c r="G11369" s="4" t="str">
        <f>HYPERLINK("http://141.218.60.56/~jnz1568/getInfo.php?workbook=10_05.xlsx&amp;sheet=U0&amp;row=11369&amp;col=7&amp;number=0.211&amp;sourceID=14","0.211")</f>
        <v>0.211</v>
      </c>
    </row>
    <row r="11370" spans="1:7">
      <c r="A11370" s="3"/>
      <c r="B11370" s="3"/>
      <c r="C11370" s="3"/>
      <c r="D11370" s="3"/>
      <c r="E11370" s="3">
        <v>7</v>
      </c>
      <c r="F11370" s="4" t="str">
        <f>HYPERLINK("http://141.218.60.56/~jnz1568/getInfo.php?workbook=10_05.xlsx&amp;sheet=U0&amp;row=11370&amp;col=6&amp;number=3.6&amp;sourceID=14","3.6")</f>
        <v>3.6</v>
      </c>
      <c r="G11370" s="4" t="str">
        <f>HYPERLINK("http://141.218.60.56/~jnz1568/getInfo.php?workbook=10_05.xlsx&amp;sheet=U0&amp;row=11370&amp;col=7&amp;number=0.207&amp;sourceID=14","0.207")</f>
        <v>0.207</v>
      </c>
    </row>
    <row r="11371" spans="1:7">
      <c r="A11371" s="3"/>
      <c r="B11371" s="3"/>
      <c r="C11371" s="3"/>
      <c r="D11371" s="3"/>
      <c r="E11371" s="3">
        <v>8</v>
      </c>
      <c r="F11371" s="4" t="str">
        <f>HYPERLINK("http://141.218.60.56/~jnz1568/getInfo.php?workbook=10_05.xlsx&amp;sheet=U0&amp;row=11371&amp;col=6&amp;number=3.7&amp;sourceID=14","3.7")</f>
        <v>3.7</v>
      </c>
      <c r="G11371" s="4" t="str">
        <f>HYPERLINK("http://141.218.60.56/~jnz1568/getInfo.php?workbook=10_05.xlsx&amp;sheet=U0&amp;row=11371&amp;col=7&amp;number=0.202&amp;sourceID=14","0.202")</f>
        <v>0.202</v>
      </c>
    </row>
    <row r="11372" spans="1:7">
      <c r="A11372" s="3"/>
      <c r="B11372" s="3"/>
      <c r="C11372" s="3"/>
      <c r="D11372" s="3"/>
      <c r="E11372" s="3">
        <v>9</v>
      </c>
      <c r="F11372" s="4" t="str">
        <f>HYPERLINK("http://141.218.60.56/~jnz1568/getInfo.php?workbook=10_05.xlsx&amp;sheet=U0&amp;row=11372&amp;col=6&amp;number=3.8&amp;sourceID=14","3.8")</f>
        <v>3.8</v>
      </c>
      <c r="G11372" s="4" t="str">
        <f>HYPERLINK("http://141.218.60.56/~jnz1568/getInfo.php?workbook=10_05.xlsx&amp;sheet=U0&amp;row=11372&amp;col=7&amp;number=0.196&amp;sourceID=14","0.196")</f>
        <v>0.196</v>
      </c>
    </row>
    <row r="11373" spans="1:7">
      <c r="A11373" s="3"/>
      <c r="B11373" s="3"/>
      <c r="C11373" s="3"/>
      <c r="D11373" s="3"/>
      <c r="E11373" s="3">
        <v>10</v>
      </c>
      <c r="F11373" s="4" t="str">
        <f>HYPERLINK("http://141.218.60.56/~jnz1568/getInfo.php?workbook=10_05.xlsx&amp;sheet=U0&amp;row=11373&amp;col=6&amp;number=3.9&amp;sourceID=14","3.9")</f>
        <v>3.9</v>
      </c>
      <c r="G11373" s="4" t="str">
        <f>HYPERLINK("http://141.218.60.56/~jnz1568/getInfo.php?workbook=10_05.xlsx&amp;sheet=U0&amp;row=11373&amp;col=7&amp;number=0.189&amp;sourceID=14","0.189")</f>
        <v>0.189</v>
      </c>
    </row>
    <row r="11374" spans="1:7">
      <c r="A11374" s="3"/>
      <c r="B11374" s="3"/>
      <c r="C11374" s="3"/>
      <c r="D11374" s="3"/>
      <c r="E11374" s="3">
        <v>11</v>
      </c>
      <c r="F11374" s="4" t="str">
        <f>HYPERLINK("http://141.218.60.56/~jnz1568/getInfo.php?workbook=10_05.xlsx&amp;sheet=U0&amp;row=11374&amp;col=6&amp;number=4&amp;sourceID=14","4")</f>
        <v>4</v>
      </c>
      <c r="G11374" s="4" t="str">
        <f>HYPERLINK("http://141.218.60.56/~jnz1568/getInfo.php?workbook=10_05.xlsx&amp;sheet=U0&amp;row=11374&amp;col=7&amp;number=0.181&amp;sourceID=14","0.181")</f>
        <v>0.181</v>
      </c>
    </row>
    <row r="11375" spans="1:7">
      <c r="A11375" s="3"/>
      <c r="B11375" s="3"/>
      <c r="C11375" s="3"/>
      <c r="D11375" s="3"/>
      <c r="E11375" s="3">
        <v>12</v>
      </c>
      <c r="F11375" s="4" t="str">
        <f>HYPERLINK("http://141.218.60.56/~jnz1568/getInfo.php?workbook=10_05.xlsx&amp;sheet=U0&amp;row=11375&amp;col=6&amp;number=4.1&amp;sourceID=14","4.1")</f>
        <v>4.1</v>
      </c>
      <c r="G11375" s="4" t="str">
        <f>HYPERLINK("http://141.218.60.56/~jnz1568/getInfo.php?workbook=10_05.xlsx&amp;sheet=U0&amp;row=11375&amp;col=7&amp;number=0.172&amp;sourceID=14","0.172")</f>
        <v>0.172</v>
      </c>
    </row>
    <row r="11376" spans="1:7">
      <c r="A11376" s="3"/>
      <c r="B11376" s="3"/>
      <c r="C11376" s="3"/>
      <c r="D11376" s="3"/>
      <c r="E11376" s="3">
        <v>13</v>
      </c>
      <c r="F11376" s="4" t="str">
        <f>HYPERLINK("http://141.218.60.56/~jnz1568/getInfo.php?workbook=10_05.xlsx&amp;sheet=U0&amp;row=11376&amp;col=6&amp;number=4.2&amp;sourceID=14","4.2")</f>
        <v>4.2</v>
      </c>
      <c r="G11376" s="4" t="str">
        <f>HYPERLINK("http://141.218.60.56/~jnz1568/getInfo.php?workbook=10_05.xlsx&amp;sheet=U0&amp;row=11376&amp;col=7&amp;number=0.161&amp;sourceID=14","0.161")</f>
        <v>0.161</v>
      </c>
    </row>
    <row r="11377" spans="1:7">
      <c r="A11377" s="3"/>
      <c r="B11377" s="3"/>
      <c r="C11377" s="3"/>
      <c r="D11377" s="3"/>
      <c r="E11377" s="3">
        <v>14</v>
      </c>
      <c r="F11377" s="4" t="str">
        <f>HYPERLINK("http://141.218.60.56/~jnz1568/getInfo.php?workbook=10_05.xlsx&amp;sheet=U0&amp;row=11377&amp;col=6&amp;number=4.3&amp;sourceID=14","4.3")</f>
        <v>4.3</v>
      </c>
      <c r="G11377" s="4" t="str">
        <f>HYPERLINK("http://141.218.60.56/~jnz1568/getInfo.php?workbook=10_05.xlsx&amp;sheet=U0&amp;row=11377&amp;col=7&amp;number=0.15&amp;sourceID=14","0.15")</f>
        <v>0.15</v>
      </c>
    </row>
    <row r="11378" spans="1:7">
      <c r="A11378" s="3"/>
      <c r="B11378" s="3"/>
      <c r="C11378" s="3"/>
      <c r="D11378" s="3"/>
      <c r="E11378" s="3">
        <v>15</v>
      </c>
      <c r="F11378" s="4" t="str">
        <f>HYPERLINK("http://141.218.60.56/~jnz1568/getInfo.php?workbook=10_05.xlsx&amp;sheet=U0&amp;row=11378&amp;col=6&amp;number=4.4&amp;sourceID=14","4.4")</f>
        <v>4.4</v>
      </c>
      <c r="G11378" s="4" t="str">
        <f>HYPERLINK("http://141.218.60.56/~jnz1568/getInfo.php?workbook=10_05.xlsx&amp;sheet=U0&amp;row=11378&amp;col=7&amp;number=0.139&amp;sourceID=14","0.139")</f>
        <v>0.139</v>
      </c>
    </row>
    <row r="11379" spans="1:7">
      <c r="A11379" s="3"/>
      <c r="B11379" s="3"/>
      <c r="C11379" s="3"/>
      <c r="D11379" s="3"/>
      <c r="E11379" s="3">
        <v>16</v>
      </c>
      <c r="F11379" s="4" t="str">
        <f>HYPERLINK("http://141.218.60.56/~jnz1568/getInfo.php?workbook=10_05.xlsx&amp;sheet=U0&amp;row=11379&amp;col=6&amp;number=4.5&amp;sourceID=14","4.5")</f>
        <v>4.5</v>
      </c>
      <c r="G11379" s="4" t="str">
        <f>HYPERLINK("http://141.218.60.56/~jnz1568/getInfo.php?workbook=10_05.xlsx&amp;sheet=U0&amp;row=11379&amp;col=7&amp;number=0.128&amp;sourceID=14","0.128")</f>
        <v>0.128</v>
      </c>
    </row>
    <row r="11380" spans="1:7">
      <c r="A11380" s="3"/>
      <c r="B11380" s="3"/>
      <c r="C11380" s="3"/>
      <c r="D11380" s="3"/>
      <c r="E11380" s="3">
        <v>17</v>
      </c>
      <c r="F11380" s="4" t="str">
        <f>HYPERLINK("http://141.218.60.56/~jnz1568/getInfo.php?workbook=10_05.xlsx&amp;sheet=U0&amp;row=11380&amp;col=6&amp;number=4.6&amp;sourceID=14","4.6")</f>
        <v>4.6</v>
      </c>
      <c r="G11380" s="4" t="str">
        <f>HYPERLINK("http://141.218.60.56/~jnz1568/getInfo.php?workbook=10_05.xlsx&amp;sheet=U0&amp;row=11380&amp;col=7&amp;number=0.118&amp;sourceID=14","0.118")</f>
        <v>0.118</v>
      </c>
    </row>
    <row r="11381" spans="1:7">
      <c r="A11381" s="3"/>
      <c r="B11381" s="3"/>
      <c r="C11381" s="3"/>
      <c r="D11381" s="3"/>
      <c r="E11381" s="3">
        <v>18</v>
      </c>
      <c r="F11381" s="4" t="str">
        <f>HYPERLINK("http://141.218.60.56/~jnz1568/getInfo.php?workbook=10_05.xlsx&amp;sheet=U0&amp;row=11381&amp;col=6&amp;number=4.7&amp;sourceID=14","4.7")</f>
        <v>4.7</v>
      </c>
      <c r="G11381" s="4" t="str">
        <f>HYPERLINK("http://141.218.60.56/~jnz1568/getInfo.php?workbook=10_05.xlsx&amp;sheet=U0&amp;row=11381&amp;col=7&amp;number=0.109&amp;sourceID=14","0.109")</f>
        <v>0.109</v>
      </c>
    </row>
    <row r="11382" spans="1:7">
      <c r="A11382" s="3"/>
      <c r="B11382" s="3"/>
      <c r="C11382" s="3"/>
      <c r="D11382" s="3"/>
      <c r="E11382" s="3">
        <v>19</v>
      </c>
      <c r="F11382" s="4" t="str">
        <f>HYPERLINK("http://141.218.60.56/~jnz1568/getInfo.php?workbook=10_05.xlsx&amp;sheet=U0&amp;row=11382&amp;col=6&amp;number=4.8&amp;sourceID=14","4.8")</f>
        <v>4.8</v>
      </c>
      <c r="G11382" s="4" t="str">
        <f>HYPERLINK("http://141.218.60.56/~jnz1568/getInfo.php?workbook=10_05.xlsx&amp;sheet=U0&amp;row=11382&amp;col=7&amp;number=0.101&amp;sourceID=14","0.101")</f>
        <v>0.101</v>
      </c>
    </row>
    <row r="11383" spans="1:7">
      <c r="A11383" s="3"/>
      <c r="B11383" s="3"/>
      <c r="C11383" s="3"/>
      <c r="D11383" s="3"/>
      <c r="E11383" s="3">
        <v>20</v>
      </c>
      <c r="F11383" s="4" t="str">
        <f>HYPERLINK("http://141.218.60.56/~jnz1568/getInfo.php?workbook=10_05.xlsx&amp;sheet=U0&amp;row=11383&amp;col=6&amp;number=4.9&amp;sourceID=14","4.9")</f>
        <v>4.9</v>
      </c>
      <c r="G11383" s="4" t="str">
        <f>HYPERLINK("http://141.218.60.56/~jnz1568/getInfo.php?workbook=10_05.xlsx&amp;sheet=U0&amp;row=11383&amp;col=7&amp;number=0.0935&amp;sourceID=14","0.0935")</f>
        <v>0.0935</v>
      </c>
    </row>
    <row r="11384" spans="1:7">
      <c r="A11384" s="3">
        <v>10</v>
      </c>
      <c r="B11384" s="3">
        <v>5</v>
      </c>
      <c r="C11384" s="3">
        <v>4</v>
      </c>
      <c r="D11384" s="3">
        <v>40</v>
      </c>
      <c r="E11384" s="3">
        <v>1</v>
      </c>
      <c r="F11384" s="4" t="str">
        <f>HYPERLINK("http://141.218.60.56/~jnz1568/getInfo.php?workbook=10_05.xlsx&amp;sheet=U0&amp;row=11384&amp;col=6&amp;number=3&amp;sourceID=14","3")</f>
        <v>3</v>
      </c>
      <c r="G11384" s="4" t="str">
        <f>HYPERLINK("http://141.218.60.56/~jnz1568/getInfo.php?workbook=10_05.xlsx&amp;sheet=U0&amp;row=11384&amp;col=7&amp;number=0.0281&amp;sourceID=14","0.0281")</f>
        <v>0.0281</v>
      </c>
    </row>
    <row r="11385" spans="1:7">
      <c r="A11385" s="3"/>
      <c r="B11385" s="3"/>
      <c r="C11385" s="3"/>
      <c r="D11385" s="3"/>
      <c r="E11385" s="3">
        <v>2</v>
      </c>
      <c r="F11385" s="4" t="str">
        <f>HYPERLINK("http://141.218.60.56/~jnz1568/getInfo.php?workbook=10_05.xlsx&amp;sheet=U0&amp;row=11385&amp;col=6&amp;number=3.1&amp;sourceID=14","3.1")</f>
        <v>3.1</v>
      </c>
      <c r="G11385" s="4" t="str">
        <f>HYPERLINK("http://141.218.60.56/~jnz1568/getInfo.php?workbook=10_05.xlsx&amp;sheet=U0&amp;row=11385&amp;col=7&amp;number=0.0285&amp;sourceID=14","0.0285")</f>
        <v>0.0285</v>
      </c>
    </row>
    <row r="11386" spans="1:7">
      <c r="A11386" s="3"/>
      <c r="B11386" s="3"/>
      <c r="C11386" s="3"/>
      <c r="D11386" s="3"/>
      <c r="E11386" s="3">
        <v>3</v>
      </c>
      <c r="F11386" s="4" t="str">
        <f>HYPERLINK("http://141.218.60.56/~jnz1568/getInfo.php?workbook=10_05.xlsx&amp;sheet=U0&amp;row=11386&amp;col=6&amp;number=3.2&amp;sourceID=14","3.2")</f>
        <v>3.2</v>
      </c>
      <c r="G11386" s="4" t="str">
        <f>HYPERLINK("http://141.218.60.56/~jnz1568/getInfo.php?workbook=10_05.xlsx&amp;sheet=U0&amp;row=11386&amp;col=7&amp;number=0.0289&amp;sourceID=14","0.0289")</f>
        <v>0.0289</v>
      </c>
    </row>
    <row r="11387" spans="1:7">
      <c r="A11387" s="3"/>
      <c r="B11387" s="3"/>
      <c r="C11387" s="3"/>
      <c r="D11387" s="3"/>
      <c r="E11387" s="3">
        <v>4</v>
      </c>
      <c r="F11387" s="4" t="str">
        <f>HYPERLINK("http://141.218.60.56/~jnz1568/getInfo.php?workbook=10_05.xlsx&amp;sheet=U0&amp;row=11387&amp;col=6&amp;number=3.3&amp;sourceID=14","3.3")</f>
        <v>3.3</v>
      </c>
      <c r="G11387" s="4" t="str">
        <f>HYPERLINK("http://141.218.60.56/~jnz1568/getInfo.php?workbook=10_05.xlsx&amp;sheet=U0&amp;row=11387&amp;col=7&amp;number=0.0295&amp;sourceID=14","0.0295")</f>
        <v>0.0295</v>
      </c>
    </row>
    <row r="11388" spans="1:7">
      <c r="A11388" s="3"/>
      <c r="B11388" s="3"/>
      <c r="C11388" s="3"/>
      <c r="D11388" s="3"/>
      <c r="E11388" s="3">
        <v>5</v>
      </c>
      <c r="F11388" s="4" t="str">
        <f>HYPERLINK("http://141.218.60.56/~jnz1568/getInfo.php?workbook=10_05.xlsx&amp;sheet=U0&amp;row=11388&amp;col=6&amp;number=3.4&amp;sourceID=14","3.4")</f>
        <v>3.4</v>
      </c>
      <c r="G11388" s="4" t="str">
        <f>HYPERLINK("http://141.218.60.56/~jnz1568/getInfo.php?workbook=10_05.xlsx&amp;sheet=U0&amp;row=11388&amp;col=7&amp;number=0.0302&amp;sourceID=14","0.0302")</f>
        <v>0.0302</v>
      </c>
    </row>
    <row r="11389" spans="1:7">
      <c r="A11389" s="3"/>
      <c r="B11389" s="3"/>
      <c r="C11389" s="3"/>
      <c r="D11389" s="3"/>
      <c r="E11389" s="3">
        <v>6</v>
      </c>
      <c r="F11389" s="4" t="str">
        <f>HYPERLINK("http://141.218.60.56/~jnz1568/getInfo.php?workbook=10_05.xlsx&amp;sheet=U0&amp;row=11389&amp;col=6&amp;number=3.5&amp;sourceID=14","3.5")</f>
        <v>3.5</v>
      </c>
      <c r="G11389" s="4" t="str">
        <f>HYPERLINK("http://141.218.60.56/~jnz1568/getInfo.php?workbook=10_05.xlsx&amp;sheet=U0&amp;row=11389&amp;col=7&amp;number=0.0311&amp;sourceID=14","0.0311")</f>
        <v>0.0311</v>
      </c>
    </row>
    <row r="11390" spans="1:7">
      <c r="A11390" s="3"/>
      <c r="B11390" s="3"/>
      <c r="C11390" s="3"/>
      <c r="D11390" s="3"/>
      <c r="E11390" s="3">
        <v>7</v>
      </c>
      <c r="F11390" s="4" t="str">
        <f>HYPERLINK("http://141.218.60.56/~jnz1568/getInfo.php?workbook=10_05.xlsx&amp;sheet=U0&amp;row=11390&amp;col=6&amp;number=3.6&amp;sourceID=14","3.6")</f>
        <v>3.6</v>
      </c>
      <c r="G11390" s="4" t="str">
        <f>HYPERLINK("http://141.218.60.56/~jnz1568/getInfo.php?workbook=10_05.xlsx&amp;sheet=U0&amp;row=11390&amp;col=7&amp;number=0.0321&amp;sourceID=14","0.0321")</f>
        <v>0.0321</v>
      </c>
    </row>
    <row r="11391" spans="1:7">
      <c r="A11391" s="3"/>
      <c r="B11391" s="3"/>
      <c r="C11391" s="3"/>
      <c r="D11391" s="3"/>
      <c r="E11391" s="3">
        <v>8</v>
      </c>
      <c r="F11391" s="4" t="str">
        <f>HYPERLINK("http://141.218.60.56/~jnz1568/getInfo.php?workbook=10_05.xlsx&amp;sheet=U0&amp;row=11391&amp;col=6&amp;number=3.7&amp;sourceID=14","3.7")</f>
        <v>3.7</v>
      </c>
      <c r="G11391" s="4" t="str">
        <f>HYPERLINK("http://141.218.60.56/~jnz1568/getInfo.php?workbook=10_05.xlsx&amp;sheet=U0&amp;row=11391&amp;col=7&amp;number=0.0332&amp;sourceID=14","0.0332")</f>
        <v>0.0332</v>
      </c>
    </row>
    <row r="11392" spans="1:7">
      <c r="A11392" s="3"/>
      <c r="B11392" s="3"/>
      <c r="C11392" s="3"/>
      <c r="D11392" s="3"/>
      <c r="E11392" s="3">
        <v>9</v>
      </c>
      <c r="F11392" s="4" t="str">
        <f>HYPERLINK("http://141.218.60.56/~jnz1568/getInfo.php?workbook=10_05.xlsx&amp;sheet=U0&amp;row=11392&amp;col=6&amp;number=3.8&amp;sourceID=14","3.8")</f>
        <v>3.8</v>
      </c>
      <c r="G11392" s="4" t="str">
        <f>HYPERLINK("http://141.218.60.56/~jnz1568/getInfo.php?workbook=10_05.xlsx&amp;sheet=U0&amp;row=11392&amp;col=7&amp;number=0.0344&amp;sourceID=14","0.0344")</f>
        <v>0.0344</v>
      </c>
    </row>
    <row r="11393" spans="1:7">
      <c r="A11393" s="3"/>
      <c r="B11393" s="3"/>
      <c r="C11393" s="3"/>
      <c r="D11393" s="3"/>
      <c r="E11393" s="3">
        <v>10</v>
      </c>
      <c r="F11393" s="4" t="str">
        <f>HYPERLINK("http://141.218.60.56/~jnz1568/getInfo.php?workbook=10_05.xlsx&amp;sheet=U0&amp;row=11393&amp;col=6&amp;number=3.9&amp;sourceID=14","3.9")</f>
        <v>3.9</v>
      </c>
      <c r="G11393" s="4" t="str">
        <f>HYPERLINK("http://141.218.60.56/~jnz1568/getInfo.php?workbook=10_05.xlsx&amp;sheet=U0&amp;row=11393&amp;col=7&amp;number=0.0355&amp;sourceID=14","0.0355")</f>
        <v>0.0355</v>
      </c>
    </row>
    <row r="11394" spans="1:7">
      <c r="A11394" s="3"/>
      <c r="B11394" s="3"/>
      <c r="C11394" s="3"/>
      <c r="D11394" s="3"/>
      <c r="E11394" s="3">
        <v>11</v>
      </c>
      <c r="F11394" s="4" t="str">
        <f>HYPERLINK("http://141.218.60.56/~jnz1568/getInfo.php?workbook=10_05.xlsx&amp;sheet=U0&amp;row=11394&amp;col=6&amp;number=4&amp;sourceID=14","4")</f>
        <v>4</v>
      </c>
      <c r="G11394" s="4" t="str">
        <f>HYPERLINK("http://141.218.60.56/~jnz1568/getInfo.php?workbook=10_05.xlsx&amp;sheet=U0&amp;row=11394&amp;col=7&amp;number=0.0362&amp;sourceID=14","0.0362")</f>
        <v>0.0362</v>
      </c>
    </row>
    <row r="11395" spans="1:7">
      <c r="A11395" s="3"/>
      <c r="B11395" s="3"/>
      <c r="C11395" s="3"/>
      <c r="D11395" s="3"/>
      <c r="E11395" s="3">
        <v>12</v>
      </c>
      <c r="F11395" s="4" t="str">
        <f>HYPERLINK("http://141.218.60.56/~jnz1568/getInfo.php?workbook=10_05.xlsx&amp;sheet=U0&amp;row=11395&amp;col=6&amp;number=4.1&amp;sourceID=14","4.1")</f>
        <v>4.1</v>
      </c>
      <c r="G11395" s="4" t="str">
        <f>HYPERLINK("http://141.218.60.56/~jnz1568/getInfo.php?workbook=10_05.xlsx&amp;sheet=U0&amp;row=11395&amp;col=7&amp;number=0.036&amp;sourceID=14","0.036")</f>
        <v>0.036</v>
      </c>
    </row>
    <row r="11396" spans="1:7">
      <c r="A11396" s="3"/>
      <c r="B11396" s="3"/>
      <c r="C11396" s="3"/>
      <c r="D11396" s="3"/>
      <c r="E11396" s="3">
        <v>13</v>
      </c>
      <c r="F11396" s="4" t="str">
        <f>HYPERLINK("http://141.218.60.56/~jnz1568/getInfo.php?workbook=10_05.xlsx&amp;sheet=U0&amp;row=11396&amp;col=6&amp;number=4.2&amp;sourceID=14","4.2")</f>
        <v>4.2</v>
      </c>
      <c r="G11396" s="4" t="str">
        <f>HYPERLINK("http://141.218.60.56/~jnz1568/getInfo.php?workbook=10_05.xlsx&amp;sheet=U0&amp;row=11396&amp;col=7&amp;number=0.0348&amp;sourceID=14","0.0348")</f>
        <v>0.0348</v>
      </c>
    </row>
    <row r="11397" spans="1:7">
      <c r="A11397" s="3"/>
      <c r="B11397" s="3"/>
      <c r="C11397" s="3"/>
      <c r="D11397" s="3"/>
      <c r="E11397" s="3">
        <v>14</v>
      </c>
      <c r="F11397" s="4" t="str">
        <f>HYPERLINK("http://141.218.60.56/~jnz1568/getInfo.php?workbook=10_05.xlsx&amp;sheet=U0&amp;row=11397&amp;col=6&amp;number=4.3&amp;sourceID=14","4.3")</f>
        <v>4.3</v>
      </c>
      <c r="G11397" s="4" t="str">
        <f>HYPERLINK("http://141.218.60.56/~jnz1568/getInfo.php?workbook=10_05.xlsx&amp;sheet=U0&amp;row=11397&amp;col=7&amp;number=0.0326&amp;sourceID=14","0.0326")</f>
        <v>0.0326</v>
      </c>
    </row>
    <row r="11398" spans="1:7">
      <c r="A11398" s="3"/>
      <c r="B11398" s="3"/>
      <c r="C11398" s="3"/>
      <c r="D11398" s="3"/>
      <c r="E11398" s="3">
        <v>15</v>
      </c>
      <c r="F11398" s="4" t="str">
        <f>HYPERLINK("http://141.218.60.56/~jnz1568/getInfo.php?workbook=10_05.xlsx&amp;sheet=U0&amp;row=11398&amp;col=6&amp;number=4.4&amp;sourceID=14","4.4")</f>
        <v>4.4</v>
      </c>
      <c r="G11398" s="4" t="str">
        <f>HYPERLINK("http://141.218.60.56/~jnz1568/getInfo.php?workbook=10_05.xlsx&amp;sheet=U0&amp;row=11398&amp;col=7&amp;number=0.0302&amp;sourceID=14","0.0302")</f>
        <v>0.0302</v>
      </c>
    </row>
    <row r="11399" spans="1:7">
      <c r="A11399" s="3"/>
      <c r="B11399" s="3"/>
      <c r="C11399" s="3"/>
      <c r="D11399" s="3"/>
      <c r="E11399" s="3">
        <v>16</v>
      </c>
      <c r="F11399" s="4" t="str">
        <f>HYPERLINK("http://141.218.60.56/~jnz1568/getInfo.php?workbook=10_05.xlsx&amp;sheet=U0&amp;row=11399&amp;col=6&amp;number=4.5&amp;sourceID=14","4.5")</f>
        <v>4.5</v>
      </c>
      <c r="G11399" s="4" t="str">
        <f>HYPERLINK("http://141.218.60.56/~jnz1568/getInfo.php?workbook=10_05.xlsx&amp;sheet=U0&amp;row=11399&amp;col=7&amp;number=0.0283&amp;sourceID=14","0.0283")</f>
        <v>0.0283</v>
      </c>
    </row>
    <row r="11400" spans="1:7">
      <c r="A11400" s="3"/>
      <c r="B11400" s="3"/>
      <c r="C11400" s="3"/>
      <c r="D11400" s="3"/>
      <c r="E11400" s="3">
        <v>17</v>
      </c>
      <c r="F11400" s="4" t="str">
        <f>HYPERLINK("http://141.218.60.56/~jnz1568/getInfo.php?workbook=10_05.xlsx&amp;sheet=U0&amp;row=11400&amp;col=6&amp;number=4.6&amp;sourceID=14","4.6")</f>
        <v>4.6</v>
      </c>
      <c r="G11400" s="4" t="str">
        <f>HYPERLINK("http://141.218.60.56/~jnz1568/getInfo.php?workbook=10_05.xlsx&amp;sheet=U0&amp;row=11400&amp;col=7&amp;number=0.0265&amp;sourceID=14","0.0265")</f>
        <v>0.0265</v>
      </c>
    </row>
    <row r="11401" spans="1:7">
      <c r="A11401" s="3"/>
      <c r="B11401" s="3"/>
      <c r="C11401" s="3"/>
      <c r="D11401" s="3"/>
      <c r="E11401" s="3">
        <v>18</v>
      </c>
      <c r="F11401" s="4" t="str">
        <f>HYPERLINK("http://141.218.60.56/~jnz1568/getInfo.php?workbook=10_05.xlsx&amp;sheet=U0&amp;row=11401&amp;col=6&amp;number=4.7&amp;sourceID=14","4.7")</f>
        <v>4.7</v>
      </c>
      <c r="G11401" s="4" t="str">
        <f>HYPERLINK("http://141.218.60.56/~jnz1568/getInfo.php?workbook=10_05.xlsx&amp;sheet=U0&amp;row=11401&amp;col=7&amp;number=0.0244&amp;sourceID=14","0.0244")</f>
        <v>0.0244</v>
      </c>
    </row>
    <row r="11402" spans="1:7">
      <c r="A11402" s="3"/>
      <c r="B11402" s="3"/>
      <c r="C11402" s="3"/>
      <c r="D11402" s="3"/>
      <c r="E11402" s="3">
        <v>19</v>
      </c>
      <c r="F11402" s="4" t="str">
        <f>HYPERLINK("http://141.218.60.56/~jnz1568/getInfo.php?workbook=10_05.xlsx&amp;sheet=U0&amp;row=11402&amp;col=6&amp;number=4.8&amp;sourceID=14","4.8")</f>
        <v>4.8</v>
      </c>
      <c r="G11402" s="4" t="str">
        <f>HYPERLINK("http://141.218.60.56/~jnz1568/getInfo.php?workbook=10_05.xlsx&amp;sheet=U0&amp;row=11402&amp;col=7&amp;number=0.022&amp;sourceID=14","0.022")</f>
        <v>0.022</v>
      </c>
    </row>
    <row r="11403" spans="1:7">
      <c r="A11403" s="3"/>
      <c r="B11403" s="3"/>
      <c r="C11403" s="3"/>
      <c r="D11403" s="3"/>
      <c r="E11403" s="3">
        <v>20</v>
      </c>
      <c r="F11403" s="4" t="str">
        <f>HYPERLINK("http://141.218.60.56/~jnz1568/getInfo.php?workbook=10_05.xlsx&amp;sheet=U0&amp;row=11403&amp;col=6&amp;number=4.9&amp;sourceID=14","4.9")</f>
        <v>4.9</v>
      </c>
      <c r="G11403" s="4" t="str">
        <f>HYPERLINK("http://141.218.60.56/~jnz1568/getInfo.php?workbook=10_05.xlsx&amp;sheet=U0&amp;row=11403&amp;col=7&amp;number=0.02&amp;sourceID=14","0.02")</f>
        <v>0.02</v>
      </c>
    </row>
    <row r="11404" spans="1:7">
      <c r="A11404" s="3">
        <v>10</v>
      </c>
      <c r="B11404" s="3">
        <v>5</v>
      </c>
      <c r="C11404" s="3">
        <v>4</v>
      </c>
      <c r="D11404" s="3">
        <v>41</v>
      </c>
      <c r="E11404" s="3">
        <v>1</v>
      </c>
      <c r="F11404" s="4" t="str">
        <f>HYPERLINK("http://141.218.60.56/~jnz1568/getInfo.php?workbook=10_05.xlsx&amp;sheet=U0&amp;row=11404&amp;col=6&amp;number=3&amp;sourceID=14","3")</f>
        <v>3</v>
      </c>
      <c r="G11404" s="4" t="str">
        <f>HYPERLINK("http://141.218.60.56/~jnz1568/getInfo.php?workbook=10_05.xlsx&amp;sheet=U0&amp;row=11404&amp;col=7&amp;number=0.285&amp;sourceID=14","0.285")</f>
        <v>0.285</v>
      </c>
    </row>
    <row r="11405" spans="1:7">
      <c r="A11405" s="3"/>
      <c r="B11405" s="3"/>
      <c r="C11405" s="3"/>
      <c r="D11405" s="3"/>
      <c r="E11405" s="3">
        <v>2</v>
      </c>
      <c r="F11405" s="4" t="str">
        <f>HYPERLINK("http://141.218.60.56/~jnz1568/getInfo.php?workbook=10_05.xlsx&amp;sheet=U0&amp;row=11405&amp;col=6&amp;number=3.1&amp;sourceID=14","3.1")</f>
        <v>3.1</v>
      </c>
      <c r="G11405" s="4" t="str">
        <f>HYPERLINK("http://141.218.60.56/~jnz1568/getInfo.php?workbook=10_05.xlsx&amp;sheet=U0&amp;row=11405&amp;col=7&amp;number=0.283&amp;sourceID=14","0.283")</f>
        <v>0.283</v>
      </c>
    </row>
    <row r="11406" spans="1:7">
      <c r="A11406" s="3"/>
      <c r="B11406" s="3"/>
      <c r="C11406" s="3"/>
      <c r="D11406" s="3"/>
      <c r="E11406" s="3">
        <v>3</v>
      </c>
      <c r="F11406" s="4" t="str">
        <f>HYPERLINK("http://141.218.60.56/~jnz1568/getInfo.php?workbook=10_05.xlsx&amp;sheet=U0&amp;row=11406&amp;col=6&amp;number=3.2&amp;sourceID=14","3.2")</f>
        <v>3.2</v>
      </c>
      <c r="G11406" s="4" t="str">
        <f>HYPERLINK("http://141.218.60.56/~jnz1568/getInfo.php?workbook=10_05.xlsx&amp;sheet=U0&amp;row=11406&amp;col=7&amp;number=0.28&amp;sourceID=14","0.28")</f>
        <v>0.28</v>
      </c>
    </row>
    <row r="11407" spans="1:7">
      <c r="A11407" s="3"/>
      <c r="B11407" s="3"/>
      <c r="C11407" s="3"/>
      <c r="D11407" s="3"/>
      <c r="E11407" s="3">
        <v>4</v>
      </c>
      <c r="F11407" s="4" t="str">
        <f>HYPERLINK("http://141.218.60.56/~jnz1568/getInfo.php?workbook=10_05.xlsx&amp;sheet=U0&amp;row=11407&amp;col=6&amp;number=3.3&amp;sourceID=14","3.3")</f>
        <v>3.3</v>
      </c>
      <c r="G11407" s="4" t="str">
        <f>HYPERLINK("http://141.218.60.56/~jnz1568/getInfo.php?workbook=10_05.xlsx&amp;sheet=U0&amp;row=11407&amp;col=7&amp;number=0.276&amp;sourceID=14","0.276")</f>
        <v>0.276</v>
      </c>
    </row>
    <row r="11408" spans="1:7">
      <c r="A11408" s="3"/>
      <c r="B11408" s="3"/>
      <c r="C11408" s="3"/>
      <c r="D11408" s="3"/>
      <c r="E11408" s="3">
        <v>5</v>
      </c>
      <c r="F11408" s="4" t="str">
        <f>HYPERLINK("http://141.218.60.56/~jnz1568/getInfo.php?workbook=10_05.xlsx&amp;sheet=U0&amp;row=11408&amp;col=6&amp;number=3.4&amp;sourceID=14","3.4")</f>
        <v>3.4</v>
      </c>
      <c r="G11408" s="4" t="str">
        <f>HYPERLINK("http://141.218.60.56/~jnz1568/getInfo.php?workbook=10_05.xlsx&amp;sheet=U0&amp;row=11408&amp;col=7&amp;number=0.272&amp;sourceID=14","0.272")</f>
        <v>0.272</v>
      </c>
    </row>
    <row r="11409" spans="1:7">
      <c r="A11409" s="3"/>
      <c r="B11409" s="3"/>
      <c r="C11409" s="3"/>
      <c r="D11409" s="3"/>
      <c r="E11409" s="3">
        <v>6</v>
      </c>
      <c r="F11409" s="4" t="str">
        <f>HYPERLINK("http://141.218.60.56/~jnz1568/getInfo.php?workbook=10_05.xlsx&amp;sheet=U0&amp;row=11409&amp;col=6&amp;number=3.5&amp;sourceID=14","3.5")</f>
        <v>3.5</v>
      </c>
      <c r="G11409" s="4" t="str">
        <f>HYPERLINK("http://141.218.60.56/~jnz1568/getInfo.php?workbook=10_05.xlsx&amp;sheet=U0&amp;row=11409&amp;col=7&amp;number=0.267&amp;sourceID=14","0.267")</f>
        <v>0.267</v>
      </c>
    </row>
    <row r="11410" spans="1:7">
      <c r="A11410" s="3"/>
      <c r="B11410" s="3"/>
      <c r="C11410" s="3"/>
      <c r="D11410" s="3"/>
      <c r="E11410" s="3">
        <v>7</v>
      </c>
      <c r="F11410" s="4" t="str">
        <f>HYPERLINK("http://141.218.60.56/~jnz1568/getInfo.php?workbook=10_05.xlsx&amp;sheet=U0&amp;row=11410&amp;col=6&amp;number=3.6&amp;sourceID=14","3.6")</f>
        <v>3.6</v>
      </c>
      <c r="G11410" s="4" t="str">
        <f>HYPERLINK("http://141.218.60.56/~jnz1568/getInfo.php?workbook=10_05.xlsx&amp;sheet=U0&amp;row=11410&amp;col=7&amp;number=0.26&amp;sourceID=14","0.26")</f>
        <v>0.26</v>
      </c>
    </row>
    <row r="11411" spans="1:7">
      <c r="A11411" s="3"/>
      <c r="B11411" s="3"/>
      <c r="C11411" s="3"/>
      <c r="D11411" s="3"/>
      <c r="E11411" s="3">
        <v>8</v>
      </c>
      <c r="F11411" s="4" t="str">
        <f>HYPERLINK("http://141.218.60.56/~jnz1568/getInfo.php?workbook=10_05.xlsx&amp;sheet=U0&amp;row=11411&amp;col=6&amp;number=3.7&amp;sourceID=14","3.7")</f>
        <v>3.7</v>
      </c>
      <c r="G11411" s="4" t="str">
        <f>HYPERLINK("http://141.218.60.56/~jnz1568/getInfo.php?workbook=10_05.xlsx&amp;sheet=U0&amp;row=11411&amp;col=7&amp;number=0.252&amp;sourceID=14","0.252")</f>
        <v>0.252</v>
      </c>
    </row>
    <row r="11412" spans="1:7">
      <c r="A11412" s="3"/>
      <c r="B11412" s="3"/>
      <c r="C11412" s="3"/>
      <c r="D11412" s="3"/>
      <c r="E11412" s="3">
        <v>9</v>
      </c>
      <c r="F11412" s="4" t="str">
        <f>HYPERLINK("http://141.218.60.56/~jnz1568/getInfo.php?workbook=10_05.xlsx&amp;sheet=U0&amp;row=11412&amp;col=6&amp;number=3.8&amp;sourceID=14","3.8")</f>
        <v>3.8</v>
      </c>
      <c r="G11412" s="4" t="str">
        <f>HYPERLINK("http://141.218.60.56/~jnz1568/getInfo.php?workbook=10_05.xlsx&amp;sheet=U0&amp;row=11412&amp;col=7&amp;number=0.243&amp;sourceID=14","0.243")</f>
        <v>0.243</v>
      </c>
    </row>
    <row r="11413" spans="1:7">
      <c r="A11413" s="3"/>
      <c r="B11413" s="3"/>
      <c r="C11413" s="3"/>
      <c r="D11413" s="3"/>
      <c r="E11413" s="3">
        <v>10</v>
      </c>
      <c r="F11413" s="4" t="str">
        <f>HYPERLINK("http://141.218.60.56/~jnz1568/getInfo.php?workbook=10_05.xlsx&amp;sheet=U0&amp;row=11413&amp;col=6&amp;number=3.9&amp;sourceID=14","3.9")</f>
        <v>3.9</v>
      </c>
      <c r="G11413" s="4" t="str">
        <f>HYPERLINK("http://141.218.60.56/~jnz1568/getInfo.php?workbook=10_05.xlsx&amp;sheet=U0&amp;row=11413&amp;col=7&amp;number=0.231&amp;sourceID=14","0.231")</f>
        <v>0.231</v>
      </c>
    </row>
    <row r="11414" spans="1:7">
      <c r="A11414" s="3"/>
      <c r="B11414" s="3"/>
      <c r="C11414" s="3"/>
      <c r="D11414" s="3"/>
      <c r="E11414" s="3">
        <v>11</v>
      </c>
      <c r="F11414" s="4" t="str">
        <f>HYPERLINK("http://141.218.60.56/~jnz1568/getInfo.php?workbook=10_05.xlsx&amp;sheet=U0&amp;row=11414&amp;col=6&amp;number=4&amp;sourceID=14","4")</f>
        <v>4</v>
      </c>
      <c r="G11414" s="4" t="str">
        <f>HYPERLINK("http://141.218.60.56/~jnz1568/getInfo.php?workbook=10_05.xlsx&amp;sheet=U0&amp;row=11414&amp;col=7&amp;number=0.219&amp;sourceID=14","0.219")</f>
        <v>0.219</v>
      </c>
    </row>
    <row r="11415" spans="1:7">
      <c r="A11415" s="3"/>
      <c r="B11415" s="3"/>
      <c r="C11415" s="3"/>
      <c r="D11415" s="3"/>
      <c r="E11415" s="3">
        <v>12</v>
      </c>
      <c r="F11415" s="4" t="str">
        <f>HYPERLINK("http://141.218.60.56/~jnz1568/getInfo.php?workbook=10_05.xlsx&amp;sheet=U0&amp;row=11415&amp;col=6&amp;number=4.1&amp;sourceID=14","4.1")</f>
        <v>4.1</v>
      </c>
      <c r="G11415" s="4" t="str">
        <f>HYPERLINK("http://141.218.60.56/~jnz1568/getInfo.php?workbook=10_05.xlsx&amp;sheet=U0&amp;row=11415&amp;col=7&amp;number=0.205&amp;sourceID=14","0.205")</f>
        <v>0.205</v>
      </c>
    </row>
    <row r="11416" spans="1:7">
      <c r="A11416" s="3"/>
      <c r="B11416" s="3"/>
      <c r="C11416" s="3"/>
      <c r="D11416" s="3"/>
      <c r="E11416" s="3">
        <v>13</v>
      </c>
      <c r="F11416" s="4" t="str">
        <f>HYPERLINK("http://141.218.60.56/~jnz1568/getInfo.php?workbook=10_05.xlsx&amp;sheet=U0&amp;row=11416&amp;col=6&amp;number=4.2&amp;sourceID=14","4.2")</f>
        <v>4.2</v>
      </c>
      <c r="G11416" s="4" t="str">
        <f>HYPERLINK("http://141.218.60.56/~jnz1568/getInfo.php?workbook=10_05.xlsx&amp;sheet=U0&amp;row=11416&amp;col=7&amp;number=0.191&amp;sourceID=14","0.191")</f>
        <v>0.191</v>
      </c>
    </row>
    <row r="11417" spans="1:7">
      <c r="A11417" s="3"/>
      <c r="B11417" s="3"/>
      <c r="C11417" s="3"/>
      <c r="D11417" s="3"/>
      <c r="E11417" s="3">
        <v>14</v>
      </c>
      <c r="F11417" s="4" t="str">
        <f>HYPERLINK("http://141.218.60.56/~jnz1568/getInfo.php?workbook=10_05.xlsx&amp;sheet=U0&amp;row=11417&amp;col=6&amp;number=4.3&amp;sourceID=14","4.3")</f>
        <v>4.3</v>
      </c>
      <c r="G11417" s="4" t="str">
        <f>HYPERLINK("http://141.218.60.56/~jnz1568/getInfo.php?workbook=10_05.xlsx&amp;sheet=U0&amp;row=11417&amp;col=7&amp;number=0.177&amp;sourceID=14","0.177")</f>
        <v>0.177</v>
      </c>
    </row>
    <row r="11418" spans="1:7">
      <c r="A11418" s="3"/>
      <c r="B11418" s="3"/>
      <c r="C11418" s="3"/>
      <c r="D11418" s="3"/>
      <c r="E11418" s="3">
        <v>15</v>
      </c>
      <c r="F11418" s="4" t="str">
        <f>HYPERLINK("http://141.218.60.56/~jnz1568/getInfo.php?workbook=10_05.xlsx&amp;sheet=U0&amp;row=11418&amp;col=6&amp;number=4.4&amp;sourceID=14","4.4")</f>
        <v>4.4</v>
      </c>
      <c r="G11418" s="4" t="str">
        <f>HYPERLINK("http://141.218.60.56/~jnz1568/getInfo.php?workbook=10_05.xlsx&amp;sheet=U0&amp;row=11418&amp;col=7&amp;number=0.163&amp;sourceID=14","0.163")</f>
        <v>0.163</v>
      </c>
    </row>
    <row r="11419" spans="1:7">
      <c r="A11419" s="3"/>
      <c r="B11419" s="3"/>
      <c r="C11419" s="3"/>
      <c r="D11419" s="3"/>
      <c r="E11419" s="3">
        <v>16</v>
      </c>
      <c r="F11419" s="4" t="str">
        <f>HYPERLINK("http://141.218.60.56/~jnz1568/getInfo.php?workbook=10_05.xlsx&amp;sheet=U0&amp;row=11419&amp;col=6&amp;number=4.5&amp;sourceID=14","4.5")</f>
        <v>4.5</v>
      </c>
      <c r="G11419" s="4" t="str">
        <f>HYPERLINK("http://141.218.60.56/~jnz1568/getInfo.php?workbook=10_05.xlsx&amp;sheet=U0&amp;row=11419&amp;col=7&amp;number=0.149&amp;sourceID=14","0.149")</f>
        <v>0.149</v>
      </c>
    </row>
    <row r="11420" spans="1:7">
      <c r="A11420" s="3"/>
      <c r="B11420" s="3"/>
      <c r="C11420" s="3"/>
      <c r="D11420" s="3"/>
      <c r="E11420" s="3">
        <v>17</v>
      </c>
      <c r="F11420" s="4" t="str">
        <f>HYPERLINK("http://141.218.60.56/~jnz1568/getInfo.php?workbook=10_05.xlsx&amp;sheet=U0&amp;row=11420&amp;col=6&amp;number=4.6&amp;sourceID=14","4.6")</f>
        <v>4.6</v>
      </c>
      <c r="G11420" s="4" t="str">
        <f>HYPERLINK("http://141.218.60.56/~jnz1568/getInfo.php?workbook=10_05.xlsx&amp;sheet=U0&amp;row=11420&amp;col=7&amp;number=0.136&amp;sourceID=14","0.136")</f>
        <v>0.136</v>
      </c>
    </row>
    <row r="11421" spans="1:7">
      <c r="A11421" s="3"/>
      <c r="B11421" s="3"/>
      <c r="C11421" s="3"/>
      <c r="D11421" s="3"/>
      <c r="E11421" s="3">
        <v>18</v>
      </c>
      <c r="F11421" s="4" t="str">
        <f>HYPERLINK("http://141.218.60.56/~jnz1568/getInfo.php?workbook=10_05.xlsx&amp;sheet=U0&amp;row=11421&amp;col=6&amp;number=4.7&amp;sourceID=14","4.7")</f>
        <v>4.7</v>
      </c>
      <c r="G11421" s="4" t="str">
        <f>HYPERLINK("http://141.218.60.56/~jnz1568/getInfo.php?workbook=10_05.xlsx&amp;sheet=U0&amp;row=11421&amp;col=7&amp;number=0.124&amp;sourceID=14","0.124")</f>
        <v>0.124</v>
      </c>
    </row>
    <row r="11422" spans="1:7">
      <c r="A11422" s="3"/>
      <c r="B11422" s="3"/>
      <c r="C11422" s="3"/>
      <c r="D11422" s="3"/>
      <c r="E11422" s="3">
        <v>19</v>
      </c>
      <c r="F11422" s="4" t="str">
        <f>HYPERLINK("http://141.218.60.56/~jnz1568/getInfo.php?workbook=10_05.xlsx&amp;sheet=U0&amp;row=11422&amp;col=6&amp;number=4.8&amp;sourceID=14","4.8")</f>
        <v>4.8</v>
      </c>
      <c r="G11422" s="4" t="str">
        <f>HYPERLINK("http://141.218.60.56/~jnz1568/getInfo.php?workbook=10_05.xlsx&amp;sheet=U0&amp;row=11422&amp;col=7&amp;number=0.114&amp;sourceID=14","0.114")</f>
        <v>0.114</v>
      </c>
    </row>
    <row r="11423" spans="1:7">
      <c r="A11423" s="3"/>
      <c r="B11423" s="3"/>
      <c r="C11423" s="3"/>
      <c r="D11423" s="3"/>
      <c r="E11423" s="3">
        <v>20</v>
      </c>
      <c r="F11423" s="4" t="str">
        <f>HYPERLINK("http://141.218.60.56/~jnz1568/getInfo.php?workbook=10_05.xlsx&amp;sheet=U0&amp;row=11423&amp;col=6&amp;number=4.9&amp;sourceID=14","4.9")</f>
        <v>4.9</v>
      </c>
      <c r="G11423" s="4" t="str">
        <f>HYPERLINK("http://141.218.60.56/~jnz1568/getInfo.php?workbook=10_05.xlsx&amp;sheet=U0&amp;row=11423&amp;col=7&amp;number=0.105&amp;sourceID=14","0.105")</f>
        <v>0.105</v>
      </c>
    </row>
    <row r="11424" spans="1:7">
      <c r="A11424" s="3">
        <v>10</v>
      </c>
      <c r="B11424" s="3">
        <v>5</v>
      </c>
      <c r="C11424" s="3">
        <v>4</v>
      </c>
      <c r="D11424" s="3">
        <v>42</v>
      </c>
      <c r="E11424" s="3">
        <v>1</v>
      </c>
      <c r="F11424" s="4" t="str">
        <f>HYPERLINK("http://141.218.60.56/~jnz1568/getInfo.php?workbook=10_05.xlsx&amp;sheet=U0&amp;row=11424&amp;col=6&amp;number=3&amp;sourceID=14","3")</f>
        <v>3</v>
      </c>
      <c r="G11424" s="4" t="str">
        <f>HYPERLINK("http://141.218.60.56/~jnz1568/getInfo.php?workbook=10_05.xlsx&amp;sheet=U0&amp;row=11424&amp;col=7&amp;number=0.214&amp;sourceID=14","0.214")</f>
        <v>0.214</v>
      </c>
    </row>
    <row r="11425" spans="1:7">
      <c r="A11425" s="3"/>
      <c r="B11425" s="3"/>
      <c r="C11425" s="3"/>
      <c r="D11425" s="3"/>
      <c r="E11425" s="3">
        <v>2</v>
      </c>
      <c r="F11425" s="4" t="str">
        <f>HYPERLINK("http://141.218.60.56/~jnz1568/getInfo.php?workbook=10_05.xlsx&amp;sheet=U0&amp;row=11425&amp;col=6&amp;number=3.1&amp;sourceID=14","3.1")</f>
        <v>3.1</v>
      </c>
      <c r="G11425" s="4" t="str">
        <f>HYPERLINK("http://141.218.60.56/~jnz1568/getInfo.php?workbook=10_05.xlsx&amp;sheet=U0&amp;row=11425&amp;col=7&amp;number=0.215&amp;sourceID=14","0.215")</f>
        <v>0.215</v>
      </c>
    </row>
    <row r="11426" spans="1:7">
      <c r="A11426" s="3"/>
      <c r="B11426" s="3"/>
      <c r="C11426" s="3"/>
      <c r="D11426" s="3"/>
      <c r="E11426" s="3">
        <v>3</v>
      </c>
      <c r="F11426" s="4" t="str">
        <f>HYPERLINK("http://141.218.60.56/~jnz1568/getInfo.php?workbook=10_05.xlsx&amp;sheet=U0&amp;row=11426&amp;col=6&amp;number=3.2&amp;sourceID=14","3.2")</f>
        <v>3.2</v>
      </c>
      <c r="G11426" s="4" t="str">
        <f>HYPERLINK("http://141.218.60.56/~jnz1568/getInfo.php?workbook=10_05.xlsx&amp;sheet=U0&amp;row=11426&amp;col=7&amp;number=0.215&amp;sourceID=14","0.215")</f>
        <v>0.215</v>
      </c>
    </row>
    <row r="11427" spans="1:7">
      <c r="A11427" s="3"/>
      <c r="B11427" s="3"/>
      <c r="C11427" s="3"/>
      <c r="D11427" s="3"/>
      <c r="E11427" s="3">
        <v>4</v>
      </c>
      <c r="F11427" s="4" t="str">
        <f>HYPERLINK("http://141.218.60.56/~jnz1568/getInfo.php?workbook=10_05.xlsx&amp;sheet=U0&amp;row=11427&amp;col=6&amp;number=3.3&amp;sourceID=14","3.3")</f>
        <v>3.3</v>
      </c>
      <c r="G11427" s="4" t="str">
        <f>HYPERLINK("http://141.218.60.56/~jnz1568/getInfo.php?workbook=10_05.xlsx&amp;sheet=U0&amp;row=11427&amp;col=7&amp;number=0.216&amp;sourceID=14","0.216")</f>
        <v>0.216</v>
      </c>
    </row>
    <row r="11428" spans="1:7">
      <c r="A11428" s="3"/>
      <c r="B11428" s="3"/>
      <c r="C11428" s="3"/>
      <c r="D11428" s="3"/>
      <c r="E11428" s="3">
        <v>5</v>
      </c>
      <c r="F11428" s="4" t="str">
        <f>HYPERLINK("http://141.218.60.56/~jnz1568/getInfo.php?workbook=10_05.xlsx&amp;sheet=U0&amp;row=11428&amp;col=6&amp;number=3.4&amp;sourceID=14","3.4")</f>
        <v>3.4</v>
      </c>
      <c r="G11428" s="4" t="str">
        <f>HYPERLINK("http://141.218.60.56/~jnz1568/getInfo.php?workbook=10_05.xlsx&amp;sheet=U0&amp;row=11428&amp;col=7&amp;number=0.217&amp;sourceID=14","0.217")</f>
        <v>0.217</v>
      </c>
    </row>
    <row r="11429" spans="1:7">
      <c r="A11429" s="3"/>
      <c r="B11429" s="3"/>
      <c r="C11429" s="3"/>
      <c r="D11429" s="3"/>
      <c r="E11429" s="3">
        <v>6</v>
      </c>
      <c r="F11429" s="4" t="str">
        <f>HYPERLINK("http://141.218.60.56/~jnz1568/getInfo.php?workbook=10_05.xlsx&amp;sheet=U0&amp;row=11429&amp;col=6&amp;number=3.5&amp;sourceID=14","3.5")</f>
        <v>3.5</v>
      </c>
      <c r="G11429" s="4" t="str">
        <f>HYPERLINK("http://141.218.60.56/~jnz1568/getInfo.php?workbook=10_05.xlsx&amp;sheet=U0&amp;row=11429&amp;col=7&amp;number=0.217&amp;sourceID=14","0.217")</f>
        <v>0.217</v>
      </c>
    </row>
    <row r="11430" spans="1:7">
      <c r="A11430" s="3"/>
      <c r="B11430" s="3"/>
      <c r="C11430" s="3"/>
      <c r="D11430" s="3"/>
      <c r="E11430" s="3">
        <v>7</v>
      </c>
      <c r="F11430" s="4" t="str">
        <f>HYPERLINK("http://141.218.60.56/~jnz1568/getInfo.php?workbook=10_05.xlsx&amp;sheet=U0&amp;row=11430&amp;col=6&amp;number=3.6&amp;sourceID=14","3.6")</f>
        <v>3.6</v>
      </c>
      <c r="G11430" s="4" t="str">
        <f>HYPERLINK("http://141.218.60.56/~jnz1568/getInfo.php?workbook=10_05.xlsx&amp;sheet=U0&amp;row=11430&amp;col=7&amp;number=0.218&amp;sourceID=14","0.218")</f>
        <v>0.218</v>
      </c>
    </row>
    <row r="11431" spans="1:7">
      <c r="A11431" s="3"/>
      <c r="B11431" s="3"/>
      <c r="C11431" s="3"/>
      <c r="D11431" s="3"/>
      <c r="E11431" s="3">
        <v>8</v>
      </c>
      <c r="F11431" s="4" t="str">
        <f>HYPERLINK("http://141.218.60.56/~jnz1568/getInfo.php?workbook=10_05.xlsx&amp;sheet=U0&amp;row=11431&amp;col=6&amp;number=3.7&amp;sourceID=14","3.7")</f>
        <v>3.7</v>
      </c>
      <c r="G11431" s="4" t="str">
        <f>HYPERLINK("http://141.218.60.56/~jnz1568/getInfo.php?workbook=10_05.xlsx&amp;sheet=U0&amp;row=11431&amp;col=7&amp;number=0.218&amp;sourceID=14","0.218")</f>
        <v>0.218</v>
      </c>
    </row>
    <row r="11432" spans="1:7">
      <c r="A11432" s="3"/>
      <c r="B11432" s="3"/>
      <c r="C11432" s="3"/>
      <c r="D11432" s="3"/>
      <c r="E11432" s="3">
        <v>9</v>
      </c>
      <c r="F11432" s="4" t="str">
        <f>HYPERLINK("http://141.218.60.56/~jnz1568/getInfo.php?workbook=10_05.xlsx&amp;sheet=U0&amp;row=11432&amp;col=6&amp;number=3.8&amp;sourceID=14","3.8")</f>
        <v>3.8</v>
      </c>
      <c r="G11432" s="4" t="str">
        <f>HYPERLINK("http://141.218.60.56/~jnz1568/getInfo.php?workbook=10_05.xlsx&amp;sheet=U0&amp;row=11432&amp;col=7&amp;number=0.218&amp;sourceID=14","0.218")</f>
        <v>0.218</v>
      </c>
    </row>
    <row r="11433" spans="1:7">
      <c r="A11433" s="3"/>
      <c r="B11433" s="3"/>
      <c r="C11433" s="3"/>
      <c r="D11433" s="3"/>
      <c r="E11433" s="3">
        <v>10</v>
      </c>
      <c r="F11433" s="4" t="str">
        <f>HYPERLINK("http://141.218.60.56/~jnz1568/getInfo.php?workbook=10_05.xlsx&amp;sheet=U0&amp;row=11433&amp;col=6&amp;number=3.9&amp;sourceID=14","3.9")</f>
        <v>3.9</v>
      </c>
      <c r="G11433" s="4" t="str">
        <f>HYPERLINK("http://141.218.60.56/~jnz1568/getInfo.php?workbook=10_05.xlsx&amp;sheet=U0&amp;row=11433&amp;col=7&amp;number=0.216&amp;sourceID=14","0.216")</f>
        <v>0.216</v>
      </c>
    </row>
    <row r="11434" spans="1:7">
      <c r="A11434" s="3"/>
      <c r="B11434" s="3"/>
      <c r="C11434" s="3"/>
      <c r="D11434" s="3"/>
      <c r="E11434" s="3">
        <v>11</v>
      </c>
      <c r="F11434" s="4" t="str">
        <f>HYPERLINK("http://141.218.60.56/~jnz1568/getInfo.php?workbook=10_05.xlsx&amp;sheet=U0&amp;row=11434&amp;col=6&amp;number=4&amp;sourceID=14","4")</f>
        <v>4</v>
      </c>
      <c r="G11434" s="4" t="str">
        <f>HYPERLINK("http://141.218.60.56/~jnz1568/getInfo.php?workbook=10_05.xlsx&amp;sheet=U0&amp;row=11434&amp;col=7&amp;number=0.212&amp;sourceID=14","0.212")</f>
        <v>0.212</v>
      </c>
    </row>
    <row r="11435" spans="1:7">
      <c r="A11435" s="3"/>
      <c r="B11435" s="3"/>
      <c r="C11435" s="3"/>
      <c r="D11435" s="3"/>
      <c r="E11435" s="3">
        <v>12</v>
      </c>
      <c r="F11435" s="4" t="str">
        <f>HYPERLINK("http://141.218.60.56/~jnz1568/getInfo.php?workbook=10_05.xlsx&amp;sheet=U0&amp;row=11435&amp;col=6&amp;number=4.1&amp;sourceID=14","4.1")</f>
        <v>4.1</v>
      </c>
      <c r="G11435" s="4" t="str">
        <f>HYPERLINK("http://141.218.60.56/~jnz1568/getInfo.php?workbook=10_05.xlsx&amp;sheet=U0&amp;row=11435&amp;col=7&amp;number=0.204&amp;sourceID=14","0.204")</f>
        <v>0.204</v>
      </c>
    </row>
    <row r="11436" spans="1:7">
      <c r="A11436" s="3"/>
      <c r="B11436" s="3"/>
      <c r="C11436" s="3"/>
      <c r="D11436" s="3"/>
      <c r="E11436" s="3">
        <v>13</v>
      </c>
      <c r="F11436" s="4" t="str">
        <f>HYPERLINK("http://141.218.60.56/~jnz1568/getInfo.php?workbook=10_05.xlsx&amp;sheet=U0&amp;row=11436&amp;col=6&amp;number=4.2&amp;sourceID=14","4.2")</f>
        <v>4.2</v>
      </c>
      <c r="G11436" s="4" t="str">
        <f>HYPERLINK("http://141.218.60.56/~jnz1568/getInfo.php?workbook=10_05.xlsx&amp;sheet=U0&amp;row=11436&amp;col=7&amp;number=0.193&amp;sourceID=14","0.193")</f>
        <v>0.193</v>
      </c>
    </row>
    <row r="11437" spans="1:7">
      <c r="A11437" s="3"/>
      <c r="B11437" s="3"/>
      <c r="C11437" s="3"/>
      <c r="D11437" s="3"/>
      <c r="E11437" s="3">
        <v>14</v>
      </c>
      <c r="F11437" s="4" t="str">
        <f>HYPERLINK("http://141.218.60.56/~jnz1568/getInfo.php?workbook=10_05.xlsx&amp;sheet=U0&amp;row=11437&amp;col=6&amp;number=4.3&amp;sourceID=14","4.3")</f>
        <v>4.3</v>
      </c>
      <c r="G11437" s="4" t="str">
        <f>HYPERLINK("http://141.218.60.56/~jnz1568/getInfo.php?workbook=10_05.xlsx&amp;sheet=U0&amp;row=11437&amp;col=7&amp;number=0.18&amp;sourceID=14","0.18")</f>
        <v>0.18</v>
      </c>
    </row>
    <row r="11438" spans="1:7">
      <c r="A11438" s="3"/>
      <c r="B11438" s="3"/>
      <c r="C11438" s="3"/>
      <c r="D11438" s="3"/>
      <c r="E11438" s="3">
        <v>15</v>
      </c>
      <c r="F11438" s="4" t="str">
        <f>HYPERLINK("http://141.218.60.56/~jnz1568/getInfo.php?workbook=10_05.xlsx&amp;sheet=U0&amp;row=11438&amp;col=6&amp;number=4.4&amp;sourceID=14","4.4")</f>
        <v>4.4</v>
      </c>
      <c r="G11438" s="4" t="str">
        <f>HYPERLINK("http://141.218.60.56/~jnz1568/getInfo.php?workbook=10_05.xlsx&amp;sheet=U0&amp;row=11438&amp;col=7&amp;number=0.167&amp;sourceID=14","0.167")</f>
        <v>0.167</v>
      </c>
    </row>
    <row r="11439" spans="1:7">
      <c r="A11439" s="3"/>
      <c r="B11439" s="3"/>
      <c r="C11439" s="3"/>
      <c r="D11439" s="3"/>
      <c r="E11439" s="3">
        <v>16</v>
      </c>
      <c r="F11439" s="4" t="str">
        <f>HYPERLINK("http://141.218.60.56/~jnz1568/getInfo.php?workbook=10_05.xlsx&amp;sheet=U0&amp;row=11439&amp;col=6&amp;number=4.5&amp;sourceID=14","4.5")</f>
        <v>4.5</v>
      </c>
      <c r="G11439" s="4" t="str">
        <f>HYPERLINK("http://141.218.60.56/~jnz1568/getInfo.php?workbook=10_05.xlsx&amp;sheet=U0&amp;row=11439&amp;col=7&amp;number=0.155&amp;sourceID=14","0.155")</f>
        <v>0.155</v>
      </c>
    </row>
    <row r="11440" spans="1:7">
      <c r="A11440" s="3"/>
      <c r="B11440" s="3"/>
      <c r="C11440" s="3"/>
      <c r="D11440" s="3"/>
      <c r="E11440" s="3">
        <v>17</v>
      </c>
      <c r="F11440" s="4" t="str">
        <f>HYPERLINK("http://141.218.60.56/~jnz1568/getInfo.php?workbook=10_05.xlsx&amp;sheet=U0&amp;row=11440&amp;col=6&amp;number=4.6&amp;sourceID=14","4.6")</f>
        <v>4.6</v>
      </c>
      <c r="G11440" s="4" t="str">
        <f>HYPERLINK("http://141.218.60.56/~jnz1568/getInfo.php?workbook=10_05.xlsx&amp;sheet=U0&amp;row=11440&amp;col=7&amp;number=0.143&amp;sourceID=14","0.143")</f>
        <v>0.143</v>
      </c>
    </row>
    <row r="11441" spans="1:7">
      <c r="A11441" s="3"/>
      <c r="B11441" s="3"/>
      <c r="C11441" s="3"/>
      <c r="D11441" s="3"/>
      <c r="E11441" s="3">
        <v>18</v>
      </c>
      <c r="F11441" s="4" t="str">
        <f>HYPERLINK("http://141.218.60.56/~jnz1568/getInfo.php?workbook=10_05.xlsx&amp;sheet=U0&amp;row=11441&amp;col=6&amp;number=4.7&amp;sourceID=14","4.7")</f>
        <v>4.7</v>
      </c>
      <c r="G11441" s="4" t="str">
        <f>HYPERLINK("http://141.218.60.56/~jnz1568/getInfo.php?workbook=10_05.xlsx&amp;sheet=U0&amp;row=11441&amp;col=7&amp;number=0.131&amp;sourceID=14","0.131")</f>
        <v>0.131</v>
      </c>
    </row>
    <row r="11442" spans="1:7">
      <c r="A11442" s="3"/>
      <c r="B11442" s="3"/>
      <c r="C11442" s="3"/>
      <c r="D11442" s="3"/>
      <c r="E11442" s="3">
        <v>19</v>
      </c>
      <c r="F11442" s="4" t="str">
        <f>HYPERLINK("http://141.218.60.56/~jnz1568/getInfo.php?workbook=10_05.xlsx&amp;sheet=U0&amp;row=11442&amp;col=6&amp;number=4.8&amp;sourceID=14","4.8")</f>
        <v>4.8</v>
      </c>
      <c r="G11442" s="4" t="str">
        <f>HYPERLINK("http://141.218.60.56/~jnz1568/getInfo.php?workbook=10_05.xlsx&amp;sheet=U0&amp;row=11442&amp;col=7&amp;number=0.121&amp;sourceID=14","0.121")</f>
        <v>0.121</v>
      </c>
    </row>
    <row r="11443" spans="1:7">
      <c r="A11443" s="3"/>
      <c r="B11443" s="3"/>
      <c r="C11443" s="3"/>
      <c r="D11443" s="3"/>
      <c r="E11443" s="3">
        <v>20</v>
      </c>
      <c r="F11443" s="4" t="str">
        <f>HYPERLINK("http://141.218.60.56/~jnz1568/getInfo.php?workbook=10_05.xlsx&amp;sheet=U0&amp;row=11443&amp;col=6&amp;number=4.9&amp;sourceID=14","4.9")</f>
        <v>4.9</v>
      </c>
      <c r="G11443" s="4" t="str">
        <f>HYPERLINK("http://141.218.60.56/~jnz1568/getInfo.php?workbook=10_05.xlsx&amp;sheet=U0&amp;row=11443&amp;col=7&amp;number=0.111&amp;sourceID=14","0.111")</f>
        <v>0.111</v>
      </c>
    </row>
    <row r="11444" spans="1:7">
      <c r="A11444" s="3">
        <v>10</v>
      </c>
      <c r="B11444" s="3">
        <v>5</v>
      </c>
      <c r="C11444" s="3">
        <v>4</v>
      </c>
      <c r="D11444" s="3">
        <v>43</v>
      </c>
      <c r="E11444" s="3">
        <v>1</v>
      </c>
      <c r="F11444" s="4" t="str">
        <f>HYPERLINK("http://141.218.60.56/~jnz1568/getInfo.php?workbook=10_05.xlsx&amp;sheet=U0&amp;row=11444&amp;col=6&amp;number=3&amp;sourceID=14","3")</f>
        <v>3</v>
      </c>
      <c r="G11444" s="4" t="str">
        <f>HYPERLINK("http://141.218.60.56/~jnz1568/getInfo.php?workbook=10_05.xlsx&amp;sheet=U0&amp;row=11444&amp;col=7&amp;number=0.0731&amp;sourceID=14","0.0731")</f>
        <v>0.0731</v>
      </c>
    </row>
    <row r="11445" spans="1:7">
      <c r="A11445" s="3"/>
      <c r="B11445" s="3"/>
      <c r="C11445" s="3"/>
      <c r="D11445" s="3"/>
      <c r="E11445" s="3">
        <v>2</v>
      </c>
      <c r="F11445" s="4" t="str">
        <f>HYPERLINK("http://141.218.60.56/~jnz1568/getInfo.php?workbook=10_05.xlsx&amp;sheet=U0&amp;row=11445&amp;col=6&amp;number=3.1&amp;sourceID=14","3.1")</f>
        <v>3.1</v>
      </c>
      <c r="G11445" s="4" t="str">
        <f>HYPERLINK("http://141.218.60.56/~jnz1568/getInfo.php?workbook=10_05.xlsx&amp;sheet=U0&amp;row=11445&amp;col=7&amp;number=0.073&amp;sourceID=14","0.073")</f>
        <v>0.073</v>
      </c>
    </row>
    <row r="11446" spans="1:7">
      <c r="A11446" s="3"/>
      <c r="B11446" s="3"/>
      <c r="C11446" s="3"/>
      <c r="D11446" s="3"/>
      <c r="E11446" s="3">
        <v>3</v>
      </c>
      <c r="F11446" s="4" t="str">
        <f>HYPERLINK("http://141.218.60.56/~jnz1568/getInfo.php?workbook=10_05.xlsx&amp;sheet=U0&amp;row=11446&amp;col=6&amp;number=3.2&amp;sourceID=14","3.2")</f>
        <v>3.2</v>
      </c>
      <c r="G11446" s="4" t="str">
        <f>HYPERLINK("http://141.218.60.56/~jnz1568/getInfo.php?workbook=10_05.xlsx&amp;sheet=U0&amp;row=11446&amp;col=7&amp;number=0.0729&amp;sourceID=14","0.0729")</f>
        <v>0.0729</v>
      </c>
    </row>
    <row r="11447" spans="1:7">
      <c r="A11447" s="3"/>
      <c r="B11447" s="3"/>
      <c r="C11447" s="3"/>
      <c r="D11447" s="3"/>
      <c r="E11447" s="3">
        <v>4</v>
      </c>
      <c r="F11447" s="4" t="str">
        <f>HYPERLINK("http://141.218.60.56/~jnz1568/getInfo.php?workbook=10_05.xlsx&amp;sheet=U0&amp;row=11447&amp;col=6&amp;number=3.3&amp;sourceID=14","3.3")</f>
        <v>3.3</v>
      </c>
      <c r="G11447" s="4" t="str">
        <f>HYPERLINK("http://141.218.60.56/~jnz1568/getInfo.php?workbook=10_05.xlsx&amp;sheet=U0&amp;row=11447&amp;col=7&amp;number=0.0727&amp;sourceID=14","0.0727")</f>
        <v>0.0727</v>
      </c>
    </row>
    <row r="11448" spans="1:7">
      <c r="A11448" s="3"/>
      <c r="B11448" s="3"/>
      <c r="C11448" s="3"/>
      <c r="D11448" s="3"/>
      <c r="E11448" s="3">
        <v>5</v>
      </c>
      <c r="F11448" s="4" t="str">
        <f>HYPERLINK("http://141.218.60.56/~jnz1568/getInfo.php?workbook=10_05.xlsx&amp;sheet=U0&amp;row=11448&amp;col=6&amp;number=3.4&amp;sourceID=14","3.4")</f>
        <v>3.4</v>
      </c>
      <c r="G11448" s="4" t="str">
        <f>HYPERLINK("http://141.218.60.56/~jnz1568/getInfo.php?workbook=10_05.xlsx&amp;sheet=U0&amp;row=11448&amp;col=7&amp;number=0.0725&amp;sourceID=14","0.0725")</f>
        <v>0.0725</v>
      </c>
    </row>
    <row r="11449" spans="1:7">
      <c r="A11449" s="3"/>
      <c r="B11449" s="3"/>
      <c r="C11449" s="3"/>
      <c r="D11449" s="3"/>
      <c r="E11449" s="3">
        <v>6</v>
      </c>
      <c r="F11449" s="4" t="str">
        <f>HYPERLINK("http://141.218.60.56/~jnz1568/getInfo.php?workbook=10_05.xlsx&amp;sheet=U0&amp;row=11449&amp;col=6&amp;number=3.5&amp;sourceID=14","3.5")</f>
        <v>3.5</v>
      </c>
      <c r="G11449" s="4" t="str">
        <f>HYPERLINK("http://141.218.60.56/~jnz1568/getInfo.php?workbook=10_05.xlsx&amp;sheet=U0&amp;row=11449&amp;col=7&amp;number=0.0723&amp;sourceID=14","0.0723")</f>
        <v>0.0723</v>
      </c>
    </row>
    <row r="11450" spans="1:7">
      <c r="A11450" s="3"/>
      <c r="B11450" s="3"/>
      <c r="C11450" s="3"/>
      <c r="D11450" s="3"/>
      <c r="E11450" s="3">
        <v>7</v>
      </c>
      <c r="F11450" s="4" t="str">
        <f>HYPERLINK("http://141.218.60.56/~jnz1568/getInfo.php?workbook=10_05.xlsx&amp;sheet=U0&amp;row=11450&amp;col=6&amp;number=3.6&amp;sourceID=14","3.6")</f>
        <v>3.6</v>
      </c>
      <c r="G11450" s="4" t="str">
        <f>HYPERLINK("http://141.218.60.56/~jnz1568/getInfo.php?workbook=10_05.xlsx&amp;sheet=U0&amp;row=11450&amp;col=7&amp;number=0.0721&amp;sourceID=14","0.0721")</f>
        <v>0.0721</v>
      </c>
    </row>
    <row r="11451" spans="1:7">
      <c r="A11451" s="3"/>
      <c r="B11451" s="3"/>
      <c r="C11451" s="3"/>
      <c r="D11451" s="3"/>
      <c r="E11451" s="3">
        <v>8</v>
      </c>
      <c r="F11451" s="4" t="str">
        <f>HYPERLINK("http://141.218.60.56/~jnz1568/getInfo.php?workbook=10_05.xlsx&amp;sheet=U0&amp;row=11451&amp;col=6&amp;number=3.7&amp;sourceID=14","3.7")</f>
        <v>3.7</v>
      </c>
      <c r="G11451" s="4" t="str">
        <f>HYPERLINK("http://141.218.60.56/~jnz1568/getInfo.php?workbook=10_05.xlsx&amp;sheet=U0&amp;row=11451&amp;col=7&amp;number=0.0717&amp;sourceID=14","0.0717")</f>
        <v>0.0717</v>
      </c>
    </row>
    <row r="11452" spans="1:7">
      <c r="A11452" s="3"/>
      <c r="B11452" s="3"/>
      <c r="C11452" s="3"/>
      <c r="D11452" s="3"/>
      <c r="E11452" s="3">
        <v>9</v>
      </c>
      <c r="F11452" s="4" t="str">
        <f>HYPERLINK("http://141.218.60.56/~jnz1568/getInfo.php?workbook=10_05.xlsx&amp;sheet=U0&amp;row=11452&amp;col=6&amp;number=3.8&amp;sourceID=14","3.8")</f>
        <v>3.8</v>
      </c>
      <c r="G11452" s="4" t="str">
        <f>HYPERLINK("http://141.218.60.56/~jnz1568/getInfo.php?workbook=10_05.xlsx&amp;sheet=U0&amp;row=11452&amp;col=7&amp;number=0.0713&amp;sourceID=14","0.0713")</f>
        <v>0.0713</v>
      </c>
    </row>
    <row r="11453" spans="1:7">
      <c r="A11453" s="3"/>
      <c r="B11453" s="3"/>
      <c r="C11453" s="3"/>
      <c r="D11453" s="3"/>
      <c r="E11453" s="3">
        <v>10</v>
      </c>
      <c r="F11453" s="4" t="str">
        <f>HYPERLINK("http://141.218.60.56/~jnz1568/getInfo.php?workbook=10_05.xlsx&amp;sheet=U0&amp;row=11453&amp;col=6&amp;number=3.9&amp;sourceID=14","3.9")</f>
        <v>3.9</v>
      </c>
      <c r="G11453" s="4" t="str">
        <f>HYPERLINK("http://141.218.60.56/~jnz1568/getInfo.php?workbook=10_05.xlsx&amp;sheet=U0&amp;row=11453&amp;col=7&amp;number=0.0708&amp;sourceID=14","0.0708")</f>
        <v>0.0708</v>
      </c>
    </row>
    <row r="11454" spans="1:7">
      <c r="A11454" s="3"/>
      <c r="B11454" s="3"/>
      <c r="C11454" s="3"/>
      <c r="D11454" s="3"/>
      <c r="E11454" s="3">
        <v>11</v>
      </c>
      <c r="F11454" s="4" t="str">
        <f>HYPERLINK("http://141.218.60.56/~jnz1568/getInfo.php?workbook=10_05.xlsx&amp;sheet=U0&amp;row=11454&amp;col=6&amp;number=4&amp;sourceID=14","4")</f>
        <v>4</v>
      </c>
      <c r="G11454" s="4" t="str">
        <f>HYPERLINK("http://141.218.60.56/~jnz1568/getInfo.php?workbook=10_05.xlsx&amp;sheet=U0&amp;row=11454&amp;col=7&amp;number=0.0702&amp;sourceID=14","0.0702")</f>
        <v>0.0702</v>
      </c>
    </row>
    <row r="11455" spans="1:7">
      <c r="A11455" s="3"/>
      <c r="B11455" s="3"/>
      <c r="C11455" s="3"/>
      <c r="D11455" s="3"/>
      <c r="E11455" s="3">
        <v>12</v>
      </c>
      <c r="F11455" s="4" t="str">
        <f>HYPERLINK("http://141.218.60.56/~jnz1568/getInfo.php?workbook=10_05.xlsx&amp;sheet=U0&amp;row=11455&amp;col=6&amp;number=4.1&amp;sourceID=14","4.1")</f>
        <v>4.1</v>
      </c>
      <c r="G11455" s="4" t="str">
        <f>HYPERLINK("http://141.218.60.56/~jnz1568/getInfo.php?workbook=10_05.xlsx&amp;sheet=U0&amp;row=11455&amp;col=7&amp;number=0.0694&amp;sourceID=14","0.0694")</f>
        <v>0.0694</v>
      </c>
    </row>
    <row r="11456" spans="1:7">
      <c r="A11456" s="3"/>
      <c r="B11456" s="3"/>
      <c r="C11456" s="3"/>
      <c r="D11456" s="3"/>
      <c r="E11456" s="3">
        <v>13</v>
      </c>
      <c r="F11456" s="4" t="str">
        <f>HYPERLINK("http://141.218.60.56/~jnz1568/getInfo.php?workbook=10_05.xlsx&amp;sheet=U0&amp;row=11456&amp;col=6&amp;number=4.2&amp;sourceID=14","4.2")</f>
        <v>4.2</v>
      </c>
      <c r="G11456" s="4" t="str">
        <f>HYPERLINK("http://141.218.60.56/~jnz1568/getInfo.php?workbook=10_05.xlsx&amp;sheet=U0&amp;row=11456&amp;col=7&amp;number=0.0685&amp;sourceID=14","0.0685")</f>
        <v>0.0685</v>
      </c>
    </row>
    <row r="11457" spans="1:7">
      <c r="A11457" s="3"/>
      <c r="B11457" s="3"/>
      <c r="C11457" s="3"/>
      <c r="D11457" s="3"/>
      <c r="E11457" s="3">
        <v>14</v>
      </c>
      <c r="F11457" s="4" t="str">
        <f>HYPERLINK("http://141.218.60.56/~jnz1568/getInfo.php?workbook=10_05.xlsx&amp;sheet=U0&amp;row=11457&amp;col=6&amp;number=4.3&amp;sourceID=14","4.3")</f>
        <v>4.3</v>
      </c>
      <c r="G11457" s="4" t="str">
        <f>HYPERLINK("http://141.218.60.56/~jnz1568/getInfo.php?workbook=10_05.xlsx&amp;sheet=U0&amp;row=11457&amp;col=7&amp;number=0.0674&amp;sourceID=14","0.0674")</f>
        <v>0.0674</v>
      </c>
    </row>
    <row r="11458" spans="1:7">
      <c r="A11458" s="3"/>
      <c r="B11458" s="3"/>
      <c r="C11458" s="3"/>
      <c r="D11458" s="3"/>
      <c r="E11458" s="3">
        <v>15</v>
      </c>
      <c r="F11458" s="4" t="str">
        <f>HYPERLINK("http://141.218.60.56/~jnz1568/getInfo.php?workbook=10_05.xlsx&amp;sheet=U0&amp;row=11458&amp;col=6&amp;number=4.4&amp;sourceID=14","4.4")</f>
        <v>4.4</v>
      </c>
      <c r="G11458" s="4" t="str">
        <f>HYPERLINK("http://141.218.60.56/~jnz1568/getInfo.php?workbook=10_05.xlsx&amp;sheet=U0&amp;row=11458&amp;col=7&amp;number=0.0662&amp;sourceID=14","0.0662")</f>
        <v>0.0662</v>
      </c>
    </row>
    <row r="11459" spans="1:7">
      <c r="A11459" s="3"/>
      <c r="B11459" s="3"/>
      <c r="C11459" s="3"/>
      <c r="D11459" s="3"/>
      <c r="E11459" s="3">
        <v>16</v>
      </c>
      <c r="F11459" s="4" t="str">
        <f>HYPERLINK("http://141.218.60.56/~jnz1568/getInfo.php?workbook=10_05.xlsx&amp;sheet=U0&amp;row=11459&amp;col=6&amp;number=4.5&amp;sourceID=14","4.5")</f>
        <v>4.5</v>
      </c>
      <c r="G11459" s="4" t="str">
        <f>HYPERLINK("http://141.218.60.56/~jnz1568/getInfo.php?workbook=10_05.xlsx&amp;sheet=U0&amp;row=11459&amp;col=7&amp;number=0.0649&amp;sourceID=14","0.0649")</f>
        <v>0.0649</v>
      </c>
    </row>
    <row r="11460" spans="1:7">
      <c r="A11460" s="3"/>
      <c r="B11460" s="3"/>
      <c r="C11460" s="3"/>
      <c r="D11460" s="3"/>
      <c r="E11460" s="3">
        <v>17</v>
      </c>
      <c r="F11460" s="4" t="str">
        <f>HYPERLINK("http://141.218.60.56/~jnz1568/getInfo.php?workbook=10_05.xlsx&amp;sheet=U0&amp;row=11460&amp;col=6&amp;number=4.6&amp;sourceID=14","4.6")</f>
        <v>4.6</v>
      </c>
      <c r="G11460" s="4" t="str">
        <f>HYPERLINK("http://141.218.60.56/~jnz1568/getInfo.php?workbook=10_05.xlsx&amp;sheet=U0&amp;row=11460&amp;col=7&amp;number=0.0636&amp;sourceID=14","0.0636")</f>
        <v>0.0636</v>
      </c>
    </row>
    <row r="11461" spans="1:7">
      <c r="A11461" s="3"/>
      <c r="B11461" s="3"/>
      <c r="C11461" s="3"/>
      <c r="D11461" s="3"/>
      <c r="E11461" s="3">
        <v>18</v>
      </c>
      <c r="F11461" s="4" t="str">
        <f>HYPERLINK("http://141.218.60.56/~jnz1568/getInfo.php?workbook=10_05.xlsx&amp;sheet=U0&amp;row=11461&amp;col=6&amp;number=4.7&amp;sourceID=14","4.7")</f>
        <v>4.7</v>
      </c>
      <c r="G11461" s="4" t="str">
        <f>HYPERLINK("http://141.218.60.56/~jnz1568/getInfo.php?workbook=10_05.xlsx&amp;sheet=U0&amp;row=11461&amp;col=7&amp;number=0.0625&amp;sourceID=14","0.0625")</f>
        <v>0.0625</v>
      </c>
    </row>
    <row r="11462" spans="1:7">
      <c r="A11462" s="3"/>
      <c r="B11462" s="3"/>
      <c r="C11462" s="3"/>
      <c r="D11462" s="3"/>
      <c r="E11462" s="3">
        <v>19</v>
      </c>
      <c r="F11462" s="4" t="str">
        <f>HYPERLINK("http://141.218.60.56/~jnz1568/getInfo.php?workbook=10_05.xlsx&amp;sheet=U0&amp;row=11462&amp;col=6&amp;number=4.8&amp;sourceID=14","4.8")</f>
        <v>4.8</v>
      </c>
      <c r="G11462" s="4" t="str">
        <f>HYPERLINK("http://141.218.60.56/~jnz1568/getInfo.php?workbook=10_05.xlsx&amp;sheet=U0&amp;row=11462&amp;col=7&amp;number=0.0617&amp;sourceID=14","0.0617")</f>
        <v>0.0617</v>
      </c>
    </row>
    <row r="11463" spans="1:7">
      <c r="A11463" s="3"/>
      <c r="B11463" s="3"/>
      <c r="C11463" s="3"/>
      <c r="D11463" s="3"/>
      <c r="E11463" s="3">
        <v>20</v>
      </c>
      <c r="F11463" s="4" t="str">
        <f>HYPERLINK("http://141.218.60.56/~jnz1568/getInfo.php?workbook=10_05.xlsx&amp;sheet=U0&amp;row=11463&amp;col=6&amp;number=4.9&amp;sourceID=14","4.9")</f>
        <v>4.9</v>
      </c>
      <c r="G11463" s="4" t="str">
        <f>HYPERLINK("http://141.218.60.56/~jnz1568/getInfo.php?workbook=10_05.xlsx&amp;sheet=U0&amp;row=11463&amp;col=7&amp;number=0.0612&amp;sourceID=14","0.0612")</f>
        <v>0.0612</v>
      </c>
    </row>
    <row r="11464" spans="1:7">
      <c r="A11464" s="3">
        <v>10</v>
      </c>
      <c r="B11464" s="3">
        <v>5</v>
      </c>
      <c r="C11464" s="3">
        <v>4</v>
      </c>
      <c r="D11464" s="3">
        <v>44</v>
      </c>
      <c r="E11464" s="3">
        <v>1</v>
      </c>
      <c r="F11464" s="4" t="str">
        <f>HYPERLINK("http://141.218.60.56/~jnz1568/getInfo.php?workbook=10_05.xlsx&amp;sheet=U0&amp;row=11464&amp;col=6&amp;number=3&amp;sourceID=14","3")</f>
        <v>3</v>
      </c>
      <c r="G11464" s="4" t="str">
        <f>HYPERLINK("http://141.218.60.56/~jnz1568/getInfo.php?workbook=10_05.xlsx&amp;sheet=U0&amp;row=11464&amp;col=7&amp;number=0.275&amp;sourceID=14","0.275")</f>
        <v>0.275</v>
      </c>
    </row>
    <row r="11465" spans="1:7">
      <c r="A11465" s="3"/>
      <c r="B11465" s="3"/>
      <c r="C11465" s="3"/>
      <c r="D11465" s="3"/>
      <c r="E11465" s="3">
        <v>2</v>
      </c>
      <c r="F11465" s="4" t="str">
        <f>HYPERLINK("http://141.218.60.56/~jnz1568/getInfo.php?workbook=10_05.xlsx&amp;sheet=U0&amp;row=11465&amp;col=6&amp;number=3.1&amp;sourceID=14","3.1")</f>
        <v>3.1</v>
      </c>
      <c r="G11465" s="4" t="str">
        <f>HYPERLINK("http://141.218.60.56/~jnz1568/getInfo.php?workbook=10_05.xlsx&amp;sheet=U0&amp;row=11465&amp;col=7&amp;number=0.275&amp;sourceID=14","0.275")</f>
        <v>0.275</v>
      </c>
    </row>
    <row r="11466" spans="1:7">
      <c r="A11466" s="3"/>
      <c r="B11466" s="3"/>
      <c r="C11466" s="3"/>
      <c r="D11466" s="3"/>
      <c r="E11466" s="3">
        <v>3</v>
      </c>
      <c r="F11466" s="4" t="str">
        <f>HYPERLINK("http://141.218.60.56/~jnz1568/getInfo.php?workbook=10_05.xlsx&amp;sheet=U0&amp;row=11466&amp;col=6&amp;number=3.2&amp;sourceID=14","3.2")</f>
        <v>3.2</v>
      </c>
      <c r="G11466" s="4" t="str">
        <f>HYPERLINK("http://141.218.60.56/~jnz1568/getInfo.php?workbook=10_05.xlsx&amp;sheet=U0&amp;row=11466&amp;col=7&amp;number=0.276&amp;sourceID=14","0.276")</f>
        <v>0.276</v>
      </c>
    </row>
    <row r="11467" spans="1:7">
      <c r="A11467" s="3"/>
      <c r="B11467" s="3"/>
      <c r="C11467" s="3"/>
      <c r="D11467" s="3"/>
      <c r="E11467" s="3">
        <v>4</v>
      </c>
      <c r="F11467" s="4" t="str">
        <f>HYPERLINK("http://141.218.60.56/~jnz1568/getInfo.php?workbook=10_05.xlsx&amp;sheet=U0&amp;row=11467&amp;col=6&amp;number=3.3&amp;sourceID=14","3.3")</f>
        <v>3.3</v>
      </c>
      <c r="G11467" s="4" t="str">
        <f>HYPERLINK("http://141.218.60.56/~jnz1568/getInfo.php?workbook=10_05.xlsx&amp;sheet=U0&amp;row=11467&amp;col=7&amp;number=0.276&amp;sourceID=14","0.276")</f>
        <v>0.276</v>
      </c>
    </row>
    <row r="11468" spans="1:7">
      <c r="A11468" s="3"/>
      <c r="B11468" s="3"/>
      <c r="C11468" s="3"/>
      <c r="D11468" s="3"/>
      <c r="E11468" s="3">
        <v>5</v>
      </c>
      <c r="F11468" s="4" t="str">
        <f>HYPERLINK("http://141.218.60.56/~jnz1568/getInfo.php?workbook=10_05.xlsx&amp;sheet=U0&amp;row=11468&amp;col=6&amp;number=3.4&amp;sourceID=14","3.4")</f>
        <v>3.4</v>
      </c>
      <c r="G11468" s="4" t="str">
        <f>HYPERLINK("http://141.218.60.56/~jnz1568/getInfo.php?workbook=10_05.xlsx&amp;sheet=U0&amp;row=11468&amp;col=7&amp;number=0.276&amp;sourceID=14","0.276")</f>
        <v>0.276</v>
      </c>
    </row>
    <row r="11469" spans="1:7">
      <c r="A11469" s="3"/>
      <c r="B11469" s="3"/>
      <c r="C11469" s="3"/>
      <c r="D11469" s="3"/>
      <c r="E11469" s="3">
        <v>6</v>
      </c>
      <c r="F11469" s="4" t="str">
        <f>HYPERLINK("http://141.218.60.56/~jnz1568/getInfo.php?workbook=10_05.xlsx&amp;sheet=U0&amp;row=11469&amp;col=6&amp;number=3.5&amp;sourceID=14","3.5")</f>
        <v>3.5</v>
      </c>
      <c r="G11469" s="4" t="str">
        <f>HYPERLINK("http://141.218.60.56/~jnz1568/getInfo.php?workbook=10_05.xlsx&amp;sheet=U0&amp;row=11469&amp;col=7&amp;number=0.276&amp;sourceID=14","0.276")</f>
        <v>0.276</v>
      </c>
    </row>
    <row r="11470" spans="1:7">
      <c r="A11470" s="3"/>
      <c r="B11470" s="3"/>
      <c r="C11470" s="3"/>
      <c r="D11470" s="3"/>
      <c r="E11470" s="3">
        <v>7</v>
      </c>
      <c r="F11470" s="4" t="str">
        <f>HYPERLINK("http://141.218.60.56/~jnz1568/getInfo.php?workbook=10_05.xlsx&amp;sheet=U0&amp;row=11470&amp;col=6&amp;number=3.6&amp;sourceID=14","3.6")</f>
        <v>3.6</v>
      </c>
      <c r="G11470" s="4" t="str">
        <f>HYPERLINK("http://141.218.60.56/~jnz1568/getInfo.php?workbook=10_05.xlsx&amp;sheet=U0&amp;row=11470&amp;col=7&amp;number=0.276&amp;sourceID=14","0.276")</f>
        <v>0.276</v>
      </c>
    </row>
    <row r="11471" spans="1:7">
      <c r="A11471" s="3"/>
      <c r="B11471" s="3"/>
      <c r="C11471" s="3"/>
      <c r="D11471" s="3"/>
      <c r="E11471" s="3">
        <v>8</v>
      </c>
      <c r="F11471" s="4" t="str">
        <f>HYPERLINK("http://141.218.60.56/~jnz1568/getInfo.php?workbook=10_05.xlsx&amp;sheet=U0&amp;row=11471&amp;col=6&amp;number=3.7&amp;sourceID=14","3.7")</f>
        <v>3.7</v>
      </c>
      <c r="G11471" s="4" t="str">
        <f>HYPERLINK("http://141.218.60.56/~jnz1568/getInfo.php?workbook=10_05.xlsx&amp;sheet=U0&amp;row=11471&amp;col=7&amp;number=0.276&amp;sourceID=14","0.276")</f>
        <v>0.276</v>
      </c>
    </row>
    <row r="11472" spans="1:7">
      <c r="A11472" s="3"/>
      <c r="B11472" s="3"/>
      <c r="C11472" s="3"/>
      <c r="D11472" s="3"/>
      <c r="E11472" s="3">
        <v>9</v>
      </c>
      <c r="F11472" s="4" t="str">
        <f>HYPERLINK("http://141.218.60.56/~jnz1568/getInfo.php?workbook=10_05.xlsx&amp;sheet=U0&amp;row=11472&amp;col=6&amp;number=3.8&amp;sourceID=14","3.8")</f>
        <v>3.8</v>
      </c>
      <c r="G11472" s="4" t="str">
        <f>HYPERLINK("http://141.218.60.56/~jnz1568/getInfo.php?workbook=10_05.xlsx&amp;sheet=U0&amp;row=11472&amp;col=7&amp;number=0.276&amp;sourceID=14","0.276")</f>
        <v>0.276</v>
      </c>
    </row>
    <row r="11473" spans="1:7">
      <c r="A11473" s="3"/>
      <c r="B11473" s="3"/>
      <c r="C11473" s="3"/>
      <c r="D11473" s="3"/>
      <c r="E11473" s="3">
        <v>10</v>
      </c>
      <c r="F11473" s="4" t="str">
        <f>HYPERLINK("http://141.218.60.56/~jnz1568/getInfo.php?workbook=10_05.xlsx&amp;sheet=U0&amp;row=11473&amp;col=6&amp;number=3.9&amp;sourceID=14","3.9")</f>
        <v>3.9</v>
      </c>
      <c r="G11473" s="4" t="str">
        <f>HYPERLINK("http://141.218.60.56/~jnz1568/getInfo.php?workbook=10_05.xlsx&amp;sheet=U0&amp;row=11473&amp;col=7&amp;number=0.276&amp;sourceID=14","0.276")</f>
        <v>0.276</v>
      </c>
    </row>
    <row r="11474" spans="1:7">
      <c r="A11474" s="3"/>
      <c r="B11474" s="3"/>
      <c r="C11474" s="3"/>
      <c r="D11474" s="3"/>
      <c r="E11474" s="3">
        <v>11</v>
      </c>
      <c r="F11474" s="4" t="str">
        <f>HYPERLINK("http://141.218.60.56/~jnz1568/getInfo.php?workbook=10_05.xlsx&amp;sheet=U0&amp;row=11474&amp;col=6&amp;number=4&amp;sourceID=14","4")</f>
        <v>4</v>
      </c>
      <c r="G11474" s="4" t="str">
        <f>HYPERLINK("http://141.218.60.56/~jnz1568/getInfo.php?workbook=10_05.xlsx&amp;sheet=U0&amp;row=11474&amp;col=7&amp;number=0.277&amp;sourceID=14","0.277")</f>
        <v>0.277</v>
      </c>
    </row>
    <row r="11475" spans="1:7">
      <c r="A11475" s="3"/>
      <c r="B11475" s="3"/>
      <c r="C11475" s="3"/>
      <c r="D11475" s="3"/>
      <c r="E11475" s="3">
        <v>12</v>
      </c>
      <c r="F11475" s="4" t="str">
        <f>HYPERLINK("http://141.218.60.56/~jnz1568/getInfo.php?workbook=10_05.xlsx&amp;sheet=U0&amp;row=11475&amp;col=6&amp;number=4.1&amp;sourceID=14","4.1")</f>
        <v>4.1</v>
      </c>
      <c r="G11475" s="4" t="str">
        <f>HYPERLINK("http://141.218.60.56/~jnz1568/getInfo.php?workbook=10_05.xlsx&amp;sheet=U0&amp;row=11475&amp;col=7&amp;number=0.277&amp;sourceID=14","0.277")</f>
        <v>0.277</v>
      </c>
    </row>
    <row r="11476" spans="1:7">
      <c r="A11476" s="3"/>
      <c r="B11476" s="3"/>
      <c r="C11476" s="3"/>
      <c r="D11476" s="3"/>
      <c r="E11476" s="3">
        <v>13</v>
      </c>
      <c r="F11476" s="4" t="str">
        <f>HYPERLINK("http://141.218.60.56/~jnz1568/getInfo.php?workbook=10_05.xlsx&amp;sheet=U0&amp;row=11476&amp;col=6&amp;number=4.2&amp;sourceID=14","4.2")</f>
        <v>4.2</v>
      </c>
      <c r="G11476" s="4" t="str">
        <f>HYPERLINK("http://141.218.60.56/~jnz1568/getInfo.php?workbook=10_05.xlsx&amp;sheet=U0&amp;row=11476&amp;col=7&amp;number=0.277&amp;sourceID=14","0.277")</f>
        <v>0.277</v>
      </c>
    </row>
    <row r="11477" spans="1:7">
      <c r="A11477" s="3"/>
      <c r="B11477" s="3"/>
      <c r="C11477" s="3"/>
      <c r="D11477" s="3"/>
      <c r="E11477" s="3">
        <v>14</v>
      </c>
      <c r="F11477" s="4" t="str">
        <f>HYPERLINK("http://141.218.60.56/~jnz1568/getInfo.php?workbook=10_05.xlsx&amp;sheet=U0&amp;row=11477&amp;col=6&amp;number=4.3&amp;sourceID=14","4.3")</f>
        <v>4.3</v>
      </c>
      <c r="G11477" s="4" t="str">
        <f>HYPERLINK("http://141.218.60.56/~jnz1568/getInfo.php?workbook=10_05.xlsx&amp;sheet=U0&amp;row=11477&amp;col=7&amp;number=0.278&amp;sourceID=14","0.278")</f>
        <v>0.278</v>
      </c>
    </row>
    <row r="11478" spans="1:7">
      <c r="A11478" s="3"/>
      <c r="B11478" s="3"/>
      <c r="C11478" s="3"/>
      <c r="D11478" s="3"/>
      <c r="E11478" s="3">
        <v>15</v>
      </c>
      <c r="F11478" s="4" t="str">
        <f>HYPERLINK("http://141.218.60.56/~jnz1568/getInfo.php?workbook=10_05.xlsx&amp;sheet=U0&amp;row=11478&amp;col=6&amp;number=4.4&amp;sourceID=14","4.4")</f>
        <v>4.4</v>
      </c>
      <c r="G11478" s="4" t="str">
        <f>HYPERLINK("http://141.218.60.56/~jnz1568/getInfo.php?workbook=10_05.xlsx&amp;sheet=U0&amp;row=11478&amp;col=7&amp;number=0.278&amp;sourceID=14","0.278")</f>
        <v>0.278</v>
      </c>
    </row>
    <row r="11479" spans="1:7">
      <c r="A11479" s="3"/>
      <c r="B11479" s="3"/>
      <c r="C11479" s="3"/>
      <c r="D11479" s="3"/>
      <c r="E11479" s="3">
        <v>16</v>
      </c>
      <c r="F11479" s="4" t="str">
        <f>HYPERLINK("http://141.218.60.56/~jnz1568/getInfo.php?workbook=10_05.xlsx&amp;sheet=U0&amp;row=11479&amp;col=6&amp;number=4.5&amp;sourceID=14","4.5")</f>
        <v>4.5</v>
      </c>
      <c r="G11479" s="4" t="str">
        <f>HYPERLINK("http://141.218.60.56/~jnz1568/getInfo.php?workbook=10_05.xlsx&amp;sheet=U0&amp;row=11479&amp;col=7&amp;number=0.279&amp;sourceID=14","0.279")</f>
        <v>0.279</v>
      </c>
    </row>
    <row r="11480" spans="1:7">
      <c r="A11480" s="3"/>
      <c r="B11480" s="3"/>
      <c r="C11480" s="3"/>
      <c r="D11480" s="3"/>
      <c r="E11480" s="3">
        <v>17</v>
      </c>
      <c r="F11480" s="4" t="str">
        <f>HYPERLINK("http://141.218.60.56/~jnz1568/getInfo.php?workbook=10_05.xlsx&amp;sheet=U0&amp;row=11480&amp;col=6&amp;number=4.6&amp;sourceID=14","4.6")</f>
        <v>4.6</v>
      </c>
      <c r="G11480" s="4" t="str">
        <f>HYPERLINK("http://141.218.60.56/~jnz1568/getInfo.php?workbook=10_05.xlsx&amp;sheet=U0&amp;row=11480&amp;col=7&amp;number=0.28&amp;sourceID=14","0.28")</f>
        <v>0.28</v>
      </c>
    </row>
    <row r="11481" spans="1:7">
      <c r="A11481" s="3"/>
      <c r="B11481" s="3"/>
      <c r="C11481" s="3"/>
      <c r="D11481" s="3"/>
      <c r="E11481" s="3">
        <v>18</v>
      </c>
      <c r="F11481" s="4" t="str">
        <f>HYPERLINK("http://141.218.60.56/~jnz1568/getInfo.php?workbook=10_05.xlsx&amp;sheet=U0&amp;row=11481&amp;col=6&amp;number=4.7&amp;sourceID=14","4.7")</f>
        <v>4.7</v>
      </c>
      <c r="G11481" s="4" t="str">
        <f>HYPERLINK("http://141.218.60.56/~jnz1568/getInfo.php?workbook=10_05.xlsx&amp;sheet=U0&amp;row=11481&amp;col=7&amp;number=0.281&amp;sourceID=14","0.281")</f>
        <v>0.281</v>
      </c>
    </row>
    <row r="11482" spans="1:7">
      <c r="A11482" s="3"/>
      <c r="B11482" s="3"/>
      <c r="C11482" s="3"/>
      <c r="D11482" s="3"/>
      <c r="E11482" s="3">
        <v>19</v>
      </c>
      <c r="F11482" s="4" t="str">
        <f>HYPERLINK("http://141.218.60.56/~jnz1568/getInfo.php?workbook=10_05.xlsx&amp;sheet=U0&amp;row=11482&amp;col=6&amp;number=4.8&amp;sourceID=14","4.8")</f>
        <v>4.8</v>
      </c>
      <c r="G11482" s="4" t="str">
        <f>HYPERLINK("http://141.218.60.56/~jnz1568/getInfo.php?workbook=10_05.xlsx&amp;sheet=U0&amp;row=11482&amp;col=7&amp;number=0.282&amp;sourceID=14","0.282")</f>
        <v>0.282</v>
      </c>
    </row>
    <row r="11483" spans="1:7">
      <c r="A11483" s="3"/>
      <c r="B11483" s="3"/>
      <c r="C11483" s="3"/>
      <c r="D11483" s="3"/>
      <c r="E11483" s="3">
        <v>20</v>
      </c>
      <c r="F11483" s="4" t="str">
        <f>HYPERLINK("http://141.218.60.56/~jnz1568/getInfo.php?workbook=10_05.xlsx&amp;sheet=U0&amp;row=11483&amp;col=6&amp;number=4.9&amp;sourceID=14","4.9")</f>
        <v>4.9</v>
      </c>
      <c r="G11483" s="4" t="str">
        <f>HYPERLINK("http://141.218.60.56/~jnz1568/getInfo.php?workbook=10_05.xlsx&amp;sheet=U0&amp;row=11483&amp;col=7&amp;number=0.283&amp;sourceID=14","0.283")</f>
        <v>0.283</v>
      </c>
    </row>
    <row r="11484" spans="1:7">
      <c r="A11484" s="3">
        <v>10</v>
      </c>
      <c r="B11484" s="3">
        <v>5</v>
      </c>
      <c r="C11484" s="3">
        <v>4</v>
      </c>
      <c r="D11484" s="3">
        <v>45</v>
      </c>
      <c r="E11484" s="3">
        <v>1</v>
      </c>
      <c r="F11484" s="4" t="str">
        <f>HYPERLINK("http://141.218.60.56/~jnz1568/getInfo.php?workbook=10_05.xlsx&amp;sheet=U0&amp;row=11484&amp;col=6&amp;number=3&amp;sourceID=14","3")</f>
        <v>3</v>
      </c>
      <c r="G11484" s="4" t="str">
        <f>HYPERLINK("http://141.218.60.56/~jnz1568/getInfo.php?workbook=10_05.xlsx&amp;sheet=U0&amp;row=11484&amp;col=7&amp;number=0.562&amp;sourceID=14","0.562")</f>
        <v>0.562</v>
      </c>
    </row>
    <row r="11485" spans="1:7">
      <c r="A11485" s="3"/>
      <c r="B11485" s="3"/>
      <c r="C11485" s="3"/>
      <c r="D11485" s="3"/>
      <c r="E11485" s="3">
        <v>2</v>
      </c>
      <c r="F11485" s="4" t="str">
        <f>HYPERLINK("http://141.218.60.56/~jnz1568/getInfo.php?workbook=10_05.xlsx&amp;sheet=U0&amp;row=11485&amp;col=6&amp;number=3.1&amp;sourceID=14","3.1")</f>
        <v>3.1</v>
      </c>
      <c r="G11485" s="4" t="str">
        <f>HYPERLINK("http://141.218.60.56/~jnz1568/getInfo.php?workbook=10_05.xlsx&amp;sheet=U0&amp;row=11485&amp;col=7&amp;number=0.562&amp;sourceID=14","0.562")</f>
        <v>0.562</v>
      </c>
    </row>
    <row r="11486" spans="1:7">
      <c r="A11486" s="3"/>
      <c r="B11486" s="3"/>
      <c r="C11486" s="3"/>
      <c r="D11486" s="3"/>
      <c r="E11486" s="3">
        <v>3</v>
      </c>
      <c r="F11486" s="4" t="str">
        <f>HYPERLINK("http://141.218.60.56/~jnz1568/getInfo.php?workbook=10_05.xlsx&amp;sheet=U0&amp;row=11486&amp;col=6&amp;number=3.2&amp;sourceID=14","3.2")</f>
        <v>3.2</v>
      </c>
      <c r="G11486" s="4" t="str">
        <f>HYPERLINK("http://141.218.60.56/~jnz1568/getInfo.php?workbook=10_05.xlsx&amp;sheet=U0&amp;row=11486&amp;col=7&amp;number=0.562&amp;sourceID=14","0.562")</f>
        <v>0.562</v>
      </c>
    </row>
    <row r="11487" spans="1:7">
      <c r="A11487" s="3"/>
      <c r="B11487" s="3"/>
      <c r="C11487" s="3"/>
      <c r="D11487" s="3"/>
      <c r="E11487" s="3">
        <v>4</v>
      </c>
      <c r="F11487" s="4" t="str">
        <f>HYPERLINK("http://141.218.60.56/~jnz1568/getInfo.php?workbook=10_05.xlsx&amp;sheet=U0&amp;row=11487&amp;col=6&amp;number=3.3&amp;sourceID=14","3.3")</f>
        <v>3.3</v>
      </c>
      <c r="G11487" s="4" t="str">
        <f>HYPERLINK("http://141.218.60.56/~jnz1568/getInfo.php?workbook=10_05.xlsx&amp;sheet=U0&amp;row=11487&amp;col=7&amp;number=0.562&amp;sourceID=14","0.562")</f>
        <v>0.562</v>
      </c>
    </row>
    <row r="11488" spans="1:7">
      <c r="A11488" s="3"/>
      <c r="B11488" s="3"/>
      <c r="C11488" s="3"/>
      <c r="D11488" s="3"/>
      <c r="E11488" s="3">
        <v>5</v>
      </c>
      <c r="F11488" s="4" t="str">
        <f>HYPERLINK("http://141.218.60.56/~jnz1568/getInfo.php?workbook=10_05.xlsx&amp;sheet=U0&amp;row=11488&amp;col=6&amp;number=3.4&amp;sourceID=14","3.4")</f>
        <v>3.4</v>
      </c>
      <c r="G11488" s="4" t="str">
        <f>HYPERLINK("http://141.218.60.56/~jnz1568/getInfo.php?workbook=10_05.xlsx&amp;sheet=U0&amp;row=11488&amp;col=7&amp;number=0.563&amp;sourceID=14","0.563")</f>
        <v>0.563</v>
      </c>
    </row>
    <row r="11489" spans="1:7">
      <c r="A11489" s="3"/>
      <c r="B11489" s="3"/>
      <c r="C11489" s="3"/>
      <c r="D11489" s="3"/>
      <c r="E11489" s="3">
        <v>6</v>
      </c>
      <c r="F11489" s="4" t="str">
        <f>HYPERLINK("http://141.218.60.56/~jnz1568/getInfo.php?workbook=10_05.xlsx&amp;sheet=U0&amp;row=11489&amp;col=6&amp;number=3.5&amp;sourceID=14","3.5")</f>
        <v>3.5</v>
      </c>
      <c r="G11489" s="4" t="str">
        <f>HYPERLINK("http://141.218.60.56/~jnz1568/getInfo.php?workbook=10_05.xlsx&amp;sheet=U0&amp;row=11489&amp;col=7&amp;number=0.564&amp;sourceID=14","0.564")</f>
        <v>0.564</v>
      </c>
    </row>
    <row r="11490" spans="1:7">
      <c r="A11490" s="3"/>
      <c r="B11490" s="3"/>
      <c r="C11490" s="3"/>
      <c r="D11490" s="3"/>
      <c r="E11490" s="3">
        <v>7</v>
      </c>
      <c r="F11490" s="4" t="str">
        <f>HYPERLINK("http://141.218.60.56/~jnz1568/getInfo.php?workbook=10_05.xlsx&amp;sheet=U0&amp;row=11490&amp;col=6&amp;number=3.6&amp;sourceID=14","3.6")</f>
        <v>3.6</v>
      </c>
      <c r="G11490" s="4" t="str">
        <f>HYPERLINK("http://141.218.60.56/~jnz1568/getInfo.php?workbook=10_05.xlsx&amp;sheet=U0&amp;row=11490&amp;col=7&amp;number=0.564&amp;sourceID=14","0.564")</f>
        <v>0.564</v>
      </c>
    </row>
    <row r="11491" spans="1:7">
      <c r="A11491" s="3"/>
      <c r="B11491" s="3"/>
      <c r="C11491" s="3"/>
      <c r="D11491" s="3"/>
      <c r="E11491" s="3">
        <v>8</v>
      </c>
      <c r="F11491" s="4" t="str">
        <f>HYPERLINK("http://141.218.60.56/~jnz1568/getInfo.php?workbook=10_05.xlsx&amp;sheet=U0&amp;row=11491&amp;col=6&amp;number=3.7&amp;sourceID=14","3.7")</f>
        <v>3.7</v>
      </c>
      <c r="G11491" s="4" t="str">
        <f>HYPERLINK("http://141.218.60.56/~jnz1568/getInfo.php?workbook=10_05.xlsx&amp;sheet=U0&amp;row=11491&amp;col=7&amp;number=0.565&amp;sourceID=14","0.565")</f>
        <v>0.565</v>
      </c>
    </row>
    <row r="11492" spans="1:7">
      <c r="A11492" s="3"/>
      <c r="B11492" s="3"/>
      <c r="C11492" s="3"/>
      <c r="D11492" s="3"/>
      <c r="E11492" s="3">
        <v>9</v>
      </c>
      <c r="F11492" s="4" t="str">
        <f>HYPERLINK("http://141.218.60.56/~jnz1568/getInfo.php?workbook=10_05.xlsx&amp;sheet=U0&amp;row=11492&amp;col=6&amp;number=3.8&amp;sourceID=14","3.8")</f>
        <v>3.8</v>
      </c>
      <c r="G11492" s="4" t="str">
        <f>HYPERLINK("http://141.218.60.56/~jnz1568/getInfo.php?workbook=10_05.xlsx&amp;sheet=U0&amp;row=11492&amp;col=7&amp;number=0.566&amp;sourceID=14","0.566")</f>
        <v>0.566</v>
      </c>
    </row>
    <row r="11493" spans="1:7">
      <c r="A11493" s="3"/>
      <c r="B11493" s="3"/>
      <c r="C11493" s="3"/>
      <c r="D11493" s="3"/>
      <c r="E11493" s="3">
        <v>10</v>
      </c>
      <c r="F11493" s="4" t="str">
        <f>HYPERLINK("http://141.218.60.56/~jnz1568/getInfo.php?workbook=10_05.xlsx&amp;sheet=U0&amp;row=11493&amp;col=6&amp;number=3.9&amp;sourceID=14","3.9")</f>
        <v>3.9</v>
      </c>
      <c r="G11493" s="4" t="str">
        <f>HYPERLINK("http://141.218.60.56/~jnz1568/getInfo.php?workbook=10_05.xlsx&amp;sheet=U0&amp;row=11493&amp;col=7&amp;number=0.568&amp;sourceID=14","0.568")</f>
        <v>0.568</v>
      </c>
    </row>
    <row r="11494" spans="1:7">
      <c r="A11494" s="3"/>
      <c r="B11494" s="3"/>
      <c r="C11494" s="3"/>
      <c r="D11494" s="3"/>
      <c r="E11494" s="3">
        <v>11</v>
      </c>
      <c r="F11494" s="4" t="str">
        <f>HYPERLINK("http://141.218.60.56/~jnz1568/getInfo.php?workbook=10_05.xlsx&amp;sheet=U0&amp;row=11494&amp;col=6&amp;number=4&amp;sourceID=14","4")</f>
        <v>4</v>
      </c>
      <c r="G11494" s="4" t="str">
        <f>HYPERLINK("http://141.218.60.56/~jnz1568/getInfo.php?workbook=10_05.xlsx&amp;sheet=U0&amp;row=11494&amp;col=7&amp;number=0.569&amp;sourceID=14","0.569")</f>
        <v>0.569</v>
      </c>
    </row>
    <row r="11495" spans="1:7">
      <c r="A11495" s="3"/>
      <c r="B11495" s="3"/>
      <c r="C11495" s="3"/>
      <c r="D11495" s="3"/>
      <c r="E11495" s="3">
        <v>12</v>
      </c>
      <c r="F11495" s="4" t="str">
        <f>HYPERLINK("http://141.218.60.56/~jnz1568/getInfo.php?workbook=10_05.xlsx&amp;sheet=U0&amp;row=11495&amp;col=6&amp;number=4.1&amp;sourceID=14","4.1")</f>
        <v>4.1</v>
      </c>
      <c r="G11495" s="4" t="str">
        <f>HYPERLINK("http://141.218.60.56/~jnz1568/getInfo.php?workbook=10_05.xlsx&amp;sheet=U0&amp;row=11495&amp;col=7&amp;number=0.571&amp;sourceID=14","0.571")</f>
        <v>0.571</v>
      </c>
    </row>
    <row r="11496" spans="1:7">
      <c r="A11496" s="3"/>
      <c r="B11496" s="3"/>
      <c r="C11496" s="3"/>
      <c r="D11496" s="3"/>
      <c r="E11496" s="3">
        <v>13</v>
      </c>
      <c r="F11496" s="4" t="str">
        <f>HYPERLINK("http://141.218.60.56/~jnz1568/getInfo.php?workbook=10_05.xlsx&amp;sheet=U0&amp;row=11496&amp;col=6&amp;number=4.2&amp;sourceID=14","4.2")</f>
        <v>4.2</v>
      </c>
      <c r="G11496" s="4" t="str">
        <f>HYPERLINK("http://141.218.60.56/~jnz1568/getInfo.php?workbook=10_05.xlsx&amp;sheet=U0&amp;row=11496&amp;col=7&amp;number=0.574&amp;sourceID=14","0.574")</f>
        <v>0.574</v>
      </c>
    </row>
    <row r="11497" spans="1:7">
      <c r="A11497" s="3"/>
      <c r="B11497" s="3"/>
      <c r="C11497" s="3"/>
      <c r="D11497" s="3"/>
      <c r="E11497" s="3">
        <v>14</v>
      </c>
      <c r="F11497" s="4" t="str">
        <f>HYPERLINK("http://141.218.60.56/~jnz1568/getInfo.php?workbook=10_05.xlsx&amp;sheet=U0&amp;row=11497&amp;col=6&amp;number=4.3&amp;sourceID=14","4.3")</f>
        <v>4.3</v>
      </c>
      <c r="G11497" s="4" t="str">
        <f>HYPERLINK("http://141.218.60.56/~jnz1568/getInfo.php?workbook=10_05.xlsx&amp;sheet=U0&amp;row=11497&amp;col=7&amp;number=0.577&amp;sourceID=14","0.577")</f>
        <v>0.577</v>
      </c>
    </row>
    <row r="11498" spans="1:7">
      <c r="A11498" s="3"/>
      <c r="B11498" s="3"/>
      <c r="C11498" s="3"/>
      <c r="D11498" s="3"/>
      <c r="E11498" s="3">
        <v>15</v>
      </c>
      <c r="F11498" s="4" t="str">
        <f>HYPERLINK("http://141.218.60.56/~jnz1568/getInfo.php?workbook=10_05.xlsx&amp;sheet=U0&amp;row=11498&amp;col=6&amp;number=4.4&amp;sourceID=14","4.4")</f>
        <v>4.4</v>
      </c>
      <c r="G11498" s="4" t="str">
        <f>HYPERLINK("http://141.218.60.56/~jnz1568/getInfo.php?workbook=10_05.xlsx&amp;sheet=U0&amp;row=11498&amp;col=7&amp;number=0.581&amp;sourceID=14","0.581")</f>
        <v>0.581</v>
      </c>
    </row>
    <row r="11499" spans="1:7">
      <c r="A11499" s="3"/>
      <c r="B11499" s="3"/>
      <c r="C11499" s="3"/>
      <c r="D11499" s="3"/>
      <c r="E11499" s="3">
        <v>16</v>
      </c>
      <c r="F11499" s="4" t="str">
        <f>HYPERLINK("http://141.218.60.56/~jnz1568/getInfo.php?workbook=10_05.xlsx&amp;sheet=U0&amp;row=11499&amp;col=6&amp;number=4.5&amp;sourceID=14","4.5")</f>
        <v>4.5</v>
      </c>
      <c r="G11499" s="4" t="str">
        <f>HYPERLINK("http://141.218.60.56/~jnz1568/getInfo.php?workbook=10_05.xlsx&amp;sheet=U0&amp;row=11499&amp;col=7&amp;number=0.584&amp;sourceID=14","0.584")</f>
        <v>0.584</v>
      </c>
    </row>
    <row r="11500" spans="1:7">
      <c r="A11500" s="3"/>
      <c r="B11500" s="3"/>
      <c r="C11500" s="3"/>
      <c r="D11500" s="3"/>
      <c r="E11500" s="3">
        <v>17</v>
      </c>
      <c r="F11500" s="4" t="str">
        <f>HYPERLINK("http://141.218.60.56/~jnz1568/getInfo.php?workbook=10_05.xlsx&amp;sheet=U0&amp;row=11500&amp;col=6&amp;number=4.6&amp;sourceID=14","4.6")</f>
        <v>4.6</v>
      </c>
      <c r="G11500" s="4" t="str">
        <f>HYPERLINK("http://141.218.60.56/~jnz1568/getInfo.php?workbook=10_05.xlsx&amp;sheet=U0&amp;row=11500&amp;col=7&amp;number=0.589&amp;sourceID=14","0.589")</f>
        <v>0.589</v>
      </c>
    </row>
    <row r="11501" spans="1:7">
      <c r="A11501" s="3"/>
      <c r="B11501" s="3"/>
      <c r="C11501" s="3"/>
      <c r="D11501" s="3"/>
      <c r="E11501" s="3">
        <v>18</v>
      </c>
      <c r="F11501" s="4" t="str">
        <f>HYPERLINK("http://141.218.60.56/~jnz1568/getInfo.php?workbook=10_05.xlsx&amp;sheet=U0&amp;row=11501&amp;col=6&amp;number=4.7&amp;sourceID=14","4.7")</f>
        <v>4.7</v>
      </c>
      <c r="G11501" s="4" t="str">
        <f>HYPERLINK("http://141.218.60.56/~jnz1568/getInfo.php?workbook=10_05.xlsx&amp;sheet=U0&amp;row=11501&amp;col=7&amp;number=0.593&amp;sourceID=14","0.593")</f>
        <v>0.593</v>
      </c>
    </row>
    <row r="11502" spans="1:7">
      <c r="A11502" s="3"/>
      <c r="B11502" s="3"/>
      <c r="C11502" s="3"/>
      <c r="D11502" s="3"/>
      <c r="E11502" s="3">
        <v>19</v>
      </c>
      <c r="F11502" s="4" t="str">
        <f>HYPERLINK("http://141.218.60.56/~jnz1568/getInfo.php?workbook=10_05.xlsx&amp;sheet=U0&amp;row=11502&amp;col=6&amp;number=4.8&amp;sourceID=14","4.8")</f>
        <v>4.8</v>
      </c>
      <c r="G11502" s="4" t="str">
        <f>HYPERLINK("http://141.218.60.56/~jnz1568/getInfo.php?workbook=10_05.xlsx&amp;sheet=U0&amp;row=11502&amp;col=7&amp;number=0.597&amp;sourceID=14","0.597")</f>
        <v>0.597</v>
      </c>
    </row>
    <row r="11503" spans="1:7">
      <c r="A11503" s="3"/>
      <c r="B11503" s="3"/>
      <c r="C11503" s="3"/>
      <c r="D11503" s="3"/>
      <c r="E11503" s="3">
        <v>20</v>
      </c>
      <c r="F11503" s="4" t="str">
        <f>HYPERLINK("http://141.218.60.56/~jnz1568/getInfo.php?workbook=10_05.xlsx&amp;sheet=U0&amp;row=11503&amp;col=6&amp;number=4.9&amp;sourceID=14","4.9")</f>
        <v>4.9</v>
      </c>
      <c r="G11503" s="4" t="str">
        <f>HYPERLINK("http://141.218.60.56/~jnz1568/getInfo.php?workbook=10_05.xlsx&amp;sheet=U0&amp;row=11503&amp;col=7&amp;number=0.602&amp;sourceID=14","0.602")</f>
        <v>0.602</v>
      </c>
    </row>
    <row r="11504" spans="1:7">
      <c r="A11504" s="3">
        <v>10</v>
      </c>
      <c r="B11504" s="3">
        <v>5</v>
      </c>
      <c r="C11504" s="3">
        <v>4</v>
      </c>
      <c r="D11504" s="3">
        <v>46</v>
      </c>
      <c r="E11504" s="3">
        <v>1</v>
      </c>
      <c r="F11504" s="4" t="str">
        <f>HYPERLINK("http://141.218.60.56/~jnz1568/getInfo.php?workbook=10_05.xlsx&amp;sheet=U0&amp;row=11504&amp;col=6&amp;number=3&amp;sourceID=14","3")</f>
        <v>3</v>
      </c>
      <c r="G11504" s="4" t="str">
        <f>HYPERLINK("http://141.218.60.56/~jnz1568/getInfo.php?workbook=10_05.xlsx&amp;sheet=U0&amp;row=11504&amp;col=7&amp;number=0.142&amp;sourceID=14","0.142")</f>
        <v>0.142</v>
      </c>
    </row>
    <row r="11505" spans="1:7">
      <c r="A11505" s="3"/>
      <c r="B11505" s="3"/>
      <c r="C11505" s="3"/>
      <c r="D11505" s="3"/>
      <c r="E11505" s="3">
        <v>2</v>
      </c>
      <c r="F11505" s="4" t="str">
        <f>HYPERLINK("http://141.218.60.56/~jnz1568/getInfo.php?workbook=10_05.xlsx&amp;sheet=U0&amp;row=11505&amp;col=6&amp;number=3.1&amp;sourceID=14","3.1")</f>
        <v>3.1</v>
      </c>
      <c r="G11505" s="4" t="str">
        <f>HYPERLINK("http://141.218.60.56/~jnz1568/getInfo.php?workbook=10_05.xlsx&amp;sheet=U0&amp;row=11505&amp;col=7&amp;number=0.142&amp;sourceID=14","0.142")</f>
        <v>0.142</v>
      </c>
    </row>
    <row r="11506" spans="1:7">
      <c r="A11506" s="3"/>
      <c r="B11506" s="3"/>
      <c r="C11506" s="3"/>
      <c r="D11506" s="3"/>
      <c r="E11506" s="3">
        <v>3</v>
      </c>
      <c r="F11506" s="4" t="str">
        <f>HYPERLINK("http://141.218.60.56/~jnz1568/getInfo.php?workbook=10_05.xlsx&amp;sheet=U0&amp;row=11506&amp;col=6&amp;number=3.2&amp;sourceID=14","3.2")</f>
        <v>3.2</v>
      </c>
      <c r="G11506" s="4" t="str">
        <f>HYPERLINK("http://141.218.60.56/~jnz1568/getInfo.php?workbook=10_05.xlsx&amp;sheet=U0&amp;row=11506&amp;col=7&amp;number=0.142&amp;sourceID=14","0.142")</f>
        <v>0.142</v>
      </c>
    </row>
    <row r="11507" spans="1:7">
      <c r="A11507" s="3"/>
      <c r="B11507" s="3"/>
      <c r="C11507" s="3"/>
      <c r="D11507" s="3"/>
      <c r="E11507" s="3">
        <v>4</v>
      </c>
      <c r="F11507" s="4" t="str">
        <f>HYPERLINK("http://141.218.60.56/~jnz1568/getInfo.php?workbook=10_05.xlsx&amp;sheet=U0&amp;row=11507&amp;col=6&amp;number=3.3&amp;sourceID=14","3.3")</f>
        <v>3.3</v>
      </c>
      <c r="G11507" s="4" t="str">
        <f>HYPERLINK("http://141.218.60.56/~jnz1568/getInfo.php?workbook=10_05.xlsx&amp;sheet=U0&amp;row=11507&amp;col=7&amp;number=0.141&amp;sourceID=14","0.141")</f>
        <v>0.141</v>
      </c>
    </row>
    <row r="11508" spans="1:7">
      <c r="A11508" s="3"/>
      <c r="B11508" s="3"/>
      <c r="C11508" s="3"/>
      <c r="D11508" s="3"/>
      <c r="E11508" s="3">
        <v>5</v>
      </c>
      <c r="F11508" s="4" t="str">
        <f>HYPERLINK("http://141.218.60.56/~jnz1568/getInfo.php?workbook=10_05.xlsx&amp;sheet=U0&amp;row=11508&amp;col=6&amp;number=3.4&amp;sourceID=14","3.4")</f>
        <v>3.4</v>
      </c>
      <c r="G11508" s="4" t="str">
        <f>HYPERLINK("http://141.218.60.56/~jnz1568/getInfo.php?workbook=10_05.xlsx&amp;sheet=U0&amp;row=11508&amp;col=7&amp;number=0.141&amp;sourceID=14","0.141")</f>
        <v>0.141</v>
      </c>
    </row>
    <row r="11509" spans="1:7">
      <c r="A11509" s="3"/>
      <c r="B11509" s="3"/>
      <c r="C11509" s="3"/>
      <c r="D11509" s="3"/>
      <c r="E11509" s="3">
        <v>6</v>
      </c>
      <c r="F11509" s="4" t="str">
        <f>HYPERLINK("http://141.218.60.56/~jnz1568/getInfo.php?workbook=10_05.xlsx&amp;sheet=U0&amp;row=11509&amp;col=6&amp;number=3.5&amp;sourceID=14","3.5")</f>
        <v>3.5</v>
      </c>
      <c r="G11509" s="4" t="str">
        <f>HYPERLINK("http://141.218.60.56/~jnz1568/getInfo.php?workbook=10_05.xlsx&amp;sheet=U0&amp;row=11509&amp;col=7&amp;number=0.14&amp;sourceID=14","0.14")</f>
        <v>0.14</v>
      </c>
    </row>
    <row r="11510" spans="1:7">
      <c r="A11510" s="3"/>
      <c r="B11510" s="3"/>
      <c r="C11510" s="3"/>
      <c r="D11510" s="3"/>
      <c r="E11510" s="3">
        <v>7</v>
      </c>
      <c r="F11510" s="4" t="str">
        <f>HYPERLINK("http://141.218.60.56/~jnz1568/getInfo.php?workbook=10_05.xlsx&amp;sheet=U0&amp;row=11510&amp;col=6&amp;number=3.6&amp;sourceID=14","3.6")</f>
        <v>3.6</v>
      </c>
      <c r="G11510" s="4" t="str">
        <f>HYPERLINK("http://141.218.60.56/~jnz1568/getInfo.php?workbook=10_05.xlsx&amp;sheet=U0&amp;row=11510&amp;col=7&amp;number=0.139&amp;sourceID=14","0.139")</f>
        <v>0.139</v>
      </c>
    </row>
    <row r="11511" spans="1:7">
      <c r="A11511" s="3"/>
      <c r="B11511" s="3"/>
      <c r="C11511" s="3"/>
      <c r="D11511" s="3"/>
      <c r="E11511" s="3">
        <v>8</v>
      </c>
      <c r="F11511" s="4" t="str">
        <f>HYPERLINK("http://141.218.60.56/~jnz1568/getInfo.php?workbook=10_05.xlsx&amp;sheet=U0&amp;row=11511&amp;col=6&amp;number=3.7&amp;sourceID=14","3.7")</f>
        <v>3.7</v>
      </c>
      <c r="G11511" s="4" t="str">
        <f>HYPERLINK("http://141.218.60.56/~jnz1568/getInfo.php?workbook=10_05.xlsx&amp;sheet=U0&amp;row=11511&amp;col=7&amp;number=0.138&amp;sourceID=14","0.138")</f>
        <v>0.138</v>
      </c>
    </row>
    <row r="11512" spans="1:7">
      <c r="A11512" s="3"/>
      <c r="B11512" s="3"/>
      <c r="C11512" s="3"/>
      <c r="D11512" s="3"/>
      <c r="E11512" s="3">
        <v>9</v>
      </c>
      <c r="F11512" s="4" t="str">
        <f>HYPERLINK("http://141.218.60.56/~jnz1568/getInfo.php?workbook=10_05.xlsx&amp;sheet=U0&amp;row=11512&amp;col=6&amp;number=3.8&amp;sourceID=14","3.8")</f>
        <v>3.8</v>
      </c>
      <c r="G11512" s="4" t="str">
        <f>HYPERLINK("http://141.218.60.56/~jnz1568/getInfo.php?workbook=10_05.xlsx&amp;sheet=U0&amp;row=11512&amp;col=7&amp;number=0.136&amp;sourceID=14","0.136")</f>
        <v>0.136</v>
      </c>
    </row>
    <row r="11513" spans="1:7">
      <c r="A11513" s="3"/>
      <c r="B11513" s="3"/>
      <c r="C11513" s="3"/>
      <c r="D11513" s="3"/>
      <c r="E11513" s="3">
        <v>10</v>
      </c>
      <c r="F11513" s="4" t="str">
        <f>HYPERLINK("http://141.218.60.56/~jnz1568/getInfo.php?workbook=10_05.xlsx&amp;sheet=U0&amp;row=11513&amp;col=6&amp;number=3.9&amp;sourceID=14","3.9")</f>
        <v>3.9</v>
      </c>
      <c r="G11513" s="4" t="str">
        <f>HYPERLINK("http://141.218.60.56/~jnz1568/getInfo.php?workbook=10_05.xlsx&amp;sheet=U0&amp;row=11513&amp;col=7&amp;number=0.135&amp;sourceID=14","0.135")</f>
        <v>0.135</v>
      </c>
    </row>
    <row r="11514" spans="1:7">
      <c r="A11514" s="3"/>
      <c r="B11514" s="3"/>
      <c r="C11514" s="3"/>
      <c r="D11514" s="3"/>
      <c r="E11514" s="3">
        <v>11</v>
      </c>
      <c r="F11514" s="4" t="str">
        <f>HYPERLINK("http://141.218.60.56/~jnz1568/getInfo.php?workbook=10_05.xlsx&amp;sheet=U0&amp;row=11514&amp;col=6&amp;number=4&amp;sourceID=14","4")</f>
        <v>4</v>
      </c>
      <c r="G11514" s="4" t="str">
        <f>HYPERLINK("http://141.218.60.56/~jnz1568/getInfo.php?workbook=10_05.xlsx&amp;sheet=U0&amp;row=11514&amp;col=7&amp;number=0.132&amp;sourceID=14","0.132")</f>
        <v>0.132</v>
      </c>
    </row>
    <row r="11515" spans="1:7">
      <c r="A11515" s="3"/>
      <c r="B11515" s="3"/>
      <c r="C11515" s="3"/>
      <c r="D11515" s="3"/>
      <c r="E11515" s="3">
        <v>12</v>
      </c>
      <c r="F11515" s="4" t="str">
        <f>HYPERLINK("http://141.218.60.56/~jnz1568/getInfo.php?workbook=10_05.xlsx&amp;sheet=U0&amp;row=11515&amp;col=6&amp;number=4.1&amp;sourceID=14","4.1")</f>
        <v>4.1</v>
      </c>
      <c r="G11515" s="4" t="str">
        <f>HYPERLINK("http://141.218.60.56/~jnz1568/getInfo.php?workbook=10_05.xlsx&amp;sheet=U0&amp;row=11515&amp;col=7&amp;number=0.13&amp;sourceID=14","0.13")</f>
        <v>0.13</v>
      </c>
    </row>
    <row r="11516" spans="1:7">
      <c r="A11516" s="3"/>
      <c r="B11516" s="3"/>
      <c r="C11516" s="3"/>
      <c r="D11516" s="3"/>
      <c r="E11516" s="3">
        <v>13</v>
      </c>
      <c r="F11516" s="4" t="str">
        <f>HYPERLINK("http://141.218.60.56/~jnz1568/getInfo.php?workbook=10_05.xlsx&amp;sheet=U0&amp;row=11516&amp;col=6&amp;number=4.2&amp;sourceID=14","4.2")</f>
        <v>4.2</v>
      </c>
      <c r="G11516" s="4" t="str">
        <f>HYPERLINK("http://141.218.60.56/~jnz1568/getInfo.php?workbook=10_05.xlsx&amp;sheet=U0&amp;row=11516&amp;col=7&amp;number=0.126&amp;sourceID=14","0.126")</f>
        <v>0.126</v>
      </c>
    </row>
    <row r="11517" spans="1:7">
      <c r="A11517" s="3"/>
      <c r="B11517" s="3"/>
      <c r="C11517" s="3"/>
      <c r="D11517" s="3"/>
      <c r="E11517" s="3">
        <v>14</v>
      </c>
      <c r="F11517" s="4" t="str">
        <f>HYPERLINK("http://141.218.60.56/~jnz1568/getInfo.php?workbook=10_05.xlsx&amp;sheet=U0&amp;row=11517&amp;col=6&amp;number=4.3&amp;sourceID=14","4.3")</f>
        <v>4.3</v>
      </c>
      <c r="G11517" s="4" t="str">
        <f>HYPERLINK("http://141.218.60.56/~jnz1568/getInfo.php?workbook=10_05.xlsx&amp;sheet=U0&amp;row=11517&amp;col=7&amp;number=0.121&amp;sourceID=14","0.121")</f>
        <v>0.121</v>
      </c>
    </row>
    <row r="11518" spans="1:7">
      <c r="A11518" s="3"/>
      <c r="B11518" s="3"/>
      <c r="C11518" s="3"/>
      <c r="D11518" s="3"/>
      <c r="E11518" s="3">
        <v>15</v>
      </c>
      <c r="F11518" s="4" t="str">
        <f>HYPERLINK("http://141.218.60.56/~jnz1568/getInfo.php?workbook=10_05.xlsx&amp;sheet=U0&amp;row=11518&amp;col=6&amp;number=4.4&amp;sourceID=14","4.4")</f>
        <v>4.4</v>
      </c>
      <c r="G11518" s="4" t="str">
        <f>HYPERLINK("http://141.218.60.56/~jnz1568/getInfo.php?workbook=10_05.xlsx&amp;sheet=U0&amp;row=11518&amp;col=7&amp;number=0.116&amp;sourceID=14","0.116")</f>
        <v>0.116</v>
      </c>
    </row>
    <row r="11519" spans="1:7">
      <c r="A11519" s="3"/>
      <c r="B11519" s="3"/>
      <c r="C11519" s="3"/>
      <c r="D11519" s="3"/>
      <c r="E11519" s="3">
        <v>16</v>
      </c>
      <c r="F11519" s="4" t="str">
        <f>HYPERLINK("http://141.218.60.56/~jnz1568/getInfo.php?workbook=10_05.xlsx&amp;sheet=U0&amp;row=11519&amp;col=6&amp;number=4.5&amp;sourceID=14","4.5")</f>
        <v>4.5</v>
      </c>
      <c r="G11519" s="4" t="str">
        <f>HYPERLINK("http://141.218.60.56/~jnz1568/getInfo.php?workbook=10_05.xlsx&amp;sheet=U0&amp;row=11519&amp;col=7&amp;number=0.109&amp;sourceID=14","0.109")</f>
        <v>0.109</v>
      </c>
    </row>
    <row r="11520" spans="1:7">
      <c r="A11520" s="3"/>
      <c r="B11520" s="3"/>
      <c r="C11520" s="3"/>
      <c r="D11520" s="3"/>
      <c r="E11520" s="3">
        <v>17</v>
      </c>
      <c r="F11520" s="4" t="str">
        <f>HYPERLINK("http://141.218.60.56/~jnz1568/getInfo.php?workbook=10_05.xlsx&amp;sheet=U0&amp;row=11520&amp;col=6&amp;number=4.6&amp;sourceID=14","4.6")</f>
        <v>4.6</v>
      </c>
      <c r="G11520" s="4" t="str">
        <f>HYPERLINK("http://141.218.60.56/~jnz1568/getInfo.php?workbook=10_05.xlsx&amp;sheet=U0&amp;row=11520&amp;col=7&amp;number=0.103&amp;sourceID=14","0.103")</f>
        <v>0.103</v>
      </c>
    </row>
    <row r="11521" spans="1:7">
      <c r="A11521" s="3"/>
      <c r="B11521" s="3"/>
      <c r="C11521" s="3"/>
      <c r="D11521" s="3"/>
      <c r="E11521" s="3">
        <v>18</v>
      </c>
      <c r="F11521" s="4" t="str">
        <f>HYPERLINK("http://141.218.60.56/~jnz1568/getInfo.php?workbook=10_05.xlsx&amp;sheet=U0&amp;row=11521&amp;col=6&amp;number=4.7&amp;sourceID=14","4.7")</f>
        <v>4.7</v>
      </c>
      <c r="G11521" s="4" t="str">
        <f>HYPERLINK("http://141.218.60.56/~jnz1568/getInfo.php?workbook=10_05.xlsx&amp;sheet=U0&amp;row=11521&amp;col=7&amp;number=0.0982&amp;sourceID=14","0.0982")</f>
        <v>0.0982</v>
      </c>
    </row>
    <row r="11522" spans="1:7">
      <c r="A11522" s="3"/>
      <c r="B11522" s="3"/>
      <c r="C11522" s="3"/>
      <c r="D11522" s="3"/>
      <c r="E11522" s="3">
        <v>19</v>
      </c>
      <c r="F11522" s="4" t="str">
        <f>HYPERLINK("http://141.218.60.56/~jnz1568/getInfo.php?workbook=10_05.xlsx&amp;sheet=U0&amp;row=11522&amp;col=6&amp;number=4.8&amp;sourceID=14","4.8")</f>
        <v>4.8</v>
      </c>
      <c r="G11522" s="4" t="str">
        <f>HYPERLINK("http://141.218.60.56/~jnz1568/getInfo.php?workbook=10_05.xlsx&amp;sheet=U0&amp;row=11522&amp;col=7&amp;number=0.0943&amp;sourceID=14","0.0943")</f>
        <v>0.0943</v>
      </c>
    </row>
    <row r="11523" spans="1:7">
      <c r="A11523" s="3"/>
      <c r="B11523" s="3"/>
      <c r="C11523" s="3"/>
      <c r="D11523" s="3"/>
      <c r="E11523" s="3">
        <v>20</v>
      </c>
      <c r="F11523" s="4" t="str">
        <f>HYPERLINK("http://141.218.60.56/~jnz1568/getInfo.php?workbook=10_05.xlsx&amp;sheet=U0&amp;row=11523&amp;col=6&amp;number=4.9&amp;sourceID=14","4.9")</f>
        <v>4.9</v>
      </c>
      <c r="G11523" s="4" t="str">
        <f>HYPERLINK("http://141.218.60.56/~jnz1568/getInfo.php?workbook=10_05.xlsx&amp;sheet=U0&amp;row=11523&amp;col=7&amp;number=0.0904&amp;sourceID=14","0.0904")</f>
        <v>0.0904</v>
      </c>
    </row>
    <row r="11524" spans="1:7">
      <c r="A11524" s="3">
        <v>10</v>
      </c>
      <c r="B11524" s="3">
        <v>5</v>
      </c>
      <c r="C11524" s="3">
        <v>4</v>
      </c>
      <c r="D11524" s="3">
        <v>47</v>
      </c>
      <c r="E11524" s="3">
        <v>1</v>
      </c>
      <c r="F11524" s="4" t="str">
        <f>HYPERLINK("http://141.218.60.56/~jnz1568/getInfo.php?workbook=10_05.xlsx&amp;sheet=U0&amp;row=11524&amp;col=6&amp;number=3&amp;sourceID=14","3")</f>
        <v>3</v>
      </c>
      <c r="G11524" s="4" t="str">
        <f>HYPERLINK("http://141.218.60.56/~jnz1568/getInfo.php?workbook=10_05.xlsx&amp;sheet=U0&amp;row=11524&amp;col=7&amp;number=0.107&amp;sourceID=14","0.107")</f>
        <v>0.107</v>
      </c>
    </row>
    <row r="11525" spans="1:7">
      <c r="A11525" s="3"/>
      <c r="B11525" s="3"/>
      <c r="C11525" s="3"/>
      <c r="D11525" s="3"/>
      <c r="E11525" s="3">
        <v>2</v>
      </c>
      <c r="F11525" s="4" t="str">
        <f>HYPERLINK("http://141.218.60.56/~jnz1568/getInfo.php?workbook=10_05.xlsx&amp;sheet=U0&amp;row=11525&amp;col=6&amp;number=3.1&amp;sourceID=14","3.1")</f>
        <v>3.1</v>
      </c>
      <c r="G11525" s="4" t="str">
        <f>HYPERLINK("http://141.218.60.56/~jnz1568/getInfo.php?workbook=10_05.xlsx&amp;sheet=U0&amp;row=11525&amp;col=7&amp;number=0.106&amp;sourceID=14","0.106")</f>
        <v>0.106</v>
      </c>
    </row>
    <row r="11526" spans="1:7">
      <c r="A11526" s="3"/>
      <c r="B11526" s="3"/>
      <c r="C11526" s="3"/>
      <c r="D11526" s="3"/>
      <c r="E11526" s="3">
        <v>3</v>
      </c>
      <c r="F11526" s="4" t="str">
        <f>HYPERLINK("http://141.218.60.56/~jnz1568/getInfo.php?workbook=10_05.xlsx&amp;sheet=U0&amp;row=11526&amp;col=6&amp;number=3.2&amp;sourceID=14","3.2")</f>
        <v>3.2</v>
      </c>
      <c r="G11526" s="4" t="str">
        <f>HYPERLINK("http://141.218.60.56/~jnz1568/getInfo.php?workbook=10_05.xlsx&amp;sheet=U0&amp;row=11526&amp;col=7&amp;number=0.106&amp;sourceID=14","0.106")</f>
        <v>0.106</v>
      </c>
    </row>
    <row r="11527" spans="1:7">
      <c r="A11527" s="3"/>
      <c r="B11527" s="3"/>
      <c r="C11527" s="3"/>
      <c r="D11527" s="3"/>
      <c r="E11527" s="3">
        <v>4</v>
      </c>
      <c r="F11527" s="4" t="str">
        <f>HYPERLINK("http://141.218.60.56/~jnz1568/getInfo.php?workbook=10_05.xlsx&amp;sheet=U0&amp;row=11527&amp;col=6&amp;number=3.3&amp;sourceID=14","3.3")</f>
        <v>3.3</v>
      </c>
      <c r="G11527" s="4" t="str">
        <f>HYPERLINK("http://141.218.60.56/~jnz1568/getInfo.php?workbook=10_05.xlsx&amp;sheet=U0&amp;row=11527&amp;col=7&amp;number=0.105&amp;sourceID=14","0.105")</f>
        <v>0.105</v>
      </c>
    </row>
    <row r="11528" spans="1:7">
      <c r="A11528" s="3"/>
      <c r="B11528" s="3"/>
      <c r="C11528" s="3"/>
      <c r="D11528" s="3"/>
      <c r="E11528" s="3">
        <v>5</v>
      </c>
      <c r="F11528" s="4" t="str">
        <f>HYPERLINK("http://141.218.60.56/~jnz1568/getInfo.php?workbook=10_05.xlsx&amp;sheet=U0&amp;row=11528&amp;col=6&amp;number=3.4&amp;sourceID=14","3.4")</f>
        <v>3.4</v>
      </c>
      <c r="G11528" s="4" t="str">
        <f>HYPERLINK("http://141.218.60.56/~jnz1568/getInfo.php?workbook=10_05.xlsx&amp;sheet=U0&amp;row=11528&amp;col=7&amp;number=0.104&amp;sourceID=14","0.104")</f>
        <v>0.104</v>
      </c>
    </row>
    <row r="11529" spans="1:7">
      <c r="A11529" s="3"/>
      <c r="B11529" s="3"/>
      <c r="C11529" s="3"/>
      <c r="D11529" s="3"/>
      <c r="E11529" s="3">
        <v>6</v>
      </c>
      <c r="F11529" s="4" t="str">
        <f>HYPERLINK("http://141.218.60.56/~jnz1568/getInfo.php?workbook=10_05.xlsx&amp;sheet=U0&amp;row=11529&amp;col=6&amp;number=3.5&amp;sourceID=14","3.5")</f>
        <v>3.5</v>
      </c>
      <c r="G11529" s="4" t="str">
        <f>HYPERLINK("http://141.218.60.56/~jnz1568/getInfo.php?workbook=10_05.xlsx&amp;sheet=U0&amp;row=11529&amp;col=7&amp;number=0.103&amp;sourceID=14","0.103")</f>
        <v>0.103</v>
      </c>
    </row>
    <row r="11530" spans="1:7">
      <c r="A11530" s="3"/>
      <c r="B11530" s="3"/>
      <c r="C11530" s="3"/>
      <c r="D11530" s="3"/>
      <c r="E11530" s="3">
        <v>7</v>
      </c>
      <c r="F11530" s="4" t="str">
        <f>HYPERLINK("http://141.218.60.56/~jnz1568/getInfo.php?workbook=10_05.xlsx&amp;sheet=U0&amp;row=11530&amp;col=6&amp;number=3.6&amp;sourceID=14","3.6")</f>
        <v>3.6</v>
      </c>
      <c r="G11530" s="4" t="str">
        <f>HYPERLINK("http://141.218.60.56/~jnz1568/getInfo.php?workbook=10_05.xlsx&amp;sheet=U0&amp;row=11530&amp;col=7&amp;number=0.101&amp;sourceID=14","0.101")</f>
        <v>0.101</v>
      </c>
    </row>
    <row r="11531" spans="1:7">
      <c r="A11531" s="3"/>
      <c r="B11531" s="3"/>
      <c r="C11531" s="3"/>
      <c r="D11531" s="3"/>
      <c r="E11531" s="3">
        <v>8</v>
      </c>
      <c r="F11531" s="4" t="str">
        <f>HYPERLINK("http://141.218.60.56/~jnz1568/getInfo.php?workbook=10_05.xlsx&amp;sheet=U0&amp;row=11531&amp;col=6&amp;number=3.7&amp;sourceID=14","3.7")</f>
        <v>3.7</v>
      </c>
      <c r="G11531" s="4" t="str">
        <f>HYPERLINK("http://141.218.60.56/~jnz1568/getInfo.php?workbook=10_05.xlsx&amp;sheet=U0&amp;row=11531&amp;col=7&amp;number=0.0998&amp;sourceID=14","0.0998")</f>
        <v>0.0998</v>
      </c>
    </row>
    <row r="11532" spans="1:7">
      <c r="A11532" s="3"/>
      <c r="B11532" s="3"/>
      <c r="C11532" s="3"/>
      <c r="D11532" s="3"/>
      <c r="E11532" s="3">
        <v>9</v>
      </c>
      <c r="F11532" s="4" t="str">
        <f>HYPERLINK("http://141.218.60.56/~jnz1568/getInfo.php?workbook=10_05.xlsx&amp;sheet=U0&amp;row=11532&amp;col=6&amp;number=3.8&amp;sourceID=14","3.8")</f>
        <v>3.8</v>
      </c>
      <c r="G11532" s="4" t="str">
        <f>HYPERLINK("http://141.218.60.56/~jnz1568/getInfo.php?workbook=10_05.xlsx&amp;sheet=U0&amp;row=11532&amp;col=7&amp;number=0.0978&amp;sourceID=14","0.0978")</f>
        <v>0.0978</v>
      </c>
    </row>
    <row r="11533" spans="1:7">
      <c r="A11533" s="3"/>
      <c r="B11533" s="3"/>
      <c r="C11533" s="3"/>
      <c r="D11533" s="3"/>
      <c r="E11533" s="3">
        <v>10</v>
      </c>
      <c r="F11533" s="4" t="str">
        <f>HYPERLINK("http://141.218.60.56/~jnz1568/getInfo.php?workbook=10_05.xlsx&amp;sheet=U0&amp;row=11533&amp;col=6&amp;number=3.9&amp;sourceID=14","3.9")</f>
        <v>3.9</v>
      </c>
      <c r="G11533" s="4" t="str">
        <f>HYPERLINK("http://141.218.60.56/~jnz1568/getInfo.php?workbook=10_05.xlsx&amp;sheet=U0&amp;row=11533&amp;col=7&amp;number=0.0953&amp;sourceID=14","0.0953")</f>
        <v>0.0953</v>
      </c>
    </row>
    <row r="11534" spans="1:7">
      <c r="A11534" s="3"/>
      <c r="B11534" s="3"/>
      <c r="C11534" s="3"/>
      <c r="D11534" s="3"/>
      <c r="E11534" s="3">
        <v>11</v>
      </c>
      <c r="F11534" s="4" t="str">
        <f>HYPERLINK("http://141.218.60.56/~jnz1568/getInfo.php?workbook=10_05.xlsx&amp;sheet=U0&amp;row=11534&amp;col=6&amp;number=4&amp;sourceID=14","4")</f>
        <v>4</v>
      </c>
      <c r="G11534" s="4" t="str">
        <f>HYPERLINK("http://141.218.60.56/~jnz1568/getInfo.php?workbook=10_05.xlsx&amp;sheet=U0&amp;row=11534&amp;col=7&amp;number=0.0924&amp;sourceID=14","0.0924")</f>
        <v>0.0924</v>
      </c>
    </row>
    <row r="11535" spans="1:7">
      <c r="A11535" s="3"/>
      <c r="B11535" s="3"/>
      <c r="C11535" s="3"/>
      <c r="D11535" s="3"/>
      <c r="E11535" s="3">
        <v>12</v>
      </c>
      <c r="F11535" s="4" t="str">
        <f>HYPERLINK("http://141.218.60.56/~jnz1568/getInfo.php?workbook=10_05.xlsx&amp;sheet=U0&amp;row=11535&amp;col=6&amp;number=4.1&amp;sourceID=14","4.1")</f>
        <v>4.1</v>
      </c>
      <c r="G11535" s="4" t="str">
        <f>HYPERLINK("http://141.218.60.56/~jnz1568/getInfo.php?workbook=10_05.xlsx&amp;sheet=U0&amp;row=11535&amp;col=7&amp;number=0.089&amp;sourceID=14","0.089")</f>
        <v>0.089</v>
      </c>
    </row>
    <row r="11536" spans="1:7">
      <c r="A11536" s="3"/>
      <c r="B11536" s="3"/>
      <c r="C11536" s="3"/>
      <c r="D11536" s="3"/>
      <c r="E11536" s="3">
        <v>13</v>
      </c>
      <c r="F11536" s="4" t="str">
        <f>HYPERLINK("http://141.218.60.56/~jnz1568/getInfo.php?workbook=10_05.xlsx&amp;sheet=U0&amp;row=11536&amp;col=6&amp;number=4.2&amp;sourceID=14","4.2")</f>
        <v>4.2</v>
      </c>
      <c r="G11536" s="4" t="str">
        <f>HYPERLINK("http://141.218.60.56/~jnz1568/getInfo.php?workbook=10_05.xlsx&amp;sheet=U0&amp;row=11536&amp;col=7&amp;number=0.0851&amp;sourceID=14","0.0851")</f>
        <v>0.0851</v>
      </c>
    </row>
    <row r="11537" spans="1:7">
      <c r="A11537" s="3"/>
      <c r="B11537" s="3"/>
      <c r="C11537" s="3"/>
      <c r="D11537" s="3"/>
      <c r="E11537" s="3">
        <v>14</v>
      </c>
      <c r="F11537" s="4" t="str">
        <f>HYPERLINK("http://141.218.60.56/~jnz1568/getInfo.php?workbook=10_05.xlsx&amp;sheet=U0&amp;row=11537&amp;col=6&amp;number=4.3&amp;sourceID=14","4.3")</f>
        <v>4.3</v>
      </c>
      <c r="G11537" s="4" t="str">
        <f>HYPERLINK("http://141.218.60.56/~jnz1568/getInfo.php?workbook=10_05.xlsx&amp;sheet=U0&amp;row=11537&amp;col=7&amp;number=0.081&amp;sourceID=14","0.081")</f>
        <v>0.081</v>
      </c>
    </row>
    <row r="11538" spans="1:7">
      <c r="A11538" s="3"/>
      <c r="B11538" s="3"/>
      <c r="C11538" s="3"/>
      <c r="D11538" s="3"/>
      <c r="E11538" s="3">
        <v>15</v>
      </c>
      <c r="F11538" s="4" t="str">
        <f>HYPERLINK("http://141.218.60.56/~jnz1568/getInfo.php?workbook=10_05.xlsx&amp;sheet=U0&amp;row=11538&amp;col=6&amp;number=4.4&amp;sourceID=14","4.4")</f>
        <v>4.4</v>
      </c>
      <c r="G11538" s="4" t="str">
        <f>HYPERLINK("http://141.218.60.56/~jnz1568/getInfo.php?workbook=10_05.xlsx&amp;sheet=U0&amp;row=11538&amp;col=7&amp;number=0.0768&amp;sourceID=14","0.0768")</f>
        <v>0.0768</v>
      </c>
    </row>
    <row r="11539" spans="1:7">
      <c r="A11539" s="3"/>
      <c r="B11539" s="3"/>
      <c r="C11539" s="3"/>
      <c r="D11539" s="3"/>
      <c r="E11539" s="3">
        <v>16</v>
      </c>
      <c r="F11539" s="4" t="str">
        <f>HYPERLINK("http://141.218.60.56/~jnz1568/getInfo.php?workbook=10_05.xlsx&amp;sheet=U0&amp;row=11539&amp;col=6&amp;number=4.5&amp;sourceID=14","4.5")</f>
        <v>4.5</v>
      </c>
      <c r="G11539" s="4" t="str">
        <f>HYPERLINK("http://141.218.60.56/~jnz1568/getInfo.php?workbook=10_05.xlsx&amp;sheet=U0&amp;row=11539&amp;col=7&amp;number=0.0727&amp;sourceID=14","0.0727")</f>
        <v>0.0727</v>
      </c>
    </row>
    <row r="11540" spans="1:7">
      <c r="A11540" s="3"/>
      <c r="B11540" s="3"/>
      <c r="C11540" s="3"/>
      <c r="D11540" s="3"/>
      <c r="E11540" s="3">
        <v>17</v>
      </c>
      <c r="F11540" s="4" t="str">
        <f>HYPERLINK("http://141.218.60.56/~jnz1568/getInfo.php?workbook=10_05.xlsx&amp;sheet=U0&amp;row=11540&amp;col=6&amp;number=4.6&amp;sourceID=14","4.6")</f>
        <v>4.6</v>
      </c>
      <c r="G11540" s="4" t="str">
        <f>HYPERLINK("http://141.218.60.56/~jnz1568/getInfo.php?workbook=10_05.xlsx&amp;sheet=U0&amp;row=11540&amp;col=7&amp;number=0.069&amp;sourceID=14","0.069")</f>
        <v>0.069</v>
      </c>
    </row>
    <row r="11541" spans="1:7">
      <c r="A11541" s="3"/>
      <c r="B11541" s="3"/>
      <c r="C11541" s="3"/>
      <c r="D11541" s="3"/>
      <c r="E11541" s="3">
        <v>18</v>
      </c>
      <c r="F11541" s="4" t="str">
        <f>HYPERLINK("http://141.218.60.56/~jnz1568/getInfo.php?workbook=10_05.xlsx&amp;sheet=U0&amp;row=11541&amp;col=6&amp;number=4.7&amp;sourceID=14","4.7")</f>
        <v>4.7</v>
      </c>
      <c r="G11541" s="4" t="str">
        <f>HYPERLINK("http://141.218.60.56/~jnz1568/getInfo.php?workbook=10_05.xlsx&amp;sheet=U0&amp;row=11541&amp;col=7&amp;number=0.0659&amp;sourceID=14","0.0659")</f>
        <v>0.0659</v>
      </c>
    </row>
    <row r="11542" spans="1:7">
      <c r="A11542" s="3"/>
      <c r="B11542" s="3"/>
      <c r="C11542" s="3"/>
      <c r="D11542" s="3"/>
      <c r="E11542" s="3">
        <v>19</v>
      </c>
      <c r="F11542" s="4" t="str">
        <f>HYPERLINK("http://141.218.60.56/~jnz1568/getInfo.php?workbook=10_05.xlsx&amp;sheet=U0&amp;row=11542&amp;col=6&amp;number=4.8&amp;sourceID=14","4.8")</f>
        <v>4.8</v>
      </c>
      <c r="G11542" s="4" t="str">
        <f>HYPERLINK("http://141.218.60.56/~jnz1568/getInfo.php?workbook=10_05.xlsx&amp;sheet=U0&amp;row=11542&amp;col=7&amp;number=0.0632&amp;sourceID=14","0.0632")</f>
        <v>0.0632</v>
      </c>
    </row>
    <row r="11543" spans="1:7">
      <c r="A11543" s="3"/>
      <c r="B11543" s="3"/>
      <c r="C11543" s="3"/>
      <c r="D11543" s="3"/>
      <c r="E11543" s="3">
        <v>20</v>
      </c>
      <c r="F11543" s="4" t="str">
        <f>HYPERLINK("http://141.218.60.56/~jnz1568/getInfo.php?workbook=10_05.xlsx&amp;sheet=U0&amp;row=11543&amp;col=6&amp;number=4.9&amp;sourceID=14","4.9")</f>
        <v>4.9</v>
      </c>
      <c r="G11543" s="4" t="str">
        <f>HYPERLINK("http://141.218.60.56/~jnz1568/getInfo.php?workbook=10_05.xlsx&amp;sheet=U0&amp;row=11543&amp;col=7&amp;number=0.0607&amp;sourceID=14","0.0607")</f>
        <v>0.0607</v>
      </c>
    </row>
    <row r="11544" spans="1:7">
      <c r="A11544" s="3">
        <v>10</v>
      </c>
      <c r="B11544" s="3">
        <v>5</v>
      </c>
      <c r="C11544" s="3">
        <v>4</v>
      </c>
      <c r="D11544" s="3">
        <v>48</v>
      </c>
      <c r="E11544" s="3">
        <v>1</v>
      </c>
      <c r="F11544" s="4" t="str">
        <f>HYPERLINK("http://141.218.60.56/~jnz1568/getInfo.php?workbook=10_05.xlsx&amp;sheet=U0&amp;row=11544&amp;col=6&amp;number=3&amp;sourceID=14","3")</f>
        <v>3</v>
      </c>
      <c r="G11544" s="4" t="str">
        <f>HYPERLINK("http://141.218.60.56/~jnz1568/getInfo.php?workbook=10_05.xlsx&amp;sheet=U0&amp;row=11544&amp;col=7&amp;number=0.131&amp;sourceID=14","0.131")</f>
        <v>0.131</v>
      </c>
    </row>
    <row r="11545" spans="1:7">
      <c r="A11545" s="3"/>
      <c r="B11545" s="3"/>
      <c r="C11545" s="3"/>
      <c r="D11545" s="3"/>
      <c r="E11545" s="3">
        <v>2</v>
      </c>
      <c r="F11545" s="4" t="str">
        <f>HYPERLINK("http://141.218.60.56/~jnz1568/getInfo.php?workbook=10_05.xlsx&amp;sheet=U0&amp;row=11545&amp;col=6&amp;number=3.1&amp;sourceID=14","3.1")</f>
        <v>3.1</v>
      </c>
      <c r="G11545" s="4" t="str">
        <f>HYPERLINK("http://141.218.60.56/~jnz1568/getInfo.php?workbook=10_05.xlsx&amp;sheet=U0&amp;row=11545&amp;col=7&amp;number=0.13&amp;sourceID=14","0.13")</f>
        <v>0.13</v>
      </c>
    </row>
    <row r="11546" spans="1:7">
      <c r="A11546" s="3"/>
      <c r="B11546" s="3"/>
      <c r="C11546" s="3"/>
      <c r="D11546" s="3"/>
      <c r="E11546" s="3">
        <v>3</v>
      </c>
      <c r="F11546" s="4" t="str">
        <f>HYPERLINK("http://141.218.60.56/~jnz1568/getInfo.php?workbook=10_05.xlsx&amp;sheet=U0&amp;row=11546&amp;col=6&amp;number=3.2&amp;sourceID=14","3.2")</f>
        <v>3.2</v>
      </c>
      <c r="G11546" s="4" t="str">
        <f>HYPERLINK("http://141.218.60.56/~jnz1568/getInfo.php?workbook=10_05.xlsx&amp;sheet=U0&amp;row=11546&amp;col=7&amp;number=0.13&amp;sourceID=14","0.13")</f>
        <v>0.13</v>
      </c>
    </row>
    <row r="11547" spans="1:7">
      <c r="A11547" s="3"/>
      <c r="B11547" s="3"/>
      <c r="C11547" s="3"/>
      <c r="D11547" s="3"/>
      <c r="E11547" s="3">
        <v>4</v>
      </c>
      <c r="F11547" s="4" t="str">
        <f>HYPERLINK("http://141.218.60.56/~jnz1568/getInfo.php?workbook=10_05.xlsx&amp;sheet=U0&amp;row=11547&amp;col=6&amp;number=3.3&amp;sourceID=14","3.3")</f>
        <v>3.3</v>
      </c>
      <c r="G11547" s="4" t="str">
        <f>HYPERLINK("http://141.218.60.56/~jnz1568/getInfo.php?workbook=10_05.xlsx&amp;sheet=U0&amp;row=11547&amp;col=7&amp;number=0.129&amp;sourceID=14","0.129")</f>
        <v>0.129</v>
      </c>
    </row>
    <row r="11548" spans="1:7">
      <c r="A11548" s="3"/>
      <c r="B11548" s="3"/>
      <c r="C11548" s="3"/>
      <c r="D11548" s="3"/>
      <c r="E11548" s="3">
        <v>5</v>
      </c>
      <c r="F11548" s="4" t="str">
        <f>HYPERLINK("http://141.218.60.56/~jnz1568/getInfo.php?workbook=10_05.xlsx&amp;sheet=U0&amp;row=11548&amp;col=6&amp;number=3.4&amp;sourceID=14","3.4")</f>
        <v>3.4</v>
      </c>
      <c r="G11548" s="4" t="str">
        <f>HYPERLINK("http://141.218.60.56/~jnz1568/getInfo.php?workbook=10_05.xlsx&amp;sheet=U0&amp;row=11548&amp;col=7&amp;number=0.128&amp;sourceID=14","0.128")</f>
        <v>0.128</v>
      </c>
    </row>
    <row r="11549" spans="1:7">
      <c r="A11549" s="3"/>
      <c r="B11549" s="3"/>
      <c r="C11549" s="3"/>
      <c r="D11549" s="3"/>
      <c r="E11549" s="3">
        <v>6</v>
      </c>
      <c r="F11549" s="4" t="str">
        <f>HYPERLINK("http://141.218.60.56/~jnz1568/getInfo.php?workbook=10_05.xlsx&amp;sheet=U0&amp;row=11549&amp;col=6&amp;number=3.5&amp;sourceID=14","3.5")</f>
        <v>3.5</v>
      </c>
      <c r="G11549" s="4" t="str">
        <f>HYPERLINK("http://141.218.60.56/~jnz1568/getInfo.php?workbook=10_05.xlsx&amp;sheet=U0&amp;row=11549&amp;col=7&amp;number=0.126&amp;sourceID=14","0.126")</f>
        <v>0.126</v>
      </c>
    </row>
    <row r="11550" spans="1:7">
      <c r="A11550" s="3"/>
      <c r="B11550" s="3"/>
      <c r="C11550" s="3"/>
      <c r="D11550" s="3"/>
      <c r="E11550" s="3">
        <v>7</v>
      </c>
      <c r="F11550" s="4" t="str">
        <f>HYPERLINK("http://141.218.60.56/~jnz1568/getInfo.php?workbook=10_05.xlsx&amp;sheet=U0&amp;row=11550&amp;col=6&amp;number=3.6&amp;sourceID=14","3.6")</f>
        <v>3.6</v>
      </c>
      <c r="G11550" s="4" t="str">
        <f>HYPERLINK("http://141.218.60.56/~jnz1568/getInfo.php?workbook=10_05.xlsx&amp;sheet=U0&amp;row=11550&amp;col=7&amp;number=0.125&amp;sourceID=14","0.125")</f>
        <v>0.125</v>
      </c>
    </row>
    <row r="11551" spans="1:7">
      <c r="A11551" s="3"/>
      <c r="B11551" s="3"/>
      <c r="C11551" s="3"/>
      <c r="D11551" s="3"/>
      <c r="E11551" s="3">
        <v>8</v>
      </c>
      <c r="F11551" s="4" t="str">
        <f>HYPERLINK("http://141.218.60.56/~jnz1568/getInfo.php?workbook=10_05.xlsx&amp;sheet=U0&amp;row=11551&amp;col=6&amp;number=3.7&amp;sourceID=14","3.7")</f>
        <v>3.7</v>
      </c>
      <c r="G11551" s="4" t="str">
        <f>HYPERLINK("http://141.218.60.56/~jnz1568/getInfo.php?workbook=10_05.xlsx&amp;sheet=U0&amp;row=11551&amp;col=7&amp;number=0.123&amp;sourceID=14","0.123")</f>
        <v>0.123</v>
      </c>
    </row>
    <row r="11552" spans="1:7">
      <c r="A11552" s="3"/>
      <c r="B11552" s="3"/>
      <c r="C11552" s="3"/>
      <c r="D11552" s="3"/>
      <c r="E11552" s="3">
        <v>9</v>
      </c>
      <c r="F11552" s="4" t="str">
        <f>HYPERLINK("http://141.218.60.56/~jnz1568/getInfo.php?workbook=10_05.xlsx&amp;sheet=U0&amp;row=11552&amp;col=6&amp;number=3.8&amp;sourceID=14","3.8")</f>
        <v>3.8</v>
      </c>
      <c r="G11552" s="4" t="str">
        <f>HYPERLINK("http://141.218.60.56/~jnz1568/getInfo.php?workbook=10_05.xlsx&amp;sheet=U0&amp;row=11552&amp;col=7&amp;number=0.121&amp;sourceID=14","0.121")</f>
        <v>0.121</v>
      </c>
    </row>
    <row r="11553" spans="1:7">
      <c r="A11553" s="3"/>
      <c r="B11553" s="3"/>
      <c r="C11553" s="3"/>
      <c r="D11553" s="3"/>
      <c r="E11553" s="3">
        <v>10</v>
      </c>
      <c r="F11553" s="4" t="str">
        <f>HYPERLINK("http://141.218.60.56/~jnz1568/getInfo.php?workbook=10_05.xlsx&amp;sheet=U0&amp;row=11553&amp;col=6&amp;number=3.9&amp;sourceID=14","3.9")</f>
        <v>3.9</v>
      </c>
      <c r="G11553" s="4" t="str">
        <f>HYPERLINK("http://141.218.60.56/~jnz1568/getInfo.php?workbook=10_05.xlsx&amp;sheet=U0&amp;row=11553&amp;col=7&amp;number=0.118&amp;sourceID=14","0.118")</f>
        <v>0.118</v>
      </c>
    </row>
    <row r="11554" spans="1:7">
      <c r="A11554" s="3"/>
      <c r="B11554" s="3"/>
      <c r="C11554" s="3"/>
      <c r="D11554" s="3"/>
      <c r="E11554" s="3">
        <v>11</v>
      </c>
      <c r="F11554" s="4" t="str">
        <f>HYPERLINK("http://141.218.60.56/~jnz1568/getInfo.php?workbook=10_05.xlsx&amp;sheet=U0&amp;row=11554&amp;col=6&amp;number=4&amp;sourceID=14","4")</f>
        <v>4</v>
      </c>
      <c r="G11554" s="4" t="str">
        <f>HYPERLINK("http://141.218.60.56/~jnz1568/getInfo.php?workbook=10_05.xlsx&amp;sheet=U0&amp;row=11554&amp;col=7&amp;number=0.114&amp;sourceID=14","0.114")</f>
        <v>0.114</v>
      </c>
    </row>
    <row r="11555" spans="1:7">
      <c r="A11555" s="3"/>
      <c r="B11555" s="3"/>
      <c r="C11555" s="3"/>
      <c r="D11555" s="3"/>
      <c r="E11555" s="3">
        <v>12</v>
      </c>
      <c r="F11555" s="4" t="str">
        <f>HYPERLINK("http://141.218.60.56/~jnz1568/getInfo.php?workbook=10_05.xlsx&amp;sheet=U0&amp;row=11555&amp;col=6&amp;number=4.1&amp;sourceID=14","4.1")</f>
        <v>4.1</v>
      </c>
      <c r="G11555" s="4" t="str">
        <f>HYPERLINK("http://141.218.60.56/~jnz1568/getInfo.php?workbook=10_05.xlsx&amp;sheet=U0&amp;row=11555&amp;col=7&amp;number=0.11&amp;sourceID=14","0.11")</f>
        <v>0.11</v>
      </c>
    </row>
    <row r="11556" spans="1:7">
      <c r="A11556" s="3"/>
      <c r="B11556" s="3"/>
      <c r="C11556" s="3"/>
      <c r="D11556" s="3"/>
      <c r="E11556" s="3">
        <v>13</v>
      </c>
      <c r="F11556" s="4" t="str">
        <f>HYPERLINK("http://141.218.60.56/~jnz1568/getInfo.php?workbook=10_05.xlsx&amp;sheet=U0&amp;row=11556&amp;col=6&amp;number=4.2&amp;sourceID=14","4.2")</f>
        <v>4.2</v>
      </c>
      <c r="G11556" s="4" t="str">
        <f>HYPERLINK("http://141.218.60.56/~jnz1568/getInfo.php?workbook=10_05.xlsx&amp;sheet=U0&amp;row=11556&amp;col=7&amp;number=0.106&amp;sourceID=14","0.106")</f>
        <v>0.106</v>
      </c>
    </row>
    <row r="11557" spans="1:7">
      <c r="A11557" s="3"/>
      <c r="B11557" s="3"/>
      <c r="C11557" s="3"/>
      <c r="D11557" s="3"/>
      <c r="E11557" s="3">
        <v>14</v>
      </c>
      <c r="F11557" s="4" t="str">
        <f>HYPERLINK("http://141.218.60.56/~jnz1568/getInfo.php?workbook=10_05.xlsx&amp;sheet=U0&amp;row=11557&amp;col=6&amp;number=4.3&amp;sourceID=14","4.3")</f>
        <v>4.3</v>
      </c>
      <c r="G11557" s="4" t="str">
        <f>HYPERLINK("http://141.218.60.56/~jnz1568/getInfo.php?workbook=10_05.xlsx&amp;sheet=U0&amp;row=11557&amp;col=7&amp;number=0.101&amp;sourceID=14","0.101")</f>
        <v>0.101</v>
      </c>
    </row>
    <row r="11558" spans="1:7">
      <c r="A11558" s="3"/>
      <c r="B11558" s="3"/>
      <c r="C11558" s="3"/>
      <c r="D11558" s="3"/>
      <c r="E11558" s="3">
        <v>15</v>
      </c>
      <c r="F11558" s="4" t="str">
        <f>HYPERLINK("http://141.218.60.56/~jnz1568/getInfo.php?workbook=10_05.xlsx&amp;sheet=U0&amp;row=11558&amp;col=6&amp;number=4.4&amp;sourceID=14","4.4")</f>
        <v>4.4</v>
      </c>
      <c r="G11558" s="4" t="str">
        <f>HYPERLINK("http://141.218.60.56/~jnz1568/getInfo.php?workbook=10_05.xlsx&amp;sheet=U0&amp;row=11558&amp;col=7&amp;number=0.0954&amp;sourceID=14","0.0954")</f>
        <v>0.0954</v>
      </c>
    </row>
    <row r="11559" spans="1:7">
      <c r="A11559" s="3"/>
      <c r="B11559" s="3"/>
      <c r="C11559" s="3"/>
      <c r="D11559" s="3"/>
      <c r="E11559" s="3">
        <v>16</v>
      </c>
      <c r="F11559" s="4" t="str">
        <f>HYPERLINK("http://141.218.60.56/~jnz1568/getInfo.php?workbook=10_05.xlsx&amp;sheet=U0&amp;row=11559&amp;col=6&amp;number=4.5&amp;sourceID=14","4.5")</f>
        <v>4.5</v>
      </c>
      <c r="G11559" s="4" t="str">
        <f>HYPERLINK("http://141.218.60.56/~jnz1568/getInfo.php?workbook=10_05.xlsx&amp;sheet=U0&amp;row=11559&amp;col=7&amp;number=0.09&amp;sourceID=14","0.09")</f>
        <v>0.09</v>
      </c>
    </row>
    <row r="11560" spans="1:7">
      <c r="A11560" s="3"/>
      <c r="B11560" s="3"/>
      <c r="C11560" s="3"/>
      <c r="D11560" s="3"/>
      <c r="E11560" s="3">
        <v>17</v>
      </c>
      <c r="F11560" s="4" t="str">
        <f>HYPERLINK("http://141.218.60.56/~jnz1568/getInfo.php?workbook=10_05.xlsx&amp;sheet=U0&amp;row=11560&amp;col=6&amp;number=4.6&amp;sourceID=14","4.6")</f>
        <v>4.6</v>
      </c>
      <c r="G11560" s="4" t="str">
        <f>HYPERLINK("http://141.218.60.56/~jnz1568/getInfo.php?workbook=10_05.xlsx&amp;sheet=U0&amp;row=11560&amp;col=7&amp;number=0.0851&amp;sourceID=14","0.0851")</f>
        <v>0.0851</v>
      </c>
    </row>
    <row r="11561" spans="1:7">
      <c r="A11561" s="3"/>
      <c r="B11561" s="3"/>
      <c r="C11561" s="3"/>
      <c r="D11561" s="3"/>
      <c r="E11561" s="3">
        <v>18</v>
      </c>
      <c r="F11561" s="4" t="str">
        <f>HYPERLINK("http://141.218.60.56/~jnz1568/getInfo.php?workbook=10_05.xlsx&amp;sheet=U0&amp;row=11561&amp;col=6&amp;number=4.7&amp;sourceID=14","4.7")</f>
        <v>4.7</v>
      </c>
      <c r="G11561" s="4" t="str">
        <f>HYPERLINK("http://141.218.60.56/~jnz1568/getInfo.php?workbook=10_05.xlsx&amp;sheet=U0&amp;row=11561&amp;col=7&amp;number=0.0808&amp;sourceID=14","0.0808")</f>
        <v>0.0808</v>
      </c>
    </row>
    <row r="11562" spans="1:7">
      <c r="A11562" s="3"/>
      <c r="B11562" s="3"/>
      <c r="C11562" s="3"/>
      <c r="D11562" s="3"/>
      <c r="E11562" s="3">
        <v>19</v>
      </c>
      <c r="F11562" s="4" t="str">
        <f>HYPERLINK("http://141.218.60.56/~jnz1568/getInfo.php?workbook=10_05.xlsx&amp;sheet=U0&amp;row=11562&amp;col=6&amp;number=4.8&amp;sourceID=14","4.8")</f>
        <v>4.8</v>
      </c>
      <c r="G11562" s="4" t="str">
        <f>HYPERLINK("http://141.218.60.56/~jnz1568/getInfo.php?workbook=10_05.xlsx&amp;sheet=U0&amp;row=11562&amp;col=7&amp;number=0.0773&amp;sourceID=14","0.0773")</f>
        <v>0.0773</v>
      </c>
    </row>
    <row r="11563" spans="1:7">
      <c r="A11563" s="3"/>
      <c r="B11563" s="3"/>
      <c r="C11563" s="3"/>
      <c r="D11563" s="3"/>
      <c r="E11563" s="3">
        <v>20</v>
      </c>
      <c r="F11563" s="4" t="str">
        <f>HYPERLINK("http://141.218.60.56/~jnz1568/getInfo.php?workbook=10_05.xlsx&amp;sheet=U0&amp;row=11563&amp;col=6&amp;number=4.9&amp;sourceID=14","4.9")</f>
        <v>4.9</v>
      </c>
      <c r="G11563" s="4" t="str">
        <f>HYPERLINK("http://141.218.60.56/~jnz1568/getInfo.php?workbook=10_05.xlsx&amp;sheet=U0&amp;row=11563&amp;col=7&amp;number=0.0739&amp;sourceID=14","0.0739")</f>
        <v>0.0739</v>
      </c>
    </row>
    <row r="11564" spans="1:7">
      <c r="A11564" s="3">
        <v>10</v>
      </c>
      <c r="B11564" s="3">
        <v>5</v>
      </c>
      <c r="C11564" s="3">
        <v>4</v>
      </c>
      <c r="D11564" s="3">
        <v>49</v>
      </c>
      <c r="E11564" s="3">
        <v>1</v>
      </c>
      <c r="F11564" s="4" t="str">
        <f>HYPERLINK("http://141.218.60.56/~jnz1568/getInfo.php?workbook=10_05.xlsx&amp;sheet=U0&amp;row=11564&amp;col=6&amp;number=3&amp;sourceID=14","3")</f>
        <v>3</v>
      </c>
      <c r="G11564" s="4" t="str">
        <f>HYPERLINK("http://141.218.60.56/~jnz1568/getInfo.php?workbook=10_05.xlsx&amp;sheet=U0&amp;row=11564&amp;col=7&amp;number=0.171&amp;sourceID=14","0.171")</f>
        <v>0.171</v>
      </c>
    </row>
    <row r="11565" spans="1:7">
      <c r="A11565" s="3"/>
      <c r="B11565" s="3"/>
      <c r="C11565" s="3"/>
      <c r="D11565" s="3"/>
      <c r="E11565" s="3">
        <v>2</v>
      </c>
      <c r="F11565" s="4" t="str">
        <f>HYPERLINK("http://141.218.60.56/~jnz1568/getInfo.php?workbook=10_05.xlsx&amp;sheet=U0&amp;row=11565&amp;col=6&amp;number=3.1&amp;sourceID=14","3.1")</f>
        <v>3.1</v>
      </c>
      <c r="G11565" s="4" t="str">
        <f>HYPERLINK("http://141.218.60.56/~jnz1568/getInfo.php?workbook=10_05.xlsx&amp;sheet=U0&amp;row=11565&amp;col=7&amp;number=0.171&amp;sourceID=14","0.171")</f>
        <v>0.171</v>
      </c>
    </row>
    <row r="11566" spans="1:7">
      <c r="A11566" s="3"/>
      <c r="B11566" s="3"/>
      <c r="C11566" s="3"/>
      <c r="D11566" s="3"/>
      <c r="E11566" s="3">
        <v>3</v>
      </c>
      <c r="F11566" s="4" t="str">
        <f>HYPERLINK("http://141.218.60.56/~jnz1568/getInfo.php?workbook=10_05.xlsx&amp;sheet=U0&amp;row=11566&amp;col=6&amp;number=3.2&amp;sourceID=14","3.2")</f>
        <v>3.2</v>
      </c>
      <c r="G11566" s="4" t="str">
        <f>HYPERLINK("http://141.218.60.56/~jnz1568/getInfo.php?workbook=10_05.xlsx&amp;sheet=U0&amp;row=11566&amp;col=7&amp;number=0.17&amp;sourceID=14","0.17")</f>
        <v>0.17</v>
      </c>
    </row>
    <row r="11567" spans="1:7">
      <c r="A11567" s="3"/>
      <c r="B11567" s="3"/>
      <c r="C11567" s="3"/>
      <c r="D11567" s="3"/>
      <c r="E11567" s="3">
        <v>4</v>
      </c>
      <c r="F11567" s="4" t="str">
        <f>HYPERLINK("http://141.218.60.56/~jnz1568/getInfo.php?workbook=10_05.xlsx&amp;sheet=U0&amp;row=11567&amp;col=6&amp;number=3.3&amp;sourceID=14","3.3")</f>
        <v>3.3</v>
      </c>
      <c r="G11567" s="4" t="str">
        <f>HYPERLINK("http://141.218.60.56/~jnz1568/getInfo.php?workbook=10_05.xlsx&amp;sheet=U0&amp;row=11567&amp;col=7&amp;number=0.17&amp;sourceID=14","0.17")</f>
        <v>0.17</v>
      </c>
    </row>
    <row r="11568" spans="1:7">
      <c r="A11568" s="3"/>
      <c r="B11568" s="3"/>
      <c r="C11568" s="3"/>
      <c r="D11568" s="3"/>
      <c r="E11568" s="3">
        <v>5</v>
      </c>
      <c r="F11568" s="4" t="str">
        <f>HYPERLINK("http://141.218.60.56/~jnz1568/getInfo.php?workbook=10_05.xlsx&amp;sheet=U0&amp;row=11568&amp;col=6&amp;number=3.4&amp;sourceID=14","3.4")</f>
        <v>3.4</v>
      </c>
      <c r="G11568" s="4" t="str">
        <f>HYPERLINK("http://141.218.60.56/~jnz1568/getInfo.php?workbook=10_05.xlsx&amp;sheet=U0&amp;row=11568&amp;col=7&amp;number=0.169&amp;sourceID=14","0.169")</f>
        <v>0.169</v>
      </c>
    </row>
    <row r="11569" spans="1:7">
      <c r="A11569" s="3"/>
      <c r="B11569" s="3"/>
      <c r="C11569" s="3"/>
      <c r="D11569" s="3"/>
      <c r="E11569" s="3">
        <v>6</v>
      </c>
      <c r="F11569" s="4" t="str">
        <f>HYPERLINK("http://141.218.60.56/~jnz1568/getInfo.php?workbook=10_05.xlsx&amp;sheet=U0&amp;row=11569&amp;col=6&amp;number=3.5&amp;sourceID=14","3.5")</f>
        <v>3.5</v>
      </c>
      <c r="G11569" s="4" t="str">
        <f>HYPERLINK("http://141.218.60.56/~jnz1568/getInfo.php?workbook=10_05.xlsx&amp;sheet=U0&amp;row=11569&amp;col=7&amp;number=0.169&amp;sourceID=14","0.169")</f>
        <v>0.169</v>
      </c>
    </row>
    <row r="11570" spans="1:7">
      <c r="A11570" s="3"/>
      <c r="B11570" s="3"/>
      <c r="C11570" s="3"/>
      <c r="D11570" s="3"/>
      <c r="E11570" s="3">
        <v>7</v>
      </c>
      <c r="F11570" s="4" t="str">
        <f>HYPERLINK("http://141.218.60.56/~jnz1568/getInfo.php?workbook=10_05.xlsx&amp;sheet=U0&amp;row=11570&amp;col=6&amp;number=3.6&amp;sourceID=14","3.6")</f>
        <v>3.6</v>
      </c>
      <c r="G11570" s="4" t="str">
        <f>HYPERLINK("http://141.218.60.56/~jnz1568/getInfo.php?workbook=10_05.xlsx&amp;sheet=U0&amp;row=11570&amp;col=7&amp;number=0.168&amp;sourceID=14","0.168")</f>
        <v>0.168</v>
      </c>
    </row>
    <row r="11571" spans="1:7">
      <c r="A11571" s="3"/>
      <c r="B11571" s="3"/>
      <c r="C11571" s="3"/>
      <c r="D11571" s="3"/>
      <c r="E11571" s="3">
        <v>8</v>
      </c>
      <c r="F11571" s="4" t="str">
        <f>HYPERLINK("http://141.218.60.56/~jnz1568/getInfo.php?workbook=10_05.xlsx&amp;sheet=U0&amp;row=11571&amp;col=6&amp;number=3.7&amp;sourceID=14","3.7")</f>
        <v>3.7</v>
      </c>
      <c r="G11571" s="4" t="str">
        <f>HYPERLINK("http://141.218.60.56/~jnz1568/getInfo.php?workbook=10_05.xlsx&amp;sheet=U0&amp;row=11571&amp;col=7&amp;number=0.167&amp;sourceID=14","0.167")</f>
        <v>0.167</v>
      </c>
    </row>
    <row r="11572" spans="1:7">
      <c r="A11572" s="3"/>
      <c r="B11572" s="3"/>
      <c r="C11572" s="3"/>
      <c r="D11572" s="3"/>
      <c r="E11572" s="3">
        <v>9</v>
      </c>
      <c r="F11572" s="4" t="str">
        <f>HYPERLINK("http://141.218.60.56/~jnz1568/getInfo.php?workbook=10_05.xlsx&amp;sheet=U0&amp;row=11572&amp;col=6&amp;number=3.8&amp;sourceID=14","3.8")</f>
        <v>3.8</v>
      </c>
      <c r="G11572" s="4" t="str">
        <f>HYPERLINK("http://141.218.60.56/~jnz1568/getInfo.php?workbook=10_05.xlsx&amp;sheet=U0&amp;row=11572&amp;col=7&amp;number=0.165&amp;sourceID=14","0.165")</f>
        <v>0.165</v>
      </c>
    </row>
    <row r="11573" spans="1:7">
      <c r="A11573" s="3"/>
      <c r="B11573" s="3"/>
      <c r="C11573" s="3"/>
      <c r="D11573" s="3"/>
      <c r="E11573" s="3">
        <v>10</v>
      </c>
      <c r="F11573" s="4" t="str">
        <f>HYPERLINK("http://141.218.60.56/~jnz1568/getInfo.php?workbook=10_05.xlsx&amp;sheet=U0&amp;row=11573&amp;col=6&amp;number=3.9&amp;sourceID=14","3.9")</f>
        <v>3.9</v>
      </c>
      <c r="G11573" s="4" t="str">
        <f>HYPERLINK("http://141.218.60.56/~jnz1568/getInfo.php?workbook=10_05.xlsx&amp;sheet=U0&amp;row=11573&amp;col=7&amp;number=0.164&amp;sourceID=14","0.164")</f>
        <v>0.164</v>
      </c>
    </row>
    <row r="11574" spans="1:7">
      <c r="A11574" s="3"/>
      <c r="B11574" s="3"/>
      <c r="C11574" s="3"/>
      <c r="D11574" s="3"/>
      <c r="E11574" s="3">
        <v>11</v>
      </c>
      <c r="F11574" s="4" t="str">
        <f>HYPERLINK("http://141.218.60.56/~jnz1568/getInfo.php?workbook=10_05.xlsx&amp;sheet=U0&amp;row=11574&amp;col=6&amp;number=4&amp;sourceID=14","4")</f>
        <v>4</v>
      </c>
      <c r="G11574" s="4" t="str">
        <f>HYPERLINK("http://141.218.60.56/~jnz1568/getInfo.php?workbook=10_05.xlsx&amp;sheet=U0&amp;row=11574&amp;col=7&amp;number=0.162&amp;sourceID=14","0.162")</f>
        <v>0.162</v>
      </c>
    </row>
    <row r="11575" spans="1:7">
      <c r="A11575" s="3"/>
      <c r="B11575" s="3"/>
      <c r="C11575" s="3"/>
      <c r="D11575" s="3"/>
      <c r="E11575" s="3">
        <v>12</v>
      </c>
      <c r="F11575" s="4" t="str">
        <f>HYPERLINK("http://141.218.60.56/~jnz1568/getInfo.php?workbook=10_05.xlsx&amp;sheet=U0&amp;row=11575&amp;col=6&amp;number=4.1&amp;sourceID=14","4.1")</f>
        <v>4.1</v>
      </c>
      <c r="G11575" s="4" t="str">
        <f>HYPERLINK("http://141.218.60.56/~jnz1568/getInfo.php?workbook=10_05.xlsx&amp;sheet=U0&amp;row=11575&amp;col=7&amp;number=0.159&amp;sourceID=14","0.159")</f>
        <v>0.159</v>
      </c>
    </row>
    <row r="11576" spans="1:7">
      <c r="A11576" s="3"/>
      <c r="B11576" s="3"/>
      <c r="C11576" s="3"/>
      <c r="D11576" s="3"/>
      <c r="E11576" s="3">
        <v>13</v>
      </c>
      <c r="F11576" s="4" t="str">
        <f>HYPERLINK("http://141.218.60.56/~jnz1568/getInfo.php?workbook=10_05.xlsx&amp;sheet=U0&amp;row=11576&amp;col=6&amp;number=4.2&amp;sourceID=14","4.2")</f>
        <v>4.2</v>
      </c>
      <c r="G11576" s="4" t="str">
        <f>HYPERLINK("http://141.218.60.56/~jnz1568/getInfo.php?workbook=10_05.xlsx&amp;sheet=U0&amp;row=11576&amp;col=7&amp;number=0.156&amp;sourceID=14","0.156")</f>
        <v>0.156</v>
      </c>
    </row>
    <row r="11577" spans="1:7">
      <c r="A11577" s="3"/>
      <c r="B11577" s="3"/>
      <c r="C11577" s="3"/>
      <c r="D11577" s="3"/>
      <c r="E11577" s="3">
        <v>14</v>
      </c>
      <c r="F11577" s="4" t="str">
        <f>HYPERLINK("http://141.218.60.56/~jnz1568/getInfo.php?workbook=10_05.xlsx&amp;sheet=U0&amp;row=11577&amp;col=6&amp;number=4.3&amp;sourceID=14","4.3")</f>
        <v>4.3</v>
      </c>
      <c r="G11577" s="4" t="str">
        <f>HYPERLINK("http://141.218.60.56/~jnz1568/getInfo.php?workbook=10_05.xlsx&amp;sheet=U0&amp;row=11577&amp;col=7&amp;number=0.153&amp;sourceID=14","0.153")</f>
        <v>0.153</v>
      </c>
    </row>
    <row r="11578" spans="1:7">
      <c r="A11578" s="3"/>
      <c r="B11578" s="3"/>
      <c r="C11578" s="3"/>
      <c r="D11578" s="3"/>
      <c r="E11578" s="3">
        <v>15</v>
      </c>
      <c r="F11578" s="4" t="str">
        <f>HYPERLINK("http://141.218.60.56/~jnz1568/getInfo.php?workbook=10_05.xlsx&amp;sheet=U0&amp;row=11578&amp;col=6&amp;number=4.4&amp;sourceID=14","4.4")</f>
        <v>4.4</v>
      </c>
      <c r="G11578" s="4" t="str">
        <f>HYPERLINK("http://141.218.60.56/~jnz1568/getInfo.php?workbook=10_05.xlsx&amp;sheet=U0&amp;row=11578&amp;col=7&amp;number=0.149&amp;sourceID=14","0.149")</f>
        <v>0.149</v>
      </c>
    </row>
    <row r="11579" spans="1:7">
      <c r="A11579" s="3"/>
      <c r="B11579" s="3"/>
      <c r="C11579" s="3"/>
      <c r="D11579" s="3"/>
      <c r="E11579" s="3">
        <v>16</v>
      </c>
      <c r="F11579" s="4" t="str">
        <f>HYPERLINK("http://141.218.60.56/~jnz1568/getInfo.php?workbook=10_05.xlsx&amp;sheet=U0&amp;row=11579&amp;col=6&amp;number=4.5&amp;sourceID=14","4.5")</f>
        <v>4.5</v>
      </c>
      <c r="G11579" s="4" t="str">
        <f>HYPERLINK("http://141.218.60.56/~jnz1568/getInfo.php?workbook=10_05.xlsx&amp;sheet=U0&amp;row=11579&amp;col=7&amp;number=0.145&amp;sourceID=14","0.145")</f>
        <v>0.145</v>
      </c>
    </row>
    <row r="11580" spans="1:7">
      <c r="A11580" s="3"/>
      <c r="B11580" s="3"/>
      <c r="C11580" s="3"/>
      <c r="D11580" s="3"/>
      <c r="E11580" s="3">
        <v>17</v>
      </c>
      <c r="F11580" s="4" t="str">
        <f>HYPERLINK("http://141.218.60.56/~jnz1568/getInfo.php?workbook=10_05.xlsx&amp;sheet=U0&amp;row=11580&amp;col=6&amp;number=4.6&amp;sourceID=14","4.6")</f>
        <v>4.6</v>
      </c>
      <c r="G11580" s="4" t="str">
        <f>HYPERLINK("http://141.218.60.56/~jnz1568/getInfo.php?workbook=10_05.xlsx&amp;sheet=U0&amp;row=11580&amp;col=7&amp;number=0.142&amp;sourceID=14","0.142")</f>
        <v>0.142</v>
      </c>
    </row>
    <row r="11581" spans="1:7">
      <c r="A11581" s="3"/>
      <c r="B11581" s="3"/>
      <c r="C11581" s="3"/>
      <c r="D11581" s="3"/>
      <c r="E11581" s="3">
        <v>18</v>
      </c>
      <c r="F11581" s="4" t="str">
        <f>HYPERLINK("http://141.218.60.56/~jnz1568/getInfo.php?workbook=10_05.xlsx&amp;sheet=U0&amp;row=11581&amp;col=6&amp;number=4.7&amp;sourceID=14","4.7")</f>
        <v>4.7</v>
      </c>
      <c r="G11581" s="4" t="str">
        <f>HYPERLINK("http://141.218.60.56/~jnz1568/getInfo.php?workbook=10_05.xlsx&amp;sheet=U0&amp;row=11581&amp;col=7&amp;number=0.139&amp;sourceID=14","0.139")</f>
        <v>0.139</v>
      </c>
    </row>
    <row r="11582" spans="1:7">
      <c r="A11582" s="3"/>
      <c r="B11582" s="3"/>
      <c r="C11582" s="3"/>
      <c r="D11582" s="3"/>
      <c r="E11582" s="3">
        <v>19</v>
      </c>
      <c r="F11582" s="4" t="str">
        <f>HYPERLINK("http://141.218.60.56/~jnz1568/getInfo.php?workbook=10_05.xlsx&amp;sheet=U0&amp;row=11582&amp;col=6&amp;number=4.8&amp;sourceID=14","4.8")</f>
        <v>4.8</v>
      </c>
      <c r="G11582" s="4" t="str">
        <f>HYPERLINK("http://141.218.60.56/~jnz1568/getInfo.php?workbook=10_05.xlsx&amp;sheet=U0&amp;row=11582&amp;col=7&amp;number=0.138&amp;sourceID=14","0.138")</f>
        <v>0.138</v>
      </c>
    </row>
    <row r="11583" spans="1:7">
      <c r="A11583" s="3"/>
      <c r="B11583" s="3"/>
      <c r="C11583" s="3"/>
      <c r="D11583" s="3"/>
      <c r="E11583" s="3">
        <v>20</v>
      </c>
      <c r="F11583" s="4" t="str">
        <f>HYPERLINK("http://141.218.60.56/~jnz1568/getInfo.php?workbook=10_05.xlsx&amp;sheet=U0&amp;row=11583&amp;col=6&amp;number=4.9&amp;sourceID=14","4.9")</f>
        <v>4.9</v>
      </c>
      <c r="G11583" s="4" t="str">
        <f>HYPERLINK("http://141.218.60.56/~jnz1568/getInfo.php?workbook=10_05.xlsx&amp;sheet=U0&amp;row=11583&amp;col=7&amp;number=0.137&amp;sourceID=14","0.137")</f>
        <v>0.137</v>
      </c>
    </row>
    <row r="11584" spans="1:7">
      <c r="A11584" s="3">
        <v>10</v>
      </c>
      <c r="B11584" s="3">
        <v>5</v>
      </c>
      <c r="C11584" s="3">
        <v>4</v>
      </c>
      <c r="D11584" s="3">
        <v>50</v>
      </c>
      <c r="E11584" s="3">
        <v>1</v>
      </c>
      <c r="F11584" s="4" t="str">
        <f>HYPERLINK("http://141.218.60.56/~jnz1568/getInfo.php?workbook=10_05.xlsx&amp;sheet=U0&amp;row=11584&amp;col=6&amp;number=3&amp;sourceID=14","3")</f>
        <v>3</v>
      </c>
      <c r="G11584" s="4" t="str">
        <f>HYPERLINK("http://141.218.60.56/~jnz1568/getInfo.php?workbook=10_05.xlsx&amp;sheet=U0&amp;row=11584&amp;col=7&amp;number=0.107&amp;sourceID=14","0.107")</f>
        <v>0.107</v>
      </c>
    </row>
    <row r="11585" spans="1:7">
      <c r="A11585" s="3"/>
      <c r="B11585" s="3"/>
      <c r="C11585" s="3"/>
      <c r="D11585" s="3"/>
      <c r="E11585" s="3">
        <v>2</v>
      </c>
      <c r="F11585" s="4" t="str">
        <f>HYPERLINK("http://141.218.60.56/~jnz1568/getInfo.php?workbook=10_05.xlsx&amp;sheet=U0&amp;row=11585&amp;col=6&amp;number=3.1&amp;sourceID=14","3.1")</f>
        <v>3.1</v>
      </c>
      <c r="G11585" s="4" t="str">
        <f>HYPERLINK("http://141.218.60.56/~jnz1568/getInfo.php?workbook=10_05.xlsx&amp;sheet=U0&amp;row=11585&amp;col=7&amp;number=0.107&amp;sourceID=14","0.107")</f>
        <v>0.107</v>
      </c>
    </row>
    <row r="11586" spans="1:7">
      <c r="A11586" s="3"/>
      <c r="B11586" s="3"/>
      <c r="C11586" s="3"/>
      <c r="D11586" s="3"/>
      <c r="E11586" s="3">
        <v>3</v>
      </c>
      <c r="F11586" s="4" t="str">
        <f>HYPERLINK("http://141.218.60.56/~jnz1568/getInfo.php?workbook=10_05.xlsx&amp;sheet=U0&amp;row=11586&amp;col=6&amp;number=3.2&amp;sourceID=14","3.2")</f>
        <v>3.2</v>
      </c>
      <c r="G11586" s="4" t="str">
        <f>HYPERLINK("http://141.218.60.56/~jnz1568/getInfo.php?workbook=10_05.xlsx&amp;sheet=U0&amp;row=11586&amp;col=7&amp;number=0.106&amp;sourceID=14","0.106")</f>
        <v>0.106</v>
      </c>
    </row>
    <row r="11587" spans="1:7">
      <c r="A11587" s="3"/>
      <c r="B11587" s="3"/>
      <c r="C11587" s="3"/>
      <c r="D11587" s="3"/>
      <c r="E11587" s="3">
        <v>4</v>
      </c>
      <c r="F11587" s="4" t="str">
        <f>HYPERLINK("http://141.218.60.56/~jnz1568/getInfo.php?workbook=10_05.xlsx&amp;sheet=U0&amp;row=11587&amp;col=6&amp;number=3.3&amp;sourceID=14","3.3")</f>
        <v>3.3</v>
      </c>
      <c r="G11587" s="4" t="str">
        <f>HYPERLINK("http://141.218.60.56/~jnz1568/getInfo.php?workbook=10_05.xlsx&amp;sheet=U0&amp;row=11587&amp;col=7&amp;number=0.106&amp;sourceID=14","0.106")</f>
        <v>0.106</v>
      </c>
    </row>
    <row r="11588" spans="1:7">
      <c r="A11588" s="3"/>
      <c r="B11588" s="3"/>
      <c r="C11588" s="3"/>
      <c r="D11588" s="3"/>
      <c r="E11588" s="3">
        <v>5</v>
      </c>
      <c r="F11588" s="4" t="str">
        <f>HYPERLINK("http://141.218.60.56/~jnz1568/getInfo.php?workbook=10_05.xlsx&amp;sheet=U0&amp;row=11588&amp;col=6&amp;number=3.4&amp;sourceID=14","3.4")</f>
        <v>3.4</v>
      </c>
      <c r="G11588" s="4" t="str">
        <f>HYPERLINK("http://141.218.60.56/~jnz1568/getInfo.php?workbook=10_05.xlsx&amp;sheet=U0&amp;row=11588&amp;col=7&amp;number=0.106&amp;sourceID=14","0.106")</f>
        <v>0.106</v>
      </c>
    </row>
    <row r="11589" spans="1:7">
      <c r="A11589" s="3"/>
      <c r="B11589" s="3"/>
      <c r="C11589" s="3"/>
      <c r="D11589" s="3"/>
      <c r="E11589" s="3">
        <v>6</v>
      </c>
      <c r="F11589" s="4" t="str">
        <f>HYPERLINK("http://141.218.60.56/~jnz1568/getInfo.php?workbook=10_05.xlsx&amp;sheet=U0&amp;row=11589&amp;col=6&amp;number=3.5&amp;sourceID=14","3.5")</f>
        <v>3.5</v>
      </c>
      <c r="G11589" s="4" t="str">
        <f>HYPERLINK("http://141.218.60.56/~jnz1568/getInfo.php?workbook=10_05.xlsx&amp;sheet=U0&amp;row=11589&amp;col=7&amp;number=0.105&amp;sourceID=14","0.105")</f>
        <v>0.105</v>
      </c>
    </row>
    <row r="11590" spans="1:7">
      <c r="A11590" s="3"/>
      <c r="B11590" s="3"/>
      <c r="C11590" s="3"/>
      <c r="D11590" s="3"/>
      <c r="E11590" s="3">
        <v>7</v>
      </c>
      <c r="F11590" s="4" t="str">
        <f>HYPERLINK("http://141.218.60.56/~jnz1568/getInfo.php?workbook=10_05.xlsx&amp;sheet=U0&amp;row=11590&amp;col=6&amp;number=3.6&amp;sourceID=14","3.6")</f>
        <v>3.6</v>
      </c>
      <c r="G11590" s="4" t="str">
        <f>HYPERLINK("http://141.218.60.56/~jnz1568/getInfo.php?workbook=10_05.xlsx&amp;sheet=U0&amp;row=11590&amp;col=7&amp;number=0.105&amp;sourceID=14","0.105")</f>
        <v>0.105</v>
      </c>
    </row>
    <row r="11591" spans="1:7">
      <c r="A11591" s="3"/>
      <c r="B11591" s="3"/>
      <c r="C11591" s="3"/>
      <c r="D11591" s="3"/>
      <c r="E11591" s="3">
        <v>8</v>
      </c>
      <c r="F11591" s="4" t="str">
        <f>HYPERLINK("http://141.218.60.56/~jnz1568/getInfo.php?workbook=10_05.xlsx&amp;sheet=U0&amp;row=11591&amp;col=6&amp;number=3.7&amp;sourceID=14","3.7")</f>
        <v>3.7</v>
      </c>
      <c r="G11591" s="4" t="str">
        <f>HYPERLINK("http://141.218.60.56/~jnz1568/getInfo.php?workbook=10_05.xlsx&amp;sheet=U0&amp;row=11591&amp;col=7&amp;number=0.104&amp;sourceID=14","0.104")</f>
        <v>0.104</v>
      </c>
    </row>
    <row r="11592" spans="1:7">
      <c r="A11592" s="3"/>
      <c r="B11592" s="3"/>
      <c r="C11592" s="3"/>
      <c r="D11592" s="3"/>
      <c r="E11592" s="3">
        <v>9</v>
      </c>
      <c r="F11592" s="4" t="str">
        <f>HYPERLINK("http://141.218.60.56/~jnz1568/getInfo.php?workbook=10_05.xlsx&amp;sheet=U0&amp;row=11592&amp;col=6&amp;number=3.8&amp;sourceID=14","3.8")</f>
        <v>3.8</v>
      </c>
      <c r="G11592" s="4" t="str">
        <f>HYPERLINK("http://141.218.60.56/~jnz1568/getInfo.php?workbook=10_05.xlsx&amp;sheet=U0&amp;row=11592&amp;col=7&amp;number=0.104&amp;sourceID=14","0.104")</f>
        <v>0.104</v>
      </c>
    </row>
    <row r="11593" spans="1:7">
      <c r="A11593" s="3"/>
      <c r="B11593" s="3"/>
      <c r="C11593" s="3"/>
      <c r="D11593" s="3"/>
      <c r="E11593" s="3">
        <v>10</v>
      </c>
      <c r="F11593" s="4" t="str">
        <f>HYPERLINK("http://141.218.60.56/~jnz1568/getInfo.php?workbook=10_05.xlsx&amp;sheet=U0&amp;row=11593&amp;col=6&amp;number=3.9&amp;sourceID=14","3.9")</f>
        <v>3.9</v>
      </c>
      <c r="G11593" s="4" t="str">
        <f>HYPERLINK("http://141.218.60.56/~jnz1568/getInfo.php?workbook=10_05.xlsx&amp;sheet=U0&amp;row=11593&amp;col=7&amp;number=0.103&amp;sourceID=14","0.103")</f>
        <v>0.103</v>
      </c>
    </row>
    <row r="11594" spans="1:7">
      <c r="A11594" s="3"/>
      <c r="B11594" s="3"/>
      <c r="C11594" s="3"/>
      <c r="D11594" s="3"/>
      <c r="E11594" s="3">
        <v>11</v>
      </c>
      <c r="F11594" s="4" t="str">
        <f>HYPERLINK("http://141.218.60.56/~jnz1568/getInfo.php?workbook=10_05.xlsx&amp;sheet=U0&amp;row=11594&amp;col=6&amp;number=4&amp;sourceID=14","4")</f>
        <v>4</v>
      </c>
      <c r="G11594" s="4" t="str">
        <f>HYPERLINK("http://141.218.60.56/~jnz1568/getInfo.php?workbook=10_05.xlsx&amp;sheet=U0&amp;row=11594&amp;col=7&amp;number=0.102&amp;sourceID=14","0.102")</f>
        <v>0.102</v>
      </c>
    </row>
    <row r="11595" spans="1:7">
      <c r="A11595" s="3"/>
      <c r="B11595" s="3"/>
      <c r="C11595" s="3"/>
      <c r="D11595" s="3"/>
      <c r="E11595" s="3">
        <v>12</v>
      </c>
      <c r="F11595" s="4" t="str">
        <f>HYPERLINK("http://141.218.60.56/~jnz1568/getInfo.php?workbook=10_05.xlsx&amp;sheet=U0&amp;row=11595&amp;col=6&amp;number=4.1&amp;sourceID=14","4.1")</f>
        <v>4.1</v>
      </c>
      <c r="G11595" s="4" t="str">
        <f>HYPERLINK("http://141.218.60.56/~jnz1568/getInfo.php?workbook=10_05.xlsx&amp;sheet=U0&amp;row=11595&amp;col=7&amp;number=0.1&amp;sourceID=14","0.1")</f>
        <v>0.1</v>
      </c>
    </row>
    <row r="11596" spans="1:7">
      <c r="A11596" s="3"/>
      <c r="B11596" s="3"/>
      <c r="C11596" s="3"/>
      <c r="D11596" s="3"/>
      <c r="E11596" s="3">
        <v>13</v>
      </c>
      <c r="F11596" s="4" t="str">
        <f>HYPERLINK("http://141.218.60.56/~jnz1568/getInfo.php?workbook=10_05.xlsx&amp;sheet=U0&amp;row=11596&amp;col=6&amp;number=4.2&amp;sourceID=14","4.2")</f>
        <v>4.2</v>
      </c>
      <c r="G11596" s="4" t="str">
        <f>HYPERLINK("http://141.218.60.56/~jnz1568/getInfo.php?workbook=10_05.xlsx&amp;sheet=U0&amp;row=11596&amp;col=7&amp;number=0.0987&amp;sourceID=14","0.0987")</f>
        <v>0.0987</v>
      </c>
    </row>
    <row r="11597" spans="1:7">
      <c r="A11597" s="3"/>
      <c r="B11597" s="3"/>
      <c r="C11597" s="3"/>
      <c r="D11597" s="3"/>
      <c r="E11597" s="3">
        <v>14</v>
      </c>
      <c r="F11597" s="4" t="str">
        <f>HYPERLINK("http://141.218.60.56/~jnz1568/getInfo.php?workbook=10_05.xlsx&amp;sheet=U0&amp;row=11597&amp;col=6&amp;number=4.3&amp;sourceID=14","4.3")</f>
        <v>4.3</v>
      </c>
      <c r="G11597" s="4" t="str">
        <f>HYPERLINK("http://141.218.60.56/~jnz1568/getInfo.php?workbook=10_05.xlsx&amp;sheet=U0&amp;row=11597&amp;col=7&amp;number=0.0969&amp;sourceID=14","0.0969")</f>
        <v>0.0969</v>
      </c>
    </row>
    <row r="11598" spans="1:7">
      <c r="A11598" s="3"/>
      <c r="B11598" s="3"/>
      <c r="C11598" s="3"/>
      <c r="D11598" s="3"/>
      <c r="E11598" s="3">
        <v>15</v>
      </c>
      <c r="F11598" s="4" t="str">
        <f>HYPERLINK("http://141.218.60.56/~jnz1568/getInfo.php?workbook=10_05.xlsx&amp;sheet=U0&amp;row=11598&amp;col=6&amp;number=4.4&amp;sourceID=14","4.4")</f>
        <v>4.4</v>
      </c>
      <c r="G11598" s="4" t="str">
        <f>HYPERLINK("http://141.218.60.56/~jnz1568/getInfo.php?workbook=10_05.xlsx&amp;sheet=U0&amp;row=11598&amp;col=7&amp;number=0.0949&amp;sourceID=14","0.0949")</f>
        <v>0.0949</v>
      </c>
    </row>
    <row r="11599" spans="1:7">
      <c r="A11599" s="3"/>
      <c r="B11599" s="3"/>
      <c r="C11599" s="3"/>
      <c r="D11599" s="3"/>
      <c r="E11599" s="3">
        <v>16</v>
      </c>
      <c r="F11599" s="4" t="str">
        <f>HYPERLINK("http://141.218.60.56/~jnz1568/getInfo.php?workbook=10_05.xlsx&amp;sheet=U0&amp;row=11599&amp;col=6&amp;number=4.5&amp;sourceID=14","4.5")</f>
        <v>4.5</v>
      </c>
      <c r="G11599" s="4" t="str">
        <f>HYPERLINK("http://141.218.60.56/~jnz1568/getInfo.php?workbook=10_05.xlsx&amp;sheet=U0&amp;row=11599&amp;col=7&amp;number=0.0928&amp;sourceID=14","0.0928")</f>
        <v>0.0928</v>
      </c>
    </row>
    <row r="11600" spans="1:7">
      <c r="A11600" s="3"/>
      <c r="B11600" s="3"/>
      <c r="C11600" s="3"/>
      <c r="D11600" s="3"/>
      <c r="E11600" s="3">
        <v>17</v>
      </c>
      <c r="F11600" s="4" t="str">
        <f>HYPERLINK("http://141.218.60.56/~jnz1568/getInfo.php?workbook=10_05.xlsx&amp;sheet=U0&amp;row=11600&amp;col=6&amp;number=4.6&amp;sourceID=14","4.6")</f>
        <v>4.6</v>
      </c>
      <c r="G11600" s="4" t="str">
        <f>HYPERLINK("http://141.218.60.56/~jnz1568/getInfo.php?workbook=10_05.xlsx&amp;sheet=U0&amp;row=11600&amp;col=7&amp;number=0.091&amp;sourceID=14","0.091")</f>
        <v>0.091</v>
      </c>
    </row>
    <row r="11601" spans="1:7">
      <c r="A11601" s="3"/>
      <c r="B11601" s="3"/>
      <c r="C11601" s="3"/>
      <c r="D11601" s="3"/>
      <c r="E11601" s="3">
        <v>18</v>
      </c>
      <c r="F11601" s="4" t="str">
        <f>HYPERLINK("http://141.218.60.56/~jnz1568/getInfo.php?workbook=10_05.xlsx&amp;sheet=U0&amp;row=11601&amp;col=6&amp;number=4.7&amp;sourceID=14","4.7")</f>
        <v>4.7</v>
      </c>
      <c r="G11601" s="4" t="str">
        <f>HYPERLINK("http://141.218.60.56/~jnz1568/getInfo.php?workbook=10_05.xlsx&amp;sheet=U0&amp;row=11601&amp;col=7&amp;number=0.0898&amp;sourceID=14","0.0898")</f>
        <v>0.0898</v>
      </c>
    </row>
    <row r="11602" spans="1:7">
      <c r="A11602" s="3"/>
      <c r="B11602" s="3"/>
      <c r="C11602" s="3"/>
      <c r="D11602" s="3"/>
      <c r="E11602" s="3">
        <v>19</v>
      </c>
      <c r="F11602" s="4" t="str">
        <f>HYPERLINK("http://141.218.60.56/~jnz1568/getInfo.php?workbook=10_05.xlsx&amp;sheet=U0&amp;row=11602&amp;col=6&amp;number=4.8&amp;sourceID=14","4.8")</f>
        <v>4.8</v>
      </c>
      <c r="G11602" s="4" t="str">
        <f>HYPERLINK("http://141.218.60.56/~jnz1568/getInfo.php?workbook=10_05.xlsx&amp;sheet=U0&amp;row=11602&amp;col=7&amp;number=0.0893&amp;sourceID=14","0.0893")</f>
        <v>0.0893</v>
      </c>
    </row>
    <row r="11603" spans="1:7">
      <c r="A11603" s="3"/>
      <c r="B11603" s="3"/>
      <c r="C11603" s="3"/>
      <c r="D11603" s="3"/>
      <c r="E11603" s="3">
        <v>20</v>
      </c>
      <c r="F11603" s="4" t="str">
        <f>HYPERLINK("http://141.218.60.56/~jnz1568/getInfo.php?workbook=10_05.xlsx&amp;sheet=U0&amp;row=11603&amp;col=6&amp;number=4.9&amp;sourceID=14","4.9")</f>
        <v>4.9</v>
      </c>
      <c r="G11603" s="4" t="str">
        <f>HYPERLINK("http://141.218.60.56/~jnz1568/getInfo.php?workbook=10_05.xlsx&amp;sheet=U0&amp;row=11603&amp;col=7&amp;number=0.0894&amp;sourceID=14","0.0894")</f>
        <v>0.0894</v>
      </c>
    </row>
    <row r="11604" spans="1:7">
      <c r="A11604" s="3">
        <v>10</v>
      </c>
      <c r="B11604" s="3">
        <v>5</v>
      </c>
      <c r="C11604" s="3">
        <v>4</v>
      </c>
      <c r="D11604" s="3">
        <v>51</v>
      </c>
      <c r="E11604" s="3">
        <v>1</v>
      </c>
      <c r="F11604" s="4" t="str">
        <f>HYPERLINK("http://141.218.60.56/~jnz1568/getInfo.php?workbook=10_05.xlsx&amp;sheet=U0&amp;row=11604&amp;col=6&amp;number=3&amp;sourceID=14","3")</f>
        <v>3</v>
      </c>
      <c r="G11604" s="4" t="str">
        <f>HYPERLINK("http://141.218.60.56/~jnz1568/getInfo.php?workbook=10_05.xlsx&amp;sheet=U0&amp;row=11604&amp;col=7&amp;number=0.137&amp;sourceID=14","0.137")</f>
        <v>0.137</v>
      </c>
    </row>
    <row r="11605" spans="1:7">
      <c r="A11605" s="3"/>
      <c r="B11605" s="3"/>
      <c r="C11605" s="3"/>
      <c r="D11605" s="3"/>
      <c r="E11605" s="3">
        <v>2</v>
      </c>
      <c r="F11605" s="4" t="str">
        <f>HYPERLINK("http://141.218.60.56/~jnz1568/getInfo.php?workbook=10_05.xlsx&amp;sheet=U0&amp;row=11605&amp;col=6&amp;number=3.1&amp;sourceID=14","3.1")</f>
        <v>3.1</v>
      </c>
      <c r="G11605" s="4" t="str">
        <f>HYPERLINK("http://141.218.60.56/~jnz1568/getInfo.php?workbook=10_05.xlsx&amp;sheet=U0&amp;row=11605&amp;col=7&amp;number=0.137&amp;sourceID=14","0.137")</f>
        <v>0.137</v>
      </c>
    </row>
    <row r="11606" spans="1:7">
      <c r="A11606" s="3"/>
      <c r="B11606" s="3"/>
      <c r="C11606" s="3"/>
      <c r="D11606" s="3"/>
      <c r="E11606" s="3">
        <v>3</v>
      </c>
      <c r="F11606" s="4" t="str">
        <f>HYPERLINK("http://141.218.60.56/~jnz1568/getInfo.php?workbook=10_05.xlsx&amp;sheet=U0&amp;row=11606&amp;col=6&amp;number=3.2&amp;sourceID=14","3.2")</f>
        <v>3.2</v>
      </c>
      <c r="G11606" s="4" t="str">
        <f>HYPERLINK("http://141.218.60.56/~jnz1568/getInfo.php?workbook=10_05.xlsx&amp;sheet=U0&amp;row=11606&amp;col=7&amp;number=0.137&amp;sourceID=14","0.137")</f>
        <v>0.137</v>
      </c>
    </row>
    <row r="11607" spans="1:7">
      <c r="A11607" s="3"/>
      <c r="B11607" s="3"/>
      <c r="C11607" s="3"/>
      <c r="D11607" s="3"/>
      <c r="E11607" s="3">
        <v>4</v>
      </c>
      <c r="F11607" s="4" t="str">
        <f>HYPERLINK("http://141.218.60.56/~jnz1568/getInfo.php?workbook=10_05.xlsx&amp;sheet=U0&amp;row=11607&amp;col=6&amp;number=3.3&amp;sourceID=14","3.3")</f>
        <v>3.3</v>
      </c>
      <c r="G11607" s="4" t="str">
        <f>HYPERLINK("http://141.218.60.56/~jnz1568/getInfo.php?workbook=10_05.xlsx&amp;sheet=U0&amp;row=11607&amp;col=7&amp;number=0.137&amp;sourceID=14","0.137")</f>
        <v>0.137</v>
      </c>
    </row>
    <row r="11608" spans="1:7">
      <c r="A11608" s="3"/>
      <c r="B11608" s="3"/>
      <c r="C11608" s="3"/>
      <c r="D11608" s="3"/>
      <c r="E11608" s="3">
        <v>5</v>
      </c>
      <c r="F11608" s="4" t="str">
        <f>HYPERLINK("http://141.218.60.56/~jnz1568/getInfo.php?workbook=10_05.xlsx&amp;sheet=U0&amp;row=11608&amp;col=6&amp;number=3.4&amp;sourceID=14","3.4")</f>
        <v>3.4</v>
      </c>
      <c r="G11608" s="4" t="str">
        <f>HYPERLINK("http://141.218.60.56/~jnz1568/getInfo.php?workbook=10_05.xlsx&amp;sheet=U0&amp;row=11608&amp;col=7&amp;number=0.137&amp;sourceID=14","0.137")</f>
        <v>0.137</v>
      </c>
    </row>
    <row r="11609" spans="1:7">
      <c r="A11609" s="3"/>
      <c r="B11609" s="3"/>
      <c r="C11609" s="3"/>
      <c r="D11609" s="3"/>
      <c r="E11609" s="3">
        <v>6</v>
      </c>
      <c r="F11609" s="4" t="str">
        <f>HYPERLINK("http://141.218.60.56/~jnz1568/getInfo.php?workbook=10_05.xlsx&amp;sheet=U0&amp;row=11609&amp;col=6&amp;number=3.5&amp;sourceID=14","3.5")</f>
        <v>3.5</v>
      </c>
      <c r="G11609" s="4" t="str">
        <f>HYPERLINK("http://141.218.60.56/~jnz1568/getInfo.php?workbook=10_05.xlsx&amp;sheet=U0&amp;row=11609&amp;col=7&amp;number=0.137&amp;sourceID=14","0.137")</f>
        <v>0.137</v>
      </c>
    </row>
    <row r="11610" spans="1:7">
      <c r="A11610" s="3"/>
      <c r="B11610" s="3"/>
      <c r="C11610" s="3"/>
      <c r="D11610" s="3"/>
      <c r="E11610" s="3">
        <v>7</v>
      </c>
      <c r="F11610" s="4" t="str">
        <f>HYPERLINK("http://141.218.60.56/~jnz1568/getInfo.php?workbook=10_05.xlsx&amp;sheet=U0&amp;row=11610&amp;col=6&amp;number=3.6&amp;sourceID=14","3.6")</f>
        <v>3.6</v>
      </c>
      <c r="G11610" s="4" t="str">
        <f>HYPERLINK("http://141.218.60.56/~jnz1568/getInfo.php?workbook=10_05.xlsx&amp;sheet=U0&amp;row=11610&amp;col=7&amp;number=0.137&amp;sourceID=14","0.137")</f>
        <v>0.137</v>
      </c>
    </row>
    <row r="11611" spans="1:7">
      <c r="A11611" s="3"/>
      <c r="B11611" s="3"/>
      <c r="C11611" s="3"/>
      <c r="D11611" s="3"/>
      <c r="E11611" s="3">
        <v>8</v>
      </c>
      <c r="F11611" s="4" t="str">
        <f>HYPERLINK("http://141.218.60.56/~jnz1568/getInfo.php?workbook=10_05.xlsx&amp;sheet=U0&amp;row=11611&amp;col=6&amp;number=3.7&amp;sourceID=14","3.7")</f>
        <v>3.7</v>
      </c>
      <c r="G11611" s="4" t="str">
        <f>HYPERLINK("http://141.218.60.56/~jnz1568/getInfo.php?workbook=10_05.xlsx&amp;sheet=U0&amp;row=11611&amp;col=7&amp;number=0.137&amp;sourceID=14","0.137")</f>
        <v>0.137</v>
      </c>
    </row>
    <row r="11612" spans="1:7">
      <c r="A11612" s="3"/>
      <c r="B11612" s="3"/>
      <c r="C11612" s="3"/>
      <c r="D11612" s="3"/>
      <c r="E11612" s="3">
        <v>9</v>
      </c>
      <c r="F11612" s="4" t="str">
        <f>HYPERLINK("http://141.218.60.56/~jnz1568/getInfo.php?workbook=10_05.xlsx&amp;sheet=U0&amp;row=11612&amp;col=6&amp;number=3.8&amp;sourceID=14","3.8")</f>
        <v>3.8</v>
      </c>
      <c r="G11612" s="4" t="str">
        <f>HYPERLINK("http://141.218.60.56/~jnz1568/getInfo.php?workbook=10_05.xlsx&amp;sheet=U0&amp;row=11612&amp;col=7&amp;number=0.137&amp;sourceID=14","0.137")</f>
        <v>0.137</v>
      </c>
    </row>
    <row r="11613" spans="1:7">
      <c r="A11613" s="3"/>
      <c r="B11613" s="3"/>
      <c r="C11613" s="3"/>
      <c r="D11613" s="3"/>
      <c r="E11613" s="3">
        <v>10</v>
      </c>
      <c r="F11613" s="4" t="str">
        <f>HYPERLINK("http://141.218.60.56/~jnz1568/getInfo.php?workbook=10_05.xlsx&amp;sheet=U0&amp;row=11613&amp;col=6&amp;number=3.9&amp;sourceID=14","3.9")</f>
        <v>3.9</v>
      </c>
      <c r="G11613" s="4" t="str">
        <f>HYPERLINK("http://141.218.60.56/~jnz1568/getInfo.php?workbook=10_05.xlsx&amp;sheet=U0&amp;row=11613&amp;col=7&amp;number=0.137&amp;sourceID=14","0.137")</f>
        <v>0.137</v>
      </c>
    </row>
    <row r="11614" spans="1:7">
      <c r="A11614" s="3"/>
      <c r="B11614" s="3"/>
      <c r="C11614" s="3"/>
      <c r="D11614" s="3"/>
      <c r="E11614" s="3">
        <v>11</v>
      </c>
      <c r="F11614" s="4" t="str">
        <f>HYPERLINK("http://141.218.60.56/~jnz1568/getInfo.php?workbook=10_05.xlsx&amp;sheet=U0&amp;row=11614&amp;col=6&amp;number=4&amp;sourceID=14","4")</f>
        <v>4</v>
      </c>
      <c r="G11614" s="4" t="str">
        <f>HYPERLINK("http://141.218.60.56/~jnz1568/getInfo.php?workbook=10_05.xlsx&amp;sheet=U0&amp;row=11614&amp;col=7&amp;number=0.137&amp;sourceID=14","0.137")</f>
        <v>0.137</v>
      </c>
    </row>
    <row r="11615" spans="1:7">
      <c r="A11615" s="3"/>
      <c r="B11615" s="3"/>
      <c r="C11615" s="3"/>
      <c r="D11615" s="3"/>
      <c r="E11615" s="3">
        <v>12</v>
      </c>
      <c r="F11615" s="4" t="str">
        <f>HYPERLINK("http://141.218.60.56/~jnz1568/getInfo.php?workbook=10_05.xlsx&amp;sheet=U0&amp;row=11615&amp;col=6&amp;number=4.1&amp;sourceID=14","4.1")</f>
        <v>4.1</v>
      </c>
      <c r="G11615" s="4" t="str">
        <f>HYPERLINK("http://141.218.60.56/~jnz1568/getInfo.php?workbook=10_05.xlsx&amp;sheet=U0&amp;row=11615&amp;col=7&amp;number=0.137&amp;sourceID=14","0.137")</f>
        <v>0.137</v>
      </c>
    </row>
    <row r="11616" spans="1:7">
      <c r="A11616" s="3"/>
      <c r="B11616" s="3"/>
      <c r="C11616" s="3"/>
      <c r="D11616" s="3"/>
      <c r="E11616" s="3">
        <v>13</v>
      </c>
      <c r="F11616" s="4" t="str">
        <f>HYPERLINK("http://141.218.60.56/~jnz1568/getInfo.php?workbook=10_05.xlsx&amp;sheet=U0&amp;row=11616&amp;col=6&amp;number=4.2&amp;sourceID=14","4.2")</f>
        <v>4.2</v>
      </c>
      <c r="G11616" s="4" t="str">
        <f>HYPERLINK("http://141.218.60.56/~jnz1568/getInfo.php?workbook=10_05.xlsx&amp;sheet=U0&amp;row=11616&amp;col=7&amp;number=0.137&amp;sourceID=14","0.137")</f>
        <v>0.137</v>
      </c>
    </row>
    <row r="11617" spans="1:7">
      <c r="A11617" s="3"/>
      <c r="B11617" s="3"/>
      <c r="C11617" s="3"/>
      <c r="D11617" s="3"/>
      <c r="E11617" s="3">
        <v>14</v>
      </c>
      <c r="F11617" s="4" t="str">
        <f>HYPERLINK("http://141.218.60.56/~jnz1568/getInfo.php?workbook=10_05.xlsx&amp;sheet=U0&amp;row=11617&amp;col=6&amp;number=4.3&amp;sourceID=14","4.3")</f>
        <v>4.3</v>
      </c>
      <c r="G11617" s="4" t="str">
        <f>HYPERLINK("http://141.218.60.56/~jnz1568/getInfo.php?workbook=10_05.xlsx&amp;sheet=U0&amp;row=11617&amp;col=7&amp;number=0.137&amp;sourceID=14","0.137")</f>
        <v>0.137</v>
      </c>
    </row>
    <row r="11618" spans="1:7">
      <c r="A11618" s="3"/>
      <c r="B11618" s="3"/>
      <c r="C11618" s="3"/>
      <c r="D11618" s="3"/>
      <c r="E11618" s="3">
        <v>15</v>
      </c>
      <c r="F11618" s="4" t="str">
        <f>HYPERLINK("http://141.218.60.56/~jnz1568/getInfo.php?workbook=10_05.xlsx&amp;sheet=U0&amp;row=11618&amp;col=6&amp;number=4.4&amp;sourceID=14","4.4")</f>
        <v>4.4</v>
      </c>
      <c r="G11618" s="4" t="str">
        <f>HYPERLINK("http://141.218.60.56/~jnz1568/getInfo.php?workbook=10_05.xlsx&amp;sheet=U0&amp;row=11618&amp;col=7&amp;number=0.137&amp;sourceID=14","0.137")</f>
        <v>0.137</v>
      </c>
    </row>
    <row r="11619" spans="1:7">
      <c r="A11619" s="3"/>
      <c r="B11619" s="3"/>
      <c r="C11619" s="3"/>
      <c r="D11619" s="3"/>
      <c r="E11619" s="3">
        <v>16</v>
      </c>
      <c r="F11619" s="4" t="str">
        <f>HYPERLINK("http://141.218.60.56/~jnz1568/getInfo.php?workbook=10_05.xlsx&amp;sheet=U0&amp;row=11619&amp;col=6&amp;number=4.5&amp;sourceID=14","4.5")</f>
        <v>4.5</v>
      </c>
      <c r="G11619" s="4" t="str">
        <f>HYPERLINK("http://141.218.60.56/~jnz1568/getInfo.php?workbook=10_05.xlsx&amp;sheet=U0&amp;row=11619&amp;col=7&amp;number=0.137&amp;sourceID=14","0.137")</f>
        <v>0.137</v>
      </c>
    </row>
    <row r="11620" spans="1:7">
      <c r="A11620" s="3"/>
      <c r="B11620" s="3"/>
      <c r="C11620" s="3"/>
      <c r="D11620" s="3"/>
      <c r="E11620" s="3">
        <v>17</v>
      </c>
      <c r="F11620" s="4" t="str">
        <f>HYPERLINK("http://141.218.60.56/~jnz1568/getInfo.php?workbook=10_05.xlsx&amp;sheet=U0&amp;row=11620&amp;col=6&amp;number=4.6&amp;sourceID=14","4.6")</f>
        <v>4.6</v>
      </c>
      <c r="G11620" s="4" t="str">
        <f>HYPERLINK("http://141.218.60.56/~jnz1568/getInfo.php?workbook=10_05.xlsx&amp;sheet=U0&amp;row=11620&amp;col=7&amp;number=0.137&amp;sourceID=14","0.137")</f>
        <v>0.137</v>
      </c>
    </row>
    <row r="11621" spans="1:7">
      <c r="A11621" s="3"/>
      <c r="B11621" s="3"/>
      <c r="C11621" s="3"/>
      <c r="D11621" s="3"/>
      <c r="E11621" s="3">
        <v>18</v>
      </c>
      <c r="F11621" s="4" t="str">
        <f>HYPERLINK("http://141.218.60.56/~jnz1568/getInfo.php?workbook=10_05.xlsx&amp;sheet=U0&amp;row=11621&amp;col=6&amp;number=4.7&amp;sourceID=14","4.7")</f>
        <v>4.7</v>
      </c>
      <c r="G11621" s="4" t="str">
        <f>HYPERLINK("http://141.218.60.56/~jnz1568/getInfo.php?workbook=10_05.xlsx&amp;sheet=U0&amp;row=11621&amp;col=7&amp;number=0.137&amp;sourceID=14","0.137")</f>
        <v>0.137</v>
      </c>
    </row>
    <row r="11622" spans="1:7">
      <c r="A11622" s="3"/>
      <c r="B11622" s="3"/>
      <c r="C11622" s="3"/>
      <c r="D11622" s="3"/>
      <c r="E11622" s="3">
        <v>19</v>
      </c>
      <c r="F11622" s="4" t="str">
        <f>HYPERLINK("http://141.218.60.56/~jnz1568/getInfo.php?workbook=10_05.xlsx&amp;sheet=U0&amp;row=11622&amp;col=6&amp;number=4.8&amp;sourceID=14","4.8")</f>
        <v>4.8</v>
      </c>
      <c r="G11622" s="4" t="str">
        <f>HYPERLINK("http://141.218.60.56/~jnz1568/getInfo.php?workbook=10_05.xlsx&amp;sheet=U0&amp;row=11622&amp;col=7&amp;number=0.138&amp;sourceID=14","0.138")</f>
        <v>0.138</v>
      </c>
    </row>
    <row r="11623" spans="1:7">
      <c r="A11623" s="3"/>
      <c r="B11623" s="3"/>
      <c r="C11623" s="3"/>
      <c r="D11623" s="3"/>
      <c r="E11623" s="3">
        <v>20</v>
      </c>
      <c r="F11623" s="4" t="str">
        <f>HYPERLINK("http://141.218.60.56/~jnz1568/getInfo.php?workbook=10_05.xlsx&amp;sheet=U0&amp;row=11623&amp;col=6&amp;number=4.9&amp;sourceID=14","4.9")</f>
        <v>4.9</v>
      </c>
      <c r="G11623" s="4" t="str">
        <f>HYPERLINK("http://141.218.60.56/~jnz1568/getInfo.php?workbook=10_05.xlsx&amp;sheet=U0&amp;row=11623&amp;col=7&amp;number=0.138&amp;sourceID=14","0.138")</f>
        <v>0.138</v>
      </c>
    </row>
    <row r="11624" spans="1:7">
      <c r="A11624" s="3">
        <v>10</v>
      </c>
      <c r="B11624" s="3">
        <v>5</v>
      </c>
      <c r="C11624" s="3">
        <v>4</v>
      </c>
      <c r="D11624" s="3">
        <v>52</v>
      </c>
      <c r="E11624" s="3">
        <v>1</v>
      </c>
      <c r="F11624" s="4" t="str">
        <f>HYPERLINK("http://141.218.60.56/~jnz1568/getInfo.php?workbook=10_05.xlsx&amp;sheet=U0&amp;row=11624&amp;col=6&amp;number=3&amp;sourceID=14","3")</f>
        <v>3</v>
      </c>
      <c r="G11624" s="4" t="str">
        <f>HYPERLINK("http://141.218.60.56/~jnz1568/getInfo.php?workbook=10_05.xlsx&amp;sheet=U0&amp;row=11624&amp;col=7&amp;number=0.0521&amp;sourceID=14","0.0521")</f>
        <v>0.0521</v>
      </c>
    </row>
    <row r="11625" spans="1:7">
      <c r="A11625" s="3"/>
      <c r="B11625" s="3"/>
      <c r="C11625" s="3"/>
      <c r="D11625" s="3"/>
      <c r="E11625" s="3">
        <v>2</v>
      </c>
      <c r="F11625" s="4" t="str">
        <f>HYPERLINK("http://141.218.60.56/~jnz1568/getInfo.php?workbook=10_05.xlsx&amp;sheet=U0&amp;row=11625&amp;col=6&amp;number=3.1&amp;sourceID=14","3.1")</f>
        <v>3.1</v>
      </c>
      <c r="G11625" s="4" t="str">
        <f>HYPERLINK("http://141.218.60.56/~jnz1568/getInfo.php?workbook=10_05.xlsx&amp;sheet=U0&amp;row=11625&amp;col=7&amp;number=0.0514&amp;sourceID=14","0.0514")</f>
        <v>0.0514</v>
      </c>
    </row>
    <row r="11626" spans="1:7">
      <c r="A11626" s="3"/>
      <c r="B11626" s="3"/>
      <c r="C11626" s="3"/>
      <c r="D11626" s="3"/>
      <c r="E11626" s="3">
        <v>3</v>
      </c>
      <c r="F11626" s="4" t="str">
        <f>HYPERLINK("http://141.218.60.56/~jnz1568/getInfo.php?workbook=10_05.xlsx&amp;sheet=U0&amp;row=11626&amp;col=6&amp;number=3.2&amp;sourceID=14","3.2")</f>
        <v>3.2</v>
      </c>
      <c r="G11626" s="4" t="str">
        <f>HYPERLINK("http://141.218.60.56/~jnz1568/getInfo.php?workbook=10_05.xlsx&amp;sheet=U0&amp;row=11626&amp;col=7&amp;number=0.0506&amp;sourceID=14","0.0506")</f>
        <v>0.0506</v>
      </c>
    </row>
    <row r="11627" spans="1:7">
      <c r="A11627" s="3"/>
      <c r="B11627" s="3"/>
      <c r="C11627" s="3"/>
      <c r="D11627" s="3"/>
      <c r="E11627" s="3">
        <v>4</v>
      </c>
      <c r="F11627" s="4" t="str">
        <f>HYPERLINK("http://141.218.60.56/~jnz1568/getInfo.php?workbook=10_05.xlsx&amp;sheet=U0&amp;row=11627&amp;col=6&amp;number=3.3&amp;sourceID=14","3.3")</f>
        <v>3.3</v>
      </c>
      <c r="G11627" s="4" t="str">
        <f>HYPERLINK("http://141.218.60.56/~jnz1568/getInfo.php?workbook=10_05.xlsx&amp;sheet=U0&amp;row=11627&amp;col=7&amp;number=0.0496&amp;sourceID=14","0.0496")</f>
        <v>0.0496</v>
      </c>
    </row>
    <row r="11628" spans="1:7">
      <c r="A11628" s="3"/>
      <c r="B11628" s="3"/>
      <c r="C11628" s="3"/>
      <c r="D11628" s="3"/>
      <c r="E11628" s="3">
        <v>5</v>
      </c>
      <c r="F11628" s="4" t="str">
        <f>HYPERLINK("http://141.218.60.56/~jnz1568/getInfo.php?workbook=10_05.xlsx&amp;sheet=U0&amp;row=11628&amp;col=6&amp;number=3.4&amp;sourceID=14","3.4")</f>
        <v>3.4</v>
      </c>
      <c r="G11628" s="4" t="str">
        <f>HYPERLINK("http://141.218.60.56/~jnz1568/getInfo.php?workbook=10_05.xlsx&amp;sheet=U0&amp;row=11628&amp;col=7&amp;number=0.0483&amp;sourceID=14","0.0483")</f>
        <v>0.0483</v>
      </c>
    </row>
    <row r="11629" spans="1:7">
      <c r="A11629" s="3"/>
      <c r="B11629" s="3"/>
      <c r="C11629" s="3"/>
      <c r="D11629" s="3"/>
      <c r="E11629" s="3">
        <v>6</v>
      </c>
      <c r="F11629" s="4" t="str">
        <f>HYPERLINK("http://141.218.60.56/~jnz1568/getInfo.php?workbook=10_05.xlsx&amp;sheet=U0&amp;row=11629&amp;col=6&amp;number=3.5&amp;sourceID=14","3.5")</f>
        <v>3.5</v>
      </c>
      <c r="G11629" s="4" t="str">
        <f>HYPERLINK("http://141.218.60.56/~jnz1568/getInfo.php?workbook=10_05.xlsx&amp;sheet=U0&amp;row=11629&amp;col=7&amp;number=0.0468&amp;sourceID=14","0.0468")</f>
        <v>0.0468</v>
      </c>
    </row>
    <row r="11630" spans="1:7">
      <c r="A11630" s="3"/>
      <c r="B11630" s="3"/>
      <c r="C11630" s="3"/>
      <c r="D11630" s="3"/>
      <c r="E11630" s="3">
        <v>7</v>
      </c>
      <c r="F11630" s="4" t="str">
        <f>HYPERLINK("http://141.218.60.56/~jnz1568/getInfo.php?workbook=10_05.xlsx&amp;sheet=U0&amp;row=11630&amp;col=6&amp;number=3.6&amp;sourceID=14","3.6")</f>
        <v>3.6</v>
      </c>
      <c r="G11630" s="4" t="str">
        <f>HYPERLINK("http://141.218.60.56/~jnz1568/getInfo.php?workbook=10_05.xlsx&amp;sheet=U0&amp;row=11630&amp;col=7&amp;number=0.0449&amp;sourceID=14","0.0449")</f>
        <v>0.0449</v>
      </c>
    </row>
    <row r="11631" spans="1:7">
      <c r="A11631" s="3"/>
      <c r="B11631" s="3"/>
      <c r="C11631" s="3"/>
      <c r="D11631" s="3"/>
      <c r="E11631" s="3">
        <v>8</v>
      </c>
      <c r="F11631" s="4" t="str">
        <f>HYPERLINK("http://141.218.60.56/~jnz1568/getInfo.php?workbook=10_05.xlsx&amp;sheet=U0&amp;row=11631&amp;col=6&amp;number=3.7&amp;sourceID=14","3.7")</f>
        <v>3.7</v>
      </c>
      <c r="G11631" s="4" t="str">
        <f>HYPERLINK("http://141.218.60.56/~jnz1568/getInfo.php?workbook=10_05.xlsx&amp;sheet=U0&amp;row=11631&amp;col=7&amp;number=0.0427&amp;sourceID=14","0.0427")</f>
        <v>0.0427</v>
      </c>
    </row>
    <row r="11632" spans="1:7">
      <c r="A11632" s="3"/>
      <c r="B11632" s="3"/>
      <c r="C11632" s="3"/>
      <c r="D11632" s="3"/>
      <c r="E11632" s="3">
        <v>9</v>
      </c>
      <c r="F11632" s="4" t="str">
        <f>HYPERLINK("http://141.218.60.56/~jnz1568/getInfo.php?workbook=10_05.xlsx&amp;sheet=U0&amp;row=11632&amp;col=6&amp;number=3.8&amp;sourceID=14","3.8")</f>
        <v>3.8</v>
      </c>
      <c r="G11632" s="4" t="str">
        <f>HYPERLINK("http://141.218.60.56/~jnz1568/getInfo.php?workbook=10_05.xlsx&amp;sheet=U0&amp;row=11632&amp;col=7&amp;number=0.0402&amp;sourceID=14","0.0402")</f>
        <v>0.0402</v>
      </c>
    </row>
    <row r="11633" spans="1:7">
      <c r="A11633" s="3"/>
      <c r="B11633" s="3"/>
      <c r="C11633" s="3"/>
      <c r="D11633" s="3"/>
      <c r="E11633" s="3">
        <v>10</v>
      </c>
      <c r="F11633" s="4" t="str">
        <f>HYPERLINK("http://141.218.60.56/~jnz1568/getInfo.php?workbook=10_05.xlsx&amp;sheet=U0&amp;row=11633&amp;col=6&amp;number=3.9&amp;sourceID=14","3.9")</f>
        <v>3.9</v>
      </c>
      <c r="G11633" s="4" t="str">
        <f>HYPERLINK("http://141.218.60.56/~jnz1568/getInfo.php?workbook=10_05.xlsx&amp;sheet=U0&amp;row=11633&amp;col=7&amp;number=0.0373&amp;sourceID=14","0.0373")</f>
        <v>0.0373</v>
      </c>
    </row>
    <row r="11634" spans="1:7">
      <c r="A11634" s="3"/>
      <c r="B11634" s="3"/>
      <c r="C11634" s="3"/>
      <c r="D11634" s="3"/>
      <c r="E11634" s="3">
        <v>11</v>
      </c>
      <c r="F11634" s="4" t="str">
        <f>HYPERLINK("http://141.218.60.56/~jnz1568/getInfo.php?workbook=10_05.xlsx&amp;sheet=U0&amp;row=11634&amp;col=6&amp;number=4&amp;sourceID=14","4")</f>
        <v>4</v>
      </c>
      <c r="G11634" s="4" t="str">
        <f>HYPERLINK("http://141.218.60.56/~jnz1568/getInfo.php?workbook=10_05.xlsx&amp;sheet=U0&amp;row=11634&amp;col=7&amp;number=0.0343&amp;sourceID=14","0.0343")</f>
        <v>0.0343</v>
      </c>
    </row>
    <row r="11635" spans="1:7">
      <c r="A11635" s="3"/>
      <c r="B11635" s="3"/>
      <c r="C11635" s="3"/>
      <c r="D11635" s="3"/>
      <c r="E11635" s="3">
        <v>12</v>
      </c>
      <c r="F11635" s="4" t="str">
        <f>HYPERLINK("http://141.218.60.56/~jnz1568/getInfo.php?workbook=10_05.xlsx&amp;sheet=U0&amp;row=11635&amp;col=6&amp;number=4.1&amp;sourceID=14","4.1")</f>
        <v>4.1</v>
      </c>
      <c r="G11635" s="4" t="str">
        <f>HYPERLINK("http://141.218.60.56/~jnz1568/getInfo.php?workbook=10_05.xlsx&amp;sheet=U0&amp;row=11635&amp;col=7&amp;number=0.0314&amp;sourceID=14","0.0314")</f>
        <v>0.0314</v>
      </c>
    </row>
    <row r="11636" spans="1:7">
      <c r="A11636" s="3"/>
      <c r="B11636" s="3"/>
      <c r="C11636" s="3"/>
      <c r="D11636" s="3"/>
      <c r="E11636" s="3">
        <v>13</v>
      </c>
      <c r="F11636" s="4" t="str">
        <f>HYPERLINK("http://141.218.60.56/~jnz1568/getInfo.php?workbook=10_05.xlsx&amp;sheet=U0&amp;row=11636&amp;col=6&amp;number=4.2&amp;sourceID=14","4.2")</f>
        <v>4.2</v>
      </c>
      <c r="G11636" s="4" t="str">
        <f>HYPERLINK("http://141.218.60.56/~jnz1568/getInfo.php?workbook=10_05.xlsx&amp;sheet=U0&amp;row=11636&amp;col=7&amp;number=0.0289&amp;sourceID=14","0.0289")</f>
        <v>0.0289</v>
      </c>
    </row>
    <row r="11637" spans="1:7">
      <c r="A11637" s="3"/>
      <c r="B11637" s="3"/>
      <c r="C11637" s="3"/>
      <c r="D11637" s="3"/>
      <c r="E11637" s="3">
        <v>14</v>
      </c>
      <c r="F11637" s="4" t="str">
        <f>HYPERLINK("http://141.218.60.56/~jnz1568/getInfo.php?workbook=10_05.xlsx&amp;sheet=U0&amp;row=11637&amp;col=6&amp;number=4.3&amp;sourceID=14","4.3")</f>
        <v>4.3</v>
      </c>
      <c r="G11637" s="4" t="str">
        <f>HYPERLINK("http://141.218.60.56/~jnz1568/getInfo.php?workbook=10_05.xlsx&amp;sheet=U0&amp;row=11637&amp;col=7&amp;number=0.0269&amp;sourceID=14","0.0269")</f>
        <v>0.0269</v>
      </c>
    </row>
    <row r="11638" spans="1:7">
      <c r="A11638" s="3"/>
      <c r="B11638" s="3"/>
      <c r="C11638" s="3"/>
      <c r="D11638" s="3"/>
      <c r="E11638" s="3">
        <v>15</v>
      </c>
      <c r="F11638" s="4" t="str">
        <f>HYPERLINK("http://141.218.60.56/~jnz1568/getInfo.php?workbook=10_05.xlsx&amp;sheet=U0&amp;row=11638&amp;col=6&amp;number=4.4&amp;sourceID=14","4.4")</f>
        <v>4.4</v>
      </c>
      <c r="G11638" s="4" t="str">
        <f>HYPERLINK("http://141.218.60.56/~jnz1568/getInfo.php?workbook=10_05.xlsx&amp;sheet=U0&amp;row=11638&amp;col=7&amp;number=0.0252&amp;sourceID=14","0.0252")</f>
        <v>0.0252</v>
      </c>
    </row>
    <row r="11639" spans="1:7">
      <c r="A11639" s="3"/>
      <c r="B11639" s="3"/>
      <c r="C11639" s="3"/>
      <c r="D11639" s="3"/>
      <c r="E11639" s="3">
        <v>16</v>
      </c>
      <c r="F11639" s="4" t="str">
        <f>HYPERLINK("http://141.218.60.56/~jnz1568/getInfo.php?workbook=10_05.xlsx&amp;sheet=U0&amp;row=11639&amp;col=6&amp;number=4.5&amp;sourceID=14","4.5")</f>
        <v>4.5</v>
      </c>
      <c r="G11639" s="4" t="str">
        <f>HYPERLINK("http://141.218.60.56/~jnz1568/getInfo.php?workbook=10_05.xlsx&amp;sheet=U0&amp;row=11639&amp;col=7&amp;number=0.0236&amp;sourceID=14","0.0236")</f>
        <v>0.0236</v>
      </c>
    </row>
    <row r="11640" spans="1:7">
      <c r="A11640" s="3"/>
      <c r="B11640" s="3"/>
      <c r="C11640" s="3"/>
      <c r="D11640" s="3"/>
      <c r="E11640" s="3">
        <v>17</v>
      </c>
      <c r="F11640" s="4" t="str">
        <f>HYPERLINK("http://141.218.60.56/~jnz1568/getInfo.php?workbook=10_05.xlsx&amp;sheet=U0&amp;row=11640&amp;col=6&amp;number=4.6&amp;sourceID=14","4.6")</f>
        <v>4.6</v>
      </c>
      <c r="G11640" s="4" t="str">
        <f>HYPERLINK("http://141.218.60.56/~jnz1568/getInfo.php?workbook=10_05.xlsx&amp;sheet=U0&amp;row=11640&amp;col=7&amp;number=0.0221&amp;sourceID=14","0.0221")</f>
        <v>0.0221</v>
      </c>
    </row>
    <row r="11641" spans="1:7">
      <c r="A11641" s="3"/>
      <c r="B11641" s="3"/>
      <c r="C11641" s="3"/>
      <c r="D11641" s="3"/>
      <c r="E11641" s="3">
        <v>18</v>
      </c>
      <c r="F11641" s="4" t="str">
        <f>HYPERLINK("http://141.218.60.56/~jnz1568/getInfo.php?workbook=10_05.xlsx&amp;sheet=U0&amp;row=11641&amp;col=6&amp;number=4.7&amp;sourceID=14","4.7")</f>
        <v>4.7</v>
      </c>
      <c r="G11641" s="4" t="str">
        <f>HYPERLINK("http://141.218.60.56/~jnz1568/getInfo.php?workbook=10_05.xlsx&amp;sheet=U0&amp;row=11641&amp;col=7&amp;number=0.0207&amp;sourceID=14","0.0207")</f>
        <v>0.0207</v>
      </c>
    </row>
    <row r="11642" spans="1:7">
      <c r="A11642" s="3"/>
      <c r="B11642" s="3"/>
      <c r="C11642" s="3"/>
      <c r="D11642" s="3"/>
      <c r="E11642" s="3">
        <v>19</v>
      </c>
      <c r="F11642" s="4" t="str">
        <f>HYPERLINK("http://141.218.60.56/~jnz1568/getInfo.php?workbook=10_05.xlsx&amp;sheet=U0&amp;row=11642&amp;col=6&amp;number=4.8&amp;sourceID=14","4.8")</f>
        <v>4.8</v>
      </c>
      <c r="G11642" s="4" t="str">
        <f>HYPERLINK("http://141.218.60.56/~jnz1568/getInfo.php?workbook=10_05.xlsx&amp;sheet=U0&amp;row=11642&amp;col=7&amp;number=0.0196&amp;sourceID=14","0.0196")</f>
        <v>0.0196</v>
      </c>
    </row>
    <row r="11643" spans="1:7">
      <c r="A11643" s="3"/>
      <c r="B11643" s="3"/>
      <c r="C11643" s="3"/>
      <c r="D11643" s="3"/>
      <c r="E11643" s="3">
        <v>20</v>
      </c>
      <c r="F11643" s="4" t="str">
        <f>HYPERLINK("http://141.218.60.56/~jnz1568/getInfo.php?workbook=10_05.xlsx&amp;sheet=U0&amp;row=11643&amp;col=6&amp;number=4.9&amp;sourceID=14","4.9")</f>
        <v>4.9</v>
      </c>
      <c r="G11643" s="4" t="str">
        <f>HYPERLINK("http://141.218.60.56/~jnz1568/getInfo.php?workbook=10_05.xlsx&amp;sheet=U0&amp;row=11643&amp;col=7&amp;number=0.0183&amp;sourceID=14","0.0183")</f>
        <v>0.0183</v>
      </c>
    </row>
    <row r="11644" spans="1:7">
      <c r="A11644" s="3">
        <v>10</v>
      </c>
      <c r="B11644" s="3">
        <v>5</v>
      </c>
      <c r="C11644" s="3">
        <v>4</v>
      </c>
      <c r="D11644" s="3">
        <v>53</v>
      </c>
      <c r="E11644" s="3">
        <v>1</v>
      </c>
      <c r="F11644" s="4" t="str">
        <f>HYPERLINK("http://141.218.60.56/~jnz1568/getInfo.php?workbook=10_05.xlsx&amp;sheet=U0&amp;row=11644&amp;col=6&amp;number=3&amp;sourceID=14","3")</f>
        <v>3</v>
      </c>
      <c r="G11644" s="4" t="str">
        <f>HYPERLINK("http://141.218.60.56/~jnz1568/getInfo.php?workbook=10_05.xlsx&amp;sheet=U0&amp;row=11644&amp;col=7&amp;number=0.0325&amp;sourceID=14","0.0325")</f>
        <v>0.0325</v>
      </c>
    </row>
    <row r="11645" spans="1:7">
      <c r="A11645" s="3"/>
      <c r="B11645" s="3"/>
      <c r="C11645" s="3"/>
      <c r="D11645" s="3"/>
      <c r="E11645" s="3">
        <v>2</v>
      </c>
      <c r="F11645" s="4" t="str">
        <f>HYPERLINK("http://141.218.60.56/~jnz1568/getInfo.php?workbook=10_05.xlsx&amp;sheet=U0&amp;row=11645&amp;col=6&amp;number=3.1&amp;sourceID=14","3.1")</f>
        <v>3.1</v>
      </c>
      <c r="G11645" s="4" t="str">
        <f>HYPERLINK("http://141.218.60.56/~jnz1568/getInfo.php?workbook=10_05.xlsx&amp;sheet=U0&amp;row=11645&amp;col=7&amp;number=0.032&amp;sourceID=14","0.032")</f>
        <v>0.032</v>
      </c>
    </row>
    <row r="11646" spans="1:7">
      <c r="A11646" s="3"/>
      <c r="B11646" s="3"/>
      <c r="C11646" s="3"/>
      <c r="D11646" s="3"/>
      <c r="E11646" s="3">
        <v>3</v>
      </c>
      <c r="F11646" s="4" t="str">
        <f>HYPERLINK("http://141.218.60.56/~jnz1568/getInfo.php?workbook=10_05.xlsx&amp;sheet=U0&amp;row=11646&amp;col=6&amp;number=3.2&amp;sourceID=14","3.2")</f>
        <v>3.2</v>
      </c>
      <c r="G11646" s="4" t="str">
        <f>HYPERLINK("http://141.218.60.56/~jnz1568/getInfo.php?workbook=10_05.xlsx&amp;sheet=U0&amp;row=11646&amp;col=7&amp;number=0.0314&amp;sourceID=14","0.0314")</f>
        <v>0.0314</v>
      </c>
    </row>
    <row r="11647" spans="1:7">
      <c r="A11647" s="3"/>
      <c r="B11647" s="3"/>
      <c r="C11647" s="3"/>
      <c r="D11647" s="3"/>
      <c r="E11647" s="3">
        <v>4</v>
      </c>
      <c r="F11647" s="4" t="str">
        <f>HYPERLINK("http://141.218.60.56/~jnz1568/getInfo.php?workbook=10_05.xlsx&amp;sheet=U0&amp;row=11647&amp;col=6&amp;number=3.3&amp;sourceID=14","3.3")</f>
        <v>3.3</v>
      </c>
      <c r="G11647" s="4" t="str">
        <f>HYPERLINK("http://141.218.60.56/~jnz1568/getInfo.php?workbook=10_05.xlsx&amp;sheet=U0&amp;row=11647&amp;col=7&amp;number=0.0306&amp;sourceID=14","0.0306")</f>
        <v>0.0306</v>
      </c>
    </row>
    <row r="11648" spans="1:7">
      <c r="A11648" s="3"/>
      <c r="B11648" s="3"/>
      <c r="C11648" s="3"/>
      <c r="D11648" s="3"/>
      <c r="E11648" s="3">
        <v>5</v>
      </c>
      <c r="F11648" s="4" t="str">
        <f>HYPERLINK("http://141.218.60.56/~jnz1568/getInfo.php?workbook=10_05.xlsx&amp;sheet=U0&amp;row=11648&amp;col=6&amp;number=3.4&amp;sourceID=14","3.4")</f>
        <v>3.4</v>
      </c>
      <c r="G11648" s="4" t="str">
        <f>HYPERLINK("http://141.218.60.56/~jnz1568/getInfo.php?workbook=10_05.xlsx&amp;sheet=U0&amp;row=11648&amp;col=7&amp;number=0.0297&amp;sourceID=14","0.0297")</f>
        <v>0.0297</v>
      </c>
    </row>
    <row r="11649" spans="1:7">
      <c r="A11649" s="3"/>
      <c r="B11649" s="3"/>
      <c r="C11649" s="3"/>
      <c r="D11649" s="3"/>
      <c r="E11649" s="3">
        <v>6</v>
      </c>
      <c r="F11649" s="4" t="str">
        <f>HYPERLINK("http://141.218.60.56/~jnz1568/getInfo.php?workbook=10_05.xlsx&amp;sheet=U0&amp;row=11649&amp;col=6&amp;number=3.5&amp;sourceID=14","3.5")</f>
        <v>3.5</v>
      </c>
      <c r="G11649" s="4" t="str">
        <f>HYPERLINK("http://141.218.60.56/~jnz1568/getInfo.php?workbook=10_05.xlsx&amp;sheet=U0&amp;row=11649&amp;col=7&amp;number=0.0285&amp;sourceID=14","0.0285")</f>
        <v>0.0285</v>
      </c>
    </row>
    <row r="11650" spans="1:7">
      <c r="A11650" s="3"/>
      <c r="B11650" s="3"/>
      <c r="C11650" s="3"/>
      <c r="D11650" s="3"/>
      <c r="E11650" s="3">
        <v>7</v>
      </c>
      <c r="F11650" s="4" t="str">
        <f>HYPERLINK("http://141.218.60.56/~jnz1568/getInfo.php?workbook=10_05.xlsx&amp;sheet=U0&amp;row=11650&amp;col=6&amp;number=3.6&amp;sourceID=14","3.6")</f>
        <v>3.6</v>
      </c>
      <c r="G11650" s="4" t="str">
        <f>HYPERLINK("http://141.218.60.56/~jnz1568/getInfo.php?workbook=10_05.xlsx&amp;sheet=U0&amp;row=11650&amp;col=7&amp;number=0.0271&amp;sourceID=14","0.0271")</f>
        <v>0.0271</v>
      </c>
    </row>
    <row r="11651" spans="1:7">
      <c r="A11651" s="3"/>
      <c r="B11651" s="3"/>
      <c r="C11651" s="3"/>
      <c r="D11651" s="3"/>
      <c r="E11651" s="3">
        <v>8</v>
      </c>
      <c r="F11651" s="4" t="str">
        <f>HYPERLINK("http://141.218.60.56/~jnz1568/getInfo.php?workbook=10_05.xlsx&amp;sheet=U0&amp;row=11651&amp;col=6&amp;number=3.7&amp;sourceID=14","3.7")</f>
        <v>3.7</v>
      </c>
      <c r="G11651" s="4" t="str">
        <f>HYPERLINK("http://141.218.60.56/~jnz1568/getInfo.php?workbook=10_05.xlsx&amp;sheet=U0&amp;row=11651&amp;col=7&amp;number=0.0255&amp;sourceID=14","0.0255")</f>
        <v>0.0255</v>
      </c>
    </row>
    <row r="11652" spans="1:7">
      <c r="A11652" s="3"/>
      <c r="B11652" s="3"/>
      <c r="C11652" s="3"/>
      <c r="D11652" s="3"/>
      <c r="E11652" s="3">
        <v>9</v>
      </c>
      <c r="F11652" s="4" t="str">
        <f>HYPERLINK("http://141.218.60.56/~jnz1568/getInfo.php?workbook=10_05.xlsx&amp;sheet=U0&amp;row=11652&amp;col=6&amp;number=3.8&amp;sourceID=14","3.8")</f>
        <v>3.8</v>
      </c>
      <c r="G11652" s="4" t="str">
        <f>HYPERLINK("http://141.218.60.56/~jnz1568/getInfo.php?workbook=10_05.xlsx&amp;sheet=U0&amp;row=11652&amp;col=7&amp;number=0.0237&amp;sourceID=14","0.0237")</f>
        <v>0.0237</v>
      </c>
    </row>
    <row r="11653" spans="1:7">
      <c r="A11653" s="3"/>
      <c r="B11653" s="3"/>
      <c r="C11653" s="3"/>
      <c r="D11653" s="3"/>
      <c r="E11653" s="3">
        <v>10</v>
      </c>
      <c r="F11653" s="4" t="str">
        <f>HYPERLINK("http://141.218.60.56/~jnz1568/getInfo.php?workbook=10_05.xlsx&amp;sheet=U0&amp;row=11653&amp;col=6&amp;number=3.9&amp;sourceID=14","3.9")</f>
        <v>3.9</v>
      </c>
      <c r="G11653" s="4" t="str">
        <f>HYPERLINK("http://141.218.60.56/~jnz1568/getInfo.php?workbook=10_05.xlsx&amp;sheet=U0&amp;row=11653&amp;col=7&amp;number=0.0218&amp;sourceID=14","0.0218")</f>
        <v>0.0218</v>
      </c>
    </row>
    <row r="11654" spans="1:7">
      <c r="A11654" s="3"/>
      <c r="B11654" s="3"/>
      <c r="C11654" s="3"/>
      <c r="D11654" s="3"/>
      <c r="E11654" s="3">
        <v>11</v>
      </c>
      <c r="F11654" s="4" t="str">
        <f>HYPERLINK("http://141.218.60.56/~jnz1568/getInfo.php?workbook=10_05.xlsx&amp;sheet=U0&amp;row=11654&amp;col=6&amp;number=4&amp;sourceID=14","4")</f>
        <v>4</v>
      </c>
      <c r="G11654" s="4" t="str">
        <f>HYPERLINK("http://141.218.60.56/~jnz1568/getInfo.php?workbook=10_05.xlsx&amp;sheet=U0&amp;row=11654&amp;col=7&amp;number=0.0199&amp;sourceID=14","0.0199")</f>
        <v>0.0199</v>
      </c>
    </row>
    <row r="11655" spans="1:7">
      <c r="A11655" s="3"/>
      <c r="B11655" s="3"/>
      <c r="C11655" s="3"/>
      <c r="D11655" s="3"/>
      <c r="E11655" s="3">
        <v>12</v>
      </c>
      <c r="F11655" s="4" t="str">
        <f>HYPERLINK("http://141.218.60.56/~jnz1568/getInfo.php?workbook=10_05.xlsx&amp;sheet=U0&amp;row=11655&amp;col=6&amp;number=4.1&amp;sourceID=14","4.1")</f>
        <v>4.1</v>
      </c>
      <c r="G11655" s="4" t="str">
        <f>HYPERLINK("http://141.218.60.56/~jnz1568/getInfo.php?workbook=10_05.xlsx&amp;sheet=U0&amp;row=11655&amp;col=7&amp;number=0.0183&amp;sourceID=14","0.0183")</f>
        <v>0.0183</v>
      </c>
    </row>
    <row r="11656" spans="1:7">
      <c r="A11656" s="3"/>
      <c r="B11656" s="3"/>
      <c r="C11656" s="3"/>
      <c r="D11656" s="3"/>
      <c r="E11656" s="3">
        <v>13</v>
      </c>
      <c r="F11656" s="4" t="str">
        <f>HYPERLINK("http://141.218.60.56/~jnz1568/getInfo.php?workbook=10_05.xlsx&amp;sheet=U0&amp;row=11656&amp;col=6&amp;number=4.2&amp;sourceID=14","4.2")</f>
        <v>4.2</v>
      </c>
      <c r="G11656" s="4" t="str">
        <f>HYPERLINK("http://141.218.60.56/~jnz1568/getInfo.php?workbook=10_05.xlsx&amp;sheet=U0&amp;row=11656&amp;col=7&amp;number=0.0169&amp;sourceID=14","0.0169")</f>
        <v>0.0169</v>
      </c>
    </row>
    <row r="11657" spans="1:7">
      <c r="A11657" s="3"/>
      <c r="B11657" s="3"/>
      <c r="C11657" s="3"/>
      <c r="D11657" s="3"/>
      <c r="E11657" s="3">
        <v>14</v>
      </c>
      <c r="F11657" s="4" t="str">
        <f>HYPERLINK("http://141.218.60.56/~jnz1568/getInfo.php?workbook=10_05.xlsx&amp;sheet=U0&amp;row=11657&amp;col=6&amp;number=4.3&amp;sourceID=14","4.3")</f>
        <v>4.3</v>
      </c>
      <c r="G11657" s="4" t="str">
        <f>HYPERLINK("http://141.218.60.56/~jnz1568/getInfo.php?workbook=10_05.xlsx&amp;sheet=U0&amp;row=11657&amp;col=7&amp;number=0.0158&amp;sourceID=14","0.0158")</f>
        <v>0.0158</v>
      </c>
    </row>
    <row r="11658" spans="1:7">
      <c r="A11658" s="3"/>
      <c r="B11658" s="3"/>
      <c r="C11658" s="3"/>
      <c r="D11658" s="3"/>
      <c r="E11658" s="3">
        <v>15</v>
      </c>
      <c r="F11658" s="4" t="str">
        <f>HYPERLINK("http://141.218.60.56/~jnz1568/getInfo.php?workbook=10_05.xlsx&amp;sheet=U0&amp;row=11658&amp;col=6&amp;number=4.4&amp;sourceID=14","4.4")</f>
        <v>4.4</v>
      </c>
      <c r="G11658" s="4" t="str">
        <f>HYPERLINK("http://141.218.60.56/~jnz1568/getInfo.php?workbook=10_05.xlsx&amp;sheet=U0&amp;row=11658&amp;col=7&amp;number=0.0147&amp;sourceID=14","0.0147")</f>
        <v>0.0147</v>
      </c>
    </row>
    <row r="11659" spans="1:7">
      <c r="A11659" s="3"/>
      <c r="B11659" s="3"/>
      <c r="C11659" s="3"/>
      <c r="D11659" s="3"/>
      <c r="E11659" s="3">
        <v>16</v>
      </c>
      <c r="F11659" s="4" t="str">
        <f>HYPERLINK("http://141.218.60.56/~jnz1568/getInfo.php?workbook=10_05.xlsx&amp;sheet=U0&amp;row=11659&amp;col=6&amp;number=4.5&amp;sourceID=14","4.5")</f>
        <v>4.5</v>
      </c>
      <c r="G11659" s="4" t="str">
        <f>HYPERLINK("http://141.218.60.56/~jnz1568/getInfo.php?workbook=10_05.xlsx&amp;sheet=U0&amp;row=11659&amp;col=7&amp;number=0.0136&amp;sourceID=14","0.0136")</f>
        <v>0.0136</v>
      </c>
    </row>
    <row r="11660" spans="1:7">
      <c r="A11660" s="3"/>
      <c r="B11660" s="3"/>
      <c r="C11660" s="3"/>
      <c r="D11660" s="3"/>
      <c r="E11660" s="3">
        <v>17</v>
      </c>
      <c r="F11660" s="4" t="str">
        <f>HYPERLINK("http://141.218.60.56/~jnz1568/getInfo.php?workbook=10_05.xlsx&amp;sheet=U0&amp;row=11660&amp;col=6&amp;number=4.6&amp;sourceID=14","4.6")</f>
        <v>4.6</v>
      </c>
      <c r="G11660" s="4" t="str">
        <f>HYPERLINK("http://141.218.60.56/~jnz1568/getInfo.php?workbook=10_05.xlsx&amp;sheet=U0&amp;row=11660&amp;col=7&amp;number=0.0127&amp;sourceID=14","0.0127")</f>
        <v>0.0127</v>
      </c>
    </row>
    <row r="11661" spans="1:7">
      <c r="A11661" s="3"/>
      <c r="B11661" s="3"/>
      <c r="C11661" s="3"/>
      <c r="D11661" s="3"/>
      <c r="E11661" s="3">
        <v>18</v>
      </c>
      <c r="F11661" s="4" t="str">
        <f>HYPERLINK("http://141.218.60.56/~jnz1568/getInfo.php?workbook=10_05.xlsx&amp;sheet=U0&amp;row=11661&amp;col=6&amp;number=4.7&amp;sourceID=14","4.7")</f>
        <v>4.7</v>
      </c>
      <c r="G11661" s="4" t="str">
        <f>HYPERLINK("http://141.218.60.56/~jnz1568/getInfo.php?workbook=10_05.xlsx&amp;sheet=U0&amp;row=11661&amp;col=7&amp;number=0.012&amp;sourceID=14","0.012")</f>
        <v>0.012</v>
      </c>
    </row>
    <row r="11662" spans="1:7">
      <c r="A11662" s="3"/>
      <c r="B11662" s="3"/>
      <c r="C11662" s="3"/>
      <c r="D11662" s="3"/>
      <c r="E11662" s="3">
        <v>19</v>
      </c>
      <c r="F11662" s="4" t="str">
        <f>HYPERLINK("http://141.218.60.56/~jnz1568/getInfo.php?workbook=10_05.xlsx&amp;sheet=U0&amp;row=11662&amp;col=6&amp;number=4.8&amp;sourceID=14","4.8")</f>
        <v>4.8</v>
      </c>
      <c r="G11662" s="4" t="str">
        <f>HYPERLINK("http://141.218.60.56/~jnz1568/getInfo.php?workbook=10_05.xlsx&amp;sheet=U0&amp;row=11662&amp;col=7&amp;number=0.0112&amp;sourceID=14","0.0112")</f>
        <v>0.0112</v>
      </c>
    </row>
    <row r="11663" spans="1:7">
      <c r="A11663" s="3"/>
      <c r="B11663" s="3"/>
      <c r="C11663" s="3"/>
      <c r="D11663" s="3"/>
      <c r="E11663" s="3">
        <v>20</v>
      </c>
      <c r="F11663" s="4" t="str">
        <f>HYPERLINK("http://141.218.60.56/~jnz1568/getInfo.php?workbook=10_05.xlsx&amp;sheet=U0&amp;row=11663&amp;col=6&amp;number=4.9&amp;sourceID=14","4.9")</f>
        <v>4.9</v>
      </c>
      <c r="G11663" s="4" t="str">
        <f>HYPERLINK("http://141.218.60.56/~jnz1568/getInfo.php?workbook=10_05.xlsx&amp;sheet=U0&amp;row=11663&amp;col=7&amp;number=0.0104&amp;sourceID=14","0.0104")</f>
        <v>0.0104</v>
      </c>
    </row>
    <row r="11664" spans="1:7">
      <c r="A11664" s="3">
        <v>10</v>
      </c>
      <c r="B11664" s="3">
        <v>5</v>
      </c>
      <c r="C11664" s="3">
        <v>4</v>
      </c>
      <c r="D11664" s="3">
        <v>54</v>
      </c>
      <c r="E11664" s="3">
        <v>1</v>
      </c>
      <c r="F11664" s="4" t="str">
        <f>HYPERLINK("http://141.218.60.56/~jnz1568/getInfo.php?workbook=10_05.xlsx&amp;sheet=U0&amp;row=11664&amp;col=6&amp;number=3&amp;sourceID=14","3")</f>
        <v>3</v>
      </c>
      <c r="G11664" s="4" t="str">
        <f>HYPERLINK("http://141.218.60.56/~jnz1568/getInfo.php?workbook=10_05.xlsx&amp;sheet=U0&amp;row=11664&amp;col=7&amp;number=0.0645&amp;sourceID=14","0.0645")</f>
        <v>0.0645</v>
      </c>
    </row>
    <row r="11665" spans="1:7">
      <c r="A11665" s="3"/>
      <c r="B11665" s="3"/>
      <c r="C11665" s="3"/>
      <c r="D11665" s="3"/>
      <c r="E11665" s="3">
        <v>2</v>
      </c>
      <c r="F11665" s="4" t="str">
        <f>HYPERLINK("http://141.218.60.56/~jnz1568/getInfo.php?workbook=10_05.xlsx&amp;sheet=U0&amp;row=11665&amp;col=6&amp;number=3.1&amp;sourceID=14","3.1")</f>
        <v>3.1</v>
      </c>
      <c r="G11665" s="4" t="str">
        <f>HYPERLINK("http://141.218.60.56/~jnz1568/getInfo.php?workbook=10_05.xlsx&amp;sheet=U0&amp;row=11665&amp;col=7&amp;number=0.0644&amp;sourceID=14","0.0644")</f>
        <v>0.0644</v>
      </c>
    </row>
    <row r="11666" spans="1:7">
      <c r="A11666" s="3"/>
      <c r="B11666" s="3"/>
      <c r="C11666" s="3"/>
      <c r="D11666" s="3"/>
      <c r="E11666" s="3">
        <v>3</v>
      </c>
      <c r="F11666" s="4" t="str">
        <f>HYPERLINK("http://141.218.60.56/~jnz1568/getInfo.php?workbook=10_05.xlsx&amp;sheet=U0&amp;row=11666&amp;col=6&amp;number=3.2&amp;sourceID=14","3.2")</f>
        <v>3.2</v>
      </c>
      <c r="G11666" s="4" t="str">
        <f>HYPERLINK("http://141.218.60.56/~jnz1568/getInfo.php?workbook=10_05.xlsx&amp;sheet=U0&amp;row=11666&amp;col=7&amp;number=0.0641&amp;sourceID=14","0.0641")</f>
        <v>0.0641</v>
      </c>
    </row>
    <row r="11667" spans="1:7">
      <c r="A11667" s="3"/>
      <c r="B11667" s="3"/>
      <c r="C11667" s="3"/>
      <c r="D11667" s="3"/>
      <c r="E11667" s="3">
        <v>4</v>
      </c>
      <c r="F11667" s="4" t="str">
        <f>HYPERLINK("http://141.218.60.56/~jnz1568/getInfo.php?workbook=10_05.xlsx&amp;sheet=U0&amp;row=11667&amp;col=6&amp;number=3.3&amp;sourceID=14","3.3")</f>
        <v>3.3</v>
      </c>
      <c r="G11667" s="4" t="str">
        <f>HYPERLINK("http://141.218.60.56/~jnz1568/getInfo.php?workbook=10_05.xlsx&amp;sheet=U0&amp;row=11667&amp;col=7&amp;number=0.0638&amp;sourceID=14","0.0638")</f>
        <v>0.0638</v>
      </c>
    </row>
    <row r="11668" spans="1:7">
      <c r="A11668" s="3"/>
      <c r="B11668" s="3"/>
      <c r="C11668" s="3"/>
      <c r="D11668" s="3"/>
      <c r="E11668" s="3">
        <v>5</v>
      </c>
      <c r="F11668" s="4" t="str">
        <f>HYPERLINK("http://141.218.60.56/~jnz1568/getInfo.php?workbook=10_05.xlsx&amp;sheet=U0&amp;row=11668&amp;col=6&amp;number=3.4&amp;sourceID=14","3.4")</f>
        <v>3.4</v>
      </c>
      <c r="G11668" s="4" t="str">
        <f>HYPERLINK("http://141.218.60.56/~jnz1568/getInfo.php?workbook=10_05.xlsx&amp;sheet=U0&amp;row=11668&amp;col=7&amp;number=0.0635&amp;sourceID=14","0.0635")</f>
        <v>0.0635</v>
      </c>
    </row>
    <row r="11669" spans="1:7">
      <c r="A11669" s="3"/>
      <c r="B11669" s="3"/>
      <c r="C11669" s="3"/>
      <c r="D11669" s="3"/>
      <c r="E11669" s="3">
        <v>6</v>
      </c>
      <c r="F11669" s="4" t="str">
        <f>HYPERLINK("http://141.218.60.56/~jnz1568/getInfo.php?workbook=10_05.xlsx&amp;sheet=U0&amp;row=11669&amp;col=6&amp;number=3.5&amp;sourceID=14","3.5")</f>
        <v>3.5</v>
      </c>
      <c r="G11669" s="4" t="str">
        <f>HYPERLINK("http://141.218.60.56/~jnz1568/getInfo.php?workbook=10_05.xlsx&amp;sheet=U0&amp;row=11669&amp;col=7&amp;number=0.0631&amp;sourceID=14","0.0631")</f>
        <v>0.0631</v>
      </c>
    </row>
    <row r="11670" spans="1:7">
      <c r="A11670" s="3"/>
      <c r="B11670" s="3"/>
      <c r="C11670" s="3"/>
      <c r="D11670" s="3"/>
      <c r="E11670" s="3">
        <v>7</v>
      </c>
      <c r="F11670" s="4" t="str">
        <f>HYPERLINK("http://141.218.60.56/~jnz1568/getInfo.php?workbook=10_05.xlsx&amp;sheet=U0&amp;row=11670&amp;col=6&amp;number=3.6&amp;sourceID=14","3.6")</f>
        <v>3.6</v>
      </c>
      <c r="G11670" s="4" t="str">
        <f>HYPERLINK("http://141.218.60.56/~jnz1568/getInfo.php?workbook=10_05.xlsx&amp;sheet=U0&amp;row=11670&amp;col=7&amp;number=0.0625&amp;sourceID=14","0.0625")</f>
        <v>0.0625</v>
      </c>
    </row>
    <row r="11671" spans="1:7">
      <c r="A11671" s="3"/>
      <c r="B11671" s="3"/>
      <c r="C11671" s="3"/>
      <c r="D11671" s="3"/>
      <c r="E11671" s="3">
        <v>8</v>
      </c>
      <c r="F11671" s="4" t="str">
        <f>HYPERLINK("http://141.218.60.56/~jnz1568/getInfo.php?workbook=10_05.xlsx&amp;sheet=U0&amp;row=11671&amp;col=6&amp;number=3.7&amp;sourceID=14","3.7")</f>
        <v>3.7</v>
      </c>
      <c r="G11671" s="4" t="str">
        <f>HYPERLINK("http://141.218.60.56/~jnz1568/getInfo.php?workbook=10_05.xlsx&amp;sheet=U0&amp;row=11671&amp;col=7&amp;number=0.0619&amp;sourceID=14","0.0619")</f>
        <v>0.0619</v>
      </c>
    </row>
    <row r="11672" spans="1:7">
      <c r="A11672" s="3"/>
      <c r="B11672" s="3"/>
      <c r="C11672" s="3"/>
      <c r="D11672" s="3"/>
      <c r="E11672" s="3">
        <v>9</v>
      </c>
      <c r="F11672" s="4" t="str">
        <f>HYPERLINK("http://141.218.60.56/~jnz1568/getInfo.php?workbook=10_05.xlsx&amp;sheet=U0&amp;row=11672&amp;col=6&amp;number=3.8&amp;sourceID=14","3.8")</f>
        <v>3.8</v>
      </c>
      <c r="G11672" s="4" t="str">
        <f>HYPERLINK("http://141.218.60.56/~jnz1568/getInfo.php?workbook=10_05.xlsx&amp;sheet=U0&amp;row=11672&amp;col=7&amp;number=0.0611&amp;sourceID=14","0.0611")</f>
        <v>0.0611</v>
      </c>
    </row>
    <row r="11673" spans="1:7">
      <c r="A11673" s="3"/>
      <c r="B11673" s="3"/>
      <c r="C11673" s="3"/>
      <c r="D11673" s="3"/>
      <c r="E11673" s="3">
        <v>10</v>
      </c>
      <c r="F11673" s="4" t="str">
        <f>HYPERLINK("http://141.218.60.56/~jnz1568/getInfo.php?workbook=10_05.xlsx&amp;sheet=U0&amp;row=11673&amp;col=6&amp;number=3.9&amp;sourceID=14","3.9")</f>
        <v>3.9</v>
      </c>
      <c r="G11673" s="4" t="str">
        <f>HYPERLINK("http://141.218.60.56/~jnz1568/getInfo.php?workbook=10_05.xlsx&amp;sheet=U0&amp;row=11673&amp;col=7&amp;number=0.0601&amp;sourceID=14","0.0601")</f>
        <v>0.0601</v>
      </c>
    </row>
    <row r="11674" spans="1:7">
      <c r="A11674" s="3"/>
      <c r="B11674" s="3"/>
      <c r="C11674" s="3"/>
      <c r="D11674" s="3"/>
      <c r="E11674" s="3">
        <v>11</v>
      </c>
      <c r="F11674" s="4" t="str">
        <f>HYPERLINK("http://141.218.60.56/~jnz1568/getInfo.php?workbook=10_05.xlsx&amp;sheet=U0&amp;row=11674&amp;col=6&amp;number=4&amp;sourceID=14","4")</f>
        <v>4</v>
      </c>
      <c r="G11674" s="4" t="str">
        <f>HYPERLINK("http://141.218.60.56/~jnz1568/getInfo.php?workbook=10_05.xlsx&amp;sheet=U0&amp;row=11674&amp;col=7&amp;number=0.0591&amp;sourceID=14","0.0591")</f>
        <v>0.0591</v>
      </c>
    </row>
    <row r="11675" spans="1:7">
      <c r="A11675" s="3"/>
      <c r="B11675" s="3"/>
      <c r="C11675" s="3"/>
      <c r="D11675" s="3"/>
      <c r="E11675" s="3">
        <v>12</v>
      </c>
      <c r="F11675" s="4" t="str">
        <f>HYPERLINK("http://141.218.60.56/~jnz1568/getInfo.php?workbook=10_05.xlsx&amp;sheet=U0&amp;row=11675&amp;col=6&amp;number=4.1&amp;sourceID=14","4.1")</f>
        <v>4.1</v>
      </c>
      <c r="G11675" s="4" t="str">
        <f>HYPERLINK("http://141.218.60.56/~jnz1568/getInfo.php?workbook=10_05.xlsx&amp;sheet=U0&amp;row=11675&amp;col=7&amp;number=0.0579&amp;sourceID=14","0.0579")</f>
        <v>0.0579</v>
      </c>
    </row>
    <row r="11676" spans="1:7">
      <c r="A11676" s="3"/>
      <c r="B11676" s="3"/>
      <c r="C11676" s="3"/>
      <c r="D11676" s="3"/>
      <c r="E11676" s="3">
        <v>13</v>
      </c>
      <c r="F11676" s="4" t="str">
        <f>HYPERLINK("http://141.218.60.56/~jnz1568/getInfo.php?workbook=10_05.xlsx&amp;sheet=U0&amp;row=11676&amp;col=6&amp;number=4.2&amp;sourceID=14","4.2")</f>
        <v>4.2</v>
      </c>
      <c r="G11676" s="4" t="str">
        <f>HYPERLINK("http://141.218.60.56/~jnz1568/getInfo.php?workbook=10_05.xlsx&amp;sheet=U0&amp;row=11676&amp;col=7&amp;number=0.0567&amp;sourceID=14","0.0567")</f>
        <v>0.0567</v>
      </c>
    </row>
    <row r="11677" spans="1:7">
      <c r="A11677" s="3"/>
      <c r="B11677" s="3"/>
      <c r="C11677" s="3"/>
      <c r="D11677" s="3"/>
      <c r="E11677" s="3">
        <v>14</v>
      </c>
      <c r="F11677" s="4" t="str">
        <f>HYPERLINK("http://141.218.60.56/~jnz1568/getInfo.php?workbook=10_05.xlsx&amp;sheet=U0&amp;row=11677&amp;col=6&amp;number=4.3&amp;sourceID=14","4.3")</f>
        <v>4.3</v>
      </c>
      <c r="G11677" s="4" t="str">
        <f>HYPERLINK("http://141.218.60.56/~jnz1568/getInfo.php?workbook=10_05.xlsx&amp;sheet=U0&amp;row=11677&amp;col=7&amp;number=0.0557&amp;sourceID=14","0.0557")</f>
        <v>0.0557</v>
      </c>
    </row>
    <row r="11678" spans="1:7">
      <c r="A11678" s="3"/>
      <c r="B11678" s="3"/>
      <c r="C11678" s="3"/>
      <c r="D11678" s="3"/>
      <c r="E11678" s="3">
        <v>15</v>
      </c>
      <c r="F11678" s="4" t="str">
        <f>HYPERLINK("http://141.218.60.56/~jnz1568/getInfo.php?workbook=10_05.xlsx&amp;sheet=U0&amp;row=11678&amp;col=6&amp;number=4.4&amp;sourceID=14","4.4")</f>
        <v>4.4</v>
      </c>
      <c r="G11678" s="4" t="str">
        <f>HYPERLINK("http://141.218.60.56/~jnz1568/getInfo.php?workbook=10_05.xlsx&amp;sheet=U0&amp;row=11678&amp;col=7&amp;number=0.055&amp;sourceID=14","0.055")</f>
        <v>0.055</v>
      </c>
    </row>
    <row r="11679" spans="1:7">
      <c r="A11679" s="3"/>
      <c r="B11679" s="3"/>
      <c r="C11679" s="3"/>
      <c r="D11679" s="3"/>
      <c r="E11679" s="3">
        <v>16</v>
      </c>
      <c r="F11679" s="4" t="str">
        <f>HYPERLINK("http://141.218.60.56/~jnz1568/getInfo.php?workbook=10_05.xlsx&amp;sheet=U0&amp;row=11679&amp;col=6&amp;number=4.5&amp;sourceID=14","4.5")</f>
        <v>4.5</v>
      </c>
      <c r="G11679" s="4" t="str">
        <f>HYPERLINK("http://141.218.60.56/~jnz1568/getInfo.php?workbook=10_05.xlsx&amp;sheet=U0&amp;row=11679&amp;col=7&amp;number=0.0546&amp;sourceID=14","0.0546")</f>
        <v>0.0546</v>
      </c>
    </row>
    <row r="11680" spans="1:7">
      <c r="A11680" s="3"/>
      <c r="B11680" s="3"/>
      <c r="C11680" s="3"/>
      <c r="D11680" s="3"/>
      <c r="E11680" s="3">
        <v>17</v>
      </c>
      <c r="F11680" s="4" t="str">
        <f>HYPERLINK("http://141.218.60.56/~jnz1568/getInfo.php?workbook=10_05.xlsx&amp;sheet=U0&amp;row=11680&amp;col=6&amp;number=4.6&amp;sourceID=14","4.6")</f>
        <v>4.6</v>
      </c>
      <c r="G11680" s="4" t="str">
        <f>HYPERLINK("http://141.218.60.56/~jnz1568/getInfo.php?workbook=10_05.xlsx&amp;sheet=U0&amp;row=11680&amp;col=7&amp;number=0.0546&amp;sourceID=14","0.0546")</f>
        <v>0.0546</v>
      </c>
    </row>
    <row r="11681" spans="1:7">
      <c r="A11681" s="3"/>
      <c r="B11681" s="3"/>
      <c r="C11681" s="3"/>
      <c r="D11681" s="3"/>
      <c r="E11681" s="3">
        <v>18</v>
      </c>
      <c r="F11681" s="4" t="str">
        <f>HYPERLINK("http://141.218.60.56/~jnz1568/getInfo.php?workbook=10_05.xlsx&amp;sheet=U0&amp;row=11681&amp;col=6&amp;number=4.7&amp;sourceID=14","4.7")</f>
        <v>4.7</v>
      </c>
      <c r="G11681" s="4" t="str">
        <f>HYPERLINK("http://141.218.60.56/~jnz1568/getInfo.php?workbook=10_05.xlsx&amp;sheet=U0&amp;row=11681&amp;col=7&amp;number=0.0546&amp;sourceID=14","0.0546")</f>
        <v>0.0546</v>
      </c>
    </row>
    <row r="11682" spans="1:7">
      <c r="A11682" s="3"/>
      <c r="B11682" s="3"/>
      <c r="C11682" s="3"/>
      <c r="D11682" s="3"/>
      <c r="E11682" s="3">
        <v>19</v>
      </c>
      <c r="F11682" s="4" t="str">
        <f>HYPERLINK("http://141.218.60.56/~jnz1568/getInfo.php?workbook=10_05.xlsx&amp;sheet=U0&amp;row=11682&amp;col=6&amp;number=4.8&amp;sourceID=14","4.8")</f>
        <v>4.8</v>
      </c>
      <c r="G11682" s="4" t="str">
        <f>HYPERLINK("http://141.218.60.56/~jnz1568/getInfo.php?workbook=10_05.xlsx&amp;sheet=U0&amp;row=11682&amp;col=7&amp;number=0.0545&amp;sourceID=14","0.0545")</f>
        <v>0.0545</v>
      </c>
    </row>
    <row r="11683" spans="1:7">
      <c r="A11683" s="3"/>
      <c r="B11683" s="3"/>
      <c r="C11683" s="3"/>
      <c r="D11683" s="3"/>
      <c r="E11683" s="3">
        <v>20</v>
      </c>
      <c r="F11683" s="4" t="str">
        <f>HYPERLINK("http://141.218.60.56/~jnz1568/getInfo.php?workbook=10_05.xlsx&amp;sheet=U0&amp;row=11683&amp;col=6&amp;number=4.9&amp;sourceID=14","4.9")</f>
        <v>4.9</v>
      </c>
      <c r="G11683" s="4" t="str">
        <f>HYPERLINK("http://141.218.60.56/~jnz1568/getInfo.php?workbook=10_05.xlsx&amp;sheet=U0&amp;row=11683&amp;col=7&amp;number=0.0539&amp;sourceID=14","0.0539")</f>
        <v>0.0539</v>
      </c>
    </row>
    <row r="11684" spans="1:7">
      <c r="A11684" s="3">
        <v>10</v>
      </c>
      <c r="B11684" s="3">
        <v>5</v>
      </c>
      <c r="C11684" s="3">
        <v>4</v>
      </c>
      <c r="D11684" s="3">
        <v>55</v>
      </c>
      <c r="E11684" s="3">
        <v>1</v>
      </c>
      <c r="F11684" s="4" t="str">
        <f>HYPERLINK("http://141.218.60.56/~jnz1568/getInfo.php?workbook=10_05.xlsx&amp;sheet=U0&amp;row=11684&amp;col=6&amp;number=3&amp;sourceID=14","3")</f>
        <v>3</v>
      </c>
      <c r="G11684" s="4" t="str">
        <f>HYPERLINK("http://141.218.60.56/~jnz1568/getInfo.php?workbook=10_05.xlsx&amp;sheet=U0&amp;row=11684&amp;col=7&amp;number=0.0614&amp;sourceID=14","0.0614")</f>
        <v>0.0614</v>
      </c>
    </row>
    <row r="11685" spans="1:7">
      <c r="A11685" s="3"/>
      <c r="B11685" s="3"/>
      <c r="C11685" s="3"/>
      <c r="D11685" s="3"/>
      <c r="E11685" s="3">
        <v>2</v>
      </c>
      <c r="F11685" s="4" t="str">
        <f>HYPERLINK("http://141.218.60.56/~jnz1568/getInfo.php?workbook=10_05.xlsx&amp;sheet=U0&amp;row=11685&amp;col=6&amp;number=3.1&amp;sourceID=14","3.1")</f>
        <v>3.1</v>
      </c>
      <c r="G11685" s="4" t="str">
        <f>HYPERLINK("http://141.218.60.56/~jnz1568/getInfo.php?workbook=10_05.xlsx&amp;sheet=U0&amp;row=11685&amp;col=7&amp;number=0.0613&amp;sourceID=14","0.0613")</f>
        <v>0.0613</v>
      </c>
    </row>
    <row r="11686" spans="1:7">
      <c r="A11686" s="3"/>
      <c r="B11686" s="3"/>
      <c r="C11686" s="3"/>
      <c r="D11686" s="3"/>
      <c r="E11686" s="3">
        <v>3</v>
      </c>
      <c r="F11686" s="4" t="str">
        <f>HYPERLINK("http://141.218.60.56/~jnz1568/getInfo.php?workbook=10_05.xlsx&amp;sheet=U0&amp;row=11686&amp;col=6&amp;number=3.2&amp;sourceID=14","3.2")</f>
        <v>3.2</v>
      </c>
      <c r="G11686" s="4" t="str">
        <f>HYPERLINK("http://141.218.60.56/~jnz1568/getInfo.php?workbook=10_05.xlsx&amp;sheet=U0&amp;row=11686&amp;col=7&amp;number=0.0612&amp;sourceID=14","0.0612")</f>
        <v>0.0612</v>
      </c>
    </row>
    <row r="11687" spans="1:7">
      <c r="A11687" s="3"/>
      <c r="B11687" s="3"/>
      <c r="C11687" s="3"/>
      <c r="D11687" s="3"/>
      <c r="E11687" s="3">
        <v>4</v>
      </c>
      <c r="F11687" s="4" t="str">
        <f>HYPERLINK("http://141.218.60.56/~jnz1568/getInfo.php?workbook=10_05.xlsx&amp;sheet=U0&amp;row=11687&amp;col=6&amp;number=3.3&amp;sourceID=14","3.3")</f>
        <v>3.3</v>
      </c>
      <c r="G11687" s="4" t="str">
        <f>HYPERLINK("http://141.218.60.56/~jnz1568/getInfo.php?workbook=10_05.xlsx&amp;sheet=U0&amp;row=11687&amp;col=7&amp;number=0.061&amp;sourceID=14","0.061")</f>
        <v>0.061</v>
      </c>
    </row>
    <row r="11688" spans="1:7">
      <c r="A11688" s="3"/>
      <c r="B11688" s="3"/>
      <c r="C11688" s="3"/>
      <c r="D11688" s="3"/>
      <c r="E11688" s="3">
        <v>5</v>
      </c>
      <c r="F11688" s="4" t="str">
        <f>HYPERLINK("http://141.218.60.56/~jnz1568/getInfo.php?workbook=10_05.xlsx&amp;sheet=U0&amp;row=11688&amp;col=6&amp;number=3.4&amp;sourceID=14","3.4")</f>
        <v>3.4</v>
      </c>
      <c r="G11688" s="4" t="str">
        <f>HYPERLINK("http://141.218.60.56/~jnz1568/getInfo.php?workbook=10_05.xlsx&amp;sheet=U0&amp;row=11688&amp;col=7&amp;number=0.0608&amp;sourceID=14","0.0608")</f>
        <v>0.0608</v>
      </c>
    </row>
    <row r="11689" spans="1:7">
      <c r="A11689" s="3"/>
      <c r="B11689" s="3"/>
      <c r="C11689" s="3"/>
      <c r="D11689" s="3"/>
      <c r="E11689" s="3">
        <v>6</v>
      </c>
      <c r="F11689" s="4" t="str">
        <f>HYPERLINK("http://141.218.60.56/~jnz1568/getInfo.php?workbook=10_05.xlsx&amp;sheet=U0&amp;row=11689&amp;col=6&amp;number=3.5&amp;sourceID=14","3.5")</f>
        <v>3.5</v>
      </c>
      <c r="G11689" s="4" t="str">
        <f>HYPERLINK("http://141.218.60.56/~jnz1568/getInfo.php?workbook=10_05.xlsx&amp;sheet=U0&amp;row=11689&amp;col=7&amp;number=0.0606&amp;sourceID=14","0.0606")</f>
        <v>0.0606</v>
      </c>
    </row>
    <row r="11690" spans="1:7">
      <c r="A11690" s="3"/>
      <c r="B11690" s="3"/>
      <c r="C11690" s="3"/>
      <c r="D11690" s="3"/>
      <c r="E11690" s="3">
        <v>7</v>
      </c>
      <c r="F11690" s="4" t="str">
        <f>HYPERLINK("http://141.218.60.56/~jnz1568/getInfo.php?workbook=10_05.xlsx&amp;sheet=U0&amp;row=11690&amp;col=6&amp;number=3.6&amp;sourceID=14","3.6")</f>
        <v>3.6</v>
      </c>
      <c r="G11690" s="4" t="str">
        <f>HYPERLINK("http://141.218.60.56/~jnz1568/getInfo.php?workbook=10_05.xlsx&amp;sheet=U0&amp;row=11690&amp;col=7&amp;number=0.0604&amp;sourceID=14","0.0604")</f>
        <v>0.0604</v>
      </c>
    </row>
    <row r="11691" spans="1:7">
      <c r="A11691" s="3"/>
      <c r="B11691" s="3"/>
      <c r="C11691" s="3"/>
      <c r="D11691" s="3"/>
      <c r="E11691" s="3">
        <v>8</v>
      </c>
      <c r="F11691" s="4" t="str">
        <f>HYPERLINK("http://141.218.60.56/~jnz1568/getInfo.php?workbook=10_05.xlsx&amp;sheet=U0&amp;row=11691&amp;col=6&amp;number=3.7&amp;sourceID=14","3.7")</f>
        <v>3.7</v>
      </c>
      <c r="G11691" s="4" t="str">
        <f>HYPERLINK("http://141.218.60.56/~jnz1568/getInfo.php?workbook=10_05.xlsx&amp;sheet=U0&amp;row=11691&amp;col=7&amp;number=0.06&amp;sourceID=14","0.06")</f>
        <v>0.06</v>
      </c>
    </row>
    <row r="11692" spans="1:7">
      <c r="A11692" s="3"/>
      <c r="B11692" s="3"/>
      <c r="C11692" s="3"/>
      <c r="D11692" s="3"/>
      <c r="E11692" s="3">
        <v>9</v>
      </c>
      <c r="F11692" s="4" t="str">
        <f>HYPERLINK("http://141.218.60.56/~jnz1568/getInfo.php?workbook=10_05.xlsx&amp;sheet=U0&amp;row=11692&amp;col=6&amp;number=3.8&amp;sourceID=14","3.8")</f>
        <v>3.8</v>
      </c>
      <c r="G11692" s="4" t="str">
        <f>HYPERLINK("http://141.218.60.56/~jnz1568/getInfo.php?workbook=10_05.xlsx&amp;sheet=U0&amp;row=11692&amp;col=7&amp;number=0.0596&amp;sourceID=14","0.0596")</f>
        <v>0.0596</v>
      </c>
    </row>
    <row r="11693" spans="1:7">
      <c r="A11693" s="3"/>
      <c r="B11693" s="3"/>
      <c r="C11693" s="3"/>
      <c r="D11693" s="3"/>
      <c r="E11693" s="3">
        <v>10</v>
      </c>
      <c r="F11693" s="4" t="str">
        <f>HYPERLINK("http://141.218.60.56/~jnz1568/getInfo.php?workbook=10_05.xlsx&amp;sheet=U0&amp;row=11693&amp;col=6&amp;number=3.9&amp;sourceID=14","3.9")</f>
        <v>3.9</v>
      </c>
      <c r="G11693" s="4" t="str">
        <f>HYPERLINK("http://141.218.60.56/~jnz1568/getInfo.php?workbook=10_05.xlsx&amp;sheet=U0&amp;row=11693&amp;col=7&amp;number=0.0591&amp;sourceID=14","0.0591")</f>
        <v>0.0591</v>
      </c>
    </row>
    <row r="11694" spans="1:7">
      <c r="A11694" s="3"/>
      <c r="B11694" s="3"/>
      <c r="C11694" s="3"/>
      <c r="D11694" s="3"/>
      <c r="E11694" s="3">
        <v>11</v>
      </c>
      <c r="F11694" s="4" t="str">
        <f>HYPERLINK("http://141.218.60.56/~jnz1568/getInfo.php?workbook=10_05.xlsx&amp;sheet=U0&amp;row=11694&amp;col=6&amp;number=4&amp;sourceID=14","4")</f>
        <v>4</v>
      </c>
      <c r="G11694" s="4" t="str">
        <f>HYPERLINK("http://141.218.60.56/~jnz1568/getInfo.php?workbook=10_05.xlsx&amp;sheet=U0&amp;row=11694&amp;col=7&amp;number=0.0585&amp;sourceID=14","0.0585")</f>
        <v>0.0585</v>
      </c>
    </row>
    <row r="11695" spans="1:7">
      <c r="A11695" s="3"/>
      <c r="B11695" s="3"/>
      <c r="C11695" s="3"/>
      <c r="D11695" s="3"/>
      <c r="E11695" s="3">
        <v>12</v>
      </c>
      <c r="F11695" s="4" t="str">
        <f>HYPERLINK("http://141.218.60.56/~jnz1568/getInfo.php?workbook=10_05.xlsx&amp;sheet=U0&amp;row=11695&amp;col=6&amp;number=4.1&amp;sourceID=14","4.1")</f>
        <v>4.1</v>
      </c>
      <c r="G11695" s="4" t="str">
        <f>HYPERLINK("http://141.218.60.56/~jnz1568/getInfo.php?workbook=10_05.xlsx&amp;sheet=U0&amp;row=11695&amp;col=7&amp;number=0.0578&amp;sourceID=14","0.0578")</f>
        <v>0.0578</v>
      </c>
    </row>
    <row r="11696" spans="1:7">
      <c r="A11696" s="3"/>
      <c r="B11696" s="3"/>
      <c r="C11696" s="3"/>
      <c r="D11696" s="3"/>
      <c r="E11696" s="3">
        <v>13</v>
      </c>
      <c r="F11696" s="4" t="str">
        <f>HYPERLINK("http://141.218.60.56/~jnz1568/getInfo.php?workbook=10_05.xlsx&amp;sheet=U0&amp;row=11696&amp;col=6&amp;number=4.2&amp;sourceID=14","4.2")</f>
        <v>4.2</v>
      </c>
      <c r="G11696" s="4" t="str">
        <f>HYPERLINK("http://141.218.60.56/~jnz1568/getInfo.php?workbook=10_05.xlsx&amp;sheet=U0&amp;row=11696&amp;col=7&amp;number=0.0571&amp;sourceID=14","0.0571")</f>
        <v>0.0571</v>
      </c>
    </row>
    <row r="11697" spans="1:7">
      <c r="A11697" s="3"/>
      <c r="B11697" s="3"/>
      <c r="C11697" s="3"/>
      <c r="D11697" s="3"/>
      <c r="E11697" s="3">
        <v>14</v>
      </c>
      <c r="F11697" s="4" t="str">
        <f>HYPERLINK("http://141.218.60.56/~jnz1568/getInfo.php?workbook=10_05.xlsx&amp;sheet=U0&amp;row=11697&amp;col=6&amp;number=4.3&amp;sourceID=14","4.3")</f>
        <v>4.3</v>
      </c>
      <c r="G11697" s="4" t="str">
        <f>HYPERLINK("http://141.218.60.56/~jnz1568/getInfo.php?workbook=10_05.xlsx&amp;sheet=U0&amp;row=11697&amp;col=7&amp;number=0.0562&amp;sourceID=14","0.0562")</f>
        <v>0.0562</v>
      </c>
    </row>
    <row r="11698" spans="1:7">
      <c r="A11698" s="3"/>
      <c r="B11698" s="3"/>
      <c r="C11698" s="3"/>
      <c r="D11698" s="3"/>
      <c r="E11698" s="3">
        <v>15</v>
      </c>
      <c r="F11698" s="4" t="str">
        <f>HYPERLINK("http://141.218.60.56/~jnz1568/getInfo.php?workbook=10_05.xlsx&amp;sheet=U0&amp;row=11698&amp;col=6&amp;number=4.4&amp;sourceID=14","4.4")</f>
        <v>4.4</v>
      </c>
      <c r="G11698" s="4" t="str">
        <f>HYPERLINK("http://141.218.60.56/~jnz1568/getInfo.php?workbook=10_05.xlsx&amp;sheet=U0&amp;row=11698&amp;col=7&amp;number=0.0554&amp;sourceID=14","0.0554")</f>
        <v>0.0554</v>
      </c>
    </row>
    <row r="11699" spans="1:7">
      <c r="A11699" s="3"/>
      <c r="B11699" s="3"/>
      <c r="C11699" s="3"/>
      <c r="D11699" s="3"/>
      <c r="E11699" s="3">
        <v>16</v>
      </c>
      <c r="F11699" s="4" t="str">
        <f>HYPERLINK("http://141.218.60.56/~jnz1568/getInfo.php?workbook=10_05.xlsx&amp;sheet=U0&amp;row=11699&amp;col=6&amp;number=4.5&amp;sourceID=14","4.5")</f>
        <v>4.5</v>
      </c>
      <c r="G11699" s="4" t="str">
        <f>HYPERLINK("http://141.218.60.56/~jnz1568/getInfo.php?workbook=10_05.xlsx&amp;sheet=U0&amp;row=11699&amp;col=7&amp;number=0.0547&amp;sourceID=14","0.0547")</f>
        <v>0.0547</v>
      </c>
    </row>
    <row r="11700" spans="1:7">
      <c r="A11700" s="3"/>
      <c r="B11700" s="3"/>
      <c r="C11700" s="3"/>
      <c r="D11700" s="3"/>
      <c r="E11700" s="3">
        <v>17</v>
      </c>
      <c r="F11700" s="4" t="str">
        <f>HYPERLINK("http://141.218.60.56/~jnz1568/getInfo.php?workbook=10_05.xlsx&amp;sheet=U0&amp;row=11700&amp;col=6&amp;number=4.6&amp;sourceID=14","4.6")</f>
        <v>4.6</v>
      </c>
      <c r="G11700" s="4" t="str">
        <f>HYPERLINK("http://141.218.60.56/~jnz1568/getInfo.php?workbook=10_05.xlsx&amp;sheet=U0&amp;row=11700&amp;col=7&amp;number=0.0541&amp;sourceID=14","0.0541")</f>
        <v>0.0541</v>
      </c>
    </row>
    <row r="11701" spans="1:7">
      <c r="A11701" s="3"/>
      <c r="B11701" s="3"/>
      <c r="C11701" s="3"/>
      <c r="D11701" s="3"/>
      <c r="E11701" s="3">
        <v>18</v>
      </c>
      <c r="F11701" s="4" t="str">
        <f>HYPERLINK("http://141.218.60.56/~jnz1568/getInfo.php?workbook=10_05.xlsx&amp;sheet=U0&amp;row=11701&amp;col=6&amp;number=4.7&amp;sourceID=14","4.7")</f>
        <v>4.7</v>
      </c>
      <c r="G11701" s="4" t="str">
        <f>HYPERLINK("http://141.218.60.56/~jnz1568/getInfo.php?workbook=10_05.xlsx&amp;sheet=U0&amp;row=11701&amp;col=7&amp;number=0.0539&amp;sourceID=14","0.0539")</f>
        <v>0.0539</v>
      </c>
    </row>
    <row r="11702" spans="1:7">
      <c r="A11702" s="3"/>
      <c r="B11702" s="3"/>
      <c r="C11702" s="3"/>
      <c r="D11702" s="3"/>
      <c r="E11702" s="3">
        <v>19</v>
      </c>
      <c r="F11702" s="4" t="str">
        <f>HYPERLINK("http://141.218.60.56/~jnz1568/getInfo.php?workbook=10_05.xlsx&amp;sheet=U0&amp;row=11702&amp;col=6&amp;number=4.8&amp;sourceID=14","4.8")</f>
        <v>4.8</v>
      </c>
      <c r="G11702" s="4" t="str">
        <f>HYPERLINK("http://141.218.60.56/~jnz1568/getInfo.php?workbook=10_05.xlsx&amp;sheet=U0&amp;row=11702&amp;col=7&amp;number=0.0538&amp;sourceID=14","0.0538")</f>
        <v>0.0538</v>
      </c>
    </row>
    <row r="11703" spans="1:7">
      <c r="A11703" s="3"/>
      <c r="B11703" s="3"/>
      <c r="C11703" s="3"/>
      <c r="D11703" s="3"/>
      <c r="E11703" s="3">
        <v>20</v>
      </c>
      <c r="F11703" s="4" t="str">
        <f>HYPERLINK("http://141.218.60.56/~jnz1568/getInfo.php?workbook=10_05.xlsx&amp;sheet=U0&amp;row=11703&amp;col=6&amp;number=4.9&amp;sourceID=14","4.9")</f>
        <v>4.9</v>
      </c>
      <c r="G11703" s="4" t="str">
        <f>HYPERLINK("http://141.218.60.56/~jnz1568/getInfo.php?workbook=10_05.xlsx&amp;sheet=U0&amp;row=11703&amp;col=7&amp;number=0.0533&amp;sourceID=14","0.0533")</f>
        <v>0.0533</v>
      </c>
    </row>
    <row r="11704" spans="1:7">
      <c r="A11704" s="3">
        <v>10</v>
      </c>
      <c r="B11704" s="3">
        <v>5</v>
      </c>
      <c r="C11704" s="3">
        <v>4</v>
      </c>
      <c r="D11704" s="3">
        <v>56</v>
      </c>
      <c r="E11704" s="3">
        <v>1</v>
      </c>
      <c r="F11704" s="4" t="str">
        <f>HYPERLINK("http://141.218.60.56/~jnz1568/getInfo.php?workbook=10_05.xlsx&amp;sheet=U0&amp;row=11704&amp;col=6&amp;number=3&amp;sourceID=14","3")</f>
        <v>3</v>
      </c>
      <c r="G11704" s="4" t="str">
        <f>HYPERLINK("http://141.218.60.56/~jnz1568/getInfo.php?workbook=10_05.xlsx&amp;sheet=U0&amp;row=11704&amp;col=7&amp;number=0.0415&amp;sourceID=14","0.0415")</f>
        <v>0.0415</v>
      </c>
    </row>
    <row r="11705" spans="1:7">
      <c r="A11705" s="3"/>
      <c r="B11705" s="3"/>
      <c r="C11705" s="3"/>
      <c r="D11705" s="3"/>
      <c r="E11705" s="3">
        <v>2</v>
      </c>
      <c r="F11705" s="4" t="str">
        <f>HYPERLINK("http://141.218.60.56/~jnz1568/getInfo.php?workbook=10_05.xlsx&amp;sheet=U0&amp;row=11705&amp;col=6&amp;number=3.1&amp;sourceID=14","3.1")</f>
        <v>3.1</v>
      </c>
      <c r="G11705" s="4" t="str">
        <f>HYPERLINK("http://141.218.60.56/~jnz1568/getInfo.php?workbook=10_05.xlsx&amp;sheet=U0&amp;row=11705&amp;col=7&amp;number=0.041&amp;sourceID=14","0.041")</f>
        <v>0.041</v>
      </c>
    </row>
    <row r="11706" spans="1:7">
      <c r="A11706" s="3"/>
      <c r="B11706" s="3"/>
      <c r="C11706" s="3"/>
      <c r="D11706" s="3"/>
      <c r="E11706" s="3">
        <v>3</v>
      </c>
      <c r="F11706" s="4" t="str">
        <f>HYPERLINK("http://141.218.60.56/~jnz1568/getInfo.php?workbook=10_05.xlsx&amp;sheet=U0&amp;row=11706&amp;col=6&amp;number=3.2&amp;sourceID=14","3.2")</f>
        <v>3.2</v>
      </c>
      <c r="G11706" s="4" t="str">
        <f>HYPERLINK("http://141.218.60.56/~jnz1568/getInfo.php?workbook=10_05.xlsx&amp;sheet=U0&amp;row=11706&amp;col=7&amp;number=0.0405&amp;sourceID=14","0.0405")</f>
        <v>0.0405</v>
      </c>
    </row>
    <row r="11707" spans="1:7">
      <c r="A11707" s="3"/>
      <c r="B11707" s="3"/>
      <c r="C11707" s="3"/>
      <c r="D11707" s="3"/>
      <c r="E11707" s="3">
        <v>4</v>
      </c>
      <c r="F11707" s="4" t="str">
        <f>HYPERLINK("http://141.218.60.56/~jnz1568/getInfo.php?workbook=10_05.xlsx&amp;sheet=U0&amp;row=11707&amp;col=6&amp;number=3.3&amp;sourceID=14","3.3")</f>
        <v>3.3</v>
      </c>
      <c r="G11707" s="4" t="str">
        <f>HYPERLINK("http://141.218.60.56/~jnz1568/getInfo.php?workbook=10_05.xlsx&amp;sheet=U0&amp;row=11707&amp;col=7&amp;number=0.0398&amp;sourceID=14","0.0398")</f>
        <v>0.0398</v>
      </c>
    </row>
    <row r="11708" spans="1:7">
      <c r="A11708" s="3"/>
      <c r="B11708" s="3"/>
      <c r="C11708" s="3"/>
      <c r="D11708" s="3"/>
      <c r="E11708" s="3">
        <v>5</v>
      </c>
      <c r="F11708" s="4" t="str">
        <f>HYPERLINK("http://141.218.60.56/~jnz1568/getInfo.php?workbook=10_05.xlsx&amp;sheet=U0&amp;row=11708&amp;col=6&amp;number=3.4&amp;sourceID=14","3.4")</f>
        <v>3.4</v>
      </c>
      <c r="G11708" s="4" t="str">
        <f>HYPERLINK("http://141.218.60.56/~jnz1568/getInfo.php?workbook=10_05.xlsx&amp;sheet=U0&amp;row=11708&amp;col=7&amp;number=0.039&amp;sourceID=14","0.039")</f>
        <v>0.039</v>
      </c>
    </row>
    <row r="11709" spans="1:7">
      <c r="A11709" s="3"/>
      <c r="B11709" s="3"/>
      <c r="C11709" s="3"/>
      <c r="D11709" s="3"/>
      <c r="E11709" s="3">
        <v>6</v>
      </c>
      <c r="F11709" s="4" t="str">
        <f>HYPERLINK("http://141.218.60.56/~jnz1568/getInfo.php?workbook=10_05.xlsx&amp;sheet=U0&amp;row=11709&amp;col=6&amp;number=3.5&amp;sourceID=14","3.5")</f>
        <v>3.5</v>
      </c>
      <c r="G11709" s="4" t="str">
        <f>HYPERLINK("http://141.218.60.56/~jnz1568/getInfo.php?workbook=10_05.xlsx&amp;sheet=U0&amp;row=11709&amp;col=7&amp;number=0.038&amp;sourceID=14","0.038")</f>
        <v>0.038</v>
      </c>
    </row>
    <row r="11710" spans="1:7">
      <c r="A11710" s="3"/>
      <c r="B11710" s="3"/>
      <c r="C11710" s="3"/>
      <c r="D11710" s="3"/>
      <c r="E11710" s="3">
        <v>7</v>
      </c>
      <c r="F11710" s="4" t="str">
        <f>HYPERLINK("http://141.218.60.56/~jnz1568/getInfo.php?workbook=10_05.xlsx&amp;sheet=U0&amp;row=11710&amp;col=6&amp;number=3.6&amp;sourceID=14","3.6")</f>
        <v>3.6</v>
      </c>
      <c r="G11710" s="4" t="str">
        <f>HYPERLINK("http://141.218.60.56/~jnz1568/getInfo.php?workbook=10_05.xlsx&amp;sheet=U0&amp;row=11710&amp;col=7&amp;number=0.0368&amp;sourceID=14","0.0368")</f>
        <v>0.0368</v>
      </c>
    </row>
    <row r="11711" spans="1:7">
      <c r="A11711" s="3"/>
      <c r="B11711" s="3"/>
      <c r="C11711" s="3"/>
      <c r="D11711" s="3"/>
      <c r="E11711" s="3">
        <v>8</v>
      </c>
      <c r="F11711" s="4" t="str">
        <f>HYPERLINK("http://141.218.60.56/~jnz1568/getInfo.php?workbook=10_05.xlsx&amp;sheet=U0&amp;row=11711&amp;col=6&amp;number=3.7&amp;sourceID=14","3.7")</f>
        <v>3.7</v>
      </c>
      <c r="G11711" s="4" t="str">
        <f>HYPERLINK("http://141.218.60.56/~jnz1568/getInfo.php?workbook=10_05.xlsx&amp;sheet=U0&amp;row=11711&amp;col=7&amp;number=0.0354&amp;sourceID=14","0.0354")</f>
        <v>0.0354</v>
      </c>
    </row>
    <row r="11712" spans="1:7">
      <c r="A11712" s="3"/>
      <c r="B11712" s="3"/>
      <c r="C11712" s="3"/>
      <c r="D11712" s="3"/>
      <c r="E11712" s="3">
        <v>9</v>
      </c>
      <c r="F11712" s="4" t="str">
        <f>HYPERLINK("http://141.218.60.56/~jnz1568/getInfo.php?workbook=10_05.xlsx&amp;sheet=U0&amp;row=11712&amp;col=6&amp;number=3.8&amp;sourceID=14","3.8")</f>
        <v>3.8</v>
      </c>
      <c r="G11712" s="4" t="str">
        <f>HYPERLINK("http://141.218.60.56/~jnz1568/getInfo.php?workbook=10_05.xlsx&amp;sheet=U0&amp;row=11712&amp;col=7&amp;number=0.0337&amp;sourceID=14","0.0337")</f>
        <v>0.0337</v>
      </c>
    </row>
    <row r="11713" spans="1:7">
      <c r="A11713" s="3"/>
      <c r="B11713" s="3"/>
      <c r="C11713" s="3"/>
      <c r="D11713" s="3"/>
      <c r="E11713" s="3">
        <v>10</v>
      </c>
      <c r="F11713" s="4" t="str">
        <f>HYPERLINK("http://141.218.60.56/~jnz1568/getInfo.php?workbook=10_05.xlsx&amp;sheet=U0&amp;row=11713&amp;col=6&amp;number=3.9&amp;sourceID=14","3.9")</f>
        <v>3.9</v>
      </c>
      <c r="G11713" s="4" t="str">
        <f>HYPERLINK("http://141.218.60.56/~jnz1568/getInfo.php?workbook=10_05.xlsx&amp;sheet=U0&amp;row=11713&amp;col=7&amp;number=0.0319&amp;sourceID=14","0.0319")</f>
        <v>0.0319</v>
      </c>
    </row>
    <row r="11714" spans="1:7">
      <c r="A11714" s="3"/>
      <c r="B11714" s="3"/>
      <c r="C11714" s="3"/>
      <c r="D11714" s="3"/>
      <c r="E11714" s="3">
        <v>11</v>
      </c>
      <c r="F11714" s="4" t="str">
        <f>HYPERLINK("http://141.218.60.56/~jnz1568/getInfo.php?workbook=10_05.xlsx&amp;sheet=U0&amp;row=11714&amp;col=6&amp;number=4&amp;sourceID=14","4")</f>
        <v>4</v>
      </c>
      <c r="G11714" s="4" t="str">
        <f>HYPERLINK("http://141.218.60.56/~jnz1568/getInfo.php?workbook=10_05.xlsx&amp;sheet=U0&amp;row=11714&amp;col=7&amp;number=0.0301&amp;sourceID=14","0.0301")</f>
        <v>0.0301</v>
      </c>
    </row>
    <row r="11715" spans="1:7">
      <c r="A11715" s="3"/>
      <c r="B11715" s="3"/>
      <c r="C11715" s="3"/>
      <c r="D11715" s="3"/>
      <c r="E11715" s="3">
        <v>12</v>
      </c>
      <c r="F11715" s="4" t="str">
        <f>HYPERLINK("http://141.218.60.56/~jnz1568/getInfo.php?workbook=10_05.xlsx&amp;sheet=U0&amp;row=11715&amp;col=6&amp;number=4.1&amp;sourceID=14","4.1")</f>
        <v>4.1</v>
      </c>
      <c r="G11715" s="4" t="str">
        <f>HYPERLINK("http://141.218.60.56/~jnz1568/getInfo.php?workbook=10_05.xlsx&amp;sheet=U0&amp;row=11715&amp;col=7&amp;number=0.0285&amp;sourceID=14","0.0285")</f>
        <v>0.0285</v>
      </c>
    </row>
    <row r="11716" spans="1:7">
      <c r="A11716" s="3"/>
      <c r="B11716" s="3"/>
      <c r="C11716" s="3"/>
      <c r="D11716" s="3"/>
      <c r="E11716" s="3">
        <v>13</v>
      </c>
      <c r="F11716" s="4" t="str">
        <f>HYPERLINK("http://141.218.60.56/~jnz1568/getInfo.php?workbook=10_05.xlsx&amp;sheet=U0&amp;row=11716&amp;col=6&amp;number=4.2&amp;sourceID=14","4.2")</f>
        <v>4.2</v>
      </c>
      <c r="G11716" s="4" t="str">
        <f>HYPERLINK("http://141.218.60.56/~jnz1568/getInfo.php?workbook=10_05.xlsx&amp;sheet=U0&amp;row=11716&amp;col=7&amp;number=0.0274&amp;sourceID=14","0.0274")</f>
        <v>0.0274</v>
      </c>
    </row>
    <row r="11717" spans="1:7">
      <c r="A11717" s="3"/>
      <c r="B11717" s="3"/>
      <c r="C11717" s="3"/>
      <c r="D11717" s="3"/>
      <c r="E11717" s="3">
        <v>14</v>
      </c>
      <c r="F11717" s="4" t="str">
        <f>HYPERLINK("http://141.218.60.56/~jnz1568/getInfo.php?workbook=10_05.xlsx&amp;sheet=U0&amp;row=11717&amp;col=6&amp;number=4.3&amp;sourceID=14","4.3")</f>
        <v>4.3</v>
      </c>
      <c r="G11717" s="4" t="str">
        <f>HYPERLINK("http://141.218.60.56/~jnz1568/getInfo.php?workbook=10_05.xlsx&amp;sheet=U0&amp;row=11717&amp;col=7&amp;number=0.0267&amp;sourceID=14","0.0267")</f>
        <v>0.0267</v>
      </c>
    </row>
    <row r="11718" spans="1:7">
      <c r="A11718" s="3"/>
      <c r="B11718" s="3"/>
      <c r="C11718" s="3"/>
      <c r="D11718" s="3"/>
      <c r="E11718" s="3">
        <v>15</v>
      </c>
      <c r="F11718" s="4" t="str">
        <f>HYPERLINK("http://141.218.60.56/~jnz1568/getInfo.php?workbook=10_05.xlsx&amp;sheet=U0&amp;row=11718&amp;col=6&amp;number=4.4&amp;sourceID=14","4.4")</f>
        <v>4.4</v>
      </c>
      <c r="G11718" s="4" t="str">
        <f>HYPERLINK("http://141.218.60.56/~jnz1568/getInfo.php?workbook=10_05.xlsx&amp;sheet=U0&amp;row=11718&amp;col=7&amp;number=0.0262&amp;sourceID=14","0.0262")</f>
        <v>0.0262</v>
      </c>
    </row>
    <row r="11719" spans="1:7">
      <c r="A11719" s="3"/>
      <c r="B11719" s="3"/>
      <c r="C11719" s="3"/>
      <c r="D11719" s="3"/>
      <c r="E11719" s="3">
        <v>16</v>
      </c>
      <c r="F11719" s="4" t="str">
        <f>HYPERLINK("http://141.218.60.56/~jnz1568/getInfo.php?workbook=10_05.xlsx&amp;sheet=U0&amp;row=11719&amp;col=6&amp;number=4.5&amp;sourceID=14","4.5")</f>
        <v>4.5</v>
      </c>
      <c r="G11719" s="4" t="str">
        <f>HYPERLINK("http://141.218.60.56/~jnz1568/getInfo.php?workbook=10_05.xlsx&amp;sheet=U0&amp;row=11719&amp;col=7&amp;number=0.0256&amp;sourceID=14","0.0256")</f>
        <v>0.0256</v>
      </c>
    </row>
    <row r="11720" spans="1:7">
      <c r="A11720" s="3"/>
      <c r="B11720" s="3"/>
      <c r="C11720" s="3"/>
      <c r="D11720" s="3"/>
      <c r="E11720" s="3">
        <v>17</v>
      </c>
      <c r="F11720" s="4" t="str">
        <f>HYPERLINK("http://141.218.60.56/~jnz1568/getInfo.php?workbook=10_05.xlsx&amp;sheet=U0&amp;row=11720&amp;col=6&amp;number=4.6&amp;sourceID=14","4.6")</f>
        <v>4.6</v>
      </c>
      <c r="G11720" s="4" t="str">
        <f>HYPERLINK("http://141.218.60.56/~jnz1568/getInfo.php?workbook=10_05.xlsx&amp;sheet=U0&amp;row=11720&amp;col=7&amp;number=0.025&amp;sourceID=14","0.025")</f>
        <v>0.025</v>
      </c>
    </row>
    <row r="11721" spans="1:7">
      <c r="A11721" s="3"/>
      <c r="B11721" s="3"/>
      <c r="C11721" s="3"/>
      <c r="D11721" s="3"/>
      <c r="E11721" s="3">
        <v>18</v>
      </c>
      <c r="F11721" s="4" t="str">
        <f>HYPERLINK("http://141.218.60.56/~jnz1568/getInfo.php?workbook=10_05.xlsx&amp;sheet=U0&amp;row=11721&amp;col=6&amp;number=4.7&amp;sourceID=14","4.7")</f>
        <v>4.7</v>
      </c>
      <c r="G11721" s="4" t="str">
        <f>HYPERLINK("http://141.218.60.56/~jnz1568/getInfo.php?workbook=10_05.xlsx&amp;sheet=U0&amp;row=11721&amp;col=7&amp;number=0.0245&amp;sourceID=14","0.0245")</f>
        <v>0.0245</v>
      </c>
    </row>
    <row r="11722" spans="1:7">
      <c r="A11722" s="3"/>
      <c r="B11722" s="3"/>
      <c r="C11722" s="3"/>
      <c r="D11722" s="3"/>
      <c r="E11722" s="3">
        <v>19</v>
      </c>
      <c r="F11722" s="4" t="str">
        <f>HYPERLINK("http://141.218.60.56/~jnz1568/getInfo.php?workbook=10_05.xlsx&amp;sheet=U0&amp;row=11722&amp;col=6&amp;number=4.8&amp;sourceID=14","4.8")</f>
        <v>4.8</v>
      </c>
      <c r="G11722" s="4" t="str">
        <f>HYPERLINK("http://141.218.60.56/~jnz1568/getInfo.php?workbook=10_05.xlsx&amp;sheet=U0&amp;row=11722&amp;col=7&amp;number=0.0241&amp;sourceID=14","0.0241")</f>
        <v>0.0241</v>
      </c>
    </row>
    <row r="11723" spans="1:7">
      <c r="A11723" s="3"/>
      <c r="B11723" s="3"/>
      <c r="C11723" s="3"/>
      <c r="D11723" s="3"/>
      <c r="E11723" s="3">
        <v>20</v>
      </c>
      <c r="F11723" s="4" t="str">
        <f>HYPERLINK("http://141.218.60.56/~jnz1568/getInfo.php?workbook=10_05.xlsx&amp;sheet=U0&amp;row=11723&amp;col=6&amp;number=4.9&amp;sourceID=14","4.9")</f>
        <v>4.9</v>
      </c>
      <c r="G11723" s="4" t="str">
        <f>HYPERLINK("http://141.218.60.56/~jnz1568/getInfo.php?workbook=10_05.xlsx&amp;sheet=U0&amp;row=11723&amp;col=7&amp;number=0.0238&amp;sourceID=14","0.0238")</f>
        <v>0.0238</v>
      </c>
    </row>
    <row r="11724" spans="1:7">
      <c r="A11724" s="3">
        <v>10</v>
      </c>
      <c r="B11724" s="3">
        <v>5</v>
      </c>
      <c r="C11724" s="3">
        <v>4</v>
      </c>
      <c r="D11724" s="3">
        <v>57</v>
      </c>
      <c r="E11724" s="3">
        <v>1</v>
      </c>
      <c r="F11724" s="4" t="str">
        <f>HYPERLINK("http://141.218.60.56/~jnz1568/getInfo.php?workbook=10_05.xlsx&amp;sheet=U0&amp;row=11724&amp;col=6&amp;number=3&amp;sourceID=14","3")</f>
        <v>3</v>
      </c>
      <c r="G11724" s="4" t="str">
        <f>HYPERLINK("http://141.218.60.56/~jnz1568/getInfo.php?workbook=10_05.xlsx&amp;sheet=U0&amp;row=11724&amp;col=7&amp;number=0.0204&amp;sourceID=14","0.0204")</f>
        <v>0.0204</v>
      </c>
    </row>
    <row r="11725" spans="1:7">
      <c r="A11725" s="3"/>
      <c r="B11725" s="3"/>
      <c r="C11725" s="3"/>
      <c r="D11725" s="3"/>
      <c r="E11725" s="3">
        <v>2</v>
      </c>
      <c r="F11725" s="4" t="str">
        <f>HYPERLINK("http://141.218.60.56/~jnz1568/getInfo.php?workbook=10_05.xlsx&amp;sheet=U0&amp;row=11725&amp;col=6&amp;number=3.1&amp;sourceID=14","3.1")</f>
        <v>3.1</v>
      </c>
      <c r="G11725" s="4" t="str">
        <f>HYPERLINK("http://141.218.60.56/~jnz1568/getInfo.php?workbook=10_05.xlsx&amp;sheet=U0&amp;row=11725&amp;col=7&amp;number=0.0202&amp;sourceID=14","0.0202")</f>
        <v>0.0202</v>
      </c>
    </row>
    <row r="11726" spans="1:7">
      <c r="A11726" s="3"/>
      <c r="B11726" s="3"/>
      <c r="C11726" s="3"/>
      <c r="D11726" s="3"/>
      <c r="E11726" s="3">
        <v>3</v>
      </c>
      <c r="F11726" s="4" t="str">
        <f>HYPERLINK("http://141.218.60.56/~jnz1568/getInfo.php?workbook=10_05.xlsx&amp;sheet=U0&amp;row=11726&amp;col=6&amp;number=3.2&amp;sourceID=14","3.2")</f>
        <v>3.2</v>
      </c>
      <c r="G11726" s="4" t="str">
        <f>HYPERLINK("http://141.218.60.56/~jnz1568/getInfo.php?workbook=10_05.xlsx&amp;sheet=U0&amp;row=11726&amp;col=7&amp;number=0.02&amp;sourceID=14","0.02")</f>
        <v>0.02</v>
      </c>
    </row>
    <row r="11727" spans="1:7">
      <c r="A11727" s="3"/>
      <c r="B11727" s="3"/>
      <c r="C11727" s="3"/>
      <c r="D11727" s="3"/>
      <c r="E11727" s="3">
        <v>4</v>
      </c>
      <c r="F11727" s="4" t="str">
        <f>HYPERLINK("http://141.218.60.56/~jnz1568/getInfo.php?workbook=10_05.xlsx&amp;sheet=U0&amp;row=11727&amp;col=6&amp;number=3.3&amp;sourceID=14","3.3")</f>
        <v>3.3</v>
      </c>
      <c r="G11727" s="4" t="str">
        <f>HYPERLINK("http://141.218.60.56/~jnz1568/getInfo.php?workbook=10_05.xlsx&amp;sheet=U0&amp;row=11727&amp;col=7&amp;number=0.0198&amp;sourceID=14","0.0198")</f>
        <v>0.0198</v>
      </c>
    </row>
    <row r="11728" spans="1:7">
      <c r="A11728" s="3"/>
      <c r="B11728" s="3"/>
      <c r="C11728" s="3"/>
      <c r="D11728" s="3"/>
      <c r="E11728" s="3">
        <v>5</v>
      </c>
      <c r="F11728" s="4" t="str">
        <f>HYPERLINK("http://141.218.60.56/~jnz1568/getInfo.php?workbook=10_05.xlsx&amp;sheet=U0&amp;row=11728&amp;col=6&amp;number=3.4&amp;sourceID=14","3.4")</f>
        <v>3.4</v>
      </c>
      <c r="G11728" s="4" t="str">
        <f>HYPERLINK("http://141.218.60.56/~jnz1568/getInfo.php?workbook=10_05.xlsx&amp;sheet=U0&amp;row=11728&amp;col=7&amp;number=0.0195&amp;sourceID=14","0.0195")</f>
        <v>0.0195</v>
      </c>
    </row>
    <row r="11729" spans="1:7">
      <c r="A11729" s="3"/>
      <c r="B11729" s="3"/>
      <c r="C11729" s="3"/>
      <c r="D11729" s="3"/>
      <c r="E11729" s="3">
        <v>6</v>
      </c>
      <c r="F11729" s="4" t="str">
        <f>HYPERLINK("http://141.218.60.56/~jnz1568/getInfo.php?workbook=10_05.xlsx&amp;sheet=U0&amp;row=11729&amp;col=6&amp;number=3.5&amp;sourceID=14","3.5")</f>
        <v>3.5</v>
      </c>
      <c r="G11729" s="4" t="str">
        <f>HYPERLINK("http://141.218.60.56/~jnz1568/getInfo.php?workbook=10_05.xlsx&amp;sheet=U0&amp;row=11729&amp;col=7&amp;number=0.0192&amp;sourceID=14","0.0192")</f>
        <v>0.0192</v>
      </c>
    </row>
    <row r="11730" spans="1:7">
      <c r="A11730" s="3"/>
      <c r="B11730" s="3"/>
      <c r="C11730" s="3"/>
      <c r="D11730" s="3"/>
      <c r="E11730" s="3">
        <v>7</v>
      </c>
      <c r="F11730" s="4" t="str">
        <f>HYPERLINK("http://141.218.60.56/~jnz1568/getInfo.php?workbook=10_05.xlsx&amp;sheet=U0&amp;row=11730&amp;col=6&amp;number=3.6&amp;sourceID=14","3.6")</f>
        <v>3.6</v>
      </c>
      <c r="G11730" s="4" t="str">
        <f>HYPERLINK("http://141.218.60.56/~jnz1568/getInfo.php?workbook=10_05.xlsx&amp;sheet=U0&amp;row=11730&amp;col=7&amp;number=0.0188&amp;sourceID=14","0.0188")</f>
        <v>0.0188</v>
      </c>
    </row>
    <row r="11731" spans="1:7">
      <c r="A11731" s="3"/>
      <c r="B11731" s="3"/>
      <c r="C11731" s="3"/>
      <c r="D11731" s="3"/>
      <c r="E11731" s="3">
        <v>8</v>
      </c>
      <c r="F11731" s="4" t="str">
        <f>HYPERLINK("http://141.218.60.56/~jnz1568/getInfo.php?workbook=10_05.xlsx&amp;sheet=U0&amp;row=11731&amp;col=6&amp;number=3.7&amp;sourceID=14","3.7")</f>
        <v>3.7</v>
      </c>
      <c r="G11731" s="4" t="str">
        <f>HYPERLINK("http://141.218.60.56/~jnz1568/getInfo.php?workbook=10_05.xlsx&amp;sheet=U0&amp;row=11731&amp;col=7&amp;number=0.0183&amp;sourceID=14","0.0183")</f>
        <v>0.0183</v>
      </c>
    </row>
    <row r="11732" spans="1:7">
      <c r="A11732" s="3"/>
      <c r="B11732" s="3"/>
      <c r="C11732" s="3"/>
      <c r="D11732" s="3"/>
      <c r="E11732" s="3">
        <v>9</v>
      </c>
      <c r="F11732" s="4" t="str">
        <f>HYPERLINK("http://141.218.60.56/~jnz1568/getInfo.php?workbook=10_05.xlsx&amp;sheet=U0&amp;row=11732&amp;col=6&amp;number=3.8&amp;sourceID=14","3.8")</f>
        <v>3.8</v>
      </c>
      <c r="G11732" s="4" t="str">
        <f>HYPERLINK("http://141.218.60.56/~jnz1568/getInfo.php?workbook=10_05.xlsx&amp;sheet=U0&amp;row=11732&amp;col=7&amp;number=0.0177&amp;sourceID=14","0.0177")</f>
        <v>0.0177</v>
      </c>
    </row>
    <row r="11733" spans="1:7">
      <c r="A11733" s="3"/>
      <c r="B11733" s="3"/>
      <c r="C11733" s="3"/>
      <c r="D11733" s="3"/>
      <c r="E11733" s="3">
        <v>10</v>
      </c>
      <c r="F11733" s="4" t="str">
        <f>HYPERLINK("http://141.218.60.56/~jnz1568/getInfo.php?workbook=10_05.xlsx&amp;sheet=U0&amp;row=11733&amp;col=6&amp;number=3.9&amp;sourceID=14","3.9")</f>
        <v>3.9</v>
      </c>
      <c r="G11733" s="4" t="str">
        <f>HYPERLINK("http://141.218.60.56/~jnz1568/getInfo.php?workbook=10_05.xlsx&amp;sheet=U0&amp;row=11733&amp;col=7&amp;number=0.017&amp;sourceID=14","0.017")</f>
        <v>0.017</v>
      </c>
    </row>
    <row r="11734" spans="1:7">
      <c r="A11734" s="3"/>
      <c r="B11734" s="3"/>
      <c r="C11734" s="3"/>
      <c r="D11734" s="3"/>
      <c r="E11734" s="3">
        <v>11</v>
      </c>
      <c r="F11734" s="4" t="str">
        <f>HYPERLINK("http://141.218.60.56/~jnz1568/getInfo.php?workbook=10_05.xlsx&amp;sheet=U0&amp;row=11734&amp;col=6&amp;number=4&amp;sourceID=14","4")</f>
        <v>4</v>
      </c>
      <c r="G11734" s="4" t="str">
        <f>HYPERLINK("http://141.218.60.56/~jnz1568/getInfo.php?workbook=10_05.xlsx&amp;sheet=U0&amp;row=11734&amp;col=7&amp;number=0.0163&amp;sourceID=14","0.0163")</f>
        <v>0.0163</v>
      </c>
    </row>
    <row r="11735" spans="1:7">
      <c r="A11735" s="3"/>
      <c r="B11735" s="3"/>
      <c r="C11735" s="3"/>
      <c r="D11735" s="3"/>
      <c r="E11735" s="3">
        <v>12</v>
      </c>
      <c r="F11735" s="4" t="str">
        <f>HYPERLINK("http://141.218.60.56/~jnz1568/getInfo.php?workbook=10_05.xlsx&amp;sheet=U0&amp;row=11735&amp;col=6&amp;number=4.1&amp;sourceID=14","4.1")</f>
        <v>4.1</v>
      </c>
      <c r="G11735" s="4" t="str">
        <f>HYPERLINK("http://141.218.60.56/~jnz1568/getInfo.php?workbook=10_05.xlsx&amp;sheet=U0&amp;row=11735&amp;col=7&amp;number=0.0155&amp;sourceID=14","0.0155")</f>
        <v>0.0155</v>
      </c>
    </row>
    <row r="11736" spans="1:7">
      <c r="A11736" s="3"/>
      <c r="B11736" s="3"/>
      <c r="C11736" s="3"/>
      <c r="D11736" s="3"/>
      <c r="E11736" s="3">
        <v>13</v>
      </c>
      <c r="F11736" s="4" t="str">
        <f>HYPERLINK("http://141.218.60.56/~jnz1568/getInfo.php?workbook=10_05.xlsx&amp;sheet=U0&amp;row=11736&amp;col=6&amp;number=4.2&amp;sourceID=14","4.2")</f>
        <v>4.2</v>
      </c>
      <c r="G11736" s="4" t="str">
        <f>HYPERLINK("http://141.218.60.56/~jnz1568/getInfo.php?workbook=10_05.xlsx&amp;sheet=U0&amp;row=11736&amp;col=7&amp;number=0.0148&amp;sourceID=14","0.0148")</f>
        <v>0.0148</v>
      </c>
    </row>
    <row r="11737" spans="1:7">
      <c r="A11737" s="3"/>
      <c r="B11737" s="3"/>
      <c r="C11737" s="3"/>
      <c r="D11737" s="3"/>
      <c r="E11737" s="3">
        <v>14</v>
      </c>
      <c r="F11737" s="4" t="str">
        <f>HYPERLINK("http://141.218.60.56/~jnz1568/getInfo.php?workbook=10_05.xlsx&amp;sheet=U0&amp;row=11737&amp;col=6&amp;number=4.3&amp;sourceID=14","4.3")</f>
        <v>4.3</v>
      </c>
      <c r="G11737" s="4" t="str">
        <f>HYPERLINK("http://141.218.60.56/~jnz1568/getInfo.php?workbook=10_05.xlsx&amp;sheet=U0&amp;row=11737&amp;col=7&amp;number=0.0143&amp;sourceID=14","0.0143")</f>
        <v>0.0143</v>
      </c>
    </row>
    <row r="11738" spans="1:7">
      <c r="A11738" s="3"/>
      <c r="B11738" s="3"/>
      <c r="C11738" s="3"/>
      <c r="D11738" s="3"/>
      <c r="E11738" s="3">
        <v>15</v>
      </c>
      <c r="F11738" s="4" t="str">
        <f>HYPERLINK("http://141.218.60.56/~jnz1568/getInfo.php?workbook=10_05.xlsx&amp;sheet=U0&amp;row=11738&amp;col=6&amp;number=4.4&amp;sourceID=14","4.4")</f>
        <v>4.4</v>
      </c>
      <c r="G11738" s="4" t="str">
        <f>HYPERLINK("http://141.218.60.56/~jnz1568/getInfo.php?workbook=10_05.xlsx&amp;sheet=U0&amp;row=11738&amp;col=7&amp;number=0.014&amp;sourceID=14","0.014")</f>
        <v>0.014</v>
      </c>
    </row>
    <row r="11739" spans="1:7">
      <c r="A11739" s="3"/>
      <c r="B11739" s="3"/>
      <c r="C11739" s="3"/>
      <c r="D11739" s="3"/>
      <c r="E11739" s="3">
        <v>16</v>
      </c>
      <c r="F11739" s="4" t="str">
        <f>HYPERLINK("http://141.218.60.56/~jnz1568/getInfo.php?workbook=10_05.xlsx&amp;sheet=U0&amp;row=11739&amp;col=6&amp;number=4.5&amp;sourceID=14","4.5")</f>
        <v>4.5</v>
      </c>
      <c r="G11739" s="4" t="str">
        <f>HYPERLINK("http://141.218.60.56/~jnz1568/getInfo.php?workbook=10_05.xlsx&amp;sheet=U0&amp;row=11739&amp;col=7&amp;number=0.0139&amp;sourceID=14","0.0139")</f>
        <v>0.0139</v>
      </c>
    </row>
    <row r="11740" spans="1:7">
      <c r="A11740" s="3"/>
      <c r="B11740" s="3"/>
      <c r="C11740" s="3"/>
      <c r="D11740" s="3"/>
      <c r="E11740" s="3">
        <v>17</v>
      </c>
      <c r="F11740" s="4" t="str">
        <f>HYPERLINK("http://141.218.60.56/~jnz1568/getInfo.php?workbook=10_05.xlsx&amp;sheet=U0&amp;row=11740&amp;col=6&amp;number=4.6&amp;sourceID=14","4.6")</f>
        <v>4.6</v>
      </c>
      <c r="G11740" s="4" t="str">
        <f>HYPERLINK("http://141.218.60.56/~jnz1568/getInfo.php?workbook=10_05.xlsx&amp;sheet=U0&amp;row=11740&amp;col=7&amp;number=0.0138&amp;sourceID=14","0.0138")</f>
        <v>0.0138</v>
      </c>
    </row>
    <row r="11741" spans="1:7">
      <c r="A11741" s="3"/>
      <c r="B11741" s="3"/>
      <c r="C11741" s="3"/>
      <c r="D11741" s="3"/>
      <c r="E11741" s="3">
        <v>18</v>
      </c>
      <c r="F11741" s="4" t="str">
        <f>HYPERLINK("http://141.218.60.56/~jnz1568/getInfo.php?workbook=10_05.xlsx&amp;sheet=U0&amp;row=11741&amp;col=6&amp;number=4.7&amp;sourceID=14","4.7")</f>
        <v>4.7</v>
      </c>
      <c r="G11741" s="4" t="str">
        <f>HYPERLINK("http://141.218.60.56/~jnz1568/getInfo.php?workbook=10_05.xlsx&amp;sheet=U0&amp;row=11741&amp;col=7&amp;number=0.0136&amp;sourceID=14","0.0136")</f>
        <v>0.0136</v>
      </c>
    </row>
    <row r="11742" spans="1:7">
      <c r="A11742" s="3"/>
      <c r="B11742" s="3"/>
      <c r="C11742" s="3"/>
      <c r="D11742" s="3"/>
      <c r="E11742" s="3">
        <v>19</v>
      </c>
      <c r="F11742" s="4" t="str">
        <f>HYPERLINK("http://141.218.60.56/~jnz1568/getInfo.php?workbook=10_05.xlsx&amp;sheet=U0&amp;row=11742&amp;col=6&amp;number=4.8&amp;sourceID=14","4.8")</f>
        <v>4.8</v>
      </c>
      <c r="G11742" s="4" t="str">
        <f>HYPERLINK("http://141.218.60.56/~jnz1568/getInfo.php?workbook=10_05.xlsx&amp;sheet=U0&amp;row=11742&amp;col=7&amp;number=0.0134&amp;sourceID=14","0.0134")</f>
        <v>0.0134</v>
      </c>
    </row>
    <row r="11743" spans="1:7">
      <c r="A11743" s="3"/>
      <c r="B11743" s="3"/>
      <c r="C11743" s="3"/>
      <c r="D11743" s="3"/>
      <c r="E11743" s="3">
        <v>20</v>
      </c>
      <c r="F11743" s="4" t="str">
        <f>HYPERLINK("http://141.218.60.56/~jnz1568/getInfo.php?workbook=10_05.xlsx&amp;sheet=U0&amp;row=11743&amp;col=6&amp;number=4.9&amp;sourceID=14","4.9")</f>
        <v>4.9</v>
      </c>
      <c r="G11743" s="4" t="str">
        <f>HYPERLINK("http://141.218.60.56/~jnz1568/getInfo.php?workbook=10_05.xlsx&amp;sheet=U0&amp;row=11743&amp;col=7&amp;number=0.0131&amp;sourceID=14","0.0131")</f>
        <v>0.0131</v>
      </c>
    </row>
    <row r="11744" spans="1:7">
      <c r="A11744" s="3">
        <v>10</v>
      </c>
      <c r="B11744" s="3">
        <v>5</v>
      </c>
      <c r="C11744" s="3">
        <v>4</v>
      </c>
      <c r="D11744" s="3">
        <v>58</v>
      </c>
      <c r="E11744" s="3">
        <v>1</v>
      </c>
      <c r="F11744" s="4" t="str">
        <f>HYPERLINK("http://141.218.60.56/~jnz1568/getInfo.php?workbook=10_05.xlsx&amp;sheet=U0&amp;row=11744&amp;col=6&amp;number=3&amp;sourceID=14","3")</f>
        <v>3</v>
      </c>
      <c r="G11744" s="4" t="str">
        <f>HYPERLINK("http://141.218.60.56/~jnz1568/getInfo.php?workbook=10_05.xlsx&amp;sheet=U0&amp;row=11744&amp;col=7&amp;number=0.00671&amp;sourceID=14","0.00671")</f>
        <v>0.00671</v>
      </c>
    </row>
    <row r="11745" spans="1:7">
      <c r="A11745" s="3"/>
      <c r="B11745" s="3"/>
      <c r="C11745" s="3"/>
      <c r="D11745" s="3"/>
      <c r="E11745" s="3">
        <v>2</v>
      </c>
      <c r="F11745" s="4" t="str">
        <f>HYPERLINK("http://141.218.60.56/~jnz1568/getInfo.php?workbook=10_05.xlsx&amp;sheet=U0&amp;row=11745&amp;col=6&amp;number=3.1&amp;sourceID=14","3.1")</f>
        <v>3.1</v>
      </c>
      <c r="G11745" s="4" t="str">
        <f>HYPERLINK("http://141.218.60.56/~jnz1568/getInfo.php?workbook=10_05.xlsx&amp;sheet=U0&amp;row=11745&amp;col=7&amp;number=0.00673&amp;sourceID=14","0.00673")</f>
        <v>0.00673</v>
      </c>
    </row>
    <row r="11746" spans="1:7">
      <c r="A11746" s="3"/>
      <c r="B11746" s="3"/>
      <c r="C11746" s="3"/>
      <c r="D11746" s="3"/>
      <c r="E11746" s="3">
        <v>3</v>
      </c>
      <c r="F11746" s="4" t="str">
        <f>HYPERLINK("http://141.218.60.56/~jnz1568/getInfo.php?workbook=10_05.xlsx&amp;sheet=U0&amp;row=11746&amp;col=6&amp;number=3.2&amp;sourceID=14","3.2")</f>
        <v>3.2</v>
      </c>
      <c r="G11746" s="4" t="str">
        <f>HYPERLINK("http://141.218.60.56/~jnz1568/getInfo.php?workbook=10_05.xlsx&amp;sheet=U0&amp;row=11746&amp;col=7&amp;number=0.00675&amp;sourceID=14","0.00675")</f>
        <v>0.00675</v>
      </c>
    </row>
    <row r="11747" spans="1:7">
      <c r="A11747" s="3"/>
      <c r="B11747" s="3"/>
      <c r="C11747" s="3"/>
      <c r="D11747" s="3"/>
      <c r="E11747" s="3">
        <v>4</v>
      </c>
      <c r="F11747" s="4" t="str">
        <f>HYPERLINK("http://141.218.60.56/~jnz1568/getInfo.php?workbook=10_05.xlsx&amp;sheet=U0&amp;row=11747&amp;col=6&amp;number=3.3&amp;sourceID=14","3.3")</f>
        <v>3.3</v>
      </c>
      <c r="G11747" s="4" t="str">
        <f>HYPERLINK("http://141.218.60.56/~jnz1568/getInfo.php?workbook=10_05.xlsx&amp;sheet=U0&amp;row=11747&amp;col=7&amp;number=0.00678&amp;sourceID=14","0.00678")</f>
        <v>0.00678</v>
      </c>
    </row>
    <row r="11748" spans="1:7">
      <c r="A11748" s="3"/>
      <c r="B11748" s="3"/>
      <c r="C11748" s="3"/>
      <c r="D11748" s="3"/>
      <c r="E11748" s="3">
        <v>5</v>
      </c>
      <c r="F11748" s="4" t="str">
        <f>HYPERLINK("http://141.218.60.56/~jnz1568/getInfo.php?workbook=10_05.xlsx&amp;sheet=U0&amp;row=11748&amp;col=6&amp;number=3.4&amp;sourceID=14","3.4")</f>
        <v>3.4</v>
      </c>
      <c r="G11748" s="4" t="str">
        <f>HYPERLINK("http://141.218.60.56/~jnz1568/getInfo.php?workbook=10_05.xlsx&amp;sheet=U0&amp;row=11748&amp;col=7&amp;number=0.00682&amp;sourceID=14","0.00682")</f>
        <v>0.00682</v>
      </c>
    </row>
    <row r="11749" spans="1:7">
      <c r="A11749" s="3"/>
      <c r="B11749" s="3"/>
      <c r="C11749" s="3"/>
      <c r="D11749" s="3"/>
      <c r="E11749" s="3">
        <v>6</v>
      </c>
      <c r="F11749" s="4" t="str">
        <f>HYPERLINK("http://141.218.60.56/~jnz1568/getInfo.php?workbook=10_05.xlsx&amp;sheet=U0&amp;row=11749&amp;col=6&amp;number=3.5&amp;sourceID=14","3.5")</f>
        <v>3.5</v>
      </c>
      <c r="G11749" s="4" t="str">
        <f>HYPERLINK("http://141.218.60.56/~jnz1568/getInfo.php?workbook=10_05.xlsx&amp;sheet=U0&amp;row=11749&amp;col=7&amp;number=0.00687&amp;sourceID=14","0.00687")</f>
        <v>0.00687</v>
      </c>
    </row>
    <row r="11750" spans="1:7">
      <c r="A11750" s="3"/>
      <c r="B11750" s="3"/>
      <c r="C11750" s="3"/>
      <c r="D11750" s="3"/>
      <c r="E11750" s="3">
        <v>7</v>
      </c>
      <c r="F11750" s="4" t="str">
        <f>HYPERLINK("http://141.218.60.56/~jnz1568/getInfo.php?workbook=10_05.xlsx&amp;sheet=U0&amp;row=11750&amp;col=6&amp;number=3.6&amp;sourceID=14","3.6")</f>
        <v>3.6</v>
      </c>
      <c r="G11750" s="4" t="str">
        <f>HYPERLINK("http://141.218.60.56/~jnz1568/getInfo.php?workbook=10_05.xlsx&amp;sheet=U0&amp;row=11750&amp;col=7&amp;number=0.00693&amp;sourceID=14","0.00693")</f>
        <v>0.00693</v>
      </c>
    </row>
    <row r="11751" spans="1:7">
      <c r="A11751" s="3"/>
      <c r="B11751" s="3"/>
      <c r="C11751" s="3"/>
      <c r="D11751" s="3"/>
      <c r="E11751" s="3">
        <v>8</v>
      </c>
      <c r="F11751" s="4" t="str">
        <f>HYPERLINK("http://141.218.60.56/~jnz1568/getInfo.php?workbook=10_05.xlsx&amp;sheet=U0&amp;row=11751&amp;col=6&amp;number=3.7&amp;sourceID=14","3.7")</f>
        <v>3.7</v>
      </c>
      <c r="G11751" s="4" t="str">
        <f>HYPERLINK("http://141.218.60.56/~jnz1568/getInfo.php?workbook=10_05.xlsx&amp;sheet=U0&amp;row=11751&amp;col=7&amp;number=0.007&amp;sourceID=14","0.007")</f>
        <v>0.007</v>
      </c>
    </row>
    <row r="11752" spans="1:7">
      <c r="A11752" s="3"/>
      <c r="B11752" s="3"/>
      <c r="C11752" s="3"/>
      <c r="D11752" s="3"/>
      <c r="E11752" s="3">
        <v>9</v>
      </c>
      <c r="F11752" s="4" t="str">
        <f>HYPERLINK("http://141.218.60.56/~jnz1568/getInfo.php?workbook=10_05.xlsx&amp;sheet=U0&amp;row=11752&amp;col=6&amp;number=3.8&amp;sourceID=14","3.8")</f>
        <v>3.8</v>
      </c>
      <c r="G11752" s="4" t="str">
        <f>HYPERLINK("http://141.218.60.56/~jnz1568/getInfo.php?workbook=10_05.xlsx&amp;sheet=U0&amp;row=11752&amp;col=7&amp;number=0.00709&amp;sourceID=14","0.00709")</f>
        <v>0.00709</v>
      </c>
    </row>
    <row r="11753" spans="1:7">
      <c r="A11753" s="3"/>
      <c r="B11753" s="3"/>
      <c r="C11753" s="3"/>
      <c r="D11753" s="3"/>
      <c r="E11753" s="3">
        <v>10</v>
      </c>
      <c r="F11753" s="4" t="str">
        <f>HYPERLINK("http://141.218.60.56/~jnz1568/getInfo.php?workbook=10_05.xlsx&amp;sheet=U0&amp;row=11753&amp;col=6&amp;number=3.9&amp;sourceID=14","3.9")</f>
        <v>3.9</v>
      </c>
      <c r="G11753" s="4" t="str">
        <f>HYPERLINK("http://141.218.60.56/~jnz1568/getInfo.php?workbook=10_05.xlsx&amp;sheet=U0&amp;row=11753&amp;col=7&amp;number=0.00718&amp;sourceID=14","0.00718")</f>
        <v>0.00718</v>
      </c>
    </row>
    <row r="11754" spans="1:7">
      <c r="A11754" s="3"/>
      <c r="B11754" s="3"/>
      <c r="C11754" s="3"/>
      <c r="D11754" s="3"/>
      <c r="E11754" s="3">
        <v>11</v>
      </c>
      <c r="F11754" s="4" t="str">
        <f>HYPERLINK("http://141.218.60.56/~jnz1568/getInfo.php?workbook=10_05.xlsx&amp;sheet=U0&amp;row=11754&amp;col=6&amp;number=4&amp;sourceID=14","4")</f>
        <v>4</v>
      </c>
      <c r="G11754" s="4" t="str">
        <f>HYPERLINK("http://141.218.60.56/~jnz1568/getInfo.php?workbook=10_05.xlsx&amp;sheet=U0&amp;row=11754&amp;col=7&amp;number=0.00728&amp;sourceID=14","0.00728")</f>
        <v>0.00728</v>
      </c>
    </row>
    <row r="11755" spans="1:7">
      <c r="A11755" s="3"/>
      <c r="B11755" s="3"/>
      <c r="C11755" s="3"/>
      <c r="D11755" s="3"/>
      <c r="E11755" s="3">
        <v>12</v>
      </c>
      <c r="F11755" s="4" t="str">
        <f>HYPERLINK("http://141.218.60.56/~jnz1568/getInfo.php?workbook=10_05.xlsx&amp;sheet=U0&amp;row=11755&amp;col=6&amp;number=4.1&amp;sourceID=14","4.1")</f>
        <v>4.1</v>
      </c>
      <c r="G11755" s="4" t="str">
        <f>HYPERLINK("http://141.218.60.56/~jnz1568/getInfo.php?workbook=10_05.xlsx&amp;sheet=U0&amp;row=11755&amp;col=7&amp;number=0.00738&amp;sourceID=14","0.00738")</f>
        <v>0.00738</v>
      </c>
    </row>
    <row r="11756" spans="1:7">
      <c r="A11756" s="3"/>
      <c r="B11756" s="3"/>
      <c r="C11756" s="3"/>
      <c r="D11756" s="3"/>
      <c r="E11756" s="3">
        <v>13</v>
      </c>
      <c r="F11756" s="4" t="str">
        <f>HYPERLINK("http://141.218.60.56/~jnz1568/getInfo.php?workbook=10_05.xlsx&amp;sheet=U0&amp;row=11756&amp;col=6&amp;number=4.2&amp;sourceID=14","4.2")</f>
        <v>4.2</v>
      </c>
      <c r="G11756" s="4" t="str">
        <f>HYPERLINK("http://141.218.60.56/~jnz1568/getInfo.php?workbook=10_05.xlsx&amp;sheet=U0&amp;row=11756&amp;col=7&amp;number=0.00744&amp;sourceID=14","0.00744")</f>
        <v>0.00744</v>
      </c>
    </row>
    <row r="11757" spans="1:7">
      <c r="A11757" s="3"/>
      <c r="B11757" s="3"/>
      <c r="C11757" s="3"/>
      <c r="D11757" s="3"/>
      <c r="E11757" s="3">
        <v>14</v>
      </c>
      <c r="F11757" s="4" t="str">
        <f>HYPERLINK("http://141.218.60.56/~jnz1568/getInfo.php?workbook=10_05.xlsx&amp;sheet=U0&amp;row=11757&amp;col=6&amp;number=4.3&amp;sourceID=14","4.3")</f>
        <v>4.3</v>
      </c>
      <c r="G11757" s="4" t="str">
        <f>HYPERLINK("http://141.218.60.56/~jnz1568/getInfo.php?workbook=10_05.xlsx&amp;sheet=U0&amp;row=11757&amp;col=7&amp;number=0.00742&amp;sourceID=14","0.00742")</f>
        <v>0.00742</v>
      </c>
    </row>
    <row r="11758" spans="1:7">
      <c r="A11758" s="3"/>
      <c r="B11758" s="3"/>
      <c r="C11758" s="3"/>
      <c r="D11758" s="3"/>
      <c r="E11758" s="3">
        <v>15</v>
      </c>
      <c r="F11758" s="4" t="str">
        <f>HYPERLINK("http://141.218.60.56/~jnz1568/getInfo.php?workbook=10_05.xlsx&amp;sheet=U0&amp;row=11758&amp;col=6&amp;number=4.4&amp;sourceID=14","4.4")</f>
        <v>4.4</v>
      </c>
      <c r="G11758" s="4" t="str">
        <f>HYPERLINK("http://141.218.60.56/~jnz1568/getInfo.php?workbook=10_05.xlsx&amp;sheet=U0&amp;row=11758&amp;col=7&amp;number=0.00727&amp;sourceID=14","0.00727")</f>
        <v>0.00727</v>
      </c>
    </row>
    <row r="11759" spans="1:7">
      <c r="A11759" s="3"/>
      <c r="B11759" s="3"/>
      <c r="C11759" s="3"/>
      <c r="D11759" s="3"/>
      <c r="E11759" s="3">
        <v>16</v>
      </c>
      <c r="F11759" s="4" t="str">
        <f>HYPERLINK("http://141.218.60.56/~jnz1568/getInfo.php?workbook=10_05.xlsx&amp;sheet=U0&amp;row=11759&amp;col=6&amp;number=4.5&amp;sourceID=14","4.5")</f>
        <v>4.5</v>
      </c>
      <c r="G11759" s="4" t="str">
        <f>HYPERLINK("http://141.218.60.56/~jnz1568/getInfo.php?workbook=10_05.xlsx&amp;sheet=U0&amp;row=11759&amp;col=7&amp;number=0.00697&amp;sourceID=14","0.00697")</f>
        <v>0.00697</v>
      </c>
    </row>
    <row r="11760" spans="1:7">
      <c r="A11760" s="3"/>
      <c r="B11760" s="3"/>
      <c r="C11760" s="3"/>
      <c r="D11760" s="3"/>
      <c r="E11760" s="3">
        <v>17</v>
      </c>
      <c r="F11760" s="4" t="str">
        <f>HYPERLINK("http://141.218.60.56/~jnz1568/getInfo.php?workbook=10_05.xlsx&amp;sheet=U0&amp;row=11760&amp;col=6&amp;number=4.6&amp;sourceID=14","4.6")</f>
        <v>4.6</v>
      </c>
      <c r="G11760" s="4" t="str">
        <f>HYPERLINK("http://141.218.60.56/~jnz1568/getInfo.php?workbook=10_05.xlsx&amp;sheet=U0&amp;row=11760&amp;col=7&amp;number=0.00654&amp;sourceID=14","0.00654")</f>
        <v>0.00654</v>
      </c>
    </row>
    <row r="11761" spans="1:7">
      <c r="A11761" s="3"/>
      <c r="B11761" s="3"/>
      <c r="C11761" s="3"/>
      <c r="D11761" s="3"/>
      <c r="E11761" s="3">
        <v>18</v>
      </c>
      <c r="F11761" s="4" t="str">
        <f>HYPERLINK("http://141.218.60.56/~jnz1568/getInfo.php?workbook=10_05.xlsx&amp;sheet=U0&amp;row=11761&amp;col=6&amp;number=4.7&amp;sourceID=14","4.7")</f>
        <v>4.7</v>
      </c>
      <c r="G11761" s="4" t="str">
        <f>HYPERLINK("http://141.218.60.56/~jnz1568/getInfo.php?workbook=10_05.xlsx&amp;sheet=U0&amp;row=11761&amp;col=7&amp;number=0.00606&amp;sourceID=14","0.00606")</f>
        <v>0.00606</v>
      </c>
    </row>
    <row r="11762" spans="1:7">
      <c r="A11762" s="3"/>
      <c r="B11762" s="3"/>
      <c r="C11762" s="3"/>
      <c r="D11762" s="3"/>
      <c r="E11762" s="3">
        <v>19</v>
      </c>
      <c r="F11762" s="4" t="str">
        <f>HYPERLINK("http://141.218.60.56/~jnz1568/getInfo.php?workbook=10_05.xlsx&amp;sheet=U0&amp;row=11762&amp;col=6&amp;number=4.8&amp;sourceID=14","4.8")</f>
        <v>4.8</v>
      </c>
      <c r="G11762" s="4" t="str">
        <f>HYPERLINK("http://141.218.60.56/~jnz1568/getInfo.php?workbook=10_05.xlsx&amp;sheet=U0&amp;row=11762&amp;col=7&amp;number=0.00555&amp;sourceID=14","0.00555")</f>
        <v>0.00555</v>
      </c>
    </row>
    <row r="11763" spans="1:7">
      <c r="A11763" s="3"/>
      <c r="B11763" s="3"/>
      <c r="C11763" s="3"/>
      <c r="D11763" s="3"/>
      <c r="E11763" s="3">
        <v>20</v>
      </c>
      <c r="F11763" s="4" t="str">
        <f>HYPERLINK("http://141.218.60.56/~jnz1568/getInfo.php?workbook=10_05.xlsx&amp;sheet=U0&amp;row=11763&amp;col=6&amp;number=4.9&amp;sourceID=14","4.9")</f>
        <v>4.9</v>
      </c>
      <c r="G11763" s="4" t="str">
        <f>HYPERLINK("http://141.218.60.56/~jnz1568/getInfo.php?workbook=10_05.xlsx&amp;sheet=U0&amp;row=11763&amp;col=7&amp;number=0.00502&amp;sourceID=14","0.00502")</f>
        <v>0.00502</v>
      </c>
    </row>
    <row r="11764" spans="1:7">
      <c r="A11764" s="3">
        <v>10</v>
      </c>
      <c r="B11764" s="3">
        <v>5</v>
      </c>
      <c r="C11764" s="3">
        <v>4</v>
      </c>
      <c r="D11764" s="3">
        <v>59</v>
      </c>
      <c r="E11764" s="3">
        <v>1</v>
      </c>
      <c r="F11764" s="4" t="str">
        <f>HYPERLINK("http://141.218.60.56/~jnz1568/getInfo.php?workbook=10_05.xlsx&amp;sheet=U0&amp;row=11764&amp;col=6&amp;number=3&amp;sourceID=14","3")</f>
        <v>3</v>
      </c>
      <c r="G11764" s="4" t="str">
        <f>HYPERLINK("http://141.218.60.56/~jnz1568/getInfo.php?workbook=10_05.xlsx&amp;sheet=U0&amp;row=11764&amp;col=7&amp;number=0.0235&amp;sourceID=14","0.0235")</f>
        <v>0.0235</v>
      </c>
    </row>
    <row r="11765" spans="1:7">
      <c r="A11765" s="3"/>
      <c r="B11765" s="3"/>
      <c r="C11765" s="3"/>
      <c r="D11765" s="3"/>
      <c r="E11765" s="3">
        <v>2</v>
      </c>
      <c r="F11765" s="4" t="str">
        <f>HYPERLINK("http://141.218.60.56/~jnz1568/getInfo.php?workbook=10_05.xlsx&amp;sheet=U0&amp;row=11765&amp;col=6&amp;number=3.1&amp;sourceID=14","3.1")</f>
        <v>3.1</v>
      </c>
      <c r="G11765" s="4" t="str">
        <f>HYPERLINK("http://141.218.60.56/~jnz1568/getInfo.php?workbook=10_05.xlsx&amp;sheet=U0&amp;row=11765&amp;col=7&amp;number=0.0234&amp;sourceID=14","0.0234")</f>
        <v>0.0234</v>
      </c>
    </row>
    <row r="11766" spans="1:7">
      <c r="A11766" s="3"/>
      <c r="B11766" s="3"/>
      <c r="C11766" s="3"/>
      <c r="D11766" s="3"/>
      <c r="E11766" s="3">
        <v>3</v>
      </c>
      <c r="F11766" s="4" t="str">
        <f>HYPERLINK("http://141.218.60.56/~jnz1568/getInfo.php?workbook=10_05.xlsx&amp;sheet=U0&amp;row=11766&amp;col=6&amp;number=3.2&amp;sourceID=14","3.2")</f>
        <v>3.2</v>
      </c>
      <c r="G11766" s="4" t="str">
        <f>HYPERLINK("http://141.218.60.56/~jnz1568/getInfo.php?workbook=10_05.xlsx&amp;sheet=U0&amp;row=11766&amp;col=7&amp;number=0.0234&amp;sourceID=14","0.0234")</f>
        <v>0.0234</v>
      </c>
    </row>
    <row r="11767" spans="1:7">
      <c r="A11767" s="3"/>
      <c r="B11767" s="3"/>
      <c r="C11767" s="3"/>
      <c r="D11767" s="3"/>
      <c r="E11767" s="3">
        <v>4</v>
      </c>
      <c r="F11767" s="4" t="str">
        <f>HYPERLINK("http://141.218.60.56/~jnz1568/getInfo.php?workbook=10_05.xlsx&amp;sheet=U0&amp;row=11767&amp;col=6&amp;number=3.3&amp;sourceID=14","3.3")</f>
        <v>3.3</v>
      </c>
      <c r="G11767" s="4" t="str">
        <f>HYPERLINK("http://141.218.60.56/~jnz1568/getInfo.php?workbook=10_05.xlsx&amp;sheet=U0&amp;row=11767&amp;col=7&amp;number=0.0233&amp;sourceID=14","0.0233")</f>
        <v>0.0233</v>
      </c>
    </row>
    <row r="11768" spans="1:7">
      <c r="A11768" s="3"/>
      <c r="B11768" s="3"/>
      <c r="C11768" s="3"/>
      <c r="D11768" s="3"/>
      <c r="E11768" s="3">
        <v>5</v>
      </c>
      <c r="F11768" s="4" t="str">
        <f>HYPERLINK("http://141.218.60.56/~jnz1568/getInfo.php?workbook=10_05.xlsx&amp;sheet=U0&amp;row=11768&amp;col=6&amp;number=3.4&amp;sourceID=14","3.4")</f>
        <v>3.4</v>
      </c>
      <c r="G11768" s="4" t="str">
        <f>HYPERLINK("http://141.218.60.56/~jnz1568/getInfo.php?workbook=10_05.xlsx&amp;sheet=U0&amp;row=11768&amp;col=7&amp;number=0.0231&amp;sourceID=14","0.0231")</f>
        <v>0.0231</v>
      </c>
    </row>
    <row r="11769" spans="1:7">
      <c r="A11769" s="3"/>
      <c r="B11769" s="3"/>
      <c r="C11769" s="3"/>
      <c r="D11769" s="3"/>
      <c r="E11769" s="3">
        <v>6</v>
      </c>
      <c r="F11769" s="4" t="str">
        <f>HYPERLINK("http://141.218.60.56/~jnz1568/getInfo.php?workbook=10_05.xlsx&amp;sheet=U0&amp;row=11769&amp;col=6&amp;number=3.5&amp;sourceID=14","3.5")</f>
        <v>3.5</v>
      </c>
      <c r="G11769" s="4" t="str">
        <f>HYPERLINK("http://141.218.60.56/~jnz1568/getInfo.php?workbook=10_05.xlsx&amp;sheet=U0&amp;row=11769&amp;col=7&amp;number=0.023&amp;sourceID=14","0.023")</f>
        <v>0.023</v>
      </c>
    </row>
    <row r="11770" spans="1:7">
      <c r="A11770" s="3"/>
      <c r="B11770" s="3"/>
      <c r="C11770" s="3"/>
      <c r="D11770" s="3"/>
      <c r="E11770" s="3">
        <v>7</v>
      </c>
      <c r="F11770" s="4" t="str">
        <f>HYPERLINK("http://141.218.60.56/~jnz1568/getInfo.php?workbook=10_05.xlsx&amp;sheet=U0&amp;row=11770&amp;col=6&amp;number=3.6&amp;sourceID=14","3.6")</f>
        <v>3.6</v>
      </c>
      <c r="G11770" s="4" t="str">
        <f>HYPERLINK("http://141.218.60.56/~jnz1568/getInfo.php?workbook=10_05.xlsx&amp;sheet=U0&amp;row=11770&amp;col=7&amp;number=0.0228&amp;sourceID=14","0.0228")</f>
        <v>0.0228</v>
      </c>
    </row>
    <row r="11771" spans="1:7">
      <c r="A11771" s="3"/>
      <c r="B11771" s="3"/>
      <c r="C11771" s="3"/>
      <c r="D11771" s="3"/>
      <c r="E11771" s="3">
        <v>8</v>
      </c>
      <c r="F11771" s="4" t="str">
        <f>HYPERLINK("http://141.218.60.56/~jnz1568/getInfo.php?workbook=10_05.xlsx&amp;sheet=U0&amp;row=11771&amp;col=6&amp;number=3.7&amp;sourceID=14","3.7")</f>
        <v>3.7</v>
      </c>
      <c r="G11771" s="4" t="str">
        <f>HYPERLINK("http://141.218.60.56/~jnz1568/getInfo.php?workbook=10_05.xlsx&amp;sheet=U0&amp;row=11771&amp;col=7&amp;number=0.0225&amp;sourceID=14","0.0225")</f>
        <v>0.0225</v>
      </c>
    </row>
    <row r="11772" spans="1:7">
      <c r="A11772" s="3"/>
      <c r="B11772" s="3"/>
      <c r="C11772" s="3"/>
      <c r="D11772" s="3"/>
      <c r="E11772" s="3">
        <v>9</v>
      </c>
      <c r="F11772" s="4" t="str">
        <f>HYPERLINK("http://141.218.60.56/~jnz1568/getInfo.php?workbook=10_05.xlsx&amp;sheet=U0&amp;row=11772&amp;col=6&amp;number=3.8&amp;sourceID=14","3.8")</f>
        <v>3.8</v>
      </c>
      <c r="G11772" s="4" t="str">
        <f>HYPERLINK("http://141.218.60.56/~jnz1568/getInfo.php?workbook=10_05.xlsx&amp;sheet=U0&amp;row=11772&amp;col=7&amp;number=0.0222&amp;sourceID=14","0.0222")</f>
        <v>0.0222</v>
      </c>
    </row>
    <row r="11773" spans="1:7">
      <c r="A11773" s="3"/>
      <c r="B11773" s="3"/>
      <c r="C11773" s="3"/>
      <c r="D11773" s="3"/>
      <c r="E11773" s="3">
        <v>10</v>
      </c>
      <c r="F11773" s="4" t="str">
        <f>HYPERLINK("http://141.218.60.56/~jnz1568/getInfo.php?workbook=10_05.xlsx&amp;sheet=U0&amp;row=11773&amp;col=6&amp;number=3.9&amp;sourceID=14","3.9")</f>
        <v>3.9</v>
      </c>
      <c r="G11773" s="4" t="str">
        <f>HYPERLINK("http://141.218.60.56/~jnz1568/getInfo.php?workbook=10_05.xlsx&amp;sheet=U0&amp;row=11773&amp;col=7&amp;number=0.0218&amp;sourceID=14","0.0218")</f>
        <v>0.0218</v>
      </c>
    </row>
    <row r="11774" spans="1:7">
      <c r="A11774" s="3"/>
      <c r="B11774" s="3"/>
      <c r="C11774" s="3"/>
      <c r="D11774" s="3"/>
      <c r="E11774" s="3">
        <v>11</v>
      </c>
      <c r="F11774" s="4" t="str">
        <f>HYPERLINK("http://141.218.60.56/~jnz1568/getInfo.php?workbook=10_05.xlsx&amp;sheet=U0&amp;row=11774&amp;col=6&amp;number=4&amp;sourceID=14","4")</f>
        <v>4</v>
      </c>
      <c r="G11774" s="4" t="str">
        <f>HYPERLINK("http://141.218.60.56/~jnz1568/getInfo.php?workbook=10_05.xlsx&amp;sheet=U0&amp;row=11774&amp;col=7&amp;number=0.0214&amp;sourceID=14","0.0214")</f>
        <v>0.0214</v>
      </c>
    </row>
    <row r="11775" spans="1:7">
      <c r="A11775" s="3"/>
      <c r="B11775" s="3"/>
      <c r="C11775" s="3"/>
      <c r="D11775" s="3"/>
      <c r="E11775" s="3">
        <v>12</v>
      </c>
      <c r="F11775" s="4" t="str">
        <f>HYPERLINK("http://141.218.60.56/~jnz1568/getInfo.php?workbook=10_05.xlsx&amp;sheet=U0&amp;row=11775&amp;col=6&amp;number=4.1&amp;sourceID=14","4.1")</f>
        <v>4.1</v>
      </c>
      <c r="G11775" s="4" t="str">
        <f>HYPERLINK("http://141.218.60.56/~jnz1568/getInfo.php?workbook=10_05.xlsx&amp;sheet=U0&amp;row=11775&amp;col=7&amp;number=0.0209&amp;sourceID=14","0.0209")</f>
        <v>0.0209</v>
      </c>
    </row>
    <row r="11776" spans="1:7">
      <c r="A11776" s="3"/>
      <c r="B11776" s="3"/>
      <c r="C11776" s="3"/>
      <c r="D11776" s="3"/>
      <c r="E11776" s="3">
        <v>13</v>
      </c>
      <c r="F11776" s="4" t="str">
        <f>HYPERLINK("http://141.218.60.56/~jnz1568/getInfo.php?workbook=10_05.xlsx&amp;sheet=U0&amp;row=11776&amp;col=6&amp;number=4.2&amp;sourceID=14","4.2")</f>
        <v>4.2</v>
      </c>
      <c r="G11776" s="4" t="str">
        <f>HYPERLINK("http://141.218.60.56/~jnz1568/getInfo.php?workbook=10_05.xlsx&amp;sheet=U0&amp;row=11776&amp;col=7&amp;number=0.0203&amp;sourceID=14","0.0203")</f>
        <v>0.0203</v>
      </c>
    </row>
    <row r="11777" spans="1:7">
      <c r="A11777" s="3"/>
      <c r="B11777" s="3"/>
      <c r="C11777" s="3"/>
      <c r="D11777" s="3"/>
      <c r="E11777" s="3">
        <v>14</v>
      </c>
      <c r="F11777" s="4" t="str">
        <f>HYPERLINK("http://141.218.60.56/~jnz1568/getInfo.php?workbook=10_05.xlsx&amp;sheet=U0&amp;row=11777&amp;col=6&amp;number=4.3&amp;sourceID=14","4.3")</f>
        <v>4.3</v>
      </c>
      <c r="G11777" s="4" t="str">
        <f>HYPERLINK("http://141.218.60.56/~jnz1568/getInfo.php?workbook=10_05.xlsx&amp;sheet=U0&amp;row=11777&amp;col=7&amp;number=0.0196&amp;sourceID=14","0.0196")</f>
        <v>0.0196</v>
      </c>
    </row>
    <row r="11778" spans="1:7">
      <c r="A11778" s="3"/>
      <c r="B11778" s="3"/>
      <c r="C11778" s="3"/>
      <c r="D11778" s="3"/>
      <c r="E11778" s="3">
        <v>15</v>
      </c>
      <c r="F11778" s="4" t="str">
        <f>HYPERLINK("http://141.218.60.56/~jnz1568/getInfo.php?workbook=10_05.xlsx&amp;sheet=U0&amp;row=11778&amp;col=6&amp;number=4.4&amp;sourceID=14","4.4")</f>
        <v>4.4</v>
      </c>
      <c r="G11778" s="4" t="str">
        <f>HYPERLINK("http://141.218.60.56/~jnz1568/getInfo.php?workbook=10_05.xlsx&amp;sheet=U0&amp;row=11778&amp;col=7&amp;number=0.0188&amp;sourceID=14","0.0188")</f>
        <v>0.0188</v>
      </c>
    </row>
    <row r="11779" spans="1:7">
      <c r="A11779" s="3"/>
      <c r="B11779" s="3"/>
      <c r="C11779" s="3"/>
      <c r="D11779" s="3"/>
      <c r="E11779" s="3">
        <v>16</v>
      </c>
      <c r="F11779" s="4" t="str">
        <f>HYPERLINK("http://141.218.60.56/~jnz1568/getInfo.php?workbook=10_05.xlsx&amp;sheet=U0&amp;row=11779&amp;col=6&amp;number=4.5&amp;sourceID=14","4.5")</f>
        <v>4.5</v>
      </c>
      <c r="G11779" s="4" t="str">
        <f>HYPERLINK("http://141.218.60.56/~jnz1568/getInfo.php?workbook=10_05.xlsx&amp;sheet=U0&amp;row=11779&amp;col=7&amp;number=0.018&amp;sourceID=14","0.018")</f>
        <v>0.018</v>
      </c>
    </row>
    <row r="11780" spans="1:7">
      <c r="A11780" s="3"/>
      <c r="B11780" s="3"/>
      <c r="C11780" s="3"/>
      <c r="D11780" s="3"/>
      <c r="E11780" s="3">
        <v>17</v>
      </c>
      <c r="F11780" s="4" t="str">
        <f>HYPERLINK("http://141.218.60.56/~jnz1568/getInfo.php?workbook=10_05.xlsx&amp;sheet=U0&amp;row=11780&amp;col=6&amp;number=4.6&amp;sourceID=14","4.6")</f>
        <v>4.6</v>
      </c>
      <c r="G11780" s="4" t="str">
        <f>HYPERLINK("http://141.218.60.56/~jnz1568/getInfo.php?workbook=10_05.xlsx&amp;sheet=U0&amp;row=11780&amp;col=7&amp;number=0.017&amp;sourceID=14","0.017")</f>
        <v>0.017</v>
      </c>
    </row>
    <row r="11781" spans="1:7">
      <c r="A11781" s="3"/>
      <c r="B11781" s="3"/>
      <c r="C11781" s="3"/>
      <c r="D11781" s="3"/>
      <c r="E11781" s="3">
        <v>18</v>
      </c>
      <c r="F11781" s="4" t="str">
        <f>HYPERLINK("http://141.218.60.56/~jnz1568/getInfo.php?workbook=10_05.xlsx&amp;sheet=U0&amp;row=11781&amp;col=6&amp;number=4.7&amp;sourceID=14","4.7")</f>
        <v>4.7</v>
      </c>
      <c r="G11781" s="4" t="str">
        <f>HYPERLINK("http://141.218.60.56/~jnz1568/getInfo.php?workbook=10_05.xlsx&amp;sheet=U0&amp;row=11781&amp;col=7&amp;number=0.0159&amp;sourceID=14","0.0159")</f>
        <v>0.0159</v>
      </c>
    </row>
    <row r="11782" spans="1:7">
      <c r="A11782" s="3"/>
      <c r="B11782" s="3"/>
      <c r="C11782" s="3"/>
      <c r="D11782" s="3"/>
      <c r="E11782" s="3">
        <v>19</v>
      </c>
      <c r="F11782" s="4" t="str">
        <f>HYPERLINK("http://141.218.60.56/~jnz1568/getInfo.php?workbook=10_05.xlsx&amp;sheet=U0&amp;row=11782&amp;col=6&amp;number=4.8&amp;sourceID=14","4.8")</f>
        <v>4.8</v>
      </c>
      <c r="G11782" s="4" t="str">
        <f>HYPERLINK("http://141.218.60.56/~jnz1568/getInfo.php?workbook=10_05.xlsx&amp;sheet=U0&amp;row=11782&amp;col=7&amp;number=0.0145&amp;sourceID=14","0.0145")</f>
        <v>0.0145</v>
      </c>
    </row>
    <row r="11783" spans="1:7">
      <c r="A11783" s="3"/>
      <c r="B11783" s="3"/>
      <c r="C11783" s="3"/>
      <c r="D11783" s="3"/>
      <c r="E11783" s="3">
        <v>20</v>
      </c>
      <c r="F11783" s="4" t="str">
        <f>HYPERLINK("http://141.218.60.56/~jnz1568/getInfo.php?workbook=10_05.xlsx&amp;sheet=U0&amp;row=11783&amp;col=6&amp;number=4.9&amp;sourceID=14","4.9")</f>
        <v>4.9</v>
      </c>
      <c r="G11783" s="4" t="str">
        <f>HYPERLINK("http://141.218.60.56/~jnz1568/getInfo.php?workbook=10_05.xlsx&amp;sheet=U0&amp;row=11783&amp;col=7&amp;number=0.013&amp;sourceID=14","0.013")</f>
        <v>0.013</v>
      </c>
    </row>
    <row r="11784" spans="1:7">
      <c r="A11784" s="3">
        <v>10</v>
      </c>
      <c r="B11784" s="3">
        <v>5</v>
      </c>
      <c r="C11784" s="3">
        <v>4</v>
      </c>
      <c r="D11784" s="3">
        <v>60</v>
      </c>
      <c r="E11784" s="3">
        <v>1</v>
      </c>
      <c r="F11784" s="4" t="str">
        <f>HYPERLINK("http://141.218.60.56/~jnz1568/getInfo.php?workbook=10_05.xlsx&amp;sheet=U0&amp;row=11784&amp;col=6&amp;number=3&amp;sourceID=14","3")</f>
        <v>3</v>
      </c>
      <c r="G11784" s="4" t="str">
        <f>HYPERLINK("http://141.218.60.56/~jnz1568/getInfo.php?workbook=10_05.xlsx&amp;sheet=U0&amp;row=11784&amp;col=7&amp;number=0.0281&amp;sourceID=14","0.0281")</f>
        <v>0.0281</v>
      </c>
    </row>
    <row r="11785" spans="1:7">
      <c r="A11785" s="3"/>
      <c r="B11785" s="3"/>
      <c r="C11785" s="3"/>
      <c r="D11785" s="3"/>
      <c r="E11785" s="3">
        <v>2</v>
      </c>
      <c r="F11785" s="4" t="str">
        <f>HYPERLINK("http://141.218.60.56/~jnz1568/getInfo.php?workbook=10_05.xlsx&amp;sheet=U0&amp;row=11785&amp;col=6&amp;number=3.1&amp;sourceID=14","3.1")</f>
        <v>3.1</v>
      </c>
      <c r="G11785" s="4" t="str">
        <f>HYPERLINK("http://141.218.60.56/~jnz1568/getInfo.php?workbook=10_05.xlsx&amp;sheet=U0&amp;row=11785&amp;col=7&amp;number=0.028&amp;sourceID=14","0.028")</f>
        <v>0.028</v>
      </c>
    </row>
    <row r="11786" spans="1:7">
      <c r="A11786" s="3"/>
      <c r="B11786" s="3"/>
      <c r="C11786" s="3"/>
      <c r="D11786" s="3"/>
      <c r="E11786" s="3">
        <v>3</v>
      </c>
      <c r="F11786" s="4" t="str">
        <f>HYPERLINK("http://141.218.60.56/~jnz1568/getInfo.php?workbook=10_05.xlsx&amp;sheet=U0&amp;row=11786&amp;col=6&amp;number=3.2&amp;sourceID=14","3.2")</f>
        <v>3.2</v>
      </c>
      <c r="G11786" s="4" t="str">
        <f>HYPERLINK("http://141.218.60.56/~jnz1568/getInfo.php?workbook=10_05.xlsx&amp;sheet=U0&amp;row=11786&amp;col=7&amp;number=0.0279&amp;sourceID=14","0.0279")</f>
        <v>0.0279</v>
      </c>
    </row>
    <row r="11787" spans="1:7">
      <c r="A11787" s="3"/>
      <c r="B11787" s="3"/>
      <c r="C11787" s="3"/>
      <c r="D11787" s="3"/>
      <c r="E11787" s="3">
        <v>4</v>
      </c>
      <c r="F11787" s="4" t="str">
        <f>HYPERLINK("http://141.218.60.56/~jnz1568/getInfo.php?workbook=10_05.xlsx&amp;sheet=U0&amp;row=11787&amp;col=6&amp;number=3.3&amp;sourceID=14","3.3")</f>
        <v>3.3</v>
      </c>
      <c r="G11787" s="4" t="str">
        <f>HYPERLINK("http://141.218.60.56/~jnz1568/getInfo.php?workbook=10_05.xlsx&amp;sheet=U0&amp;row=11787&amp;col=7&amp;number=0.0278&amp;sourceID=14","0.0278")</f>
        <v>0.0278</v>
      </c>
    </row>
    <row r="11788" spans="1:7">
      <c r="A11788" s="3"/>
      <c r="B11788" s="3"/>
      <c r="C11788" s="3"/>
      <c r="D11788" s="3"/>
      <c r="E11788" s="3">
        <v>5</v>
      </c>
      <c r="F11788" s="4" t="str">
        <f>HYPERLINK("http://141.218.60.56/~jnz1568/getInfo.php?workbook=10_05.xlsx&amp;sheet=U0&amp;row=11788&amp;col=6&amp;number=3.4&amp;sourceID=14","3.4")</f>
        <v>3.4</v>
      </c>
      <c r="G11788" s="4" t="str">
        <f>HYPERLINK("http://141.218.60.56/~jnz1568/getInfo.php?workbook=10_05.xlsx&amp;sheet=U0&amp;row=11788&amp;col=7&amp;number=0.0276&amp;sourceID=14","0.0276")</f>
        <v>0.0276</v>
      </c>
    </row>
    <row r="11789" spans="1:7">
      <c r="A11789" s="3"/>
      <c r="B11789" s="3"/>
      <c r="C11789" s="3"/>
      <c r="D11789" s="3"/>
      <c r="E11789" s="3">
        <v>6</v>
      </c>
      <c r="F11789" s="4" t="str">
        <f>HYPERLINK("http://141.218.60.56/~jnz1568/getInfo.php?workbook=10_05.xlsx&amp;sheet=U0&amp;row=11789&amp;col=6&amp;number=3.5&amp;sourceID=14","3.5")</f>
        <v>3.5</v>
      </c>
      <c r="G11789" s="4" t="str">
        <f>HYPERLINK("http://141.218.60.56/~jnz1568/getInfo.php?workbook=10_05.xlsx&amp;sheet=U0&amp;row=11789&amp;col=7&amp;number=0.0274&amp;sourceID=14","0.0274")</f>
        <v>0.0274</v>
      </c>
    </row>
    <row r="11790" spans="1:7">
      <c r="A11790" s="3"/>
      <c r="B11790" s="3"/>
      <c r="C11790" s="3"/>
      <c r="D11790" s="3"/>
      <c r="E11790" s="3">
        <v>7</v>
      </c>
      <c r="F11790" s="4" t="str">
        <f>HYPERLINK("http://141.218.60.56/~jnz1568/getInfo.php?workbook=10_05.xlsx&amp;sheet=U0&amp;row=11790&amp;col=6&amp;number=3.6&amp;sourceID=14","3.6")</f>
        <v>3.6</v>
      </c>
      <c r="G11790" s="4" t="str">
        <f>HYPERLINK("http://141.218.60.56/~jnz1568/getInfo.php?workbook=10_05.xlsx&amp;sheet=U0&amp;row=11790&amp;col=7&amp;number=0.0272&amp;sourceID=14","0.0272")</f>
        <v>0.0272</v>
      </c>
    </row>
    <row r="11791" spans="1:7">
      <c r="A11791" s="3"/>
      <c r="B11791" s="3"/>
      <c r="C11791" s="3"/>
      <c r="D11791" s="3"/>
      <c r="E11791" s="3">
        <v>8</v>
      </c>
      <c r="F11791" s="4" t="str">
        <f>HYPERLINK("http://141.218.60.56/~jnz1568/getInfo.php?workbook=10_05.xlsx&amp;sheet=U0&amp;row=11791&amp;col=6&amp;number=3.7&amp;sourceID=14","3.7")</f>
        <v>3.7</v>
      </c>
      <c r="G11791" s="4" t="str">
        <f>HYPERLINK("http://141.218.60.56/~jnz1568/getInfo.php?workbook=10_05.xlsx&amp;sheet=U0&amp;row=11791&amp;col=7&amp;number=0.0269&amp;sourceID=14","0.0269")</f>
        <v>0.0269</v>
      </c>
    </row>
    <row r="11792" spans="1:7">
      <c r="A11792" s="3"/>
      <c r="B11792" s="3"/>
      <c r="C11792" s="3"/>
      <c r="D11792" s="3"/>
      <c r="E11792" s="3">
        <v>9</v>
      </c>
      <c r="F11792" s="4" t="str">
        <f>HYPERLINK("http://141.218.60.56/~jnz1568/getInfo.php?workbook=10_05.xlsx&amp;sheet=U0&amp;row=11792&amp;col=6&amp;number=3.8&amp;sourceID=14","3.8")</f>
        <v>3.8</v>
      </c>
      <c r="G11792" s="4" t="str">
        <f>HYPERLINK("http://141.218.60.56/~jnz1568/getInfo.php?workbook=10_05.xlsx&amp;sheet=U0&amp;row=11792&amp;col=7&amp;number=0.0265&amp;sourceID=14","0.0265")</f>
        <v>0.0265</v>
      </c>
    </row>
    <row r="11793" spans="1:7">
      <c r="A11793" s="3"/>
      <c r="B11793" s="3"/>
      <c r="C11793" s="3"/>
      <c r="D11793" s="3"/>
      <c r="E11793" s="3">
        <v>10</v>
      </c>
      <c r="F11793" s="4" t="str">
        <f>HYPERLINK("http://141.218.60.56/~jnz1568/getInfo.php?workbook=10_05.xlsx&amp;sheet=U0&amp;row=11793&amp;col=6&amp;number=3.9&amp;sourceID=14","3.9")</f>
        <v>3.9</v>
      </c>
      <c r="G11793" s="4" t="str">
        <f>HYPERLINK("http://141.218.60.56/~jnz1568/getInfo.php?workbook=10_05.xlsx&amp;sheet=U0&amp;row=11793&amp;col=7&amp;number=0.026&amp;sourceID=14","0.026")</f>
        <v>0.026</v>
      </c>
    </row>
    <row r="11794" spans="1:7">
      <c r="A11794" s="3"/>
      <c r="B11794" s="3"/>
      <c r="C11794" s="3"/>
      <c r="D11794" s="3"/>
      <c r="E11794" s="3">
        <v>11</v>
      </c>
      <c r="F11794" s="4" t="str">
        <f>HYPERLINK("http://141.218.60.56/~jnz1568/getInfo.php?workbook=10_05.xlsx&amp;sheet=U0&amp;row=11794&amp;col=6&amp;number=4&amp;sourceID=14","4")</f>
        <v>4</v>
      </c>
      <c r="G11794" s="4" t="str">
        <f>HYPERLINK("http://141.218.60.56/~jnz1568/getInfo.php?workbook=10_05.xlsx&amp;sheet=U0&amp;row=11794&amp;col=7&amp;number=0.0255&amp;sourceID=14","0.0255")</f>
        <v>0.0255</v>
      </c>
    </row>
    <row r="11795" spans="1:7">
      <c r="A11795" s="3"/>
      <c r="B11795" s="3"/>
      <c r="C11795" s="3"/>
      <c r="D11795" s="3"/>
      <c r="E11795" s="3">
        <v>12</v>
      </c>
      <c r="F11795" s="4" t="str">
        <f>HYPERLINK("http://141.218.60.56/~jnz1568/getInfo.php?workbook=10_05.xlsx&amp;sheet=U0&amp;row=11795&amp;col=6&amp;number=4.1&amp;sourceID=14","4.1")</f>
        <v>4.1</v>
      </c>
      <c r="G11795" s="4" t="str">
        <f>HYPERLINK("http://141.218.60.56/~jnz1568/getInfo.php?workbook=10_05.xlsx&amp;sheet=U0&amp;row=11795&amp;col=7&amp;number=0.0248&amp;sourceID=14","0.0248")</f>
        <v>0.0248</v>
      </c>
    </row>
    <row r="11796" spans="1:7">
      <c r="A11796" s="3"/>
      <c r="B11796" s="3"/>
      <c r="C11796" s="3"/>
      <c r="D11796" s="3"/>
      <c r="E11796" s="3">
        <v>13</v>
      </c>
      <c r="F11796" s="4" t="str">
        <f>HYPERLINK("http://141.218.60.56/~jnz1568/getInfo.php?workbook=10_05.xlsx&amp;sheet=U0&amp;row=11796&amp;col=6&amp;number=4.2&amp;sourceID=14","4.2")</f>
        <v>4.2</v>
      </c>
      <c r="G11796" s="4" t="str">
        <f>HYPERLINK("http://141.218.60.56/~jnz1568/getInfo.php?workbook=10_05.xlsx&amp;sheet=U0&amp;row=11796&amp;col=7&amp;number=0.0241&amp;sourceID=14","0.0241")</f>
        <v>0.0241</v>
      </c>
    </row>
    <row r="11797" spans="1:7">
      <c r="A11797" s="3"/>
      <c r="B11797" s="3"/>
      <c r="C11797" s="3"/>
      <c r="D11797" s="3"/>
      <c r="E11797" s="3">
        <v>14</v>
      </c>
      <c r="F11797" s="4" t="str">
        <f>HYPERLINK("http://141.218.60.56/~jnz1568/getInfo.php?workbook=10_05.xlsx&amp;sheet=U0&amp;row=11797&amp;col=6&amp;number=4.3&amp;sourceID=14","4.3")</f>
        <v>4.3</v>
      </c>
      <c r="G11797" s="4" t="str">
        <f>HYPERLINK("http://141.218.60.56/~jnz1568/getInfo.php?workbook=10_05.xlsx&amp;sheet=U0&amp;row=11797&amp;col=7&amp;number=0.0233&amp;sourceID=14","0.0233")</f>
        <v>0.0233</v>
      </c>
    </row>
    <row r="11798" spans="1:7">
      <c r="A11798" s="3"/>
      <c r="B11798" s="3"/>
      <c r="C11798" s="3"/>
      <c r="D11798" s="3"/>
      <c r="E11798" s="3">
        <v>15</v>
      </c>
      <c r="F11798" s="4" t="str">
        <f>HYPERLINK("http://141.218.60.56/~jnz1568/getInfo.php?workbook=10_05.xlsx&amp;sheet=U0&amp;row=11798&amp;col=6&amp;number=4.4&amp;sourceID=14","4.4")</f>
        <v>4.4</v>
      </c>
      <c r="G11798" s="4" t="str">
        <f>HYPERLINK("http://141.218.60.56/~jnz1568/getInfo.php?workbook=10_05.xlsx&amp;sheet=U0&amp;row=11798&amp;col=7&amp;number=0.0224&amp;sourceID=14","0.0224")</f>
        <v>0.0224</v>
      </c>
    </row>
    <row r="11799" spans="1:7">
      <c r="A11799" s="3"/>
      <c r="B11799" s="3"/>
      <c r="C11799" s="3"/>
      <c r="D11799" s="3"/>
      <c r="E11799" s="3">
        <v>16</v>
      </c>
      <c r="F11799" s="4" t="str">
        <f>HYPERLINK("http://141.218.60.56/~jnz1568/getInfo.php?workbook=10_05.xlsx&amp;sheet=U0&amp;row=11799&amp;col=6&amp;number=4.5&amp;sourceID=14","4.5")</f>
        <v>4.5</v>
      </c>
      <c r="G11799" s="4" t="str">
        <f>HYPERLINK("http://141.218.60.56/~jnz1568/getInfo.php?workbook=10_05.xlsx&amp;sheet=U0&amp;row=11799&amp;col=7&amp;number=0.0215&amp;sourceID=14","0.0215")</f>
        <v>0.0215</v>
      </c>
    </row>
    <row r="11800" spans="1:7">
      <c r="A11800" s="3"/>
      <c r="B11800" s="3"/>
      <c r="C11800" s="3"/>
      <c r="D11800" s="3"/>
      <c r="E11800" s="3">
        <v>17</v>
      </c>
      <c r="F11800" s="4" t="str">
        <f>HYPERLINK("http://141.218.60.56/~jnz1568/getInfo.php?workbook=10_05.xlsx&amp;sheet=U0&amp;row=11800&amp;col=6&amp;number=4.6&amp;sourceID=14","4.6")</f>
        <v>4.6</v>
      </c>
      <c r="G11800" s="4" t="str">
        <f>HYPERLINK("http://141.218.60.56/~jnz1568/getInfo.php?workbook=10_05.xlsx&amp;sheet=U0&amp;row=11800&amp;col=7&amp;number=0.0204&amp;sourceID=14","0.0204")</f>
        <v>0.0204</v>
      </c>
    </row>
    <row r="11801" spans="1:7">
      <c r="A11801" s="3"/>
      <c r="B11801" s="3"/>
      <c r="C11801" s="3"/>
      <c r="D11801" s="3"/>
      <c r="E11801" s="3">
        <v>18</v>
      </c>
      <c r="F11801" s="4" t="str">
        <f>HYPERLINK("http://141.218.60.56/~jnz1568/getInfo.php?workbook=10_05.xlsx&amp;sheet=U0&amp;row=11801&amp;col=6&amp;number=4.7&amp;sourceID=14","4.7")</f>
        <v>4.7</v>
      </c>
      <c r="G11801" s="4" t="str">
        <f>HYPERLINK("http://141.218.60.56/~jnz1568/getInfo.php?workbook=10_05.xlsx&amp;sheet=U0&amp;row=11801&amp;col=7&amp;number=0.019&amp;sourceID=14","0.019")</f>
        <v>0.019</v>
      </c>
    </row>
    <row r="11802" spans="1:7">
      <c r="A11802" s="3"/>
      <c r="B11802" s="3"/>
      <c r="C11802" s="3"/>
      <c r="D11802" s="3"/>
      <c r="E11802" s="3">
        <v>19</v>
      </c>
      <c r="F11802" s="4" t="str">
        <f>HYPERLINK("http://141.218.60.56/~jnz1568/getInfo.php?workbook=10_05.xlsx&amp;sheet=U0&amp;row=11802&amp;col=6&amp;number=4.8&amp;sourceID=14","4.8")</f>
        <v>4.8</v>
      </c>
      <c r="G11802" s="4" t="str">
        <f>HYPERLINK("http://141.218.60.56/~jnz1568/getInfo.php?workbook=10_05.xlsx&amp;sheet=U0&amp;row=11802&amp;col=7&amp;number=0.0174&amp;sourceID=14","0.0174")</f>
        <v>0.0174</v>
      </c>
    </row>
    <row r="11803" spans="1:7">
      <c r="A11803" s="3"/>
      <c r="B11803" s="3"/>
      <c r="C11803" s="3"/>
      <c r="D11803" s="3"/>
      <c r="E11803" s="3">
        <v>20</v>
      </c>
      <c r="F11803" s="4" t="str">
        <f>HYPERLINK("http://141.218.60.56/~jnz1568/getInfo.php?workbook=10_05.xlsx&amp;sheet=U0&amp;row=11803&amp;col=6&amp;number=4.9&amp;sourceID=14","4.9")</f>
        <v>4.9</v>
      </c>
      <c r="G11803" s="4" t="str">
        <f>HYPERLINK("http://141.218.60.56/~jnz1568/getInfo.php?workbook=10_05.xlsx&amp;sheet=U0&amp;row=11803&amp;col=7&amp;number=0.0156&amp;sourceID=14","0.0156")</f>
        <v>0.0156</v>
      </c>
    </row>
    <row r="11804" spans="1:7">
      <c r="A11804" s="3">
        <v>10</v>
      </c>
      <c r="B11804" s="3">
        <v>5</v>
      </c>
      <c r="C11804" s="3">
        <v>4</v>
      </c>
      <c r="D11804" s="3">
        <v>61</v>
      </c>
      <c r="E11804" s="3">
        <v>1</v>
      </c>
      <c r="F11804" s="4" t="str">
        <f>HYPERLINK("http://141.218.60.56/~jnz1568/getInfo.php?workbook=10_05.xlsx&amp;sheet=U0&amp;row=11804&amp;col=6&amp;number=3&amp;sourceID=14","3")</f>
        <v>3</v>
      </c>
      <c r="G11804" s="4" t="str">
        <f>HYPERLINK("http://141.218.60.56/~jnz1568/getInfo.php?workbook=10_05.xlsx&amp;sheet=U0&amp;row=11804&amp;col=7&amp;number=0.0164&amp;sourceID=14","0.0164")</f>
        <v>0.0164</v>
      </c>
    </row>
    <row r="11805" spans="1:7">
      <c r="A11805" s="3"/>
      <c r="B11805" s="3"/>
      <c r="C11805" s="3"/>
      <c r="D11805" s="3"/>
      <c r="E11805" s="3">
        <v>2</v>
      </c>
      <c r="F11805" s="4" t="str">
        <f>HYPERLINK("http://141.218.60.56/~jnz1568/getInfo.php?workbook=10_05.xlsx&amp;sheet=U0&amp;row=11805&amp;col=6&amp;number=3.1&amp;sourceID=14","3.1")</f>
        <v>3.1</v>
      </c>
      <c r="G11805" s="4" t="str">
        <f>HYPERLINK("http://141.218.60.56/~jnz1568/getInfo.php?workbook=10_05.xlsx&amp;sheet=U0&amp;row=11805&amp;col=7&amp;number=0.0169&amp;sourceID=14","0.0169")</f>
        <v>0.0169</v>
      </c>
    </row>
    <row r="11806" spans="1:7">
      <c r="A11806" s="3"/>
      <c r="B11806" s="3"/>
      <c r="C11806" s="3"/>
      <c r="D11806" s="3"/>
      <c r="E11806" s="3">
        <v>3</v>
      </c>
      <c r="F11806" s="4" t="str">
        <f>HYPERLINK("http://141.218.60.56/~jnz1568/getInfo.php?workbook=10_05.xlsx&amp;sheet=U0&amp;row=11806&amp;col=6&amp;number=3.2&amp;sourceID=14","3.2")</f>
        <v>3.2</v>
      </c>
      <c r="G11806" s="4" t="str">
        <f>HYPERLINK("http://141.218.60.56/~jnz1568/getInfo.php?workbook=10_05.xlsx&amp;sheet=U0&amp;row=11806&amp;col=7&amp;number=0.0174&amp;sourceID=14","0.0174")</f>
        <v>0.0174</v>
      </c>
    </row>
    <row r="11807" spans="1:7">
      <c r="A11807" s="3"/>
      <c r="B11807" s="3"/>
      <c r="C11807" s="3"/>
      <c r="D11807" s="3"/>
      <c r="E11807" s="3">
        <v>4</v>
      </c>
      <c r="F11807" s="4" t="str">
        <f>HYPERLINK("http://141.218.60.56/~jnz1568/getInfo.php?workbook=10_05.xlsx&amp;sheet=U0&amp;row=11807&amp;col=6&amp;number=3.3&amp;sourceID=14","3.3")</f>
        <v>3.3</v>
      </c>
      <c r="G11807" s="4" t="str">
        <f>HYPERLINK("http://141.218.60.56/~jnz1568/getInfo.php?workbook=10_05.xlsx&amp;sheet=U0&amp;row=11807&amp;col=7&amp;number=0.018&amp;sourceID=14","0.018")</f>
        <v>0.018</v>
      </c>
    </row>
    <row r="11808" spans="1:7">
      <c r="A11808" s="3"/>
      <c r="B11808" s="3"/>
      <c r="C11808" s="3"/>
      <c r="D11808" s="3"/>
      <c r="E11808" s="3">
        <v>5</v>
      </c>
      <c r="F11808" s="4" t="str">
        <f>HYPERLINK("http://141.218.60.56/~jnz1568/getInfo.php?workbook=10_05.xlsx&amp;sheet=U0&amp;row=11808&amp;col=6&amp;number=3.4&amp;sourceID=14","3.4")</f>
        <v>3.4</v>
      </c>
      <c r="G11808" s="4" t="str">
        <f>HYPERLINK("http://141.218.60.56/~jnz1568/getInfo.php?workbook=10_05.xlsx&amp;sheet=U0&amp;row=11808&amp;col=7&amp;number=0.0188&amp;sourceID=14","0.0188")</f>
        <v>0.0188</v>
      </c>
    </row>
    <row r="11809" spans="1:7">
      <c r="A11809" s="3"/>
      <c r="B11809" s="3"/>
      <c r="C11809" s="3"/>
      <c r="D11809" s="3"/>
      <c r="E11809" s="3">
        <v>6</v>
      </c>
      <c r="F11809" s="4" t="str">
        <f>HYPERLINK("http://141.218.60.56/~jnz1568/getInfo.php?workbook=10_05.xlsx&amp;sheet=U0&amp;row=11809&amp;col=6&amp;number=3.5&amp;sourceID=14","3.5")</f>
        <v>3.5</v>
      </c>
      <c r="G11809" s="4" t="str">
        <f>HYPERLINK("http://141.218.60.56/~jnz1568/getInfo.php?workbook=10_05.xlsx&amp;sheet=U0&amp;row=11809&amp;col=7&amp;number=0.0197&amp;sourceID=14","0.0197")</f>
        <v>0.0197</v>
      </c>
    </row>
    <row r="11810" spans="1:7">
      <c r="A11810" s="3"/>
      <c r="B11810" s="3"/>
      <c r="C11810" s="3"/>
      <c r="D11810" s="3"/>
      <c r="E11810" s="3">
        <v>7</v>
      </c>
      <c r="F11810" s="4" t="str">
        <f>HYPERLINK("http://141.218.60.56/~jnz1568/getInfo.php?workbook=10_05.xlsx&amp;sheet=U0&amp;row=11810&amp;col=6&amp;number=3.6&amp;sourceID=14","3.6")</f>
        <v>3.6</v>
      </c>
      <c r="G11810" s="4" t="str">
        <f>HYPERLINK("http://141.218.60.56/~jnz1568/getInfo.php?workbook=10_05.xlsx&amp;sheet=U0&amp;row=11810&amp;col=7&amp;number=0.0208&amp;sourceID=14","0.0208")</f>
        <v>0.0208</v>
      </c>
    </row>
    <row r="11811" spans="1:7">
      <c r="A11811" s="3"/>
      <c r="B11811" s="3"/>
      <c r="C11811" s="3"/>
      <c r="D11811" s="3"/>
      <c r="E11811" s="3">
        <v>8</v>
      </c>
      <c r="F11811" s="4" t="str">
        <f>HYPERLINK("http://141.218.60.56/~jnz1568/getInfo.php?workbook=10_05.xlsx&amp;sheet=U0&amp;row=11811&amp;col=6&amp;number=3.7&amp;sourceID=14","3.7")</f>
        <v>3.7</v>
      </c>
      <c r="G11811" s="4" t="str">
        <f>HYPERLINK("http://141.218.60.56/~jnz1568/getInfo.php?workbook=10_05.xlsx&amp;sheet=U0&amp;row=11811&amp;col=7&amp;number=0.0219&amp;sourceID=14","0.0219")</f>
        <v>0.0219</v>
      </c>
    </row>
    <row r="11812" spans="1:7">
      <c r="A11812" s="3"/>
      <c r="B11812" s="3"/>
      <c r="C11812" s="3"/>
      <c r="D11812" s="3"/>
      <c r="E11812" s="3">
        <v>9</v>
      </c>
      <c r="F11812" s="4" t="str">
        <f>HYPERLINK("http://141.218.60.56/~jnz1568/getInfo.php?workbook=10_05.xlsx&amp;sheet=U0&amp;row=11812&amp;col=6&amp;number=3.8&amp;sourceID=14","3.8")</f>
        <v>3.8</v>
      </c>
      <c r="G11812" s="4" t="str">
        <f>HYPERLINK("http://141.218.60.56/~jnz1568/getInfo.php?workbook=10_05.xlsx&amp;sheet=U0&amp;row=11812&amp;col=7&amp;number=0.023&amp;sourceID=14","0.023")</f>
        <v>0.023</v>
      </c>
    </row>
    <row r="11813" spans="1:7">
      <c r="A11813" s="3"/>
      <c r="B11813" s="3"/>
      <c r="C11813" s="3"/>
      <c r="D11813" s="3"/>
      <c r="E11813" s="3">
        <v>10</v>
      </c>
      <c r="F11813" s="4" t="str">
        <f>HYPERLINK("http://141.218.60.56/~jnz1568/getInfo.php?workbook=10_05.xlsx&amp;sheet=U0&amp;row=11813&amp;col=6&amp;number=3.9&amp;sourceID=14","3.9")</f>
        <v>3.9</v>
      </c>
      <c r="G11813" s="4" t="str">
        <f>HYPERLINK("http://141.218.60.56/~jnz1568/getInfo.php?workbook=10_05.xlsx&amp;sheet=U0&amp;row=11813&amp;col=7&amp;number=0.0238&amp;sourceID=14","0.0238")</f>
        <v>0.0238</v>
      </c>
    </row>
    <row r="11814" spans="1:7">
      <c r="A11814" s="3"/>
      <c r="B11814" s="3"/>
      <c r="C11814" s="3"/>
      <c r="D11814" s="3"/>
      <c r="E11814" s="3">
        <v>11</v>
      </c>
      <c r="F11814" s="4" t="str">
        <f>HYPERLINK("http://141.218.60.56/~jnz1568/getInfo.php?workbook=10_05.xlsx&amp;sheet=U0&amp;row=11814&amp;col=6&amp;number=4&amp;sourceID=14","4")</f>
        <v>4</v>
      </c>
      <c r="G11814" s="4" t="str">
        <f>HYPERLINK("http://141.218.60.56/~jnz1568/getInfo.php?workbook=10_05.xlsx&amp;sheet=U0&amp;row=11814&amp;col=7&amp;number=0.024&amp;sourceID=14","0.024")</f>
        <v>0.024</v>
      </c>
    </row>
    <row r="11815" spans="1:7">
      <c r="A11815" s="3"/>
      <c r="B11815" s="3"/>
      <c r="C11815" s="3"/>
      <c r="D11815" s="3"/>
      <c r="E11815" s="3">
        <v>12</v>
      </c>
      <c r="F11815" s="4" t="str">
        <f>HYPERLINK("http://141.218.60.56/~jnz1568/getInfo.php?workbook=10_05.xlsx&amp;sheet=U0&amp;row=11815&amp;col=6&amp;number=4.1&amp;sourceID=14","4.1")</f>
        <v>4.1</v>
      </c>
      <c r="G11815" s="4" t="str">
        <f>HYPERLINK("http://141.218.60.56/~jnz1568/getInfo.php?workbook=10_05.xlsx&amp;sheet=U0&amp;row=11815&amp;col=7&amp;number=0.0236&amp;sourceID=14","0.0236")</f>
        <v>0.0236</v>
      </c>
    </row>
    <row r="11816" spans="1:7">
      <c r="A11816" s="3"/>
      <c r="B11816" s="3"/>
      <c r="C11816" s="3"/>
      <c r="D11816" s="3"/>
      <c r="E11816" s="3">
        <v>13</v>
      </c>
      <c r="F11816" s="4" t="str">
        <f>HYPERLINK("http://141.218.60.56/~jnz1568/getInfo.php?workbook=10_05.xlsx&amp;sheet=U0&amp;row=11816&amp;col=6&amp;number=4.2&amp;sourceID=14","4.2")</f>
        <v>4.2</v>
      </c>
      <c r="G11816" s="4" t="str">
        <f>HYPERLINK("http://141.218.60.56/~jnz1568/getInfo.php?workbook=10_05.xlsx&amp;sheet=U0&amp;row=11816&amp;col=7&amp;number=0.0226&amp;sourceID=14","0.0226")</f>
        <v>0.0226</v>
      </c>
    </row>
    <row r="11817" spans="1:7">
      <c r="A11817" s="3"/>
      <c r="B11817" s="3"/>
      <c r="C11817" s="3"/>
      <c r="D11817" s="3"/>
      <c r="E11817" s="3">
        <v>14</v>
      </c>
      <c r="F11817" s="4" t="str">
        <f>HYPERLINK("http://141.218.60.56/~jnz1568/getInfo.php?workbook=10_05.xlsx&amp;sheet=U0&amp;row=11817&amp;col=6&amp;number=4.3&amp;sourceID=14","4.3")</f>
        <v>4.3</v>
      </c>
      <c r="G11817" s="4" t="str">
        <f>HYPERLINK("http://141.218.60.56/~jnz1568/getInfo.php?workbook=10_05.xlsx&amp;sheet=U0&amp;row=11817&amp;col=7&amp;number=0.0215&amp;sourceID=14","0.0215")</f>
        <v>0.0215</v>
      </c>
    </row>
    <row r="11818" spans="1:7">
      <c r="A11818" s="3"/>
      <c r="B11818" s="3"/>
      <c r="C11818" s="3"/>
      <c r="D11818" s="3"/>
      <c r="E11818" s="3">
        <v>15</v>
      </c>
      <c r="F11818" s="4" t="str">
        <f>HYPERLINK("http://141.218.60.56/~jnz1568/getInfo.php?workbook=10_05.xlsx&amp;sheet=U0&amp;row=11818&amp;col=6&amp;number=4.4&amp;sourceID=14","4.4")</f>
        <v>4.4</v>
      </c>
      <c r="G11818" s="4" t="str">
        <f>HYPERLINK("http://141.218.60.56/~jnz1568/getInfo.php?workbook=10_05.xlsx&amp;sheet=U0&amp;row=11818&amp;col=7&amp;number=0.0203&amp;sourceID=14","0.0203")</f>
        <v>0.0203</v>
      </c>
    </row>
    <row r="11819" spans="1:7">
      <c r="A11819" s="3"/>
      <c r="B11819" s="3"/>
      <c r="C11819" s="3"/>
      <c r="D11819" s="3"/>
      <c r="E11819" s="3">
        <v>16</v>
      </c>
      <c r="F11819" s="4" t="str">
        <f>HYPERLINK("http://141.218.60.56/~jnz1568/getInfo.php?workbook=10_05.xlsx&amp;sheet=U0&amp;row=11819&amp;col=6&amp;number=4.5&amp;sourceID=14","4.5")</f>
        <v>4.5</v>
      </c>
      <c r="G11819" s="4" t="str">
        <f>HYPERLINK("http://141.218.60.56/~jnz1568/getInfo.php?workbook=10_05.xlsx&amp;sheet=U0&amp;row=11819&amp;col=7&amp;number=0.0191&amp;sourceID=14","0.0191")</f>
        <v>0.0191</v>
      </c>
    </row>
    <row r="11820" spans="1:7">
      <c r="A11820" s="3"/>
      <c r="B11820" s="3"/>
      <c r="C11820" s="3"/>
      <c r="D11820" s="3"/>
      <c r="E11820" s="3">
        <v>17</v>
      </c>
      <c r="F11820" s="4" t="str">
        <f>HYPERLINK("http://141.218.60.56/~jnz1568/getInfo.php?workbook=10_05.xlsx&amp;sheet=U0&amp;row=11820&amp;col=6&amp;number=4.6&amp;sourceID=14","4.6")</f>
        <v>4.6</v>
      </c>
      <c r="G11820" s="4" t="str">
        <f>HYPERLINK("http://141.218.60.56/~jnz1568/getInfo.php?workbook=10_05.xlsx&amp;sheet=U0&amp;row=11820&amp;col=7&amp;number=0.0176&amp;sourceID=14","0.0176")</f>
        <v>0.0176</v>
      </c>
    </row>
    <row r="11821" spans="1:7">
      <c r="A11821" s="3"/>
      <c r="B11821" s="3"/>
      <c r="C11821" s="3"/>
      <c r="D11821" s="3"/>
      <c r="E11821" s="3">
        <v>18</v>
      </c>
      <c r="F11821" s="4" t="str">
        <f>HYPERLINK("http://141.218.60.56/~jnz1568/getInfo.php?workbook=10_05.xlsx&amp;sheet=U0&amp;row=11821&amp;col=6&amp;number=4.7&amp;sourceID=14","4.7")</f>
        <v>4.7</v>
      </c>
      <c r="G11821" s="4" t="str">
        <f>HYPERLINK("http://141.218.60.56/~jnz1568/getInfo.php?workbook=10_05.xlsx&amp;sheet=U0&amp;row=11821&amp;col=7&amp;number=0.0161&amp;sourceID=14","0.0161")</f>
        <v>0.0161</v>
      </c>
    </row>
    <row r="11822" spans="1:7">
      <c r="A11822" s="3"/>
      <c r="B11822" s="3"/>
      <c r="C11822" s="3"/>
      <c r="D11822" s="3"/>
      <c r="E11822" s="3">
        <v>19</v>
      </c>
      <c r="F11822" s="4" t="str">
        <f>HYPERLINK("http://141.218.60.56/~jnz1568/getInfo.php?workbook=10_05.xlsx&amp;sheet=U0&amp;row=11822&amp;col=6&amp;number=4.8&amp;sourceID=14","4.8")</f>
        <v>4.8</v>
      </c>
      <c r="G11822" s="4" t="str">
        <f>HYPERLINK("http://141.218.60.56/~jnz1568/getInfo.php?workbook=10_05.xlsx&amp;sheet=U0&amp;row=11822&amp;col=7&amp;number=0.0145&amp;sourceID=14","0.0145")</f>
        <v>0.0145</v>
      </c>
    </row>
    <row r="11823" spans="1:7">
      <c r="A11823" s="3"/>
      <c r="B11823" s="3"/>
      <c r="C11823" s="3"/>
      <c r="D11823" s="3"/>
      <c r="E11823" s="3">
        <v>20</v>
      </c>
      <c r="F11823" s="4" t="str">
        <f>HYPERLINK("http://141.218.60.56/~jnz1568/getInfo.php?workbook=10_05.xlsx&amp;sheet=U0&amp;row=11823&amp;col=6&amp;number=4.9&amp;sourceID=14","4.9")</f>
        <v>4.9</v>
      </c>
      <c r="G11823" s="4" t="str">
        <f>HYPERLINK("http://141.218.60.56/~jnz1568/getInfo.php?workbook=10_05.xlsx&amp;sheet=U0&amp;row=11823&amp;col=7&amp;number=0.0129&amp;sourceID=14","0.0129")</f>
        <v>0.0129</v>
      </c>
    </row>
    <row r="11824" spans="1:7">
      <c r="A11824" s="3">
        <v>10</v>
      </c>
      <c r="B11824" s="3">
        <v>5</v>
      </c>
      <c r="C11824" s="3">
        <v>4</v>
      </c>
      <c r="D11824" s="3">
        <v>62</v>
      </c>
      <c r="E11824" s="3">
        <v>1</v>
      </c>
      <c r="F11824" s="4" t="str">
        <f>HYPERLINK("http://141.218.60.56/~jnz1568/getInfo.php?workbook=10_05.xlsx&amp;sheet=U0&amp;row=11824&amp;col=6&amp;number=3&amp;sourceID=14","3")</f>
        <v>3</v>
      </c>
      <c r="G11824" s="4" t="str">
        <f>HYPERLINK("http://141.218.60.56/~jnz1568/getInfo.php?workbook=10_05.xlsx&amp;sheet=U0&amp;row=11824&amp;col=7&amp;number=0.0238&amp;sourceID=14","0.0238")</f>
        <v>0.0238</v>
      </c>
    </row>
    <row r="11825" spans="1:7">
      <c r="A11825" s="3"/>
      <c r="B11825" s="3"/>
      <c r="C11825" s="3"/>
      <c r="D11825" s="3"/>
      <c r="E11825" s="3">
        <v>2</v>
      </c>
      <c r="F11825" s="4" t="str">
        <f>HYPERLINK("http://141.218.60.56/~jnz1568/getInfo.php?workbook=10_05.xlsx&amp;sheet=U0&amp;row=11825&amp;col=6&amp;number=3.1&amp;sourceID=14","3.1")</f>
        <v>3.1</v>
      </c>
      <c r="G11825" s="4" t="str">
        <f>HYPERLINK("http://141.218.60.56/~jnz1568/getInfo.php?workbook=10_05.xlsx&amp;sheet=U0&amp;row=11825&amp;col=7&amp;number=0.0243&amp;sourceID=14","0.0243")</f>
        <v>0.0243</v>
      </c>
    </row>
    <row r="11826" spans="1:7">
      <c r="A11826" s="3"/>
      <c r="B11826" s="3"/>
      <c r="C11826" s="3"/>
      <c r="D11826" s="3"/>
      <c r="E11826" s="3">
        <v>3</v>
      </c>
      <c r="F11826" s="4" t="str">
        <f>HYPERLINK("http://141.218.60.56/~jnz1568/getInfo.php?workbook=10_05.xlsx&amp;sheet=U0&amp;row=11826&amp;col=6&amp;number=3.2&amp;sourceID=14","3.2")</f>
        <v>3.2</v>
      </c>
      <c r="G11826" s="4" t="str">
        <f>HYPERLINK("http://141.218.60.56/~jnz1568/getInfo.php?workbook=10_05.xlsx&amp;sheet=U0&amp;row=11826&amp;col=7&amp;number=0.0249&amp;sourceID=14","0.0249")</f>
        <v>0.0249</v>
      </c>
    </row>
    <row r="11827" spans="1:7">
      <c r="A11827" s="3"/>
      <c r="B11827" s="3"/>
      <c r="C11827" s="3"/>
      <c r="D11827" s="3"/>
      <c r="E11827" s="3">
        <v>4</v>
      </c>
      <c r="F11827" s="4" t="str">
        <f>HYPERLINK("http://141.218.60.56/~jnz1568/getInfo.php?workbook=10_05.xlsx&amp;sheet=U0&amp;row=11827&amp;col=6&amp;number=3.3&amp;sourceID=14","3.3")</f>
        <v>3.3</v>
      </c>
      <c r="G11827" s="4" t="str">
        <f>HYPERLINK("http://141.218.60.56/~jnz1568/getInfo.php?workbook=10_05.xlsx&amp;sheet=U0&amp;row=11827&amp;col=7&amp;number=0.0257&amp;sourceID=14","0.0257")</f>
        <v>0.0257</v>
      </c>
    </row>
    <row r="11828" spans="1:7">
      <c r="A11828" s="3"/>
      <c r="B11828" s="3"/>
      <c r="C11828" s="3"/>
      <c r="D11828" s="3"/>
      <c r="E11828" s="3">
        <v>5</v>
      </c>
      <c r="F11828" s="4" t="str">
        <f>HYPERLINK("http://141.218.60.56/~jnz1568/getInfo.php?workbook=10_05.xlsx&amp;sheet=U0&amp;row=11828&amp;col=6&amp;number=3.4&amp;sourceID=14","3.4")</f>
        <v>3.4</v>
      </c>
      <c r="G11828" s="4" t="str">
        <f>HYPERLINK("http://141.218.60.56/~jnz1568/getInfo.php?workbook=10_05.xlsx&amp;sheet=U0&amp;row=11828&amp;col=7&amp;number=0.0266&amp;sourceID=14","0.0266")</f>
        <v>0.0266</v>
      </c>
    </row>
    <row r="11829" spans="1:7">
      <c r="A11829" s="3"/>
      <c r="B11829" s="3"/>
      <c r="C11829" s="3"/>
      <c r="D11829" s="3"/>
      <c r="E11829" s="3">
        <v>6</v>
      </c>
      <c r="F11829" s="4" t="str">
        <f>HYPERLINK("http://141.218.60.56/~jnz1568/getInfo.php?workbook=10_05.xlsx&amp;sheet=U0&amp;row=11829&amp;col=6&amp;number=3.5&amp;sourceID=14","3.5")</f>
        <v>3.5</v>
      </c>
      <c r="G11829" s="4" t="str">
        <f>HYPERLINK("http://141.218.60.56/~jnz1568/getInfo.php?workbook=10_05.xlsx&amp;sheet=U0&amp;row=11829&amp;col=7&amp;number=0.0278&amp;sourceID=14","0.0278")</f>
        <v>0.0278</v>
      </c>
    </row>
    <row r="11830" spans="1:7">
      <c r="A11830" s="3"/>
      <c r="B11830" s="3"/>
      <c r="C11830" s="3"/>
      <c r="D11830" s="3"/>
      <c r="E11830" s="3">
        <v>7</v>
      </c>
      <c r="F11830" s="4" t="str">
        <f>HYPERLINK("http://141.218.60.56/~jnz1568/getInfo.php?workbook=10_05.xlsx&amp;sheet=U0&amp;row=11830&amp;col=6&amp;number=3.6&amp;sourceID=14","3.6")</f>
        <v>3.6</v>
      </c>
      <c r="G11830" s="4" t="str">
        <f>HYPERLINK("http://141.218.60.56/~jnz1568/getInfo.php?workbook=10_05.xlsx&amp;sheet=U0&amp;row=11830&amp;col=7&amp;number=0.0291&amp;sourceID=14","0.0291")</f>
        <v>0.0291</v>
      </c>
    </row>
    <row r="11831" spans="1:7">
      <c r="A11831" s="3"/>
      <c r="B11831" s="3"/>
      <c r="C11831" s="3"/>
      <c r="D11831" s="3"/>
      <c r="E11831" s="3">
        <v>8</v>
      </c>
      <c r="F11831" s="4" t="str">
        <f>HYPERLINK("http://141.218.60.56/~jnz1568/getInfo.php?workbook=10_05.xlsx&amp;sheet=U0&amp;row=11831&amp;col=6&amp;number=3.7&amp;sourceID=14","3.7")</f>
        <v>3.7</v>
      </c>
      <c r="G11831" s="4" t="str">
        <f>HYPERLINK("http://141.218.60.56/~jnz1568/getInfo.php?workbook=10_05.xlsx&amp;sheet=U0&amp;row=11831&amp;col=7&amp;number=0.0305&amp;sourceID=14","0.0305")</f>
        <v>0.0305</v>
      </c>
    </row>
    <row r="11832" spans="1:7">
      <c r="A11832" s="3"/>
      <c r="B11832" s="3"/>
      <c r="C11832" s="3"/>
      <c r="D11832" s="3"/>
      <c r="E11832" s="3">
        <v>9</v>
      </c>
      <c r="F11832" s="4" t="str">
        <f>HYPERLINK("http://141.218.60.56/~jnz1568/getInfo.php?workbook=10_05.xlsx&amp;sheet=U0&amp;row=11832&amp;col=6&amp;number=3.8&amp;sourceID=14","3.8")</f>
        <v>3.8</v>
      </c>
      <c r="G11832" s="4" t="str">
        <f>HYPERLINK("http://141.218.60.56/~jnz1568/getInfo.php?workbook=10_05.xlsx&amp;sheet=U0&amp;row=11832&amp;col=7&amp;number=0.0321&amp;sourceID=14","0.0321")</f>
        <v>0.0321</v>
      </c>
    </row>
    <row r="11833" spans="1:7">
      <c r="A11833" s="3"/>
      <c r="B11833" s="3"/>
      <c r="C11833" s="3"/>
      <c r="D11833" s="3"/>
      <c r="E11833" s="3">
        <v>10</v>
      </c>
      <c r="F11833" s="4" t="str">
        <f>HYPERLINK("http://141.218.60.56/~jnz1568/getInfo.php?workbook=10_05.xlsx&amp;sheet=U0&amp;row=11833&amp;col=6&amp;number=3.9&amp;sourceID=14","3.9")</f>
        <v>3.9</v>
      </c>
      <c r="G11833" s="4" t="str">
        <f>HYPERLINK("http://141.218.60.56/~jnz1568/getInfo.php?workbook=10_05.xlsx&amp;sheet=U0&amp;row=11833&amp;col=7&amp;number=0.0335&amp;sourceID=14","0.0335")</f>
        <v>0.0335</v>
      </c>
    </row>
    <row r="11834" spans="1:7">
      <c r="A11834" s="3"/>
      <c r="B11834" s="3"/>
      <c r="C11834" s="3"/>
      <c r="D11834" s="3"/>
      <c r="E11834" s="3">
        <v>11</v>
      </c>
      <c r="F11834" s="4" t="str">
        <f>HYPERLINK("http://141.218.60.56/~jnz1568/getInfo.php?workbook=10_05.xlsx&amp;sheet=U0&amp;row=11834&amp;col=6&amp;number=4&amp;sourceID=14","4")</f>
        <v>4</v>
      </c>
      <c r="G11834" s="4" t="str">
        <f>HYPERLINK("http://141.218.60.56/~jnz1568/getInfo.php?workbook=10_05.xlsx&amp;sheet=U0&amp;row=11834&amp;col=7&amp;number=0.0345&amp;sourceID=14","0.0345")</f>
        <v>0.0345</v>
      </c>
    </row>
    <row r="11835" spans="1:7">
      <c r="A11835" s="3"/>
      <c r="B11835" s="3"/>
      <c r="C11835" s="3"/>
      <c r="D11835" s="3"/>
      <c r="E11835" s="3">
        <v>12</v>
      </c>
      <c r="F11835" s="4" t="str">
        <f>HYPERLINK("http://141.218.60.56/~jnz1568/getInfo.php?workbook=10_05.xlsx&amp;sheet=U0&amp;row=11835&amp;col=6&amp;number=4.1&amp;sourceID=14","4.1")</f>
        <v>4.1</v>
      </c>
      <c r="G11835" s="4" t="str">
        <f>HYPERLINK("http://141.218.60.56/~jnz1568/getInfo.php?workbook=10_05.xlsx&amp;sheet=U0&amp;row=11835&amp;col=7&amp;number=0.0346&amp;sourceID=14","0.0346")</f>
        <v>0.0346</v>
      </c>
    </row>
    <row r="11836" spans="1:7">
      <c r="A11836" s="3"/>
      <c r="B11836" s="3"/>
      <c r="C11836" s="3"/>
      <c r="D11836" s="3"/>
      <c r="E11836" s="3">
        <v>13</v>
      </c>
      <c r="F11836" s="4" t="str">
        <f>HYPERLINK("http://141.218.60.56/~jnz1568/getInfo.php?workbook=10_05.xlsx&amp;sheet=U0&amp;row=11836&amp;col=6&amp;number=4.2&amp;sourceID=14","4.2")</f>
        <v>4.2</v>
      </c>
      <c r="G11836" s="4" t="str">
        <f>HYPERLINK("http://141.218.60.56/~jnz1568/getInfo.php?workbook=10_05.xlsx&amp;sheet=U0&amp;row=11836&amp;col=7&amp;number=0.0337&amp;sourceID=14","0.0337")</f>
        <v>0.0337</v>
      </c>
    </row>
    <row r="11837" spans="1:7">
      <c r="A11837" s="3"/>
      <c r="B11837" s="3"/>
      <c r="C11837" s="3"/>
      <c r="D11837" s="3"/>
      <c r="E11837" s="3">
        <v>14</v>
      </c>
      <c r="F11837" s="4" t="str">
        <f>HYPERLINK("http://141.218.60.56/~jnz1568/getInfo.php?workbook=10_05.xlsx&amp;sheet=U0&amp;row=11837&amp;col=6&amp;number=4.3&amp;sourceID=14","4.3")</f>
        <v>4.3</v>
      </c>
      <c r="G11837" s="4" t="str">
        <f>HYPERLINK("http://141.218.60.56/~jnz1568/getInfo.php?workbook=10_05.xlsx&amp;sheet=U0&amp;row=11837&amp;col=7&amp;number=0.0321&amp;sourceID=14","0.0321")</f>
        <v>0.0321</v>
      </c>
    </row>
    <row r="11838" spans="1:7">
      <c r="A11838" s="3"/>
      <c r="B11838" s="3"/>
      <c r="C11838" s="3"/>
      <c r="D11838" s="3"/>
      <c r="E11838" s="3">
        <v>15</v>
      </c>
      <c r="F11838" s="4" t="str">
        <f>HYPERLINK("http://141.218.60.56/~jnz1568/getInfo.php?workbook=10_05.xlsx&amp;sheet=U0&amp;row=11838&amp;col=6&amp;number=4.4&amp;sourceID=14","4.4")</f>
        <v>4.4</v>
      </c>
      <c r="G11838" s="4" t="str">
        <f>HYPERLINK("http://141.218.60.56/~jnz1568/getInfo.php?workbook=10_05.xlsx&amp;sheet=U0&amp;row=11838&amp;col=7&amp;number=0.0303&amp;sourceID=14","0.0303")</f>
        <v>0.0303</v>
      </c>
    </row>
    <row r="11839" spans="1:7">
      <c r="A11839" s="3"/>
      <c r="B11839" s="3"/>
      <c r="C11839" s="3"/>
      <c r="D11839" s="3"/>
      <c r="E11839" s="3">
        <v>16</v>
      </c>
      <c r="F11839" s="4" t="str">
        <f>HYPERLINK("http://141.218.60.56/~jnz1568/getInfo.php?workbook=10_05.xlsx&amp;sheet=U0&amp;row=11839&amp;col=6&amp;number=4.5&amp;sourceID=14","4.5")</f>
        <v>4.5</v>
      </c>
      <c r="G11839" s="4" t="str">
        <f>HYPERLINK("http://141.218.60.56/~jnz1568/getInfo.php?workbook=10_05.xlsx&amp;sheet=U0&amp;row=11839&amp;col=7&amp;number=0.0287&amp;sourceID=14","0.0287")</f>
        <v>0.0287</v>
      </c>
    </row>
    <row r="11840" spans="1:7">
      <c r="A11840" s="3"/>
      <c r="B11840" s="3"/>
      <c r="C11840" s="3"/>
      <c r="D11840" s="3"/>
      <c r="E11840" s="3">
        <v>17</v>
      </c>
      <c r="F11840" s="4" t="str">
        <f>HYPERLINK("http://141.218.60.56/~jnz1568/getInfo.php?workbook=10_05.xlsx&amp;sheet=U0&amp;row=11840&amp;col=6&amp;number=4.6&amp;sourceID=14","4.6")</f>
        <v>4.6</v>
      </c>
      <c r="G11840" s="4" t="str">
        <f>HYPERLINK("http://141.218.60.56/~jnz1568/getInfo.php?workbook=10_05.xlsx&amp;sheet=U0&amp;row=11840&amp;col=7&amp;number=0.0269&amp;sourceID=14","0.0269")</f>
        <v>0.0269</v>
      </c>
    </row>
    <row r="11841" spans="1:7">
      <c r="A11841" s="3"/>
      <c r="B11841" s="3"/>
      <c r="C11841" s="3"/>
      <c r="D11841" s="3"/>
      <c r="E11841" s="3">
        <v>18</v>
      </c>
      <c r="F11841" s="4" t="str">
        <f>HYPERLINK("http://141.218.60.56/~jnz1568/getInfo.php?workbook=10_05.xlsx&amp;sheet=U0&amp;row=11841&amp;col=6&amp;number=4.7&amp;sourceID=14","4.7")</f>
        <v>4.7</v>
      </c>
      <c r="G11841" s="4" t="str">
        <f>HYPERLINK("http://141.218.60.56/~jnz1568/getInfo.php?workbook=10_05.xlsx&amp;sheet=U0&amp;row=11841&amp;col=7&amp;number=0.0246&amp;sourceID=14","0.0246")</f>
        <v>0.0246</v>
      </c>
    </row>
    <row r="11842" spans="1:7">
      <c r="A11842" s="3"/>
      <c r="B11842" s="3"/>
      <c r="C11842" s="3"/>
      <c r="D11842" s="3"/>
      <c r="E11842" s="3">
        <v>19</v>
      </c>
      <c r="F11842" s="4" t="str">
        <f>HYPERLINK("http://141.218.60.56/~jnz1568/getInfo.php?workbook=10_05.xlsx&amp;sheet=U0&amp;row=11842&amp;col=6&amp;number=4.8&amp;sourceID=14","4.8")</f>
        <v>4.8</v>
      </c>
      <c r="G11842" s="4" t="str">
        <f>HYPERLINK("http://141.218.60.56/~jnz1568/getInfo.php?workbook=10_05.xlsx&amp;sheet=U0&amp;row=11842&amp;col=7&amp;number=0.022&amp;sourceID=14","0.022")</f>
        <v>0.022</v>
      </c>
    </row>
    <row r="11843" spans="1:7">
      <c r="A11843" s="3"/>
      <c r="B11843" s="3"/>
      <c r="C11843" s="3"/>
      <c r="D11843" s="3"/>
      <c r="E11843" s="3">
        <v>20</v>
      </c>
      <c r="F11843" s="4" t="str">
        <f>HYPERLINK("http://141.218.60.56/~jnz1568/getInfo.php?workbook=10_05.xlsx&amp;sheet=U0&amp;row=11843&amp;col=6&amp;number=4.9&amp;sourceID=14","4.9")</f>
        <v>4.9</v>
      </c>
      <c r="G11843" s="4" t="str">
        <f>HYPERLINK("http://141.218.60.56/~jnz1568/getInfo.php?workbook=10_05.xlsx&amp;sheet=U0&amp;row=11843&amp;col=7&amp;number=0.0195&amp;sourceID=14","0.0195")</f>
        <v>0.0195</v>
      </c>
    </row>
    <row r="11844" spans="1:7">
      <c r="A11844" s="3">
        <v>10</v>
      </c>
      <c r="B11844" s="3">
        <v>5</v>
      </c>
      <c r="C11844" s="3">
        <v>4</v>
      </c>
      <c r="D11844" s="3">
        <v>63</v>
      </c>
      <c r="E11844" s="3">
        <v>1</v>
      </c>
      <c r="F11844" s="4" t="str">
        <f>HYPERLINK("http://141.218.60.56/~jnz1568/getInfo.php?workbook=10_05.xlsx&amp;sheet=U0&amp;row=11844&amp;col=6&amp;number=3&amp;sourceID=14","3")</f>
        <v>3</v>
      </c>
      <c r="G11844" s="4" t="str">
        <f>HYPERLINK("http://141.218.60.56/~jnz1568/getInfo.php?workbook=10_05.xlsx&amp;sheet=U0&amp;row=11844&amp;col=7&amp;number=0.00743&amp;sourceID=14","0.00743")</f>
        <v>0.00743</v>
      </c>
    </row>
    <row r="11845" spans="1:7">
      <c r="A11845" s="3"/>
      <c r="B11845" s="3"/>
      <c r="C11845" s="3"/>
      <c r="D11845" s="3"/>
      <c r="E11845" s="3">
        <v>2</v>
      </c>
      <c r="F11845" s="4" t="str">
        <f>HYPERLINK("http://141.218.60.56/~jnz1568/getInfo.php?workbook=10_05.xlsx&amp;sheet=U0&amp;row=11845&amp;col=6&amp;number=3.1&amp;sourceID=14","3.1")</f>
        <v>3.1</v>
      </c>
      <c r="G11845" s="4" t="str">
        <f>HYPERLINK("http://141.218.60.56/~jnz1568/getInfo.php?workbook=10_05.xlsx&amp;sheet=U0&amp;row=11845&amp;col=7&amp;number=0.00749&amp;sourceID=14","0.00749")</f>
        <v>0.00749</v>
      </c>
    </row>
    <row r="11846" spans="1:7">
      <c r="A11846" s="3"/>
      <c r="B11846" s="3"/>
      <c r="C11846" s="3"/>
      <c r="D11846" s="3"/>
      <c r="E11846" s="3">
        <v>3</v>
      </c>
      <c r="F11846" s="4" t="str">
        <f>HYPERLINK("http://141.218.60.56/~jnz1568/getInfo.php?workbook=10_05.xlsx&amp;sheet=U0&amp;row=11846&amp;col=6&amp;number=3.2&amp;sourceID=14","3.2")</f>
        <v>3.2</v>
      </c>
      <c r="G11846" s="4" t="str">
        <f>HYPERLINK("http://141.218.60.56/~jnz1568/getInfo.php?workbook=10_05.xlsx&amp;sheet=U0&amp;row=11846&amp;col=7&amp;number=0.00755&amp;sourceID=14","0.00755")</f>
        <v>0.00755</v>
      </c>
    </row>
    <row r="11847" spans="1:7">
      <c r="A11847" s="3"/>
      <c r="B11847" s="3"/>
      <c r="C11847" s="3"/>
      <c r="D11847" s="3"/>
      <c r="E11847" s="3">
        <v>4</v>
      </c>
      <c r="F11847" s="4" t="str">
        <f>HYPERLINK("http://141.218.60.56/~jnz1568/getInfo.php?workbook=10_05.xlsx&amp;sheet=U0&amp;row=11847&amp;col=6&amp;number=3.3&amp;sourceID=14","3.3")</f>
        <v>3.3</v>
      </c>
      <c r="G11847" s="4" t="str">
        <f>HYPERLINK("http://141.218.60.56/~jnz1568/getInfo.php?workbook=10_05.xlsx&amp;sheet=U0&amp;row=11847&amp;col=7&amp;number=0.00763&amp;sourceID=14","0.00763")</f>
        <v>0.00763</v>
      </c>
    </row>
    <row r="11848" spans="1:7">
      <c r="A11848" s="3"/>
      <c r="B11848" s="3"/>
      <c r="C11848" s="3"/>
      <c r="D11848" s="3"/>
      <c r="E11848" s="3">
        <v>5</v>
      </c>
      <c r="F11848" s="4" t="str">
        <f>HYPERLINK("http://141.218.60.56/~jnz1568/getInfo.php?workbook=10_05.xlsx&amp;sheet=U0&amp;row=11848&amp;col=6&amp;number=3.4&amp;sourceID=14","3.4")</f>
        <v>3.4</v>
      </c>
      <c r="G11848" s="4" t="str">
        <f>HYPERLINK("http://141.218.60.56/~jnz1568/getInfo.php?workbook=10_05.xlsx&amp;sheet=U0&amp;row=11848&amp;col=7&amp;number=0.00773&amp;sourceID=14","0.00773")</f>
        <v>0.00773</v>
      </c>
    </row>
    <row r="11849" spans="1:7">
      <c r="A11849" s="3"/>
      <c r="B11849" s="3"/>
      <c r="C11849" s="3"/>
      <c r="D11849" s="3"/>
      <c r="E11849" s="3">
        <v>6</v>
      </c>
      <c r="F11849" s="4" t="str">
        <f>HYPERLINK("http://141.218.60.56/~jnz1568/getInfo.php?workbook=10_05.xlsx&amp;sheet=U0&amp;row=11849&amp;col=6&amp;number=3.5&amp;sourceID=14","3.5")</f>
        <v>3.5</v>
      </c>
      <c r="G11849" s="4" t="str">
        <f>HYPERLINK("http://141.218.60.56/~jnz1568/getInfo.php?workbook=10_05.xlsx&amp;sheet=U0&amp;row=11849&amp;col=7&amp;number=0.00785&amp;sourceID=14","0.00785")</f>
        <v>0.00785</v>
      </c>
    </row>
    <row r="11850" spans="1:7">
      <c r="A11850" s="3"/>
      <c r="B11850" s="3"/>
      <c r="C11850" s="3"/>
      <c r="D11850" s="3"/>
      <c r="E11850" s="3">
        <v>7</v>
      </c>
      <c r="F11850" s="4" t="str">
        <f>HYPERLINK("http://141.218.60.56/~jnz1568/getInfo.php?workbook=10_05.xlsx&amp;sheet=U0&amp;row=11850&amp;col=6&amp;number=3.6&amp;sourceID=14","3.6")</f>
        <v>3.6</v>
      </c>
      <c r="G11850" s="4" t="str">
        <f>HYPERLINK("http://141.218.60.56/~jnz1568/getInfo.php?workbook=10_05.xlsx&amp;sheet=U0&amp;row=11850&amp;col=7&amp;number=0.008&amp;sourceID=14","0.008")</f>
        <v>0.008</v>
      </c>
    </row>
    <row r="11851" spans="1:7">
      <c r="A11851" s="3"/>
      <c r="B11851" s="3"/>
      <c r="C11851" s="3"/>
      <c r="D11851" s="3"/>
      <c r="E11851" s="3">
        <v>8</v>
      </c>
      <c r="F11851" s="4" t="str">
        <f>HYPERLINK("http://141.218.60.56/~jnz1568/getInfo.php?workbook=10_05.xlsx&amp;sheet=U0&amp;row=11851&amp;col=6&amp;number=3.7&amp;sourceID=14","3.7")</f>
        <v>3.7</v>
      </c>
      <c r="G11851" s="4" t="str">
        <f>HYPERLINK("http://141.218.60.56/~jnz1568/getInfo.php?workbook=10_05.xlsx&amp;sheet=U0&amp;row=11851&amp;col=7&amp;number=0.00817&amp;sourceID=14","0.00817")</f>
        <v>0.00817</v>
      </c>
    </row>
    <row r="11852" spans="1:7">
      <c r="A11852" s="3"/>
      <c r="B11852" s="3"/>
      <c r="C11852" s="3"/>
      <c r="D11852" s="3"/>
      <c r="E11852" s="3">
        <v>9</v>
      </c>
      <c r="F11852" s="4" t="str">
        <f>HYPERLINK("http://141.218.60.56/~jnz1568/getInfo.php?workbook=10_05.xlsx&amp;sheet=U0&amp;row=11852&amp;col=6&amp;number=3.8&amp;sourceID=14","3.8")</f>
        <v>3.8</v>
      </c>
      <c r="G11852" s="4" t="str">
        <f>HYPERLINK("http://141.218.60.56/~jnz1568/getInfo.php?workbook=10_05.xlsx&amp;sheet=U0&amp;row=11852&amp;col=7&amp;number=0.00837&amp;sourceID=14","0.00837")</f>
        <v>0.00837</v>
      </c>
    </row>
    <row r="11853" spans="1:7">
      <c r="A11853" s="3"/>
      <c r="B11853" s="3"/>
      <c r="C11853" s="3"/>
      <c r="D11853" s="3"/>
      <c r="E11853" s="3">
        <v>10</v>
      </c>
      <c r="F11853" s="4" t="str">
        <f>HYPERLINK("http://141.218.60.56/~jnz1568/getInfo.php?workbook=10_05.xlsx&amp;sheet=U0&amp;row=11853&amp;col=6&amp;number=3.9&amp;sourceID=14","3.9")</f>
        <v>3.9</v>
      </c>
      <c r="G11853" s="4" t="str">
        <f>HYPERLINK("http://141.218.60.56/~jnz1568/getInfo.php?workbook=10_05.xlsx&amp;sheet=U0&amp;row=11853&amp;col=7&amp;number=0.00859&amp;sourceID=14","0.00859")</f>
        <v>0.00859</v>
      </c>
    </row>
    <row r="11854" spans="1:7">
      <c r="A11854" s="3"/>
      <c r="B11854" s="3"/>
      <c r="C11854" s="3"/>
      <c r="D11854" s="3"/>
      <c r="E11854" s="3">
        <v>11</v>
      </c>
      <c r="F11854" s="4" t="str">
        <f>HYPERLINK("http://141.218.60.56/~jnz1568/getInfo.php?workbook=10_05.xlsx&amp;sheet=U0&amp;row=11854&amp;col=6&amp;number=4&amp;sourceID=14","4")</f>
        <v>4</v>
      </c>
      <c r="G11854" s="4" t="str">
        <f>HYPERLINK("http://141.218.60.56/~jnz1568/getInfo.php?workbook=10_05.xlsx&amp;sheet=U0&amp;row=11854&amp;col=7&amp;number=0.00882&amp;sourceID=14","0.00882")</f>
        <v>0.00882</v>
      </c>
    </row>
    <row r="11855" spans="1:7">
      <c r="A11855" s="3"/>
      <c r="B11855" s="3"/>
      <c r="C11855" s="3"/>
      <c r="D11855" s="3"/>
      <c r="E11855" s="3">
        <v>12</v>
      </c>
      <c r="F11855" s="4" t="str">
        <f>HYPERLINK("http://141.218.60.56/~jnz1568/getInfo.php?workbook=10_05.xlsx&amp;sheet=U0&amp;row=11855&amp;col=6&amp;number=4.1&amp;sourceID=14","4.1")</f>
        <v>4.1</v>
      </c>
      <c r="G11855" s="4" t="str">
        <f>HYPERLINK("http://141.218.60.56/~jnz1568/getInfo.php?workbook=10_05.xlsx&amp;sheet=U0&amp;row=11855&amp;col=7&amp;number=0.00901&amp;sourceID=14","0.00901")</f>
        <v>0.00901</v>
      </c>
    </row>
    <row r="11856" spans="1:7">
      <c r="A11856" s="3"/>
      <c r="B11856" s="3"/>
      <c r="C11856" s="3"/>
      <c r="D11856" s="3"/>
      <c r="E11856" s="3">
        <v>13</v>
      </c>
      <c r="F11856" s="4" t="str">
        <f>HYPERLINK("http://141.218.60.56/~jnz1568/getInfo.php?workbook=10_05.xlsx&amp;sheet=U0&amp;row=11856&amp;col=6&amp;number=4.2&amp;sourceID=14","4.2")</f>
        <v>4.2</v>
      </c>
      <c r="G11856" s="4" t="str">
        <f>HYPERLINK("http://141.218.60.56/~jnz1568/getInfo.php?workbook=10_05.xlsx&amp;sheet=U0&amp;row=11856&amp;col=7&amp;number=0.00915&amp;sourceID=14","0.00915")</f>
        <v>0.00915</v>
      </c>
    </row>
    <row r="11857" spans="1:7">
      <c r="A11857" s="3"/>
      <c r="B11857" s="3"/>
      <c r="C11857" s="3"/>
      <c r="D11857" s="3"/>
      <c r="E11857" s="3">
        <v>14</v>
      </c>
      <c r="F11857" s="4" t="str">
        <f>HYPERLINK("http://141.218.60.56/~jnz1568/getInfo.php?workbook=10_05.xlsx&amp;sheet=U0&amp;row=11857&amp;col=6&amp;number=4.3&amp;sourceID=14","4.3")</f>
        <v>4.3</v>
      </c>
      <c r="G11857" s="4" t="str">
        <f>HYPERLINK("http://141.218.60.56/~jnz1568/getInfo.php?workbook=10_05.xlsx&amp;sheet=U0&amp;row=11857&amp;col=7&amp;number=0.00918&amp;sourceID=14","0.00918")</f>
        <v>0.00918</v>
      </c>
    </row>
    <row r="11858" spans="1:7">
      <c r="A11858" s="3"/>
      <c r="B11858" s="3"/>
      <c r="C11858" s="3"/>
      <c r="D11858" s="3"/>
      <c r="E11858" s="3">
        <v>15</v>
      </c>
      <c r="F11858" s="4" t="str">
        <f>HYPERLINK("http://141.218.60.56/~jnz1568/getInfo.php?workbook=10_05.xlsx&amp;sheet=U0&amp;row=11858&amp;col=6&amp;number=4.4&amp;sourceID=14","4.4")</f>
        <v>4.4</v>
      </c>
      <c r="G11858" s="4" t="str">
        <f>HYPERLINK("http://141.218.60.56/~jnz1568/getInfo.php?workbook=10_05.xlsx&amp;sheet=U0&amp;row=11858&amp;col=7&amp;number=0.00906&amp;sourceID=14","0.00906")</f>
        <v>0.00906</v>
      </c>
    </row>
    <row r="11859" spans="1:7">
      <c r="A11859" s="3"/>
      <c r="B11859" s="3"/>
      <c r="C11859" s="3"/>
      <c r="D11859" s="3"/>
      <c r="E11859" s="3">
        <v>16</v>
      </c>
      <c r="F11859" s="4" t="str">
        <f>HYPERLINK("http://141.218.60.56/~jnz1568/getInfo.php?workbook=10_05.xlsx&amp;sheet=U0&amp;row=11859&amp;col=6&amp;number=4.5&amp;sourceID=14","4.5")</f>
        <v>4.5</v>
      </c>
      <c r="G11859" s="4" t="str">
        <f>HYPERLINK("http://141.218.60.56/~jnz1568/getInfo.php?workbook=10_05.xlsx&amp;sheet=U0&amp;row=11859&amp;col=7&amp;number=0.00876&amp;sourceID=14","0.00876")</f>
        <v>0.00876</v>
      </c>
    </row>
    <row r="11860" spans="1:7">
      <c r="A11860" s="3"/>
      <c r="B11860" s="3"/>
      <c r="C11860" s="3"/>
      <c r="D11860" s="3"/>
      <c r="E11860" s="3">
        <v>17</v>
      </c>
      <c r="F11860" s="4" t="str">
        <f>HYPERLINK("http://141.218.60.56/~jnz1568/getInfo.php?workbook=10_05.xlsx&amp;sheet=U0&amp;row=11860&amp;col=6&amp;number=4.6&amp;sourceID=14","4.6")</f>
        <v>4.6</v>
      </c>
      <c r="G11860" s="4" t="str">
        <f>HYPERLINK("http://141.218.60.56/~jnz1568/getInfo.php?workbook=10_05.xlsx&amp;sheet=U0&amp;row=11860&amp;col=7&amp;number=0.00831&amp;sourceID=14","0.00831")</f>
        <v>0.00831</v>
      </c>
    </row>
    <row r="11861" spans="1:7">
      <c r="A11861" s="3"/>
      <c r="B11861" s="3"/>
      <c r="C11861" s="3"/>
      <c r="D11861" s="3"/>
      <c r="E11861" s="3">
        <v>18</v>
      </c>
      <c r="F11861" s="4" t="str">
        <f>HYPERLINK("http://141.218.60.56/~jnz1568/getInfo.php?workbook=10_05.xlsx&amp;sheet=U0&amp;row=11861&amp;col=6&amp;number=4.7&amp;sourceID=14","4.7")</f>
        <v>4.7</v>
      </c>
      <c r="G11861" s="4" t="str">
        <f>HYPERLINK("http://141.218.60.56/~jnz1568/getInfo.php?workbook=10_05.xlsx&amp;sheet=U0&amp;row=11861&amp;col=7&amp;number=0.00777&amp;sourceID=14","0.00777")</f>
        <v>0.00777</v>
      </c>
    </row>
    <row r="11862" spans="1:7">
      <c r="A11862" s="3"/>
      <c r="B11862" s="3"/>
      <c r="C11862" s="3"/>
      <c r="D11862" s="3"/>
      <c r="E11862" s="3">
        <v>19</v>
      </c>
      <c r="F11862" s="4" t="str">
        <f>HYPERLINK("http://141.218.60.56/~jnz1568/getInfo.php?workbook=10_05.xlsx&amp;sheet=U0&amp;row=11862&amp;col=6&amp;number=4.8&amp;sourceID=14","4.8")</f>
        <v>4.8</v>
      </c>
      <c r="G11862" s="4" t="str">
        <f>HYPERLINK("http://141.218.60.56/~jnz1568/getInfo.php?workbook=10_05.xlsx&amp;sheet=U0&amp;row=11862&amp;col=7&amp;number=0.00718&amp;sourceID=14","0.00718")</f>
        <v>0.00718</v>
      </c>
    </row>
    <row r="11863" spans="1:7">
      <c r="A11863" s="3"/>
      <c r="B11863" s="3"/>
      <c r="C11863" s="3"/>
      <c r="D11863" s="3"/>
      <c r="E11863" s="3">
        <v>20</v>
      </c>
      <c r="F11863" s="4" t="str">
        <f>HYPERLINK("http://141.218.60.56/~jnz1568/getInfo.php?workbook=10_05.xlsx&amp;sheet=U0&amp;row=11863&amp;col=6&amp;number=4.9&amp;sourceID=14","4.9")</f>
        <v>4.9</v>
      </c>
      <c r="G11863" s="4" t="str">
        <f>HYPERLINK("http://141.218.60.56/~jnz1568/getInfo.php?workbook=10_05.xlsx&amp;sheet=U0&amp;row=11863&amp;col=7&amp;number=0.00655&amp;sourceID=14","0.00655")</f>
        <v>0.00655</v>
      </c>
    </row>
    <row r="11864" spans="1:7">
      <c r="A11864" s="3">
        <v>10</v>
      </c>
      <c r="B11864" s="3">
        <v>5</v>
      </c>
      <c r="C11864" s="3">
        <v>4</v>
      </c>
      <c r="D11864" s="3">
        <v>64</v>
      </c>
      <c r="E11864" s="3">
        <v>1</v>
      </c>
      <c r="F11864" s="4" t="str">
        <f>HYPERLINK("http://141.218.60.56/~jnz1568/getInfo.php?workbook=10_05.xlsx&amp;sheet=U0&amp;row=11864&amp;col=6&amp;number=3&amp;sourceID=14","3")</f>
        <v>3</v>
      </c>
      <c r="G11864" s="4" t="str">
        <f>HYPERLINK("http://141.218.60.56/~jnz1568/getInfo.php?workbook=10_05.xlsx&amp;sheet=U0&amp;row=11864&amp;col=7&amp;number=0.00419&amp;sourceID=14","0.00419")</f>
        <v>0.00419</v>
      </c>
    </row>
    <row r="11865" spans="1:7">
      <c r="A11865" s="3"/>
      <c r="B11865" s="3"/>
      <c r="C11865" s="3"/>
      <c r="D11865" s="3"/>
      <c r="E11865" s="3">
        <v>2</v>
      </c>
      <c r="F11865" s="4" t="str">
        <f>HYPERLINK("http://141.218.60.56/~jnz1568/getInfo.php?workbook=10_05.xlsx&amp;sheet=U0&amp;row=11865&amp;col=6&amp;number=3.1&amp;sourceID=14","3.1")</f>
        <v>3.1</v>
      </c>
      <c r="G11865" s="4" t="str">
        <f>HYPERLINK("http://141.218.60.56/~jnz1568/getInfo.php?workbook=10_05.xlsx&amp;sheet=U0&amp;row=11865&amp;col=7&amp;number=0.00426&amp;sourceID=14","0.00426")</f>
        <v>0.00426</v>
      </c>
    </row>
    <row r="11866" spans="1:7">
      <c r="A11866" s="3"/>
      <c r="B11866" s="3"/>
      <c r="C11866" s="3"/>
      <c r="D11866" s="3"/>
      <c r="E11866" s="3">
        <v>3</v>
      </c>
      <c r="F11866" s="4" t="str">
        <f>HYPERLINK("http://141.218.60.56/~jnz1568/getInfo.php?workbook=10_05.xlsx&amp;sheet=U0&amp;row=11866&amp;col=6&amp;number=3.2&amp;sourceID=14","3.2")</f>
        <v>3.2</v>
      </c>
      <c r="G11866" s="4" t="str">
        <f>HYPERLINK("http://141.218.60.56/~jnz1568/getInfo.php?workbook=10_05.xlsx&amp;sheet=U0&amp;row=11866&amp;col=7&amp;number=0.00435&amp;sourceID=14","0.00435")</f>
        <v>0.00435</v>
      </c>
    </row>
    <row r="11867" spans="1:7">
      <c r="A11867" s="3"/>
      <c r="B11867" s="3"/>
      <c r="C11867" s="3"/>
      <c r="D11867" s="3"/>
      <c r="E11867" s="3">
        <v>4</v>
      </c>
      <c r="F11867" s="4" t="str">
        <f>HYPERLINK("http://141.218.60.56/~jnz1568/getInfo.php?workbook=10_05.xlsx&amp;sheet=U0&amp;row=11867&amp;col=6&amp;number=3.3&amp;sourceID=14","3.3")</f>
        <v>3.3</v>
      </c>
      <c r="G11867" s="4" t="str">
        <f>HYPERLINK("http://141.218.60.56/~jnz1568/getInfo.php?workbook=10_05.xlsx&amp;sheet=U0&amp;row=11867&amp;col=7&amp;number=0.00446&amp;sourceID=14","0.00446")</f>
        <v>0.00446</v>
      </c>
    </row>
    <row r="11868" spans="1:7">
      <c r="A11868" s="3"/>
      <c r="B11868" s="3"/>
      <c r="C11868" s="3"/>
      <c r="D11868" s="3"/>
      <c r="E11868" s="3">
        <v>5</v>
      </c>
      <c r="F11868" s="4" t="str">
        <f>HYPERLINK("http://141.218.60.56/~jnz1568/getInfo.php?workbook=10_05.xlsx&amp;sheet=U0&amp;row=11868&amp;col=6&amp;number=3.4&amp;sourceID=14","3.4")</f>
        <v>3.4</v>
      </c>
      <c r="G11868" s="4" t="str">
        <f>HYPERLINK("http://141.218.60.56/~jnz1568/getInfo.php?workbook=10_05.xlsx&amp;sheet=U0&amp;row=11868&amp;col=7&amp;number=0.0046&amp;sourceID=14","0.0046")</f>
        <v>0.0046</v>
      </c>
    </row>
    <row r="11869" spans="1:7">
      <c r="A11869" s="3"/>
      <c r="B11869" s="3"/>
      <c r="C11869" s="3"/>
      <c r="D11869" s="3"/>
      <c r="E11869" s="3">
        <v>6</v>
      </c>
      <c r="F11869" s="4" t="str">
        <f>HYPERLINK("http://141.218.60.56/~jnz1568/getInfo.php?workbook=10_05.xlsx&amp;sheet=U0&amp;row=11869&amp;col=6&amp;number=3.5&amp;sourceID=14","3.5")</f>
        <v>3.5</v>
      </c>
      <c r="G11869" s="4" t="str">
        <f>HYPERLINK("http://141.218.60.56/~jnz1568/getInfo.php?workbook=10_05.xlsx&amp;sheet=U0&amp;row=11869&amp;col=7&amp;number=0.00476&amp;sourceID=14","0.00476")</f>
        <v>0.00476</v>
      </c>
    </row>
    <row r="11870" spans="1:7">
      <c r="A11870" s="3"/>
      <c r="B11870" s="3"/>
      <c r="C11870" s="3"/>
      <c r="D11870" s="3"/>
      <c r="E11870" s="3">
        <v>7</v>
      </c>
      <c r="F11870" s="4" t="str">
        <f>HYPERLINK("http://141.218.60.56/~jnz1568/getInfo.php?workbook=10_05.xlsx&amp;sheet=U0&amp;row=11870&amp;col=6&amp;number=3.6&amp;sourceID=14","3.6")</f>
        <v>3.6</v>
      </c>
      <c r="G11870" s="4" t="str">
        <f>HYPERLINK("http://141.218.60.56/~jnz1568/getInfo.php?workbook=10_05.xlsx&amp;sheet=U0&amp;row=11870&amp;col=7&amp;number=0.00496&amp;sourceID=14","0.00496")</f>
        <v>0.00496</v>
      </c>
    </row>
    <row r="11871" spans="1:7">
      <c r="A11871" s="3"/>
      <c r="B11871" s="3"/>
      <c r="C11871" s="3"/>
      <c r="D11871" s="3"/>
      <c r="E11871" s="3">
        <v>8</v>
      </c>
      <c r="F11871" s="4" t="str">
        <f>HYPERLINK("http://141.218.60.56/~jnz1568/getInfo.php?workbook=10_05.xlsx&amp;sheet=U0&amp;row=11871&amp;col=6&amp;number=3.7&amp;sourceID=14","3.7")</f>
        <v>3.7</v>
      </c>
      <c r="G11871" s="4" t="str">
        <f>HYPERLINK("http://141.218.60.56/~jnz1568/getInfo.php?workbook=10_05.xlsx&amp;sheet=U0&amp;row=11871&amp;col=7&amp;number=0.00518&amp;sourceID=14","0.00518")</f>
        <v>0.00518</v>
      </c>
    </row>
    <row r="11872" spans="1:7">
      <c r="A11872" s="3"/>
      <c r="B11872" s="3"/>
      <c r="C11872" s="3"/>
      <c r="D11872" s="3"/>
      <c r="E11872" s="3">
        <v>9</v>
      </c>
      <c r="F11872" s="4" t="str">
        <f>HYPERLINK("http://141.218.60.56/~jnz1568/getInfo.php?workbook=10_05.xlsx&amp;sheet=U0&amp;row=11872&amp;col=6&amp;number=3.8&amp;sourceID=14","3.8")</f>
        <v>3.8</v>
      </c>
      <c r="G11872" s="4" t="str">
        <f>HYPERLINK("http://141.218.60.56/~jnz1568/getInfo.php?workbook=10_05.xlsx&amp;sheet=U0&amp;row=11872&amp;col=7&amp;number=0.00543&amp;sourceID=14","0.00543")</f>
        <v>0.00543</v>
      </c>
    </row>
    <row r="11873" spans="1:7">
      <c r="A11873" s="3"/>
      <c r="B11873" s="3"/>
      <c r="C11873" s="3"/>
      <c r="D11873" s="3"/>
      <c r="E11873" s="3">
        <v>10</v>
      </c>
      <c r="F11873" s="4" t="str">
        <f>HYPERLINK("http://141.218.60.56/~jnz1568/getInfo.php?workbook=10_05.xlsx&amp;sheet=U0&amp;row=11873&amp;col=6&amp;number=3.9&amp;sourceID=14","3.9")</f>
        <v>3.9</v>
      </c>
      <c r="G11873" s="4" t="str">
        <f>HYPERLINK("http://141.218.60.56/~jnz1568/getInfo.php?workbook=10_05.xlsx&amp;sheet=U0&amp;row=11873&amp;col=7&amp;number=0.00567&amp;sourceID=14","0.00567")</f>
        <v>0.00567</v>
      </c>
    </row>
    <row r="11874" spans="1:7">
      <c r="A11874" s="3"/>
      <c r="B11874" s="3"/>
      <c r="C11874" s="3"/>
      <c r="D11874" s="3"/>
      <c r="E11874" s="3">
        <v>11</v>
      </c>
      <c r="F11874" s="4" t="str">
        <f>HYPERLINK("http://141.218.60.56/~jnz1568/getInfo.php?workbook=10_05.xlsx&amp;sheet=U0&amp;row=11874&amp;col=6&amp;number=4&amp;sourceID=14","4")</f>
        <v>4</v>
      </c>
      <c r="G11874" s="4" t="str">
        <f>HYPERLINK("http://141.218.60.56/~jnz1568/getInfo.php?workbook=10_05.xlsx&amp;sheet=U0&amp;row=11874&amp;col=7&amp;number=0.00588&amp;sourceID=14","0.00588")</f>
        <v>0.00588</v>
      </c>
    </row>
    <row r="11875" spans="1:7">
      <c r="A11875" s="3"/>
      <c r="B11875" s="3"/>
      <c r="C11875" s="3"/>
      <c r="D11875" s="3"/>
      <c r="E11875" s="3">
        <v>12</v>
      </c>
      <c r="F11875" s="4" t="str">
        <f>HYPERLINK("http://141.218.60.56/~jnz1568/getInfo.php?workbook=10_05.xlsx&amp;sheet=U0&amp;row=11875&amp;col=6&amp;number=4.1&amp;sourceID=14","4.1")</f>
        <v>4.1</v>
      </c>
      <c r="G11875" s="4" t="str">
        <f>HYPERLINK("http://141.218.60.56/~jnz1568/getInfo.php?workbook=10_05.xlsx&amp;sheet=U0&amp;row=11875&amp;col=7&amp;number=0.00599&amp;sourceID=14","0.00599")</f>
        <v>0.00599</v>
      </c>
    </row>
    <row r="11876" spans="1:7">
      <c r="A11876" s="3"/>
      <c r="B11876" s="3"/>
      <c r="C11876" s="3"/>
      <c r="D11876" s="3"/>
      <c r="E11876" s="3">
        <v>13</v>
      </c>
      <c r="F11876" s="4" t="str">
        <f>HYPERLINK("http://141.218.60.56/~jnz1568/getInfo.php?workbook=10_05.xlsx&amp;sheet=U0&amp;row=11876&amp;col=6&amp;number=4.2&amp;sourceID=14","4.2")</f>
        <v>4.2</v>
      </c>
      <c r="G11876" s="4" t="str">
        <f>HYPERLINK("http://141.218.60.56/~jnz1568/getInfo.php?workbook=10_05.xlsx&amp;sheet=U0&amp;row=11876&amp;col=7&amp;number=0.00599&amp;sourceID=14","0.00599")</f>
        <v>0.00599</v>
      </c>
    </row>
    <row r="11877" spans="1:7">
      <c r="A11877" s="3"/>
      <c r="B11877" s="3"/>
      <c r="C11877" s="3"/>
      <c r="D11877" s="3"/>
      <c r="E11877" s="3">
        <v>14</v>
      </c>
      <c r="F11877" s="4" t="str">
        <f>HYPERLINK("http://141.218.60.56/~jnz1568/getInfo.php?workbook=10_05.xlsx&amp;sheet=U0&amp;row=11877&amp;col=6&amp;number=4.3&amp;sourceID=14","4.3")</f>
        <v>4.3</v>
      </c>
      <c r="G11877" s="4" t="str">
        <f>HYPERLINK("http://141.218.60.56/~jnz1568/getInfo.php?workbook=10_05.xlsx&amp;sheet=U0&amp;row=11877&amp;col=7&amp;number=0.00589&amp;sourceID=14","0.00589")</f>
        <v>0.00589</v>
      </c>
    </row>
    <row r="11878" spans="1:7">
      <c r="A11878" s="3"/>
      <c r="B11878" s="3"/>
      <c r="C11878" s="3"/>
      <c r="D11878" s="3"/>
      <c r="E11878" s="3">
        <v>15</v>
      </c>
      <c r="F11878" s="4" t="str">
        <f>HYPERLINK("http://141.218.60.56/~jnz1568/getInfo.php?workbook=10_05.xlsx&amp;sheet=U0&amp;row=11878&amp;col=6&amp;number=4.4&amp;sourceID=14","4.4")</f>
        <v>4.4</v>
      </c>
      <c r="G11878" s="4" t="str">
        <f>HYPERLINK("http://141.218.60.56/~jnz1568/getInfo.php?workbook=10_05.xlsx&amp;sheet=U0&amp;row=11878&amp;col=7&amp;number=0.00571&amp;sourceID=14","0.00571")</f>
        <v>0.00571</v>
      </c>
    </row>
    <row r="11879" spans="1:7">
      <c r="A11879" s="3"/>
      <c r="B11879" s="3"/>
      <c r="C11879" s="3"/>
      <c r="D11879" s="3"/>
      <c r="E11879" s="3">
        <v>16</v>
      </c>
      <c r="F11879" s="4" t="str">
        <f>HYPERLINK("http://141.218.60.56/~jnz1568/getInfo.php?workbook=10_05.xlsx&amp;sheet=U0&amp;row=11879&amp;col=6&amp;number=4.5&amp;sourceID=14","4.5")</f>
        <v>4.5</v>
      </c>
      <c r="G11879" s="4" t="str">
        <f>HYPERLINK("http://141.218.60.56/~jnz1568/getInfo.php?workbook=10_05.xlsx&amp;sheet=U0&amp;row=11879&amp;col=7&amp;number=0.0055&amp;sourceID=14","0.0055")</f>
        <v>0.0055</v>
      </c>
    </row>
    <row r="11880" spans="1:7">
      <c r="A11880" s="3"/>
      <c r="B11880" s="3"/>
      <c r="C11880" s="3"/>
      <c r="D11880" s="3"/>
      <c r="E11880" s="3">
        <v>17</v>
      </c>
      <c r="F11880" s="4" t="str">
        <f>HYPERLINK("http://141.218.60.56/~jnz1568/getInfo.php?workbook=10_05.xlsx&amp;sheet=U0&amp;row=11880&amp;col=6&amp;number=4.6&amp;sourceID=14","4.6")</f>
        <v>4.6</v>
      </c>
      <c r="G11880" s="4" t="str">
        <f>HYPERLINK("http://141.218.60.56/~jnz1568/getInfo.php?workbook=10_05.xlsx&amp;sheet=U0&amp;row=11880&amp;col=7&amp;number=0.00523&amp;sourceID=14","0.00523")</f>
        <v>0.00523</v>
      </c>
    </row>
    <row r="11881" spans="1:7">
      <c r="A11881" s="3"/>
      <c r="B11881" s="3"/>
      <c r="C11881" s="3"/>
      <c r="D11881" s="3"/>
      <c r="E11881" s="3">
        <v>18</v>
      </c>
      <c r="F11881" s="4" t="str">
        <f>HYPERLINK("http://141.218.60.56/~jnz1568/getInfo.php?workbook=10_05.xlsx&amp;sheet=U0&amp;row=11881&amp;col=6&amp;number=4.7&amp;sourceID=14","4.7")</f>
        <v>4.7</v>
      </c>
      <c r="G11881" s="4" t="str">
        <f>HYPERLINK("http://141.218.60.56/~jnz1568/getInfo.php?workbook=10_05.xlsx&amp;sheet=U0&amp;row=11881&amp;col=7&amp;number=0.00486&amp;sourceID=14","0.00486")</f>
        <v>0.00486</v>
      </c>
    </row>
    <row r="11882" spans="1:7">
      <c r="A11882" s="3"/>
      <c r="B11882" s="3"/>
      <c r="C11882" s="3"/>
      <c r="D11882" s="3"/>
      <c r="E11882" s="3">
        <v>19</v>
      </c>
      <c r="F11882" s="4" t="str">
        <f>HYPERLINK("http://141.218.60.56/~jnz1568/getInfo.php?workbook=10_05.xlsx&amp;sheet=U0&amp;row=11882&amp;col=6&amp;number=4.8&amp;sourceID=14","4.8")</f>
        <v>4.8</v>
      </c>
      <c r="G11882" s="4" t="str">
        <f>HYPERLINK("http://141.218.60.56/~jnz1568/getInfo.php?workbook=10_05.xlsx&amp;sheet=U0&amp;row=11882&amp;col=7&amp;number=0.00444&amp;sourceID=14","0.00444")</f>
        <v>0.00444</v>
      </c>
    </row>
    <row r="11883" spans="1:7">
      <c r="A11883" s="3"/>
      <c r="B11883" s="3"/>
      <c r="C11883" s="3"/>
      <c r="D11883" s="3"/>
      <c r="E11883" s="3">
        <v>20</v>
      </c>
      <c r="F11883" s="4" t="str">
        <f>HYPERLINK("http://141.218.60.56/~jnz1568/getInfo.php?workbook=10_05.xlsx&amp;sheet=U0&amp;row=11883&amp;col=6&amp;number=4.9&amp;sourceID=14","4.9")</f>
        <v>4.9</v>
      </c>
      <c r="G11883" s="4" t="str">
        <f>HYPERLINK("http://141.218.60.56/~jnz1568/getInfo.php?workbook=10_05.xlsx&amp;sheet=U0&amp;row=11883&amp;col=7&amp;number=0.004&amp;sourceID=14","0.004")</f>
        <v>0.004</v>
      </c>
    </row>
    <row r="11884" spans="1:7">
      <c r="A11884" s="3">
        <v>10</v>
      </c>
      <c r="B11884" s="3">
        <v>5</v>
      </c>
      <c r="C11884" s="3">
        <v>4</v>
      </c>
      <c r="D11884" s="3">
        <v>65</v>
      </c>
      <c r="E11884" s="3">
        <v>1</v>
      </c>
      <c r="F11884" s="4" t="str">
        <f>HYPERLINK("http://141.218.60.56/~jnz1568/getInfo.php?workbook=10_05.xlsx&amp;sheet=U0&amp;row=11884&amp;col=6&amp;number=3&amp;sourceID=14","3")</f>
        <v>3</v>
      </c>
      <c r="G11884" s="4" t="str">
        <f>HYPERLINK("http://141.218.60.56/~jnz1568/getInfo.php?workbook=10_05.xlsx&amp;sheet=U0&amp;row=11884&amp;col=7&amp;number=0.00698&amp;sourceID=14","0.00698")</f>
        <v>0.00698</v>
      </c>
    </row>
    <row r="11885" spans="1:7">
      <c r="A11885" s="3"/>
      <c r="B11885" s="3"/>
      <c r="C11885" s="3"/>
      <c r="D11885" s="3"/>
      <c r="E11885" s="3">
        <v>2</v>
      </c>
      <c r="F11885" s="4" t="str">
        <f>HYPERLINK("http://141.218.60.56/~jnz1568/getInfo.php?workbook=10_05.xlsx&amp;sheet=U0&amp;row=11885&amp;col=6&amp;number=3.1&amp;sourceID=14","3.1")</f>
        <v>3.1</v>
      </c>
      <c r="G11885" s="4" t="str">
        <f>HYPERLINK("http://141.218.60.56/~jnz1568/getInfo.php?workbook=10_05.xlsx&amp;sheet=U0&amp;row=11885&amp;col=7&amp;number=0.00711&amp;sourceID=14","0.00711")</f>
        <v>0.00711</v>
      </c>
    </row>
    <row r="11886" spans="1:7">
      <c r="A11886" s="3"/>
      <c r="B11886" s="3"/>
      <c r="C11886" s="3"/>
      <c r="D11886" s="3"/>
      <c r="E11886" s="3">
        <v>3</v>
      </c>
      <c r="F11886" s="4" t="str">
        <f>HYPERLINK("http://141.218.60.56/~jnz1568/getInfo.php?workbook=10_05.xlsx&amp;sheet=U0&amp;row=11886&amp;col=6&amp;number=3.2&amp;sourceID=14","3.2")</f>
        <v>3.2</v>
      </c>
      <c r="G11886" s="4" t="str">
        <f>HYPERLINK("http://141.218.60.56/~jnz1568/getInfo.php?workbook=10_05.xlsx&amp;sheet=U0&amp;row=11886&amp;col=7&amp;number=0.00728&amp;sourceID=14","0.00728")</f>
        <v>0.00728</v>
      </c>
    </row>
    <row r="11887" spans="1:7">
      <c r="A11887" s="3"/>
      <c r="B11887" s="3"/>
      <c r="C11887" s="3"/>
      <c r="D11887" s="3"/>
      <c r="E11887" s="3">
        <v>4</v>
      </c>
      <c r="F11887" s="4" t="str">
        <f>HYPERLINK("http://141.218.60.56/~jnz1568/getInfo.php?workbook=10_05.xlsx&amp;sheet=U0&amp;row=11887&amp;col=6&amp;number=3.3&amp;sourceID=14","3.3")</f>
        <v>3.3</v>
      </c>
      <c r="G11887" s="4" t="str">
        <f>HYPERLINK("http://141.218.60.56/~jnz1568/getInfo.php?workbook=10_05.xlsx&amp;sheet=U0&amp;row=11887&amp;col=7&amp;number=0.00747&amp;sourceID=14","0.00747")</f>
        <v>0.00747</v>
      </c>
    </row>
    <row r="11888" spans="1:7">
      <c r="A11888" s="3"/>
      <c r="B11888" s="3"/>
      <c r="C11888" s="3"/>
      <c r="D11888" s="3"/>
      <c r="E11888" s="3">
        <v>5</v>
      </c>
      <c r="F11888" s="4" t="str">
        <f>HYPERLINK("http://141.218.60.56/~jnz1568/getInfo.php?workbook=10_05.xlsx&amp;sheet=U0&amp;row=11888&amp;col=6&amp;number=3.4&amp;sourceID=14","3.4")</f>
        <v>3.4</v>
      </c>
      <c r="G11888" s="4" t="str">
        <f>HYPERLINK("http://141.218.60.56/~jnz1568/getInfo.php?workbook=10_05.xlsx&amp;sheet=U0&amp;row=11888&amp;col=7&amp;number=0.00772&amp;sourceID=14","0.00772")</f>
        <v>0.00772</v>
      </c>
    </row>
    <row r="11889" spans="1:7">
      <c r="A11889" s="3"/>
      <c r="B11889" s="3"/>
      <c r="C11889" s="3"/>
      <c r="D11889" s="3"/>
      <c r="E11889" s="3">
        <v>6</v>
      </c>
      <c r="F11889" s="4" t="str">
        <f>HYPERLINK("http://141.218.60.56/~jnz1568/getInfo.php?workbook=10_05.xlsx&amp;sheet=U0&amp;row=11889&amp;col=6&amp;number=3.5&amp;sourceID=14","3.5")</f>
        <v>3.5</v>
      </c>
      <c r="G11889" s="4" t="str">
        <f>HYPERLINK("http://141.218.60.56/~jnz1568/getInfo.php?workbook=10_05.xlsx&amp;sheet=U0&amp;row=11889&amp;col=7&amp;number=0.00801&amp;sourceID=14","0.00801")</f>
        <v>0.00801</v>
      </c>
    </row>
    <row r="11890" spans="1:7">
      <c r="A11890" s="3"/>
      <c r="B11890" s="3"/>
      <c r="C11890" s="3"/>
      <c r="D11890" s="3"/>
      <c r="E11890" s="3">
        <v>7</v>
      </c>
      <c r="F11890" s="4" t="str">
        <f>HYPERLINK("http://141.218.60.56/~jnz1568/getInfo.php?workbook=10_05.xlsx&amp;sheet=U0&amp;row=11890&amp;col=6&amp;number=3.6&amp;sourceID=14","3.6")</f>
        <v>3.6</v>
      </c>
      <c r="G11890" s="4" t="str">
        <f>HYPERLINK("http://141.218.60.56/~jnz1568/getInfo.php?workbook=10_05.xlsx&amp;sheet=U0&amp;row=11890&amp;col=7&amp;number=0.00836&amp;sourceID=14","0.00836")</f>
        <v>0.00836</v>
      </c>
    </row>
    <row r="11891" spans="1:7">
      <c r="A11891" s="3"/>
      <c r="B11891" s="3"/>
      <c r="C11891" s="3"/>
      <c r="D11891" s="3"/>
      <c r="E11891" s="3">
        <v>8</v>
      </c>
      <c r="F11891" s="4" t="str">
        <f>HYPERLINK("http://141.218.60.56/~jnz1568/getInfo.php?workbook=10_05.xlsx&amp;sheet=U0&amp;row=11891&amp;col=6&amp;number=3.7&amp;sourceID=14","3.7")</f>
        <v>3.7</v>
      </c>
      <c r="G11891" s="4" t="str">
        <f>HYPERLINK("http://141.218.60.56/~jnz1568/getInfo.php?workbook=10_05.xlsx&amp;sheet=U0&amp;row=11891&amp;col=7&amp;number=0.00876&amp;sourceID=14","0.00876")</f>
        <v>0.00876</v>
      </c>
    </row>
    <row r="11892" spans="1:7">
      <c r="A11892" s="3"/>
      <c r="B11892" s="3"/>
      <c r="C11892" s="3"/>
      <c r="D11892" s="3"/>
      <c r="E11892" s="3">
        <v>9</v>
      </c>
      <c r="F11892" s="4" t="str">
        <f>HYPERLINK("http://141.218.60.56/~jnz1568/getInfo.php?workbook=10_05.xlsx&amp;sheet=U0&amp;row=11892&amp;col=6&amp;number=3.8&amp;sourceID=14","3.8")</f>
        <v>3.8</v>
      </c>
      <c r="G11892" s="4" t="str">
        <f>HYPERLINK("http://141.218.60.56/~jnz1568/getInfo.php?workbook=10_05.xlsx&amp;sheet=U0&amp;row=11892&amp;col=7&amp;number=0.0092&amp;sourceID=14","0.0092")</f>
        <v>0.0092</v>
      </c>
    </row>
    <row r="11893" spans="1:7">
      <c r="A11893" s="3"/>
      <c r="B11893" s="3"/>
      <c r="C11893" s="3"/>
      <c r="D11893" s="3"/>
      <c r="E11893" s="3">
        <v>10</v>
      </c>
      <c r="F11893" s="4" t="str">
        <f>HYPERLINK("http://141.218.60.56/~jnz1568/getInfo.php?workbook=10_05.xlsx&amp;sheet=U0&amp;row=11893&amp;col=6&amp;number=3.9&amp;sourceID=14","3.9")</f>
        <v>3.9</v>
      </c>
      <c r="G11893" s="4" t="str">
        <f>HYPERLINK("http://141.218.60.56/~jnz1568/getInfo.php?workbook=10_05.xlsx&amp;sheet=U0&amp;row=11893&amp;col=7&amp;number=0.00965&amp;sourceID=14","0.00965")</f>
        <v>0.00965</v>
      </c>
    </row>
    <row r="11894" spans="1:7">
      <c r="A11894" s="3"/>
      <c r="B11894" s="3"/>
      <c r="C11894" s="3"/>
      <c r="D11894" s="3"/>
      <c r="E11894" s="3">
        <v>11</v>
      </c>
      <c r="F11894" s="4" t="str">
        <f>HYPERLINK("http://141.218.60.56/~jnz1568/getInfo.php?workbook=10_05.xlsx&amp;sheet=U0&amp;row=11894&amp;col=6&amp;number=4&amp;sourceID=14","4")</f>
        <v>4</v>
      </c>
      <c r="G11894" s="4" t="str">
        <f>HYPERLINK("http://141.218.60.56/~jnz1568/getInfo.php?workbook=10_05.xlsx&amp;sheet=U0&amp;row=11894&amp;col=7&amp;number=0.01&amp;sourceID=14","0.01")</f>
        <v>0.01</v>
      </c>
    </row>
    <row r="11895" spans="1:7">
      <c r="A11895" s="3"/>
      <c r="B11895" s="3"/>
      <c r="C11895" s="3"/>
      <c r="D11895" s="3"/>
      <c r="E11895" s="3">
        <v>12</v>
      </c>
      <c r="F11895" s="4" t="str">
        <f>HYPERLINK("http://141.218.60.56/~jnz1568/getInfo.php?workbook=10_05.xlsx&amp;sheet=U0&amp;row=11895&amp;col=6&amp;number=4.1&amp;sourceID=14","4.1")</f>
        <v>4.1</v>
      </c>
      <c r="G11895" s="4" t="str">
        <f>HYPERLINK("http://141.218.60.56/~jnz1568/getInfo.php?workbook=10_05.xlsx&amp;sheet=U0&amp;row=11895&amp;col=7&amp;number=0.0103&amp;sourceID=14","0.0103")</f>
        <v>0.0103</v>
      </c>
    </row>
    <row r="11896" spans="1:7">
      <c r="A11896" s="3"/>
      <c r="B11896" s="3"/>
      <c r="C11896" s="3"/>
      <c r="D11896" s="3"/>
      <c r="E11896" s="3">
        <v>13</v>
      </c>
      <c r="F11896" s="4" t="str">
        <f>HYPERLINK("http://141.218.60.56/~jnz1568/getInfo.php?workbook=10_05.xlsx&amp;sheet=U0&amp;row=11896&amp;col=6&amp;number=4.2&amp;sourceID=14","4.2")</f>
        <v>4.2</v>
      </c>
      <c r="G11896" s="4" t="str">
        <f>HYPERLINK("http://141.218.60.56/~jnz1568/getInfo.php?workbook=10_05.xlsx&amp;sheet=U0&amp;row=11896&amp;col=7&amp;number=0.0103&amp;sourceID=14","0.0103")</f>
        <v>0.0103</v>
      </c>
    </row>
    <row r="11897" spans="1:7">
      <c r="A11897" s="3"/>
      <c r="B11897" s="3"/>
      <c r="C11897" s="3"/>
      <c r="D11897" s="3"/>
      <c r="E11897" s="3">
        <v>14</v>
      </c>
      <c r="F11897" s="4" t="str">
        <f>HYPERLINK("http://141.218.60.56/~jnz1568/getInfo.php?workbook=10_05.xlsx&amp;sheet=U0&amp;row=11897&amp;col=6&amp;number=4.3&amp;sourceID=14","4.3")</f>
        <v>4.3</v>
      </c>
      <c r="G11897" s="4" t="str">
        <f>HYPERLINK("http://141.218.60.56/~jnz1568/getInfo.php?workbook=10_05.xlsx&amp;sheet=U0&amp;row=11897&amp;col=7&amp;number=0.0102&amp;sourceID=14","0.0102")</f>
        <v>0.0102</v>
      </c>
    </row>
    <row r="11898" spans="1:7">
      <c r="A11898" s="3"/>
      <c r="B11898" s="3"/>
      <c r="C11898" s="3"/>
      <c r="D11898" s="3"/>
      <c r="E11898" s="3">
        <v>15</v>
      </c>
      <c r="F11898" s="4" t="str">
        <f>HYPERLINK("http://141.218.60.56/~jnz1568/getInfo.php?workbook=10_05.xlsx&amp;sheet=U0&amp;row=11898&amp;col=6&amp;number=4.4&amp;sourceID=14","4.4")</f>
        <v>4.4</v>
      </c>
      <c r="G11898" s="4" t="str">
        <f>HYPERLINK("http://141.218.60.56/~jnz1568/getInfo.php?workbook=10_05.xlsx&amp;sheet=U0&amp;row=11898&amp;col=7&amp;number=0.00991&amp;sourceID=14","0.00991")</f>
        <v>0.00991</v>
      </c>
    </row>
    <row r="11899" spans="1:7">
      <c r="A11899" s="3"/>
      <c r="B11899" s="3"/>
      <c r="C11899" s="3"/>
      <c r="D11899" s="3"/>
      <c r="E11899" s="3">
        <v>16</v>
      </c>
      <c r="F11899" s="4" t="str">
        <f>HYPERLINK("http://141.218.60.56/~jnz1568/getInfo.php?workbook=10_05.xlsx&amp;sheet=U0&amp;row=11899&amp;col=6&amp;number=4.5&amp;sourceID=14","4.5")</f>
        <v>4.5</v>
      </c>
      <c r="G11899" s="4" t="str">
        <f>HYPERLINK("http://141.218.60.56/~jnz1568/getInfo.php?workbook=10_05.xlsx&amp;sheet=U0&amp;row=11899&amp;col=7&amp;number=0.00955&amp;sourceID=14","0.00955")</f>
        <v>0.00955</v>
      </c>
    </row>
    <row r="11900" spans="1:7">
      <c r="A11900" s="3"/>
      <c r="B11900" s="3"/>
      <c r="C11900" s="3"/>
      <c r="D11900" s="3"/>
      <c r="E11900" s="3">
        <v>17</v>
      </c>
      <c r="F11900" s="4" t="str">
        <f>HYPERLINK("http://141.218.60.56/~jnz1568/getInfo.php?workbook=10_05.xlsx&amp;sheet=U0&amp;row=11900&amp;col=6&amp;number=4.6&amp;sourceID=14","4.6")</f>
        <v>4.6</v>
      </c>
      <c r="G11900" s="4" t="str">
        <f>HYPERLINK("http://141.218.60.56/~jnz1568/getInfo.php?workbook=10_05.xlsx&amp;sheet=U0&amp;row=11900&amp;col=7&amp;number=0.00906&amp;sourceID=14","0.00906")</f>
        <v>0.00906</v>
      </c>
    </row>
    <row r="11901" spans="1:7">
      <c r="A11901" s="3"/>
      <c r="B11901" s="3"/>
      <c r="C11901" s="3"/>
      <c r="D11901" s="3"/>
      <c r="E11901" s="3">
        <v>18</v>
      </c>
      <c r="F11901" s="4" t="str">
        <f>HYPERLINK("http://141.218.60.56/~jnz1568/getInfo.php?workbook=10_05.xlsx&amp;sheet=U0&amp;row=11901&amp;col=6&amp;number=4.7&amp;sourceID=14","4.7")</f>
        <v>4.7</v>
      </c>
      <c r="G11901" s="4" t="str">
        <f>HYPERLINK("http://141.218.60.56/~jnz1568/getInfo.php?workbook=10_05.xlsx&amp;sheet=U0&amp;row=11901&amp;col=7&amp;number=0.00843&amp;sourceID=14","0.00843")</f>
        <v>0.00843</v>
      </c>
    </row>
    <row r="11902" spans="1:7">
      <c r="A11902" s="3"/>
      <c r="B11902" s="3"/>
      <c r="C11902" s="3"/>
      <c r="D11902" s="3"/>
      <c r="E11902" s="3">
        <v>19</v>
      </c>
      <c r="F11902" s="4" t="str">
        <f>HYPERLINK("http://141.218.60.56/~jnz1568/getInfo.php?workbook=10_05.xlsx&amp;sheet=U0&amp;row=11902&amp;col=6&amp;number=4.8&amp;sourceID=14","4.8")</f>
        <v>4.8</v>
      </c>
      <c r="G11902" s="4" t="str">
        <f>HYPERLINK("http://141.218.60.56/~jnz1568/getInfo.php?workbook=10_05.xlsx&amp;sheet=U0&amp;row=11902&amp;col=7&amp;number=0.00771&amp;sourceID=14","0.00771")</f>
        <v>0.00771</v>
      </c>
    </row>
    <row r="11903" spans="1:7">
      <c r="A11903" s="3"/>
      <c r="B11903" s="3"/>
      <c r="C11903" s="3"/>
      <c r="D11903" s="3"/>
      <c r="E11903" s="3">
        <v>20</v>
      </c>
      <c r="F11903" s="4" t="str">
        <f>HYPERLINK("http://141.218.60.56/~jnz1568/getInfo.php?workbook=10_05.xlsx&amp;sheet=U0&amp;row=11903&amp;col=6&amp;number=4.9&amp;sourceID=14","4.9")</f>
        <v>4.9</v>
      </c>
      <c r="G11903" s="4" t="str">
        <f>HYPERLINK("http://141.218.60.56/~jnz1568/getInfo.php?workbook=10_05.xlsx&amp;sheet=U0&amp;row=11903&amp;col=7&amp;number=0.00695&amp;sourceID=14","0.00695")</f>
        <v>0.00695</v>
      </c>
    </row>
    <row r="11904" spans="1:7">
      <c r="A11904" s="3">
        <v>10</v>
      </c>
      <c r="B11904" s="3">
        <v>5</v>
      </c>
      <c r="C11904" s="3">
        <v>4</v>
      </c>
      <c r="D11904" s="3">
        <v>66</v>
      </c>
      <c r="E11904" s="3">
        <v>1</v>
      </c>
      <c r="F11904" s="4" t="str">
        <f>HYPERLINK("http://141.218.60.56/~jnz1568/getInfo.php?workbook=10_05.xlsx&amp;sheet=U0&amp;row=11904&amp;col=6&amp;number=3&amp;sourceID=14","3")</f>
        <v>3</v>
      </c>
      <c r="G11904" s="4" t="str">
        <f>HYPERLINK("http://141.218.60.56/~jnz1568/getInfo.php?workbook=10_05.xlsx&amp;sheet=U0&amp;row=11904&amp;col=7&amp;number=0.0133&amp;sourceID=14","0.0133")</f>
        <v>0.0133</v>
      </c>
    </row>
    <row r="11905" spans="1:7">
      <c r="A11905" s="3"/>
      <c r="B11905" s="3"/>
      <c r="C11905" s="3"/>
      <c r="D11905" s="3"/>
      <c r="E11905" s="3">
        <v>2</v>
      </c>
      <c r="F11905" s="4" t="str">
        <f>HYPERLINK("http://141.218.60.56/~jnz1568/getInfo.php?workbook=10_05.xlsx&amp;sheet=U0&amp;row=11905&amp;col=6&amp;number=3.1&amp;sourceID=14","3.1")</f>
        <v>3.1</v>
      </c>
      <c r="G11905" s="4" t="str">
        <f>HYPERLINK("http://141.218.60.56/~jnz1568/getInfo.php?workbook=10_05.xlsx&amp;sheet=U0&amp;row=11905&amp;col=7&amp;number=0.0129&amp;sourceID=14","0.0129")</f>
        <v>0.0129</v>
      </c>
    </row>
    <row r="11906" spans="1:7">
      <c r="A11906" s="3"/>
      <c r="B11906" s="3"/>
      <c r="C11906" s="3"/>
      <c r="D11906" s="3"/>
      <c r="E11906" s="3">
        <v>3</v>
      </c>
      <c r="F11906" s="4" t="str">
        <f>HYPERLINK("http://141.218.60.56/~jnz1568/getInfo.php?workbook=10_05.xlsx&amp;sheet=U0&amp;row=11906&amp;col=6&amp;number=3.2&amp;sourceID=14","3.2")</f>
        <v>3.2</v>
      </c>
      <c r="G11906" s="4" t="str">
        <f>HYPERLINK("http://141.218.60.56/~jnz1568/getInfo.php?workbook=10_05.xlsx&amp;sheet=U0&amp;row=11906&amp;col=7&amp;number=0.0125&amp;sourceID=14","0.0125")</f>
        <v>0.0125</v>
      </c>
    </row>
    <row r="11907" spans="1:7">
      <c r="A11907" s="3"/>
      <c r="B11907" s="3"/>
      <c r="C11907" s="3"/>
      <c r="D11907" s="3"/>
      <c r="E11907" s="3">
        <v>4</v>
      </c>
      <c r="F11907" s="4" t="str">
        <f>HYPERLINK("http://141.218.60.56/~jnz1568/getInfo.php?workbook=10_05.xlsx&amp;sheet=U0&amp;row=11907&amp;col=6&amp;number=3.3&amp;sourceID=14","3.3")</f>
        <v>3.3</v>
      </c>
      <c r="G11907" s="4" t="str">
        <f>HYPERLINK("http://141.218.60.56/~jnz1568/getInfo.php?workbook=10_05.xlsx&amp;sheet=U0&amp;row=11907&amp;col=7&amp;number=0.012&amp;sourceID=14","0.012")</f>
        <v>0.012</v>
      </c>
    </row>
    <row r="11908" spans="1:7">
      <c r="A11908" s="3"/>
      <c r="B11908" s="3"/>
      <c r="C11908" s="3"/>
      <c r="D11908" s="3"/>
      <c r="E11908" s="3">
        <v>5</v>
      </c>
      <c r="F11908" s="4" t="str">
        <f>HYPERLINK("http://141.218.60.56/~jnz1568/getInfo.php?workbook=10_05.xlsx&amp;sheet=U0&amp;row=11908&amp;col=6&amp;number=3.4&amp;sourceID=14","3.4")</f>
        <v>3.4</v>
      </c>
      <c r="G11908" s="4" t="str">
        <f>HYPERLINK("http://141.218.60.56/~jnz1568/getInfo.php?workbook=10_05.xlsx&amp;sheet=U0&amp;row=11908&amp;col=7&amp;number=0.0114&amp;sourceID=14","0.0114")</f>
        <v>0.0114</v>
      </c>
    </row>
    <row r="11909" spans="1:7">
      <c r="A11909" s="3"/>
      <c r="B11909" s="3"/>
      <c r="C11909" s="3"/>
      <c r="D11909" s="3"/>
      <c r="E11909" s="3">
        <v>6</v>
      </c>
      <c r="F11909" s="4" t="str">
        <f>HYPERLINK("http://141.218.60.56/~jnz1568/getInfo.php?workbook=10_05.xlsx&amp;sheet=U0&amp;row=11909&amp;col=6&amp;number=3.5&amp;sourceID=14","3.5")</f>
        <v>3.5</v>
      </c>
      <c r="G11909" s="4" t="str">
        <f>HYPERLINK("http://141.218.60.56/~jnz1568/getInfo.php?workbook=10_05.xlsx&amp;sheet=U0&amp;row=11909&amp;col=7&amp;number=0.0107&amp;sourceID=14","0.0107")</f>
        <v>0.0107</v>
      </c>
    </row>
    <row r="11910" spans="1:7">
      <c r="A11910" s="3"/>
      <c r="B11910" s="3"/>
      <c r="C11910" s="3"/>
      <c r="D11910" s="3"/>
      <c r="E11910" s="3">
        <v>7</v>
      </c>
      <c r="F11910" s="4" t="str">
        <f>HYPERLINK("http://141.218.60.56/~jnz1568/getInfo.php?workbook=10_05.xlsx&amp;sheet=U0&amp;row=11910&amp;col=6&amp;number=3.6&amp;sourceID=14","3.6")</f>
        <v>3.6</v>
      </c>
      <c r="G11910" s="4" t="str">
        <f>HYPERLINK("http://141.218.60.56/~jnz1568/getInfo.php?workbook=10_05.xlsx&amp;sheet=U0&amp;row=11910&amp;col=7&amp;number=0.00994&amp;sourceID=14","0.00994")</f>
        <v>0.00994</v>
      </c>
    </row>
    <row r="11911" spans="1:7">
      <c r="A11911" s="3"/>
      <c r="B11911" s="3"/>
      <c r="C11911" s="3"/>
      <c r="D11911" s="3"/>
      <c r="E11911" s="3">
        <v>8</v>
      </c>
      <c r="F11911" s="4" t="str">
        <f>HYPERLINK("http://141.218.60.56/~jnz1568/getInfo.php?workbook=10_05.xlsx&amp;sheet=U0&amp;row=11911&amp;col=6&amp;number=3.7&amp;sourceID=14","3.7")</f>
        <v>3.7</v>
      </c>
      <c r="G11911" s="4" t="str">
        <f>HYPERLINK("http://141.218.60.56/~jnz1568/getInfo.php?workbook=10_05.xlsx&amp;sheet=U0&amp;row=11911&amp;col=7&amp;number=0.00914&amp;sourceID=14","0.00914")</f>
        <v>0.00914</v>
      </c>
    </row>
    <row r="11912" spans="1:7">
      <c r="A11912" s="3"/>
      <c r="B11912" s="3"/>
      <c r="C11912" s="3"/>
      <c r="D11912" s="3"/>
      <c r="E11912" s="3">
        <v>9</v>
      </c>
      <c r="F11912" s="4" t="str">
        <f>HYPERLINK("http://141.218.60.56/~jnz1568/getInfo.php?workbook=10_05.xlsx&amp;sheet=U0&amp;row=11912&amp;col=6&amp;number=3.8&amp;sourceID=14","3.8")</f>
        <v>3.8</v>
      </c>
      <c r="G11912" s="4" t="str">
        <f>HYPERLINK("http://141.218.60.56/~jnz1568/getInfo.php?workbook=10_05.xlsx&amp;sheet=U0&amp;row=11912&amp;col=7&amp;number=0.00842&amp;sourceID=14","0.00842")</f>
        <v>0.00842</v>
      </c>
    </row>
    <row r="11913" spans="1:7">
      <c r="A11913" s="3"/>
      <c r="B11913" s="3"/>
      <c r="C11913" s="3"/>
      <c r="D11913" s="3"/>
      <c r="E11913" s="3">
        <v>10</v>
      </c>
      <c r="F11913" s="4" t="str">
        <f>HYPERLINK("http://141.218.60.56/~jnz1568/getInfo.php?workbook=10_05.xlsx&amp;sheet=U0&amp;row=11913&amp;col=6&amp;number=3.9&amp;sourceID=14","3.9")</f>
        <v>3.9</v>
      </c>
      <c r="G11913" s="4" t="str">
        <f>HYPERLINK("http://141.218.60.56/~jnz1568/getInfo.php?workbook=10_05.xlsx&amp;sheet=U0&amp;row=11913&amp;col=7&amp;number=0.0079&amp;sourceID=14","0.0079")</f>
        <v>0.0079</v>
      </c>
    </row>
    <row r="11914" spans="1:7">
      <c r="A11914" s="3"/>
      <c r="B11914" s="3"/>
      <c r="C11914" s="3"/>
      <c r="D11914" s="3"/>
      <c r="E11914" s="3">
        <v>11</v>
      </c>
      <c r="F11914" s="4" t="str">
        <f>HYPERLINK("http://141.218.60.56/~jnz1568/getInfo.php?workbook=10_05.xlsx&amp;sheet=U0&amp;row=11914&amp;col=6&amp;number=4&amp;sourceID=14","4")</f>
        <v>4</v>
      </c>
      <c r="G11914" s="4" t="str">
        <f>HYPERLINK("http://141.218.60.56/~jnz1568/getInfo.php?workbook=10_05.xlsx&amp;sheet=U0&amp;row=11914&amp;col=7&amp;number=0.00762&amp;sourceID=14","0.00762")</f>
        <v>0.00762</v>
      </c>
    </row>
    <row r="11915" spans="1:7">
      <c r="A11915" s="3"/>
      <c r="B11915" s="3"/>
      <c r="C11915" s="3"/>
      <c r="D11915" s="3"/>
      <c r="E11915" s="3">
        <v>12</v>
      </c>
      <c r="F11915" s="4" t="str">
        <f>HYPERLINK("http://141.218.60.56/~jnz1568/getInfo.php?workbook=10_05.xlsx&amp;sheet=U0&amp;row=11915&amp;col=6&amp;number=4.1&amp;sourceID=14","4.1")</f>
        <v>4.1</v>
      </c>
      <c r="G11915" s="4" t="str">
        <f>HYPERLINK("http://141.218.60.56/~jnz1568/getInfo.php?workbook=10_05.xlsx&amp;sheet=U0&amp;row=11915&amp;col=7&amp;number=0.00757&amp;sourceID=14","0.00757")</f>
        <v>0.00757</v>
      </c>
    </row>
    <row r="11916" spans="1:7">
      <c r="A11916" s="3"/>
      <c r="B11916" s="3"/>
      <c r="C11916" s="3"/>
      <c r="D11916" s="3"/>
      <c r="E11916" s="3">
        <v>13</v>
      </c>
      <c r="F11916" s="4" t="str">
        <f>HYPERLINK("http://141.218.60.56/~jnz1568/getInfo.php?workbook=10_05.xlsx&amp;sheet=U0&amp;row=11916&amp;col=6&amp;number=4.2&amp;sourceID=14","4.2")</f>
        <v>4.2</v>
      </c>
      <c r="G11916" s="4" t="str">
        <f>HYPERLINK("http://141.218.60.56/~jnz1568/getInfo.php?workbook=10_05.xlsx&amp;sheet=U0&amp;row=11916&amp;col=7&amp;number=0.00765&amp;sourceID=14","0.00765")</f>
        <v>0.00765</v>
      </c>
    </row>
    <row r="11917" spans="1:7">
      <c r="A11917" s="3"/>
      <c r="B11917" s="3"/>
      <c r="C11917" s="3"/>
      <c r="D11917" s="3"/>
      <c r="E11917" s="3">
        <v>14</v>
      </c>
      <c r="F11917" s="4" t="str">
        <f>HYPERLINK("http://141.218.60.56/~jnz1568/getInfo.php?workbook=10_05.xlsx&amp;sheet=U0&amp;row=11917&amp;col=6&amp;number=4.3&amp;sourceID=14","4.3")</f>
        <v>4.3</v>
      </c>
      <c r="G11917" s="4" t="str">
        <f>HYPERLINK("http://141.218.60.56/~jnz1568/getInfo.php?workbook=10_05.xlsx&amp;sheet=U0&amp;row=11917&amp;col=7&amp;number=0.00777&amp;sourceID=14","0.00777")</f>
        <v>0.00777</v>
      </c>
    </row>
    <row r="11918" spans="1:7">
      <c r="A11918" s="3"/>
      <c r="B11918" s="3"/>
      <c r="C11918" s="3"/>
      <c r="D11918" s="3"/>
      <c r="E11918" s="3">
        <v>15</v>
      </c>
      <c r="F11918" s="4" t="str">
        <f>HYPERLINK("http://141.218.60.56/~jnz1568/getInfo.php?workbook=10_05.xlsx&amp;sheet=U0&amp;row=11918&amp;col=6&amp;number=4.4&amp;sourceID=14","4.4")</f>
        <v>4.4</v>
      </c>
      <c r="G11918" s="4" t="str">
        <f>HYPERLINK("http://141.218.60.56/~jnz1568/getInfo.php?workbook=10_05.xlsx&amp;sheet=U0&amp;row=11918&amp;col=7&amp;number=0.00787&amp;sourceID=14","0.00787")</f>
        <v>0.00787</v>
      </c>
    </row>
    <row r="11919" spans="1:7">
      <c r="A11919" s="3"/>
      <c r="B11919" s="3"/>
      <c r="C11919" s="3"/>
      <c r="D11919" s="3"/>
      <c r="E11919" s="3">
        <v>16</v>
      </c>
      <c r="F11919" s="4" t="str">
        <f>HYPERLINK("http://141.218.60.56/~jnz1568/getInfo.php?workbook=10_05.xlsx&amp;sheet=U0&amp;row=11919&amp;col=6&amp;number=4.5&amp;sourceID=14","4.5")</f>
        <v>4.5</v>
      </c>
      <c r="G11919" s="4" t="str">
        <f>HYPERLINK("http://141.218.60.56/~jnz1568/getInfo.php?workbook=10_05.xlsx&amp;sheet=U0&amp;row=11919&amp;col=7&amp;number=0.00787&amp;sourceID=14","0.00787")</f>
        <v>0.00787</v>
      </c>
    </row>
    <row r="11920" spans="1:7">
      <c r="A11920" s="3"/>
      <c r="B11920" s="3"/>
      <c r="C11920" s="3"/>
      <c r="D11920" s="3"/>
      <c r="E11920" s="3">
        <v>17</v>
      </c>
      <c r="F11920" s="4" t="str">
        <f>HYPERLINK("http://141.218.60.56/~jnz1568/getInfo.php?workbook=10_05.xlsx&amp;sheet=U0&amp;row=11920&amp;col=6&amp;number=4.6&amp;sourceID=14","4.6")</f>
        <v>4.6</v>
      </c>
      <c r="G11920" s="4" t="str">
        <f>HYPERLINK("http://141.218.60.56/~jnz1568/getInfo.php?workbook=10_05.xlsx&amp;sheet=U0&amp;row=11920&amp;col=7&amp;number=0.00773&amp;sourceID=14","0.00773")</f>
        <v>0.00773</v>
      </c>
    </row>
    <row r="11921" spans="1:7">
      <c r="A11921" s="3"/>
      <c r="B11921" s="3"/>
      <c r="C11921" s="3"/>
      <c r="D11921" s="3"/>
      <c r="E11921" s="3">
        <v>18</v>
      </c>
      <c r="F11921" s="4" t="str">
        <f>HYPERLINK("http://141.218.60.56/~jnz1568/getInfo.php?workbook=10_05.xlsx&amp;sheet=U0&amp;row=11921&amp;col=6&amp;number=4.7&amp;sourceID=14","4.7")</f>
        <v>4.7</v>
      </c>
      <c r="G11921" s="4" t="str">
        <f>HYPERLINK("http://141.218.60.56/~jnz1568/getInfo.php?workbook=10_05.xlsx&amp;sheet=U0&amp;row=11921&amp;col=7&amp;number=0.00742&amp;sourceID=14","0.00742")</f>
        <v>0.00742</v>
      </c>
    </row>
    <row r="11922" spans="1:7">
      <c r="A11922" s="3"/>
      <c r="B11922" s="3"/>
      <c r="C11922" s="3"/>
      <c r="D11922" s="3"/>
      <c r="E11922" s="3">
        <v>19</v>
      </c>
      <c r="F11922" s="4" t="str">
        <f>HYPERLINK("http://141.218.60.56/~jnz1568/getInfo.php?workbook=10_05.xlsx&amp;sheet=U0&amp;row=11922&amp;col=6&amp;number=4.8&amp;sourceID=14","4.8")</f>
        <v>4.8</v>
      </c>
      <c r="G11922" s="4" t="str">
        <f>HYPERLINK("http://141.218.60.56/~jnz1568/getInfo.php?workbook=10_05.xlsx&amp;sheet=U0&amp;row=11922&amp;col=7&amp;number=0.00696&amp;sourceID=14","0.00696")</f>
        <v>0.00696</v>
      </c>
    </row>
    <row r="11923" spans="1:7">
      <c r="A11923" s="3"/>
      <c r="B11923" s="3"/>
      <c r="C11923" s="3"/>
      <c r="D11923" s="3"/>
      <c r="E11923" s="3">
        <v>20</v>
      </c>
      <c r="F11923" s="4" t="str">
        <f>HYPERLINK("http://141.218.60.56/~jnz1568/getInfo.php?workbook=10_05.xlsx&amp;sheet=U0&amp;row=11923&amp;col=6&amp;number=4.9&amp;sourceID=14","4.9")</f>
        <v>4.9</v>
      </c>
      <c r="G11923" s="4" t="str">
        <f>HYPERLINK("http://141.218.60.56/~jnz1568/getInfo.php?workbook=10_05.xlsx&amp;sheet=U0&amp;row=11923&amp;col=7&amp;number=0.00639&amp;sourceID=14","0.00639")</f>
        <v>0.00639</v>
      </c>
    </row>
    <row r="11924" spans="1:7">
      <c r="A11924" s="3">
        <v>10</v>
      </c>
      <c r="B11924" s="3">
        <v>5</v>
      </c>
      <c r="C11924" s="3">
        <v>4</v>
      </c>
      <c r="D11924" s="3">
        <v>67</v>
      </c>
      <c r="E11924" s="3">
        <v>1</v>
      </c>
      <c r="F11924" s="4" t="str">
        <f>HYPERLINK("http://141.218.60.56/~jnz1568/getInfo.php?workbook=10_05.xlsx&amp;sheet=U0&amp;row=11924&amp;col=6&amp;number=3&amp;sourceID=14","3")</f>
        <v>3</v>
      </c>
      <c r="G11924" s="4" t="str">
        <f>HYPERLINK("http://141.218.60.56/~jnz1568/getInfo.php?workbook=10_05.xlsx&amp;sheet=U0&amp;row=11924&amp;col=7&amp;number=0.0181&amp;sourceID=14","0.0181")</f>
        <v>0.0181</v>
      </c>
    </row>
    <row r="11925" spans="1:7">
      <c r="A11925" s="3"/>
      <c r="B11925" s="3"/>
      <c r="C11925" s="3"/>
      <c r="D11925" s="3"/>
      <c r="E11925" s="3">
        <v>2</v>
      </c>
      <c r="F11925" s="4" t="str">
        <f>HYPERLINK("http://141.218.60.56/~jnz1568/getInfo.php?workbook=10_05.xlsx&amp;sheet=U0&amp;row=11925&amp;col=6&amp;number=3.1&amp;sourceID=14","3.1")</f>
        <v>3.1</v>
      </c>
      <c r="G11925" s="4" t="str">
        <f>HYPERLINK("http://141.218.60.56/~jnz1568/getInfo.php?workbook=10_05.xlsx&amp;sheet=U0&amp;row=11925&amp;col=7&amp;number=0.0176&amp;sourceID=14","0.0176")</f>
        <v>0.0176</v>
      </c>
    </row>
    <row r="11926" spans="1:7">
      <c r="A11926" s="3"/>
      <c r="B11926" s="3"/>
      <c r="C11926" s="3"/>
      <c r="D11926" s="3"/>
      <c r="E11926" s="3">
        <v>3</v>
      </c>
      <c r="F11926" s="4" t="str">
        <f>HYPERLINK("http://141.218.60.56/~jnz1568/getInfo.php?workbook=10_05.xlsx&amp;sheet=U0&amp;row=11926&amp;col=6&amp;number=3.2&amp;sourceID=14","3.2")</f>
        <v>3.2</v>
      </c>
      <c r="G11926" s="4" t="str">
        <f>HYPERLINK("http://141.218.60.56/~jnz1568/getInfo.php?workbook=10_05.xlsx&amp;sheet=U0&amp;row=11926&amp;col=7&amp;number=0.017&amp;sourceID=14","0.017")</f>
        <v>0.017</v>
      </c>
    </row>
    <row r="11927" spans="1:7">
      <c r="A11927" s="3"/>
      <c r="B11927" s="3"/>
      <c r="C11927" s="3"/>
      <c r="D11927" s="3"/>
      <c r="E11927" s="3">
        <v>4</v>
      </c>
      <c r="F11927" s="4" t="str">
        <f>HYPERLINK("http://141.218.60.56/~jnz1568/getInfo.php?workbook=10_05.xlsx&amp;sheet=U0&amp;row=11927&amp;col=6&amp;number=3.3&amp;sourceID=14","3.3")</f>
        <v>3.3</v>
      </c>
      <c r="G11927" s="4" t="str">
        <f>HYPERLINK("http://141.218.60.56/~jnz1568/getInfo.php?workbook=10_05.xlsx&amp;sheet=U0&amp;row=11927&amp;col=7&amp;number=0.0163&amp;sourceID=14","0.0163")</f>
        <v>0.0163</v>
      </c>
    </row>
    <row r="11928" spans="1:7">
      <c r="A11928" s="3"/>
      <c r="B11928" s="3"/>
      <c r="C11928" s="3"/>
      <c r="D11928" s="3"/>
      <c r="E11928" s="3">
        <v>5</v>
      </c>
      <c r="F11928" s="4" t="str">
        <f>HYPERLINK("http://141.218.60.56/~jnz1568/getInfo.php?workbook=10_05.xlsx&amp;sheet=U0&amp;row=11928&amp;col=6&amp;number=3.4&amp;sourceID=14","3.4")</f>
        <v>3.4</v>
      </c>
      <c r="G11928" s="4" t="str">
        <f>HYPERLINK("http://141.218.60.56/~jnz1568/getInfo.php?workbook=10_05.xlsx&amp;sheet=U0&amp;row=11928&amp;col=7&amp;number=0.0154&amp;sourceID=14","0.0154")</f>
        <v>0.0154</v>
      </c>
    </row>
    <row r="11929" spans="1:7">
      <c r="A11929" s="3"/>
      <c r="B11929" s="3"/>
      <c r="C11929" s="3"/>
      <c r="D11929" s="3"/>
      <c r="E11929" s="3">
        <v>6</v>
      </c>
      <c r="F11929" s="4" t="str">
        <f>HYPERLINK("http://141.218.60.56/~jnz1568/getInfo.php?workbook=10_05.xlsx&amp;sheet=U0&amp;row=11929&amp;col=6&amp;number=3.5&amp;sourceID=14","3.5")</f>
        <v>3.5</v>
      </c>
      <c r="G11929" s="4" t="str">
        <f>HYPERLINK("http://141.218.60.56/~jnz1568/getInfo.php?workbook=10_05.xlsx&amp;sheet=U0&amp;row=11929&amp;col=7&amp;number=0.0145&amp;sourceID=14","0.0145")</f>
        <v>0.0145</v>
      </c>
    </row>
    <row r="11930" spans="1:7">
      <c r="A11930" s="3"/>
      <c r="B11930" s="3"/>
      <c r="C11930" s="3"/>
      <c r="D11930" s="3"/>
      <c r="E11930" s="3">
        <v>7</v>
      </c>
      <c r="F11930" s="4" t="str">
        <f>HYPERLINK("http://141.218.60.56/~jnz1568/getInfo.php?workbook=10_05.xlsx&amp;sheet=U0&amp;row=11930&amp;col=6&amp;number=3.6&amp;sourceID=14","3.6")</f>
        <v>3.6</v>
      </c>
      <c r="G11930" s="4" t="str">
        <f>HYPERLINK("http://141.218.60.56/~jnz1568/getInfo.php?workbook=10_05.xlsx&amp;sheet=U0&amp;row=11930&amp;col=7&amp;number=0.0134&amp;sourceID=14","0.0134")</f>
        <v>0.0134</v>
      </c>
    </row>
    <row r="11931" spans="1:7">
      <c r="A11931" s="3"/>
      <c r="B11931" s="3"/>
      <c r="C11931" s="3"/>
      <c r="D11931" s="3"/>
      <c r="E11931" s="3">
        <v>8</v>
      </c>
      <c r="F11931" s="4" t="str">
        <f>HYPERLINK("http://141.218.60.56/~jnz1568/getInfo.php?workbook=10_05.xlsx&amp;sheet=U0&amp;row=11931&amp;col=6&amp;number=3.7&amp;sourceID=14","3.7")</f>
        <v>3.7</v>
      </c>
      <c r="G11931" s="4" t="str">
        <f>HYPERLINK("http://141.218.60.56/~jnz1568/getInfo.php?workbook=10_05.xlsx&amp;sheet=U0&amp;row=11931&amp;col=7&amp;number=0.0122&amp;sourceID=14","0.0122")</f>
        <v>0.0122</v>
      </c>
    </row>
    <row r="11932" spans="1:7">
      <c r="A11932" s="3"/>
      <c r="B11932" s="3"/>
      <c r="C11932" s="3"/>
      <c r="D11932" s="3"/>
      <c r="E11932" s="3">
        <v>9</v>
      </c>
      <c r="F11932" s="4" t="str">
        <f>HYPERLINK("http://141.218.60.56/~jnz1568/getInfo.php?workbook=10_05.xlsx&amp;sheet=U0&amp;row=11932&amp;col=6&amp;number=3.8&amp;sourceID=14","3.8")</f>
        <v>3.8</v>
      </c>
      <c r="G11932" s="4" t="str">
        <f>HYPERLINK("http://141.218.60.56/~jnz1568/getInfo.php?workbook=10_05.xlsx&amp;sheet=U0&amp;row=11932&amp;col=7&amp;number=0.0112&amp;sourceID=14","0.0112")</f>
        <v>0.0112</v>
      </c>
    </row>
    <row r="11933" spans="1:7">
      <c r="A11933" s="3"/>
      <c r="B11933" s="3"/>
      <c r="C11933" s="3"/>
      <c r="D11933" s="3"/>
      <c r="E11933" s="3">
        <v>10</v>
      </c>
      <c r="F11933" s="4" t="str">
        <f>HYPERLINK("http://141.218.60.56/~jnz1568/getInfo.php?workbook=10_05.xlsx&amp;sheet=U0&amp;row=11933&amp;col=6&amp;number=3.9&amp;sourceID=14","3.9")</f>
        <v>3.9</v>
      </c>
      <c r="G11933" s="4" t="str">
        <f>HYPERLINK("http://141.218.60.56/~jnz1568/getInfo.php?workbook=10_05.xlsx&amp;sheet=U0&amp;row=11933&amp;col=7&amp;number=0.0103&amp;sourceID=14","0.0103")</f>
        <v>0.0103</v>
      </c>
    </row>
    <row r="11934" spans="1:7">
      <c r="A11934" s="3"/>
      <c r="B11934" s="3"/>
      <c r="C11934" s="3"/>
      <c r="D11934" s="3"/>
      <c r="E11934" s="3">
        <v>11</v>
      </c>
      <c r="F11934" s="4" t="str">
        <f>HYPERLINK("http://141.218.60.56/~jnz1568/getInfo.php?workbook=10_05.xlsx&amp;sheet=U0&amp;row=11934&amp;col=6&amp;number=4&amp;sourceID=14","4")</f>
        <v>4</v>
      </c>
      <c r="G11934" s="4" t="str">
        <f>HYPERLINK("http://141.218.60.56/~jnz1568/getInfo.php?workbook=10_05.xlsx&amp;sheet=U0&amp;row=11934&amp;col=7&amp;number=0.00982&amp;sourceID=14","0.00982")</f>
        <v>0.00982</v>
      </c>
    </row>
    <row r="11935" spans="1:7">
      <c r="A11935" s="3"/>
      <c r="B11935" s="3"/>
      <c r="C11935" s="3"/>
      <c r="D11935" s="3"/>
      <c r="E11935" s="3">
        <v>12</v>
      </c>
      <c r="F11935" s="4" t="str">
        <f>HYPERLINK("http://141.218.60.56/~jnz1568/getInfo.php?workbook=10_05.xlsx&amp;sheet=U0&amp;row=11935&amp;col=6&amp;number=4.1&amp;sourceID=14","4.1")</f>
        <v>4.1</v>
      </c>
      <c r="G11935" s="4" t="str">
        <f>HYPERLINK("http://141.218.60.56/~jnz1568/getInfo.php?workbook=10_05.xlsx&amp;sheet=U0&amp;row=11935&amp;col=7&amp;number=0.00959&amp;sourceID=14","0.00959")</f>
        <v>0.00959</v>
      </c>
    </row>
    <row r="11936" spans="1:7">
      <c r="A11936" s="3"/>
      <c r="B11936" s="3"/>
      <c r="C11936" s="3"/>
      <c r="D11936" s="3"/>
      <c r="E11936" s="3">
        <v>13</v>
      </c>
      <c r="F11936" s="4" t="str">
        <f>HYPERLINK("http://141.218.60.56/~jnz1568/getInfo.php?workbook=10_05.xlsx&amp;sheet=U0&amp;row=11936&amp;col=6&amp;number=4.2&amp;sourceID=14","4.2")</f>
        <v>4.2</v>
      </c>
      <c r="G11936" s="4" t="str">
        <f>HYPERLINK("http://141.218.60.56/~jnz1568/getInfo.php?workbook=10_05.xlsx&amp;sheet=U0&amp;row=11936&amp;col=7&amp;number=0.00951&amp;sourceID=14","0.00951")</f>
        <v>0.00951</v>
      </c>
    </row>
    <row r="11937" spans="1:7">
      <c r="A11937" s="3"/>
      <c r="B11937" s="3"/>
      <c r="C11937" s="3"/>
      <c r="D11937" s="3"/>
      <c r="E11937" s="3">
        <v>14</v>
      </c>
      <c r="F11937" s="4" t="str">
        <f>HYPERLINK("http://141.218.60.56/~jnz1568/getInfo.php?workbook=10_05.xlsx&amp;sheet=U0&amp;row=11937&amp;col=6&amp;number=4.3&amp;sourceID=14","4.3")</f>
        <v>4.3</v>
      </c>
      <c r="G11937" s="4" t="str">
        <f>HYPERLINK("http://141.218.60.56/~jnz1568/getInfo.php?workbook=10_05.xlsx&amp;sheet=U0&amp;row=11937&amp;col=7&amp;number=0.00948&amp;sourceID=14","0.00948")</f>
        <v>0.00948</v>
      </c>
    </row>
    <row r="11938" spans="1:7">
      <c r="A11938" s="3"/>
      <c r="B11938" s="3"/>
      <c r="C11938" s="3"/>
      <c r="D11938" s="3"/>
      <c r="E11938" s="3">
        <v>15</v>
      </c>
      <c r="F11938" s="4" t="str">
        <f>HYPERLINK("http://141.218.60.56/~jnz1568/getInfo.php?workbook=10_05.xlsx&amp;sheet=U0&amp;row=11938&amp;col=6&amp;number=4.4&amp;sourceID=14","4.4")</f>
        <v>4.4</v>
      </c>
      <c r="G11938" s="4" t="str">
        <f>HYPERLINK("http://141.218.60.56/~jnz1568/getInfo.php?workbook=10_05.xlsx&amp;sheet=U0&amp;row=11938&amp;col=7&amp;number=0.00945&amp;sourceID=14","0.00945")</f>
        <v>0.00945</v>
      </c>
    </row>
    <row r="11939" spans="1:7">
      <c r="A11939" s="3"/>
      <c r="B11939" s="3"/>
      <c r="C11939" s="3"/>
      <c r="D11939" s="3"/>
      <c r="E11939" s="3">
        <v>16</v>
      </c>
      <c r="F11939" s="4" t="str">
        <f>HYPERLINK("http://141.218.60.56/~jnz1568/getInfo.php?workbook=10_05.xlsx&amp;sheet=U0&amp;row=11939&amp;col=6&amp;number=4.5&amp;sourceID=14","4.5")</f>
        <v>4.5</v>
      </c>
      <c r="G11939" s="4" t="str">
        <f>HYPERLINK("http://141.218.60.56/~jnz1568/getInfo.php?workbook=10_05.xlsx&amp;sheet=U0&amp;row=11939&amp;col=7&amp;number=0.00933&amp;sourceID=14","0.00933")</f>
        <v>0.00933</v>
      </c>
    </row>
    <row r="11940" spans="1:7">
      <c r="A11940" s="3"/>
      <c r="B11940" s="3"/>
      <c r="C11940" s="3"/>
      <c r="D11940" s="3"/>
      <c r="E11940" s="3">
        <v>17</v>
      </c>
      <c r="F11940" s="4" t="str">
        <f>HYPERLINK("http://141.218.60.56/~jnz1568/getInfo.php?workbook=10_05.xlsx&amp;sheet=U0&amp;row=11940&amp;col=6&amp;number=4.6&amp;sourceID=14","4.6")</f>
        <v>4.6</v>
      </c>
      <c r="G11940" s="4" t="str">
        <f>HYPERLINK("http://141.218.60.56/~jnz1568/getInfo.php?workbook=10_05.xlsx&amp;sheet=U0&amp;row=11940&amp;col=7&amp;number=0.00908&amp;sourceID=14","0.00908")</f>
        <v>0.00908</v>
      </c>
    </row>
    <row r="11941" spans="1:7">
      <c r="A11941" s="3"/>
      <c r="B11941" s="3"/>
      <c r="C11941" s="3"/>
      <c r="D11941" s="3"/>
      <c r="E11941" s="3">
        <v>18</v>
      </c>
      <c r="F11941" s="4" t="str">
        <f>HYPERLINK("http://141.218.60.56/~jnz1568/getInfo.php?workbook=10_05.xlsx&amp;sheet=U0&amp;row=11941&amp;col=6&amp;number=4.7&amp;sourceID=14","4.7")</f>
        <v>4.7</v>
      </c>
      <c r="G11941" s="4" t="str">
        <f>HYPERLINK("http://141.218.60.56/~jnz1568/getInfo.php?workbook=10_05.xlsx&amp;sheet=U0&amp;row=11941&amp;col=7&amp;number=0.00867&amp;sourceID=14","0.00867")</f>
        <v>0.00867</v>
      </c>
    </row>
    <row r="11942" spans="1:7">
      <c r="A11942" s="3"/>
      <c r="B11942" s="3"/>
      <c r="C11942" s="3"/>
      <c r="D11942" s="3"/>
      <c r="E11942" s="3">
        <v>19</v>
      </c>
      <c r="F11942" s="4" t="str">
        <f>HYPERLINK("http://141.218.60.56/~jnz1568/getInfo.php?workbook=10_05.xlsx&amp;sheet=U0&amp;row=11942&amp;col=6&amp;number=4.8&amp;sourceID=14","4.8")</f>
        <v>4.8</v>
      </c>
      <c r="G11942" s="4" t="str">
        <f>HYPERLINK("http://141.218.60.56/~jnz1568/getInfo.php?workbook=10_05.xlsx&amp;sheet=U0&amp;row=11942&amp;col=7&amp;number=0.0081&amp;sourceID=14","0.0081")</f>
        <v>0.0081</v>
      </c>
    </row>
    <row r="11943" spans="1:7">
      <c r="A11943" s="3"/>
      <c r="B11943" s="3"/>
      <c r="C11943" s="3"/>
      <c r="D11943" s="3"/>
      <c r="E11943" s="3">
        <v>20</v>
      </c>
      <c r="F11943" s="4" t="str">
        <f>HYPERLINK("http://141.218.60.56/~jnz1568/getInfo.php?workbook=10_05.xlsx&amp;sheet=U0&amp;row=11943&amp;col=6&amp;number=4.9&amp;sourceID=14","4.9")</f>
        <v>4.9</v>
      </c>
      <c r="G11943" s="4" t="str">
        <f>HYPERLINK("http://141.218.60.56/~jnz1568/getInfo.php?workbook=10_05.xlsx&amp;sheet=U0&amp;row=11943&amp;col=7&amp;number=0.00742&amp;sourceID=14","0.00742")</f>
        <v>0.00742</v>
      </c>
    </row>
    <row r="11944" spans="1:7">
      <c r="A11944" s="3">
        <v>10</v>
      </c>
      <c r="B11944" s="3">
        <v>5</v>
      </c>
      <c r="C11944" s="3">
        <v>4</v>
      </c>
      <c r="D11944" s="3">
        <v>68</v>
      </c>
      <c r="E11944" s="3">
        <v>1</v>
      </c>
      <c r="F11944" s="4" t="str">
        <f>HYPERLINK("http://141.218.60.56/~jnz1568/getInfo.php?workbook=10_05.xlsx&amp;sheet=U0&amp;row=11944&amp;col=6&amp;number=3&amp;sourceID=14","3")</f>
        <v>3</v>
      </c>
      <c r="G11944" s="4" t="str">
        <f>HYPERLINK("http://141.218.60.56/~jnz1568/getInfo.php?workbook=10_05.xlsx&amp;sheet=U0&amp;row=11944&amp;col=7&amp;number=0.0222&amp;sourceID=14","0.0222")</f>
        <v>0.0222</v>
      </c>
    </row>
    <row r="11945" spans="1:7">
      <c r="A11945" s="3"/>
      <c r="B11945" s="3"/>
      <c r="C11945" s="3"/>
      <c r="D11945" s="3"/>
      <c r="E11945" s="3">
        <v>2</v>
      </c>
      <c r="F11945" s="4" t="str">
        <f>HYPERLINK("http://141.218.60.56/~jnz1568/getInfo.php?workbook=10_05.xlsx&amp;sheet=U0&amp;row=11945&amp;col=6&amp;number=3.1&amp;sourceID=14","3.1")</f>
        <v>3.1</v>
      </c>
      <c r="G11945" s="4" t="str">
        <f>HYPERLINK("http://141.218.60.56/~jnz1568/getInfo.php?workbook=10_05.xlsx&amp;sheet=U0&amp;row=11945&amp;col=7&amp;number=0.0219&amp;sourceID=14","0.0219")</f>
        <v>0.0219</v>
      </c>
    </row>
    <row r="11946" spans="1:7">
      <c r="A11946" s="3"/>
      <c r="B11946" s="3"/>
      <c r="C11946" s="3"/>
      <c r="D11946" s="3"/>
      <c r="E11946" s="3">
        <v>3</v>
      </c>
      <c r="F11946" s="4" t="str">
        <f>HYPERLINK("http://141.218.60.56/~jnz1568/getInfo.php?workbook=10_05.xlsx&amp;sheet=U0&amp;row=11946&amp;col=6&amp;number=3.2&amp;sourceID=14","3.2")</f>
        <v>3.2</v>
      </c>
      <c r="G11946" s="4" t="str">
        <f>HYPERLINK("http://141.218.60.56/~jnz1568/getInfo.php?workbook=10_05.xlsx&amp;sheet=U0&amp;row=11946&amp;col=7&amp;number=0.0214&amp;sourceID=14","0.0214")</f>
        <v>0.0214</v>
      </c>
    </row>
    <row r="11947" spans="1:7">
      <c r="A11947" s="3"/>
      <c r="B11947" s="3"/>
      <c r="C11947" s="3"/>
      <c r="D11947" s="3"/>
      <c r="E11947" s="3">
        <v>4</v>
      </c>
      <c r="F11947" s="4" t="str">
        <f>HYPERLINK("http://141.218.60.56/~jnz1568/getInfo.php?workbook=10_05.xlsx&amp;sheet=U0&amp;row=11947&amp;col=6&amp;number=3.3&amp;sourceID=14","3.3")</f>
        <v>3.3</v>
      </c>
      <c r="G11947" s="4" t="str">
        <f>HYPERLINK("http://141.218.60.56/~jnz1568/getInfo.php?workbook=10_05.xlsx&amp;sheet=U0&amp;row=11947&amp;col=7&amp;number=0.0208&amp;sourceID=14","0.0208")</f>
        <v>0.0208</v>
      </c>
    </row>
    <row r="11948" spans="1:7">
      <c r="A11948" s="3"/>
      <c r="B11948" s="3"/>
      <c r="C11948" s="3"/>
      <c r="D11948" s="3"/>
      <c r="E11948" s="3">
        <v>5</v>
      </c>
      <c r="F11948" s="4" t="str">
        <f>HYPERLINK("http://141.218.60.56/~jnz1568/getInfo.php?workbook=10_05.xlsx&amp;sheet=U0&amp;row=11948&amp;col=6&amp;number=3.4&amp;sourceID=14","3.4")</f>
        <v>3.4</v>
      </c>
      <c r="G11948" s="4" t="str">
        <f>HYPERLINK("http://141.218.60.56/~jnz1568/getInfo.php?workbook=10_05.xlsx&amp;sheet=U0&amp;row=11948&amp;col=7&amp;number=0.0201&amp;sourceID=14","0.0201")</f>
        <v>0.0201</v>
      </c>
    </row>
    <row r="11949" spans="1:7">
      <c r="A11949" s="3"/>
      <c r="B11949" s="3"/>
      <c r="C11949" s="3"/>
      <c r="D11949" s="3"/>
      <c r="E11949" s="3">
        <v>6</v>
      </c>
      <c r="F11949" s="4" t="str">
        <f>HYPERLINK("http://141.218.60.56/~jnz1568/getInfo.php?workbook=10_05.xlsx&amp;sheet=U0&amp;row=11949&amp;col=6&amp;number=3.5&amp;sourceID=14","3.5")</f>
        <v>3.5</v>
      </c>
      <c r="G11949" s="4" t="str">
        <f>HYPERLINK("http://141.218.60.56/~jnz1568/getInfo.php?workbook=10_05.xlsx&amp;sheet=U0&amp;row=11949&amp;col=7&amp;number=0.0193&amp;sourceID=14","0.0193")</f>
        <v>0.0193</v>
      </c>
    </row>
    <row r="11950" spans="1:7">
      <c r="A11950" s="3"/>
      <c r="B11950" s="3"/>
      <c r="C11950" s="3"/>
      <c r="D11950" s="3"/>
      <c r="E11950" s="3">
        <v>7</v>
      </c>
      <c r="F11950" s="4" t="str">
        <f>HYPERLINK("http://141.218.60.56/~jnz1568/getInfo.php?workbook=10_05.xlsx&amp;sheet=U0&amp;row=11950&amp;col=6&amp;number=3.6&amp;sourceID=14","3.6")</f>
        <v>3.6</v>
      </c>
      <c r="G11950" s="4" t="str">
        <f>HYPERLINK("http://141.218.60.56/~jnz1568/getInfo.php?workbook=10_05.xlsx&amp;sheet=U0&amp;row=11950&amp;col=7&amp;number=0.0183&amp;sourceID=14","0.0183")</f>
        <v>0.0183</v>
      </c>
    </row>
    <row r="11951" spans="1:7">
      <c r="A11951" s="3"/>
      <c r="B11951" s="3"/>
      <c r="C11951" s="3"/>
      <c r="D11951" s="3"/>
      <c r="E11951" s="3">
        <v>8</v>
      </c>
      <c r="F11951" s="4" t="str">
        <f>HYPERLINK("http://141.218.60.56/~jnz1568/getInfo.php?workbook=10_05.xlsx&amp;sheet=U0&amp;row=11951&amp;col=6&amp;number=3.7&amp;sourceID=14","3.7")</f>
        <v>3.7</v>
      </c>
      <c r="G11951" s="4" t="str">
        <f>HYPERLINK("http://141.218.60.56/~jnz1568/getInfo.php?workbook=10_05.xlsx&amp;sheet=U0&amp;row=11951&amp;col=7&amp;number=0.0172&amp;sourceID=14","0.0172")</f>
        <v>0.0172</v>
      </c>
    </row>
    <row r="11952" spans="1:7">
      <c r="A11952" s="3"/>
      <c r="B11952" s="3"/>
      <c r="C11952" s="3"/>
      <c r="D11952" s="3"/>
      <c r="E11952" s="3">
        <v>9</v>
      </c>
      <c r="F11952" s="4" t="str">
        <f>HYPERLINK("http://141.218.60.56/~jnz1568/getInfo.php?workbook=10_05.xlsx&amp;sheet=U0&amp;row=11952&amp;col=6&amp;number=3.8&amp;sourceID=14","3.8")</f>
        <v>3.8</v>
      </c>
      <c r="G11952" s="4" t="str">
        <f>HYPERLINK("http://141.218.60.56/~jnz1568/getInfo.php?workbook=10_05.xlsx&amp;sheet=U0&amp;row=11952&amp;col=7&amp;number=0.0159&amp;sourceID=14","0.0159")</f>
        <v>0.0159</v>
      </c>
    </row>
    <row r="11953" spans="1:7">
      <c r="A11953" s="3"/>
      <c r="B11953" s="3"/>
      <c r="C11953" s="3"/>
      <c r="D11953" s="3"/>
      <c r="E11953" s="3">
        <v>10</v>
      </c>
      <c r="F11953" s="4" t="str">
        <f>HYPERLINK("http://141.218.60.56/~jnz1568/getInfo.php?workbook=10_05.xlsx&amp;sheet=U0&amp;row=11953&amp;col=6&amp;number=3.9&amp;sourceID=14","3.9")</f>
        <v>3.9</v>
      </c>
      <c r="G11953" s="4" t="str">
        <f>HYPERLINK("http://141.218.60.56/~jnz1568/getInfo.php?workbook=10_05.xlsx&amp;sheet=U0&amp;row=11953&amp;col=7&amp;number=0.0147&amp;sourceID=14","0.0147")</f>
        <v>0.0147</v>
      </c>
    </row>
    <row r="11954" spans="1:7">
      <c r="A11954" s="3"/>
      <c r="B11954" s="3"/>
      <c r="C11954" s="3"/>
      <c r="D11954" s="3"/>
      <c r="E11954" s="3">
        <v>11</v>
      </c>
      <c r="F11954" s="4" t="str">
        <f>HYPERLINK("http://141.218.60.56/~jnz1568/getInfo.php?workbook=10_05.xlsx&amp;sheet=U0&amp;row=11954&amp;col=6&amp;number=4&amp;sourceID=14","4")</f>
        <v>4</v>
      </c>
      <c r="G11954" s="4" t="str">
        <f>HYPERLINK("http://141.218.60.56/~jnz1568/getInfo.php?workbook=10_05.xlsx&amp;sheet=U0&amp;row=11954&amp;col=7&amp;number=0.0136&amp;sourceID=14","0.0136")</f>
        <v>0.0136</v>
      </c>
    </row>
    <row r="11955" spans="1:7">
      <c r="A11955" s="3"/>
      <c r="B11955" s="3"/>
      <c r="C11955" s="3"/>
      <c r="D11955" s="3"/>
      <c r="E11955" s="3">
        <v>12</v>
      </c>
      <c r="F11955" s="4" t="str">
        <f>HYPERLINK("http://141.218.60.56/~jnz1568/getInfo.php?workbook=10_05.xlsx&amp;sheet=U0&amp;row=11955&amp;col=6&amp;number=4.1&amp;sourceID=14","4.1")</f>
        <v>4.1</v>
      </c>
      <c r="G11955" s="4" t="str">
        <f>HYPERLINK("http://141.218.60.56/~jnz1568/getInfo.php?workbook=10_05.xlsx&amp;sheet=U0&amp;row=11955&amp;col=7&amp;number=0.0126&amp;sourceID=14","0.0126")</f>
        <v>0.0126</v>
      </c>
    </row>
    <row r="11956" spans="1:7">
      <c r="A11956" s="3"/>
      <c r="B11956" s="3"/>
      <c r="C11956" s="3"/>
      <c r="D11956" s="3"/>
      <c r="E11956" s="3">
        <v>13</v>
      </c>
      <c r="F11956" s="4" t="str">
        <f>HYPERLINK("http://141.218.60.56/~jnz1568/getInfo.php?workbook=10_05.xlsx&amp;sheet=U0&amp;row=11956&amp;col=6&amp;number=4.2&amp;sourceID=14","4.2")</f>
        <v>4.2</v>
      </c>
      <c r="G11956" s="4" t="str">
        <f>HYPERLINK("http://141.218.60.56/~jnz1568/getInfo.php?workbook=10_05.xlsx&amp;sheet=U0&amp;row=11956&amp;col=7&amp;number=0.0119&amp;sourceID=14","0.0119")</f>
        <v>0.0119</v>
      </c>
    </row>
    <row r="11957" spans="1:7">
      <c r="A11957" s="3"/>
      <c r="B11957" s="3"/>
      <c r="C11957" s="3"/>
      <c r="D11957" s="3"/>
      <c r="E11957" s="3">
        <v>14</v>
      </c>
      <c r="F11957" s="4" t="str">
        <f>HYPERLINK("http://141.218.60.56/~jnz1568/getInfo.php?workbook=10_05.xlsx&amp;sheet=U0&amp;row=11957&amp;col=6&amp;number=4.3&amp;sourceID=14","4.3")</f>
        <v>4.3</v>
      </c>
      <c r="G11957" s="4" t="str">
        <f>HYPERLINK("http://141.218.60.56/~jnz1568/getInfo.php?workbook=10_05.xlsx&amp;sheet=U0&amp;row=11957&amp;col=7&amp;number=0.0112&amp;sourceID=14","0.0112")</f>
        <v>0.0112</v>
      </c>
    </row>
    <row r="11958" spans="1:7">
      <c r="A11958" s="3"/>
      <c r="B11958" s="3"/>
      <c r="C11958" s="3"/>
      <c r="D11958" s="3"/>
      <c r="E11958" s="3">
        <v>15</v>
      </c>
      <c r="F11958" s="4" t="str">
        <f>HYPERLINK("http://141.218.60.56/~jnz1568/getInfo.php?workbook=10_05.xlsx&amp;sheet=U0&amp;row=11958&amp;col=6&amp;number=4.4&amp;sourceID=14","4.4")</f>
        <v>4.4</v>
      </c>
      <c r="G11958" s="4" t="str">
        <f>HYPERLINK("http://141.218.60.56/~jnz1568/getInfo.php?workbook=10_05.xlsx&amp;sheet=U0&amp;row=11958&amp;col=7&amp;number=0.0105&amp;sourceID=14","0.0105")</f>
        <v>0.0105</v>
      </c>
    </row>
    <row r="11959" spans="1:7">
      <c r="A11959" s="3"/>
      <c r="B11959" s="3"/>
      <c r="C11959" s="3"/>
      <c r="D11959" s="3"/>
      <c r="E11959" s="3">
        <v>16</v>
      </c>
      <c r="F11959" s="4" t="str">
        <f>HYPERLINK("http://141.218.60.56/~jnz1568/getInfo.php?workbook=10_05.xlsx&amp;sheet=U0&amp;row=11959&amp;col=6&amp;number=4.5&amp;sourceID=14","4.5")</f>
        <v>4.5</v>
      </c>
      <c r="G11959" s="4" t="str">
        <f>HYPERLINK("http://141.218.60.56/~jnz1568/getInfo.php?workbook=10_05.xlsx&amp;sheet=U0&amp;row=11959&amp;col=7&amp;number=0.00981&amp;sourceID=14","0.00981")</f>
        <v>0.00981</v>
      </c>
    </row>
    <row r="11960" spans="1:7">
      <c r="A11960" s="3"/>
      <c r="B11960" s="3"/>
      <c r="C11960" s="3"/>
      <c r="D11960" s="3"/>
      <c r="E11960" s="3">
        <v>17</v>
      </c>
      <c r="F11960" s="4" t="str">
        <f>HYPERLINK("http://141.218.60.56/~jnz1568/getInfo.php?workbook=10_05.xlsx&amp;sheet=U0&amp;row=11960&amp;col=6&amp;number=4.6&amp;sourceID=14","4.6")</f>
        <v>4.6</v>
      </c>
      <c r="G11960" s="4" t="str">
        <f>HYPERLINK("http://141.218.60.56/~jnz1568/getInfo.php?workbook=10_05.xlsx&amp;sheet=U0&amp;row=11960&amp;col=7&amp;number=0.00914&amp;sourceID=14","0.00914")</f>
        <v>0.00914</v>
      </c>
    </row>
    <row r="11961" spans="1:7">
      <c r="A11961" s="3"/>
      <c r="B11961" s="3"/>
      <c r="C11961" s="3"/>
      <c r="D11961" s="3"/>
      <c r="E11961" s="3">
        <v>18</v>
      </c>
      <c r="F11961" s="4" t="str">
        <f>HYPERLINK("http://141.218.60.56/~jnz1568/getInfo.php?workbook=10_05.xlsx&amp;sheet=U0&amp;row=11961&amp;col=6&amp;number=4.7&amp;sourceID=14","4.7")</f>
        <v>4.7</v>
      </c>
      <c r="G11961" s="4" t="str">
        <f>HYPERLINK("http://141.218.60.56/~jnz1568/getInfo.php?workbook=10_05.xlsx&amp;sheet=U0&amp;row=11961&amp;col=7&amp;number=0.00844&amp;sourceID=14","0.00844")</f>
        <v>0.00844</v>
      </c>
    </row>
    <row r="11962" spans="1:7">
      <c r="A11962" s="3"/>
      <c r="B11962" s="3"/>
      <c r="C11962" s="3"/>
      <c r="D11962" s="3"/>
      <c r="E11962" s="3">
        <v>19</v>
      </c>
      <c r="F11962" s="4" t="str">
        <f>HYPERLINK("http://141.218.60.56/~jnz1568/getInfo.php?workbook=10_05.xlsx&amp;sheet=U0&amp;row=11962&amp;col=6&amp;number=4.8&amp;sourceID=14","4.8")</f>
        <v>4.8</v>
      </c>
      <c r="G11962" s="4" t="str">
        <f>HYPERLINK("http://141.218.60.56/~jnz1568/getInfo.php?workbook=10_05.xlsx&amp;sheet=U0&amp;row=11962&amp;col=7&amp;number=0.00767&amp;sourceID=14","0.00767")</f>
        <v>0.00767</v>
      </c>
    </row>
    <row r="11963" spans="1:7">
      <c r="A11963" s="3"/>
      <c r="B11963" s="3"/>
      <c r="C11963" s="3"/>
      <c r="D11963" s="3"/>
      <c r="E11963" s="3">
        <v>20</v>
      </c>
      <c r="F11963" s="4" t="str">
        <f>HYPERLINK("http://141.218.60.56/~jnz1568/getInfo.php?workbook=10_05.xlsx&amp;sheet=U0&amp;row=11963&amp;col=6&amp;number=4.9&amp;sourceID=14","4.9")</f>
        <v>4.9</v>
      </c>
      <c r="G11963" s="4" t="str">
        <f>HYPERLINK("http://141.218.60.56/~jnz1568/getInfo.php?workbook=10_05.xlsx&amp;sheet=U0&amp;row=11963&amp;col=7&amp;number=0.00686&amp;sourceID=14","0.00686")</f>
        <v>0.00686</v>
      </c>
    </row>
    <row r="11964" spans="1:7">
      <c r="A11964" s="3">
        <v>10</v>
      </c>
      <c r="B11964" s="3">
        <v>5</v>
      </c>
      <c r="C11964" s="3">
        <v>4</v>
      </c>
      <c r="D11964" s="3">
        <v>69</v>
      </c>
      <c r="E11964" s="3">
        <v>1</v>
      </c>
      <c r="F11964" s="4" t="str">
        <f>HYPERLINK("http://141.218.60.56/~jnz1568/getInfo.php?workbook=10_05.xlsx&amp;sheet=U0&amp;row=11964&amp;col=6&amp;number=3&amp;sourceID=14","3")</f>
        <v>3</v>
      </c>
      <c r="G11964" s="4" t="str">
        <f>HYPERLINK("http://141.218.60.56/~jnz1568/getInfo.php?workbook=10_05.xlsx&amp;sheet=U0&amp;row=11964&amp;col=7&amp;number=0.0198&amp;sourceID=14","0.0198")</f>
        <v>0.0198</v>
      </c>
    </row>
    <row r="11965" spans="1:7">
      <c r="A11965" s="3"/>
      <c r="B11965" s="3"/>
      <c r="C11965" s="3"/>
      <c r="D11965" s="3"/>
      <c r="E11965" s="3">
        <v>2</v>
      </c>
      <c r="F11965" s="4" t="str">
        <f>HYPERLINK("http://141.218.60.56/~jnz1568/getInfo.php?workbook=10_05.xlsx&amp;sheet=U0&amp;row=11965&amp;col=6&amp;number=3.1&amp;sourceID=14","3.1")</f>
        <v>3.1</v>
      </c>
      <c r="G11965" s="4" t="str">
        <f>HYPERLINK("http://141.218.60.56/~jnz1568/getInfo.php?workbook=10_05.xlsx&amp;sheet=U0&amp;row=11965&amp;col=7&amp;number=0.0195&amp;sourceID=14","0.0195")</f>
        <v>0.0195</v>
      </c>
    </row>
    <row r="11966" spans="1:7">
      <c r="A11966" s="3"/>
      <c r="B11966" s="3"/>
      <c r="C11966" s="3"/>
      <c r="D11966" s="3"/>
      <c r="E11966" s="3">
        <v>3</v>
      </c>
      <c r="F11966" s="4" t="str">
        <f>HYPERLINK("http://141.218.60.56/~jnz1568/getInfo.php?workbook=10_05.xlsx&amp;sheet=U0&amp;row=11966&amp;col=6&amp;number=3.2&amp;sourceID=14","3.2")</f>
        <v>3.2</v>
      </c>
      <c r="G11966" s="4" t="str">
        <f>HYPERLINK("http://141.218.60.56/~jnz1568/getInfo.php?workbook=10_05.xlsx&amp;sheet=U0&amp;row=11966&amp;col=7&amp;number=0.0192&amp;sourceID=14","0.0192")</f>
        <v>0.0192</v>
      </c>
    </row>
    <row r="11967" spans="1:7">
      <c r="A11967" s="3"/>
      <c r="B11967" s="3"/>
      <c r="C11967" s="3"/>
      <c r="D11967" s="3"/>
      <c r="E11967" s="3">
        <v>4</v>
      </c>
      <c r="F11967" s="4" t="str">
        <f>HYPERLINK("http://141.218.60.56/~jnz1568/getInfo.php?workbook=10_05.xlsx&amp;sheet=U0&amp;row=11967&amp;col=6&amp;number=3.3&amp;sourceID=14","3.3")</f>
        <v>3.3</v>
      </c>
      <c r="G11967" s="4" t="str">
        <f>HYPERLINK("http://141.218.60.56/~jnz1568/getInfo.php?workbook=10_05.xlsx&amp;sheet=U0&amp;row=11967&amp;col=7&amp;number=0.0189&amp;sourceID=14","0.0189")</f>
        <v>0.0189</v>
      </c>
    </row>
    <row r="11968" spans="1:7">
      <c r="A11968" s="3"/>
      <c r="B11968" s="3"/>
      <c r="C11968" s="3"/>
      <c r="D11968" s="3"/>
      <c r="E11968" s="3">
        <v>5</v>
      </c>
      <c r="F11968" s="4" t="str">
        <f>HYPERLINK("http://141.218.60.56/~jnz1568/getInfo.php?workbook=10_05.xlsx&amp;sheet=U0&amp;row=11968&amp;col=6&amp;number=3.4&amp;sourceID=14","3.4")</f>
        <v>3.4</v>
      </c>
      <c r="G11968" s="4" t="str">
        <f>HYPERLINK("http://141.218.60.56/~jnz1568/getInfo.php?workbook=10_05.xlsx&amp;sheet=U0&amp;row=11968&amp;col=7&amp;number=0.0184&amp;sourceID=14","0.0184")</f>
        <v>0.0184</v>
      </c>
    </row>
    <row r="11969" spans="1:7">
      <c r="A11969" s="3"/>
      <c r="B11969" s="3"/>
      <c r="C11969" s="3"/>
      <c r="D11969" s="3"/>
      <c r="E11969" s="3">
        <v>6</v>
      </c>
      <c r="F11969" s="4" t="str">
        <f>HYPERLINK("http://141.218.60.56/~jnz1568/getInfo.php?workbook=10_05.xlsx&amp;sheet=U0&amp;row=11969&amp;col=6&amp;number=3.5&amp;sourceID=14","3.5")</f>
        <v>3.5</v>
      </c>
      <c r="G11969" s="4" t="str">
        <f>HYPERLINK("http://141.218.60.56/~jnz1568/getInfo.php?workbook=10_05.xlsx&amp;sheet=U0&amp;row=11969&amp;col=7&amp;number=0.0179&amp;sourceID=14","0.0179")</f>
        <v>0.0179</v>
      </c>
    </row>
    <row r="11970" spans="1:7">
      <c r="A11970" s="3"/>
      <c r="B11970" s="3"/>
      <c r="C11970" s="3"/>
      <c r="D11970" s="3"/>
      <c r="E11970" s="3">
        <v>7</v>
      </c>
      <c r="F11970" s="4" t="str">
        <f>HYPERLINK("http://141.218.60.56/~jnz1568/getInfo.php?workbook=10_05.xlsx&amp;sheet=U0&amp;row=11970&amp;col=6&amp;number=3.6&amp;sourceID=14","3.6")</f>
        <v>3.6</v>
      </c>
      <c r="G11970" s="4" t="str">
        <f>HYPERLINK("http://141.218.60.56/~jnz1568/getInfo.php?workbook=10_05.xlsx&amp;sheet=U0&amp;row=11970&amp;col=7&amp;number=0.0172&amp;sourceID=14","0.0172")</f>
        <v>0.0172</v>
      </c>
    </row>
    <row r="11971" spans="1:7">
      <c r="A11971" s="3"/>
      <c r="B11971" s="3"/>
      <c r="C11971" s="3"/>
      <c r="D11971" s="3"/>
      <c r="E11971" s="3">
        <v>8</v>
      </c>
      <c r="F11971" s="4" t="str">
        <f>HYPERLINK("http://141.218.60.56/~jnz1568/getInfo.php?workbook=10_05.xlsx&amp;sheet=U0&amp;row=11971&amp;col=6&amp;number=3.7&amp;sourceID=14","3.7")</f>
        <v>3.7</v>
      </c>
      <c r="G11971" s="4" t="str">
        <f>HYPERLINK("http://141.218.60.56/~jnz1568/getInfo.php?workbook=10_05.xlsx&amp;sheet=U0&amp;row=11971&amp;col=7&amp;number=0.0164&amp;sourceID=14","0.0164")</f>
        <v>0.0164</v>
      </c>
    </row>
    <row r="11972" spans="1:7">
      <c r="A11972" s="3"/>
      <c r="B11972" s="3"/>
      <c r="C11972" s="3"/>
      <c r="D11972" s="3"/>
      <c r="E11972" s="3">
        <v>9</v>
      </c>
      <c r="F11972" s="4" t="str">
        <f>HYPERLINK("http://141.218.60.56/~jnz1568/getInfo.php?workbook=10_05.xlsx&amp;sheet=U0&amp;row=11972&amp;col=6&amp;number=3.8&amp;sourceID=14","3.8")</f>
        <v>3.8</v>
      </c>
      <c r="G11972" s="4" t="str">
        <f>HYPERLINK("http://141.218.60.56/~jnz1568/getInfo.php?workbook=10_05.xlsx&amp;sheet=U0&amp;row=11972&amp;col=7&amp;number=0.0156&amp;sourceID=14","0.0156")</f>
        <v>0.0156</v>
      </c>
    </row>
    <row r="11973" spans="1:7">
      <c r="A11973" s="3"/>
      <c r="B11973" s="3"/>
      <c r="C11973" s="3"/>
      <c r="D11973" s="3"/>
      <c r="E11973" s="3">
        <v>10</v>
      </c>
      <c r="F11973" s="4" t="str">
        <f>HYPERLINK("http://141.218.60.56/~jnz1568/getInfo.php?workbook=10_05.xlsx&amp;sheet=U0&amp;row=11973&amp;col=6&amp;number=3.9&amp;sourceID=14","3.9")</f>
        <v>3.9</v>
      </c>
      <c r="G11973" s="4" t="str">
        <f>HYPERLINK("http://141.218.60.56/~jnz1568/getInfo.php?workbook=10_05.xlsx&amp;sheet=U0&amp;row=11973&amp;col=7&amp;number=0.0146&amp;sourceID=14","0.0146")</f>
        <v>0.0146</v>
      </c>
    </row>
    <row r="11974" spans="1:7">
      <c r="A11974" s="3"/>
      <c r="B11974" s="3"/>
      <c r="C11974" s="3"/>
      <c r="D11974" s="3"/>
      <c r="E11974" s="3">
        <v>11</v>
      </c>
      <c r="F11974" s="4" t="str">
        <f>HYPERLINK("http://141.218.60.56/~jnz1568/getInfo.php?workbook=10_05.xlsx&amp;sheet=U0&amp;row=11974&amp;col=6&amp;number=4&amp;sourceID=14","4")</f>
        <v>4</v>
      </c>
      <c r="G11974" s="4" t="str">
        <f>HYPERLINK("http://141.218.60.56/~jnz1568/getInfo.php?workbook=10_05.xlsx&amp;sheet=U0&amp;row=11974&amp;col=7&amp;number=0.0137&amp;sourceID=14","0.0137")</f>
        <v>0.0137</v>
      </c>
    </row>
    <row r="11975" spans="1:7">
      <c r="A11975" s="3"/>
      <c r="B11975" s="3"/>
      <c r="C11975" s="3"/>
      <c r="D11975" s="3"/>
      <c r="E11975" s="3">
        <v>12</v>
      </c>
      <c r="F11975" s="4" t="str">
        <f>HYPERLINK("http://141.218.60.56/~jnz1568/getInfo.php?workbook=10_05.xlsx&amp;sheet=U0&amp;row=11975&amp;col=6&amp;number=4.1&amp;sourceID=14","4.1")</f>
        <v>4.1</v>
      </c>
      <c r="G11975" s="4" t="str">
        <f>HYPERLINK("http://141.218.60.56/~jnz1568/getInfo.php?workbook=10_05.xlsx&amp;sheet=U0&amp;row=11975&amp;col=7&amp;number=0.0129&amp;sourceID=14","0.0129")</f>
        <v>0.0129</v>
      </c>
    </row>
    <row r="11976" spans="1:7">
      <c r="A11976" s="3"/>
      <c r="B11976" s="3"/>
      <c r="C11976" s="3"/>
      <c r="D11976" s="3"/>
      <c r="E11976" s="3">
        <v>13</v>
      </c>
      <c r="F11976" s="4" t="str">
        <f>HYPERLINK("http://141.218.60.56/~jnz1568/getInfo.php?workbook=10_05.xlsx&amp;sheet=U0&amp;row=11976&amp;col=6&amp;number=4.2&amp;sourceID=14","4.2")</f>
        <v>4.2</v>
      </c>
      <c r="G11976" s="4" t="str">
        <f>HYPERLINK("http://141.218.60.56/~jnz1568/getInfo.php?workbook=10_05.xlsx&amp;sheet=U0&amp;row=11976&amp;col=7&amp;number=0.0122&amp;sourceID=14","0.0122")</f>
        <v>0.0122</v>
      </c>
    </row>
    <row r="11977" spans="1:7">
      <c r="A11977" s="3"/>
      <c r="B11977" s="3"/>
      <c r="C11977" s="3"/>
      <c r="D11977" s="3"/>
      <c r="E11977" s="3">
        <v>14</v>
      </c>
      <c r="F11977" s="4" t="str">
        <f>HYPERLINK("http://141.218.60.56/~jnz1568/getInfo.php?workbook=10_05.xlsx&amp;sheet=U0&amp;row=11977&amp;col=6&amp;number=4.3&amp;sourceID=14","4.3")</f>
        <v>4.3</v>
      </c>
      <c r="G11977" s="4" t="str">
        <f>HYPERLINK("http://141.218.60.56/~jnz1568/getInfo.php?workbook=10_05.xlsx&amp;sheet=U0&amp;row=11977&amp;col=7&amp;number=0.0117&amp;sourceID=14","0.0117")</f>
        <v>0.0117</v>
      </c>
    </row>
    <row r="11978" spans="1:7">
      <c r="A11978" s="3"/>
      <c r="B11978" s="3"/>
      <c r="C11978" s="3"/>
      <c r="D11978" s="3"/>
      <c r="E11978" s="3">
        <v>15</v>
      </c>
      <c r="F11978" s="4" t="str">
        <f>HYPERLINK("http://141.218.60.56/~jnz1568/getInfo.php?workbook=10_05.xlsx&amp;sheet=U0&amp;row=11978&amp;col=6&amp;number=4.4&amp;sourceID=14","4.4")</f>
        <v>4.4</v>
      </c>
      <c r="G11978" s="4" t="str">
        <f>HYPERLINK("http://141.218.60.56/~jnz1568/getInfo.php?workbook=10_05.xlsx&amp;sheet=U0&amp;row=11978&amp;col=7&amp;number=0.0112&amp;sourceID=14","0.0112")</f>
        <v>0.0112</v>
      </c>
    </row>
    <row r="11979" spans="1:7">
      <c r="A11979" s="3"/>
      <c r="B11979" s="3"/>
      <c r="C11979" s="3"/>
      <c r="D11979" s="3"/>
      <c r="E11979" s="3">
        <v>16</v>
      </c>
      <c r="F11979" s="4" t="str">
        <f>HYPERLINK("http://141.218.60.56/~jnz1568/getInfo.php?workbook=10_05.xlsx&amp;sheet=U0&amp;row=11979&amp;col=6&amp;number=4.5&amp;sourceID=14","4.5")</f>
        <v>4.5</v>
      </c>
      <c r="G11979" s="4" t="str">
        <f>HYPERLINK("http://141.218.60.56/~jnz1568/getInfo.php?workbook=10_05.xlsx&amp;sheet=U0&amp;row=11979&amp;col=7&amp;number=0.0105&amp;sourceID=14","0.0105")</f>
        <v>0.0105</v>
      </c>
    </row>
    <row r="11980" spans="1:7">
      <c r="A11980" s="3"/>
      <c r="B11980" s="3"/>
      <c r="C11980" s="3"/>
      <c r="D11980" s="3"/>
      <c r="E11980" s="3">
        <v>17</v>
      </c>
      <c r="F11980" s="4" t="str">
        <f>HYPERLINK("http://141.218.60.56/~jnz1568/getInfo.php?workbook=10_05.xlsx&amp;sheet=U0&amp;row=11980&amp;col=6&amp;number=4.6&amp;sourceID=14","4.6")</f>
        <v>4.6</v>
      </c>
      <c r="G11980" s="4" t="str">
        <f>HYPERLINK("http://141.218.60.56/~jnz1568/getInfo.php?workbook=10_05.xlsx&amp;sheet=U0&amp;row=11980&amp;col=7&amp;number=0.00976&amp;sourceID=14","0.00976")</f>
        <v>0.00976</v>
      </c>
    </row>
    <row r="11981" spans="1:7">
      <c r="A11981" s="3"/>
      <c r="B11981" s="3"/>
      <c r="C11981" s="3"/>
      <c r="D11981" s="3"/>
      <c r="E11981" s="3">
        <v>18</v>
      </c>
      <c r="F11981" s="4" t="str">
        <f>HYPERLINK("http://141.218.60.56/~jnz1568/getInfo.php?workbook=10_05.xlsx&amp;sheet=U0&amp;row=11981&amp;col=6&amp;number=4.7&amp;sourceID=14","4.7")</f>
        <v>4.7</v>
      </c>
      <c r="G11981" s="4" t="str">
        <f>HYPERLINK("http://141.218.60.56/~jnz1568/getInfo.php?workbook=10_05.xlsx&amp;sheet=U0&amp;row=11981&amp;col=7&amp;number=0.009&amp;sourceID=14","0.009")</f>
        <v>0.009</v>
      </c>
    </row>
    <row r="11982" spans="1:7">
      <c r="A11982" s="3"/>
      <c r="B11982" s="3"/>
      <c r="C11982" s="3"/>
      <c r="D11982" s="3"/>
      <c r="E11982" s="3">
        <v>19</v>
      </c>
      <c r="F11982" s="4" t="str">
        <f>HYPERLINK("http://141.218.60.56/~jnz1568/getInfo.php?workbook=10_05.xlsx&amp;sheet=U0&amp;row=11982&amp;col=6&amp;number=4.8&amp;sourceID=14","4.8")</f>
        <v>4.8</v>
      </c>
      <c r="G11982" s="4" t="str">
        <f>HYPERLINK("http://141.218.60.56/~jnz1568/getInfo.php?workbook=10_05.xlsx&amp;sheet=U0&amp;row=11982&amp;col=7&amp;number=0.00823&amp;sourceID=14","0.00823")</f>
        <v>0.00823</v>
      </c>
    </row>
    <row r="11983" spans="1:7">
      <c r="A11983" s="3"/>
      <c r="B11983" s="3"/>
      <c r="C11983" s="3"/>
      <c r="D11983" s="3"/>
      <c r="E11983" s="3">
        <v>20</v>
      </c>
      <c r="F11983" s="4" t="str">
        <f>HYPERLINK("http://141.218.60.56/~jnz1568/getInfo.php?workbook=10_05.xlsx&amp;sheet=U0&amp;row=11983&amp;col=6&amp;number=4.9&amp;sourceID=14","4.9")</f>
        <v>4.9</v>
      </c>
      <c r="G11983" s="4" t="str">
        <f>HYPERLINK("http://141.218.60.56/~jnz1568/getInfo.php?workbook=10_05.xlsx&amp;sheet=U0&amp;row=11983&amp;col=7&amp;number=0.00741&amp;sourceID=14","0.00741")</f>
        <v>0.00741</v>
      </c>
    </row>
    <row r="11984" spans="1:7">
      <c r="A11984" s="3">
        <v>10</v>
      </c>
      <c r="B11984" s="3">
        <v>5</v>
      </c>
      <c r="C11984" s="3">
        <v>4</v>
      </c>
      <c r="D11984" s="3">
        <v>70</v>
      </c>
      <c r="E11984" s="3">
        <v>1</v>
      </c>
      <c r="F11984" s="4" t="str">
        <f>HYPERLINK("http://141.218.60.56/~jnz1568/getInfo.php?workbook=10_05.xlsx&amp;sheet=U0&amp;row=11984&amp;col=6&amp;number=3&amp;sourceID=14","3")</f>
        <v>3</v>
      </c>
      <c r="G11984" s="4" t="str">
        <f>HYPERLINK("http://141.218.60.56/~jnz1568/getInfo.php?workbook=10_05.xlsx&amp;sheet=U0&amp;row=11984&amp;col=7&amp;number=0.0267&amp;sourceID=14","0.0267")</f>
        <v>0.0267</v>
      </c>
    </row>
    <row r="11985" spans="1:7">
      <c r="A11985" s="3"/>
      <c r="B11985" s="3"/>
      <c r="C11985" s="3"/>
      <c r="D11985" s="3"/>
      <c r="E11985" s="3">
        <v>2</v>
      </c>
      <c r="F11985" s="4" t="str">
        <f>HYPERLINK("http://141.218.60.56/~jnz1568/getInfo.php?workbook=10_05.xlsx&amp;sheet=U0&amp;row=11985&amp;col=6&amp;number=3.1&amp;sourceID=14","3.1")</f>
        <v>3.1</v>
      </c>
      <c r="G11985" s="4" t="str">
        <f>HYPERLINK("http://141.218.60.56/~jnz1568/getInfo.php?workbook=10_05.xlsx&amp;sheet=U0&amp;row=11985&amp;col=7&amp;number=0.0265&amp;sourceID=14","0.0265")</f>
        <v>0.0265</v>
      </c>
    </row>
    <row r="11986" spans="1:7">
      <c r="A11986" s="3"/>
      <c r="B11986" s="3"/>
      <c r="C11986" s="3"/>
      <c r="D11986" s="3"/>
      <c r="E11986" s="3">
        <v>3</v>
      </c>
      <c r="F11986" s="4" t="str">
        <f>HYPERLINK("http://141.218.60.56/~jnz1568/getInfo.php?workbook=10_05.xlsx&amp;sheet=U0&amp;row=11986&amp;col=6&amp;number=3.2&amp;sourceID=14","3.2")</f>
        <v>3.2</v>
      </c>
      <c r="G11986" s="4" t="str">
        <f>HYPERLINK("http://141.218.60.56/~jnz1568/getInfo.php?workbook=10_05.xlsx&amp;sheet=U0&amp;row=11986&amp;col=7&amp;number=0.0263&amp;sourceID=14","0.0263")</f>
        <v>0.0263</v>
      </c>
    </row>
    <row r="11987" spans="1:7">
      <c r="A11987" s="3"/>
      <c r="B11987" s="3"/>
      <c r="C11987" s="3"/>
      <c r="D11987" s="3"/>
      <c r="E11987" s="3">
        <v>4</v>
      </c>
      <c r="F11987" s="4" t="str">
        <f>HYPERLINK("http://141.218.60.56/~jnz1568/getInfo.php?workbook=10_05.xlsx&amp;sheet=U0&amp;row=11987&amp;col=6&amp;number=3.3&amp;sourceID=14","3.3")</f>
        <v>3.3</v>
      </c>
      <c r="G11987" s="4" t="str">
        <f>HYPERLINK("http://141.218.60.56/~jnz1568/getInfo.php?workbook=10_05.xlsx&amp;sheet=U0&amp;row=11987&amp;col=7&amp;number=0.0261&amp;sourceID=14","0.0261")</f>
        <v>0.0261</v>
      </c>
    </row>
    <row r="11988" spans="1:7">
      <c r="A11988" s="3"/>
      <c r="B11988" s="3"/>
      <c r="C11988" s="3"/>
      <c r="D11988" s="3"/>
      <c r="E11988" s="3">
        <v>5</v>
      </c>
      <c r="F11988" s="4" t="str">
        <f>HYPERLINK("http://141.218.60.56/~jnz1568/getInfo.php?workbook=10_05.xlsx&amp;sheet=U0&amp;row=11988&amp;col=6&amp;number=3.4&amp;sourceID=14","3.4")</f>
        <v>3.4</v>
      </c>
      <c r="G11988" s="4" t="str">
        <f>HYPERLINK("http://141.218.60.56/~jnz1568/getInfo.php?workbook=10_05.xlsx&amp;sheet=U0&amp;row=11988&amp;col=7&amp;number=0.0258&amp;sourceID=14","0.0258")</f>
        <v>0.0258</v>
      </c>
    </row>
    <row r="11989" spans="1:7">
      <c r="A11989" s="3"/>
      <c r="B11989" s="3"/>
      <c r="C11989" s="3"/>
      <c r="D11989" s="3"/>
      <c r="E11989" s="3">
        <v>6</v>
      </c>
      <c r="F11989" s="4" t="str">
        <f>HYPERLINK("http://141.218.60.56/~jnz1568/getInfo.php?workbook=10_05.xlsx&amp;sheet=U0&amp;row=11989&amp;col=6&amp;number=3.5&amp;sourceID=14","3.5")</f>
        <v>3.5</v>
      </c>
      <c r="G11989" s="4" t="str">
        <f>HYPERLINK("http://141.218.60.56/~jnz1568/getInfo.php?workbook=10_05.xlsx&amp;sheet=U0&amp;row=11989&amp;col=7&amp;number=0.0255&amp;sourceID=14","0.0255")</f>
        <v>0.0255</v>
      </c>
    </row>
    <row r="11990" spans="1:7">
      <c r="A11990" s="3"/>
      <c r="B11990" s="3"/>
      <c r="C11990" s="3"/>
      <c r="D11990" s="3"/>
      <c r="E11990" s="3">
        <v>7</v>
      </c>
      <c r="F11990" s="4" t="str">
        <f>HYPERLINK("http://141.218.60.56/~jnz1568/getInfo.php?workbook=10_05.xlsx&amp;sheet=U0&amp;row=11990&amp;col=6&amp;number=3.6&amp;sourceID=14","3.6")</f>
        <v>3.6</v>
      </c>
      <c r="G11990" s="4" t="str">
        <f>HYPERLINK("http://141.218.60.56/~jnz1568/getInfo.php?workbook=10_05.xlsx&amp;sheet=U0&amp;row=11990&amp;col=7&amp;number=0.0251&amp;sourceID=14","0.0251")</f>
        <v>0.0251</v>
      </c>
    </row>
    <row r="11991" spans="1:7">
      <c r="A11991" s="3"/>
      <c r="B11991" s="3"/>
      <c r="C11991" s="3"/>
      <c r="D11991" s="3"/>
      <c r="E11991" s="3">
        <v>8</v>
      </c>
      <c r="F11991" s="4" t="str">
        <f>HYPERLINK("http://141.218.60.56/~jnz1568/getInfo.php?workbook=10_05.xlsx&amp;sheet=U0&amp;row=11991&amp;col=6&amp;number=3.7&amp;sourceID=14","3.7")</f>
        <v>3.7</v>
      </c>
      <c r="G11991" s="4" t="str">
        <f>HYPERLINK("http://141.218.60.56/~jnz1568/getInfo.php?workbook=10_05.xlsx&amp;sheet=U0&amp;row=11991&amp;col=7&amp;number=0.0247&amp;sourceID=14","0.0247")</f>
        <v>0.0247</v>
      </c>
    </row>
    <row r="11992" spans="1:7">
      <c r="A11992" s="3"/>
      <c r="B11992" s="3"/>
      <c r="C11992" s="3"/>
      <c r="D11992" s="3"/>
      <c r="E11992" s="3">
        <v>9</v>
      </c>
      <c r="F11992" s="4" t="str">
        <f>HYPERLINK("http://141.218.60.56/~jnz1568/getInfo.php?workbook=10_05.xlsx&amp;sheet=U0&amp;row=11992&amp;col=6&amp;number=3.8&amp;sourceID=14","3.8")</f>
        <v>3.8</v>
      </c>
      <c r="G11992" s="4" t="str">
        <f>HYPERLINK("http://141.218.60.56/~jnz1568/getInfo.php?workbook=10_05.xlsx&amp;sheet=U0&amp;row=11992&amp;col=7&amp;number=0.0242&amp;sourceID=14","0.0242")</f>
        <v>0.0242</v>
      </c>
    </row>
    <row r="11993" spans="1:7">
      <c r="A11993" s="3"/>
      <c r="B11993" s="3"/>
      <c r="C11993" s="3"/>
      <c r="D11993" s="3"/>
      <c r="E11993" s="3">
        <v>10</v>
      </c>
      <c r="F11993" s="4" t="str">
        <f>HYPERLINK("http://141.218.60.56/~jnz1568/getInfo.php?workbook=10_05.xlsx&amp;sheet=U0&amp;row=11993&amp;col=6&amp;number=3.9&amp;sourceID=14","3.9")</f>
        <v>3.9</v>
      </c>
      <c r="G11993" s="4" t="str">
        <f>HYPERLINK("http://141.218.60.56/~jnz1568/getInfo.php?workbook=10_05.xlsx&amp;sheet=U0&amp;row=11993&amp;col=7&amp;number=0.0236&amp;sourceID=14","0.0236")</f>
        <v>0.0236</v>
      </c>
    </row>
    <row r="11994" spans="1:7">
      <c r="A11994" s="3"/>
      <c r="B11994" s="3"/>
      <c r="C11994" s="3"/>
      <c r="D11994" s="3"/>
      <c r="E11994" s="3">
        <v>11</v>
      </c>
      <c r="F11994" s="4" t="str">
        <f>HYPERLINK("http://141.218.60.56/~jnz1568/getInfo.php?workbook=10_05.xlsx&amp;sheet=U0&amp;row=11994&amp;col=6&amp;number=4&amp;sourceID=14","4")</f>
        <v>4</v>
      </c>
      <c r="G11994" s="4" t="str">
        <f>HYPERLINK("http://141.218.60.56/~jnz1568/getInfo.php?workbook=10_05.xlsx&amp;sheet=U0&amp;row=11994&amp;col=7&amp;number=0.0232&amp;sourceID=14","0.0232")</f>
        <v>0.0232</v>
      </c>
    </row>
    <row r="11995" spans="1:7">
      <c r="A11995" s="3"/>
      <c r="B11995" s="3"/>
      <c r="C11995" s="3"/>
      <c r="D11995" s="3"/>
      <c r="E11995" s="3">
        <v>12</v>
      </c>
      <c r="F11995" s="4" t="str">
        <f>HYPERLINK("http://141.218.60.56/~jnz1568/getInfo.php?workbook=10_05.xlsx&amp;sheet=U0&amp;row=11995&amp;col=6&amp;number=4.1&amp;sourceID=14","4.1")</f>
        <v>4.1</v>
      </c>
      <c r="G11995" s="4" t="str">
        <f>HYPERLINK("http://141.218.60.56/~jnz1568/getInfo.php?workbook=10_05.xlsx&amp;sheet=U0&amp;row=11995&amp;col=7&amp;number=0.0229&amp;sourceID=14","0.0229")</f>
        <v>0.0229</v>
      </c>
    </row>
    <row r="11996" spans="1:7">
      <c r="A11996" s="3"/>
      <c r="B11996" s="3"/>
      <c r="C11996" s="3"/>
      <c r="D11996" s="3"/>
      <c r="E11996" s="3">
        <v>13</v>
      </c>
      <c r="F11996" s="4" t="str">
        <f>HYPERLINK("http://141.218.60.56/~jnz1568/getInfo.php?workbook=10_05.xlsx&amp;sheet=U0&amp;row=11996&amp;col=6&amp;number=4.2&amp;sourceID=14","4.2")</f>
        <v>4.2</v>
      </c>
      <c r="G11996" s="4" t="str">
        <f>HYPERLINK("http://141.218.60.56/~jnz1568/getInfo.php?workbook=10_05.xlsx&amp;sheet=U0&amp;row=11996&amp;col=7&amp;number=0.0227&amp;sourceID=14","0.0227")</f>
        <v>0.0227</v>
      </c>
    </row>
    <row r="11997" spans="1:7">
      <c r="A11997" s="3"/>
      <c r="B11997" s="3"/>
      <c r="C11997" s="3"/>
      <c r="D11997" s="3"/>
      <c r="E11997" s="3">
        <v>14</v>
      </c>
      <c r="F11997" s="4" t="str">
        <f>HYPERLINK("http://141.218.60.56/~jnz1568/getInfo.php?workbook=10_05.xlsx&amp;sheet=U0&amp;row=11997&amp;col=6&amp;number=4.3&amp;sourceID=14","4.3")</f>
        <v>4.3</v>
      </c>
      <c r="G11997" s="4" t="str">
        <f>HYPERLINK("http://141.218.60.56/~jnz1568/getInfo.php?workbook=10_05.xlsx&amp;sheet=U0&amp;row=11997&amp;col=7&amp;number=0.0226&amp;sourceID=14","0.0226")</f>
        <v>0.0226</v>
      </c>
    </row>
    <row r="11998" spans="1:7">
      <c r="A11998" s="3"/>
      <c r="B11998" s="3"/>
      <c r="C11998" s="3"/>
      <c r="D11998" s="3"/>
      <c r="E11998" s="3">
        <v>15</v>
      </c>
      <c r="F11998" s="4" t="str">
        <f>HYPERLINK("http://141.218.60.56/~jnz1568/getInfo.php?workbook=10_05.xlsx&amp;sheet=U0&amp;row=11998&amp;col=6&amp;number=4.4&amp;sourceID=14","4.4")</f>
        <v>4.4</v>
      </c>
      <c r="G11998" s="4" t="str">
        <f>HYPERLINK("http://141.218.60.56/~jnz1568/getInfo.php?workbook=10_05.xlsx&amp;sheet=U0&amp;row=11998&amp;col=7&amp;number=0.0221&amp;sourceID=14","0.0221")</f>
        <v>0.0221</v>
      </c>
    </row>
    <row r="11999" spans="1:7">
      <c r="A11999" s="3"/>
      <c r="B11999" s="3"/>
      <c r="C11999" s="3"/>
      <c r="D11999" s="3"/>
      <c r="E11999" s="3">
        <v>16</v>
      </c>
      <c r="F11999" s="4" t="str">
        <f>HYPERLINK("http://141.218.60.56/~jnz1568/getInfo.php?workbook=10_05.xlsx&amp;sheet=U0&amp;row=11999&amp;col=6&amp;number=4.5&amp;sourceID=14","4.5")</f>
        <v>4.5</v>
      </c>
      <c r="G11999" s="4" t="str">
        <f>HYPERLINK("http://141.218.60.56/~jnz1568/getInfo.php?workbook=10_05.xlsx&amp;sheet=U0&amp;row=11999&amp;col=7&amp;number=0.0212&amp;sourceID=14","0.0212")</f>
        <v>0.0212</v>
      </c>
    </row>
    <row r="12000" spans="1:7">
      <c r="A12000" s="3"/>
      <c r="B12000" s="3"/>
      <c r="C12000" s="3"/>
      <c r="D12000" s="3"/>
      <c r="E12000" s="3">
        <v>17</v>
      </c>
      <c r="F12000" s="4" t="str">
        <f>HYPERLINK("http://141.218.60.56/~jnz1568/getInfo.php?workbook=10_05.xlsx&amp;sheet=U0&amp;row=12000&amp;col=6&amp;number=4.6&amp;sourceID=14","4.6")</f>
        <v>4.6</v>
      </c>
      <c r="G12000" s="4" t="str">
        <f>HYPERLINK("http://141.218.60.56/~jnz1568/getInfo.php?workbook=10_05.xlsx&amp;sheet=U0&amp;row=12000&amp;col=7&amp;number=0.0199&amp;sourceID=14","0.0199")</f>
        <v>0.0199</v>
      </c>
    </row>
    <row r="12001" spans="1:7">
      <c r="A12001" s="3"/>
      <c r="B12001" s="3"/>
      <c r="C12001" s="3"/>
      <c r="D12001" s="3"/>
      <c r="E12001" s="3">
        <v>18</v>
      </c>
      <c r="F12001" s="4" t="str">
        <f>HYPERLINK("http://141.218.60.56/~jnz1568/getInfo.php?workbook=10_05.xlsx&amp;sheet=U0&amp;row=12001&amp;col=6&amp;number=4.7&amp;sourceID=14","4.7")</f>
        <v>4.7</v>
      </c>
      <c r="G12001" s="4" t="str">
        <f>HYPERLINK("http://141.218.60.56/~jnz1568/getInfo.php?workbook=10_05.xlsx&amp;sheet=U0&amp;row=12001&amp;col=7&amp;number=0.0185&amp;sourceID=14","0.0185")</f>
        <v>0.0185</v>
      </c>
    </row>
    <row r="12002" spans="1:7">
      <c r="A12002" s="3"/>
      <c r="B12002" s="3"/>
      <c r="C12002" s="3"/>
      <c r="D12002" s="3"/>
      <c r="E12002" s="3">
        <v>19</v>
      </c>
      <c r="F12002" s="4" t="str">
        <f>HYPERLINK("http://141.218.60.56/~jnz1568/getInfo.php?workbook=10_05.xlsx&amp;sheet=U0&amp;row=12002&amp;col=6&amp;number=4.8&amp;sourceID=14","4.8")</f>
        <v>4.8</v>
      </c>
      <c r="G12002" s="4" t="str">
        <f>HYPERLINK("http://141.218.60.56/~jnz1568/getInfo.php?workbook=10_05.xlsx&amp;sheet=U0&amp;row=12002&amp;col=7&amp;number=0.017&amp;sourceID=14","0.017")</f>
        <v>0.017</v>
      </c>
    </row>
    <row r="12003" spans="1:7">
      <c r="A12003" s="3"/>
      <c r="B12003" s="3"/>
      <c r="C12003" s="3"/>
      <c r="D12003" s="3"/>
      <c r="E12003" s="3">
        <v>20</v>
      </c>
      <c r="F12003" s="4" t="str">
        <f>HYPERLINK("http://141.218.60.56/~jnz1568/getInfo.php?workbook=10_05.xlsx&amp;sheet=U0&amp;row=12003&amp;col=6&amp;number=4.9&amp;sourceID=14","4.9")</f>
        <v>4.9</v>
      </c>
      <c r="G12003" s="4" t="str">
        <f>HYPERLINK("http://141.218.60.56/~jnz1568/getInfo.php?workbook=10_05.xlsx&amp;sheet=U0&amp;row=12003&amp;col=7&amp;number=0.0155&amp;sourceID=14","0.0155")</f>
        <v>0.0155</v>
      </c>
    </row>
    <row r="12004" spans="1:7">
      <c r="A12004" s="3">
        <v>10</v>
      </c>
      <c r="B12004" s="3">
        <v>5</v>
      </c>
      <c r="C12004" s="3">
        <v>4</v>
      </c>
      <c r="D12004" s="3">
        <v>71</v>
      </c>
      <c r="E12004" s="3">
        <v>1</v>
      </c>
      <c r="F12004" s="4" t="str">
        <f>HYPERLINK("http://141.218.60.56/~jnz1568/getInfo.php?workbook=10_05.xlsx&amp;sheet=U0&amp;row=12004&amp;col=6&amp;number=3&amp;sourceID=14","3")</f>
        <v>3</v>
      </c>
      <c r="G12004" s="4" t="str">
        <f>HYPERLINK("http://141.218.60.56/~jnz1568/getInfo.php?workbook=10_05.xlsx&amp;sheet=U0&amp;row=12004&amp;col=7&amp;number=0.199&amp;sourceID=14","0.199")</f>
        <v>0.199</v>
      </c>
    </row>
    <row r="12005" spans="1:7">
      <c r="A12005" s="3"/>
      <c r="B12005" s="3"/>
      <c r="C12005" s="3"/>
      <c r="D12005" s="3"/>
      <c r="E12005" s="3">
        <v>2</v>
      </c>
      <c r="F12005" s="4" t="str">
        <f>HYPERLINK("http://141.218.60.56/~jnz1568/getInfo.php?workbook=10_05.xlsx&amp;sheet=U0&amp;row=12005&amp;col=6&amp;number=3.1&amp;sourceID=14","3.1")</f>
        <v>3.1</v>
      </c>
      <c r="G12005" s="4" t="str">
        <f>HYPERLINK("http://141.218.60.56/~jnz1568/getInfo.php?workbook=10_05.xlsx&amp;sheet=U0&amp;row=12005&amp;col=7&amp;number=0.199&amp;sourceID=14","0.199")</f>
        <v>0.199</v>
      </c>
    </row>
    <row r="12006" spans="1:7">
      <c r="A12006" s="3"/>
      <c r="B12006" s="3"/>
      <c r="C12006" s="3"/>
      <c r="D12006" s="3"/>
      <c r="E12006" s="3">
        <v>3</v>
      </c>
      <c r="F12006" s="4" t="str">
        <f>HYPERLINK("http://141.218.60.56/~jnz1568/getInfo.php?workbook=10_05.xlsx&amp;sheet=U0&amp;row=12006&amp;col=6&amp;number=3.2&amp;sourceID=14","3.2")</f>
        <v>3.2</v>
      </c>
      <c r="G12006" s="4" t="str">
        <f>HYPERLINK("http://141.218.60.56/~jnz1568/getInfo.php?workbook=10_05.xlsx&amp;sheet=U0&amp;row=12006&amp;col=7&amp;number=0.199&amp;sourceID=14","0.199")</f>
        <v>0.199</v>
      </c>
    </row>
    <row r="12007" spans="1:7">
      <c r="A12007" s="3"/>
      <c r="B12007" s="3"/>
      <c r="C12007" s="3"/>
      <c r="D12007" s="3"/>
      <c r="E12007" s="3">
        <v>4</v>
      </c>
      <c r="F12007" s="4" t="str">
        <f>HYPERLINK("http://141.218.60.56/~jnz1568/getInfo.php?workbook=10_05.xlsx&amp;sheet=U0&amp;row=12007&amp;col=6&amp;number=3.3&amp;sourceID=14","3.3")</f>
        <v>3.3</v>
      </c>
      <c r="G12007" s="4" t="str">
        <f>HYPERLINK("http://141.218.60.56/~jnz1568/getInfo.php?workbook=10_05.xlsx&amp;sheet=U0&amp;row=12007&amp;col=7&amp;number=0.199&amp;sourceID=14","0.199")</f>
        <v>0.199</v>
      </c>
    </row>
    <row r="12008" spans="1:7">
      <c r="A12008" s="3"/>
      <c r="B12008" s="3"/>
      <c r="C12008" s="3"/>
      <c r="D12008" s="3"/>
      <c r="E12008" s="3">
        <v>5</v>
      </c>
      <c r="F12008" s="4" t="str">
        <f>HYPERLINK("http://141.218.60.56/~jnz1568/getInfo.php?workbook=10_05.xlsx&amp;sheet=U0&amp;row=12008&amp;col=6&amp;number=3.4&amp;sourceID=14","3.4")</f>
        <v>3.4</v>
      </c>
      <c r="G12008" s="4" t="str">
        <f>HYPERLINK("http://141.218.60.56/~jnz1568/getInfo.php?workbook=10_05.xlsx&amp;sheet=U0&amp;row=12008&amp;col=7&amp;number=0.199&amp;sourceID=14","0.199")</f>
        <v>0.199</v>
      </c>
    </row>
    <row r="12009" spans="1:7">
      <c r="A12009" s="3"/>
      <c r="B12009" s="3"/>
      <c r="C12009" s="3"/>
      <c r="D12009" s="3"/>
      <c r="E12009" s="3">
        <v>6</v>
      </c>
      <c r="F12009" s="4" t="str">
        <f>HYPERLINK("http://141.218.60.56/~jnz1568/getInfo.php?workbook=10_05.xlsx&amp;sheet=U0&amp;row=12009&amp;col=6&amp;number=3.5&amp;sourceID=14","3.5")</f>
        <v>3.5</v>
      </c>
      <c r="G12009" s="4" t="str">
        <f>HYPERLINK("http://141.218.60.56/~jnz1568/getInfo.php?workbook=10_05.xlsx&amp;sheet=U0&amp;row=12009&amp;col=7&amp;number=0.2&amp;sourceID=14","0.2")</f>
        <v>0.2</v>
      </c>
    </row>
    <row r="12010" spans="1:7">
      <c r="A12010" s="3"/>
      <c r="B12010" s="3"/>
      <c r="C12010" s="3"/>
      <c r="D12010" s="3"/>
      <c r="E12010" s="3">
        <v>7</v>
      </c>
      <c r="F12010" s="4" t="str">
        <f>HYPERLINK("http://141.218.60.56/~jnz1568/getInfo.php?workbook=10_05.xlsx&amp;sheet=U0&amp;row=12010&amp;col=6&amp;number=3.6&amp;sourceID=14","3.6")</f>
        <v>3.6</v>
      </c>
      <c r="G12010" s="4" t="str">
        <f>HYPERLINK("http://141.218.60.56/~jnz1568/getInfo.php?workbook=10_05.xlsx&amp;sheet=U0&amp;row=12010&amp;col=7&amp;number=0.2&amp;sourceID=14","0.2")</f>
        <v>0.2</v>
      </c>
    </row>
    <row r="12011" spans="1:7">
      <c r="A12011" s="3"/>
      <c r="B12011" s="3"/>
      <c r="C12011" s="3"/>
      <c r="D12011" s="3"/>
      <c r="E12011" s="3">
        <v>8</v>
      </c>
      <c r="F12011" s="4" t="str">
        <f>HYPERLINK("http://141.218.60.56/~jnz1568/getInfo.php?workbook=10_05.xlsx&amp;sheet=U0&amp;row=12011&amp;col=6&amp;number=3.7&amp;sourceID=14","3.7")</f>
        <v>3.7</v>
      </c>
      <c r="G12011" s="4" t="str">
        <f>HYPERLINK("http://141.218.60.56/~jnz1568/getInfo.php?workbook=10_05.xlsx&amp;sheet=U0&amp;row=12011&amp;col=7&amp;number=0.201&amp;sourceID=14","0.201")</f>
        <v>0.201</v>
      </c>
    </row>
    <row r="12012" spans="1:7">
      <c r="A12012" s="3"/>
      <c r="B12012" s="3"/>
      <c r="C12012" s="3"/>
      <c r="D12012" s="3"/>
      <c r="E12012" s="3">
        <v>9</v>
      </c>
      <c r="F12012" s="4" t="str">
        <f>HYPERLINK("http://141.218.60.56/~jnz1568/getInfo.php?workbook=10_05.xlsx&amp;sheet=U0&amp;row=12012&amp;col=6&amp;number=3.8&amp;sourceID=14","3.8")</f>
        <v>3.8</v>
      </c>
      <c r="G12012" s="4" t="str">
        <f>HYPERLINK("http://141.218.60.56/~jnz1568/getInfo.php?workbook=10_05.xlsx&amp;sheet=U0&amp;row=12012&amp;col=7&amp;number=0.201&amp;sourceID=14","0.201")</f>
        <v>0.201</v>
      </c>
    </row>
    <row r="12013" spans="1:7">
      <c r="A12013" s="3"/>
      <c r="B12013" s="3"/>
      <c r="C12013" s="3"/>
      <c r="D12013" s="3"/>
      <c r="E12013" s="3">
        <v>10</v>
      </c>
      <c r="F12013" s="4" t="str">
        <f>HYPERLINK("http://141.218.60.56/~jnz1568/getInfo.php?workbook=10_05.xlsx&amp;sheet=U0&amp;row=12013&amp;col=6&amp;number=3.9&amp;sourceID=14","3.9")</f>
        <v>3.9</v>
      </c>
      <c r="G12013" s="4" t="str">
        <f>HYPERLINK("http://141.218.60.56/~jnz1568/getInfo.php?workbook=10_05.xlsx&amp;sheet=U0&amp;row=12013&amp;col=7&amp;number=0.202&amp;sourceID=14","0.202")</f>
        <v>0.202</v>
      </c>
    </row>
    <row r="12014" spans="1:7">
      <c r="A12014" s="3"/>
      <c r="B12014" s="3"/>
      <c r="C12014" s="3"/>
      <c r="D12014" s="3"/>
      <c r="E12014" s="3">
        <v>11</v>
      </c>
      <c r="F12014" s="4" t="str">
        <f>HYPERLINK("http://141.218.60.56/~jnz1568/getInfo.php?workbook=10_05.xlsx&amp;sheet=U0&amp;row=12014&amp;col=6&amp;number=4&amp;sourceID=14","4")</f>
        <v>4</v>
      </c>
      <c r="G12014" s="4" t="str">
        <f>HYPERLINK("http://141.218.60.56/~jnz1568/getInfo.php?workbook=10_05.xlsx&amp;sheet=U0&amp;row=12014&amp;col=7&amp;number=0.203&amp;sourceID=14","0.203")</f>
        <v>0.203</v>
      </c>
    </row>
    <row r="12015" spans="1:7">
      <c r="A12015" s="3"/>
      <c r="B12015" s="3"/>
      <c r="C12015" s="3"/>
      <c r="D12015" s="3"/>
      <c r="E12015" s="3">
        <v>12</v>
      </c>
      <c r="F12015" s="4" t="str">
        <f>HYPERLINK("http://141.218.60.56/~jnz1568/getInfo.php?workbook=10_05.xlsx&amp;sheet=U0&amp;row=12015&amp;col=6&amp;number=4.1&amp;sourceID=14","4.1")</f>
        <v>4.1</v>
      </c>
      <c r="G12015" s="4" t="str">
        <f>HYPERLINK("http://141.218.60.56/~jnz1568/getInfo.php?workbook=10_05.xlsx&amp;sheet=U0&amp;row=12015&amp;col=7&amp;number=0.204&amp;sourceID=14","0.204")</f>
        <v>0.204</v>
      </c>
    </row>
    <row r="12016" spans="1:7">
      <c r="A12016" s="3"/>
      <c r="B12016" s="3"/>
      <c r="C12016" s="3"/>
      <c r="D12016" s="3"/>
      <c r="E12016" s="3">
        <v>13</v>
      </c>
      <c r="F12016" s="4" t="str">
        <f>HYPERLINK("http://141.218.60.56/~jnz1568/getInfo.php?workbook=10_05.xlsx&amp;sheet=U0&amp;row=12016&amp;col=6&amp;number=4.2&amp;sourceID=14","4.2")</f>
        <v>4.2</v>
      </c>
      <c r="G12016" s="4" t="str">
        <f>HYPERLINK("http://141.218.60.56/~jnz1568/getInfo.php?workbook=10_05.xlsx&amp;sheet=U0&amp;row=12016&amp;col=7&amp;number=0.205&amp;sourceID=14","0.205")</f>
        <v>0.205</v>
      </c>
    </row>
    <row r="12017" spans="1:7">
      <c r="A12017" s="3"/>
      <c r="B12017" s="3"/>
      <c r="C12017" s="3"/>
      <c r="D12017" s="3"/>
      <c r="E12017" s="3">
        <v>14</v>
      </c>
      <c r="F12017" s="4" t="str">
        <f>HYPERLINK("http://141.218.60.56/~jnz1568/getInfo.php?workbook=10_05.xlsx&amp;sheet=U0&amp;row=12017&amp;col=6&amp;number=4.3&amp;sourceID=14","4.3")</f>
        <v>4.3</v>
      </c>
      <c r="G12017" s="4" t="str">
        <f>HYPERLINK("http://141.218.60.56/~jnz1568/getInfo.php?workbook=10_05.xlsx&amp;sheet=U0&amp;row=12017&amp;col=7&amp;number=0.205&amp;sourceID=14","0.205")</f>
        <v>0.205</v>
      </c>
    </row>
    <row r="12018" spans="1:7">
      <c r="A12018" s="3"/>
      <c r="B12018" s="3"/>
      <c r="C12018" s="3"/>
      <c r="D12018" s="3"/>
      <c r="E12018" s="3">
        <v>15</v>
      </c>
      <c r="F12018" s="4" t="str">
        <f>HYPERLINK("http://141.218.60.56/~jnz1568/getInfo.php?workbook=10_05.xlsx&amp;sheet=U0&amp;row=12018&amp;col=6&amp;number=4.4&amp;sourceID=14","4.4")</f>
        <v>4.4</v>
      </c>
      <c r="G12018" s="4" t="str">
        <f>HYPERLINK("http://141.218.60.56/~jnz1568/getInfo.php?workbook=10_05.xlsx&amp;sheet=U0&amp;row=12018&amp;col=7&amp;number=0.204&amp;sourceID=14","0.204")</f>
        <v>0.204</v>
      </c>
    </row>
    <row r="12019" spans="1:7">
      <c r="A12019" s="3"/>
      <c r="B12019" s="3"/>
      <c r="C12019" s="3"/>
      <c r="D12019" s="3"/>
      <c r="E12019" s="3">
        <v>16</v>
      </c>
      <c r="F12019" s="4" t="str">
        <f>HYPERLINK("http://141.218.60.56/~jnz1568/getInfo.php?workbook=10_05.xlsx&amp;sheet=U0&amp;row=12019&amp;col=6&amp;number=4.5&amp;sourceID=14","4.5")</f>
        <v>4.5</v>
      </c>
      <c r="G12019" s="4" t="str">
        <f>HYPERLINK("http://141.218.60.56/~jnz1568/getInfo.php?workbook=10_05.xlsx&amp;sheet=U0&amp;row=12019&amp;col=7&amp;number=0.202&amp;sourceID=14","0.202")</f>
        <v>0.202</v>
      </c>
    </row>
    <row r="12020" spans="1:7">
      <c r="A12020" s="3"/>
      <c r="B12020" s="3"/>
      <c r="C12020" s="3"/>
      <c r="D12020" s="3"/>
      <c r="E12020" s="3">
        <v>17</v>
      </c>
      <c r="F12020" s="4" t="str">
        <f>HYPERLINK("http://141.218.60.56/~jnz1568/getInfo.php?workbook=10_05.xlsx&amp;sheet=U0&amp;row=12020&amp;col=6&amp;number=4.6&amp;sourceID=14","4.6")</f>
        <v>4.6</v>
      </c>
      <c r="G12020" s="4" t="str">
        <f>HYPERLINK("http://141.218.60.56/~jnz1568/getInfo.php?workbook=10_05.xlsx&amp;sheet=U0&amp;row=12020&amp;col=7&amp;number=0.199&amp;sourceID=14","0.199")</f>
        <v>0.199</v>
      </c>
    </row>
    <row r="12021" spans="1:7">
      <c r="A12021" s="3"/>
      <c r="B12021" s="3"/>
      <c r="C12021" s="3"/>
      <c r="D12021" s="3"/>
      <c r="E12021" s="3">
        <v>18</v>
      </c>
      <c r="F12021" s="4" t="str">
        <f>HYPERLINK("http://141.218.60.56/~jnz1568/getInfo.php?workbook=10_05.xlsx&amp;sheet=U0&amp;row=12021&amp;col=6&amp;number=4.7&amp;sourceID=14","4.7")</f>
        <v>4.7</v>
      </c>
      <c r="G12021" s="4" t="str">
        <f>HYPERLINK("http://141.218.60.56/~jnz1568/getInfo.php?workbook=10_05.xlsx&amp;sheet=U0&amp;row=12021&amp;col=7&amp;number=0.196&amp;sourceID=14","0.196")</f>
        <v>0.196</v>
      </c>
    </row>
    <row r="12022" spans="1:7">
      <c r="A12022" s="3"/>
      <c r="B12022" s="3"/>
      <c r="C12022" s="3"/>
      <c r="D12022" s="3"/>
      <c r="E12022" s="3">
        <v>19</v>
      </c>
      <c r="F12022" s="4" t="str">
        <f>HYPERLINK("http://141.218.60.56/~jnz1568/getInfo.php?workbook=10_05.xlsx&amp;sheet=U0&amp;row=12022&amp;col=6&amp;number=4.8&amp;sourceID=14","4.8")</f>
        <v>4.8</v>
      </c>
      <c r="G12022" s="4" t="str">
        <f>HYPERLINK("http://141.218.60.56/~jnz1568/getInfo.php?workbook=10_05.xlsx&amp;sheet=U0&amp;row=12022&amp;col=7&amp;number=0.192&amp;sourceID=14","0.192")</f>
        <v>0.192</v>
      </c>
    </row>
    <row r="12023" spans="1:7">
      <c r="A12023" s="3"/>
      <c r="B12023" s="3"/>
      <c r="C12023" s="3"/>
      <c r="D12023" s="3"/>
      <c r="E12023" s="3">
        <v>20</v>
      </c>
      <c r="F12023" s="4" t="str">
        <f>HYPERLINK("http://141.218.60.56/~jnz1568/getInfo.php?workbook=10_05.xlsx&amp;sheet=U0&amp;row=12023&amp;col=6&amp;number=4.9&amp;sourceID=14","4.9")</f>
        <v>4.9</v>
      </c>
      <c r="G12023" s="4" t="str">
        <f>HYPERLINK("http://141.218.60.56/~jnz1568/getInfo.php?workbook=10_05.xlsx&amp;sheet=U0&amp;row=12023&amp;col=7&amp;number=0.188&amp;sourceID=14","0.188")</f>
        <v>0.188</v>
      </c>
    </row>
    <row r="12024" spans="1:7">
      <c r="A12024" s="3">
        <v>10</v>
      </c>
      <c r="B12024" s="3">
        <v>5</v>
      </c>
      <c r="C12024" s="3">
        <v>4</v>
      </c>
      <c r="D12024" s="3">
        <v>72</v>
      </c>
      <c r="E12024" s="3">
        <v>1</v>
      </c>
      <c r="F12024" s="4" t="str">
        <f>HYPERLINK("http://141.218.60.56/~jnz1568/getInfo.php?workbook=10_05.xlsx&amp;sheet=U0&amp;row=12024&amp;col=6&amp;number=3&amp;sourceID=14","3")</f>
        <v>3</v>
      </c>
      <c r="G12024" s="4" t="str">
        <f>HYPERLINK("http://141.218.60.56/~jnz1568/getInfo.php?workbook=10_05.xlsx&amp;sheet=U0&amp;row=12024&amp;col=7&amp;number=0.0377&amp;sourceID=14","0.0377")</f>
        <v>0.0377</v>
      </c>
    </row>
    <row r="12025" spans="1:7">
      <c r="A12025" s="3"/>
      <c r="B12025" s="3"/>
      <c r="C12025" s="3"/>
      <c r="D12025" s="3"/>
      <c r="E12025" s="3">
        <v>2</v>
      </c>
      <c r="F12025" s="4" t="str">
        <f>HYPERLINK("http://141.218.60.56/~jnz1568/getInfo.php?workbook=10_05.xlsx&amp;sheet=U0&amp;row=12025&amp;col=6&amp;number=3.1&amp;sourceID=14","3.1")</f>
        <v>3.1</v>
      </c>
      <c r="G12025" s="4" t="str">
        <f>HYPERLINK("http://141.218.60.56/~jnz1568/getInfo.php?workbook=10_05.xlsx&amp;sheet=U0&amp;row=12025&amp;col=7&amp;number=0.0383&amp;sourceID=14","0.0383")</f>
        <v>0.0383</v>
      </c>
    </row>
    <row r="12026" spans="1:7">
      <c r="A12026" s="3"/>
      <c r="B12026" s="3"/>
      <c r="C12026" s="3"/>
      <c r="D12026" s="3"/>
      <c r="E12026" s="3">
        <v>3</v>
      </c>
      <c r="F12026" s="4" t="str">
        <f>HYPERLINK("http://141.218.60.56/~jnz1568/getInfo.php?workbook=10_05.xlsx&amp;sheet=U0&amp;row=12026&amp;col=6&amp;number=3.2&amp;sourceID=14","3.2")</f>
        <v>3.2</v>
      </c>
      <c r="G12026" s="4" t="str">
        <f>HYPERLINK("http://141.218.60.56/~jnz1568/getInfo.php?workbook=10_05.xlsx&amp;sheet=U0&amp;row=12026&amp;col=7&amp;number=0.0391&amp;sourceID=14","0.0391")</f>
        <v>0.0391</v>
      </c>
    </row>
    <row r="12027" spans="1:7">
      <c r="A12027" s="3"/>
      <c r="B12027" s="3"/>
      <c r="C12027" s="3"/>
      <c r="D12027" s="3"/>
      <c r="E12027" s="3">
        <v>4</v>
      </c>
      <c r="F12027" s="4" t="str">
        <f>HYPERLINK("http://141.218.60.56/~jnz1568/getInfo.php?workbook=10_05.xlsx&amp;sheet=U0&amp;row=12027&amp;col=6&amp;number=3.3&amp;sourceID=14","3.3")</f>
        <v>3.3</v>
      </c>
      <c r="G12027" s="4" t="str">
        <f>HYPERLINK("http://141.218.60.56/~jnz1568/getInfo.php?workbook=10_05.xlsx&amp;sheet=U0&amp;row=12027&amp;col=7&amp;number=0.0401&amp;sourceID=14","0.0401")</f>
        <v>0.0401</v>
      </c>
    </row>
    <row r="12028" spans="1:7">
      <c r="A12028" s="3"/>
      <c r="B12028" s="3"/>
      <c r="C12028" s="3"/>
      <c r="D12028" s="3"/>
      <c r="E12028" s="3">
        <v>5</v>
      </c>
      <c r="F12028" s="4" t="str">
        <f>HYPERLINK("http://141.218.60.56/~jnz1568/getInfo.php?workbook=10_05.xlsx&amp;sheet=U0&amp;row=12028&amp;col=6&amp;number=3.4&amp;sourceID=14","3.4")</f>
        <v>3.4</v>
      </c>
      <c r="G12028" s="4" t="str">
        <f>HYPERLINK("http://141.218.60.56/~jnz1568/getInfo.php?workbook=10_05.xlsx&amp;sheet=U0&amp;row=12028&amp;col=7&amp;number=0.0412&amp;sourceID=14","0.0412")</f>
        <v>0.0412</v>
      </c>
    </row>
    <row r="12029" spans="1:7">
      <c r="A12029" s="3"/>
      <c r="B12029" s="3"/>
      <c r="C12029" s="3"/>
      <c r="D12029" s="3"/>
      <c r="E12029" s="3">
        <v>6</v>
      </c>
      <c r="F12029" s="4" t="str">
        <f>HYPERLINK("http://141.218.60.56/~jnz1568/getInfo.php?workbook=10_05.xlsx&amp;sheet=U0&amp;row=12029&amp;col=6&amp;number=3.5&amp;sourceID=14","3.5")</f>
        <v>3.5</v>
      </c>
      <c r="G12029" s="4" t="str">
        <f>HYPERLINK("http://141.218.60.56/~jnz1568/getInfo.php?workbook=10_05.xlsx&amp;sheet=U0&amp;row=12029&amp;col=7&amp;number=0.0426&amp;sourceID=14","0.0426")</f>
        <v>0.0426</v>
      </c>
    </row>
    <row r="12030" spans="1:7">
      <c r="A12030" s="3"/>
      <c r="B12030" s="3"/>
      <c r="C12030" s="3"/>
      <c r="D12030" s="3"/>
      <c r="E12030" s="3">
        <v>7</v>
      </c>
      <c r="F12030" s="4" t="str">
        <f>HYPERLINK("http://141.218.60.56/~jnz1568/getInfo.php?workbook=10_05.xlsx&amp;sheet=U0&amp;row=12030&amp;col=6&amp;number=3.6&amp;sourceID=14","3.6")</f>
        <v>3.6</v>
      </c>
      <c r="G12030" s="4" t="str">
        <f>HYPERLINK("http://141.218.60.56/~jnz1568/getInfo.php?workbook=10_05.xlsx&amp;sheet=U0&amp;row=12030&amp;col=7&amp;number=0.0443&amp;sourceID=14","0.0443")</f>
        <v>0.0443</v>
      </c>
    </row>
    <row r="12031" spans="1:7">
      <c r="A12031" s="3"/>
      <c r="B12031" s="3"/>
      <c r="C12031" s="3"/>
      <c r="D12031" s="3"/>
      <c r="E12031" s="3">
        <v>8</v>
      </c>
      <c r="F12031" s="4" t="str">
        <f>HYPERLINK("http://141.218.60.56/~jnz1568/getInfo.php?workbook=10_05.xlsx&amp;sheet=U0&amp;row=12031&amp;col=6&amp;number=3.7&amp;sourceID=14","3.7")</f>
        <v>3.7</v>
      </c>
      <c r="G12031" s="4" t="str">
        <f>HYPERLINK("http://141.218.60.56/~jnz1568/getInfo.php?workbook=10_05.xlsx&amp;sheet=U0&amp;row=12031&amp;col=7&amp;number=0.0463&amp;sourceID=14","0.0463")</f>
        <v>0.0463</v>
      </c>
    </row>
    <row r="12032" spans="1:7">
      <c r="A12032" s="3"/>
      <c r="B12032" s="3"/>
      <c r="C12032" s="3"/>
      <c r="D12032" s="3"/>
      <c r="E12032" s="3">
        <v>9</v>
      </c>
      <c r="F12032" s="4" t="str">
        <f>HYPERLINK("http://141.218.60.56/~jnz1568/getInfo.php?workbook=10_05.xlsx&amp;sheet=U0&amp;row=12032&amp;col=6&amp;number=3.8&amp;sourceID=14","3.8")</f>
        <v>3.8</v>
      </c>
      <c r="G12032" s="4" t="str">
        <f>HYPERLINK("http://141.218.60.56/~jnz1568/getInfo.php?workbook=10_05.xlsx&amp;sheet=U0&amp;row=12032&amp;col=7&amp;number=0.0484&amp;sourceID=14","0.0484")</f>
        <v>0.0484</v>
      </c>
    </row>
    <row r="12033" spans="1:7">
      <c r="A12033" s="3"/>
      <c r="B12033" s="3"/>
      <c r="C12033" s="3"/>
      <c r="D12033" s="3"/>
      <c r="E12033" s="3">
        <v>10</v>
      </c>
      <c r="F12033" s="4" t="str">
        <f>HYPERLINK("http://141.218.60.56/~jnz1568/getInfo.php?workbook=10_05.xlsx&amp;sheet=U0&amp;row=12033&amp;col=6&amp;number=3.9&amp;sourceID=14","3.9")</f>
        <v>3.9</v>
      </c>
      <c r="G12033" s="4" t="str">
        <f>HYPERLINK("http://141.218.60.56/~jnz1568/getInfo.php?workbook=10_05.xlsx&amp;sheet=U0&amp;row=12033&amp;col=7&amp;number=0.0506&amp;sourceID=14","0.0506")</f>
        <v>0.0506</v>
      </c>
    </row>
    <row r="12034" spans="1:7">
      <c r="A12034" s="3"/>
      <c r="B12034" s="3"/>
      <c r="C12034" s="3"/>
      <c r="D12034" s="3"/>
      <c r="E12034" s="3">
        <v>11</v>
      </c>
      <c r="F12034" s="4" t="str">
        <f>HYPERLINK("http://141.218.60.56/~jnz1568/getInfo.php?workbook=10_05.xlsx&amp;sheet=U0&amp;row=12034&amp;col=6&amp;number=4&amp;sourceID=14","4")</f>
        <v>4</v>
      </c>
      <c r="G12034" s="4" t="str">
        <f>HYPERLINK("http://141.218.60.56/~jnz1568/getInfo.php?workbook=10_05.xlsx&amp;sheet=U0&amp;row=12034&amp;col=7&amp;number=0.0526&amp;sourceID=14","0.0526")</f>
        <v>0.0526</v>
      </c>
    </row>
    <row r="12035" spans="1:7">
      <c r="A12035" s="3"/>
      <c r="B12035" s="3"/>
      <c r="C12035" s="3"/>
      <c r="D12035" s="3"/>
      <c r="E12035" s="3">
        <v>12</v>
      </c>
      <c r="F12035" s="4" t="str">
        <f>HYPERLINK("http://141.218.60.56/~jnz1568/getInfo.php?workbook=10_05.xlsx&amp;sheet=U0&amp;row=12035&amp;col=6&amp;number=4.1&amp;sourceID=14","4.1")</f>
        <v>4.1</v>
      </c>
      <c r="G12035" s="4" t="str">
        <f>HYPERLINK("http://141.218.60.56/~jnz1568/getInfo.php?workbook=10_05.xlsx&amp;sheet=U0&amp;row=12035&amp;col=7&amp;number=0.0539&amp;sourceID=14","0.0539")</f>
        <v>0.0539</v>
      </c>
    </row>
    <row r="12036" spans="1:7">
      <c r="A12036" s="3"/>
      <c r="B12036" s="3"/>
      <c r="C12036" s="3"/>
      <c r="D12036" s="3"/>
      <c r="E12036" s="3">
        <v>13</v>
      </c>
      <c r="F12036" s="4" t="str">
        <f>HYPERLINK("http://141.218.60.56/~jnz1568/getInfo.php?workbook=10_05.xlsx&amp;sheet=U0&amp;row=12036&amp;col=6&amp;number=4.2&amp;sourceID=14","4.2")</f>
        <v>4.2</v>
      </c>
      <c r="G12036" s="4" t="str">
        <f>HYPERLINK("http://141.218.60.56/~jnz1568/getInfo.php?workbook=10_05.xlsx&amp;sheet=U0&amp;row=12036&amp;col=7&amp;number=0.0542&amp;sourceID=14","0.0542")</f>
        <v>0.0542</v>
      </c>
    </row>
    <row r="12037" spans="1:7">
      <c r="A12037" s="3"/>
      <c r="B12037" s="3"/>
      <c r="C12037" s="3"/>
      <c r="D12037" s="3"/>
      <c r="E12037" s="3">
        <v>14</v>
      </c>
      <c r="F12037" s="4" t="str">
        <f>HYPERLINK("http://141.218.60.56/~jnz1568/getInfo.php?workbook=10_05.xlsx&amp;sheet=U0&amp;row=12037&amp;col=6&amp;number=4.3&amp;sourceID=14","4.3")</f>
        <v>4.3</v>
      </c>
      <c r="G12037" s="4" t="str">
        <f>HYPERLINK("http://141.218.60.56/~jnz1568/getInfo.php?workbook=10_05.xlsx&amp;sheet=U0&amp;row=12037&amp;col=7&amp;number=0.0537&amp;sourceID=14","0.0537")</f>
        <v>0.0537</v>
      </c>
    </row>
    <row r="12038" spans="1:7">
      <c r="A12038" s="3"/>
      <c r="B12038" s="3"/>
      <c r="C12038" s="3"/>
      <c r="D12038" s="3"/>
      <c r="E12038" s="3">
        <v>15</v>
      </c>
      <c r="F12038" s="4" t="str">
        <f>HYPERLINK("http://141.218.60.56/~jnz1568/getInfo.php?workbook=10_05.xlsx&amp;sheet=U0&amp;row=12038&amp;col=6&amp;number=4.4&amp;sourceID=14","4.4")</f>
        <v>4.4</v>
      </c>
      <c r="G12038" s="4" t="str">
        <f>HYPERLINK("http://141.218.60.56/~jnz1568/getInfo.php?workbook=10_05.xlsx&amp;sheet=U0&amp;row=12038&amp;col=7&amp;number=0.0525&amp;sourceID=14","0.0525")</f>
        <v>0.0525</v>
      </c>
    </row>
    <row r="12039" spans="1:7">
      <c r="A12039" s="3"/>
      <c r="B12039" s="3"/>
      <c r="C12039" s="3"/>
      <c r="D12039" s="3"/>
      <c r="E12039" s="3">
        <v>16</v>
      </c>
      <c r="F12039" s="4" t="str">
        <f>HYPERLINK("http://141.218.60.56/~jnz1568/getInfo.php?workbook=10_05.xlsx&amp;sheet=U0&amp;row=12039&amp;col=6&amp;number=4.5&amp;sourceID=14","4.5")</f>
        <v>4.5</v>
      </c>
      <c r="G12039" s="4" t="str">
        <f>HYPERLINK("http://141.218.60.56/~jnz1568/getInfo.php?workbook=10_05.xlsx&amp;sheet=U0&amp;row=12039&amp;col=7&amp;number=0.0509&amp;sourceID=14","0.0509")</f>
        <v>0.0509</v>
      </c>
    </row>
    <row r="12040" spans="1:7">
      <c r="A12040" s="3"/>
      <c r="B12040" s="3"/>
      <c r="C12040" s="3"/>
      <c r="D12040" s="3"/>
      <c r="E12040" s="3">
        <v>17</v>
      </c>
      <c r="F12040" s="4" t="str">
        <f>HYPERLINK("http://141.218.60.56/~jnz1568/getInfo.php?workbook=10_05.xlsx&amp;sheet=U0&amp;row=12040&amp;col=6&amp;number=4.6&amp;sourceID=14","4.6")</f>
        <v>4.6</v>
      </c>
      <c r="G12040" s="4" t="str">
        <f>HYPERLINK("http://141.218.60.56/~jnz1568/getInfo.php?workbook=10_05.xlsx&amp;sheet=U0&amp;row=12040&amp;col=7&amp;number=0.0486&amp;sourceID=14","0.0486")</f>
        <v>0.0486</v>
      </c>
    </row>
    <row r="12041" spans="1:7">
      <c r="A12041" s="3"/>
      <c r="B12041" s="3"/>
      <c r="C12041" s="3"/>
      <c r="D12041" s="3"/>
      <c r="E12041" s="3">
        <v>18</v>
      </c>
      <c r="F12041" s="4" t="str">
        <f>HYPERLINK("http://141.218.60.56/~jnz1568/getInfo.php?workbook=10_05.xlsx&amp;sheet=U0&amp;row=12041&amp;col=6&amp;number=4.7&amp;sourceID=14","4.7")</f>
        <v>4.7</v>
      </c>
      <c r="G12041" s="4" t="str">
        <f>HYPERLINK("http://141.218.60.56/~jnz1568/getInfo.php?workbook=10_05.xlsx&amp;sheet=U0&amp;row=12041&amp;col=7&amp;number=0.0451&amp;sourceID=14","0.0451")</f>
        <v>0.0451</v>
      </c>
    </row>
    <row r="12042" spans="1:7">
      <c r="A12042" s="3"/>
      <c r="B12042" s="3"/>
      <c r="C12042" s="3"/>
      <c r="D12042" s="3"/>
      <c r="E12042" s="3">
        <v>19</v>
      </c>
      <c r="F12042" s="4" t="str">
        <f>HYPERLINK("http://141.218.60.56/~jnz1568/getInfo.php?workbook=10_05.xlsx&amp;sheet=U0&amp;row=12042&amp;col=6&amp;number=4.8&amp;sourceID=14","4.8")</f>
        <v>4.8</v>
      </c>
      <c r="G12042" s="4" t="str">
        <f>HYPERLINK("http://141.218.60.56/~jnz1568/getInfo.php?workbook=10_05.xlsx&amp;sheet=U0&amp;row=12042&amp;col=7&amp;number=0.0409&amp;sourceID=14","0.0409")</f>
        <v>0.0409</v>
      </c>
    </row>
    <row r="12043" spans="1:7">
      <c r="A12043" s="3"/>
      <c r="B12043" s="3"/>
      <c r="C12043" s="3"/>
      <c r="D12043" s="3"/>
      <c r="E12043" s="3">
        <v>20</v>
      </c>
      <c r="F12043" s="4" t="str">
        <f>HYPERLINK("http://141.218.60.56/~jnz1568/getInfo.php?workbook=10_05.xlsx&amp;sheet=U0&amp;row=12043&amp;col=6&amp;number=4.9&amp;sourceID=14","4.9")</f>
        <v>4.9</v>
      </c>
      <c r="G12043" s="4" t="str">
        <f>HYPERLINK("http://141.218.60.56/~jnz1568/getInfo.php?workbook=10_05.xlsx&amp;sheet=U0&amp;row=12043&amp;col=7&amp;number=0.0368&amp;sourceID=14","0.0368")</f>
        <v>0.0368</v>
      </c>
    </row>
    <row r="12044" spans="1:7">
      <c r="A12044" s="3">
        <v>10</v>
      </c>
      <c r="B12044" s="3">
        <v>5</v>
      </c>
      <c r="C12044" s="3">
        <v>4</v>
      </c>
      <c r="D12044" s="3">
        <v>73</v>
      </c>
      <c r="E12044" s="3">
        <v>1</v>
      </c>
      <c r="F12044" s="4" t="str">
        <f>HYPERLINK("http://141.218.60.56/~jnz1568/getInfo.php?workbook=10_05.xlsx&amp;sheet=U0&amp;row=12044&amp;col=6&amp;number=3&amp;sourceID=14","3")</f>
        <v>3</v>
      </c>
      <c r="G12044" s="4" t="str">
        <f>HYPERLINK("http://141.218.60.56/~jnz1568/getInfo.php?workbook=10_05.xlsx&amp;sheet=U0&amp;row=12044&amp;col=7&amp;number=0.0126&amp;sourceID=14","0.0126")</f>
        <v>0.0126</v>
      </c>
    </row>
    <row r="12045" spans="1:7">
      <c r="A12045" s="3"/>
      <c r="B12045" s="3"/>
      <c r="C12045" s="3"/>
      <c r="D12045" s="3"/>
      <c r="E12045" s="3">
        <v>2</v>
      </c>
      <c r="F12045" s="4" t="str">
        <f>HYPERLINK("http://141.218.60.56/~jnz1568/getInfo.php?workbook=10_05.xlsx&amp;sheet=U0&amp;row=12045&amp;col=6&amp;number=3.1&amp;sourceID=14","3.1")</f>
        <v>3.1</v>
      </c>
      <c r="G12045" s="4" t="str">
        <f>HYPERLINK("http://141.218.60.56/~jnz1568/getInfo.php?workbook=10_05.xlsx&amp;sheet=U0&amp;row=12045&amp;col=7&amp;number=0.0125&amp;sourceID=14","0.0125")</f>
        <v>0.0125</v>
      </c>
    </row>
    <row r="12046" spans="1:7">
      <c r="A12046" s="3"/>
      <c r="B12046" s="3"/>
      <c r="C12046" s="3"/>
      <c r="D12046" s="3"/>
      <c r="E12046" s="3">
        <v>3</v>
      </c>
      <c r="F12046" s="4" t="str">
        <f>HYPERLINK("http://141.218.60.56/~jnz1568/getInfo.php?workbook=10_05.xlsx&amp;sheet=U0&amp;row=12046&amp;col=6&amp;number=3.2&amp;sourceID=14","3.2")</f>
        <v>3.2</v>
      </c>
      <c r="G12046" s="4" t="str">
        <f>HYPERLINK("http://141.218.60.56/~jnz1568/getInfo.php?workbook=10_05.xlsx&amp;sheet=U0&amp;row=12046&amp;col=7&amp;number=0.0124&amp;sourceID=14","0.0124")</f>
        <v>0.0124</v>
      </c>
    </row>
    <row r="12047" spans="1:7">
      <c r="A12047" s="3"/>
      <c r="B12047" s="3"/>
      <c r="C12047" s="3"/>
      <c r="D12047" s="3"/>
      <c r="E12047" s="3">
        <v>4</v>
      </c>
      <c r="F12047" s="4" t="str">
        <f>HYPERLINK("http://141.218.60.56/~jnz1568/getInfo.php?workbook=10_05.xlsx&amp;sheet=U0&amp;row=12047&amp;col=6&amp;number=3.3&amp;sourceID=14","3.3")</f>
        <v>3.3</v>
      </c>
      <c r="G12047" s="4" t="str">
        <f>HYPERLINK("http://141.218.60.56/~jnz1568/getInfo.php?workbook=10_05.xlsx&amp;sheet=U0&amp;row=12047&amp;col=7&amp;number=0.0122&amp;sourceID=14","0.0122")</f>
        <v>0.0122</v>
      </c>
    </row>
    <row r="12048" spans="1:7">
      <c r="A12048" s="3"/>
      <c r="B12048" s="3"/>
      <c r="C12048" s="3"/>
      <c r="D12048" s="3"/>
      <c r="E12048" s="3">
        <v>5</v>
      </c>
      <c r="F12048" s="4" t="str">
        <f>HYPERLINK("http://141.218.60.56/~jnz1568/getInfo.php?workbook=10_05.xlsx&amp;sheet=U0&amp;row=12048&amp;col=6&amp;number=3.4&amp;sourceID=14","3.4")</f>
        <v>3.4</v>
      </c>
      <c r="G12048" s="4" t="str">
        <f>HYPERLINK("http://141.218.60.56/~jnz1568/getInfo.php?workbook=10_05.xlsx&amp;sheet=U0&amp;row=12048&amp;col=7&amp;number=0.012&amp;sourceID=14","0.012")</f>
        <v>0.012</v>
      </c>
    </row>
    <row r="12049" spans="1:7">
      <c r="A12049" s="3"/>
      <c r="B12049" s="3"/>
      <c r="C12049" s="3"/>
      <c r="D12049" s="3"/>
      <c r="E12049" s="3">
        <v>6</v>
      </c>
      <c r="F12049" s="4" t="str">
        <f>HYPERLINK("http://141.218.60.56/~jnz1568/getInfo.php?workbook=10_05.xlsx&amp;sheet=U0&amp;row=12049&amp;col=6&amp;number=3.5&amp;sourceID=14","3.5")</f>
        <v>3.5</v>
      </c>
      <c r="G12049" s="4" t="str">
        <f>HYPERLINK("http://141.218.60.56/~jnz1568/getInfo.php?workbook=10_05.xlsx&amp;sheet=U0&amp;row=12049&amp;col=7&amp;number=0.0118&amp;sourceID=14","0.0118")</f>
        <v>0.0118</v>
      </c>
    </row>
    <row r="12050" spans="1:7">
      <c r="A12050" s="3"/>
      <c r="B12050" s="3"/>
      <c r="C12050" s="3"/>
      <c r="D12050" s="3"/>
      <c r="E12050" s="3">
        <v>7</v>
      </c>
      <c r="F12050" s="4" t="str">
        <f>HYPERLINK("http://141.218.60.56/~jnz1568/getInfo.php?workbook=10_05.xlsx&amp;sheet=U0&amp;row=12050&amp;col=6&amp;number=3.6&amp;sourceID=14","3.6")</f>
        <v>3.6</v>
      </c>
      <c r="G12050" s="4" t="str">
        <f>HYPERLINK("http://141.218.60.56/~jnz1568/getInfo.php?workbook=10_05.xlsx&amp;sheet=U0&amp;row=12050&amp;col=7&amp;number=0.0116&amp;sourceID=14","0.0116")</f>
        <v>0.0116</v>
      </c>
    </row>
    <row r="12051" spans="1:7">
      <c r="A12051" s="3"/>
      <c r="B12051" s="3"/>
      <c r="C12051" s="3"/>
      <c r="D12051" s="3"/>
      <c r="E12051" s="3">
        <v>8</v>
      </c>
      <c r="F12051" s="4" t="str">
        <f>HYPERLINK("http://141.218.60.56/~jnz1568/getInfo.php?workbook=10_05.xlsx&amp;sheet=U0&amp;row=12051&amp;col=6&amp;number=3.7&amp;sourceID=14","3.7")</f>
        <v>3.7</v>
      </c>
      <c r="G12051" s="4" t="str">
        <f>HYPERLINK("http://141.218.60.56/~jnz1568/getInfo.php?workbook=10_05.xlsx&amp;sheet=U0&amp;row=12051&amp;col=7&amp;number=0.0113&amp;sourceID=14","0.0113")</f>
        <v>0.0113</v>
      </c>
    </row>
    <row r="12052" spans="1:7">
      <c r="A12052" s="3"/>
      <c r="B12052" s="3"/>
      <c r="C12052" s="3"/>
      <c r="D12052" s="3"/>
      <c r="E12052" s="3">
        <v>9</v>
      </c>
      <c r="F12052" s="4" t="str">
        <f>HYPERLINK("http://141.218.60.56/~jnz1568/getInfo.php?workbook=10_05.xlsx&amp;sheet=U0&amp;row=12052&amp;col=6&amp;number=3.8&amp;sourceID=14","3.8")</f>
        <v>3.8</v>
      </c>
      <c r="G12052" s="4" t="str">
        <f>HYPERLINK("http://141.218.60.56/~jnz1568/getInfo.php?workbook=10_05.xlsx&amp;sheet=U0&amp;row=12052&amp;col=7&amp;number=0.011&amp;sourceID=14","0.011")</f>
        <v>0.011</v>
      </c>
    </row>
    <row r="12053" spans="1:7">
      <c r="A12053" s="3"/>
      <c r="B12053" s="3"/>
      <c r="C12053" s="3"/>
      <c r="D12053" s="3"/>
      <c r="E12053" s="3">
        <v>10</v>
      </c>
      <c r="F12053" s="4" t="str">
        <f>HYPERLINK("http://141.218.60.56/~jnz1568/getInfo.php?workbook=10_05.xlsx&amp;sheet=U0&amp;row=12053&amp;col=6&amp;number=3.9&amp;sourceID=14","3.9")</f>
        <v>3.9</v>
      </c>
      <c r="G12053" s="4" t="str">
        <f>HYPERLINK("http://141.218.60.56/~jnz1568/getInfo.php?workbook=10_05.xlsx&amp;sheet=U0&amp;row=12053&amp;col=7&amp;number=0.0108&amp;sourceID=14","0.0108")</f>
        <v>0.0108</v>
      </c>
    </row>
    <row r="12054" spans="1:7">
      <c r="A12054" s="3"/>
      <c r="B12054" s="3"/>
      <c r="C12054" s="3"/>
      <c r="D12054" s="3"/>
      <c r="E12054" s="3">
        <v>11</v>
      </c>
      <c r="F12054" s="4" t="str">
        <f>HYPERLINK("http://141.218.60.56/~jnz1568/getInfo.php?workbook=10_05.xlsx&amp;sheet=U0&amp;row=12054&amp;col=6&amp;number=4&amp;sourceID=14","4")</f>
        <v>4</v>
      </c>
      <c r="G12054" s="4" t="str">
        <f>HYPERLINK("http://141.218.60.56/~jnz1568/getInfo.php?workbook=10_05.xlsx&amp;sheet=U0&amp;row=12054&amp;col=7&amp;number=0.0105&amp;sourceID=14","0.0105")</f>
        <v>0.0105</v>
      </c>
    </row>
    <row r="12055" spans="1:7">
      <c r="A12055" s="3"/>
      <c r="B12055" s="3"/>
      <c r="C12055" s="3"/>
      <c r="D12055" s="3"/>
      <c r="E12055" s="3">
        <v>12</v>
      </c>
      <c r="F12055" s="4" t="str">
        <f>HYPERLINK("http://141.218.60.56/~jnz1568/getInfo.php?workbook=10_05.xlsx&amp;sheet=U0&amp;row=12055&amp;col=6&amp;number=4.1&amp;sourceID=14","4.1")</f>
        <v>4.1</v>
      </c>
      <c r="G12055" s="4" t="str">
        <f>HYPERLINK("http://141.218.60.56/~jnz1568/getInfo.php?workbook=10_05.xlsx&amp;sheet=U0&amp;row=12055&amp;col=7&amp;number=0.0105&amp;sourceID=14","0.0105")</f>
        <v>0.0105</v>
      </c>
    </row>
    <row r="12056" spans="1:7">
      <c r="A12056" s="3"/>
      <c r="B12056" s="3"/>
      <c r="C12056" s="3"/>
      <c r="D12056" s="3"/>
      <c r="E12056" s="3">
        <v>13</v>
      </c>
      <c r="F12056" s="4" t="str">
        <f>HYPERLINK("http://141.218.60.56/~jnz1568/getInfo.php?workbook=10_05.xlsx&amp;sheet=U0&amp;row=12056&amp;col=6&amp;number=4.2&amp;sourceID=14","4.2")</f>
        <v>4.2</v>
      </c>
      <c r="G12056" s="4" t="str">
        <f>HYPERLINK("http://141.218.60.56/~jnz1568/getInfo.php?workbook=10_05.xlsx&amp;sheet=U0&amp;row=12056&amp;col=7&amp;number=0.0106&amp;sourceID=14","0.0106")</f>
        <v>0.0106</v>
      </c>
    </row>
    <row r="12057" spans="1:7">
      <c r="A12057" s="3"/>
      <c r="B12057" s="3"/>
      <c r="C12057" s="3"/>
      <c r="D12057" s="3"/>
      <c r="E12057" s="3">
        <v>14</v>
      </c>
      <c r="F12057" s="4" t="str">
        <f>HYPERLINK("http://141.218.60.56/~jnz1568/getInfo.php?workbook=10_05.xlsx&amp;sheet=U0&amp;row=12057&amp;col=6&amp;number=4.3&amp;sourceID=14","4.3")</f>
        <v>4.3</v>
      </c>
      <c r="G12057" s="4" t="str">
        <f>HYPERLINK("http://141.218.60.56/~jnz1568/getInfo.php?workbook=10_05.xlsx&amp;sheet=U0&amp;row=12057&amp;col=7&amp;number=0.0107&amp;sourceID=14","0.0107")</f>
        <v>0.0107</v>
      </c>
    </row>
    <row r="12058" spans="1:7">
      <c r="A12058" s="3"/>
      <c r="B12058" s="3"/>
      <c r="C12058" s="3"/>
      <c r="D12058" s="3"/>
      <c r="E12058" s="3">
        <v>15</v>
      </c>
      <c r="F12058" s="4" t="str">
        <f>HYPERLINK("http://141.218.60.56/~jnz1568/getInfo.php?workbook=10_05.xlsx&amp;sheet=U0&amp;row=12058&amp;col=6&amp;number=4.4&amp;sourceID=14","4.4")</f>
        <v>4.4</v>
      </c>
      <c r="G12058" s="4" t="str">
        <f>HYPERLINK("http://141.218.60.56/~jnz1568/getInfo.php?workbook=10_05.xlsx&amp;sheet=U0&amp;row=12058&amp;col=7&amp;number=0.0107&amp;sourceID=14","0.0107")</f>
        <v>0.0107</v>
      </c>
    </row>
    <row r="12059" spans="1:7">
      <c r="A12059" s="3"/>
      <c r="B12059" s="3"/>
      <c r="C12059" s="3"/>
      <c r="D12059" s="3"/>
      <c r="E12059" s="3">
        <v>16</v>
      </c>
      <c r="F12059" s="4" t="str">
        <f>HYPERLINK("http://141.218.60.56/~jnz1568/getInfo.php?workbook=10_05.xlsx&amp;sheet=U0&amp;row=12059&amp;col=6&amp;number=4.5&amp;sourceID=14","4.5")</f>
        <v>4.5</v>
      </c>
      <c r="G12059" s="4" t="str">
        <f>HYPERLINK("http://141.218.60.56/~jnz1568/getInfo.php?workbook=10_05.xlsx&amp;sheet=U0&amp;row=12059&amp;col=7&amp;number=0.0104&amp;sourceID=14","0.0104")</f>
        <v>0.0104</v>
      </c>
    </row>
    <row r="12060" spans="1:7">
      <c r="A12060" s="3"/>
      <c r="B12060" s="3"/>
      <c r="C12060" s="3"/>
      <c r="D12060" s="3"/>
      <c r="E12060" s="3">
        <v>17</v>
      </c>
      <c r="F12060" s="4" t="str">
        <f>HYPERLINK("http://141.218.60.56/~jnz1568/getInfo.php?workbook=10_05.xlsx&amp;sheet=U0&amp;row=12060&amp;col=6&amp;number=4.6&amp;sourceID=14","4.6")</f>
        <v>4.6</v>
      </c>
      <c r="G12060" s="4" t="str">
        <f>HYPERLINK("http://141.218.60.56/~jnz1568/getInfo.php?workbook=10_05.xlsx&amp;sheet=U0&amp;row=12060&amp;col=7&amp;number=0.00986&amp;sourceID=14","0.00986")</f>
        <v>0.00986</v>
      </c>
    </row>
    <row r="12061" spans="1:7">
      <c r="A12061" s="3"/>
      <c r="B12061" s="3"/>
      <c r="C12061" s="3"/>
      <c r="D12061" s="3"/>
      <c r="E12061" s="3">
        <v>18</v>
      </c>
      <c r="F12061" s="4" t="str">
        <f>HYPERLINK("http://141.218.60.56/~jnz1568/getInfo.php?workbook=10_05.xlsx&amp;sheet=U0&amp;row=12061&amp;col=6&amp;number=4.7&amp;sourceID=14","4.7")</f>
        <v>4.7</v>
      </c>
      <c r="G12061" s="4" t="str">
        <f>HYPERLINK("http://141.218.60.56/~jnz1568/getInfo.php?workbook=10_05.xlsx&amp;sheet=U0&amp;row=12061&amp;col=7&amp;number=0.00927&amp;sourceID=14","0.00927")</f>
        <v>0.00927</v>
      </c>
    </row>
    <row r="12062" spans="1:7">
      <c r="A12062" s="3"/>
      <c r="B12062" s="3"/>
      <c r="C12062" s="3"/>
      <c r="D12062" s="3"/>
      <c r="E12062" s="3">
        <v>19</v>
      </c>
      <c r="F12062" s="4" t="str">
        <f>HYPERLINK("http://141.218.60.56/~jnz1568/getInfo.php?workbook=10_05.xlsx&amp;sheet=U0&amp;row=12062&amp;col=6&amp;number=4.8&amp;sourceID=14","4.8")</f>
        <v>4.8</v>
      </c>
      <c r="G12062" s="4" t="str">
        <f>HYPERLINK("http://141.218.60.56/~jnz1568/getInfo.php?workbook=10_05.xlsx&amp;sheet=U0&amp;row=12062&amp;col=7&amp;number=0.0086&amp;sourceID=14","0.0086")</f>
        <v>0.0086</v>
      </c>
    </row>
    <row r="12063" spans="1:7">
      <c r="A12063" s="3"/>
      <c r="B12063" s="3"/>
      <c r="C12063" s="3"/>
      <c r="D12063" s="3"/>
      <c r="E12063" s="3">
        <v>20</v>
      </c>
      <c r="F12063" s="4" t="str">
        <f>HYPERLINK("http://141.218.60.56/~jnz1568/getInfo.php?workbook=10_05.xlsx&amp;sheet=U0&amp;row=12063&amp;col=6&amp;number=4.9&amp;sourceID=14","4.9")</f>
        <v>4.9</v>
      </c>
      <c r="G12063" s="4" t="str">
        <f>HYPERLINK("http://141.218.60.56/~jnz1568/getInfo.php?workbook=10_05.xlsx&amp;sheet=U0&amp;row=12063&amp;col=7&amp;number=0.0078&amp;sourceID=14","0.0078")</f>
        <v>0.0078</v>
      </c>
    </row>
    <row r="12064" spans="1:7">
      <c r="A12064" s="3">
        <v>10</v>
      </c>
      <c r="B12064" s="3">
        <v>5</v>
      </c>
      <c r="C12064" s="3">
        <v>4</v>
      </c>
      <c r="D12064" s="3">
        <v>74</v>
      </c>
      <c r="E12064" s="3">
        <v>1</v>
      </c>
      <c r="F12064" s="4" t="str">
        <f>HYPERLINK("http://141.218.60.56/~jnz1568/getInfo.php?workbook=10_05.xlsx&amp;sheet=U0&amp;row=12064&amp;col=6&amp;number=3&amp;sourceID=14","3")</f>
        <v>3</v>
      </c>
      <c r="G12064" s="4" t="str">
        <f>HYPERLINK("http://141.218.60.56/~jnz1568/getInfo.php?workbook=10_05.xlsx&amp;sheet=U0&amp;row=12064&amp;col=7&amp;number=0.0157&amp;sourceID=14","0.0157")</f>
        <v>0.0157</v>
      </c>
    </row>
    <row r="12065" spans="1:7">
      <c r="A12065" s="3"/>
      <c r="B12065" s="3"/>
      <c r="C12065" s="3"/>
      <c r="D12065" s="3"/>
      <c r="E12065" s="3">
        <v>2</v>
      </c>
      <c r="F12065" s="4" t="str">
        <f>HYPERLINK("http://141.218.60.56/~jnz1568/getInfo.php?workbook=10_05.xlsx&amp;sheet=U0&amp;row=12065&amp;col=6&amp;number=3.1&amp;sourceID=14","3.1")</f>
        <v>3.1</v>
      </c>
      <c r="G12065" s="4" t="str">
        <f>HYPERLINK("http://141.218.60.56/~jnz1568/getInfo.php?workbook=10_05.xlsx&amp;sheet=U0&amp;row=12065&amp;col=7&amp;number=0.0155&amp;sourceID=14","0.0155")</f>
        <v>0.0155</v>
      </c>
    </row>
    <row r="12066" spans="1:7">
      <c r="A12066" s="3"/>
      <c r="B12066" s="3"/>
      <c r="C12066" s="3"/>
      <c r="D12066" s="3"/>
      <c r="E12066" s="3">
        <v>3</v>
      </c>
      <c r="F12066" s="4" t="str">
        <f>HYPERLINK("http://141.218.60.56/~jnz1568/getInfo.php?workbook=10_05.xlsx&amp;sheet=U0&amp;row=12066&amp;col=6&amp;number=3.2&amp;sourceID=14","3.2")</f>
        <v>3.2</v>
      </c>
      <c r="G12066" s="4" t="str">
        <f>HYPERLINK("http://141.218.60.56/~jnz1568/getInfo.php?workbook=10_05.xlsx&amp;sheet=U0&amp;row=12066&amp;col=7&amp;number=0.0154&amp;sourceID=14","0.0154")</f>
        <v>0.0154</v>
      </c>
    </row>
    <row r="12067" spans="1:7">
      <c r="A12067" s="3"/>
      <c r="B12067" s="3"/>
      <c r="C12067" s="3"/>
      <c r="D12067" s="3"/>
      <c r="E12067" s="3">
        <v>4</v>
      </c>
      <c r="F12067" s="4" t="str">
        <f>HYPERLINK("http://141.218.60.56/~jnz1568/getInfo.php?workbook=10_05.xlsx&amp;sheet=U0&amp;row=12067&amp;col=6&amp;number=3.3&amp;sourceID=14","3.3")</f>
        <v>3.3</v>
      </c>
      <c r="G12067" s="4" t="str">
        <f>HYPERLINK("http://141.218.60.56/~jnz1568/getInfo.php?workbook=10_05.xlsx&amp;sheet=U0&amp;row=12067&amp;col=7&amp;number=0.0152&amp;sourceID=14","0.0152")</f>
        <v>0.0152</v>
      </c>
    </row>
    <row r="12068" spans="1:7">
      <c r="A12068" s="3"/>
      <c r="B12068" s="3"/>
      <c r="C12068" s="3"/>
      <c r="D12068" s="3"/>
      <c r="E12068" s="3">
        <v>5</v>
      </c>
      <c r="F12068" s="4" t="str">
        <f>HYPERLINK("http://141.218.60.56/~jnz1568/getInfo.php?workbook=10_05.xlsx&amp;sheet=U0&amp;row=12068&amp;col=6&amp;number=3.4&amp;sourceID=14","3.4")</f>
        <v>3.4</v>
      </c>
      <c r="G12068" s="4" t="str">
        <f>HYPERLINK("http://141.218.60.56/~jnz1568/getInfo.php?workbook=10_05.xlsx&amp;sheet=U0&amp;row=12068&amp;col=7&amp;number=0.015&amp;sourceID=14","0.015")</f>
        <v>0.015</v>
      </c>
    </row>
    <row r="12069" spans="1:7">
      <c r="A12069" s="3"/>
      <c r="B12069" s="3"/>
      <c r="C12069" s="3"/>
      <c r="D12069" s="3"/>
      <c r="E12069" s="3">
        <v>6</v>
      </c>
      <c r="F12069" s="4" t="str">
        <f>HYPERLINK("http://141.218.60.56/~jnz1568/getInfo.php?workbook=10_05.xlsx&amp;sheet=U0&amp;row=12069&amp;col=6&amp;number=3.5&amp;sourceID=14","3.5")</f>
        <v>3.5</v>
      </c>
      <c r="G12069" s="4" t="str">
        <f>HYPERLINK("http://141.218.60.56/~jnz1568/getInfo.php?workbook=10_05.xlsx&amp;sheet=U0&amp;row=12069&amp;col=7&amp;number=0.0147&amp;sourceID=14","0.0147")</f>
        <v>0.0147</v>
      </c>
    </row>
    <row r="12070" spans="1:7">
      <c r="A12070" s="3"/>
      <c r="B12070" s="3"/>
      <c r="C12070" s="3"/>
      <c r="D12070" s="3"/>
      <c r="E12070" s="3">
        <v>7</v>
      </c>
      <c r="F12070" s="4" t="str">
        <f>HYPERLINK("http://141.218.60.56/~jnz1568/getInfo.php?workbook=10_05.xlsx&amp;sheet=U0&amp;row=12070&amp;col=6&amp;number=3.6&amp;sourceID=14","3.6")</f>
        <v>3.6</v>
      </c>
      <c r="G12070" s="4" t="str">
        <f>HYPERLINK("http://141.218.60.56/~jnz1568/getInfo.php?workbook=10_05.xlsx&amp;sheet=U0&amp;row=12070&amp;col=7&amp;number=0.0144&amp;sourceID=14","0.0144")</f>
        <v>0.0144</v>
      </c>
    </row>
    <row r="12071" spans="1:7">
      <c r="A12071" s="3"/>
      <c r="B12071" s="3"/>
      <c r="C12071" s="3"/>
      <c r="D12071" s="3"/>
      <c r="E12071" s="3">
        <v>8</v>
      </c>
      <c r="F12071" s="4" t="str">
        <f>HYPERLINK("http://141.218.60.56/~jnz1568/getInfo.php?workbook=10_05.xlsx&amp;sheet=U0&amp;row=12071&amp;col=6&amp;number=3.7&amp;sourceID=14","3.7")</f>
        <v>3.7</v>
      </c>
      <c r="G12071" s="4" t="str">
        <f>HYPERLINK("http://141.218.60.56/~jnz1568/getInfo.php?workbook=10_05.xlsx&amp;sheet=U0&amp;row=12071&amp;col=7&amp;number=0.0141&amp;sourceID=14","0.0141")</f>
        <v>0.0141</v>
      </c>
    </row>
    <row r="12072" spans="1:7">
      <c r="A12072" s="3"/>
      <c r="B12072" s="3"/>
      <c r="C12072" s="3"/>
      <c r="D12072" s="3"/>
      <c r="E12072" s="3">
        <v>9</v>
      </c>
      <c r="F12072" s="4" t="str">
        <f>HYPERLINK("http://141.218.60.56/~jnz1568/getInfo.php?workbook=10_05.xlsx&amp;sheet=U0&amp;row=12072&amp;col=6&amp;number=3.8&amp;sourceID=14","3.8")</f>
        <v>3.8</v>
      </c>
      <c r="G12072" s="4" t="str">
        <f>HYPERLINK("http://141.218.60.56/~jnz1568/getInfo.php?workbook=10_05.xlsx&amp;sheet=U0&amp;row=12072&amp;col=7&amp;number=0.0138&amp;sourceID=14","0.0138")</f>
        <v>0.0138</v>
      </c>
    </row>
    <row r="12073" spans="1:7">
      <c r="A12073" s="3"/>
      <c r="B12073" s="3"/>
      <c r="C12073" s="3"/>
      <c r="D12073" s="3"/>
      <c r="E12073" s="3">
        <v>10</v>
      </c>
      <c r="F12073" s="4" t="str">
        <f>HYPERLINK("http://141.218.60.56/~jnz1568/getInfo.php?workbook=10_05.xlsx&amp;sheet=U0&amp;row=12073&amp;col=6&amp;number=3.9&amp;sourceID=14","3.9")</f>
        <v>3.9</v>
      </c>
      <c r="G12073" s="4" t="str">
        <f>HYPERLINK("http://141.218.60.56/~jnz1568/getInfo.php?workbook=10_05.xlsx&amp;sheet=U0&amp;row=12073&amp;col=7&amp;number=0.0135&amp;sourceID=14","0.0135")</f>
        <v>0.0135</v>
      </c>
    </row>
    <row r="12074" spans="1:7">
      <c r="A12074" s="3"/>
      <c r="B12074" s="3"/>
      <c r="C12074" s="3"/>
      <c r="D12074" s="3"/>
      <c r="E12074" s="3">
        <v>11</v>
      </c>
      <c r="F12074" s="4" t="str">
        <f>HYPERLINK("http://141.218.60.56/~jnz1568/getInfo.php?workbook=10_05.xlsx&amp;sheet=U0&amp;row=12074&amp;col=6&amp;number=4&amp;sourceID=14","4")</f>
        <v>4</v>
      </c>
      <c r="G12074" s="4" t="str">
        <f>HYPERLINK("http://141.218.60.56/~jnz1568/getInfo.php?workbook=10_05.xlsx&amp;sheet=U0&amp;row=12074&amp;col=7&amp;number=0.0133&amp;sourceID=14","0.0133")</f>
        <v>0.0133</v>
      </c>
    </row>
    <row r="12075" spans="1:7">
      <c r="A12075" s="3"/>
      <c r="B12075" s="3"/>
      <c r="C12075" s="3"/>
      <c r="D12075" s="3"/>
      <c r="E12075" s="3">
        <v>12</v>
      </c>
      <c r="F12075" s="4" t="str">
        <f>HYPERLINK("http://141.218.60.56/~jnz1568/getInfo.php?workbook=10_05.xlsx&amp;sheet=U0&amp;row=12075&amp;col=6&amp;number=4.1&amp;sourceID=14","4.1")</f>
        <v>4.1</v>
      </c>
      <c r="G12075" s="4" t="str">
        <f>HYPERLINK("http://141.218.60.56/~jnz1568/getInfo.php?workbook=10_05.xlsx&amp;sheet=U0&amp;row=12075&amp;col=7&amp;number=0.0133&amp;sourceID=14","0.0133")</f>
        <v>0.0133</v>
      </c>
    </row>
    <row r="12076" spans="1:7">
      <c r="A12076" s="3"/>
      <c r="B12076" s="3"/>
      <c r="C12076" s="3"/>
      <c r="D12076" s="3"/>
      <c r="E12076" s="3">
        <v>13</v>
      </c>
      <c r="F12076" s="4" t="str">
        <f>HYPERLINK("http://141.218.60.56/~jnz1568/getInfo.php?workbook=10_05.xlsx&amp;sheet=U0&amp;row=12076&amp;col=6&amp;number=4.2&amp;sourceID=14","4.2")</f>
        <v>4.2</v>
      </c>
      <c r="G12076" s="4" t="str">
        <f>HYPERLINK("http://141.218.60.56/~jnz1568/getInfo.php?workbook=10_05.xlsx&amp;sheet=U0&amp;row=12076&amp;col=7&amp;number=0.0133&amp;sourceID=14","0.0133")</f>
        <v>0.0133</v>
      </c>
    </row>
    <row r="12077" spans="1:7">
      <c r="A12077" s="3"/>
      <c r="B12077" s="3"/>
      <c r="C12077" s="3"/>
      <c r="D12077" s="3"/>
      <c r="E12077" s="3">
        <v>14</v>
      </c>
      <c r="F12077" s="4" t="str">
        <f>HYPERLINK("http://141.218.60.56/~jnz1568/getInfo.php?workbook=10_05.xlsx&amp;sheet=U0&amp;row=12077&amp;col=6&amp;number=4.3&amp;sourceID=14","4.3")</f>
        <v>4.3</v>
      </c>
      <c r="G12077" s="4" t="str">
        <f>HYPERLINK("http://141.218.60.56/~jnz1568/getInfo.php?workbook=10_05.xlsx&amp;sheet=U0&amp;row=12077&amp;col=7&amp;number=0.0133&amp;sourceID=14","0.0133")</f>
        <v>0.0133</v>
      </c>
    </row>
    <row r="12078" spans="1:7">
      <c r="A12078" s="3"/>
      <c r="B12078" s="3"/>
      <c r="C12078" s="3"/>
      <c r="D12078" s="3"/>
      <c r="E12078" s="3">
        <v>15</v>
      </c>
      <c r="F12078" s="4" t="str">
        <f>HYPERLINK("http://141.218.60.56/~jnz1568/getInfo.php?workbook=10_05.xlsx&amp;sheet=U0&amp;row=12078&amp;col=6&amp;number=4.4&amp;sourceID=14","4.4")</f>
        <v>4.4</v>
      </c>
      <c r="G12078" s="4" t="str">
        <f>HYPERLINK("http://141.218.60.56/~jnz1568/getInfo.php?workbook=10_05.xlsx&amp;sheet=U0&amp;row=12078&amp;col=7&amp;number=0.013&amp;sourceID=14","0.013")</f>
        <v>0.013</v>
      </c>
    </row>
    <row r="12079" spans="1:7">
      <c r="A12079" s="3"/>
      <c r="B12079" s="3"/>
      <c r="C12079" s="3"/>
      <c r="D12079" s="3"/>
      <c r="E12079" s="3">
        <v>16</v>
      </c>
      <c r="F12079" s="4" t="str">
        <f>HYPERLINK("http://141.218.60.56/~jnz1568/getInfo.php?workbook=10_05.xlsx&amp;sheet=U0&amp;row=12079&amp;col=6&amp;number=4.5&amp;sourceID=14","4.5")</f>
        <v>4.5</v>
      </c>
      <c r="G12079" s="4" t="str">
        <f>HYPERLINK("http://141.218.60.56/~jnz1568/getInfo.php?workbook=10_05.xlsx&amp;sheet=U0&amp;row=12079&amp;col=7&amp;number=0.0126&amp;sourceID=14","0.0126")</f>
        <v>0.0126</v>
      </c>
    </row>
    <row r="12080" spans="1:7">
      <c r="A12080" s="3"/>
      <c r="B12080" s="3"/>
      <c r="C12080" s="3"/>
      <c r="D12080" s="3"/>
      <c r="E12080" s="3">
        <v>17</v>
      </c>
      <c r="F12080" s="4" t="str">
        <f>HYPERLINK("http://141.218.60.56/~jnz1568/getInfo.php?workbook=10_05.xlsx&amp;sheet=U0&amp;row=12080&amp;col=6&amp;number=4.6&amp;sourceID=14","4.6")</f>
        <v>4.6</v>
      </c>
      <c r="G12080" s="4" t="str">
        <f>HYPERLINK("http://141.218.60.56/~jnz1568/getInfo.php?workbook=10_05.xlsx&amp;sheet=U0&amp;row=12080&amp;col=7&amp;number=0.0121&amp;sourceID=14","0.0121")</f>
        <v>0.0121</v>
      </c>
    </row>
    <row r="12081" spans="1:7">
      <c r="A12081" s="3"/>
      <c r="B12081" s="3"/>
      <c r="C12081" s="3"/>
      <c r="D12081" s="3"/>
      <c r="E12081" s="3">
        <v>18</v>
      </c>
      <c r="F12081" s="4" t="str">
        <f>HYPERLINK("http://141.218.60.56/~jnz1568/getInfo.php?workbook=10_05.xlsx&amp;sheet=U0&amp;row=12081&amp;col=6&amp;number=4.7&amp;sourceID=14","4.7")</f>
        <v>4.7</v>
      </c>
      <c r="G12081" s="4" t="str">
        <f>HYPERLINK("http://141.218.60.56/~jnz1568/getInfo.php?workbook=10_05.xlsx&amp;sheet=U0&amp;row=12081&amp;col=7&amp;number=0.0114&amp;sourceID=14","0.0114")</f>
        <v>0.0114</v>
      </c>
    </row>
    <row r="12082" spans="1:7">
      <c r="A12082" s="3"/>
      <c r="B12082" s="3"/>
      <c r="C12082" s="3"/>
      <c r="D12082" s="3"/>
      <c r="E12082" s="3">
        <v>19</v>
      </c>
      <c r="F12082" s="4" t="str">
        <f>HYPERLINK("http://141.218.60.56/~jnz1568/getInfo.php?workbook=10_05.xlsx&amp;sheet=U0&amp;row=12082&amp;col=6&amp;number=4.8&amp;sourceID=14","4.8")</f>
        <v>4.8</v>
      </c>
      <c r="G12082" s="4" t="str">
        <f>HYPERLINK("http://141.218.60.56/~jnz1568/getInfo.php?workbook=10_05.xlsx&amp;sheet=U0&amp;row=12082&amp;col=7&amp;number=0.0105&amp;sourceID=14","0.0105")</f>
        <v>0.0105</v>
      </c>
    </row>
    <row r="12083" spans="1:7">
      <c r="A12083" s="3"/>
      <c r="B12083" s="3"/>
      <c r="C12083" s="3"/>
      <c r="D12083" s="3"/>
      <c r="E12083" s="3">
        <v>20</v>
      </c>
      <c r="F12083" s="4" t="str">
        <f>HYPERLINK("http://141.218.60.56/~jnz1568/getInfo.php?workbook=10_05.xlsx&amp;sheet=U0&amp;row=12083&amp;col=6&amp;number=4.9&amp;sourceID=14","4.9")</f>
        <v>4.9</v>
      </c>
      <c r="G12083" s="4" t="str">
        <f>HYPERLINK("http://141.218.60.56/~jnz1568/getInfo.php?workbook=10_05.xlsx&amp;sheet=U0&amp;row=12083&amp;col=7&amp;number=0.00954&amp;sourceID=14","0.00954")</f>
        <v>0.00954</v>
      </c>
    </row>
    <row r="12084" spans="1:7">
      <c r="A12084" s="3">
        <v>10</v>
      </c>
      <c r="B12084" s="3">
        <v>5</v>
      </c>
      <c r="C12084" s="3">
        <v>4</v>
      </c>
      <c r="D12084" s="3">
        <v>75</v>
      </c>
      <c r="E12084" s="3">
        <v>1</v>
      </c>
      <c r="F12084" s="4" t="str">
        <f>HYPERLINK("http://141.218.60.56/~jnz1568/getInfo.php?workbook=10_05.xlsx&amp;sheet=U0&amp;row=12084&amp;col=6&amp;number=3&amp;sourceID=14","3")</f>
        <v>3</v>
      </c>
      <c r="G12084" s="4" t="str">
        <f>HYPERLINK("http://141.218.60.56/~jnz1568/getInfo.php?workbook=10_05.xlsx&amp;sheet=U0&amp;row=12084&amp;col=7&amp;number=0.00438&amp;sourceID=14","0.00438")</f>
        <v>0.00438</v>
      </c>
    </row>
    <row r="12085" spans="1:7">
      <c r="A12085" s="3"/>
      <c r="B12085" s="3"/>
      <c r="C12085" s="3"/>
      <c r="D12085" s="3"/>
      <c r="E12085" s="3">
        <v>2</v>
      </c>
      <c r="F12085" s="4" t="str">
        <f>HYPERLINK("http://141.218.60.56/~jnz1568/getInfo.php?workbook=10_05.xlsx&amp;sheet=U0&amp;row=12085&amp;col=6&amp;number=3.1&amp;sourceID=14","3.1")</f>
        <v>3.1</v>
      </c>
      <c r="G12085" s="4" t="str">
        <f>HYPERLINK("http://141.218.60.56/~jnz1568/getInfo.php?workbook=10_05.xlsx&amp;sheet=U0&amp;row=12085&amp;col=7&amp;number=0.00438&amp;sourceID=14","0.00438")</f>
        <v>0.00438</v>
      </c>
    </row>
    <row r="12086" spans="1:7">
      <c r="A12086" s="3"/>
      <c r="B12086" s="3"/>
      <c r="C12086" s="3"/>
      <c r="D12086" s="3"/>
      <c r="E12086" s="3">
        <v>3</v>
      </c>
      <c r="F12086" s="4" t="str">
        <f>HYPERLINK("http://141.218.60.56/~jnz1568/getInfo.php?workbook=10_05.xlsx&amp;sheet=U0&amp;row=12086&amp;col=6&amp;number=3.2&amp;sourceID=14","3.2")</f>
        <v>3.2</v>
      </c>
      <c r="G12086" s="4" t="str">
        <f>HYPERLINK("http://141.218.60.56/~jnz1568/getInfo.php?workbook=10_05.xlsx&amp;sheet=U0&amp;row=12086&amp;col=7&amp;number=0.00439&amp;sourceID=14","0.00439")</f>
        <v>0.00439</v>
      </c>
    </row>
    <row r="12087" spans="1:7">
      <c r="A12087" s="3"/>
      <c r="B12087" s="3"/>
      <c r="C12087" s="3"/>
      <c r="D12087" s="3"/>
      <c r="E12087" s="3">
        <v>4</v>
      </c>
      <c r="F12087" s="4" t="str">
        <f>HYPERLINK("http://141.218.60.56/~jnz1568/getInfo.php?workbook=10_05.xlsx&amp;sheet=U0&amp;row=12087&amp;col=6&amp;number=3.3&amp;sourceID=14","3.3")</f>
        <v>3.3</v>
      </c>
      <c r="G12087" s="4" t="str">
        <f>HYPERLINK("http://141.218.60.56/~jnz1568/getInfo.php?workbook=10_05.xlsx&amp;sheet=U0&amp;row=12087&amp;col=7&amp;number=0.00439&amp;sourceID=14","0.00439")</f>
        <v>0.00439</v>
      </c>
    </row>
    <row r="12088" spans="1:7">
      <c r="A12088" s="3"/>
      <c r="B12088" s="3"/>
      <c r="C12088" s="3"/>
      <c r="D12088" s="3"/>
      <c r="E12088" s="3">
        <v>5</v>
      </c>
      <c r="F12088" s="4" t="str">
        <f>HYPERLINK("http://141.218.60.56/~jnz1568/getInfo.php?workbook=10_05.xlsx&amp;sheet=U0&amp;row=12088&amp;col=6&amp;number=3.4&amp;sourceID=14","3.4")</f>
        <v>3.4</v>
      </c>
      <c r="G12088" s="4" t="str">
        <f>HYPERLINK("http://141.218.60.56/~jnz1568/getInfo.php?workbook=10_05.xlsx&amp;sheet=U0&amp;row=12088&amp;col=7&amp;number=0.0044&amp;sourceID=14","0.0044")</f>
        <v>0.0044</v>
      </c>
    </row>
    <row r="12089" spans="1:7">
      <c r="A12089" s="3"/>
      <c r="B12089" s="3"/>
      <c r="C12089" s="3"/>
      <c r="D12089" s="3"/>
      <c r="E12089" s="3">
        <v>6</v>
      </c>
      <c r="F12089" s="4" t="str">
        <f>HYPERLINK("http://141.218.60.56/~jnz1568/getInfo.php?workbook=10_05.xlsx&amp;sheet=U0&amp;row=12089&amp;col=6&amp;number=3.5&amp;sourceID=14","3.5")</f>
        <v>3.5</v>
      </c>
      <c r="G12089" s="4" t="str">
        <f>HYPERLINK("http://141.218.60.56/~jnz1568/getInfo.php?workbook=10_05.xlsx&amp;sheet=U0&amp;row=12089&amp;col=7&amp;number=0.00441&amp;sourceID=14","0.00441")</f>
        <v>0.00441</v>
      </c>
    </row>
    <row r="12090" spans="1:7">
      <c r="A12090" s="3"/>
      <c r="B12090" s="3"/>
      <c r="C12090" s="3"/>
      <c r="D12090" s="3"/>
      <c r="E12090" s="3">
        <v>7</v>
      </c>
      <c r="F12090" s="4" t="str">
        <f>HYPERLINK("http://141.218.60.56/~jnz1568/getInfo.php?workbook=10_05.xlsx&amp;sheet=U0&amp;row=12090&amp;col=6&amp;number=3.6&amp;sourceID=14","3.6")</f>
        <v>3.6</v>
      </c>
      <c r="G12090" s="4" t="str">
        <f>HYPERLINK("http://141.218.60.56/~jnz1568/getInfo.php?workbook=10_05.xlsx&amp;sheet=U0&amp;row=12090&amp;col=7&amp;number=0.00442&amp;sourceID=14","0.00442")</f>
        <v>0.00442</v>
      </c>
    </row>
    <row r="12091" spans="1:7">
      <c r="A12091" s="3"/>
      <c r="B12091" s="3"/>
      <c r="C12091" s="3"/>
      <c r="D12091" s="3"/>
      <c r="E12091" s="3">
        <v>8</v>
      </c>
      <c r="F12091" s="4" t="str">
        <f>HYPERLINK("http://141.218.60.56/~jnz1568/getInfo.php?workbook=10_05.xlsx&amp;sheet=U0&amp;row=12091&amp;col=6&amp;number=3.7&amp;sourceID=14","3.7")</f>
        <v>3.7</v>
      </c>
      <c r="G12091" s="4" t="str">
        <f>HYPERLINK("http://141.218.60.56/~jnz1568/getInfo.php?workbook=10_05.xlsx&amp;sheet=U0&amp;row=12091&amp;col=7&amp;number=0.00443&amp;sourceID=14","0.00443")</f>
        <v>0.00443</v>
      </c>
    </row>
    <row r="12092" spans="1:7">
      <c r="A12092" s="3"/>
      <c r="B12092" s="3"/>
      <c r="C12092" s="3"/>
      <c r="D12092" s="3"/>
      <c r="E12092" s="3">
        <v>9</v>
      </c>
      <c r="F12092" s="4" t="str">
        <f>HYPERLINK("http://141.218.60.56/~jnz1568/getInfo.php?workbook=10_05.xlsx&amp;sheet=U0&amp;row=12092&amp;col=6&amp;number=3.8&amp;sourceID=14","3.8")</f>
        <v>3.8</v>
      </c>
      <c r="G12092" s="4" t="str">
        <f>HYPERLINK("http://141.218.60.56/~jnz1568/getInfo.php?workbook=10_05.xlsx&amp;sheet=U0&amp;row=12092&amp;col=7&amp;number=0.00444&amp;sourceID=14","0.00444")</f>
        <v>0.00444</v>
      </c>
    </row>
    <row r="12093" spans="1:7">
      <c r="A12093" s="3"/>
      <c r="B12093" s="3"/>
      <c r="C12093" s="3"/>
      <c r="D12093" s="3"/>
      <c r="E12093" s="3">
        <v>10</v>
      </c>
      <c r="F12093" s="4" t="str">
        <f>HYPERLINK("http://141.218.60.56/~jnz1568/getInfo.php?workbook=10_05.xlsx&amp;sheet=U0&amp;row=12093&amp;col=6&amp;number=3.9&amp;sourceID=14","3.9")</f>
        <v>3.9</v>
      </c>
      <c r="G12093" s="4" t="str">
        <f>HYPERLINK("http://141.218.60.56/~jnz1568/getInfo.php?workbook=10_05.xlsx&amp;sheet=U0&amp;row=12093&amp;col=7&amp;number=0.00446&amp;sourceID=14","0.00446")</f>
        <v>0.00446</v>
      </c>
    </row>
    <row r="12094" spans="1:7">
      <c r="A12094" s="3"/>
      <c r="B12094" s="3"/>
      <c r="C12094" s="3"/>
      <c r="D12094" s="3"/>
      <c r="E12094" s="3">
        <v>11</v>
      </c>
      <c r="F12094" s="4" t="str">
        <f>HYPERLINK("http://141.218.60.56/~jnz1568/getInfo.php?workbook=10_05.xlsx&amp;sheet=U0&amp;row=12094&amp;col=6&amp;number=4&amp;sourceID=14","4")</f>
        <v>4</v>
      </c>
      <c r="G12094" s="4" t="str">
        <f>HYPERLINK("http://141.218.60.56/~jnz1568/getInfo.php?workbook=10_05.xlsx&amp;sheet=U0&amp;row=12094&amp;col=7&amp;number=0.00448&amp;sourceID=14","0.00448")</f>
        <v>0.00448</v>
      </c>
    </row>
    <row r="12095" spans="1:7">
      <c r="A12095" s="3"/>
      <c r="B12095" s="3"/>
      <c r="C12095" s="3"/>
      <c r="D12095" s="3"/>
      <c r="E12095" s="3">
        <v>12</v>
      </c>
      <c r="F12095" s="4" t="str">
        <f>HYPERLINK("http://141.218.60.56/~jnz1568/getInfo.php?workbook=10_05.xlsx&amp;sheet=U0&amp;row=12095&amp;col=6&amp;number=4.1&amp;sourceID=14","4.1")</f>
        <v>4.1</v>
      </c>
      <c r="G12095" s="4" t="str">
        <f>HYPERLINK("http://141.218.60.56/~jnz1568/getInfo.php?workbook=10_05.xlsx&amp;sheet=U0&amp;row=12095&amp;col=7&amp;number=0.00449&amp;sourceID=14","0.00449")</f>
        <v>0.00449</v>
      </c>
    </row>
    <row r="12096" spans="1:7">
      <c r="A12096" s="3"/>
      <c r="B12096" s="3"/>
      <c r="C12096" s="3"/>
      <c r="D12096" s="3"/>
      <c r="E12096" s="3">
        <v>13</v>
      </c>
      <c r="F12096" s="4" t="str">
        <f>HYPERLINK("http://141.218.60.56/~jnz1568/getInfo.php?workbook=10_05.xlsx&amp;sheet=U0&amp;row=12096&amp;col=6&amp;number=4.2&amp;sourceID=14","4.2")</f>
        <v>4.2</v>
      </c>
      <c r="G12096" s="4" t="str">
        <f>HYPERLINK("http://141.218.60.56/~jnz1568/getInfo.php?workbook=10_05.xlsx&amp;sheet=U0&amp;row=12096&amp;col=7&amp;number=0.0045&amp;sourceID=14","0.0045")</f>
        <v>0.0045</v>
      </c>
    </row>
    <row r="12097" spans="1:7">
      <c r="A12097" s="3"/>
      <c r="B12097" s="3"/>
      <c r="C12097" s="3"/>
      <c r="D12097" s="3"/>
      <c r="E12097" s="3">
        <v>14</v>
      </c>
      <c r="F12097" s="4" t="str">
        <f>HYPERLINK("http://141.218.60.56/~jnz1568/getInfo.php?workbook=10_05.xlsx&amp;sheet=U0&amp;row=12097&amp;col=6&amp;number=4.3&amp;sourceID=14","4.3")</f>
        <v>4.3</v>
      </c>
      <c r="G12097" s="4" t="str">
        <f>HYPERLINK("http://141.218.60.56/~jnz1568/getInfo.php?workbook=10_05.xlsx&amp;sheet=U0&amp;row=12097&amp;col=7&amp;number=0.00448&amp;sourceID=14","0.00448")</f>
        <v>0.00448</v>
      </c>
    </row>
    <row r="12098" spans="1:7">
      <c r="A12098" s="3"/>
      <c r="B12098" s="3"/>
      <c r="C12098" s="3"/>
      <c r="D12098" s="3"/>
      <c r="E12098" s="3">
        <v>15</v>
      </c>
      <c r="F12098" s="4" t="str">
        <f>HYPERLINK("http://141.218.60.56/~jnz1568/getInfo.php?workbook=10_05.xlsx&amp;sheet=U0&amp;row=12098&amp;col=6&amp;number=4.4&amp;sourceID=14","4.4")</f>
        <v>4.4</v>
      </c>
      <c r="G12098" s="4" t="str">
        <f>HYPERLINK("http://141.218.60.56/~jnz1568/getInfo.php?workbook=10_05.xlsx&amp;sheet=U0&amp;row=12098&amp;col=7&amp;number=0.00443&amp;sourceID=14","0.00443")</f>
        <v>0.00443</v>
      </c>
    </row>
    <row r="12099" spans="1:7">
      <c r="A12099" s="3"/>
      <c r="B12099" s="3"/>
      <c r="C12099" s="3"/>
      <c r="D12099" s="3"/>
      <c r="E12099" s="3">
        <v>16</v>
      </c>
      <c r="F12099" s="4" t="str">
        <f>HYPERLINK("http://141.218.60.56/~jnz1568/getInfo.php?workbook=10_05.xlsx&amp;sheet=U0&amp;row=12099&amp;col=6&amp;number=4.5&amp;sourceID=14","4.5")</f>
        <v>4.5</v>
      </c>
      <c r="G12099" s="4" t="str">
        <f>HYPERLINK("http://141.218.60.56/~jnz1568/getInfo.php?workbook=10_05.xlsx&amp;sheet=U0&amp;row=12099&amp;col=7&amp;number=0.00429&amp;sourceID=14","0.00429")</f>
        <v>0.00429</v>
      </c>
    </row>
    <row r="12100" spans="1:7">
      <c r="A12100" s="3"/>
      <c r="B12100" s="3"/>
      <c r="C12100" s="3"/>
      <c r="D12100" s="3"/>
      <c r="E12100" s="3">
        <v>17</v>
      </c>
      <c r="F12100" s="4" t="str">
        <f>HYPERLINK("http://141.218.60.56/~jnz1568/getInfo.php?workbook=10_05.xlsx&amp;sheet=U0&amp;row=12100&amp;col=6&amp;number=4.6&amp;sourceID=14","4.6")</f>
        <v>4.6</v>
      </c>
      <c r="G12100" s="4" t="str">
        <f>HYPERLINK("http://141.218.60.56/~jnz1568/getInfo.php?workbook=10_05.xlsx&amp;sheet=U0&amp;row=12100&amp;col=7&amp;number=0.00407&amp;sourceID=14","0.00407")</f>
        <v>0.00407</v>
      </c>
    </row>
    <row r="12101" spans="1:7">
      <c r="A12101" s="3"/>
      <c r="B12101" s="3"/>
      <c r="C12101" s="3"/>
      <c r="D12101" s="3"/>
      <c r="E12101" s="3">
        <v>18</v>
      </c>
      <c r="F12101" s="4" t="str">
        <f>HYPERLINK("http://141.218.60.56/~jnz1568/getInfo.php?workbook=10_05.xlsx&amp;sheet=U0&amp;row=12101&amp;col=6&amp;number=4.7&amp;sourceID=14","4.7")</f>
        <v>4.7</v>
      </c>
      <c r="G12101" s="4" t="str">
        <f>HYPERLINK("http://141.218.60.56/~jnz1568/getInfo.php?workbook=10_05.xlsx&amp;sheet=U0&amp;row=12101&amp;col=7&amp;number=0.00379&amp;sourceID=14","0.00379")</f>
        <v>0.00379</v>
      </c>
    </row>
    <row r="12102" spans="1:7">
      <c r="A12102" s="3"/>
      <c r="B12102" s="3"/>
      <c r="C12102" s="3"/>
      <c r="D12102" s="3"/>
      <c r="E12102" s="3">
        <v>19</v>
      </c>
      <c r="F12102" s="4" t="str">
        <f>HYPERLINK("http://141.218.60.56/~jnz1568/getInfo.php?workbook=10_05.xlsx&amp;sheet=U0&amp;row=12102&amp;col=6&amp;number=4.8&amp;sourceID=14","4.8")</f>
        <v>4.8</v>
      </c>
      <c r="G12102" s="4" t="str">
        <f>HYPERLINK("http://141.218.60.56/~jnz1568/getInfo.php?workbook=10_05.xlsx&amp;sheet=U0&amp;row=12102&amp;col=7&amp;number=0.00348&amp;sourceID=14","0.00348")</f>
        <v>0.00348</v>
      </c>
    </row>
    <row r="12103" spans="1:7">
      <c r="A12103" s="3"/>
      <c r="B12103" s="3"/>
      <c r="C12103" s="3"/>
      <c r="D12103" s="3"/>
      <c r="E12103" s="3">
        <v>20</v>
      </c>
      <c r="F12103" s="4" t="str">
        <f>HYPERLINK("http://141.218.60.56/~jnz1568/getInfo.php?workbook=10_05.xlsx&amp;sheet=U0&amp;row=12103&amp;col=6&amp;number=4.9&amp;sourceID=14","4.9")</f>
        <v>4.9</v>
      </c>
      <c r="G12103" s="4" t="str">
        <f>HYPERLINK("http://141.218.60.56/~jnz1568/getInfo.php?workbook=10_05.xlsx&amp;sheet=U0&amp;row=12103&amp;col=7&amp;number=0.00316&amp;sourceID=14","0.00316")</f>
        <v>0.00316</v>
      </c>
    </row>
    <row r="12104" spans="1:7">
      <c r="A12104" s="3">
        <v>10</v>
      </c>
      <c r="B12104" s="3">
        <v>5</v>
      </c>
      <c r="C12104" s="3">
        <v>4</v>
      </c>
      <c r="D12104" s="3">
        <v>76</v>
      </c>
      <c r="E12104" s="3">
        <v>1</v>
      </c>
      <c r="F12104" s="4" t="str">
        <f>HYPERLINK("http://141.218.60.56/~jnz1568/getInfo.php?workbook=10_05.xlsx&amp;sheet=U0&amp;row=12104&amp;col=6&amp;number=3&amp;sourceID=14","3")</f>
        <v>3</v>
      </c>
      <c r="G12104" s="4" t="str">
        <f>HYPERLINK("http://141.218.60.56/~jnz1568/getInfo.php?workbook=10_05.xlsx&amp;sheet=U0&amp;row=12104&amp;col=7&amp;number=0.00765&amp;sourceID=14","0.00765")</f>
        <v>0.00765</v>
      </c>
    </row>
    <row r="12105" spans="1:7">
      <c r="A12105" s="3"/>
      <c r="B12105" s="3"/>
      <c r="C12105" s="3"/>
      <c r="D12105" s="3"/>
      <c r="E12105" s="3">
        <v>2</v>
      </c>
      <c r="F12105" s="4" t="str">
        <f>HYPERLINK("http://141.218.60.56/~jnz1568/getInfo.php?workbook=10_05.xlsx&amp;sheet=U0&amp;row=12105&amp;col=6&amp;number=3.1&amp;sourceID=14","3.1")</f>
        <v>3.1</v>
      </c>
      <c r="G12105" s="4" t="str">
        <f>HYPERLINK("http://141.218.60.56/~jnz1568/getInfo.php?workbook=10_05.xlsx&amp;sheet=U0&amp;row=12105&amp;col=7&amp;number=0.00766&amp;sourceID=14","0.00766")</f>
        <v>0.00766</v>
      </c>
    </row>
    <row r="12106" spans="1:7">
      <c r="A12106" s="3"/>
      <c r="B12106" s="3"/>
      <c r="C12106" s="3"/>
      <c r="D12106" s="3"/>
      <c r="E12106" s="3">
        <v>3</v>
      </c>
      <c r="F12106" s="4" t="str">
        <f>HYPERLINK("http://141.218.60.56/~jnz1568/getInfo.php?workbook=10_05.xlsx&amp;sheet=U0&amp;row=12106&amp;col=6&amp;number=3.2&amp;sourceID=14","3.2")</f>
        <v>3.2</v>
      </c>
      <c r="G12106" s="4" t="str">
        <f>HYPERLINK("http://141.218.60.56/~jnz1568/getInfo.php?workbook=10_05.xlsx&amp;sheet=U0&amp;row=12106&amp;col=7&amp;number=0.00766&amp;sourceID=14","0.00766")</f>
        <v>0.00766</v>
      </c>
    </row>
    <row r="12107" spans="1:7">
      <c r="A12107" s="3"/>
      <c r="B12107" s="3"/>
      <c r="C12107" s="3"/>
      <c r="D12107" s="3"/>
      <c r="E12107" s="3">
        <v>4</v>
      </c>
      <c r="F12107" s="4" t="str">
        <f>HYPERLINK("http://141.218.60.56/~jnz1568/getInfo.php?workbook=10_05.xlsx&amp;sheet=U0&amp;row=12107&amp;col=6&amp;number=3.3&amp;sourceID=14","3.3")</f>
        <v>3.3</v>
      </c>
      <c r="G12107" s="4" t="str">
        <f>HYPERLINK("http://141.218.60.56/~jnz1568/getInfo.php?workbook=10_05.xlsx&amp;sheet=U0&amp;row=12107&amp;col=7&amp;number=0.00767&amp;sourceID=14","0.00767")</f>
        <v>0.00767</v>
      </c>
    </row>
    <row r="12108" spans="1:7">
      <c r="A12108" s="3"/>
      <c r="B12108" s="3"/>
      <c r="C12108" s="3"/>
      <c r="D12108" s="3"/>
      <c r="E12108" s="3">
        <v>5</v>
      </c>
      <c r="F12108" s="4" t="str">
        <f>HYPERLINK("http://141.218.60.56/~jnz1568/getInfo.php?workbook=10_05.xlsx&amp;sheet=U0&amp;row=12108&amp;col=6&amp;number=3.4&amp;sourceID=14","3.4")</f>
        <v>3.4</v>
      </c>
      <c r="G12108" s="4" t="str">
        <f>HYPERLINK("http://141.218.60.56/~jnz1568/getInfo.php?workbook=10_05.xlsx&amp;sheet=U0&amp;row=12108&amp;col=7&amp;number=0.00768&amp;sourceID=14","0.00768")</f>
        <v>0.00768</v>
      </c>
    </row>
    <row r="12109" spans="1:7">
      <c r="A12109" s="3"/>
      <c r="B12109" s="3"/>
      <c r="C12109" s="3"/>
      <c r="D12109" s="3"/>
      <c r="E12109" s="3">
        <v>6</v>
      </c>
      <c r="F12109" s="4" t="str">
        <f>HYPERLINK("http://141.218.60.56/~jnz1568/getInfo.php?workbook=10_05.xlsx&amp;sheet=U0&amp;row=12109&amp;col=6&amp;number=3.5&amp;sourceID=14","3.5")</f>
        <v>3.5</v>
      </c>
      <c r="G12109" s="4" t="str">
        <f>HYPERLINK("http://141.218.60.56/~jnz1568/getInfo.php?workbook=10_05.xlsx&amp;sheet=U0&amp;row=12109&amp;col=7&amp;number=0.00769&amp;sourceID=14","0.00769")</f>
        <v>0.00769</v>
      </c>
    </row>
    <row r="12110" spans="1:7">
      <c r="A12110" s="3"/>
      <c r="B12110" s="3"/>
      <c r="C12110" s="3"/>
      <c r="D12110" s="3"/>
      <c r="E12110" s="3">
        <v>7</v>
      </c>
      <c r="F12110" s="4" t="str">
        <f>HYPERLINK("http://141.218.60.56/~jnz1568/getInfo.php?workbook=10_05.xlsx&amp;sheet=U0&amp;row=12110&amp;col=6&amp;number=3.6&amp;sourceID=14","3.6")</f>
        <v>3.6</v>
      </c>
      <c r="G12110" s="4" t="str">
        <f>HYPERLINK("http://141.218.60.56/~jnz1568/getInfo.php?workbook=10_05.xlsx&amp;sheet=U0&amp;row=12110&amp;col=7&amp;number=0.0077&amp;sourceID=14","0.0077")</f>
        <v>0.0077</v>
      </c>
    </row>
    <row r="12111" spans="1:7">
      <c r="A12111" s="3"/>
      <c r="B12111" s="3"/>
      <c r="C12111" s="3"/>
      <c r="D12111" s="3"/>
      <c r="E12111" s="3">
        <v>8</v>
      </c>
      <c r="F12111" s="4" t="str">
        <f>HYPERLINK("http://141.218.60.56/~jnz1568/getInfo.php?workbook=10_05.xlsx&amp;sheet=U0&amp;row=12111&amp;col=6&amp;number=3.7&amp;sourceID=14","3.7")</f>
        <v>3.7</v>
      </c>
      <c r="G12111" s="4" t="str">
        <f>HYPERLINK("http://141.218.60.56/~jnz1568/getInfo.php?workbook=10_05.xlsx&amp;sheet=U0&amp;row=12111&amp;col=7&amp;number=0.00772&amp;sourceID=14","0.00772")</f>
        <v>0.00772</v>
      </c>
    </row>
    <row r="12112" spans="1:7">
      <c r="A12112" s="3"/>
      <c r="B12112" s="3"/>
      <c r="C12112" s="3"/>
      <c r="D12112" s="3"/>
      <c r="E12112" s="3">
        <v>9</v>
      </c>
      <c r="F12112" s="4" t="str">
        <f>HYPERLINK("http://141.218.60.56/~jnz1568/getInfo.php?workbook=10_05.xlsx&amp;sheet=U0&amp;row=12112&amp;col=6&amp;number=3.8&amp;sourceID=14","3.8")</f>
        <v>3.8</v>
      </c>
      <c r="G12112" s="4" t="str">
        <f>HYPERLINK("http://141.218.60.56/~jnz1568/getInfo.php?workbook=10_05.xlsx&amp;sheet=U0&amp;row=12112&amp;col=7&amp;number=0.00775&amp;sourceID=14","0.00775")</f>
        <v>0.00775</v>
      </c>
    </row>
    <row r="12113" spans="1:7">
      <c r="A12113" s="3"/>
      <c r="B12113" s="3"/>
      <c r="C12113" s="3"/>
      <c r="D12113" s="3"/>
      <c r="E12113" s="3">
        <v>10</v>
      </c>
      <c r="F12113" s="4" t="str">
        <f>HYPERLINK("http://141.218.60.56/~jnz1568/getInfo.php?workbook=10_05.xlsx&amp;sheet=U0&amp;row=12113&amp;col=6&amp;number=3.9&amp;sourceID=14","3.9")</f>
        <v>3.9</v>
      </c>
      <c r="G12113" s="4" t="str">
        <f>HYPERLINK("http://141.218.60.56/~jnz1568/getInfo.php?workbook=10_05.xlsx&amp;sheet=U0&amp;row=12113&amp;col=7&amp;number=0.00778&amp;sourceID=14","0.00778")</f>
        <v>0.00778</v>
      </c>
    </row>
    <row r="12114" spans="1:7">
      <c r="A12114" s="3"/>
      <c r="B12114" s="3"/>
      <c r="C12114" s="3"/>
      <c r="D12114" s="3"/>
      <c r="E12114" s="3">
        <v>11</v>
      </c>
      <c r="F12114" s="4" t="str">
        <f>HYPERLINK("http://141.218.60.56/~jnz1568/getInfo.php?workbook=10_05.xlsx&amp;sheet=U0&amp;row=12114&amp;col=6&amp;number=4&amp;sourceID=14","4")</f>
        <v>4</v>
      </c>
      <c r="G12114" s="4" t="str">
        <f>HYPERLINK("http://141.218.60.56/~jnz1568/getInfo.php?workbook=10_05.xlsx&amp;sheet=U0&amp;row=12114&amp;col=7&amp;number=0.00782&amp;sourceID=14","0.00782")</f>
        <v>0.00782</v>
      </c>
    </row>
    <row r="12115" spans="1:7">
      <c r="A12115" s="3"/>
      <c r="B12115" s="3"/>
      <c r="C12115" s="3"/>
      <c r="D12115" s="3"/>
      <c r="E12115" s="3">
        <v>12</v>
      </c>
      <c r="F12115" s="4" t="str">
        <f>HYPERLINK("http://141.218.60.56/~jnz1568/getInfo.php?workbook=10_05.xlsx&amp;sheet=U0&amp;row=12115&amp;col=6&amp;number=4.1&amp;sourceID=14","4.1")</f>
        <v>4.1</v>
      </c>
      <c r="G12115" s="4" t="str">
        <f>HYPERLINK("http://141.218.60.56/~jnz1568/getInfo.php?workbook=10_05.xlsx&amp;sheet=U0&amp;row=12115&amp;col=7&amp;number=0.00788&amp;sourceID=14","0.00788")</f>
        <v>0.00788</v>
      </c>
    </row>
    <row r="12116" spans="1:7">
      <c r="A12116" s="3"/>
      <c r="B12116" s="3"/>
      <c r="C12116" s="3"/>
      <c r="D12116" s="3"/>
      <c r="E12116" s="3">
        <v>13</v>
      </c>
      <c r="F12116" s="4" t="str">
        <f>HYPERLINK("http://141.218.60.56/~jnz1568/getInfo.php?workbook=10_05.xlsx&amp;sheet=U0&amp;row=12116&amp;col=6&amp;number=4.2&amp;sourceID=14","4.2")</f>
        <v>4.2</v>
      </c>
      <c r="G12116" s="4" t="str">
        <f>HYPERLINK("http://141.218.60.56/~jnz1568/getInfo.php?workbook=10_05.xlsx&amp;sheet=U0&amp;row=12116&amp;col=7&amp;number=0.00794&amp;sourceID=14","0.00794")</f>
        <v>0.00794</v>
      </c>
    </row>
    <row r="12117" spans="1:7">
      <c r="A12117" s="3"/>
      <c r="B12117" s="3"/>
      <c r="C12117" s="3"/>
      <c r="D12117" s="3"/>
      <c r="E12117" s="3">
        <v>14</v>
      </c>
      <c r="F12117" s="4" t="str">
        <f>HYPERLINK("http://141.218.60.56/~jnz1568/getInfo.php?workbook=10_05.xlsx&amp;sheet=U0&amp;row=12117&amp;col=6&amp;number=4.3&amp;sourceID=14","4.3")</f>
        <v>4.3</v>
      </c>
      <c r="G12117" s="4" t="str">
        <f>HYPERLINK("http://141.218.60.56/~jnz1568/getInfo.php?workbook=10_05.xlsx&amp;sheet=U0&amp;row=12117&amp;col=7&amp;number=0.00795&amp;sourceID=14","0.00795")</f>
        <v>0.00795</v>
      </c>
    </row>
    <row r="12118" spans="1:7">
      <c r="A12118" s="3"/>
      <c r="B12118" s="3"/>
      <c r="C12118" s="3"/>
      <c r="D12118" s="3"/>
      <c r="E12118" s="3">
        <v>15</v>
      </c>
      <c r="F12118" s="4" t="str">
        <f>HYPERLINK("http://141.218.60.56/~jnz1568/getInfo.php?workbook=10_05.xlsx&amp;sheet=U0&amp;row=12118&amp;col=6&amp;number=4.4&amp;sourceID=14","4.4")</f>
        <v>4.4</v>
      </c>
      <c r="G12118" s="4" t="str">
        <f>HYPERLINK("http://141.218.60.56/~jnz1568/getInfo.php?workbook=10_05.xlsx&amp;sheet=U0&amp;row=12118&amp;col=7&amp;number=0.00785&amp;sourceID=14","0.00785")</f>
        <v>0.00785</v>
      </c>
    </row>
    <row r="12119" spans="1:7">
      <c r="A12119" s="3"/>
      <c r="B12119" s="3"/>
      <c r="C12119" s="3"/>
      <c r="D12119" s="3"/>
      <c r="E12119" s="3">
        <v>16</v>
      </c>
      <c r="F12119" s="4" t="str">
        <f>HYPERLINK("http://141.218.60.56/~jnz1568/getInfo.php?workbook=10_05.xlsx&amp;sheet=U0&amp;row=12119&amp;col=6&amp;number=4.5&amp;sourceID=14","4.5")</f>
        <v>4.5</v>
      </c>
      <c r="G12119" s="4" t="str">
        <f>HYPERLINK("http://141.218.60.56/~jnz1568/getInfo.php?workbook=10_05.xlsx&amp;sheet=U0&amp;row=12119&amp;col=7&amp;number=0.00759&amp;sourceID=14","0.00759")</f>
        <v>0.00759</v>
      </c>
    </row>
    <row r="12120" spans="1:7">
      <c r="A12120" s="3"/>
      <c r="B12120" s="3"/>
      <c r="C12120" s="3"/>
      <c r="D12120" s="3"/>
      <c r="E12120" s="3">
        <v>17</v>
      </c>
      <c r="F12120" s="4" t="str">
        <f>HYPERLINK("http://141.218.60.56/~jnz1568/getInfo.php?workbook=10_05.xlsx&amp;sheet=U0&amp;row=12120&amp;col=6&amp;number=4.6&amp;sourceID=14","4.6")</f>
        <v>4.6</v>
      </c>
      <c r="G12120" s="4" t="str">
        <f>HYPERLINK("http://141.218.60.56/~jnz1568/getInfo.php?workbook=10_05.xlsx&amp;sheet=U0&amp;row=12120&amp;col=7&amp;number=0.00721&amp;sourceID=14","0.00721")</f>
        <v>0.00721</v>
      </c>
    </row>
    <row r="12121" spans="1:7">
      <c r="A12121" s="3"/>
      <c r="B12121" s="3"/>
      <c r="C12121" s="3"/>
      <c r="D12121" s="3"/>
      <c r="E12121" s="3">
        <v>18</v>
      </c>
      <c r="F12121" s="4" t="str">
        <f>HYPERLINK("http://141.218.60.56/~jnz1568/getInfo.php?workbook=10_05.xlsx&amp;sheet=U0&amp;row=12121&amp;col=6&amp;number=4.7&amp;sourceID=14","4.7")</f>
        <v>4.7</v>
      </c>
      <c r="G12121" s="4" t="str">
        <f>HYPERLINK("http://141.218.60.56/~jnz1568/getInfo.php?workbook=10_05.xlsx&amp;sheet=U0&amp;row=12121&amp;col=7&amp;number=0.00675&amp;sourceID=14","0.00675")</f>
        <v>0.00675</v>
      </c>
    </row>
    <row r="12122" spans="1:7">
      <c r="A12122" s="3"/>
      <c r="B12122" s="3"/>
      <c r="C12122" s="3"/>
      <c r="D12122" s="3"/>
      <c r="E12122" s="3">
        <v>19</v>
      </c>
      <c r="F12122" s="4" t="str">
        <f>HYPERLINK("http://141.218.60.56/~jnz1568/getInfo.php?workbook=10_05.xlsx&amp;sheet=U0&amp;row=12122&amp;col=6&amp;number=4.8&amp;sourceID=14","4.8")</f>
        <v>4.8</v>
      </c>
      <c r="G12122" s="4" t="str">
        <f>HYPERLINK("http://141.218.60.56/~jnz1568/getInfo.php?workbook=10_05.xlsx&amp;sheet=U0&amp;row=12122&amp;col=7&amp;number=0.00623&amp;sourceID=14","0.00623")</f>
        <v>0.00623</v>
      </c>
    </row>
    <row r="12123" spans="1:7">
      <c r="A12123" s="3"/>
      <c r="B12123" s="3"/>
      <c r="C12123" s="3"/>
      <c r="D12123" s="3"/>
      <c r="E12123" s="3">
        <v>20</v>
      </c>
      <c r="F12123" s="4" t="str">
        <f>HYPERLINK("http://141.218.60.56/~jnz1568/getInfo.php?workbook=10_05.xlsx&amp;sheet=U0&amp;row=12123&amp;col=6&amp;number=4.9&amp;sourceID=14","4.9")</f>
        <v>4.9</v>
      </c>
      <c r="G12123" s="4" t="str">
        <f>HYPERLINK("http://141.218.60.56/~jnz1568/getInfo.php?workbook=10_05.xlsx&amp;sheet=U0&amp;row=12123&amp;col=7&amp;number=0.00563&amp;sourceID=14","0.00563")</f>
        <v>0.00563</v>
      </c>
    </row>
    <row r="12124" spans="1:7">
      <c r="A12124" s="3">
        <v>10</v>
      </c>
      <c r="B12124" s="3">
        <v>5</v>
      </c>
      <c r="C12124" s="3">
        <v>4</v>
      </c>
      <c r="D12124" s="3">
        <v>77</v>
      </c>
      <c r="E12124" s="3">
        <v>1</v>
      </c>
      <c r="F12124" s="4" t="str">
        <f>HYPERLINK("http://141.218.60.56/~jnz1568/getInfo.php?workbook=10_05.xlsx&amp;sheet=U0&amp;row=12124&amp;col=6&amp;number=3&amp;sourceID=14","3")</f>
        <v>3</v>
      </c>
      <c r="G12124" s="4" t="str">
        <f>HYPERLINK("http://141.218.60.56/~jnz1568/getInfo.php?workbook=10_05.xlsx&amp;sheet=U0&amp;row=12124&amp;col=7&amp;number=0.0341&amp;sourceID=14","0.0341")</f>
        <v>0.0341</v>
      </c>
    </row>
    <row r="12125" spans="1:7">
      <c r="A12125" s="3"/>
      <c r="B12125" s="3"/>
      <c r="C12125" s="3"/>
      <c r="D12125" s="3"/>
      <c r="E12125" s="3">
        <v>2</v>
      </c>
      <c r="F12125" s="4" t="str">
        <f>HYPERLINK("http://141.218.60.56/~jnz1568/getInfo.php?workbook=10_05.xlsx&amp;sheet=U0&amp;row=12125&amp;col=6&amp;number=3.1&amp;sourceID=14","3.1")</f>
        <v>3.1</v>
      </c>
      <c r="G12125" s="4" t="str">
        <f>HYPERLINK("http://141.218.60.56/~jnz1568/getInfo.php?workbook=10_05.xlsx&amp;sheet=U0&amp;row=12125&amp;col=7&amp;number=0.0339&amp;sourceID=14","0.0339")</f>
        <v>0.0339</v>
      </c>
    </row>
    <row r="12126" spans="1:7">
      <c r="A12126" s="3"/>
      <c r="B12126" s="3"/>
      <c r="C12126" s="3"/>
      <c r="D12126" s="3"/>
      <c r="E12126" s="3">
        <v>3</v>
      </c>
      <c r="F12126" s="4" t="str">
        <f>HYPERLINK("http://141.218.60.56/~jnz1568/getInfo.php?workbook=10_05.xlsx&amp;sheet=U0&amp;row=12126&amp;col=6&amp;number=3.2&amp;sourceID=14","3.2")</f>
        <v>3.2</v>
      </c>
      <c r="G12126" s="4" t="str">
        <f>HYPERLINK("http://141.218.60.56/~jnz1568/getInfo.php?workbook=10_05.xlsx&amp;sheet=U0&amp;row=12126&amp;col=7&amp;number=0.0336&amp;sourceID=14","0.0336")</f>
        <v>0.0336</v>
      </c>
    </row>
    <row r="12127" spans="1:7">
      <c r="A12127" s="3"/>
      <c r="B12127" s="3"/>
      <c r="C12127" s="3"/>
      <c r="D12127" s="3"/>
      <c r="E12127" s="3">
        <v>4</v>
      </c>
      <c r="F12127" s="4" t="str">
        <f>HYPERLINK("http://141.218.60.56/~jnz1568/getInfo.php?workbook=10_05.xlsx&amp;sheet=U0&amp;row=12127&amp;col=6&amp;number=3.3&amp;sourceID=14","3.3")</f>
        <v>3.3</v>
      </c>
      <c r="G12127" s="4" t="str">
        <f>HYPERLINK("http://141.218.60.56/~jnz1568/getInfo.php?workbook=10_05.xlsx&amp;sheet=U0&amp;row=12127&amp;col=7&amp;number=0.0333&amp;sourceID=14","0.0333")</f>
        <v>0.0333</v>
      </c>
    </row>
    <row r="12128" spans="1:7">
      <c r="A12128" s="3"/>
      <c r="B12128" s="3"/>
      <c r="C12128" s="3"/>
      <c r="D12128" s="3"/>
      <c r="E12128" s="3">
        <v>5</v>
      </c>
      <c r="F12128" s="4" t="str">
        <f>HYPERLINK("http://141.218.60.56/~jnz1568/getInfo.php?workbook=10_05.xlsx&amp;sheet=U0&amp;row=12128&amp;col=6&amp;number=3.4&amp;sourceID=14","3.4")</f>
        <v>3.4</v>
      </c>
      <c r="G12128" s="4" t="str">
        <f>HYPERLINK("http://141.218.60.56/~jnz1568/getInfo.php?workbook=10_05.xlsx&amp;sheet=U0&amp;row=12128&amp;col=7&amp;number=0.0328&amp;sourceID=14","0.0328")</f>
        <v>0.0328</v>
      </c>
    </row>
    <row r="12129" spans="1:7">
      <c r="A12129" s="3"/>
      <c r="B12129" s="3"/>
      <c r="C12129" s="3"/>
      <c r="D12129" s="3"/>
      <c r="E12129" s="3">
        <v>6</v>
      </c>
      <c r="F12129" s="4" t="str">
        <f>HYPERLINK("http://141.218.60.56/~jnz1568/getInfo.php?workbook=10_05.xlsx&amp;sheet=U0&amp;row=12129&amp;col=6&amp;number=3.5&amp;sourceID=14","3.5")</f>
        <v>3.5</v>
      </c>
      <c r="G12129" s="4" t="str">
        <f>HYPERLINK("http://141.218.60.56/~jnz1568/getInfo.php?workbook=10_05.xlsx&amp;sheet=U0&amp;row=12129&amp;col=7&amp;number=0.0323&amp;sourceID=14","0.0323")</f>
        <v>0.0323</v>
      </c>
    </row>
    <row r="12130" spans="1:7">
      <c r="A12130" s="3"/>
      <c r="B12130" s="3"/>
      <c r="C12130" s="3"/>
      <c r="D12130" s="3"/>
      <c r="E12130" s="3">
        <v>7</v>
      </c>
      <c r="F12130" s="4" t="str">
        <f>HYPERLINK("http://141.218.60.56/~jnz1568/getInfo.php?workbook=10_05.xlsx&amp;sheet=U0&amp;row=12130&amp;col=6&amp;number=3.6&amp;sourceID=14","3.6")</f>
        <v>3.6</v>
      </c>
      <c r="G12130" s="4" t="str">
        <f>HYPERLINK("http://141.218.60.56/~jnz1568/getInfo.php?workbook=10_05.xlsx&amp;sheet=U0&amp;row=12130&amp;col=7&amp;number=0.0316&amp;sourceID=14","0.0316")</f>
        <v>0.0316</v>
      </c>
    </row>
    <row r="12131" spans="1:7">
      <c r="A12131" s="3"/>
      <c r="B12131" s="3"/>
      <c r="C12131" s="3"/>
      <c r="D12131" s="3"/>
      <c r="E12131" s="3">
        <v>8</v>
      </c>
      <c r="F12131" s="4" t="str">
        <f>HYPERLINK("http://141.218.60.56/~jnz1568/getInfo.php?workbook=10_05.xlsx&amp;sheet=U0&amp;row=12131&amp;col=6&amp;number=3.7&amp;sourceID=14","3.7")</f>
        <v>3.7</v>
      </c>
      <c r="G12131" s="4" t="str">
        <f>HYPERLINK("http://141.218.60.56/~jnz1568/getInfo.php?workbook=10_05.xlsx&amp;sheet=U0&amp;row=12131&amp;col=7&amp;number=0.0308&amp;sourceID=14","0.0308")</f>
        <v>0.0308</v>
      </c>
    </row>
    <row r="12132" spans="1:7">
      <c r="A12132" s="3"/>
      <c r="B12132" s="3"/>
      <c r="C12132" s="3"/>
      <c r="D12132" s="3"/>
      <c r="E12132" s="3">
        <v>9</v>
      </c>
      <c r="F12132" s="4" t="str">
        <f>HYPERLINK("http://141.218.60.56/~jnz1568/getInfo.php?workbook=10_05.xlsx&amp;sheet=U0&amp;row=12132&amp;col=6&amp;number=3.8&amp;sourceID=14","3.8")</f>
        <v>3.8</v>
      </c>
      <c r="G12132" s="4" t="str">
        <f>HYPERLINK("http://141.218.60.56/~jnz1568/getInfo.php?workbook=10_05.xlsx&amp;sheet=U0&amp;row=12132&amp;col=7&amp;number=0.0299&amp;sourceID=14","0.0299")</f>
        <v>0.0299</v>
      </c>
    </row>
    <row r="12133" spans="1:7">
      <c r="A12133" s="3"/>
      <c r="B12133" s="3"/>
      <c r="C12133" s="3"/>
      <c r="D12133" s="3"/>
      <c r="E12133" s="3">
        <v>10</v>
      </c>
      <c r="F12133" s="4" t="str">
        <f>HYPERLINK("http://141.218.60.56/~jnz1568/getInfo.php?workbook=10_05.xlsx&amp;sheet=U0&amp;row=12133&amp;col=6&amp;number=3.9&amp;sourceID=14","3.9")</f>
        <v>3.9</v>
      </c>
      <c r="G12133" s="4" t="str">
        <f>HYPERLINK("http://141.218.60.56/~jnz1568/getInfo.php?workbook=10_05.xlsx&amp;sheet=U0&amp;row=12133&amp;col=7&amp;number=0.0288&amp;sourceID=14","0.0288")</f>
        <v>0.0288</v>
      </c>
    </row>
    <row r="12134" spans="1:7">
      <c r="A12134" s="3"/>
      <c r="B12134" s="3"/>
      <c r="C12134" s="3"/>
      <c r="D12134" s="3"/>
      <c r="E12134" s="3">
        <v>11</v>
      </c>
      <c r="F12134" s="4" t="str">
        <f>HYPERLINK("http://141.218.60.56/~jnz1568/getInfo.php?workbook=10_05.xlsx&amp;sheet=U0&amp;row=12134&amp;col=6&amp;number=4&amp;sourceID=14","4")</f>
        <v>4</v>
      </c>
      <c r="G12134" s="4" t="str">
        <f>HYPERLINK("http://141.218.60.56/~jnz1568/getInfo.php?workbook=10_05.xlsx&amp;sheet=U0&amp;row=12134&amp;col=7&amp;number=0.0275&amp;sourceID=14","0.0275")</f>
        <v>0.0275</v>
      </c>
    </row>
    <row r="12135" spans="1:7">
      <c r="A12135" s="3"/>
      <c r="B12135" s="3"/>
      <c r="C12135" s="3"/>
      <c r="D12135" s="3"/>
      <c r="E12135" s="3">
        <v>12</v>
      </c>
      <c r="F12135" s="4" t="str">
        <f>HYPERLINK("http://141.218.60.56/~jnz1568/getInfo.php?workbook=10_05.xlsx&amp;sheet=U0&amp;row=12135&amp;col=6&amp;number=4.1&amp;sourceID=14","4.1")</f>
        <v>4.1</v>
      </c>
      <c r="G12135" s="4" t="str">
        <f>HYPERLINK("http://141.218.60.56/~jnz1568/getInfo.php?workbook=10_05.xlsx&amp;sheet=U0&amp;row=12135&amp;col=7&amp;number=0.0262&amp;sourceID=14","0.0262")</f>
        <v>0.0262</v>
      </c>
    </row>
    <row r="12136" spans="1:7">
      <c r="A12136" s="3"/>
      <c r="B12136" s="3"/>
      <c r="C12136" s="3"/>
      <c r="D12136" s="3"/>
      <c r="E12136" s="3">
        <v>13</v>
      </c>
      <c r="F12136" s="4" t="str">
        <f>HYPERLINK("http://141.218.60.56/~jnz1568/getInfo.php?workbook=10_05.xlsx&amp;sheet=U0&amp;row=12136&amp;col=6&amp;number=4.2&amp;sourceID=14","4.2")</f>
        <v>4.2</v>
      </c>
      <c r="G12136" s="4" t="str">
        <f>HYPERLINK("http://141.218.60.56/~jnz1568/getInfo.php?workbook=10_05.xlsx&amp;sheet=U0&amp;row=12136&amp;col=7&amp;number=0.0248&amp;sourceID=14","0.0248")</f>
        <v>0.0248</v>
      </c>
    </row>
    <row r="12137" spans="1:7">
      <c r="A12137" s="3"/>
      <c r="B12137" s="3"/>
      <c r="C12137" s="3"/>
      <c r="D12137" s="3"/>
      <c r="E12137" s="3">
        <v>14</v>
      </c>
      <c r="F12137" s="4" t="str">
        <f>HYPERLINK("http://141.218.60.56/~jnz1568/getInfo.php?workbook=10_05.xlsx&amp;sheet=U0&amp;row=12137&amp;col=6&amp;number=4.3&amp;sourceID=14","4.3")</f>
        <v>4.3</v>
      </c>
      <c r="G12137" s="4" t="str">
        <f>HYPERLINK("http://141.218.60.56/~jnz1568/getInfo.php?workbook=10_05.xlsx&amp;sheet=U0&amp;row=12137&amp;col=7&amp;number=0.0234&amp;sourceID=14","0.0234")</f>
        <v>0.0234</v>
      </c>
    </row>
    <row r="12138" spans="1:7">
      <c r="A12138" s="3"/>
      <c r="B12138" s="3"/>
      <c r="C12138" s="3"/>
      <c r="D12138" s="3"/>
      <c r="E12138" s="3">
        <v>15</v>
      </c>
      <c r="F12138" s="4" t="str">
        <f>HYPERLINK("http://141.218.60.56/~jnz1568/getInfo.php?workbook=10_05.xlsx&amp;sheet=U0&amp;row=12138&amp;col=6&amp;number=4.4&amp;sourceID=14","4.4")</f>
        <v>4.4</v>
      </c>
      <c r="G12138" s="4" t="str">
        <f>HYPERLINK("http://141.218.60.56/~jnz1568/getInfo.php?workbook=10_05.xlsx&amp;sheet=U0&amp;row=12138&amp;col=7&amp;number=0.022&amp;sourceID=14","0.022")</f>
        <v>0.022</v>
      </c>
    </row>
    <row r="12139" spans="1:7">
      <c r="A12139" s="3"/>
      <c r="B12139" s="3"/>
      <c r="C12139" s="3"/>
      <c r="D12139" s="3"/>
      <c r="E12139" s="3">
        <v>16</v>
      </c>
      <c r="F12139" s="4" t="str">
        <f>HYPERLINK("http://141.218.60.56/~jnz1568/getInfo.php?workbook=10_05.xlsx&amp;sheet=U0&amp;row=12139&amp;col=6&amp;number=4.5&amp;sourceID=14","4.5")</f>
        <v>4.5</v>
      </c>
      <c r="G12139" s="4" t="str">
        <f>HYPERLINK("http://141.218.60.56/~jnz1568/getInfo.php?workbook=10_05.xlsx&amp;sheet=U0&amp;row=12139&amp;col=7&amp;number=0.0205&amp;sourceID=14","0.0205")</f>
        <v>0.0205</v>
      </c>
    </row>
    <row r="12140" spans="1:7">
      <c r="A12140" s="3"/>
      <c r="B12140" s="3"/>
      <c r="C12140" s="3"/>
      <c r="D12140" s="3"/>
      <c r="E12140" s="3">
        <v>17</v>
      </c>
      <c r="F12140" s="4" t="str">
        <f>HYPERLINK("http://141.218.60.56/~jnz1568/getInfo.php?workbook=10_05.xlsx&amp;sheet=U0&amp;row=12140&amp;col=6&amp;number=4.6&amp;sourceID=14","4.6")</f>
        <v>4.6</v>
      </c>
      <c r="G12140" s="4" t="str">
        <f>HYPERLINK("http://141.218.60.56/~jnz1568/getInfo.php?workbook=10_05.xlsx&amp;sheet=U0&amp;row=12140&amp;col=7&amp;number=0.0188&amp;sourceID=14","0.0188")</f>
        <v>0.0188</v>
      </c>
    </row>
    <row r="12141" spans="1:7">
      <c r="A12141" s="3"/>
      <c r="B12141" s="3"/>
      <c r="C12141" s="3"/>
      <c r="D12141" s="3"/>
      <c r="E12141" s="3">
        <v>18</v>
      </c>
      <c r="F12141" s="4" t="str">
        <f>HYPERLINK("http://141.218.60.56/~jnz1568/getInfo.php?workbook=10_05.xlsx&amp;sheet=U0&amp;row=12141&amp;col=6&amp;number=4.7&amp;sourceID=14","4.7")</f>
        <v>4.7</v>
      </c>
      <c r="G12141" s="4" t="str">
        <f>HYPERLINK("http://141.218.60.56/~jnz1568/getInfo.php?workbook=10_05.xlsx&amp;sheet=U0&amp;row=12141&amp;col=7&amp;number=0.0171&amp;sourceID=14","0.0171")</f>
        <v>0.0171</v>
      </c>
    </row>
    <row r="12142" spans="1:7">
      <c r="A12142" s="3"/>
      <c r="B12142" s="3"/>
      <c r="C12142" s="3"/>
      <c r="D12142" s="3"/>
      <c r="E12142" s="3">
        <v>19</v>
      </c>
      <c r="F12142" s="4" t="str">
        <f>HYPERLINK("http://141.218.60.56/~jnz1568/getInfo.php?workbook=10_05.xlsx&amp;sheet=U0&amp;row=12142&amp;col=6&amp;number=4.8&amp;sourceID=14","4.8")</f>
        <v>4.8</v>
      </c>
      <c r="G12142" s="4" t="str">
        <f>HYPERLINK("http://141.218.60.56/~jnz1568/getInfo.php?workbook=10_05.xlsx&amp;sheet=U0&amp;row=12142&amp;col=7&amp;number=0.0155&amp;sourceID=14","0.0155")</f>
        <v>0.0155</v>
      </c>
    </row>
    <row r="12143" spans="1:7">
      <c r="A12143" s="3"/>
      <c r="B12143" s="3"/>
      <c r="C12143" s="3"/>
      <c r="D12143" s="3"/>
      <c r="E12143" s="3">
        <v>20</v>
      </c>
      <c r="F12143" s="4" t="str">
        <f>HYPERLINK("http://141.218.60.56/~jnz1568/getInfo.php?workbook=10_05.xlsx&amp;sheet=U0&amp;row=12143&amp;col=6&amp;number=4.9&amp;sourceID=14","4.9")</f>
        <v>4.9</v>
      </c>
      <c r="G12143" s="4" t="str">
        <f>HYPERLINK("http://141.218.60.56/~jnz1568/getInfo.php?workbook=10_05.xlsx&amp;sheet=U0&amp;row=12143&amp;col=7&amp;number=0.014&amp;sourceID=14","0.014")</f>
        <v>0.014</v>
      </c>
    </row>
    <row r="12144" spans="1:7">
      <c r="A12144" s="3">
        <v>10</v>
      </c>
      <c r="B12144" s="3">
        <v>5</v>
      </c>
      <c r="C12144" s="3">
        <v>4</v>
      </c>
      <c r="D12144" s="3">
        <v>78</v>
      </c>
      <c r="E12144" s="3">
        <v>1</v>
      </c>
      <c r="F12144" s="4" t="str">
        <f>HYPERLINK("http://141.218.60.56/~jnz1568/getInfo.php?workbook=10_05.xlsx&amp;sheet=U0&amp;row=12144&amp;col=6&amp;number=3&amp;sourceID=14","3")</f>
        <v>3</v>
      </c>
      <c r="G12144" s="4" t="str">
        <f>HYPERLINK("http://141.218.60.56/~jnz1568/getInfo.php?workbook=10_05.xlsx&amp;sheet=U0&amp;row=12144&amp;col=7&amp;number=0.0421&amp;sourceID=14","0.0421")</f>
        <v>0.0421</v>
      </c>
    </row>
    <row r="12145" spans="1:7">
      <c r="A12145" s="3"/>
      <c r="B12145" s="3"/>
      <c r="C12145" s="3"/>
      <c r="D12145" s="3"/>
      <c r="E12145" s="3">
        <v>2</v>
      </c>
      <c r="F12145" s="4" t="str">
        <f>HYPERLINK("http://141.218.60.56/~jnz1568/getInfo.php?workbook=10_05.xlsx&amp;sheet=U0&amp;row=12145&amp;col=6&amp;number=3.1&amp;sourceID=14","3.1")</f>
        <v>3.1</v>
      </c>
      <c r="G12145" s="4" t="str">
        <f>HYPERLINK("http://141.218.60.56/~jnz1568/getInfo.php?workbook=10_05.xlsx&amp;sheet=U0&amp;row=12145&amp;col=7&amp;number=0.0419&amp;sourceID=14","0.0419")</f>
        <v>0.0419</v>
      </c>
    </row>
    <row r="12146" spans="1:7">
      <c r="A12146" s="3"/>
      <c r="B12146" s="3"/>
      <c r="C12146" s="3"/>
      <c r="D12146" s="3"/>
      <c r="E12146" s="3">
        <v>3</v>
      </c>
      <c r="F12146" s="4" t="str">
        <f>HYPERLINK("http://141.218.60.56/~jnz1568/getInfo.php?workbook=10_05.xlsx&amp;sheet=U0&amp;row=12146&amp;col=6&amp;number=3.2&amp;sourceID=14","3.2")</f>
        <v>3.2</v>
      </c>
      <c r="G12146" s="4" t="str">
        <f>HYPERLINK("http://141.218.60.56/~jnz1568/getInfo.php?workbook=10_05.xlsx&amp;sheet=U0&amp;row=12146&amp;col=7&amp;number=0.0417&amp;sourceID=14","0.0417")</f>
        <v>0.0417</v>
      </c>
    </row>
    <row r="12147" spans="1:7">
      <c r="A12147" s="3"/>
      <c r="B12147" s="3"/>
      <c r="C12147" s="3"/>
      <c r="D12147" s="3"/>
      <c r="E12147" s="3">
        <v>4</v>
      </c>
      <c r="F12147" s="4" t="str">
        <f>HYPERLINK("http://141.218.60.56/~jnz1568/getInfo.php?workbook=10_05.xlsx&amp;sheet=U0&amp;row=12147&amp;col=6&amp;number=3.3&amp;sourceID=14","3.3")</f>
        <v>3.3</v>
      </c>
      <c r="G12147" s="4" t="str">
        <f>HYPERLINK("http://141.218.60.56/~jnz1568/getInfo.php?workbook=10_05.xlsx&amp;sheet=U0&amp;row=12147&amp;col=7&amp;number=0.0415&amp;sourceID=14","0.0415")</f>
        <v>0.0415</v>
      </c>
    </row>
    <row r="12148" spans="1:7">
      <c r="A12148" s="3"/>
      <c r="B12148" s="3"/>
      <c r="C12148" s="3"/>
      <c r="D12148" s="3"/>
      <c r="E12148" s="3">
        <v>5</v>
      </c>
      <c r="F12148" s="4" t="str">
        <f>HYPERLINK("http://141.218.60.56/~jnz1568/getInfo.php?workbook=10_05.xlsx&amp;sheet=U0&amp;row=12148&amp;col=6&amp;number=3.4&amp;sourceID=14","3.4")</f>
        <v>3.4</v>
      </c>
      <c r="G12148" s="4" t="str">
        <f>HYPERLINK("http://141.218.60.56/~jnz1568/getInfo.php?workbook=10_05.xlsx&amp;sheet=U0&amp;row=12148&amp;col=7&amp;number=0.0412&amp;sourceID=14","0.0412")</f>
        <v>0.0412</v>
      </c>
    </row>
    <row r="12149" spans="1:7">
      <c r="A12149" s="3"/>
      <c r="B12149" s="3"/>
      <c r="C12149" s="3"/>
      <c r="D12149" s="3"/>
      <c r="E12149" s="3">
        <v>6</v>
      </c>
      <c r="F12149" s="4" t="str">
        <f>HYPERLINK("http://141.218.60.56/~jnz1568/getInfo.php?workbook=10_05.xlsx&amp;sheet=U0&amp;row=12149&amp;col=6&amp;number=3.5&amp;sourceID=14","3.5")</f>
        <v>3.5</v>
      </c>
      <c r="G12149" s="4" t="str">
        <f>HYPERLINK("http://141.218.60.56/~jnz1568/getInfo.php?workbook=10_05.xlsx&amp;sheet=U0&amp;row=12149&amp;col=7&amp;number=0.0408&amp;sourceID=14","0.0408")</f>
        <v>0.0408</v>
      </c>
    </row>
    <row r="12150" spans="1:7">
      <c r="A12150" s="3"/>
      <c r="B12150" s="3"/>
      <c r="C12150" s="3"/>
      <c r="D12150" s="3"/>
      <c r="E12150" s="3">
        <v>7</v>
      </c>
      <c r="F12150" s="4" t="str">
        <f>HYPERLINK("http://141.218.60.56/~jnz1568/getInfo.php?workbook=10_05.xlsx&amp;sheet=U0&amp;row=12150&amp;col=6&amp;number=3.6&amp;sourceID=14","3.6")</f>
        <v>3.6</v>
      </c>
      <c r="G12150" s="4" t="str">
        <f>HYPERLINK("http://141.218.60.56/~jnz1568/getInfo.php?workbook=10_05.xlsx&amp;sheet=U0&amp;row=12150&amp;col=7&amp;number=0.0403&amp;sourceID=14","0.0403")</f>
        <v>0.0403</v>
      </c>
    </row>
    <row r="12151" spans="1:7">
      <c r="A12151" s="3"/>
      <c r="B12151" s="3"/>
      <c r="C12151" s="3"/>
      <c r="D12151" s="3"/>
      <c r="E12151" s="3">
        <v>8</v>
      </c>
      <c r="F12151" s="4" t="str">
        <f>HYPERLINK("http://141.218.60.56/~jnz1568/getInfo.php?workbook=10_05.xlsx&amp;sheet=U0&amp;row=12151&amp;col=6&amp;number=3.7&amp;sourceID=14","3.7")</f>
        <v>3.7</v>
      </c>
      <c r="G12151" s="4" t="str">
        <f>HYPERLINK("http://141.218.60.56/~jnz1568/getInfo.php?workbook=10_05.xlsx&amp;sheet=U0&amp;row=12151&amp;col=7&amp;number=0.0397&amp;sourceID=14","0.0397")</f>
        <v>0.0397</v>
      </c>
    </row>
    <row r="12152" spans="1:7">
      <c r="A12152" s="3"/>
      <c r="B12152" s="3"/>
      <c r="C12152" s="3"/>
      <c r="D12152" s="3"/>
      <c r="E12152" s="3">
        <v>9</v>
      </c>
      <c r="F12152" s="4" t="str">
        <f>HYPERLINK("http://141.218.60.56/~jnz1568/getInfo.php?workbook=10_05.xlsx&amp;sheet=U0&amp;row=12152&amp;col=6&amp;number=3.8&amp;sourceID=14","3.8")</f>
        <v>3.8</v>
      </c>
      <c r="G12152" s="4" t="str">
        <f>HYPERLINK("http://141.218.60.56/~jnz1568/getInfo.php?workbook=10_05.xlsx&amp;sheet=U0&amp;row=12152&amp;col=7&amp;number=0.039&amp;sourceID=14","0.039")</f>
        <v>0.039</v>
      </c>
    </row>
    <row r="12153" spans="1:7">
      <c r="A12153" s="3"/>
      <c r="B12153" s="3"/>
      <c r="C12153" s="3"/>
      <c r="D12153" s="3"/>
      <c r="E12153" s="3">
        <v>10</v>
      </c>
      <c r="F12153" s="4" t="str">
        <f>HYPERLINK("http://141.218.60.56/~jnz1568/getInfo.php?workbook=10_05.xlsx&amp;sheet=U0&amp;row=12153&amp;col=6&amp;number=3.9&amp;sourceID=14","3.9")</f>
        <v>3.9</v>
      </c>
      <c r="G12153" s="4" t="str">
        <f>HYPERLINK("http://141.218.60.56/~jnz1568/getInfo.php?workbook=10_05.xlsx&amp;sheet=U0&amp;row=12153&amp;col=7&amp;number=0.0381&amp;sourceID=14","0.0381")</f>
        <v>0.0381</v>
      </c>
    </row>
    <row r="12154" spans="1:7">
      <c r="A12154" s="3"/>
      <c r="B12154" s="3"/>
      <c r="C12154" s="3"/>
      <c r="D12154" s="3"/>
      <c r="E12154" s="3">
        <v>11</v>
      </c>
      <c r="F12154" s="4" t="str">
        <f>HYPERLINK("http://141.218.60.56/~jnz1568/getInfo.php?workbook=10_05.xlsx&amp;sheet=U0&amp;row=12154&amp;col=6&amp;number=4&amp;sourceID=14","4")</f>
        <v>4</v>
      </c>
      <c r="G12154" s="4" t="str">
        <f>HYPERLINK("http://141.218.60.56/~jnz1568/getInfo.php?workbook=10_05.xlsx&amp;sheet=U0&amp;row=12154&amp;col=7&amp;number=0.037&amp;sourceID=14","0.037")</f>
        <v>0.037</v>
      </c>
    </row>
    <row r="12155" spans="1:7">
      <c r="A12155" s="3"/>
      <c r="B12155" s="3"/>
      <c r="C12155" s="3"/>
      <c r="D12155" s="3"/>
      <c r="E12155" s="3">
        <v>12</v>
      </c>
      <c r="F12155" s="4" t="str">
        <f>HYPERLINK("http://141.218.60.56/~jnz1568/getInfo.php?workbook=10_05.xlsx&amp;sheet=U0&amp;row=12155&amp;col=6&amp;number=4.1&amp;sourceID=14","4.1")</f>
        <v>4.1</v>
      </c>
      <c r="G12155" s="4" t="str">
        <f>HYPERLINK("http://141.218.60.56/~jnz1568/getInfo.php?workbook=10_05.xlsx&amp;sheet=U0&amp;row=12155&amp;col=7&amp;number=0.0357&amp;sourceID=14","0.0357")</f>
        <v>0.0357</v>
      </c>
    </row>
    <row r="12156" spans="1:7">
      <c r="A12156" s="3"/>
      <c r="B12156" s="3"/>
      <c r="C12156" s="3"/>
      <c r="D12156" s="3"/>
      <c r="E12156" s="3">
        <v>13</v>
      </c>
      <c r="F12156" s="4" t="str">
        <f>HYPERLINK("http://141.218.60.56/~jnz1568/getInfo.php?workbook=10_05.xlsx&amp;sheet=U0&amp;row=12156&amp;col=6&amp;number=4.2&amp;sourceID=14","4.2")</f>
        <v>4.2</v>
      </c>
      <c r="G12156" s="4" t="str">
        <f>HYPERLINK("http://141.218.60.56/~jnz1568/getInfo.php?workbook=10_05.xlsx&amp;sheet=U0&amp;row=12156&amp;col=7&amp;number=0.0341&amp;sourceID=14","0.0341")</f>
        <v>0.0341</v>
      </c>
    </row>
    <row r="12157" spans="1:7">
      <c r="A12157" s="3"/>
      <c r="B12157" s="3"/>
      <c r="C12157" s="3"/>
      <c r="D12157" s="3"/>
      <c r="E12157" s="3">
        <v>14</v>
      </c>
      <c r="F12157" s="4" t="str">
        <f>HYPERLINK("http://141.218.60.56/~jnz1568/getInfo.php?workbook=10_05.xlsx&amp;sheet=U0&amp;row=12157&amp;col=6&amp;number=4.3&amp;sourceID=14","4.3")</f>
        <v>4.3</v>
      </c>
      <c r="G12157" s="4" t="str">
        <f>HYPERLINK("http://141.218.60.56/~jnz1568/getInfo.php?workbook=10_05.xlsx&amp;sheet=U0&amp;row=12157&amp;col=7&amp;number=0.0323&amp;sourceID=14","0.0323")</f>
        <v>0.0323</v>
      </c>
    </row>
    <row r="12158" spans="1:7">
      <c r="A12158" s="3"/>
      <c r="B12158" s="3"/>
      <c r="C12158" s="3"/>
      <c r="D12158" s="3"/>
      <c r="E12158" s="3">
        <v>15</v>
      </c>
      <c r="F12158" s="4" t="str">
        <f>HYPERLINK("http://141.218.60.56/~jnz1568/getInfo.php?workbook=10_05.xlsx&amp;sheet=U0&amp;row=12158&amp;col=6&amp;number=4.4&amp;sourceID=14","4.4")</f>
        <v>4.4</v>
      </c>
      <c r="G12158" s="4" t="str">
        <f>HYPERLINK("http://141.218.60.56/~jnz1568/getInfo.php?workbook=10_05.xlsx&amp;sheet=U0&amp;row=12158&amp;col=7&amp;number=0.0303&amp;sourceID=14","0.0303")</f>
        <v>0.0303</v>
      </c>
    </row>
    <row r="12159" spans="1:7">
      <c r="A12159" s="3"/>
      <c r="B12159" s="3"/>
      <c r="C12159" s="3"/>
      <c r="D12159" s="3"/>
      <c r="E12159" s="3">
        <v>16</v>
      </c>
      <c r="F12159" s="4" t="str">
        <f>HYPERLINK("http://141.218.60.56/~jnz1568/getInfo.php?workbook=10_05.xlsx&amp;sheet=U0&amp;row=12159&amp;col=6&amp;number=4.5&amp;sourceID=14","4.5")</f>
        <v>4.5</v>
      </c>
      <c r="G12159" s="4" t="str">
        <f>HYPERLINK("http://141.218.60.56/~jnz1568/getInfo.php?workbook=10_05.xlsx&amp;sheet=U0&amp;row=12159&amp;col=7&amp;number=0.0281&amp;sourceID=14","0.0281")</f>
        <v>0.0281</v>
      </c>
    </row>
    <row r="12160" spans="1:7">
      <c r="A12160" s="3"/>
      <c r="B12160" s="3"/>
      <c r="C12160" s="3"/>
      <c r="D12160" s="3"/>
      <c r="E12160" s="3">
        <v>17</v>
      </c>
      <c r="F12160" s="4" t="str">
        <f>HYPERLINK("http://141.218.60.56/~jnz1568/getInfo.php?workbook=10_05.xlsx&amp;sheet=U0&amp;row=12160&amp;col=6&amp;number=4.6&amp;sourceID=14","4.6")</f>
        <v>4.6</v>
      </c>
      <c r="G12160" s="4" t="str">
        <f>HYPERLINK("http://141.218.60.56/~jnz1568/getInfo.php?workbook=10_05.xlsx&amp;sheet=U0&amp;row=12160&amp;col=7&amp;number=0.0258&amp;sourceID=14","0.0258")</f>
        <v>0.0258</v>
      </c>
    </row>
    <row r="12161" spans="1:7">
      <c r="A12161" s="3"/>
      <c r="B12161" s="3"/>
      <c r="C12161" s="3"/>
      <c r="D12161" s="3"/>
      <c r="E12161" s="3">
        <v>18</v>
      </c>
      <c r="F12161" s="4" t="str">
        <f>HYPERLINK("http://141.218.60.56/~jnz1568/getInfo.php?workbook=10_05.xlsx&amp;sheet=U0&amp;row=12161&amp;col=6&amp;number=4.7&amp;sourceID=14","4.7")</f>
        <v>4.7</v>
      </c>
      <c r="G12161" s="4" t="str">
        <f>HYPERLINK("http://141.218.60.56/~jnz1568/getInfo.php?workbook=10_05.xlsx&amp;sheet=U0&amp;row=12161&amp;col=7&amp;number=0.0234&amp;sourceID=14","0.0234")</f>
        <v>0.0234</v>
      </c>
    </row>
    <row r="12162" spans="1:7">
      <c r="A12162" s="3"/>
      <c r="B12162" s="3"/>
      <c r="C12162" s="3"/>
      <c r="D12162" s="3"/>
      <c r="E12162" s="3">
        <v>19</v>
      </c>
      <c r="F12162" s="4" t="str">
        <f>HYPERLINK("http://141.218.60.56/~jnz1568/getInfo.php?workbook=10_05.xlsx&amp;sheet=U0&amp;row=12162&amp;col=6&amp;number=4.8&amp;sourceID=14","4.8")</f>
        <v>4.8</v>
      </c>
      <c r="G12162" s="4" t="str">
        <f>HYPERLINK("http://141.218.60.56/~jnz1568/getInfo.php?workbook=10_05.xlsx&amp;sheet=U0&amp;row=12162&amp;col=7&amp;number=0.0211&amp;sourceID=14","0.0211")</f>
        <v>0.0211</v>
      </c>
    </row>
    <row r="12163" spans="1:7">
      <c r="A12163" s="3"/>
      <c r="B12163" s="3"/>
      <c r="C12163" s="3"/>
      <c r="D12163" s="3"/>
      <c r="E12163" s="3">
        <v>20</v>
      </c>
      <c r="F12163" s="4" t="str">
        <f>HYPERLINK("http://141.218.60.56/~jnz1568/getInfo.php?workbook=10_05.xlsx&amp;sheet=U0&amp;row=12163&amp;col=6&amp;number=4.9&amp;sourceID=14","4.9")</f>
        <v>4.9</v>
      </c>
      <c r="G12163" s="4" t="str">
        <f>HYPERLINK("http://141.218.60.56/~jnz1568/getInfo.php?workbook=10_05.xlsx&amp;sheet=U0&amp;row=12163&amp;col=7&amp;number=0.0188&amp;sourceID=14","0.0188")</f>
        <v>0.0188</v>
      </c>
    </row>
    <row r="12164" spans="1:7">
      <c r="A12164" s="3">
        <v>10</v>
      </c>
      <c r="B12164" s="3">
        <v>5</v>
      </c>
      <c r="C12164" s="3">
        <v>4</v>
      </c>
      <c r="D12164" s="3">
        <v>79</v>
      </c>
      <c r="E12164" s="3">
        <v>1</v>
      </c>
      <c r="F12164" s="4" t="str">
        <f>HYPERLINK("http://141.218.60.56/~jnz1568/getInfo.php?workbook=10_05.xlsx&amp;sheet=U0&amp;row=12164&amp;col=6&amp;number=3&amp;sourceID=14","3")</f>
        <v>3</v>
      </c>
      <c r="G12164" s="4" t="str">
        <f>HYPERLINK("http://141.218.60.56/~jnz1568/getInfo.php?workbook=10_05.xlsx&amp;sheet=U0&amp;row=12164&amp;col=7&amp;number=0.00846&amp;sourceID=14","0.00846")</f>
        <v>0.00846</v>
      </c>
    </row>
    <row r="12165" spans="1:7">
      <c r="A12165" s="3"/>
      <c r="B12165" s="3"/>
      <c r="C12165" s="3"/>
      <c r="D12165" s="3"/>
      <c r="E12165" s="3">
        <v>2</v>
      </c>
      <c r="F12165" s="4" t="str">
        <f>HYPERLINK("http://141.218.60.56/~jnz1568/getInfo.php?workbook=10_05.xlsx&amp;sheet=U0&amp;row=12165&amp;col=6&amp;number=3.1&amp;sourceID=14","3.1")</f>
        <v>3.1</v>
      </c>
      <c r="G12165" s="4" t="str">
        <f>HYPERLINK("http://141.218.60.56/~jnz1568/getInfo.php?workbook=10_05.xlsx&amp;sheet=U0&amp;row=12165&amp;col=7&amp;number=0.00857&amp;sourceID=14","0.00857")</f>
        <v>0.00857</v>
      </c>
    </row>
    <row r="12166" spans="1:7">
      <c r="A12166" s="3"/>
      <c r="B12166" s="3"/>
      <c r="C12166" s="3"/>
      <c r="D12166" s="3"/>
      <c r="E12166" s="3">
        <v>3</v>
      </c>
      <c r="F12166" s="4" t="str">
        <f>HYPERLINK("http://141.218.60.56/~jnz1568/getInfo.php?workbook=10_05.xlsx&amp;sheet=U0&amp;row=12166&amp;col=6&amp;number=3.2&amp;sourceID=14","3.2")</f>
        <v>3.2</v>
      </c>
      <c r="G12166" s="4" t="str">
        <f>HYPERLINK("http://141.218.60.56/~jnz1568/getInfo.php?workbook=10_05.xlsx&amp;sheet=U0&amp;row=12166&amp;col=7&amp;number=0.00871&amp;sourceID=14","0.00871")</f>
        <v>0.00871</v>
      </c>
    </row>
    <row r="12167" spans="1:7">
      <c r="A12167" s="3"/>
      <c r="B12167" s="3"/>
      <c r="C12167" s="3"/>
      <c r="D12167" s="3"/>
      <c r="E12167" s="3">
        <v>4</v>
      </c>
      <c r="F12167" s="4" t="str">
        <f>HYPERLINK("http://141.218.60.56/~jnz1568/getInfo.php?workbook=10_05.xlsx&amp;sheet=U0&amp;row=12167&amp;col=6&amp;number=3.3&amp;sourceID=14","3.3")</f>
        <v>3.3</v>
      </c>
      <c r="G12167" s="4" t="str">
        <f>HYPERLINK("http://141.218.60.56/~jnz1568/getInfo.php?workbook=10_05.xlsx&amp;sheet=U0&amp;row=12167&amp;col=7&amp;number=0.00888&amp;sourceID=14","0.00888")</f>
        <v>0.00888</v>
      </c>
    </row>
    <row r="12168" spans="1:7">
      <c r="A12168" s="3"/>
      <c r="B12168" s="3"/>
      <c r="C12168" s="3"/>
      <c r="D12168" s="3"/>
      <c r="E12168" s="3">
        <v>5</v>
      </c>
      <c r="F12168" s="4" t="str">
        <f>HYPERLINK("http://141.218.60.56/~jnz1568/getInfo.php?workbook=10_05.xlsx&amp;sheet=U0&amp;row=12168&amp;col=6&amp;number=3.4&amp;sourceID=14","3.4")</f>
        <v>3.4</v>
      </c>
      <c r="G12168" s="4" t="str">
        <f>HYPERLINK("http://141.218.60.56/~jnz1568/getInfo.php?workbook=10_05.xlsx&amp;sheet=U0&amp;row=12168&amp;col=7&amp;number=0.00908&amp;sourceID=14","0.00908")</f>
        <v>0.00908</v>
      </c>
    </row>
    <row r="12169" spans="1:7">
      <c r="A12169" s="3"/>
      <c r="B12169" s="3"/>
      <c r="C12169" s="3"/>
      <c r="D12169" s="3"/>
      <c r="E12169" s="3">
        <v>6</v>
      </c>
      <c r="F12169" s="4" t="str">
        <f>HYPERLINK("http://141.218.60.56/~jnz1568/getInfo.php?workbook=10_05.xlsx&amp;sheet=U0&amp;row=12169&amp;col=6&amp;number=3.5&amp;sourceID=14","3.5")</f>
        <v>3.5</v>
      </c>
      <c r="G12169" s="4" t="str">
        <f>HYPERLINK("http://141.218.60.56/~jnz1568/getInfo.php?workbook=10_05.xlsx&amp;sheet=U0&amp;row=12169&amp;col=7&amp;number=0.00934&amp;sourceID=14","0.00934")</f>
        <v>0.00934</v>
      </c>
    </row>
    <row r="12170" spans="1:7">
      <c r="A12170" s="3"/>
      <c r="B12170" s="3"/>
      <c r="C12170" s="3"/>
      <c r="D12170" s="3"/>
      <c r="E12170" s="3">
        <v>7</v>
      </c>
      <c r="F12170" s="4" t="str">
        <f>HYPERLINK("http://141.218.60.56/~jnz1568/getInfo.php?workbook=10_05.xlsx&amp;sheet=U0&amp;row=12170&amp;col=6&amp;number=3.6&amp;sourceID=14","3.6")</f>
        <v>3.6</v>
      </c>
      <c r="G12170" s="4" t="str">
        <f>HYPERLINK("http://141.218.60.56/~jnz1568/getInfo.php?workbook=10_05.xlsx&amp;sheet=U0&amp;row=12170&amp;col=7&amp;number=0.00964&amp;sourceID=14","0.00964")</f>
        <v>0.00964</v>
      </c>
    </row>
    <row r="12171" spans="1:7">
      <c r="A12171" s="3"/>
      <c r="B12171" s="3"/>
      <c r="C12171" s="3"/>
      <c r="D12171" s="3"/>
      <c r="E12171" s="3">
        <v>8</v>
      </c>
      <c r="F12171" s="4" t="str">
        <f>HYPERLINK("http://141.218.60.56/~jnz1568/getInfo.php?workbook=10_05.xlsx&amp;sheet=U0&amp;row=12171&amp;col=6&amp;number=3.7&amp;sourceID=14","3.7")</f>
        <v>3.7</v>
      </c>
      <c r="G12171" s="4" t="str">
        <f>HYPERLINK("http://141.218.60.56/~jnz1568/getInfo.php?workbook=10_05.xlsx&amp;sheet=U0&amp;row=12171&amp;col=7&amp;number=0.01&amp;sourceID=14","0.01")</f>
        <v>0.01</v>
      </c>
    </row>
    <row r="12172" spans="1:7">
      <c r="A12172" s="3"/>
      <c r="B12172" s="3"/>
      <c r="C12172" s="3"/>
      <c r="D12172" s="3"/>
      <c r="E12172" s="3">
        <v>9</v>
      </c>
      <c r="F12172" s="4" t="str">
        <f>HYPERLINK("http://141.218.60.56/~jnz1568/getInfo.php?workbook=10_05.xlsx&amp;sheet=U0&amp;row=12172&amp;col=6&amp;number=3.8&amp;sourceID=14","3.8")</f>
        <v>3.8</v>
      </c>
      <c r="G12172" s="4" t="str">
        <f>HYPERLINK("http://141.218.60.56/~jnz1568/getInfo.php?workbook=10_05.xlsx&amp;sheet=U0&amp;row=12172&amp;col=7&amp;number=0.0104&amp;sourceID=14","0.0104")</f>
        <v>0.0104</v>
      </c>
    </row>
    <row r="12173" spans="1:7">
      <c r="A12173" s="3"/>
      <c r="B12173" s="3"/>
      <c r="C12173" s="3"/>
      <c r="D12173" s="3"/>
      <c r="E12173" s="3">
        <v>10</v>
      </c>
      <c r="F12173" s="4" t="str">
        <f>HYPERLINK("http://141.218.60.56/~jnz1568/getInfo.php?workbook=10_05.xlsx&amp;sheet=U0&amp;row=12173&amp;col=6&amp;number=3.9&amp;sourceID=14","3.9")</f>
        <v>3.9</v>
      </c>
      <c r="G12173" s="4" t="str">
        <f>HYPERLINK("http://141.218.60.56/~jnz1568/getInfo.php?workbook=10_05.xlsx&amp;sheet=U0&amp;row=12173&amp;col=7&amp;number=0.0109&amp;sourceID=14","0.0109")</f>
        <v>0.0109</v>
      </c>
    </row>
    <row r="12174" spans="1:7">
      <c r="A12174" s="3"/>
      <c r="B12174" s="3"/>
      <c r="C12174" s="3"/>
      <c r="D12174" s="3"/>
      <c r="E12174" s="3">
        <v>11</v>
      </c>
      <c r="F12174" s="4" t="str">
        <f>HYPERLINK("http://141.218.60.56/~jnz1568/getInfo.php?workbook=10_05.xlsx&amp;sheet=U0&amp;row=12174&amp;col=6&amp;number=4&amp;sourceID=14","4")</f>
        <v>4</v>
      </c>
      <c r="G12174" s="4" t="str">
        <f>HYPERLINK("http://141.218.60.56/~jnz1568/getInfo.php?workbook=10_05.xlsx&amp;sheet=U0&amp;row=12174&amp;col=7&amp;number=0.0114&amp;sourceID=14","0.0114")</f>
        <v>0.0114</v>
      </c>
    </row>
    <row r="12175" spans="1:7">
      <c r="A12175" s="3"/>
      <c r="B12175" s="3"/>
      <c r="C12175" s="3"/>
      <c r="D12175" s="3"/>
      <c r="E12175" s="3">
        <v>12</v>
      </c>
      <c r="F12175" s="4" t="str">
        <f>HYPERLINK("http://141.218.60.56/~jnz1568/getInfo.php?workbook=10_05.xlsx&amp;sheet=U0&amp;row=12175&amp;col=6&amp;number=4.1&amp;sourceID=14","4.1")</f>
        <v>4.1</v>
      </c>
      <c r="G12175" s="4" t="str">
        <f>HYPERLINK("http://141.218.60.56/~jnz1568/getInfo.php?workbook=10_05.xlsx&amp;sheet=U0&amp;row=12175&amp;col=7&amp;number=0.0119&amp;sourceID=14","0.0119")</f>
        <v>0.0119</v>
      </c>
    </row>
    <row r="12176" spans="1:7">
      <c r="A12176" s="3"/>
      <c r="B12176" s="3"/>
      <c r="C12176" s="3"/>
      <c r="D12176" s="3"/>
      <c r="E12176" s="3">
        <v>13</v>
      </c>
      <c r="F12176" s="4" t="str">
        <f>HYPERLINK("http://141.218.60.56/~jnz1568/getInfo.php?workbook=10_05.xlsx&amp;sheet=U0&amp;row=12176&amp;col=6&amp;number=4.2&amp;sourceID=14","4.2")</f>
        <v>4.2</v>
      </c>
      <c r="G12176" s="4" t="str">
        <f>HYPERLINK("http://141.218.60.56/~jnz1568/getInfo.php?workbook=10_05.xlsx&amp;sheet=U0&amp;row=12176&amp;col=7&amp;number=0.0121&amp;sourceID=14","0.0121")</f>
        <v>0.0121</v>
      </c>
    </row>
    <row r="12177" spans="1:7">
      <c r="A12177" s="3"/>
      <c r="B12177" s="3"/>
      <c r="C12177" s="3"/>
      <c r="D12177" s="3"/>
      <c r="E12177" s="3">
        <v>14</v>
      </c>
      <c r="F12177" s="4" t="str">
        <f>HYPERLINK("http://141.218.60.56/~jnz1568/getInfo.php?workbook=10_05.xlsx&amp;sheet=U0&amp;row=12177&amp;col=6&amp;number=4.3&amp;sourceID=14","4.3")</f>
        <v>4.3</v>
      </c>
      <c r="G12177" s="4" t="str">
        <f>HYPERLINK("http://141.218.60.56/~jnz1568/getInfo.php?workbook=10_05.xlsx&amp;sheet=U0&amp;row=12177&amp;col=7&amp;number=0.0121&amp;sourceID=14","0.0121")</f>
        <v>0.0121</v>
      </c>
    </row>
    <row r="12178" spans="1:7">
      <c r="A12178" s="3"/>
      <c r="B12178" s="3"/>
      <c r="C12178" s="3"/>
      <c r="D12178" s="3"/>
      <c r="E12178" s="3">
        <v>15</v>
      </c>
      <c r="F12178" s="4" t="str">
        <f>HYPERLINK("http://141.218.60.56/~jnz1568/getInfo.php?workbook=10_05.xlsx&amp;sheet=U0&amp;row=12178&amp;col=6&amp;number=4.4&amp;sourceID=14","4.4")</f>
        <v>4.4</v>
      </c>
      <c r="G12178" s="4" t="str">
        <f>HYPERLINK("http://141.218.60.56/~jnz1568/getInfo.php?workbook=10_05.xlsx&amp;sheet=U0&amp;row=12178&amp;col=7&amp;number=0.0119&amp;sourceID=14","0.0119")</f>
        <v>0.0119</v>
      </c>
    </row>
    <row r="12179" spans="1:7">
      <c r="A12179" s="3"/>
      <c r="B12179" s="3"/>
      <c r="C12179" s="3"/>
      <c r="D12179" s="3"/>
      <c r="E12179" s="3">
        <v>16</v>
      </c>
      <c r="F12179" s="4" t="str">
        <f>HYPERLINK("http://141.218.60.56/~jnz1568/getInfo.php?workbook=10_05.xlsx&amp;sheet=U0&amp;row=12179&amp;col=6&amp;number=4.5&amp;sourceID=14","4.5")</f>
        <v>4.5</v>
      </c>
      <c r="G12179" s="4" t="str">
        <f>HYPERLINK("http://141.218.60.56/~jnz1568/getInfo.php?workbook=10_05.xlsx&amp;sheet=U0&amp;row=12179&amp;col=7&amp;number=0.0113&amp;sourceID=14","0.0113")</f>
        <v>0.0113</v>
      </c>
    </row>
    <row r="12180" spans="1:7">
      <c r="A12180" s="3"/>
      <c r="B12180" s="3"/>
      <c r="C12180" s="3"/>
      <c r="D12180" s="3"/>
      <c r="E12180" s="3">
        <v>17</v>
      </c>
      <c r="F12180" s="4" t="str">
        <f>HYPERLINK("http://141.218.60.56/~jnz1568/getInfo.php?workbook=10_05.xlsx&amp;sheet=U0&amp;row=12180&amp;col=6&amp;number=4.6&amp;sourceID=14","4.6")</f>
        <v>4.6</v>
      </c>
      <c r="G12180" s="4" t="str">
        <f>HYPERLINK("http://141.218.60.56/~jnz1568/getInfo.php?workbook=10_05.xlsx&amp;sheet=U0&amp;row=12180&amp;col=7&amp;number=0.0108&amp;sourceID=14","0.0108")</f>
        <v>0.0108</v>
      </c>
    </row>
    <row r="12181" spans="1:7">
      <c r="A12181" s="3"/>
      <c r="B12181" s="3"/>
      <c r="C12181" s="3"/>
      <c r="D12181" s="3"/>
      <c r="E12181" s="3">
        <v>18</v>
      </c>
      <c r="F12181" s="4" t="str">
        <f>HYPERLINK("http://141.218.60.56/~jnz1568/getInfo.php?workbook=10_05.xlsx&amp;sheet=U0&amp;row=12181&amp;col=6&amp;number=4.7&amp;sourceID=14","4.7")</f>
        <v>4.7</v>
      </c>
      <c r="G12181" s="4" t="str">
        <f>HYPERLINK("http://141.218.60.56/~jnz1568/getInfo.php?workbook=10_05.xlsx&amp;sheet=U0&amp;row=12181&amp;col=7&amp;number=0.0102&amp;sourceID=14","0.0102")</f>
        <v>0.0102</v>
      </c>
    </row>
    <row r="12182" spans="1:7">
      <c r="A12182" s="3"/>
      <c r="B12182" s="3"/>
      <c r="C12182" s="3"/>
      <c r="D12182" s="3"/>
      <c r="E12182" s="3">
        <v>19</v>
      </c>
      <c r="F12182" s="4" t="str">
        <f>HYPERLINK("http://141.218.60.56/~jnz1568/getInfo.php?workbook=10_05.xlsx&amp;sheet=U0&amp;row=12182&amp;col=6&amp;number=4.8&amp;sourceID=14","4.8")</f>
        <v>4.8</v>
      </c>
      <c r="G12182" s="4" t="str">
        <f>HYPERLINK("http://141.218.60.56/~jnz1568/getInfo.php?workbook=10_05.xlsx&amp;sheet=U0&amp;row=12182&amp;col=7&amp;number=0.00946&amp;sourceID=14","0.00946")</f>
        <v>0.00946</v>
      </c>
    </row>
    <row r="12183" spans="1:7">
      <c r="A12183" s="3"/>
      <c r="B12183" s="3"/>
      <c r="C12183" s="3"/>
      <c r="D12183" s="3"/>
      <c r="E12183" s="3">
        <v>20</v>
      </c>
      <c r="F12183" s="4" t="str">
        <f>HYPERLINK("http://141.218.60.56/~jnz1568/getInfo.php?workbook=10_05.xlsx&amp;sheet=U0&amp;row=12183&amp;col=6&amp;number=4.9&amp;sourceID=14","4.9")</f>
        <v>4.9</v>
      </c>
      <c r="G12183" s="4" t="str">
        <f>HYPERLINK("http://141.218.60.56/~jnz1568/getInfo.php?workbook=10_05.xlsx&amp;sheet=U0&amp;row=12183&amp;col=7&amp;number=0.00864&amp;sourceID=14","0.00864")</f>
        <v>0.00864</v>
      </c>
    </row>
    <row r="12184" spans="1:7">
      <c r="A12184" s="3">
        <v>10</v>
      </c>
      <c r="B12184" s="3">
        <v>5</v>
      </c>
      <c r="C12184" s="3">
        <v>4</v>
      </c>
      <c r="D12184" s="3">
        <v>80</v>
      </c>
      <c r="E12184" s="3">
        <v>1</v>
      </c>
      <c r="F12184" s="4" t="str">
        <f>HYPERLINK("http://141.218.60.56/~jnz1568/getInfo.php?workbook=10_05.xlsx&amp;sheet=U0&amp;row=12184&amp;col=6&amp;number=3&amp;sourceID=14","3")</f>
        <v>3</v>
      </c>
      <c r="G12184" s="4" t="str">
        <f>HYPERLINK("http://141.218.60.56/~jnz1568/getInfo.php?workbook=10_05.xlsx&amp;sheet=U0&amp;row=12184&amp;col=7&amp;number=0.00947&amp;sourceID=14","0.00947")</f>
        <v>0.00947</v>
      </c>
    </row>
    <row r="12185" spans="1:7">
      <c r="A12185" s="3"/>
      <c r="B12185" s="3"/>
      <c r="C12185" s="3"/>
      <c r="D12185" s="3"/>
      <c r="E12185" s="3">
        <v>2</v>
      </c>
      <c r="F12185" s="4" t="str">
        <f>HYPERLINK("http://141.218.60.56/~jnz1568/getInfo.php?workbook=10_05.xlsx&amp;sheet=U0&amp;row=12185&amp;col=6&amp;number=3.1&amp;sourceID=14","3.1")</f>
        <v>3.1</v>
      </c>
      <c r="G12185" s="4" t="str">
        <f>HYPERLINK("http://141.218.60.56/~jnz1568/getInfo.php?workbook=10_05.xlsx&amp;sheet=U0&amp;row=12185&amp;col=7&amp;number=0.00961&amp;sourceID=14","0.00961")</f>
        <v>0.00961</v>
      </c>
    </row>
    <row r="12186" spans="1:7">
      <c r="A12186" s="3"/>
      <c r="B12186" s="3"/>
      <c r="C12186" s="3"/>
      <c r="D12186" s="3"/>
      <c r="E12186" s="3">
        <v>3</v>
      </c>
      <c r="F12186" s="4" t="str">
        <f>HYPERLINK("http://141.218.60.56/~jnz1568/getInfo.php?workbook=10_05.xlsx&amp;sheet=U0&amp;row=12186&amp;col=6&amp;number=3.2&amp;sourceID=14","3.2")</f>
        <v>3.2</v>
      </c>
      <c r="G12186" s="4" t="str">
        <f>HYPERLINK("http://141.218.60.56/~jnz1568/getInfo.php?workbook=10_05.xlsx&amp;sheet=U0&amp;row=12186&amp;col=7&amp;number=0.00979&amp;sourceID=14","0.00979")</f>
        <v>0.00979</v>
      </c>
    </row>
    <row r="12187" spans="1:7">
      <c r="A12187" s="3"/>
      <c r="B12187" s="3"/>
      <c r="C12187" s="3"/>
      <c r="D12187" s="3"/>
      <c r="E12187" s="3">
        <v>4</v>
      </c>
      <c r="F12187" s="4" t="str">
        <f>HYPERLINK("http://141.218.60.56/~jnz1568/getInfo.php?workbook=10_05.xlsx&amp;sheet=U0&amp;row=12187&amp;col=6&amp;number=3.3&amp;sourceID=14","3.3")</f>
        <v>3.3</v>
      </c>
      <c r="G12187" s="4" t="str">
        <f>HYPERLINK("http://141.218.60.56/~jnz1568/getInfo.php?workbook=10_05.xlsx&amp;sheet=U0&amp;row=12187&amp;col=7&amp;number=0.01&amp;sourceID=14","0.01")</f>
        <v>0.01</v>
      </c>
    </row>
    <row r="12188" spans="1:7">
      <c r="A12188" s="3"/>
      <c r="B12188" s="3"/>
      <c r="C12188" s="3"/>
      <c r="D12188" s="3"/>
      <c r="E12188" s="3">
        <v>5</v>
      </c>
      <c r="F12188" s="4" t="str">
        <f>HYPERLINK("http://141.218.60.56/~jnz1568/getInfo.php?workbook=10_05.xlsx&amp;sheet=U0&amp;row=12188&amp;col=6&amp;number=3.4&amp;sourceID=14","3.4")</f>
        <v>3.4</v>
      </c>
      <c r="G12188" s="4" t="str">
        <f>HYPERLINK("http://141.218.60.56/~jnz1568/getInfo.php?workbook=10_05.xlsx&amp;sheet=U0&amp;row=12188&amp;col=7&amp;number=0.0103&amp;sourceID=14","0.0103")</f>
        <v>0.0103</v>
      </c>
    </row>
    <row r="12189" spans="1:7">
      <c r="A12189" s="3"/>
      <c r="B12189" s="3"/>
      <c r="C12189" s="3"/>
      <c r="D12189" s="3"/>
      <c r="E12189" s="3">
        <v>6</v>
      </c>
      <c r="F12189" s="4" t="str">
        <f>HYPERLINK("http://141.218.60.56/~jnz1568/getInfo.php?workbook=10_05.xlsx&amp;sheet=U0&amp;row=12189&amp;col=6&amp;number=3.5&amp;sourceID=14","3.5")</f>
        <v>3.5</v>
      </c>
      <c r="G12189" s="4" t="str">
        <f>HYPERLINK("http://141.218.60.56/~jnz1568/getInfo.php?workbook=10_05.xlsx&amp;sheet=U0&amp;row=12189&amp;col=7&amp;number=0.0106&amp;sourceID=14","0.0106")</f>
        <v>0.0106</v>
      </c>
    </row>
    <row r="12190" spans="1:7">
      <c r="A12190" s="3"/>
      <c r="B12190" s="3"/>
      <c r="C12190" s="3"/>
      <c r="D12190" s="3"/>
      <c r="E12190" s="3">
        <v>7</v>
      </c>
      <c r="F12190" s="4" t="str">
        <f>HYPERLINK("http://141.218.60.56/~jnz1568/getInfo.php?workbook=10_05.xlsx&amp;sheet=U0&amp;row=12190&amp;col=6&amp;number=3.6&amp;sourceID=14","3.6")</f>
        <v>3.6</v>
      </c>
      <c r="G12190" s="4" t="str">
        <f>HYPERLINK("http://141.218.60.56/~jnz1568/getInfo.php?workbook=10_05.xlsx&amp;sheet=U0&amp;row=12190&amp;col=7&amp;number=0.011&amp;sourceID=14","0.011")</f>
        <v>0.011</v>
      </c>
    </row>
    <row r="12191" spans="1:7">
      <c r="A12191" s="3"/>
      <c r="B12191" s="3"/>
      <c r="C12191" s="3"/>
      <c r="D12191" s="3"/>
      <c r="E12191" s="3">
        <v>8</v>
      </c>
      <c r="F12191" s="4" t="str">
        <f>HYPERLINK("http://141.218.60.56/~jnz1568/getInfo.php?workbook=10_05.xlsx&amp;sheet=U0&amp;row=12191&amp;col=6&amp;number=3.7&amp;sourceID=14","3.7")</f>
        <v>3.7</v>
      </c>
      <c r="G12191" s="4" t="str">
        <f>HYPERLINK("http://141.218.60.56/~jnz1568/getInfo.php?workbook=10_05.xlsx&amp;sheet=U0&amp;row=12191&amp;col=7&amp;number=0.0115&amp;sourceID=14","0.0115")</f>
        <v>0.0115</v>
      </c>
    </row>
    <row r="12192" spans="1:7">
      <c r="A12192" s="3"/>
      <c r="B12192" s="3"/>
      <c r="C12192" s="3"/>
      <c r="D12192" s="3"/>
      <c r="E12192" s="3">
        <v>9</v>
      </c>
      <c r="F12192" s="4" t="str">
        <f>HYPERLINK("http://141.218.60.56/~jnz1568/getInfo.php?workbook=10_05.xlsx&amp;sheet=U0&amp;row=12192&amp;col=6&amp;number=3.8&amp;sourceID=14","3.8")</f>
        <v>3.8</v>
      </c>
      <c r="G12192" s="4" t="str">
        <f>HYPERLINK("http://141.218.60.56/~jnz1568/getInfo.php?workbook=10_05.xlsx&amp;sheet=U0&amp;row=12192&amp;col=7&amp;number=0.012&amp;sourceID=14","0.012")</f>
        <v>0.012</v>
      </c>
    </row>
    <row r="12193" spans="1:7">
      <c r="A12193" s="3"/>
      <c r="B12193" s="3"/>
      <c r="C12193" s="3"/>
      <c r="D12193" s="3"/>
      <c r="E12193" s="3">
        <v>10</v>
      </c>
      <c r="F12193" s="4" t="str">
        <f>HYPERLINK("http://141.218.60.56/~jnz1568/getInfo.php?workbook=10_05.xlsx&amp;sheet=U0&amp;row=12193&amp;col=6&amp;number=3.9&amp;sourceID=14","3.9")</f>
        <v>3.9</v>
      </c>
      <c r="G12193" s="4" t="str">
        <f>HYPERLINK("http://141.218.60.56/~jnz1568/getInfo.php?workbook=10_05.xlsx&amp;sheet=U0&amp;row=12193&amp;col=7&amp;number=0.0125&amp;sourceID=14","0.0125")</f>
        <v>0.0125</v>
      </c>
    </row>
    <row r="12194" spans="1:7">
      <c r="A12194" s="3"/>
      <c r="B12194" s="3"/>
      <c r="C12194" s="3"/>
      <c r="D12194" s="3"/>
      <c r="E12194" s="3">
        <v>11</v>
      </c>
      <c r="F12194" s="4" t="str">
        <f>HYPERLINK("http://141.218.60.56/~jnz1568/getInfo.php?workbook=10_05.xlsx&amp;sheet=U0&amp;row=12194&amp;col=6&amp;number=4&amp;sourceID=14","4")</f>
        <v>4</v>
      </c>
      <c r="G12194" s="4" t="str">
        <f>HYPERLINK("http://141.218.60.56/~jnz1568/getInfo.php?workbook=10_05.xlsx&amp;sheet=U0&amp;row=12194&amp;col=7&amp;number=0.013&amp;sourceID=14","0.013")</f>
        <v>0.013</v>
      </c>
    </row>
    <row r="12195" spans="1:7">
      <c r="A12195" s="3"/>
      <c r="B12195" s="3"/>
      <c r="C12195" s="3"/>
      <c r="D12195" s="3"/>
      <c r="E12195" s="3">
        <v>12</v>
      </c>
      <c r="F12195" s="4" t="str">
        <f>HYPERLINK("http://141.218.60.56/~jnz1568/getInfo.php?workbook=10_05.xlsx&amp;sheet=U0&amp;row=12195&amp;col=6&amp;number=4.1&amp;sourceID=14","4.1")</f>
        <v>4.1</v>
      </c>
      <c r="G12195" s="4" t="str">
        <f>HYPERLINK("http://141.218.60.56/~jnz1568/getInfo.php?workbook=10_05.xlsx&amp;sheet=U0&amp;row=12195&amp;col=7&amp;number=0.0133&amp;sourceID=14","0.0133")</f>
        <v>0.0133</v>
      </c>
    </row>
    <row r="12196" spans="1:7">
      <c r="A12196" s="3"/>
      <c r="B12196" s="3"/>
      <c r="C12196" s="3"/>
      <c r="D12196" s="3"/>
      <c r="E12196" s="3">
        <v>13</v>
      </c>
      <c r="F12196" s="4" t="str">
        <f>HYPERLINK("http://141.218.60.56/~jnz1568/getInfo.php?workbook=10_05.xlsx&amp;sheet=U0&amp;row=12196&amp;col=6&amp;number=4.2&amp;sourceID=14","4.2")</f>
        <v>4.2</v>
      </c>
      <c r="G12196" s="4" t="str">
        <f>HYPERLINK("http://141.218.60.56/~jnz1568/getInfo.php?workbook=10_05.xlsx&amp;sheet=U0&amp;row=12196&amp;col=7&amp;number=0.0134&amp;sourceID=14","0.0134")</f>
        <v>0.0134</v>
      </c>
    </row>
    <row r="12197" spans="1:7">
      <c r="A12197" s="3"/>
      <c r="B12197" s="3"/>
      <c r="C12197" s="3"/>
      <c r="D12197" s="3"/>
      <c r="E12197" s="3">
        <v>14</v>
      </c>
      <c r="F12197" s="4" t="str">
        <f>HYPERLINK("http://141.218.60.56/~jnz1568/getInfo.php?workbook=10_05.xlsx&amp;sheet=U0&amp;row=12197&amp;col=6&amp;number=4.3&amp;sourceID=14","4.3")</f>
        <v>4.3</v>
      </c>
      <c r="G12197" s="4" t="str">
        <f>HYPERLINK("http://141.218.60.56/~jnz1568/getInfo.php?workbook=10_05.xlsx&amp;sheet=U0&amp;row=12197&amp;col=7&amp;number=0.0133&amp;sourceID=14","0.0133")</f>
        <v>0.0133</v>
      </c>
    </row>
    <row r="12198" spans="1:7">
      <c r="A12198" s="3"/>
      <c r="B12198" s="3"/>
      <c r="C12198" s="3"/>
      <c r="D12198" s="3"/>
      <c r="E12198" s="3">
        <v>15</v>
      </c>
      <c r="F12198" s="4" t="str">
        <f>HYPERLINK("http://141.218.60.56/~jnz1568/getInfo.php?workbook=10_05.xlsx&amp;sheet=U0&amp;row=12198&amp;col=6&amp;number=4.4&amp;sourceID=14","4.4")</f>
        <v>4.4</v>
      </c>
      <c r="G12198" s="4" t="str">
        <f>HYPERLINK("http://141.218.60.56/~jnz1568/getInfo.php?workbook=10_05.xlsx&amp;sheet=U0&amp;row=12198&amp;col=7&amp;number=0.013&amp;sourceID=14","0.013")</f>
        <v>0.013</v>
      </c>
    </row>
    <row r="12199" spans="1:7">
      <c r="A12199" s="3"/>
      <c r="B12199" s="3"/>
      <c r="C12199" s="3"/>
      <c r="D12199" s="3"/>
      <c r="E12199" s="3">
        <v>16</v>
      </c>
      <c r="F12199" s="4" t="str">
        <f>HYPERLINK("http://141.218.60.56/~jnz1568/getInfo.php?workbook=10_05.xlsx&amp;sheet=U0&amp;row=12199&amp;col=6&amp;number=4.5&amp;sourceID=14","4.5")</f>
        <v>4.5</v>
      </c>
      <c r="G12199" s="4" t="str">
        <f>HYPERLINK("http://141.218.60.56/~jnz1568/getInfo.php?workbook=10_05.xlsx&amp;sheet=U0&amp;row=12199&amp;col=7&amp;number=0.0125&amp;sourceID=14","0.0125")</f>
        <v>0.0125</v>
      </c>
    </row>
    <row r="12200" spans="1:7">
      <c r="A12200" s="3"/>
      <c r="B12200" s="3"/>
      <c r="C12200" s="3"/>
      <c r="D12200" s="3"/>
      <c r="E12200" s="3">
        <v>17</v>
      </c>
      <c r="F12200" s="4" t="str">
        <f>HYPERLINK("http://141.218.60.56/~jnz1568/getInfo.php?workbook=10_05.xlsx&amp;sheet=U0&amp;row=12200&amp;col=6&amp;number=4.6&amp;sourceID=14","4.6")</f>
        <v>4.6</v>
      </c>
      <c r="G12200" s="4" t="str">
        <f>HYPERLINK("http://141.218.60.56/~jnz1568/getInfo.php?workbook=10_05.xlsx&amp;sheet=U0&amp;row=12200&amp;col=7&amp;number=0.0118&amp;sourceID=14","0.0118")</f>
        <v>0.0118</v>
      </c>
    </row>
    <row r="12201" spans="1:7">
      <c r="A12201" s="3"/>
      <c r="B12201" s="3"/>
      <c r="C12201" s="3"/>
      <c r="D12201" s="3"/>
      <c r="E12201" s="3">
        <v>18</v>
      </c>
      <c r="F12201" s="4" t="str">
        <f>HYPERLINK("http://141.218.60.56/~jnz1568/getInfo.php?workbook=10_05.xlsx&amp;sheet=U0&amp;row=12201&amp;col=6&amp;number=4.7&amp;sourceID=14","4.7")</f>
        <v>4.7</v>
      </c>
      <c r="G12201" s="4" t="str">
        <f>HYPERLINK("http://141.218.60.56/~jnz1568/getInfo.php?workbook=10_05.xlsx&amp;sheet=U0&amp;row=12201&amp;col=7&amp;number=0.0109&amp;sourceID=14","0.0109")</f>
        <v>0.0109</v>
      </c>
    </row>
    <row r="12202" spans="1:7">
      <c r="A12202" s="3"/>
      <c r="B12202" s="3"/>
      <c r="C12202" s="3"/>
      <c r="D12202" s="3"/>
      <c r="E12202" s="3">
        <v>19</v>
      </c>
      <c r="F12202" s="4" t="str">
        <f>HYPERLINK("http://141.218.60.56/~jnz1568/getInfo.php?workbook=10_05.xlsx&amp;sheet=U0&amp;row=12202&amp;col=6&amp;number=4.8&amp;sourceID=14","4.8")</f>
        <v>4.8</v>
      </c>
      <c r="G12202" s="4" t="str">
        <f>HYPERLINK("http://141.218.60.56/~jnz1568/getInfo.php?workbook=10_05.xlsx&amp;sheet=U0&amp;row=12202&amp;col=7&amp;number=0.00983&amp;sourceID=14","0.00983")</f>
        <v>0.00983</v>
      </c>
    </row>
    <row r="12203" spans="1:7">
      <c r="A12203" s="3"/>
      <c r="B12203" s="3"/>
      <c r="C12203" s="3"/>
      <c r="D12203" s="3"/>
      <c r="E12203" s="3">
        <v>20</v>
      </c>
      <c r="F12203" s="4" t="str">
        <f>HYPERLINK("http://141.218.60.56/~jnz1568/getInfo.php?workbook=10_05.xlsx&amp;sheet=U0&amp;row=12203&amp;col=6&amp;number=4.9&amp;sourceID=14","4.9")</f>
        <v>4.9</v>
      </c>
      <c r="G12203" s="4" t="str">
        <f>HYPERLINK("http://141.218.60.56/~jnz1568/getInfo.php?workbook=10_05.xlsx&amp;sheet=U0&amp;row=12203&amp;col=7&amp;number=0.00869&amp;sourceID=14","0.00869")</f>
        <v>0.00869</v>
      </c>
    </row>
    <row r="12204" spans="1:7">
      <c r="A12204" s="3">
        <v>10</v>
      </c>
      <c r="B12204" s="3">
        <v>5</v>
      </c>
      <c r="C12204" s="3">
        <v>4</v>
      </c>
      <c r="D12204" s="3">
        <v>81</v>
      </c>
      <c r="E12204" s="3">
        <v>1</v>
      </c>
      <c r="F12204" s="4" t="str">
        <f>HYPERLINK("http://141.218.60.56/~jnz1568/getInfo.php?workbook=10_05.xlsx&amp;sheet=U0&amp;row=12204&amp;col=6&amp;number=3&amp;sourceID=14","3")</f>
        <v>3</v>
      </c>
      <c r="G12204" s="4" t="str">
        <f>HYPERLINK("http://141.218.60.56/~jnz1568/getInfo.php?workbook=10_05.xlsx&amp;sheet=U0&amp;row=12204&amp;col=7&amp;number=0.0129&amp;sourceID=14","0.0129")</f>
        <v>0.0129</v>
      </c>
    </row>
    <row r="12205" spans="1:7">
      <c r="A12205" s="3"/>
      <c r="B12205" s="3"/>
      <c r="C12205" s="3"/>
      <c r="D12205" s="3"/>
      <c r="E12205" s="3">
        <v>2</v>
      </c>
      <c r="F12205" s="4" t="str">
        <f>HYPERLINK("http://141.218.60.56/~jnz1568/getInfo.php?workbook=10_05.xlsx&amp;sheet=U0&amp;row=12205&amp;col=6&amp;number=3.1&amp;sourceID=14","3.1")</f>
        <v>3.1</v>
      </c>
      <c r="G12205" s="4" t="str">
        <f>HYPERLINK("http://141.218.60.56/~jnz1568/getInfo.php?workbook=10_05.xlsx&amp;sheet=U0&amp;row=12205&amp;col=7&amp;number=0.0131&amp;sourceID=14","0.0131")</f>
        <v>0.0131</v>
      </c>
    </row>
    <row r="12206" spans="1:7">
      <c r="A12206" s="3"/>
      <c r="B12206" s="3"/>
      <c r="C12206" s="3"/>
      <c r="D12206" s="3"/>
      <c r="E12206" s="3">
        <v>3</v>
      </c>
      <c r="F12206" s="4" t="str">
        <f>HYPERLINK("http://141.218.60.56/~jnz1568/getInfo.php?workbook=10_05.xlsx&amp;sheet=U0&amp;row=12206&amp;col=6&amp;number=3.2&amp;sourceID=14","3.2")</f>
        <v>3.2</v>
      </c>
      <c r="G12206" s="4" t="str">
        <f>HYPERLINK("http://141.218.60.56/~jnz1568/getInfo.php?workbook=10_05.xlsx&amp;sheet=U0&amp;row=12206&amp;col=7&amp;number=0.0133&amp;sourceID=14","0.0133")</f>
        <v>0.0133</v>
      </c>
    </row>
    <row r="12207" spans="1:7">
      <c r="A12207" s="3"/>
      <c r="B12207" s="3"/>
      <c r="C12207" s="3"/>
      <c r="D12207" s="3"/>
      <c r="E12207" s="3">
        <v>4</v>
      </c>
      <c r="F12207" s="4" t="str">
        <f>HYPERLINK("http://141.218.60.56/~jnz1568/getInfo.php?workbook=10_05.xlsx&amp;sheet=U0&amp;row=12207&amp;col=6&amp;number=3.3&amp;sourceID=14","3.3")</f>
        <v>3.3</v>
      </c>
      <c r="G12207" s="4" t="str">
        <f>HYPERLINK("http://141.218.60.56/~jnz1568/getInfo.php?workbook=10_05.xlsx&amp;sheet=U0&amp;row=12207&amp;col=7&amp;number=0.0136&amp;sourceID=14","0.0136")</f>
        <v>0.0136</v>
      </c>
    </row>
    <row r="12208" spans="1:7">
      <c r="A12208" s="3"/>
      <c r="B12208" s="3"/>
      <c r="C12208" s="3"/>
      <c r="D12208" s="3"/>
      <c r="E12208" s="3">
        <v>5</v>
      </c>
      <c r="F12208" s="4" t="str">
        <f>HYPERLINK("http://141.218.60.56/~jnz1568/getInfo.php?workbook=10_05.xlsx&amp;sheet=U0&amp;row=12208&amp;col=6&amp;number=3.4&amp;sourceID=14","3.4")</f>
        <v>3.4</v>
      </c>
      <c r="G12208" s="4" t="str">
        <f>HYPERLINK("http://141.218.60.56/~jnz1568/getInfo.php?workbook=10_05.xlsx&amp;sheet=U0&amp;row=12208&amp;col=7&amp;number=0.014&amp;sourceID=14","0.014")</f>
        <v>0.014</v>
      </c>
    </row>
    <row r="12209" spans="1:7">
      <c r="A12209" s="3"/>
      <c r="B12209" s="3"/>
      <c r="C12209" s="3"/>
      <c r="D12209" s="3"/>
      <c r="E12209" s="3">
        <v>6</v>
      </c>
      <c r="F12209" s="4" t="str">
        <f>HYPERLINK("http://141.218.60.56/~jnz1568/getInfo.php?workbook=10_05.xlsx&amp;sheet=U0&amp;row=12209&amp;col=6&amp;number=3.5&amp;sourceID=14","3.5")</f>
        <v>3.5</v>
      </c>
      <c r="G12209" s="4" t="str">
        <f>HYPERLINK("http://141.218.60.56/~jnz1568/getInfo.php?workbook=10_05.xlsx&amp;sheet=U0&amp;row=12209&amp;col=7&amp;number=0.0145&amp;sourceID=14","0.0145")</f>
        <v>0.0145</v>
      </c>
    </row>
    <row r="12210" spans="1:7">
      <c r="A12210" s="3"/>
      <c r="B12210" s="3"/>
      <c r="C12210" s="3"/>
      <c r="D12210" s="3"/>
      <c r="E12210" s="3">
        <v>7</v>
      </c>
      <c r="F12210" s="4" t="str">
        <f>HYPERLINK("http://141.218.60.56/~jnz1568/getInfo.php?workbook=10_05.xlsx&amp;sheet=U0&amp;row=12210&amp;col=6&amp;number=3.6&amp;sourceID=14","3.6")</f>
        <v>3.6</v>
      </c>
      <c r="G12210" s="4" t="str">
        <f>HYPERLINK("http://141.218.60.56/~jnz1568/getInfo.php?workbook=10_05.xlsx&amp;sheet=U0&amp;row=12210&amp;col=7&amp;number=0.015&amp;sourceID=14","0.015")</f>
        <v>0.015</v>
      </c>
    </row>
    <row r="12211" spans="1:7">
      <c r="A12211" s="3"/>
      <c r="B12211" s="3"/>
      <c r="C12211" s="3"/>
      <c r="D12211" s="3"/>
      <c r="E12211" s="3">
        <v>8</v>
      </c>
      <c r="F12211" s="4" t="str">
        <f>HYPERLINK("http://141.218.60.56/~jnz1568/getInfo.php?workbook=10_05.xlsx&amp;sheet=U0&amp;row=12211&amp;col=6&amp;number=3.7&amp;sourceID=14","3.7")</f>
        <v>3.7</v>
      </c>
      <c r="G12211" s="4" t="str">
        <f>HYPERLINK("http://141.218.60.56/~jnz1568/getInfo.php?workbook=10_05.xlsx&amp;sheet=U0&amp;row=12211&amp;col=7&amp;number=0.0155&amp;sourceID=14","0.0155")</f>
        <v>0.0155</v>
      </c>
    </row>
    <row r="12212" spans="1:7">
      <c r="A12212" s="3"/>
      <c r="B12212" s="3"/>
      <c r="C12212" s="3"/>
      <c r="D12212" s="3"/>
      <c r="E12212" s="3">
        <v>9</v>
      </c>
      <c r="F12212" s="4" t="str">
        <f>HYPERLINK("http://141.218.60.56/~jnz1568/getInfo.php?workbook=10_05.xlsx&amp;sheet=U0&amp;row=12212&amp;col=6&amp;number=3.8&amp;sourceID=14","3.8")</f>
        <v>3.8</v>
      </c>
      <c r="G12212" s="4" t="str">
        <f>HYPERLINK("http://141.218.60.56/~jnz1568/getInfo.php?workbook=10_05.xlsx&amp;sheet=U0&amp;row=12212&amp;col=7&amp;number=0.0161&amp;sourceID=14","0.0161")</f>
        <v>0.0161</v>
      </c>
    </row>
    <row r="12213" spans="1:7">
      <c r="A12213" s="3"/>
      <c r="B12213" s="3"/>
      <c r="C12213" s="3"/>
      <c r="D12213" s="3"/>
      <c r="E12213" s="3">
        <v>10</v>
      </c>
      <c r="F12213" s="4" t="str">
        <f>HYPERLINK("http://141.218.60.56/~jnz1568/getInfo.php?workbook=10_05.xlsx&amp;sheet=U0&amp;row=12213&amp;col=6&amp;number=3.9&amp;sourceID=14","3.9")</f>
        <v>3.9</v>
      </c>
      <c r="G12213" s="4" t="str">
        <f>HYPERLINK("http://141.218.60.56/~jnz1568/getInfo.php?workbook=10_05.xlsx&amp;sheet=U0&amp;row=12213&amp;col=7&amp;number=0.0167&amp;sourceID=14","0.0167")</f>
        <v>0.0167</v>
      </c>
    </row>
    <row r="12214" spans="1:7">
      <c r="A12214" s="3"/>
      <c r="B12214" s="3"/>
      <c r="C12214" s="3"/>
      <c r="D12214" s="3"/>
      <c r="E12214" s="3">
        <v>11</v>
      </c>
      <c r="F12214" s="4" t="str">
        <f>HYPERLINK("http://141.218.60.56/~jnz1568/getInfo.php?workbook=10_05.xlsx&amp;sheet=U0&amp;row=12214&amp;col=6&amp;number=4&amp;sourceID=14","4")</f>
        <v>4</v>
      </c>
      <c r="G12214" s="4" t="str">
        <f>HYPERLINK("http://141.218.60.56/~jnz1568/getInfo.php?workbook=10_05.xlsx&amp;sheet=U0&amp;row=12214&amp;col=7&amp;number=0.0171&amp;sourceID=14","0.0171")</f>
        <v>0.0171</v>
      </c>
    </row>
    <row r="12215" spans="1:7">
      <c r="A12215" s="3"/>
      <c r="B12215" s="3"/>
      <c r="C12215" s="3"/>
      <c r="D12215" s="3"/>
      <c r="E12215" s="3">
        <v>12</v>
      </c>
      <c r="F12215" s="4" t="str">
        <f>HYPERLINK("http://141.218.60.56/~jnz1568/getInfo.php?workbook=10_05.xlsx&amp;sheet=U0&amp;row=12215&amp;col=6&amp;number=4.1&amp;sourceID=14","4.1")</f>
        <v>4.1</v>
      </c>
      <c r="G12215" s="4" t="str">
        <f>HYPERLINK("http://141.218.60.56/~jnz1568/getInfo.php?workbook=10_05.xlsx&amp;sheet=U0&amp;row=12215&amp;col=7&amp;number=0.0174&amp;sourceID=14","0.0174")</f>
        <v>0.0174</v>
      </c>
    </row>
    <row r="12216" spans="1:7">
      <c r="A12216" s="3"/>
      <c r="B12216" s="3"/>
      <c r="C12216" s="3"/>
      <c r="D12216" s="3"/>
      <c r="E12216" s="3">
        <v>13</v>
      </c>
      <c r="F12216" s="4" t="str">
        <f>HYPERLINK("http://141.218.60.56/~jnz1568/getInfo.php?workbook=10_05.xlsx&amp;sheet=U0&amp;row=12216&amp;col=6&amp;number=4.2&amp;sourceID=14","4.2")</f>
        <v>4.2</v>
      </c>
      <c r="G12216" s="4" t="str">
        <f>HYPERLINK("http://141.218.60.56/~jnz1568/getInfo.php?workbook=10_05.xlsx&amp;sheet=U0&amp;row=12216&amp;col=7&amp;number=0.0173&amp;sourceID=14","0.0173")</f>
        <v>0.0173</v>
      </c>
    </row>
    <row r="12217" spans="1:7">
      <c r="A12217" s="3"/>
      <c r="B12217" s="3"/>
      <c r="C12217" s="3"/>
      <c r="D12217" s="3"/>
      <c r="E12217" s="3">
        <v>14</v>
      </c>
      <c r="F12217" s="4" t="str">
        <f>HYPERLINK("http://141.218.60.56/~jnz1568/getInfo.php?workbook=10_05.xlsx&amp;sheet=U0&amp;row=12217&amp;col=6&amp;number=4.3&amp;sourceID=14","4.3")</f>
        <v>4.3</v>
      </c>
      <c r="G12217" s="4" t="str">
        <f>HYPERLINK("http://141.218.60.56/~jnz1568/getInfo.php?workbook=10_05.xlsx&amp;sheet=U0&amp;row=12217&amp;col=7&amp;number=0.0171&amp;sourceID=14","0.0171")</f>
        <v>0.0171</v>
      </c>
    </row>
    <row r="12218" spans="1:7">
      <c r="A12218" s="3"/>
      <c r="B12218" s="3"/>
      <c r="C12218" s="3"/>
      <c r="D12218" s="3"/>
      <c r="E12218" s="3">
        <v>15</v>
      </c>
      <c r="F12218" s="4" t="str">
        <f>HYPERLINK("http://141.218.60.56/~jnz1568/getInfo.php?workbook=10_05.xlsx&amp;sheet=U0&amp;row=12218&amp;col=6&amp;number=4.4&amp;sourceID=14","4.4")</f>
        <v>4.4</v>
      </c>
      <c r="G12218" s="4" t="str">
        <f>HYPERLINK("http://141.218.60.56/~jnz1568/getInfo.php?workbook=10_05.xlsx&amp;sheet=U0&amp;row=12218&amp;col=7&amp;number=0.0167&amp;sourceID=14","0.0167")</f>
        <v>0.0167</v>
      </c>
    </row>
    <row r="12219" spans="1:7">
      <c r="A12219" s="3"/>
      <c r="B12219" s="3"/>
      <c r="C12219" s="3"/>
      <c r="D12219" s="3"/>
      <c r="E12219" s="3">
        <v>16</v>
      </c>
      <c r="F12219" s="4" t="str">
        <f>HYPERLINK("http://141.218.60.56/~jnz1568/getInfo.php?workbook=10_05.xlsx&amp;sheet=U0&amp;row=12219&amp;col=6&amp;number=4.5&amp;sourceID=14","4.5")</f>
        <v>4.5</v>
      </c>
      <c r="G12219" s="4" t="str">
        <f>HYPERLINK("http://141.218.60.56/~jnz1568/getInfo.php?workbook=10_05.xlsx&amp;sheet=U0&amp;row=12219&amp;col=7&amp;number=0.0161&amp;sourceID=14","0.0161")</f>
        <v>0.0161</v>
      </c>
    </row>
    <row r="12220" spans="1:7">
      <c r="A12220" s="3"/>
      <c r="B12220" s="3"/>
      <c r="C12220" s="3"/>
      <c r="D12220" s="3"/>
      <c r="E12220" s="3">
        <v>17</v>
      </c>
      <c r="F12220" s="4" t="str">
        <f>HYPERLINK("http://141.218.60.56/~jnz1568/getInfo.php?workbook=10_05.xlsx&amp;sheet=U0&amp;row=12220&amp;col=6&amp;number=4.6&amp;sourceID=14","4.6")</f>
        <v>4.6</v>
      </c>
      <c r="G12220" s="4" t="str">
        <f>HYPERLINK("http://141.218.60.56/~jnz1568/getInfo.php?workbook=10_05.xlsx&amp;sheet=U0&amp;row=12220&amp;col=7&amp;number=0.0151&amp;sourceID=14","0.0151")</f>
        <v>0.0151</v>
      </c>
    </row>
    <row r="12221" spans="1:7">
      <c r="A12221" s="3"/>
      <c r="B12221" s="3"/>
      <c r="C12221" s="3"/>
      <c r="D12221" s="3"/>
      <c r="E12221" s="3">
        <v>18</v>
      </c>
      <c r="F12221" s="4" t="str">
        <f>HYPERLINK("http://141.218.60.56/~jnz1568/getInfo.php?workbook=10_05.xlsx&amp;sheet=U0&amp;row=12221&amp;col=6&amp;number=4.7&amp;sourceID=14","4.7")</f>
        <v>4.7</v>
      </c>
      <c r="G12221" s="4" t="str">
        <f>HYPERLINK("http://141.218.60.56/~jnz1568/getInfo.php?workbook=10_05.xlsx&amp;sheet=U0&amp;row=12221&amp;col=7&amp;number=0.0139&amp;sourceID=14","0.0139")</f>
        <v>0.0139</v>
      </c>
    </row>
    <row r="12222" spans="1:7">
      <c r="A12222" s="3"/>
      <c r="B12222" s="3"/>
      <c r="C12222" s="3"/>
      <c r="D12222" s="3"/>
      <c r="E12222" s="3">
        <v>19</v>
      </c>
      <c r="F12222" s="4" t="str">
        <f>HYPERLINK("http://141.218.60.56/~jnz1568/getInfo.php?workbook=10_05.xlsx&amp;sheet=U0&amp;row=12222&amp;col=6&amp;number=4.8&amp;sourceID=14","4.8")</f>
        <v>4.8</v>
      </c>
      <c r="G12222" s="4" t="str">
        <f>HYPERLINK("http://141.218.60.56/~jnz1568/getInfo.php?workbook=10_05.xlsx&amp;sheet=U0&amp;row=12222&amp;col=7&amp;number=0.0125&amp;sourceID=14","0.0125")</f>
        <v>0.0125</v>
      </c>
    </row>
    <row r="12223" spans="1:7">
      <c r="A12223" s="3"/>
      <c r="B12223" s="3"/>
      <c r="C12223" s="3"/>
      <c r="D12223" s="3"/>
      <c r="E12223" s="3">
        <v>20</v>
      </c>
      <c r="F12223" s="4" t="str">
        <f>HYPERLINK("http://141.218.60.56/~jnz1568/getInfo.php?workbook=10_05.xlsx&amp;sheet=U0&amp;row=12223&amp;col=6&amp;number=4.9&amp;sourceID=14","4.9")</f>
        <v>4.9</v>
      </c>
      <c r="G12223" s="4" t="str">
        <f>HYPERLINK("http://141.218.60.56/~jnz1568/getInfo.php?workbook=10_05.xlsx&amp;sheet=U0&amp;row=12223&amp;col=7&amp;number=0.0111&amp;sourceID=14","0.0111")</f>
        <v>0.0111</v>
      </c>
    </row>
    <row r="12224" spans="1:7">
      <c r="A12224" s="3">
        <v>10</v>
      </c>
      <c r="B12224" s="3">
        <v>5</v>
      </c>
      <c r="C12224" s="3">
        <v>4</v>
      </c>
      <c r="D12224" s="3">
        <v>82</v>
      </c>
      <c r="E12224" s="3">
        <v>1</v>
      </c>
      <c r="F12224" s="4" t="str">
        <f>HYPERLINK("http://141.218.60.56/~jnz1568/getInfo.php?workbook=10_05.xlsx&amp;sheet=U0&amp;row=12224&amp;col=6&amp;number=3&amp;sourceID=14","3")</f>
        <v>3</v>
      </c>
      <c r="G12224" s="4" t="str">
        <f>HYPERLINK("http://141.218.60.56/~jnz1568/getInfo.php?workbook=10_05.xlsx&amp;sheet=U0&amp;row=12224&amp;col=7&amp;number=0.0144&amp;sourceID=14","0.0144")</f>
        <v>0.0144</v>
      </c>
    </row>
    <row r="12225" spans="1:7">
      <c r="A12225" s="3"/>
      <c r="B12225" s="3"/>
      <c r="C12225" s="3"/>
      <c r="D12225" s="3"/>
      <c r="E12225" s="3">
        <v>2</v>
      </c>
      <c r="F12225" s="4" t="str">
        <f>HYPERLINK("http://141.218.60.56/~jnz1568/getInfo.php?workbook=10_05.xlsx&amp;sheet=U0&amp;row=12225&amp;col=6&amp;number=3.1&amp;sourceID=14","3.1")</f>
        <v>3.1</v>
      </c>
      <c r="G12225" s="4" t="str">
        <f>HYPERLINK("http://141.218.60.56/~jnz1568/getInfo.php?workbook=10_05.xlsx&amp;sheet=U0&amp;row=12225&amp;col=7&amp;number=0.0143&amp;sourceID=14","0.0143")</f>
        <v>0.0143</v>
      </c>
    </row>
    <row r="12226" spans="1:7">
      <c r="A12226" s="3"/>
      <c r="B12226" s="3"/>
      <c r="C12226" s="3"/>
      <c r="D12226" s="3"/>
      <c r="E12226" s="3">
        <v>3</v>
      </c>
      <c r="F12226" s="4" t="str">
        <f>HYPERLINK("http://141.218.60.56/~jnz1568/getInfo.php?workbook=10_05.xlsx&amp;sheet=U0&amp;row=12226&amp;col=6&amp;number=3.2&amp;sourceID=14","3.2")</f>
        <v>3.2</v>
      </c>
      <c r="G12226" s="4" t="str">
        <f>HYPERLINK("http://141.218.60.56/~jnz1568/getInfo.php?workbook=10_05.xlsx&amp;sheet=U0&amp;row=12226&amp;col=7&amp;number=0.0143&amp;sourceID=14","0.0143")</f>
        <v>0.0143</v>
      </c>
    </row>
    <row r="12227" spans="1:7">
      <c r="A12227" s="3"/>
      <c r="B12227" s="3"/>
      <c r="C12227" s="3"/>
      <c r="D12227" s="3"/>
      <c r="E12227" s="3">
        <v>4</v>
      </c>
      <c r="F12227" s="4" t="str">
        <f>HYPERLINK("http://141.218.60.56/~jnz1568/getInfo.php?workbook=10_05.xlsx&amp;sheet=U0&amp;row=12227&amp;col=6&amp;number=3.3&amp;sourceID=14","3.3")</f>
        <v>3.3</v>
      </c>
      <c r="G12227" s="4" t="str">
        <f>HYPERLINK("http://141.218.60.56/~jnz1568/getInfo.php?workbook=10_05.xlsx&amp;sheet=U0&amp;row=12227&amp;col=7&amp;number=0.0142&amp;sourceID=14","0.0142")</f>
        <v>0.0142</v>
      </c>
    </row>
    <row r="12228" spans="1:7">
      <c r="A12228" s="3"/>
      <c r="B12228" s="3"/>
      <c r="C12228" s="3"/>
      <c r="D12228" s="3"/>
      <c r="E12228" s="3">
        <v>5</v>
      </c>
      <c r="F12228" s="4" t="str">
        <f>HYPERLINK("http://141.218.60.56/~jnz1568/getInfo.php?workbook=10_05.xlsx&amp;sheet=U0&amp;row=12228&amp;col=6&amp;number=3.4&amp;sourceID=14","3.4")</f>
        <v>3.4</v>
      </c>
      <c r="G12228" s="4" t="str">
        <f>HYPERLINK("http://141.218.60.56/~jnz1568/getInfo.php?workbook=10_05.xlsx&amp;sheet=U0&amp;row=12228&amp;col=7&amp;number=0.0142&amp;sourceID=14","0.0142")</f>
        <v>0.0142</v>
      </c>
    </row>
    <row r="12229" spans="1:7">
      <c r="A12229" s="3"/>
      <c r="B12229" s="3"/>
      <c r="C12229" s="3"/>
      <c r="D12229" s="3"/>
      <c r="E12229" s="3">
        <v>6</v>
      </c>
      <c r="F12229" s="4" t="str">
        <f>HYPERLINK("http://141.218.60.56/~jnz1568/getInfo.php?workbook=10_05.xlsx&amp;sheet=U0&amp;row=12229&amp;col=6&amp;number=3.5&amp;sourceID=14","3.5")</f>
        <v>3.5</v>
      </c>
      <c r="G12229" s="4" t="str">
        <f>HYPERLINK("http://141.218.60.56/~jnz1568/getInfo.php?workbook=10_05.xlsx&amp;sheet=U0&amp;row=12229&amp;col=7&amp;number=0.0141&amp;sourceID=14","0.0141")</f>
        <v>0.0141</v>
      </c>
    </row>
    <row r="12230" spans="1:7">
      <c r="A12230" s="3"/>
      <c r="B12230" s="3"/>
      <c r="C12230" s="3"/>
      <c r="D12230" s="3"/>
      <c r="E12230" s="3">
        <v>7</v>
      </c>
      <c r="F12230" s="4" t="str">
        <f>HYPERLINK("http://141.218.60.56/~jnz1568/getInfo.php?workbook=10_05.xlsx&amp;sheet=U0&amp;row=12230&amp;col=6&amp;number=3.6&amp;sourceID=14","3.6")</f>
        <v>3.6</v>
      </c>
      <c r="G12230" s="4" t="str">
        <f>HYPERLINK("http://141.218.60.56/~jnz1568/getInfo.php?workbook=10_05.xlsx&amp;sheet=U0&amp;row=12230&amp;col=7&amp;number=0.014&amp;sourceID=14","0.014")</f>
        <v>0.014</v>
      </c>
    </row>
    <row r="12231" spans="1:7">
      <c r="A12231" s="3"/>
      <c r="B12231" s="3"/>
      <c r="C12231" s="3"/>
      <c r="D12231" s="3"/>
      <c r="E12231" s="3">
        <v>8</v>
      </c>
      <c r="F12231" s="4" t="str">
        <f>HYPERLINK("http://141.218.60.56/~jnz1568/getInfo.php?workbook=10_05.xlsx&amp;sheet=U0&amp;row=12231&amp;col=6&amp;number=3.7&amp;sourceID=14","3.7")</f>
        <v>3.7</v>
      </c>
      <c r="G12231" s="4" t="str">
        <f>HYPERLINK("http://141.218.60.56/~jnz1568/getInfo.php?workbook=10_05.xlsx&amp;sheet=U0&amp;row=12231&amp;col=7&amp;number=0.0139&amp;sourceID=14","0.0139")</f>
        <v>0.0139</v>
      </c>
    </row>
    <row r="12232" spans="1:7">
      <c r="A12232" s="3"/>
      <c r="B12232" s="3"/>
      <c r="C12232" s="3"/>
      <c r="D12232" s="3"/>
      <c r="E12232" s="3">
        <v>9</v>
      </c>
      <c r="F12232" s="4" t="str">
        <f>HYPERLINK("http://141.218.60.56/~jnz1568/getInfo.php?workbook=10_05.xlsx&amp;sheet=U0&amp;row=12232&amp;col=6&amp;number=3.8&amp;sourceID=14","3.8")</f>
        <v>3.8</v>
      </c>
      <c r="G12232" s="4" t="str">
        <f>HYPERLINK("http://141.218.60.56/~jnz1568/getInfo.php?workbook=10_05.xlsx&amp;sheet=U0&amp;row=12232&amp;col=7&amp;number=0.0138&amp;sourceID=14","0.0138")</f>
        <v>0.0138</v>
      </c>
    </row>
    <row r="12233" spans="1:7">
      <c r="A12233" s="3"/>
      <c r="B12233" s="3"/>
      <c r="C12233" s="3"/>
      <c r="D12233" s="3"/>
      <c r="E12233" s="3">
        <v>10</v>
      </c>
      <c r="F12233" s="4" t="str">
        <f>HYPERLINK("http://141.218.60.56/~jnz1568/getInfo.php?workbook=10_05.xlsx&amp;sheet=U0&amp;row=12233&amp;col=6&amp;number=3.9&amp;sourceID=14","3.9")</f>
        <v>3.9</v>
      </c>
      <c r="G12233" s="4" t="str">
        <f>HYPERLINK("http://141.218.60.56/~jnz1568/getInfo.php?workbook=10_05.xlsx&amp;sheet=U0&amp;row=12233&amp;col=7&amp;number=0.0136&amp;sourceID=14","0.0136")</f>
        <v>0.0136</v>
      </c>
    </row>
    <row r="12234" spans="1:7">
      <c r="A12234" s="3"/>
      <c r="B12234" s="3"/>
      <c r="C12234" s="3"/>
      <c r="D12234" s="3"/>
      <c r="E12234" s="3">
        <v>11</v>
      </c>
      <c r="F12234" s="4" t="str">
        <f>HYPERLINK("http://141.218.60.56/~jnz1568/getInfo.php?workbook=10_05.xlsx&amp;sheet=U0&amp;row=12234&amp;col=6&amp;number=4&amp;sourceID=14","4")</f>
        <v>4</v>
      </c>
      <c r="G12234" s="4" t="str">
        <f>HYPERLINK("http://141.218.60.56/~jnz1568/getInfo.php?workbook=10_05.xlsx&amp;sheet=U0&amp;row=12234&amp;col=7&amp;number=0.0134&amp;sourceID=14","0.0134")</f>
        <v>0.0134</v>
      </c>
    </row>
    <row r="12235" spans="1:7">
      <c r="A12235" s="3"/>
      <c r="B12235" s="3"/>
      <c r="C12235" s="3"/>
      <c r="D12235" s="3"/>
      <c r="E12235" s="3">
        <v>12</v>
      </c>
      <c r="F12235" s="4" t="str">
        <f>HYPERLINK("http://141.218.60.56/~jnz1568/getInfo.php?workbook=10_05.xlsx&amp;sheet=U0&amp;row=12235&amp;col=6&amp;number=4.1&amp;sourceID=14","4.1")</f>
        <v>4.1</v>
      </c>
      <c r="G12235" s="4" t="str">
        <f>HYPERLINK("http://141.218.60.56/~jnz1568/getInfo.php?workbook=10_05.xlsx&amp;sheet=U0&amp;row=12235&amp;col=7&amp;number=0.0131&amp;sourceID=14","0.0131")</f>
        <v>0.0131</v>
      </c>
    </row>
    <row r="12236" spans="1:7">
      <c r="A12236" s="3"/>
      <c r="B12236" s="3"/>
      <c r="C12236" s="3"/>
      <c r="D12236" s="3"/>
      <c r="E12236" s="3">
        <v>13</v>
      </c>
      <c r="F12236" s="4" t="str">
        <f>HYPERLINK("http://141.218.60.56/~jnz1568/getInfo.php?workbook=10_05.xlsx&amp;sheet=U0&amp;row=12236&amp;col=6&amp;number=4.2&amp;sourceID=14","4.2")</f>
        <v>4.2</v>
      </c>
      <c r="G12236" s="4" t="str">
        <f>HYPERLINK("http://141.218.60.56/~jnz1568/getInfo.php?workbook=10_05.xlsx&amp;sheet=U0&amp;row=12236&amp;col=7&amp;number=0.0127&amp;sourceID=14","0.0127")</f>
        <v>0.0127</v>
      </c>
    </row>
    <row r="12237" spans="1:7">
      <c r="A12237" s="3"/>
      <c r="B12237" s="3"/>
      <c r="C12237" s="3"/>
      <c r="D12237" s="3"/>
      <c r="E12237" s="3">
        <v>14</v>
      </c>
      <c r="F12237" s="4" t="str">
        <f>HYPERLINK("http://141.218.60.56/~jnz1568/getInfo.php?workbook=10_05.xlsx&amp;sheet=U0&amp;row=12237&amp;col=6&amp;number=4.3&amp;sourceID=14","4.3")</f>
        <v>4.3</v>
      </c>
      <c r="G12237" s="4" t="str">
        <f>HYPERLINK("http://141.218.60.56/~jnz1568/getInfo.php?workbook=10_05.xlsx&amp;sheet=U0&amp;row=12237&amp;col=7&amp;number=0.0123&amp;sourceID=14","0.0123")</f>
        <v>0.0123</v>
      </c>
    </row>
    <row r="12238" spans="1:7">
      <c r="A12238" s="3"/>
      <c r="B12238" s="3"/>
      <c r="C12238" s="3"/>
      <c r="D12238" s="3"/>
      <c r="E12238" s="3">
        <v>15</v>
      </c>
      <c r="F12238" s="4" t="str">
        <f>HYPERLINK("http://141.218.60.56/~jnz1568/getInfo.php?workbook=10_05.xlsx&amp;sheet=U0&amp;row=12238&amp;col=6&amp;number=4.4&amp;sourceID=14","4.4")</f>
        <v>4.4</v>
      </c>
      <c r="G12238" s="4" t="str">
        <f>HYPERLINK("http://141.218.60.56/~jnz1568/getInfo.php?workbook=10_05.xlsx&amp;sheet=U0&amp;row=12238&amp;col=7&amp;number=0.0118&amp;sourceID=14","0.0118")</f>
        <v>0.0118</v>
      </c>
    </row>
    <row r="12239" spans="1:7">
      <c r="A12239" s="3"/>
      <c r="B12239" s="3"/>
      <c r="C12239" s="3"/>
      <c r="D12239" s="3"/>
      <c r="E12239" s="3">
        <v>16</v>
      </c>
      <c r="F12239" s="4" t="str">
        <f>HYPERLINK("http://141.218.60.56/~jnz1568/getInfo.php?workbook=10_05.xlsx&amp;sheet=U0&amp;row=12239&amp;col=6&amp;number=4.5&amp;sourceID=14","4.5")</f>
        <v>4.5</v>
      </c>
      <c r="G12239" s="4" t="str">
        <f>HYPERLINK("http://141.218.60.56/~jnz1568/getInfo.php?workbook=10_05.xlsx&amp;sheet=U0&amp;row=12239&amp;col=7&amp;number=0.0112&amp;sourceID=14","0.0112")</f>
        <v>0.0112</v>
      </c>
    </row>
    <row r="12240" spans="1:7">
      <c r="A12240" s="3"/>
      <c r="B12240" s="3"/>
      <c r="C12240" s="3"/>
      <c r="D12240" s="3"/>
      <c r="E12240" s="3">
        <v>17</v>
      </c>
      <c r="F12240" s="4" t="str">
        <f>HYPERLINK("http://141.218.60.56/~jnz1568/getInfo.php?workbook=10_05.xlsx&amp;sheet=U0&amp;row=12240&amp;col=6&amp;number=4.6&amp;sourceID=14","4.6")</f>
        <v>4.6</v>
      </c>
      <c r="G12240" s="4" t="str">
        <f>HYPERLINK("http://141.218.60.56/~jnz1568/getInfo.php?workbook=10_05.xlsx&amp;sheet=U0&amp;row=12240&amp;col=7&amp;number=0.0106&amp;sourceID=14","0.0106")</f>
        <v>0.0106</v>
      </c>
    </row>
    <row r="12241" spans="1:7">
      <c r="A12241" s="3"/>
      <c r="B12241" s="3"/>
      <c r="C12241" s="3"/>
      <c r="D12241" s="3"/>
      <c r="E12241" s="3">
        <v>18</v>
      </c>
      <c r="F12241" s="4" t="str">
        <f>HYPERLINK("http://141.218.60.56/~jnz1568/getInfo.php?workbook=10_05.xlsx&amp;sheet=U0&amp;row=12241&amp;col=6&amp;number=4.7&amp;sourceID=14","4.7")</f>
        <v>4.7</v>
      </c>
      <c r="G12241" s="4" t="str">
        <f>HYPERLINK("http://141.218.60.56/~jnz1568/getInfo.php?workbook=10_05.xlsx&amp;sheet=U0&amp;row=12241&amp;col=7&amp;number=0.00981&amp;sourceID=14","0.00981")</f>
        <v>0.00981</v>
      </c>
    </row>
    <row r="12242" spans="1:7">
      <c r="A12242" s="3"/>
      <c r="B12242" s="3"/>
      <c r="C12242" s="3"/>
      <c r="D12242" s="3"/>
      <c r="E12242" s="3">
        <v>19</v>
      </c>
      <c r="F12242" s="4" t="str">
        <f>HYPERLINK("http://141.218.60.56/~jnz1568/getInfo.php?workbook=10_05.xlsx&amp;sheet=U0&amp;row=12242&amp;col=6&amp;number=4.8&amp;sourceID=14","4.8")</f>
        <v>4.8</v>
      </c>
      <c r="G12242" s="4" t="str">
        <f>HYPERLINK("http://141.218.60.56/~jnz1568/getInfo.php?workbook=10_05.xlsx&amp;sheet=U0&amp;row=12242&amp;col=7&amp;number=0.00898&amp;sourceID=14","0.00898")</f>
        <v>0.00898</v>
      </c>
    </row>
    <row r="12243" spans="1:7">
      <c r="A12243" s="3"/>
      <c r="B12243" s="3"/>
      <c r="C12243" s="3"/>
      <c r="D12243" s="3"/>
      <c r="E12243" s="3">
        <v>20</v>
      </c>
      <c r="F12243" s="4" t="str">
        <f>HYPERLINK("http://141.218.60.56/~jnz1568/getInfo.php?workbook=10_05.xlsx&amp;sheet=U0&amp;row=12243&amp;col=6&amp;number=4.9&amp;sourceID=14","4.9")</f>
        <v>4.9</v>
      </c>
      <c r="G12243" s="4" t="str">
        <f>HYPERLINK("http://141.218.60.56/~jnz1568/getInfo.php?workbook=10_05.xlsx&amp;sheet=U0&amp;row=12243&amp;col=7&amp;number=0.00813&amp;sourceID=14","0.00813")</f>
        <v>0.00813</v>
      </c>
    </row>
    <row r="12244" spans="1:7">
      <c r="A12244" s="3">
        <v>10</v>
      </c>
      <c r="B12244" s="3">
        <v>5</v>
      </c>
      <c r="C12244" s="3">
        <v>4</v>
      </c>
      <c r="D12244" s="3">
        <v>83</v>
      </c>
      <c r="E12244" s="3">
        <v>1</v>
      </c>
      <c r="F12244" s="4" t="str">
        <f>HYPERLINK("http://141.218.60.56/~jnz1568/getInfo.php?workbook=10_05.xlsx&amp;sheet=U0&amp;row=12244&amp;col=6&amp;number=3&amp;sourceID=14","3")</f>
        <v>3</v>
      </c>
      <c r="G12244" s="4" t="str">
        <f>HYPERLINK("http://141.218.60.56/~jnz1568/getInfo.php?workbook=10_05.xlsx&amp;sheet=U0&amp;row=12244&amp;col=7&amp;number=0.0363&amp;sourceID=14","0.0363")</f>
        <v>0.0363</v>
      </c>
    </row>
    <row r="12245" spans="1:7">
      <c r="A12245" s="3"/>
      <c r="B12245" s="3"/>
      <c r="C12245" s="3"/>
      <c r="D12245" s="3"/>
      <c r="E12245" s="3">
        <v>2</v>
      </c>
      <c r="F12245" s="4" t="str">
        <f>HYPERLINK("http://141.218.60.56/~jnz1568/getInfo.php?workbook=10_05.xlsx&amp;sheet=U0&amp;row=12245&amp;col=6&amp;number=3.1&amp;sourceID=14","3.1")</f>
        <v>3.1</v>
      </c>
      <c r="G12245" s="4" t="str">
        <f>HYPERLINK("http://141.218.60.56/~jnz1568/getInfo.php?workbook=10_05.xlsx&amp;sheet=U0&amp;row=12245&amp;col=7&amp;number=0.0362&amp;sourceID=14","0.0362")</f>
        <v>0.0362</v>
      </c>
    </row>
    <row r="12246" spans="1:7">
      <c r="A12246" s="3"/>
      <c r="B12246" s="3"/>
      <c r="C12246" s="3"/>
      <c r="D12246" s="3"/>
      <c r="E12246" s="3">
        <v>3</v>
      </c>
      <c r="F12246" s="4" t="str">
        <f>HYPERLINK("http://141.218.60.56/~jnz1568/getInfo.php?workbook=10_05.xlsx&amp;sheet=U0&amp;row=12246&amp;col=6&amp;number=3.2&amp;sourceID=14","3.2")</f>
        <v>3.2</v>
      </c>
      <c r="G12246" s="4" t="str">
        <f>HYPERLINK("http://141.218.60.56/~jnz1568/getInfo.php?workbook=10_05.xlsx&amp;sheet=U0&amp;row=12246&amp;col=7&amp;number=0.0362&amp;sourceID=14","0.0362")</f>
        <v>0.0362</v>
      </c>
    </row>
    <row r="12247" spans="1:7">
      <c r="A12247" s="3"/>
      <c r="B12247" s="3"/>
      <c r="C12247" s="3"/>
      <c r="D12247" s="3"/>
      <c r="E12247" s="3">
        <v>4</v>
      </c>
      <c r="F12247" s="4" t="str">
        <f>HYPERLINK("http://141.218.60.56/~jnz1568/getInfo.php?workbook=10_05.xlsx&amp;sheet=U0&amp;row=12247&amp;col=6&amp;number=3.3&amp;sourceID=14","3.3")</f>
        <v>3.3</v>
      </c>
      <c r="G12247" s="4" t="str">
        <f>HYPERLINK("http://141.218.60.56/~jnz1568/getInfo.php?workbook=10_05.xlsx&amp;sheet=U0&amp;row=12247&amp;col=7&amp;number=0.0361&amp;sourceID=14","0.0361")</f>
        <v>0.0361</v>
      </c>
    </row>
    <row r="12248" spans="1:7">
      <c r="A12248" s="3"/>
      <c r="B12248" s="3"/>
      <c r="C12248" s="3"/>
      <c r="D12248" s="3"/>
      <c r="E12248" s="3">
        <v>5</v>
      </c>
      <c r="F12248" s="4" t="str">
        <f>HYPERLINK("http://141.218.60.56/~jnz1568/getInfo.php?workbook=10_05.xlsx&amp;sheet=U0&amp;row=12248&amp;col=6&amp;number=3.4&amp;sourceID=14","3.4")</f>
        <v>3.4</v>
      </c>
      <c r="G12248" s="4" t="str">
        <f>HYPERLINK("http://141.218.60.56/~jnz1568/getInfo.php?workbook=10_05.xlsx&amp;sheet=U0&amp;row=12248&amp;col=7&amp;number=0.0359&amp;sourceID=14","0.0359")</f>
        <v>0.0359</v>
      </c>
    </row>
    <row r="12249" spans="1:7">
      <c r="A12249" s="3"/>
      <c r="B12249" s="3"/>
      <c r="C12249" s="3"/>
      <c r="D12249" s="3"/>
      <c r="E12249" s="3">
        <v>6</v>
      </c>
      <c r="F12249" s="4" t="str">
        <f>HYPERLINK("http://141.218.60.56/~jnz1568/getInfo.php?workbook=10_05.xlsx&amp;sheet=U0&amp;row=12249&amp;col=6&amp;number=3.5&amp;sourceID=14","3.5")</f>
        <v>3.5</v>
      </c>
      <c r="G12249" s="4" t="str">
        <f>HYPERLINK("http://141.218.60.56/~jnz1568/getInfo.php?workbook=10_05.xlsx&amp;sheet=U0&amp;row=12249&amp;col=7&amp;number=0.0358&amp;sourceID=14","0.0358")</f>
        <v>0.0358</v>
      </c>
    </row>
    <row r="12250" spans="1:7">
      <c r="A12250" s="3"/>
      <c r="B12250" s="3"/>
      <c r="C12250" s="3"/>
      <c r="D12250" s="3"/>
      <c r="E12250" s="3">
        <v>7</v>
      </c>
      <c r="F12250" s="4" t="str">
        <f>HYPERLINK("http://141.218.60.56/~jnz1568/getInfo.php?workbook=10_05.xlsx&amp;sheet=U0&amp;row=12250&amp;col=6&amp;number=3.6&amp;sourceID=14","3.6")</f>
        <v>3.6</v>
      </c>
      <c r="G12250" s="4" t="str">
        <f>HYPERLINK("http://141.218.60.56/~jnz1568/getInfo.php?workbook=10_05.xlsx&amp;sheet=U0&amp;row=12250&amp;col=7&amp;number=0.0356&amp;sourceID=14","0.0356")</f>
        <v>0.0356</v>
      </c>
    </row>
    <row r="12251" spans="1:7">
      <c r="A12251" s="3"/>
      <c r="B12251" s="3"/>
      <c r="C12251" s="3"/>
      <c r="D12251" s="3"/>
      <c r="E12251" s="3">
        <v>8</v>
      </c>
      <c r="F12251" s="4" t="str">
        <f>HYPERLINK("http://141.218.60.56/~jnz1568/getInfo.php?workbook=10_05.xlsx&amp;sheet=U0&amp;row=12251&amp;col=6&amp;number=3.7&amp;sourceID=14","3.7")</f>
        <v>3.7</v>
      </c>
      <c r="G12251" s="4" t="str">
        <f>HYPERLINK("http://141.218.60.56/~jnz1568/getInfo.php?workbook=10_05.xlsx&amp;sheet=U0&amp;row=12251&amp;col=7&amp;number=0.0354&amp;sourceID=14","0.0354")</f>
        <v>0.0354</v>
      </c>
    </row>
    <row r="12252" spans="1:7">
      <c r="A12252" s="3"/>
      <c r="B12252" s="3"/>
      <c r="C12252" s="3"/>
      <c r="D12252" s="3"/>
      <c r="E12252" s="3">
        <v>9</v>
      </c>
      <c r="F12252" s="4" t="str">
        <f>HYPERLINK("http://141.218.60.56/~jnz1568/getInfo.php?workbook=10_05.xlsx&amp;sheet=U0&amp;row=12252&amp;col=6&amp;number=3.8&amp;sourceID=14","3.8")</f>
        <v>3.8</v>
      </c>
      <c r="G12252" s="4" t="str">
        <f>HYPERLINK("http://141.218.60.56/~jnz1568/getInfo.php?workbook=10_05.xlsx&amp;sheet=U0&amp;row=12252&amp;col=7&amp;number=0.0351&amp;sourceID=14","0.0351")</f>
        <v>0.0351</v>
      </c>
    </row>
    <row r="12253" spans="1:7">
      <c r="A12253" s="3"/>
      <c r="B12253" s="3"/>
      <c r="C12253" s="3"/>
      <c r="D12253" s="3"/>
      <c r="E12253" s="3">
        <v>10</v>
      </c>
      <c r="F12253" s="4" t="str">
        <f>HYPERLINK("http://141.218.60.56/~jnz1568/getInfo.php?workbook=10_05.xlsx&amp;sheet=U0&amp;row=12253&amp;col=6&amp;number=3.9&amp;sourceID=14","3.9")</f>
        <v>3.9</v>
      </c>
      <c r="G12253" s="4" t="str">
        <f>HYPERLINK("http://141.218.60.56/~jnz1568/getInfo.php?workbook=10_05.xlsx&amp;sheet=U0&amp;row=12253&amp;col=7&amp;number=0.0347&amp;sourceID=14","0.0347")</f>
        <v>0.0347</v>
      </c>
    </row>
    <row r="12254" spans="1:7">
      <c r="A12254" s="3"/>
      <c r="B12254" s="3"/>
      <c r="C12254" s="3"/>
      <c r="D12254" s="3"/>
      <c r="E12254" s="3">
        <v>11</v>
      </c>
      <c r="F12254" s="4" t="str">
        <f>HYPERLINK("http://141.218.60.56/~jnz1568/getInfo.php?workbook=10_05.xlsx&amp;sheet=U0&amp;row=12254&amp;col=6&amp;number=4&amp;sourceID=14","4")</f>
        <v>4</v>
      </c>
      <c r="G12254" s="4" t="str">
        <f>HYPERLINK("http://141.218.60.56/~jnz1568/getInfo.php?workbook=10_05.xlsx&amp;sheet=U0&amp;row=12254&amp;col=7&amp;number=0.0342&amp;sourceID=14","0.0342")</f>
        <v>0.0342</v>
      </c>
    </row>
    <row r="12255" spans="1:7">
      <c r="A12255" s="3"/>
      <c r="B12255" s="3"/>
      <c r="C12255" s="3"/>
      <c r="D12255" s="3"/>
      <c r="E12255" s="3">
        <v>12</v>
      </c>
      <c r="F12255" s="4" t="str">
        <f>HYPERLINK("http://141.218.60.56/~jnz1568/getInfo.php?workbook=10_05.xlsx&amp;sheet=U0&amp;row=12255&amp;col=6&amp;number=4.1&amp;sourceID=14","4.1")</f>
        <v>4.1</v>
      </c>
      <c r="G12255" s="4" t="str">
        <f>HYPERLINK("http://141.218.60.56/~jnz1568/getInfo.php?workbook=10_05.xlsx&amp;sheet=U0&amp;row=12255&amp;col=7&amp;number=0.0337&amp;sourceID=14","0.0337")</f>
        <v>0.0337</v>
      </c>
    </row>
    <row r="12256" spans="1:7">
      <c r="A12256" s="3"/>
      <c r="B12256" s="3"/>
      <c r="C12256" s="3"/>
      <c r="D12256" s="3"/>
      <c r="E12256" s="3">
        <v>13</v>
      </c>
      <c r="F12256" s="4" t="str">
        <f>HYPERLINK("http://141.218.60.56/~jnz1568/getInfo.php?workbook=10_05.xlsx&amp;sheet=U0&amp;row=12256&amp;col=6&amp;number=4.2&amp;sourceID=14","4.2")</f>
        <v>4.2</v>
      </c>
      <c r="G12256" s="4" t="str">
        <f>HYPERLINK("http://141.218.60.56/~jnz1568/getInfo.php?workbook=10_05.xlsx&amp;sheet=U0&amp;row=12256&amp;col=7&amp;number=0.033&amp;sourceID=14","0.033")</f>
        <v>0.033</v>
      </c>
    </row>
    <row r="12257" spans="1:7">
      <c r="A12257" s="3"/>
      <c r="B12257" s="3"/>
      <c r="C12257" s="3"/>
      <c r="D12257" s="3"/>
      <c r="E12257" s="3">
        <v>14</v>
      </c>
      <c r="F12257" s="4" t="str">
        <f>HYPERLINK("http://141.218.60.56/~jnz1568/getInfo.php?workbook=10_05.xlsx&amp;sheet=U0&amp;row=12257&amp;col=6&amp;number=4.3&amp;sourceID=14","4.3")</f>
        <v>4.3</v>
      </c>
      <c r="G12257" s="4" t="str">
        <f>HYPERLINK("http://141.218.60.56/~jnz1568/getInfo.php?workbook=10_05.xlsx&amp;sheet=U0&amp;row=12257&amp;col=7&amp;number=0.0321&amp;sourceID=14","0.0321")</f>
        <v>0.0321</v>
      </c>
    </row>
    <row r="12258" spans="1:7">
      <c r="A12258" s="3"/>
      <c r="B12258" s="3"/>
      <c r="C12258" s="3"/>
      <c r="D12258" s="3"/>
      <c r="E12258" s="3">
        <v>15</v>
      </c>
      <c r="F12258" s="4" t="str">
        <f>HYPERLINK("http://141.218.60.56/~jnz1568/getInfo.php?workbook=10_05.xlsx&amp;sheet=U0&amp;row=12258&amp;col=6&amp;number=4.4&amp;sourceID=14","4.4")</f>
        <v>4.4</v>
      </c>
      <c r="G12258" s="4" t="str">
        <f>HYPERLINK("http://141.218.60.56/~jnz1568/getInfo.php?workbook=10_05.xlsx&amp;sheet=U0&amp;row=12258&amp;col=7&amp;number=0.0311&amp;sourceID=14","0.0311")</f>
        <v>0.0311</v>
      </c>
    </row>
    <row r="12259" spans="1:7">
      <c r="A12259" s="3"/>
      <c r="B12259" s="3"/>
      <c r="C12259" s="3"/>
      <c r="D12259" s="3"/>
      <c r="E12259" s="3">
        <v>16</v>
      </c>
      <c r="F12259" s="4" t="str">
        <f>HYPERLINK("http://141.218.60.56/~jnz1568/getInfo.php?workbook=10_05.xlsx&amp;sheet=U0&amp;row=12259&amp;col=6&amp;number=4.5&amp;sourceID=14","4.5")</f>
        <v>4.5</v>
      </c>
      <c r="G12259" s="4" t="str">
        <f>HYPERLINK("http://141.218.60.56/~jnz1568/getInfo.php?workbook=10_05.xlsx&amp;sheet=U0&amp;row=12259&amp;col=7&amp;number=0.0298&amp;sourceID=14","0.0298")</f>
        <v>0.0298</v>
      </c>
    </row>
    <row r="12260" spans="1:7">
      <c r="A12260" s="3"/>
      <c r="B12260" s="3"/>
      <c r="C12260" s="3"/>
      <c r="D12260" s="3"/>
      <c r="E12260" s="3">
        <v>17</v>
      </c>
      <c r="F12260" s="4" t="str">
        <f>HYPERLINK("http://141.218.60.56/~jnz1568/getInfo.php?workbook=10_05.xlsx&amp;sheet=U0&amp;row=12260&amp;col=6&amp;number=4.6&amp;sourceID=14","4.6")</f>
        <v>4.6</v>
      </c>
      <c r="G12260" s="4" t="str">
        <f>HYPERLINK("http://141.218.60.56/~jnz1568/getInfo.php?workbook=10_05.xlsx&amp;sheet=U0&amp;row=12260&amp;col=7&amp;number=0.0284&amp;sourceID=14","0.0284")</f>
        <v>0.0284</v>
      </c>
    </row>
    <row r="12261" spans="1:7">
      <c r="A12261" s="3"/>
      <c r="B12261" s="3"/>
      <c r="C12261" s="3"/>
      <c r="D12261" s="3"/>
      <c r="E12261" s="3">
        <v>18</v>
      </c>
      <c r="F12261" s="4" t="str">
        <f>HYPERLINK("http://141.218.60.56/~jnz1568/getInfo.php?workbook=10_05.xlsx&amp;sheet=U0&amp;row=12261&amp;col=6&amp;number=4.7&amp;sourceID=14","4.7")</f>
        <v>4.7</v>
      </c>
      <c r="G12261" s="4" t="str">
        <f>HYPERLINK("http://141.218.60.56/~jnz1568/getInfo.php?workbook=10_05.xlsx&amp;sheet=U0&amp;row=12261&amp;col=7&amp;number=0.0266&amp;sourceID=14","0.0266")</f>
        <v>0.0266</v>
      </c>
    </row>
    <row r="12262" spans="1:7">
      <c r="A12262" s="3"/>
      <c r="B12262" s="3"/>
      <c r="C12262" s="3"/>
      <c r="D12262" s="3"/>
      <c r="E12262" s="3">
        <v>19</v>
      </c>
      <c r="F12262" s="4" t="str">
        <f>HYPERLINK("http://141.218.60.56/~jnz1568/getInfo.php?workbook=10_05.xlsx&amp;sheet=U0&amp;row=12262&amp;col=6&amp;number=4.8&amp;sourceID=14","4.8")</f>
        <v>4.8</v>
      </c>
      <c r="G12262" s="4" t="str">
        <f>HYPERLINK("http://141.218.60.56/~jnz1568/getInfo.php?workbook=10_05.xlsx&amp;sheet=U0&amp;row=12262&amp;col=7&amp;number=0.0247&amp;sourceID=14","0.0247")</f>
        <v>0.0247</v>
      </c>
    </row>
    <row r="12263" spans="1:7">
      <c r="A12263" s="3"/>
      <c r="B12263" s="3"/>
      <c r="C12263" s="3"/>
      <c r="D12263" s="3"/>
      <c r="E12263" s="3">
        <v>20</v>
      </c>
      <c r="F12263" s="4" t="str">
        <f>HYPERLINK("http://141.218.60.56/~jnz1568/getInfo.php?workbook=10_05.xlsx&amp;sheet=U0&amp;row=12263&amp;col=6&amp;number=4.9&amp;sourceID=14","4.9")</f>
        <v>4.9</v>
      </c>
      <c r="G12263" s="4" t="str">
        <f>HYPERLINK("http://141.218.60.56/~jnz1568/getInfo.php?workbook=10_05.xlsx&amp;sheet=U0&amp;row=12263&amp;col=7&amp;number=0.0227&amp;sourceID=14","0.0227")</f>
        <v>0.0227</v>
      </c>
    </row>
    <row r="12264" spans="1:7">
      <c r="A12264" s="3">
        <v>10</v>
      </c>
      <c r="B12264" s="3">
        <v>5</v>
      </c>
      <c r="C12264" s="3">
        <v>4</v>
      </c>
      <c r="D12264" s="3">
        <v>84</v>
      </c>
      <c r="E12264" s="3">
        <v>1</v>
      </c>
      <c r="F12264" s="4" t="str">
        <f>HYPERLINK("http://141.218.60.56/~jnz1568/getInfo.php?workbook=10_05.xlsx&amp;sheet=U0&amp;row=12264&amp;col=6&amp;number=3&amp;sourceID=14","3")</f>
        <v>3</v>
      </c>
      <c r="G12264" s="4" t="str">
        <f>HYPERLINK("http://141.218.60.56/~jnz1568/getInfo.php?workbook=10_05.xlsx&amp;sheet=U0&amp;row=12264&amp;col=7&amp;number=0.0627&amp;sourceID=14","0.0627")</f>
        <v>0.0627</v>
      </c>
    </row>
    <row r="12265" spans="1:7">
      <c r="A12265" s="3"/>
      <c r="B12265" s="3"/>
      <c r="C12265" s="3"/>
      <c r="D12265" s="3"/>
      <c r="E12265" s="3">
        <v>2</v>
      </c>
      <c r="F12265" s="4" t="str">
        <f>HYPERLINK("http://141.218.60.56/~jnz1568/getInfo.php?workbook=10_05.xlsx&amp;sheet=U0&amp;row=12265&amp;col=6&amp;number=3.1&amp;sourceID=14","3.1")</f>
        <v>3.1</v>
      </c>
      <c r="G12265" s="4" t="str">
        <f>HYPERLINK("http://141.218.60.56/~jnz1568/getInfo.php?workbook=10_05.xlsx&amp;sheet=U0&amp;row=12265&amp;col=7&amp;number=0.0625&amp;sourceID=14","0.0625")</f>
        <v>0.0625</v>
      </c>
    </row>
    <row r="12266" spans="1:7">
      <c r="A12266" s="3"/>
      <c r="B12266" s="3"/>
      <c r="C12266" s="3"/>
      <c r="D12266" s="3"/>
      <c r="E12266" s="3">
        <v>3</v>
      </c>
      <c r="F12266" s="4" t="str">
        <f>HYPERLINK("http://141.218.60.56/~jnz1568/getInfo.php?workbook=10_05.xlsx&amp;sheet=U0&amp;row=12266&amp;col=6&amp;number=3.2&amp;sourceID=14","3.2")</f>
        <v>3.2</v>
      </c>
      <c r="G12266" s="4" t="str">
        <f>HYPERLINK("http://141.218.60.56/~jnz1568/getInfo.php?workbook=10_05.xlsx&amp;sheet=U0&amp;row=12266&amp;col=7&amp;number=0.0624&amp;sourceID=14","0.0624")</f>
        <v>0.0624</v>
      </c>
    </row>
    <row r="12267" spans="1:7">
      <c r="A12267" s="3"/>
      <c r="B12267" s="3"/>
      <c r="C12267" s="3"/>
      <c r="D12267" s="3"/>
      <c r="E12267" s="3">
        <v>4</v>
      </c>
      <c r="F12267" s="4" t="str">
        <f>HYPERLINK("http://141.218.60.56/~jnz1568/getInfo.php?workbook=10_05.xlsx&amp;sheet=U0&amp;row=12267&amp;col=6&amp;number=3.3&amp;sourceID=14","3.3")</f>
        <v>3.3</v>
      </c>
      <c r="G12267" s="4" t="str">
        <f>HYPERLINK("http://141.218.60.56/~jnz1568/getInfo.php?workbook=10_05.xlsx&amp;sheet=U0&amp;row=12267&amp;col=7&amp;number=0.0622&amp;sourceID=14","0.0622")</f>
        <v>0.0622</v>
      </c>
    </row>
    <row r="12268" spans="1:7">
      <c r="A12268" s="3"/>
      <c r="B12268" s="3"/>
      <c r="C12268" s="3"/>
      <c r="D12268" s="3"/>
      <c r="E12268" s="3">
        <v>5</v>
      </c>
      <c r="F12268" s="4" t="str">
        <f>HYPERLINK("http://141.218.60.56/~jnz1568/getInfo.php?workbook=10_05.xlsx&amp;sheet=U0&amp;row=12268&amp;col=6&amp;number=3.4&amp;sourceID=14","3.4")</f>
        <v>3.4</v>
      </c>
      <c r="G12268" s="4" t="str">
        <f>HYPERLINK("http://141.218.60.56/~jnz1568/getInfo.php?workbook=10_05.xlsx&amp;sheet=U0&amp;row=12268&amp;col=7&amp;number=0.062&amp;sourceID=14","0.062")</f>
        <v>0.062</v>
      </c>
    </row>
    <row r="12269" spans="1:7">
      <c r="A12269" s="3"/>
      <c r="B12269" s="3"/>
      <c r="C12269" s="3"/>
      <c r="D12269" s="3"/>
      <c r="E12269" s="3">
        <v>6</v>
      </c>
      <c r="F12269" s="4" t="str">
        <f>HYPERLINK("http://141.218.60.56/~jnz1568/getInfo.php?workbook=10_05.xlsx&amp;sheet=U0&amp;row=12269&amp;col=6&amp;number=3.5&amp;sourceID=14","3.5")</f>
        <v>3.5</v>
      </c>
      <c r="G12269" s="4" t="str">
        <f>HYPERLINK("http://141.218.60.56/~jnz1568/getInfo.php?workbook=10_05.xlsx&amp;sheet=U0&amp;row=12269&amp;col=7&amp;number=0.0617&amp;sourceID=14","0.0617")</f>
        <v>0.0617</v>
      </c>
    </row>
    <row r="12270" spans="1:7">
      <c r="A12270" s="3"/>
      <c r="B12270" s="3"/>
      <c r="C12270" s="3"/>
      <c r="D12270" s="3"/>
      <c r="E12270" s="3">
        <v>7</v>
      </c>
      <c r="F12270" s="4" t="str">
        <f>HYPERLINK("http://141.218.60.56/~jnz1568/getInfo.php?workbook=10_05.xlsx&amp;sheet=U0&amp;row=12270&amp;col=6&amp;number=3.6&amp;sourceID=14","3.6")</f>
        <v>3.6</v>
      </c>
      <c r="G12270" s="4" t="str">
        <f>HYPERLINK("http://141.218.60.56/~jnz1568/getInfo.php?workbook=10_05.xlsx&amp;sheet=U0&amp;row=12270&amp;col=7&amp;number=0.0613&amp;sourceID=14","0.0613")</f>
        <v>0.0613</v>
      </c>
    </row>
    <row r="12271" spans="1:7">
      <c r="A12271" s="3"/>
      <c r="B12271" s="3"/>
      <c r="C12271" s="3"/>
      <c r="D12271" s="3"/>
      <c r="E12271" s="3">
        <v>8</v>
      </c>
      <c r="F12271" s="4" t="str">
        <f>HYPERLINK("http://141.218.60.56/~jnz1568/getInfo.php?workbook=10_05.xlsx&amp;sheet=U0&amp;row=12271&amp;col=6&amp;number=3.7&amp;sourceID=14","3.7")</f>
        <v>3.7</v>
      </c>
      <c r="G12271" s="4" t="str">
        <f>HYPERLINK("http://141.218.60.56/~jnz1568/getInfo.php?workbook=10_05.xlsx&amp;sheet=U0&amp;row=12271&amp;col=7&amp;number=0.0609&amp;sourceID=14","0.0609")</f>
        <v>0.0609</v>
      </c>
    </row>
    <row r="12272" spans="1:7">
      <c r="A12272" s="3"/>
      <c r="B12272" s="3"/>
      <c r="C12272" s="3"/>
      <c r="D12272" s="3"/>
      <c r="E12272" s="3">
        <v>9</v>
      </c>
      <c r="F12272" s="4" t="str">
        <f>HYPERLINK("http://141.218.60.56/~jnz1568/getInfo.php?workbook=10_05.xlsx&amp;sheet=U0&amp;row=12272&amp;col=6&amp;number=3.8&amp;sourceID=14","3.8")</f>
        <v>3.8</v>
      </c>
      <c r="G12272" s="4" t="str">
        <f>HYPERLINK("http://141.218.60.56/~jnz1568/getInfo.php?workbook=10_05.xlsx&amp;sheet=U0&amp;row=12272&amp;col=7&amp;number=0.0603&amp;sourceID=14","0.0603")</f>
        <v>0.0603</v>
      </c>
    </row>
    <row r="12273" spans="1:7">
      <c r="A12273" s="3"/>
      <c r="B12273" s="3"/>
      <c r="C12273" s="3"/>
      <c r="D12273" s="3"/>
      <c r="E12273" s="3">
        <v>10</v>
      </c>
      <c r="F12273" s="4" t="str">
        <f>HYPERLINK("http://141.218.60.56/~jnz1568/getInfo.php?workbook=10_05.xlsx&amp;sheet=U0&amp;row=12273&amp;col=6&amp;number=3.9&amp;sourceID=14","3.9")</f>
        <v>3.9</v>
      </c>
      <c r="G12273" s="4" t="str">
        <f>HYPERLINK("http://141.218.60.56/~jnz1568/getInfo.php?workbook=10_05.xlsx&amp;sheet=U0&amp;row=12273&amp;col=7&amp;number=0.0596&amp;sourceID=14","0.0596")</f>
        <v>0.0596</v>
      </c>
    </row>
    <row r="12274" spans="1:7">
      <c r="A12274" s="3"/>
      <c r="B12274" s="3"/>
      <c r="C12274" s="3"/>
      <c r="D12274" s="3"/>
      <c r="E12274" s="3">
        <v>11</v>
      </c>
      <c r="F12274" s="4" t="str">
        <f>HYPERLINK("http://141.218.60.56/~jnz1568/getInfo.php?workbook=10_05.xlsx&amp;sheet=U0&amp;row=12274&amp;col=6&amp;number=4&amp;sourceID=14","4")</f>
        <v>4</v>
      </c>
      <c r="G12274" s="4" t="str">
        <f>HYPERLINK("http://141.218.60.56/~jnz1568/getInfo.php?workbook=10_05.xlsx&amp;sheet=U0&amp;row=12274&amp;col=7&amp;number=0.0588&amp;sourceID=14","0.0588")</f>
        <v>0.0588</v>
      </c>
    </row>
    <row r="12275" spans="1:7">
      <c r="A12275" s="3"/>
      <c r="B12275" s="3"/>
      <c r="C12275" s="3"/>
      <c r="D12275" s="3"/>
      <c r="E12275" s="3">
        <v>12</v>
      </c>
      <c r="F12275" s="4" t="str">
        <f>HYPERLINK("http://141.218.60.56/~jnz1568/getInfo.php?workbook=10_05.xlsx&amp;sheet=U0&amp;row=12275&amp;col=6&amp;number=4.1&amp;sourceID=14","4.1")</f>
        <v>4.1</v>
      </c>
      <c r="G12275" s="4" t="str">
        <f>HYPERLINK("http://141.218.60.56/~jnz1568/getInfo.php?workbook=10_05.xlsx&amp;sheet=U0&amp;row=12275&amp;col=7&amp;number=0.0577&amp;sourceID=14","0.0577")</f>
        <v>0.0577</v>
      </c>
    </row>
    <row r="12276" spans="1:7">
      <c r="A12276" s="3"/>
      <c r="B12276" s="3"/>
      <c r="C12276" s="3"/>
      <c r="D12276" s="3"/>
      <c r="E12276" s="3">
        <v>13</v>
      </c>
      <c r="F12276" s="4" t="str">
        <f>HYPERLINK("http://141.218.60.56/~jnz1568/getInfo.php?workbook=10_05.xlsx&amp;sheet=U0&amp;row=12276&amp;col=6&amp;number=4.2&amp;sourceID=14","4.2")</f>
        <v>4.2</v>
      </c>
      <c r="G12276" s="4" t="str">
        <f>HYPERLINK("http://141.218.60.56/~jnz1568/getInfo.php?workbook=10_05.xlsx&amp;sheet=U0&amp;row=12276&amp;col=7&amp;number=0.0564&amp;sourceID=14","0.0564")</f>
        <v>0.0564</v>
      </c>
    </row>
    <row r="12277" spans="1:7">
      <c r="A12277" s="3"/>
      <c r="B12277" s="3"/>
      <c r="C12277" s="3"/>
      <c r="D12277" s="3"/>
      <c r="E12277" s="3">
        <v>14</v>
      </c>
      <c r="F12277" s="4" t="str">
        <f>HYPERLINK("http://141.218.60.56/~jnz1568/getInfo.php?workbook=10_05.xlsx&amp;sheet=U0&amp;row=12277&amp;col=6&amp;number=4.3&amp;sourceID=14","4.3")</f>
        <v>4.3</v>
      </c>
      <c r="G12277" s="4" t="str">
        <f>HYPERLINK("http://141.218.60.56/~jnz1568/getInfo.php?workbook=10_05.xlsx&amp;sheet=U0&amp;row=12277&amp;col=7&amp;number=0.0548&amp;sourceID=14","0.0548")</f>
        <v>0.0548</v>
      </c>
    </row>
    <row r="12278" spans="1:7">
      <c r="A12278" s="3"/>
      <c r="B12278" s="3"/>
      <c r="C12278" s="3"/>
      <c r="D12278" s="3"/>
      <c r="E12278" s="3">
        <v>15</v>
      </c>
      <c r="F12278" s="4" t="str">
        <f>HYPERLINK("http://141.218.60.56/~jnz1568/getInfo.php?workbook=10_05.xlsx&amp;sheet=U0&amp;row=12278&amp;col=6&amp;number=4.4&amp;sourceID=14","4.4")</f>
        <v>4.4</v>
      </c>
      <c r="G12278" s="4" t="str">
        <f>HYPERLINK("http://141.218.60.56/~jnz1568/getInfo.php?workbook=10_05.xlsx&amp;sheet=U0&amp;row=12278&amp;col=7&amp;number=0.0529&amp;sourceID=14","0.0529")</f>
        <v>0.0529</v>
      </c>
    </row>
    <row r="12279" spans="1:7">
      <c r="A12279" s="3"/>
      <c r="B12279" s="3"/>
      <c r="C12279" s="3"/>
      <c r="D12279" s="3"/>
      <c r="E12279" s="3">
        <v>16</v>
      </c>
      <c r="F12279" s="4" t="str">
        <f>HYPERLINK("http://141.218.60.56/~jnz1568/getInfo.php?workbook=10_05.xlsx&amp;sheet=U0&amp;row=12279&amp;col=6&amp;number=4.5&amp;sourceID=14","4.5")</f>
        <v>4.5</v>
      </c>
      <c r="G12279" s="4" t="str">
        <f>HYPERLINK("http://141.218.60.56/~jnz1568/getInfo.php?workbook=10_05.xlsx&amp;sheet=U0&amp;row=12279&amp;col=7&amp;number=0.0506&amp;sourceID=14","0.0506")</f>
        <v>0.0506</v>
      </c>
    </row>
    <row r="12280" spans="1:7">
      <c r="A12280" s="3"/>
      <c r="B12280" s="3"/>
      <c r="C12280" s="3"/>
      <c r="D12280" s="3"/>
      <c r="E12280" s="3">
        <v>17</v>
      </c>
      <c r="F12280" s="4" t="str">
        <f>HYPERLINK("http://141.218.60.56/~jnz1568/getInfo.php?workbook=10_05.xlsx&amp;sheet=U0&amp;row=12280&amp;col=6&amp;number=4.6&amp;sourceID=14","4.6")</f>
        <v>4.6</v>
      </c>
      <c r="G12280" s="4" t="str">
        <f>HYPERLINK("http://141.218.60.56/~jnz1568/getInfo.php?workbook=10_05.xlsx&amp;sheet=U0&amp;row=12280&amp;col=7&amp;number=0.048&amp;sourceID=14","0.048")</f>
        <v>0.048</v>
      </c>
    </row>
    <row r="12281" spans="1:7">
      <c r="A12281" s="3"/>
      <c r="B12281" s="3"/>
      <c r="C12281" s="3"/>
      <c r="D12281" s="3"/>
      <c r="E12281" s="3">
        <v>18</v>
      </c>
      <c r="F12281" s="4" t="str">
        <f>HYPERLINK("http://141.218.60.56/~jnz1568/getInfo.php?workbook=10_05.xlsx&amp;sheet=U0&amp;row=12281&amp;col=6&amp;number=4.7&amp;sourceID=14","4.7")</f>
        <v>4.7</v>
      </c>
      <c r="G12281" s="4" t="str">
        <f>HYPERLINK("http://141.218.60.56/~jnz1568/getInfo.php?workbook=10_05.xlsx&amp;sheet=U0&amp;row=12281&amp;col=7&amp;number=0.045&amp;sourceID=14","0.045")</f>
        <v>0.045</v>
      </c>
    </row>
    <row r="12282" spans="1:7">
      <c r="A12282" s="3"/>
      <c r="B12282" s="3"/>
      <c r="C12282" s="3"/>
      <c r="D12282" s="3"/>
      <c r="E12282" s="3">
        <v>19</v>
      </c>
      <c r="F12282" s="4" t="str">
        <f>HYPERLINK("http://141.218.60.56/~jnz1568/getInfo.php?workbook=10_05.xlsx&amp;sheet=U0&amp;row=12282&amp;col=6&amp;number=4.8&amp;sourceID=14","4.8")</f>
        <v>4.8</v>
      </c>
      <c r="G12282" s="4" t="str">
        <f>HYPERLINK("http://141.218.60.56/~jnz1568/getInfo.php?workbook=10_05.xlsx&amp;sheet=U0&amp;row=12282&amp;col=7&amp;number=0.0418&amp;sourceID=14","0.0418")</f>
        <v>0.0418</v>
      </c>
    </row>
    <row r="12283" spans="1:7">
      <c r="A12283" s="3"/>
      <c r="B12283" s="3"/>
      <c r="C12283" s="3"/>
      <c r="D12283" s="3"/>
      <c r="E12283" s="3">
        <v>20</v>
      </c>
      <c r="F12283" s="4" t="str">
        <f>HYPERLINK("http://141.218.60.56/~jnz1568/getInfo.php?workbook=10_05.xlsx&amp;sheet=U0&amp;row=12283&amp;col=6&amp;number=4.9&amp;sourceID=14","4.9")</f>
        <v>4.9</v>
      </c>
      <c r="G12283" s="4" t="str">
        <f>HYPERLINK("http://141.218.60.56/~jnz1568/getInfo.php?workbook=10_05.xlsx&amp;sheet=U0&amp;row=12283&amp;col=7&amp;number=0.0385&amp;sourceID=14","0.0385")</f>
        <v>0.0385</v>
      </c>
    </row>
    <row r="12284" spans="1:7">
      <c r="A12284" s="3">
        <v>10</v>
      </c>
      <c r="B12284" s="3">
        <v>5</v>
      </c>
      <c r="C12284" s="3">
        <v>4</v>
      </c>
      <c r="D12284" s="3">
        <v>85</v>
      </c>
      <c r="E12284" s="3">
        <v>1</v>
      </c>
      <c r="F12284" s="4" t="str">
        <f>HYPERLINK("http://141.218.60.56/~jnz1568/getInfo.php?workbook=10_05.xlsx&amp;sheet=U0&amp;row=12284&amp;col=6&amp;number=3&amp;sourceID=14","3")</f>
        <v>3</v>
      </c>
      <c r="G12284" s="4" t="str">
        <f>HYPERLINK("http://141.218.60.56/~jnz1568/getInfo.php?workbook=10_05.xlsx&amp;sheet=U0&amp;row=12284&amp;col=7&amp;number=0.029&amp;sourceID=14","0.029")</f>
        <v>0.029</v>
      </c>
    </row>
    <row r="12285" spans="1:7">
      <c r="A12285" s="3"/>
      <c r="B12285" s="3"/>
      <c r="C12285" s="3"/>
      <c r="D12285" s="3"/>
      <c r="E12285" s="3">
        <v>2</v>
      </c>
      <c r="F12285" s="4" t="str">
        <f>HYPERLINK("http://141.218.60.56/~jnz1568/getInfo.php?workbook=10_05.xlsx&amp;sheet=U0&amp;row=12285&amp;col=6&amp;number=3.1&amp;sourceID=14","3.1")</f>
        <v>3.1</v>
      </c>
      <c r="G12285" s="4" t="str">
        <f>HYPERLINK("http://141.218.60.56/~jnz1568/getInfo.php?workbook=10_05.xlsx&amp;sheet=U0&amp;row=12285&amp;col=7&amp;number=0.029&amp;sourceID=14","0.029")</f>
        <v>0.029</v>
      </c>
    </row>
    <row r="12286" spans="1:7">
      <c r="A12286" s="3"/>
      <c r="B12286" s="3"/>
      <c r="C12286" s="3"/>
      <c r="D12286" s="3"/>
      <c r="E12286" s="3">
        <v>3</v>
      </c>
      <c r="F12286" s="4" t="str">
        <f>HYPERLINK("http://141.218.60.56/~jnz1568/getInfo.php?workbook=10_05.xlsx&amp;sheet=U0&amp;row=12286&amp;col=6&amp;number=3.2&amp;sourceID=14","3.2")</f>
        <v>3.2</v>
      </c>
      <c r="G12286" s="4" t="str">
        <f>HYPERLINK("http://141.218.60.56/~jnz1568/getInfo.php?workbook=10_05.xlsx&amp;sheet=U0&amp;row=12286&amp;col=7&amp;number=0.029&amp;sourceID=14","0.029")</f>
        <v>0.029</v>
      </c>
    </row>
    <row r="12287" spans="1:7">
      <c r="A12287" s="3"/>
      <c r="B12287" s="3"/>
      <c r="C12287" s="3"/>
      <c r="D12287" s="3"/>
      <c r="E12287" s="3">
        <v>4</v>
      </c>
      <c r="F12287" s="4" t="str">
        <f>HYPERLINK("http://141.218.60.56/~jnz1568/getInfo.php?workbook=10_05.xlsx&amp;sheet=U0&amp;row=12287&amp;col=6&amp;number=3.3&amp;sourceID=14","3.3")</f>
        <v>3.3</v>
      </c>
      <c r="G12287" s="4" t="str">
        <f>HYPERLINK("http://141.218.60.56/~jnz1568/getInfo.php?workbook=10_05.xlsx&amp;sheet=U0&amp;row=12287&amp;col=7&amp;number=0.029&amp;sourceID=14","0.029")</f>
        <v>0.029</v>
      </c>
    </row>
    <row r="12288" spans="1:7">
      <c r="A12288" s="3"/>
      <c r="B12288" s="3"/>
      <c r="C12288" s="3"/>
      <c r="D12288" s="3"/>
      <c r="E12288" s="3">
        <v>5</v>
      </c>
      <c r="F12288" s="4" t="str">
        <f>HYPERLINK("http://141.218.60.56/~jnz1568/getInfo.php?workbook=10_05.xlsx&amp;sheet=U0&amp;row=12288&amp;col=6&amp;number=3.4&amp;sourceID=14","3.4")</f>
        <v>3.4</v>
      </c>
      <c r="G12288" s="4" t="str">
        <f>HYPERLINK("http://141.218.60.56/~jnz1568/getInfo.php?workbook=10_05.xlsx&amp;sheet=U0&amp;row=12288&amp;col=7&amp;number=0.0289&amp;sourceID=14","0.0289")</f>
        <v>0.0289</v>
      </c>
    </row>
    <row r="12289" spans="1:7">
      <c r="A12289" s="3"/>
      <c r="B12289" s="3"/>
      <c r="C12289" s="3"/>
      <c r="D12289" s="3"/>
      <c r="E12289" s="3">
        <v>6</v>
      </c>
      <c r="F12289" s="4" t="str">
        <f>HYPERLINK("http://141.218.60.56/~jnz1568/getInfo.php?workbook=10_05.xlsx&amp;sheet=U0&amp;row=12289&amp;col=6&amp;number=3.5&amp;sourceID=14","3.5")</f>
        <v>3.5</v>
      </c>
      <c r="G12289" s="4" t="str">
        <f>HYPERLINK("http://141.218.60.56/~jnz1568/getInfo.php?workbook=10_05.xlsx&amp;sheet=U0&amp;row=12289&amp;col=7&amp;number=0.0289&amp;sourceID=14","0.0289")</f>
        <v>0.0289</v>
      </c>
    </row>
    <row r="12290" spans="1:7">
      <c r="A12290" s="3"/>
      <c r="B12290" s="3"/>
      <c r="C12290" s="3"/>
      <c r="D12290" s="3"/>
      <c r="E12290" s="3">
        <v>7</v>
      </c>
      <c r="F12290" s="4" t="str">
        <f>HYPERLINK("http://141.218.60.56/~jnz1568/getInfo.php?workbook=10_05.xlsx&amp;sheet=U0&amp;row=12290&amp;col=6&amp;number=3.6&amp;sourceID=14","3.6")</f>
        <v>3.6</v>
      </c>
      <c r="G12290" s="4" t="str">
        <f>HYPERLINK("http://141.218.60.56/~jnz1568/getInfo.php?workbook=10_05.xlsx&amp;sheet=U0&amp;row=12290&amp;col=7&amp;number=0.0289&amp;sourceID=14","0.0289")</f>
        <v>0.0289</v>
      </c>
    </row>
    <row r="12291" spans="1:7">
      <c r="A12291" s="3"/>
      <c r="B12291" s="3"/>
      <c r="C12291" s="3"/>
      <c r="D12291" s="3"/>
      <c r="E12291" s="3">
        <v>8</v>
      </c>
      <c r="F12291" s="4" t="str">
        <f>HYPERLINK("http://141.218.60.56/~jnz1568/getInfo.php?workbook=10_05.xlsx&amp;sheet=U0&amp;row=12291&amp;col=6&amp;number=3.7&amp;sourceID=14","3.7")</f>
        <v>3.7</v>
      </c>
      <c r="G12291" s="4" t="str">
        <f>HYPERLINK("http://141.218.60.56/~jnz1568/getInfo.php?workbook=10_05.xlsx&amp;sheet=U0&amp;row=12291&amp;col=7&amp;number=0.0288&amp;sourceID=14","0.0288")</f>
        <v>0.0288</v>
      </c>
    </row>
    <row r="12292" spans="1:7">
      <c r="A12292" s="3"/>
      <c r="B12292" s="3"/>
      <c r="C12292" s="3"/>
      <c r="D12292" s="3"/>
      <c r="E12292" s="3">
        <v>9</v>
      </c>
      <c r="F12292" s="4" t="str">
        <f>HYPERLINK("http://141.218.60.56/~jnz1568/getInfo.php?workbook=10_05.xlsx&amp;sheet=U0&amp;row=12292&amp;col=6&amp;number=3.8&amp;sourceID=14","3.8")</f>
        <v>3.8</v>
      </c>
      <c r="G12292" s="4" t="str">
        <f>HYPERLINK("http://141.218.60.56/~jnz1568/getInfo.php?workbook=10_05.xlsx&amp;sheet=U0&amp;row=12292&amp;col=7&amp;number=0.0288&amp;sourceID=14","0.0288")</f>
        <v>0.0288</v>
      </c>
    </row>
    <row r="12293" spans="1:7">
      <c r="A12293" s="3"/>
      <c r="B12293" s="3"/>
      <c r="C12293" s="3"/>
      <c r="D12293" s="3"/>
      <c r="E12293" s="3">
        <v>10</v>
      </c>
      <c r="F12293" s="4" t="str">
        <f>HYPERLINK("http://141.218.60.56/~jnz1568/getInfo.php?workbook=10_05.xlsx&amp;sheet=U0&amp;row=12293&amp;col=6&amp;number=3.9&amp;sourceID=14","3.9")</f>
        <v>3.9</v>
      </c>
      <c r="G12293" s="4" t="str">
        <f>HYPERLINK("http://141.218.60.56/~jnz1568/getInfo.php?workbook=10_05.xlsx&amp;sheet=U0&amp;row=12293&amp;col=7&amp;number=0.0287&amp;sourceID=14","0.0287")</f>
        <v>0.0287</v>
      </c>
    </row>
    <row r="12294" spans="1:7">
      <c r="A12294" s="3"/>
      <c r="B12294" s="3"/>
      <c r="C12294" s="3"/>
      <c r="D12294" s="3"/>
      <c r="E12294" s="3">
        <v>11</v>
      </c>
      <c r="F12294" s="4" t="str">
        <f>HYPERLINK("http://141.218.60.56/~jnz1568/getInfo.php?workbook=10_05.xlsx&amp;sheet=U0&amp;row=12294&amp;col=6&amp;number=4&amp;sourceID=14","4")</f>
        <v>4</v>
      </c>
      <c r="G12294" s="4" t="str">
        <f>HYPERLINK("http://141.218.60.56/~jnz1568/getInfo.php?workbook=10_05.xlsx&amp;sheet=U0&amp;row=12294&amp;col=7&amp;number=0.0285&amp;sourceID=14","0.0285")</f>
        <v>0.0285</v>
      </c>
    </row>
    <row r="12295" spans="1:7">
      <c r="A12295" s="3"/>
      <c r="B12295" s="3"/>
      <c r="C12295" s="3"/>
      <c r="D12295" s="3"/>
      <c r="E12295" s="3">
        <v>12</v>
      </c>
      <c r="F12295" s="4" t="str">
        <f>HYPERLINK("http://141.218.60.56/~jnz1568/getInfo.php?workbook=10_05.xlsx&amp;sheet=U0&amp;row=12295&amp;col=6&amp;number=4.1&amp;sourceID=14","4.1")</f>
        <v>4.1</v>
      </c>
      <c r="G12295" s="4" t="str">
        <f>HYPERLINK("http://141.218.60.56/~jnz1568/getInfo.php?workbook=10_05.xlsx&amp;sheet=U0&amp;row=12295&amp;col=7&amp;number=0.0283&amp;sourceID=14","0.0283")</f>
        <v>0.0283</v>
      </c>
    </row>
    <row r="12296" spans="1:7">
      <c r="A12296" s="3"/>
      <c r="B12296" s="3"/>
      <c r="C12296" s="3"/>
      <c r="D12296" s="3"/>
      <c r="E12296" s="3">
        <v>13</v>
      </c>
      <c r="F12296" s="4" t="str">
        <f>HYPERLINK("http://141.218.60.56/~jnz1568/getInfo.php?workbook=10_05.xlsx&amp;sheet=U0&amp;row=12296&amp;col=6&amp;number=4.2&amp;sourceID=14","4.2")</f>
        <v>4.2</v>
      </c>
      <c r="G12296" s="4" t="str">
        <f>HYPERLINK("http://141.218.60.56/~jnz1568/getInfo.php?workbook=10_05.xlsx&amp;sheet=U0&amp;row=12296&amp;col=7&amp;number=0.0279&amp;sourceID=14","0.0279")</f>
        <v>0.0279</v>
      </c>
    </row>
    <row r="12297" spans="1:7">
      <c r="A12297" s="3"/>
      <c r="B12297" s="3"/>
      <c r="C12297" s="3"/>
      <c r="D12297" s="3"/>
      <c r="E12297" s="3">
        <v>14</v>
      </c>
      <c r="F12297" s="4" t="str">
        <f>HYPERLINK("http://141.218.60.56/~jnz1568/getInfo.php?workbook=10_05.xlsx&amp;sheet=U0&amp;row=12297&amp;col=6&amp;number=4.3&amp;sourceID=14","4.3")</f>
        <v>4.3</v>
      </c>
      <c r="G12297" s="4" t="str">
        <f>HYPERLINK("http://141.218.60.56/~jnz1568/getInfo.php?workbook=10_05.xlsx&amp;sheet=U0&amp;row=12297&amp;col=7&amp;number=0.0272&amp;sourceID=14","0.0272")</f>
        <v>0.0272</v>
      </c>
    </row>
    <row r="12298" spans="1:7">
      <c r="A12298" s="3"/>
      <c r="B12298" s="3"/>
      <c r="C12298" s="3"/>
      <c r="D12298" s="3"/>
      <c r="E12298" s="3">
        <v>15</v>
      </c>
      <c r="F12298" s="4" t="str">
        <f>HYPERLINK("http://141.218.60.56/~jnz1568/getInfo.php?workbook=10_05.xlsx&amp;sheet=U0&amp;row=12298&amp;col=6&amp;number=4.4&amp;sourceID=14","4.4")</f>
        <v>4.4</v>
      </c>
      <c r="G12298" s="4" t="str">
        <f>HYPERLINK("http://141.218.60.56/~jnz1568/getInfo.php?workbook=10_05.xlsx&amp;sheet=U0&amp;row=12298&amp;col=7&amp;number=0.0262&amp;sourceID=14","0.0262")</f>
        <v>0.0262</v>
      </c>
    </row>
    <row r="12299" spans="1:7">
      <c r="A12299" s="3"/>
      <c r="B12299" s="3"/>
      <c r="C12299" s="3"/>
      <c r="D12299" s="3"/>
      <c r="E12299" s="3">
        <v>16</v>
      </c>
      <c r="F12299" s="4" t="str">
        <f>HYPERLINK("http://141.218.60.56/~jnz1568/getInfo.php?workbook=10_05.xlsx&amp;sheet=U0&amp;row=12299&amp;col=6&amp;number=4.5&amp;sourceID=14","4.5")</f>
        <v>4.5</v>
      </c>
      <c r="G12299" s="4" t="str">
        <f>HYPERLINK("http://141.218.60.56/~jnz1568/getInfo.php?workbook=10_05.xlsx&amp;sheet=U0&amp;row=12299&amp;col=7&amp;number=0.0247&amp;sourceID=14","0.0247")</f>
        <v>0.0247</v>
      </c>
    </row>
    <row r="12300" spans="1:7">
      <c r="A12300" s="3"/>
      <c r="B12300" s="3"/>
      <c r="C12300" s="3"/>
      <c r="D12300" s="3"/>
      <c r="E12300" s="3">
        <v>17</v>
      </c>
      <c r="F12300" s="4" t="str">
        <f>HYPERLINK("http://141.218.60.56/~jnz1568/getInfo.php?workbook=10_05.xlsx&amp;sheet=U0&amp;row=12300&amp;col=6&amp;number=4.6&amp;sourceID=14","4.6")</f>
        <v>4.6</v>
      </c>
      <c r="G12300" s="4" t="str">
        <f>HYPERLINK("http://141.218.60.56/~jnz1568/getInfo.php?workbook=10_05.xlsx&amp;sheet=U0&amp;row=12300&amp;col=7&amp;number=0.0227&amp;sourceID=14","0.0227")</f>
        <v>0.0227</v>
      </c>
    </row>
    <row r="12301" spans="1:7">
      <c r="A12301" s="3"/>
      <c r="B12301" s="3"/>
      <c r="C12301" s="3"/>
      <c r="D12301" s="3"/>
      <c r="E12301" s="3">
        <v>18</v>
      </c>
      <c r="F12301" s="4" t="str">
        <f>HYPERLINK("http://141.218.60.56/~jnz1568/getInfo.php?workbook=10_05.xlsx&amp;sheet=U0&amp;row=12301&amp;col=6&amp;number=4.7&amp;sourceID=14","4.7")</f>
        <v>4.7</v>
      </c>
      <c r="G12301" s="4" t="str">
        <f>HYPERLINK("http://141.218.60.56/~jnz1568/getInfo.php?workbook=10_05.xlsx&amp;sheet=U0&amp;row=12301&amp;col=7&amp;number=0.0206&amp;sourceID=14","0.0206")</f>
        <v>0.0206</v>
      </c>
    </row>
    <row r="12302" spans="1:7">
      <c r="A12302" s="3"/>
      <c r="B12302" s="3"/>
      <c r="C12302" s="3"/>
      <c r="D12302" s="3"/>
      <c r="E12302" s="3">
        <v>19</v>
      </c>
      <c r="F12302" s="4" t="str">
        <f>HYPERLINK("http://141.218.60.56/~jnz1568/getInfo.php?workbook=10_05.xlsx&amp;sheet=U0&amp;row=12302&amp;col=6&amp;number=4.8&amp;sourceID=14","4.8")</f>
        <v>4.8</v>
      </c>
      <c r="G12302" s="4" t="str">
        <f>HYPERLINK("http://141.218.60.56/~jnz1568/getInfo.php?workbook=10_05.xlsx&amp;sheet=U0&amp;row=12302&amp;col=7&amp;number=0.0186&amp;sourceID=14","0.0186")</f>
        <v>0.0186</v>
      </c>
    </row>
    <row r="12303" spans="1:7">
      <c r="A12303" s="3"/>
      <c r="B12303" s="3"/>
      <c r="C12303" s="3"/>
      <c r="D12303" s="3"/>
      <c r="E12303" s="3">
        <v>20</v>
      </c>
      <c r="F12303" s="4" t="str">
        <f>HYPERLINK("http://141.218.60.56/~jnz1568/getInfo.php?workbook=10_05.xlsx&amp;sheet=U0&amp;row=12303&amp;col=6&amp;number=4.9&amp;sourceID=14","4.9")</f>
        <v>4.9</v>
      </c>
      <c r="G12303" s="4" t="str">
        <f>HYPERLINK("http://141.218.60.56/~jnz1568/getInfo.php?workbook=10_05.xlsx&amp;sheet=U0&amp;row=12303&amp;col=7&amp;number=0.0166&amp;sourceID=14","0.0166")</f>
        <v>0.0166</v>
      </c>
    </row>
    <row r="12304" spans="1:7">
      <c r="A12304" s="3">
        <v>10</v>
      </c>
      <c r="B12304" s="3">
        <v>5</v>
      </c>
      <c r="C12304" s="3">
        <v>4</v>
      </c>
      <c r="D12304" s="3">
        <v>86</v>
      </c>
      <c r="E12304" s="3">
        <v>1</v>
      </c>
      <c r="F12304" s="4" t="str">
        <f>HYPERLINK("http://141.218.60.56/~jnz1568/getInfo.php?workbook=10_05.xlsx&amp;sheet=U0&amp;row=12304&amp;col=6&amp;number=3&amp;sourceID=14","3")</f>
        <v>3</v>
      </c>
      <c r="G12304" s="4" t="str">
        <f>HYPERLINK("http://141.218.60.56/~jnz1568/getInfo.php?workbook=10_05.xlsx&amp;sheet=U0&amp;row=12304&amp;col=7&amp;number=0.00317&amp;sourceID=14","0.00317")</f>
        <v>0.00317</v>
      </c>
    </row>
    <row r="12305" spans="1:7">
      <c r="A12305" s="3"/>
      <c r="B12305" s="3"/>
      <c r="C12305" s="3"/>
      <c r="D12305" s="3"/>
      <c r="E12305" s="3">
        <v>2</v>
      </c>
      <c r="F12305" s="4" t="str">
        <f>HYPERLINK("http://141.218.60.56/~jnz1568/getInfo.php?workbook=10_05.xlsx&amp;sheet=U0&amp;row=12305&amp;col=6&amp;number=3.1&amp;sourceID=14","3.1")</f>
        <v>3.1</v>
      </c>
      <c r="G12305" s="4" t="str">
        <f>HYPERLINK("http://141.218.60.56/~jnz1568/getInfo.php?workbook=10_05.xlsx&amp;sheet=U0&amp;row=12305&amp;col=7&amp;number=0.00322&amp;sourceID=14","0.00322")</f>
        <v>0.00322</v>
      </c>
    </row>
    <row r="12306" spans="1:7">
      <c r="A12306" s="3"/>
      <c r="B12306" s="3"/>
      <c r="C12306" s="3"/>
      <c r="D12306" s="3"/>
      <c r="E12306" s="3">
        <v>3</v>
      </c>
      <c r="F12306" s="4" t="str">
        <f>HYPERLINK("http://141.218.60.56/~jnz1568/getInfo.php?workbook=10_05.xlsx&amp;sheet=U0&amp;row=12306&amp;col=6&amp;number=3.2&amp;sourceID=14","3.2")</f>
        <v>3.2</v>
      </c>
      <c r="G12306" s="4" t="str">
        <f>HYPERLINK("http://141.218.60.56/~jnz1568/getInfo.php?workbook=10_05.xlsx&amp;sheet=U0&amp;row=12306&amp;col=7&amp;number=0.00327&amp;sourceID=14","0.00327")</f>
        <v>0.00327</v>
      </c>
    </row>
    <row r="12307" spans="1:7">
      <c r="A12307" s="3"/>
      <c r="B12307" s="3"/>
      <c r="C12307" s="3"/>
      <c r="D12307" s="3"/>
      <c r="E12307" s="3">
        <v>4</v>
      </c>
      <c r="F12307" s="4" t="str">
        <f>HYPERLINK("http://141.218.60.56/~jnz1568/getInfo.php?workbook=10_05.xlsx&amp;sheet=U0&amp;row=12307&amp;col=6&amp;number=3.3&amp;sourceID=14","3.3")</f>
        <v>3.3</v>
      </c>
      <c r="G12307" s="4" t="str">
        <f>HYPERLINK("http://141.218.60.56/~jnz1568/getInfo.php?workbook=10_05.xlsx&amp;sheet=U0&amp;row=12307&amp;col=7&amp;number=0.00334&amp;sourceID=14","0.00334")</f>
        <v>0.00334</v>
      </c>
    </row>
    <row r="12308" spans="1:7">
      <c r="A12308" s="3"/>
      <c r="B12308" s="3"/>
      <c r="C12308" s="3"/>
      <c r="D12308" s="3"/>
      <c r="E12308" s="3">
        <v>5</v>
      </c>
      <c r="F12308" s="4" t="str">
        <f>HYPERLINK("http://141.218.60.56/~jnz1568/getInfo.php?workbook=10_05.xlsx&amp;sheet=U0&amp;row=12308&amp;col=6&amp;number=3.4&amp;sourceID=14","3.4")</f>
        <v>3.4</v>
      </c>
      <c r="G12308" s="4" t="str">
        <f>HYPERLINK("http://141.218.60.56/~jnz1568/getInfo.php?workbook=10_05.xlsx&amp;sheet=U0&amp;row=12308&amp;col=7&amp;number=0.00342&amp;sourceID=14","0.00342")</f>
        <v>0.00342</v>
      </c>
    </row>
    <row r="12309" spans="1:7">
      <c r="A12309" s="3"/>
      <c r="B12309" s="3"/>
      <c r="C12309" s="3"/>
      <c r="D12309" s="3"/>
      <c r="E12309" s="3">
        <v>6</v>
      </c>
      <c r="F12309" s="4" t="str">
        <f>HYPERLINK("http://141.218.60.56/~jnz1568/getInfo.php?workbook=10_05.xlsx&amp;sheet=U0&amp;row=12309&amp;col=6&amp;number=3.5&amp;sourceID=14","3.5")</f>
        <v>3.5</v>
      </c>
      <c r="G12309" s="4" t="str">
        <f>HYPERLINK("http://141.218.60.56/~jnz1568/getInfo.php?workbook=10_05.xlsx&amp;sheet=U0&amp;row=12309&amp;col=7&amp;number=0.00352&amp;sourceID=14","0.00352")</f>
        <v>0.00352</v>
      </c>
    </row>
    <row r="12310" spans="1:7">
      <c r="A12310" s="3"/>
      <c r="B12310" s="3"/>
      <c r="C12310" s="3"/>
      <c r="D12310" s="3"/>
      <c r="E12310" s="3">
        <v>7</v>
      </c>
      <c r="F12310" s="4" t="str">
        <f>HYPERLINK("http://141.218.60.56/~jnz1568/getInfo.php?workbook=10_05.xlsx&amp;sheet=U0&amp;row=12310&amp;col=6&amp;number=3.6&amp;sourceID=14","3.6")</f>
        <v>3.6</v>
      </c>
      <c r="G12310" s="4" t="str">
        <f>HYPERLINK("http://141.218.60.56/~jnz1568/getInfo.php?workbook=10_05.xlsx&amp;sheet=U0&amp;row=12310&amp;col=7&amp;number=0.00363&amp;sourceID=14","0.00363")</f>
        <v>0.00363</v>
      </c>
    </row>
    <row r="12311" spans="1:7">
      <c r="A12311" s="3"/>
      <c r="B12311" s="3"/>
      <c r="C12311" s="3"/>
      <c r="D12311" s="3"/>
      <c r="E12311" s="3">
        <v>8</v>
      </c>
      <c r="F12311" s="4" t="str">
        <f>HYPERLINK("http://141.218.60.56/~jnz1568/getInfo.php?workbook=10_05.xlsx&amp;sheet=U0&amp;row=12311&amp;col=6&amp;number=3.7&amp;sourceID=14","3.7")</f>
        <v>3.7</v>
      </c>
      <c r="G12311" s="4" t="str">
        <f>HYPERLINK("http://141.218.60.56/~jnz1568/getInfo.php?workbook=10_05.xlsx&amp;sheet=U0&amp;row=12311&amp;col=7&amp;number=0.00375&amp;sourceID=14","0.00375")</f>
        <v>0.00375</v>
      </c>
    </row>
    <row r="12312" spans="1:7">
      <c r="A12312" s="3"/>
      <c r="B12312" s="3"/>
      <c r="C12312" s="3"/>
      <c r="D12312" s="3"/>
      <c r="E12312" s="3">
        <v>9</v>
      </c>
      <c r="F12312" s="4" t="str">
        <f>HYPERLINK("http://141.218.60.56/~jnz1568/getInfo.php?workbook=10_05.xlsx&amp;sheet=U0&amp;row=12312&amp;col=6&amp;number=3.8&amp;sourceID=14","3.8")</f>
        <v>3.8</v>
      </c>
      <c r="G12312" s="4" t="str">
        <f>HYPERLINK("http://141.218.60.56/~jnz1568/getInfo.php?workbook=10_05.xlsx&amp;sheet=U0&amp;row=12312&amp;col=7&amp;number=0.00387&amp;sourceID=14","0.00387")</f>
        <v>0.00387</v>
      </c>
    </row>
    <row r="12313" spans="1:7">
      <c r="A12313" s="3"/>
      <c r="B12313" s="3"/>
      <c r="C12313" s="3"/>
      <c r="D12313" s="3"/>
      <c r="E12313" s="3">
        <v>10</v>
      </c>
      <c r="F12313" s="4" t="str">
        <f>HYPERLINK("http://141.218.60.56/~jnz1568/getInfo.php?workbook=10_05.xlsx&amp;sheet=U0&amp;row=12313&amp;col=6&amp;number=3.9&amp;sourceID=14","3.9")</f>
        <v>3.9</v>
      </c>
      <c r="G12313" s="4" t="str">
        <f>HYPERLINK("http://141.218.60.56/~jnz1568/getInfo.php?workbook=10_05.xlsx&amp;sheet=U0&amp;row=12313&amp;col=7&amp;number=0.00396&amp;sourceID=14","0.00396")</f>
        <v>0.00396</v>
      </c>
    </row>
    <row r="12314" spans="1:7">
      <c r="A12314" s="3"/>
      <c r="B12314" s="3"/>
      <c r="C12314" s="3"/>
      <c r="D12314" s="3"/>
      <c r="E12314" s="3">
        <v>11</v>
      </c>
      <c r="F12314" s="4" t="str">
        <f>HYPERLINK("http://141.218.60.56/~jnz1568/getInfo.php?workbook=10_05.xlsx&amp;sheet=U0&amp;row=12314&amp;col=6&amp;number=4&amp;sourceID=14","4")</f>
        <v>4</v>
      </c>
      <c r="G12314" s="4" t="str">
        <f>HYPERLINK("http://141.218.60.56/~jnz1568/getInfo.php?workbook=10_05.xlsx&amp;sheet=U0&amp;row=12314&amp;col=7&amp;number=0.004&amp;sourceID=14","0.004")</f>
        <v>0.004</v>
      </c>
    </row>
    <row r="12315" spans="1:7">
      <c r="A12315" s="3"/>
      <c r="B12315" s="3"/>
      <c r="C12315" s="3"/>
      <c r="D12315" s="3"/>
      <c r="E12315" s="3">
        <v>12</v>
      </c>
      <c r="F12315" s="4" t="str">
        <f>HYPERLINK("http://141.218.60.56/~jnz1568/getInfo.php?workbook=10_05.xlsx&amp;sheet=U0&amp;row=12315&amp;col=6&amp;number=4.1&amp;sourceID=14","4.1")</f>
        <v>4.1</v>
      </c>
      <c r="G12315" s="4" t="str">
        <f>HYPERLINK("http://141.218.60.56/~jnz1568/getInfo.php?workbook=10_05.xlsx&amp;sheet=U0&amp;row=12315&amp;col=7&amp;number=0.00396&amp;sourceID=14","0.00396")</f>
        <v>0.00396</v>
      </c>
    </row>
    <row r="12316" spans="1:7">
      <c r="A12316" s="3"/>
      <c r="B12316" s="3"/>
      <c r="C12316" s="3"/>
      <c r="D12316" s="3"/>
      <c r="E12316" s="3">
        <v>13</v>
      </c>
      <c r="F12316" s="4" t="str">
        <f>HYPERLINK("http://141.218.60.56/~jnz1568/getInfo.php?workbook=10_05.xlsx&amp;sheet=U0&amp;row=12316&amp;col=6&amp;number=4.2&amp;sourceID=14","4.2")</f>
        <v>4.2</v>
      </c>
      <c r="G12316" s="4" t="str">
        <f>HYPERLINK("http://141.218.60.56/~jnz1568/getInfo.php?workbook=10_05.xlsx&amp;sheet=U0&amp;row=12316&amp;col=7&amp;number=0.00384&amp;sourceID=14","0.00384")</f>
        <v>0.00384</v>
      </c>
    </row>
    <row r="12317" spans="1:7">
      <c r="A12317" s="3"/>
      <c r="B12317" s="3"/>
      <c r="C12317" s="3"/>
      <c r="D12317" s="3"/>
      <c r="E12317" s="3">
        <v>14</v>
      </c>
      <c r="F12317" s="4" t="str">
        <f>HYPERLINK("http://141.218.60.56/~jnz1568/getInfo.php?workbook=10_05.xlsx&amp;sheet=U0&amp;row=12317&amp;col=6&amp;number=4.3&amp;sourceID=14","4.3")</f>
        <v>4.3</v>
      </c>
      <c r="G12317" s="4" t="str">
        <f>HYPERLINK("http://141.218.60.56/~jnz1568/getInfo.php?workbook=10_05.xlsx&amp;sheet=U0&amp;row=12317&amp;col=7&amp;number=0.00366&amp;sourceID=14","0.00366")</f>
        <v>0.00366</v>
      </c>
    </row>
    <row r="12318" spans="1:7">
      <c r="A12318" s="3"/>
      <c r="B12318" s="3"/>
      <c r="C12318" s="3"/>
      <c r="D12318" s="3"/>
      <c r="E12318" s="3">
        <v>15</v>
      </c>
      <c r="F12318" s="4" t="str">
        <f>HYPERLINK("http://141.218.60.56/~jnz1568/getInfo.php?workbook=10_05.xlsx&amp;sheet=U0&amp;row=12318&amp;col=6&amp;number=4.4&amp;sourceID=14","4.4")</f>
        <v>4.4</v>
      </c>
      <c r="G12318" s="4" t="str">
        <f>HYPERLINK("http://141.218.60.56/~jnz1568/getInfo.php?workbook=10_05.xlsx&amp;sheet=U0&amp;row=12318&amp;col=7&amp;number=0.00348&amp;sourceID=14","0.00348")</f>
        <v>0.00348</v>
      </c>
    </row>
    <row r="12319" spans="1:7">
      <c r="A12319" s="3"/>
      <c r="B12319" s="3"/>
      <c r="C12319" s="3"/>
      <c r="D12319" s="3"/>
      <c r="E12319" s="3">
        <v>16</v>
      </c>
      <c r="F12319" s="4" t="str">
        <f>HYPERLINK("http://141.218.60.56/~jnz1568/getInfo.php?workbook=10_05.xlsx&amp;sheet=U0&amp;row=12319&amp;col=6&amp;number=4.5&amp;sourceID=14","4.5")</f>
        <v>4.5</v>
      </c>
      <c r="G12319" s="4" t="str">
        <f>HYPERLINK("http://141.218.60.56/~jnz1568/getInfo.php?workbook=10_05.xlsx&amp;sheet=U0&amp;row=12319&amp;col=7&amp;number=0.00326&amp;sourceID=14","0.00326")</f>
        <v>0.00326</v>
      </c>
    </row>
    <row r="12320" spans="1:7">
      <c r="A12320" s="3"/>
      <c r="B12320" s="3"/>
      <c r="C12320" s="3"/>
      <c r="D12320" s="3"/>
      <c r="E12320" s="3">
        <v>17</v>
      </c>
      <c r="F12320" s="4" t="str">
        <f>HYPERLINK("http://141.218.60.56/~jnz1568/getInfo.php?workbook=10_05.xlsx&amp;sheet=U0&amp;row=12320&amp;col=6&amp;number=4.6&amp;sourceID=14","4.6")</f>
        <v>4.6</v>
      </c>
      <c r="G12320" s="4" t="str">
        <f>HYPERLINK("http://141.218.60.56/~jnz1568/getInfo.php?workbook=10_05.xlsx&amp;sheet=U0&amp;row=12320&amp;col=7&amp;number=0.00302&amp;sourceID=14","0.00302")</f>
        <v>0.00302</v>
      </c>
    </row>
    <row r="12321" spans="1:7">
      <c r="A12321" s="3"/>
      <c r="B12321" s="3"/>
      <c r="C12321" s="3"/>
      <c r="D12321" s="3"/>
      <c r="E12321" s="3">
        <v>18</v>
      </c>
      <c r="F12321" s="4" t="str">
        <f>HYPERLINK("http://141.218.60.56/~jnz1568/getInfo.php?workbook=10_05.xlsx&amp;sheet=U0&amp;row=12321&amp;col=6&amp;number=4.7&amp;sourceID=14","4.7")</f>
        <v>4.7</v>
      </c>
      <c r="G12321" s="4" t="str">
        <f>HYPERLINK("http://141.218.60.56/~jnz1568/getInfo.php?workbook=10_05.xlsx&amp;sheet=U0&amp;row=12321&amp;col=7&amp;number=0.00275&amp;sourceID=14","0.00275")</f>
        <v>0.00275</v>
      </c>
    </row>
    <row r="12322" spans="1:7">
      <c r="A12322" s="3"/>
      <c r="B12322" s="3"/>
      <c r="C12322" s="3"/>
      <c r="D12322" s="3"/>
      <c r="E12322" s="3">
        <v>19</v>
      </c>
      <c r="F12322" s="4" t="str">
        <f>HYPERLINK("http://141.218.60.56/~jnz1568/getInfo.php?workbook=10_05.xlsx&amp;sheet=U0&amp;row=12322&amp;col=6&amp;number=4.8&amp;sourceID=14","4.8")</f>
        <v>4.8</v>
      </c>
      <c r="G12322" s="4" t="str">
        <f>HYPERLINK("http://141.218.60.56/~jnz1568/getInfo.php?workbook=10_05.xlsx&amp;sheet=U0&amp;row=12322&amp;col=7&amp;number=0.00247&amp;sourceID=14","0.00247")</f>
        <v>0.00247</v>
      </c>
    </row>
    <row r="12323" spans="1:7">
      <c r="A12323" s="3"/>
      <c r="B12323" s="3"/>
      <c r="C12323" s="3"/>
      <c r="D12323" s="3"/>
      <c r="E12323" s="3">
        <v>20</v>
      </c>
      <c r="F12323" s="4" t="str">
        <f>HYPERLINK("http://141.218.60.56/~jnz1568/getInfo.php?workbook=10_05.xlsx&amp;sheet=U0&amp;row=12323&amp;col=6&amp;number=4.9&amp;sourceID=14","4.9")</f>
        <v>4.9</v>
      </c>
      <c r="G12323" s="4" t="str">
        <f>HYPERLINK("http://141.218.60.56/~jnz1568/getInfo.php?workbook=10_05.xlsx&amp;sheet=U0&amp;row=12323&amp;col=7&amp;number=0.0022&amp;sourceID=14","0.0022")</f>
        <v>0.0022</v>
      </c>
    </row>
    <row r="12324" spans="1:7">
      <c r="A12324" s="3">
        <v>10</v>
      </c>
      <c r="B12324" s="3">
        <v>5</v>
      </c>
      <c r="C12324" s="3">
        <v>4</v>
      </c>
      <c r="D12324" s="3">
        <v>87</v>
      </c>
      <c r="E12324" s="3">
        <v>1</v>
      </c>
      <c r="F12324" s="4" t="str">
        <f>HYPERLINK("http://141.218.60.56/~jnz1568/getInfo.php?workbook=10_05.xlsx&amp;sheet=U0&amp;row=12324&amp;col=6&amp;number=3&amp;sourceID=14","3")</f>
        <v>3</v>
      </c>
      <c r="G12324" s="4" t="str">
        <f>HYPERLINK("http://141.218.60.56/~jnz1568/getInfo.php?workbook=10_05.xlsx&amp;sheet=U0&amp;row=12324&amp;col=7&amp;number=0.00379&amp;sourceID=14","0.00379")</f>
        <v>0.00379</v>
      </c>
    </row>
    <row r="12325" spans="1:7">
      <c r="A12325" s="3"/>
      <c r="B12325" s="3"/>
      <c r="C12325" s="3"/>
      <c r="D12325" s="3"/>
      <c r="E12325" s="3">
        <v>2</v>
      </c>
      <c r="F12325" s="4" t="str">
        <f>HYPERLINK("http://141.218.60.56/~jnz1568/getInfo.php?workbook=10_05.xlsx&amp;sheet=U0&amp;row=12325&amp;col=6&amp;number=3.1&amp;sourceID=14","3.1")</f>
        <v>3.1</v>
      </c>
      <c r="G12325" s="4" t="str">
        <f>HYPERLINK("http://141.218.60.56/~jnz1568/getInfo.php?workbook=10_05.xlsx&amp;sheet=U0&amp;row=12325&amp;col=7&amp;number=0.00383&amp;sourceID=14","0.00383")</f>
        <v>0.00383</v>
      </c>
    </row>
    <row r="12326" spans="1:7">
      <c r="A12326" s="3"/>
      <c r="B12326" s="3"/>
      <c r="C12326" s="3"/>
      <c r="D12326" s="3"/>
      <c r="E12326" s="3">
        <v>3</v>
      </c>
      <c r="F12326" s="4" t="str">
        <f>HYPERLINK("http://141.218.60.56/~jnz1568/getInfo.php?workbook=10_05.xlsx&amp;sheet=U0&amp;row=12326&amp;col=6&amp;number=3.2&amp;sourceID=14","3.2")</f>
        <v>3.2</v>
      </c>
      <c r="G12326" s="4" t="str">
        <f>HYPERLINK("http://141.218.60.56/~jnz1568/getInfo.php?workbook=10_05.xlsx&amp;sheet=U0&amp;row=12326&amp;col=7&amp;number=0.00387&amp;sourceID=14","0.00387")</f>
        <v>0.00387</v>
      </c>
    </row>
    <row r="12327" spans="1:7">
      <c r="A12327" s="3"/>
      <c r="B12327" s="3"/>
      <c r="C12327" s="3"/>
      <c r="D12327" s="3"/>
      <c r="E12327" s="3">
        <v>4</v>
      </c>
      <c r="F12327" s="4" t="str">
        <f>HYPERLINK("http://141.218.60.56/~jnz1568/getInfo.php?workbook=10_05.xlsx&amp;sheet=U0&amp;row=12327&amp;col=6&amp;number=3.3&amp;sourceID=14","3.3")</f>
        <v>3.3</v>
      </c>
      <c r="G12327" s="4" t="str">
        <f>HYPERLINK("http://141.218.60.56/~jnz1568/getInfo.php?workbook=10_05.xlsx&amp;sheet=U0&amp;row=12327&amp;col=7&amp;number=0.00392&amp;sourceID=14","0.00392")</f>
        <v>0.00392</v>
      </c>
    </row>
    <row r="12328" spans="1:7">
      <c r="A12328" s="3"/>
      <c r="B12328" s="3"/>
      <c r="C12328" s="3"/>
      <c r="D12328" s="3"/>
      <c r="E12328" s="3">
        <v>5</v>
      </c>
      <c r="F12328" s="4" t="str">
        <f>HYPERLINK("http://141.218.60.56/~jnz1568/getInfo.php?workbook=10_05.xlsx&amp;sheet=U0&amp;row=12328&amp;col=6&amp;number=3.4&amp;sourceID=14","3.4")</f>
        <v>3.4</v>
      </c>
      <c r="G12328" s="4" t="str">
        <f>HYPERLINK("http://141.218.60.56/~jnz1568/getInfo.php?workbook=10_05.xlsx&amp;sheet=U0&amp;row=12328&amp;col=7&amp;number=0.00398&amp;sourceID=14","0.00398")</f>
        <v>0.00398</v>
      </c>
    </row>
    <row r="12329" spans="1:7">
      <c r="A12329" s="3"/>
      <c r="B12329" s="3"/>
      <c r="C12329" s="3"/>
      <c r="D12329" s="3"/>
      <c r="E12329" s="3">
        <v>6</v>
      </c>
      <c r="F12329" s="4" t="str">
        <f>HYPERLINK("http://141.218.60.56/~jnz1568/getInfo.php?workbook=10_05.xlsx&amp;sheet=U0&amp;row=12329&amp;col=6&amp;number=3.5&amp;sourceID=14","3.5")</f>
        <v>3.5</v>
      </c>
      <c r="G12329" s="4" t="str">
        <f>HYPERLINK("http://141.218.60.56/~jnz1568/getInfo.php?workbook=10_05.xlsx&amp;sheet=U0&amp;row=12329&amp;col=7&amp;number=0.00405&amp;sourceID=14","0.00405")</f>
        <v>0.00405</v>
      </c>
    </row>
    <row r="12330" spans="1:7">
      <c r="A12330" s="3"/>
      <c r="B12330" s="3"/>
      <c r="C12330" s="3"/>
      <c r="D12330" s="3"/>
      <c r="E12330" s="3">
        <v>7</v>
      </c>
      <c r="F12330" s="4" t="str">
        <f>HYPERLINK("http://141.218.60.56/~jnz1568/getInfo.php?workbook=10_05.xlsx&amp;sheet=U0&amp;row=12330&amp;col=6&amp;number=3.6&amp;sourceID=14","3.6")</f>
        <v>3.6</v>
      </c>
      <c r="G12330" s="4" t="str">
        <f>HYPERLINK("http://141.218.60.56/~jnz1568/getInfo.php?workbook=10_05.xlsx&amp;sheet=U0&amp;row=12330&amp;col=7&amp;number=0.00414&amp;sourceID=14","0.00414")</f>
        <v>0.00414</v>
      </c>
    </row>
    <row r="12331" spans="1:7">
      <c r="A12331" s="3"/>
      <c r="B12331" s="3"/>
      <c r="C12331" s="3"/>
      <c r="D12331" s="3"/>
      <c r="E12331" s="3">
        <v>8</v>
      </c>
      <c r="F12331" s="4" t="str">
        <f>HYPERLINK("http://141.218.60.56/~jnz1568/getInfo.php?workbook=10_05.xlsx&amp;sheet=U0&amp;row=12331&amp;col=6&amp;number=3.7&amp;sourceID=14","3.7")</f>
        <v>3.7</v>
      </c>
      <c r="G12331" s="4" t="str">
        <f>HYPERLINK("http://141.218.60.56/~jnz1568/getInfo.php?workbook=10_05.xlsx&amp;sheet=U0&amp;row=12331&amp;col=7&amp;number=0.00423&amp;sourceID=14","0.00423")</f>
        <v>0.00423</v>
      </c>
    </row>
    <row r="12332" spans="1:7">
      <c r="A12332" s="3"/>
      <c r="B12332" s="3"/>
      <c r="C12332" s="3"/>
      <c r="D12332" s="3"/>
      <c r="E12332" s="3">
        <v>9</v>
      </c>
      <c r="F12332" s="4" t="str">
        <f>HYPERLINK("http://141.218.60.56/~jnz1568/getInfo.php?workbook=10_05.xlsx&amp;sheet=U0&amp;row=12332&amp;col=6&amp;number=3.8&amp;sourceID=14","3.8")</f>
        <v>3.8</v>
      </c>
      <c r="G12332" s="4" t="str">
        <f>HYPERLINK("http://141.218.60.56/~jnz1568/getInfo.php?workbook=10_05.xlsx&amp;sheet=U0&amp;row=12332&amp;col=7&amp;number=0.00433&amp;sourceID=14","0.00433")</f>
        <v>0.00433</v>
      </c>
    </row>
    <row r="12333" spans="1:7">
      <c r="A12333" s="3"/>
      <c r="B12333" s="3"/>
      <c r="C12333" s="3"/>
      <c r="D12333" s="3"/>
      <c r="E12333" s="3">
        <v>10</v>
      </c>
      <c r="F12333" s="4" t="str">
        <f>HYPERLINK("http://141.218.60.56/~jnz1568/getInfo.php?workbook=10_05.xlsx&amp;sheet=U0&amp;row=12333&amp;col=6&amp;number=3.9&amp;sourceID=14","3.9")</f>
        <v>3.9</v>
      </c>
      <c r="G12333" s="4" t="str">
        <f>HYPERLINK("http://141.218.60.56/~jnz1568/getInfo.php?workbook=10_05.xlsx&amp;sheet=U0&amp;row=12333&amp;col=7&amp;number=0.00442&amp;sourceID=14","0.00442")</f>
        <v>0.00442</v>
      </c>
    </row>
    <row r="12334" spans="1:7">
      <c r="A12334" s="3"/>
      <c r="B12334" s="3"/>
      <c r="C12334" s="3"/>
      <c r="D12334" s="3"/>
      <c r="E12334" s="3">
        <v>11</v>
      </c>
      <c r="F12334" s="4" t="str">
        <f>HYPERLINK("http://141.218.60.56/~jnz1568/getInfo.php?workbook=10_05.xlsx&amp;sheet=U0&amp;row=12334&amp;col=6&amp;number=4&amp;sourceID=14","4")</f>
        <v>4</v>
      </c>
      <c r="G12334" s="4" t="str">
        <f>HYPERLINK("http://141.218.60.56/~jnz1568/getInfo.php?workbook=10_05.xlsx&amp;sheet=U0&amp;row=12334&amp;col=7&amp;number=0.00448&amp;sourceID=14","0.00448")</f>
        <v>0.00448</v>
      </c>
    </row>
    <row r="12335" spans="1:7">
      <c r="A12335" s="3"/>
      <c r="B12335" s="3"/>
      <c r="C12335" s="3"/>
      <c r="D12335" s="3"/>
      <c r="E12335" s="3">
        <v>12</v>
      </c>
      <c r="F12335" s="4" t="str">
        <f>HYPERLINK("http://141.218.60.56/~jnz1568/getInfo.php?workbook=10_05.xlsx&amp;sheet=U0&amp;row=12335&amp;col=6&amp;number=4.1&amp;sourceID=14","4.1")</f>
        <v>4.1</v>
      </c>
      <c r="G12335" s="4" t="str">
        <f>HYPERLINK("http://141.218.60.56/~jnz1568/getInfo.php?workbook=10_05.xlsx&amp;sheet=U0&amp;row=12335&amp;col=7&amp;number=0.00447&amp;sourceID=14","0.00447")</f>
        <v>0.00447</v>
      </c>
    </row>
    <row r="12336" spans="1:7">
      <c r="A12336" s="3"/>
      <c r="B12336" s="3"/>
      <c r="C12336" s="3"/>
      <c r="D12336" s="3"/>
      <c r="E12336" s="3">
        <v>13</v>
      </c>
      <c r="F12336" s="4" t="str">
        <f>HYPERLINK("http://141.218.60.56/~jnz1568/getInfo.php?workbook=10_05.xlsx&amp;sheet=U0&amp;row=12336&amp;col=6&amp;number=4.2&amp;sourceID=14","4.2")</f>
        <v>4.2</v>
      </c>
      <c r="G12336" s="4" t="str">
        <f>HYPERLINK("http://141.218.60.56/~jnz1568/getInfo.php?workbook=10_05.xlsx&amp;sheet=U0&amp;row=12336&amp;col=7&amp;number=0.00436&amp;sourceID=14","0.00436")</f>
        <v>0.00436</v>
      </c>
    </row>
    <row r="12337" spans="1:7">
      <c r="A12337" s="3"/>
      <c r="B12337" s="3"/>
      <c r="C12337" s="3"/>
      <c r="D12337" s="3"/>
      <c r="E12337" s="3">
        <v>14</v>
      </c>
      <c r="F12337" s="4" t="str">
        <f>HYPERLINK("http://141.218.60.56/~jnz1568/getInfo.php?workbook=10_05.xlsx&amp;sheet=U0&amp;row=12337&amp;col=6&amp;number=4.3&amp;sourceID=14","4.3")</f>
        <v>4.3</v>
      </c>
      <c r="G12337" s="4" t="str">
        <f>HYPERLINK("http://141.218.60.56/~jnz1568/getInfo.php?workbook=10_05.xlsx&amp;sheet=U0&amp;row=12337&amp;col=7&amp;number=0.00416&amp;sourceID=14","0.00416")</f>
        <v>0.00416</v>
      </c>
    </row>
    <row r="12338" spans="1:7">
      <c r="A12338" s="3"/>
      <c r="B12338" s="3"/>
      <c r="C12338" s="3"/>
      <c r="D12338" s="3"/>
      <c r="E12338" s="3">
        <v>15</v>
      </c>
      <c r="F12338" s="4" t="str">
        <f>HYPERLINK("http://141.218.60.56/~jnz1568/getInfo.php?workbook=10_05.xlsx&amp;sheet=U0&amp;row=12338&amp;col=6&amp;number=4.4&amp;sourceID=14","4.4")</f>
        <v>4.4</v>
      </c>
      <c r="G12338" s="4" t="str">
        <f>HYPERLINK("http://141.218.60.56/~jnz1568/getInfo.php?workbook=10_05.xlsx&amp;sheet=U0&amp;row=12338&amp;col=7&amp;number=0.00392&amp;sourceID=14","0.00392")</f>
        <v>0.00392</v>
      </c>
    </row>
    <row r="12339" spans="1:7">
      <c r="A12339" s="3"/>
      <c r="B12339" s="3"/>
      <c r="C12339" s="3"/>
      <c r="D12339" s="3"/>
      <c r="E12339" s="3">
        <v>16</v>
      </c>
      <c r="F12339" s="4" t="str">
        <f>HYPERLINK("http://141.218.60.56/~jnz1568/getInfo.php?workbook=10_05.xlsx&amp;sheet=U0&amp;row=12339&amp;col=6&amp;number=4.5&amp;sourceID=14","4.5")</f>
        <v>4.5</v>
      </c>
      <c r="G12339" s="4" t="str">
        <f>HYPERLINK("http://141.218.60.56/~jnz1568/getInfo.php?workbook=10_05.xlsx&amp;sheet=U0&amp;row=12339&amp;col=7&amp;number=0.00368&amp;sourceID=14","0.00368")</f>
        <v>0.00368</v>
      </c>
    </row>
    <row r="12340" spans="1:7">
      <c r="A12340" s="3"/>
      <c r="B12340" s="3"/>
      <c r="C12340" s="3"/>
      <c r="D12340" s="3"/>
      <c r="E12340" s="3">
        <v>17</v>
      </c>
      <c r="F12340" s="4" t="str">
        <f>HYPERLINK("http://141.218.60.56/~jnz1568/getInfo.php?workbook=10_05.xlsx&amp;sheet=U0&amp;row=12340&amp;col=6&amp;number=4.6&amp;sourceID=14","4.6")</f>
        <v>4.6</v>
      </c>
      <c r="G12340" s="4" t="str">
        <f>HYPERLINK("http://141.218.60.56/~jnz1568/getInfo.php?workbook=10_05.xlsx&amp;sheet=U0&amp;row=12340&amp;col=7&amp;number=0.00342&amp;sourceID=14","0.00342")</f>
        <v>0.00342</v>
      </c>
    </row>
    <row r="12341" spans="1:7">
      <c r="A12341" s="3"/>
      <c r="B12341" s="3"/>
      <c r="C12341" s="3"/>
      <c r="D12341" s="3"/>
      <c r="E12341" s="3">
        <v>18</v>
      </c>
      <c r="F12341" s="4" t="str">
        <f>HYPERLINK("http://141.218.60.56/~jnz1568/getInfo.php?workbook=10_05.xlsx&amp;sheet=U0&amp;row=12341&amp;col=6&amp;number=4.7&amp;sourceID=14","4.7")</f>
        <v>4.7</v>
      </c>
      <c r="G12341" s="4" t="str">
        <f>HYPERLINK("http://141.218.60.56/~jnz1568/getInfo.php?workbook=10_05.xlsx&amp;sheet=U0&amp;row=12341&amp;col=7&amp;number=0.00312&amp;sourceID=14","0.00312")</f>
        <v>0.00312</v>
      </c>
    </row>
    <row r="12342" spans="1:7">
      <c r="A12342" s="3"/>
      <c r="B12342" s="3"/>
      <c r="C12342" s="3"/>
      <c r="D12342" s="3"/>
      <c r="E12342" s="3">
        <v>19</v>
      </c>
      <c r="F12342" s="4" t="str">
        <f>HYPERLINK("http://141.218.60.56/~jnz1568/getInfo.php?workbook=10_05.xlsx&amp;sheet=U0&amp;row=12342&amp;col=6&amp;number=4.8&amp;sourceID=14","4.8")</f>
        <v>4.8</v>
      </c>
      <c r="G12342" s="4" t="str">
        <f>HYPERLINK("http://141.218.60.56/~jnz1568/getInfo.php?workbook=10_05.xlsx&amp;sheet=U0&amp;row=12342&amp;col=7&amp;number=0.00278&amp;sourceID=14","0.00278")</f>
        <v>0.00278</v>
      </c>
    </row>
    <row r="12343" spans="1:7">
      <c r="A12343" s="3"/>
      <c r="B12343" s="3"/>
      <c r="C12343" s="3"/>
      <c r="D12343" s="3"/>
      <c r="E12343" s="3">
        <v>20</v>
      </c>
      <c r="F12343" s="4" t="str">
        <f>HYPERLINK("http://141.218.60.56/~jnz1568/getInfo.php?workbook=10_05.xlsx&amp;sheet=U0&amp;row=12343&amp;col=6&amp;number=4.9&amp;sourceID=14","4.9")</f>
        <v>4.9</v>
      </c>
      <c r="G12343" s="4" t="str">
        <f>HYPERLINK("http://141.218.60.56/~jnz1568/getInfo.php?workbook=10_05.xlsx&amp;sheet=U0&amp;row=12343&amp;col=7&amp;number=0.00246&amp;sourceID=14","0.00246")</f>
        <v>0.00246</v>
      </c>
    </row>
    <row r="12344" spans="1:7">
      <c r="A12344" s="3">
        <v>10</v>
      </c>
      <c r="B12344" s="3">
        <v>5</v>
      </c>
      <c r="C12344" s="3">
        <v>4</v>
      </c>
      <c r="D12344" s="3">
        <v>88</v>
      </c>
      <c r="E12344" s="3">
        <v>1</v>
      </c>
      <c r="F12344" s="4" t="str">
        <f>HYPERLINK("http://141.218.60.56/~jnz1568/getInfo.php?workbook=10_05.xlsx&amp;sheet=U0&amp;row=12344&amp;col=6&amp;number=3&amp;sourceID=14","3")</f>
        <v>3</v>
      </c>
      <c r="G12344" s="4" t="str">
        <f>HYPERLINK("http://141.218.60.56/~jnz1568/getInfo.php?workbook=10_05.xlsx&amp;sheet=U0&amp;row=12344&amp;col=7&amp;number=0.0319&amp;sourceID=14","0.0319")</f>
        <v>0.0319</v>
      </c>
    </row>
    <row r="12345" spans="1:7">
      <c r="A12345" s="3"/>
      <c r="B12345" s="3"/>
      <c r="C12345" s="3"/>
      <c r="D12345" s="3"/>
      <c r="E12345" s="3">
        <v>2</v>
      </c>
      <c r="F12345" s="4" t="str">
        <f>HYPERLINK("http://141.218.60.56/~jnz1568/getInfo.php?workbook=10_05.xlsx&amp;sheet=U0&amp;row=12345&amp;col=6&amp;number=3.1&amp;sourceID=14","3.1")</f>
        <v>3.1</v>
      </c>
      <c r="G12345" s="4" t="str">
        <f>HYPERLINK("http://141.218.60.56/~jnz1568/getInfo.php?workbook=10_05.xlsx&amp;sheet=U0&amp;row=12345&amp;col=7&amp;number=0.0319&amp;sourceID=14","0.0319")</f>
        <v>0.0319</v>
      </c>
    </row>
    <row r="12346" spans="1:7">
      <c r="A12346" s="3"/>
      <c r="B12346" s="3"/>
      <c r="C12346" s="3"/>
      <c r="D12346" s="3"/>
      <c r="E12346" s="3">
        <v>3</v>
      </c>
      <c r="F12346" s="4" t="str">
        <f>HYPERLINK("http://141.218.60.56/~jnz1568/getInfo.php?workbook=10_05.xlsx&amp;sheet=U0&amp;row=12346&amp;col=6&amp;number=3.2&amp;sourceID=14","3.2")</f>
        <v>3.2</v>
      </c>
      <c r="G12346" s="4" t="str">
        <f>HYPERLINK("http://141.218.60.56/~jnz1568/getInfo.php?workbook=10_05.xlsx&amp;sheet=U0&amp;row=12346&amp;col=7&amp;number=0.0318&amp;sourceID=14","0.0318")</f>
        <v>0.0318</v>
      </c>
    </row>
    <row r="12347" spans="1:7">
      <c r="A12347" s="3"/>
      <c r="B12347" s="3"/>
      <c r="C12347" s="3"/>
      <c r="D12347" s="3"/>
      <c r="E12347" s="3">
        <v>4</v>
      </c>
      <c r="F12347" s="4" t="str">
        <f>HYPERLINK("http://141.218.60.56/~jnz1568/getInfo.php?workbook=10_05.xlsx&amp;sheet=U0&amp;row=12347&amp;col=6&amp;number=3.3&amp;sourceID=14","3.3")</f>
        <v>3.3</v>
      </c>
      <c r="G12347" s="4" t="str">
        <f>HYPERLINK("http://141.218.60.56/~jnz1568/getInfo.php?workbook=10_05.xlsx&amp;sheet=U0&amp;row=12347&amp;col=7&amp;number=0.0317&amp;sourceID=14","0.0317")</f>
        <v>0.0317</v>
      </c>
    </row>
    <row r="12348" spans="1:7">
      <c r="A12348" s="3"/>
      <c r="B12348" s="3"/>
      <c r="C12348" s="3"/>
      <c r="D12348" s="3"/>
      <c r="E12348" s="3">
        <v>5</v>
      </c>
      <c r="F12348" s="4" t="str">
        <f>HYPERLINK("http://141.218.60.56/~jnz1568/getInfo.php?workbook=10_05.xlsx&amp;sheet=U0&amp;row=12348&amp;col=6&amp;number=3.4&amp;sourceID=14","3.4")</f>
        <v>3.4</v>
      </c>
      <c r="G12348" s="4" t="str">
        <f>HYPERLINK("http://141.218.60.56/~jnz1568/getInfo.php?workbook=10_05.xlsx&amp;sheet=U0&amp;row=12348&amp;col=7&amp;number=0.0316&amp;sourceID=14","0.0316")</f>
        <v>0.0316</v>
      </c>
    </row>
    <row r="12349" spans="1:7">
      <c r="A12349" s="3"/>
      <c r="B12349" s="3"/>
      <c r="C12349" s="3"/>
      <c r="D12349" s="3"/>
      <c r="E12349" s="3">
        <v>6</v>
      </c>
      <c r="F12349" s="4" t="str">
        <f>HYPERLINK("http://141.218.60.56/~jnz1568/getInfo.php?workbook=10_05.xlsx&amp;sheet=U0&amp;row=12349&amp;col=6&amp;number=3.5&amp;sourceID=14","3.5")</f>
        <v>3.5</v>
      </c>
      <c r="G12349" s="4" t="str">
        <f>HYPERLINK("http://141.218.60.56/~jnz1568/getInfo.php?workbook=10_05.xlsx&amp;sheet=U0&amp;row=12349&amp;col=7&amp;number=0.0315&amp;sourceID=14","0.0315")</f>
        <v>0.0315</v>
      </c>
    </row>
    <row r="12350" spans="1:7">
      <c r="A12350" s="3"/>
      <c r="B12350" s="3"/>
      <c r="C12350" s="3"/>
      <c r="D12350" s="3"/>
      <c r="E12350" s="3">
        <v>7</v>
      </c>
      <c r="F12350" s="4" t="str">
        <f>HYPERLINK("http://141.218.60.56/~jnz1568/getInfo.php?workbook=10_05.xlsx&amp;sheet=U0&amp;row=12350&amp;col=6&amp;number=3.6&amp;sourceID=14","3.6")</f>
        <v>3.6</v>
      </c>
      <c r="G12350" s="4" t="str">
        <f>HYPERLINK("http://141.218.60.56/~jnz1568/getInfo.php?workbook=10_05.xlsx&amp;sheet=U0&amp;row=12350&amp;col=7&amp;number=0.0313&amp;sourceID=14","0.0313")</f>
        <v>0.0313</v>
      </c>
    </row>
    <row r="12351" spans="1:7">
      <c r="A12351" s="3"/>
      <c r="B12351" s="3"/>
      <c r="C12351" s="3"/>
      <c r="D12351" s="3"/>
      <c r="E12351" s="3">
        <v>8</v>
      </c>
      <c r="F12351" s="4" t="str">
        <f>HYPERLINK("http://141.218.60.56/~jnz1568/getInfo.php?workbook=10_05.xlsx&amp;sheet=U0&amp;row=12351&amp;col=6&amp;number=3.7&amp;sourceID=14","3.7")</f>
        <v>3.7</v>
      </c>
      <c r="G12351" s="4" t="str">
        <f>HYPERLINK("http://141.218.60.56/~jnz1568/getInfo.php?workbook=10_05.xlsx&amp;sheet=U0&amp;row=12351&amp;col=7&amp;number=0.0311&amp;sourceID=14","0.0311")</f>
        <v>0.0311</v>
      </c>
    </row>
    <row r="12352" spans="1:7">
      <c r="A12352" s="3"/>
      <c r="B12352" s="3"/>
      <c r="C12352" s="3"/>
      <c r="D12352" s="3"/>
      <c r="E12352" s="3">
        <v>9</v>
      </c>
      <c r="F12352" s="4" t="str">
        <f>HYPERLINK("http://141.218.60.56/~jnz1568/getInfo.php?workbook=10_05.xlsx&amp;sheet=U0&amp;row=12352&amp;col=6&amp;number=3.8&amp;sourceID=14","3.8")</f>
        <v>3.8</v>
      </c>
      <c r="G12352" s="4" t="str">
        <f>HYPERLINK("http://141.218.60.56/~jnz1568/getInfo.php?workbook=10_05.xlsx&amp;sheet=U0&amp;row=12352&amp;col=7&amp;number=0.0309&amp;sourceID=14","0.0309")</f>
        <v>0.0309</v>
      </c>
    </row>
    <row r="12353" spans="1:7">
      <c r="A12353" s="3"/>
      <c r="B12353" s="3"/>
      <c r="C12353" s="3"/>
      <c r="D12353" s="3"/>
      <c r="E12353" s="3">
        <v>10</v>
      </c>
      <c r="F12353" s="4" t="str">
        <f>HYPERLINK("http://141.218.60.56/~jnz1568/getInfo.php?workbook=10_05.xlsx&amp;sheet=U0&amp;row=12353&amp;col=6&amp;number=3.9&amp;sourceID=14","3.9")</f>
        <v>3.9</v>
      </c>
      <c r="G12353" s="4" t="str">
        <f>HYPERLINK("http://141.218.60.56/~jnz1568/getInfo.php?workbook=10_05.xlsx&amp;sheet=U0&amp;row=12353&amp;col=7&amp;number=0.0306&amp;sourceID=14","0.0306")</f>
        <v>0.0306</v>
      </c>
    </row>
    <row r="12354" spans="1:7">
      <c r="A12354" s="3"/>
      <c r="B12354" s="3"/>
      <c r="C12354" s="3"/>
      <c r="D12354" s="3"/>
      <c r="E12354" s="3">
        <v>11</v>
      </c>
      <c r="F12354" s="4" t="str">
        <f>HYPERLINK("http://141.218.60.56/~jnz1568/getInfo.php?workbook=10_05.xlsx&amp;sheet=U0&amp;row=12354&amp;col=6&amp;number=4&amp;sourceID=14","4")</f>
        <v>4</v>
      </c>
      <c r="G12354" s="4" t="str">
        <f>HYPERLINK("http://141.218.60.56/~jnz1568/getInfo.php?workbook=10_05.xlsx&amp;sheet=U0&amp;row=12354&amp;col=7&amp;number=0.0302&amp;sourceID=14","0.0302")</f>
        <v>0.0302</v>
      </c>
    </row>
    <row r="12355" spans="1:7">
      <c r="A12355" s="3"/>
      <c r="B12355" s="3"/>
      <c r="C12355" s="3"/>
      <c r="D12355" s="3"/>
      <c r="E12355" s="3">
        <v>12</v>
      </c>
      <c r="F12355" s="4" t="str">
        <f>HYPERLINK("http://141.218.60.56/~jnz1568/getInfo.php?workbook=10_05.xlsx&amp;sheet=U0&amp;row=12355&amp;col=6&amp;number=4.1&amp;sourceID=14","4.1")</f>
        <v>4.1</v>
      </c>
      <c r="G12355" s="4" t="str">
        <f>HYPERLINK("http://141.218.60.56/~jnz1568/getInfo.php?workbook=10_05.xlsx&amp;sheet=U0&amp;row=12355&amp;col=7&amp;number=0.0297&amp;sourceID=14","0.0297")</f>
        <v>0.0297</v>
      </c>
    </row>
    <row r="12356" spans="1:7">
      <c r="A12356" s="3"/>
      <c r="B12356" s="3"/>
      <c r="C12356" s="3"/>
      <c r="D12356" s="3"/>
      <c r="E12356" s="3">
        <v>13</v>
      </c>
      <c r="F12356" s="4" t="str">
        <f>HYPERLINK("http://141.218.60.56/~jnz1568/getInfo.php?workbook=10_05.xlsx&amp;sheet=U0&amp;row=12356&amp;col=6&amp;number=4.2&amp;sourceID=14","4.2")</f>
        <v>4.2</v>
      </c>
      <c r="G12356" s="4" t="str">
        <f>HYPERLINK("http://141.218.60.56/~jnz1568/getInfo.php?workbook=10_05.xlsx&amp;sheet=U0&amp;row=12356&amp;col=7&amp;number=0.0291&amp;sourceID=14","0.0291")</f>
        <v>0.0291</v>
      </c>
    </row>
    <row r="12357" spans="1:7">
      <c r="A12357" s="3"/>
      <c r="B12357" s="3"/>
      <c r="C12357" s="3"/>
      <c r="D12357" s="3"/>
      <c r="E12357" s="3">
        <v>14</v>
      </c>
      <c r="F12357" s="4" t="str">
        <f>HYPERLINK("http://141.218.60.56/~jnz1568/getInfo.php?workbook=10_05.xlsx&amp;sheet=U0&amp;row=12357&amp;col=6&amp;number=4.3&amp;sourceID=14","4.3")</f>
        <v>4.3</v>
      </c>
      <c r="G12357" s="4" t="str">
        <f>HYPERLINK("http://141.218.60.56/~jnz1568/getInfo.php?workbook=10_05.xlsx&amp;sheet=U0&amp;row=12357&amp;col=7&amp;number=0.0283&amp;sourceID=14","0.0283")</f>
        <v>0.0283</v>
      </c>
    </row>
    <row r="12358" spans="1:7">
      <c r="A12358" s="3"/>
      <c r="B12358" s="3"/>
      <c r="C12358" s="3"/>
      <c r="D12358" s="3"/>
      <c r="E12358" s="3">
        <v>15</v>
      </c>
      <c r="F12358" s="4" t="str">
        <f>HYPERLINK("http://141.218.60.56/~jnz1568/getInfo.php?workbook=10_05.xlsx&amp;sheet=U0&amp;row=12358&amp;col=6&amp;number=4.4&amp;sourceID=14","4.4")</f>
        <v>4.4</v>
      </c>
      <c r="G12358" s="4" t="str">
        <f>HYPERLINK("http://141.218.60.56/~jnz1568/getInfo.php?workbook=10_05.xlsx&amp;sheet=U0&amp;row=12358&amp;col=7&amp;number=0.0274&amp;sourceID=14","0.0274")</f>
        <v>0.0274</v>
      </c>
    </row>
    <row r="12359" spans="1:7">
      <c r="A12359" s="3"/>
      <c r="B12359" s="3"/>
      <c r="C12359" s="3"/>
      <c r="D12359" s="3"/>
      <c r="E12359" s="3">
        <v>16</v>
      </c>
      <c r="F12359" s="4" t="str">
        <f>HYPERLINK("http://141.218.60.56/~jnz1568/getInfo.php?workbook=10_05.xlsx&amp;sheet=U0&amp;row=12359&amp;col=6&amp;number=4.5&amp;sourceID=14","4.5")</f>
        <v>4.5</v>
      </c>
      <c r="G12359" s="4" t="str">
        <f>HYPERLINK("http://141.218.60.56/~jnz1568/getInfo.php?workbook=10_05.xlsx&amp;sheet=U0&amp;row=12359&amp;col=7&amp;number=0.0264&amp;sourceID=14","0.0264")</f>
        <v>0.0264</v>
      </c>
    </row>
    <row r="12360" spans="1:7">
      <c r="A12360" s="3"/>
      <c r="B12360" s="3"/>
      <c r="C12360" s="3"/>
      <c r="D12360" s="3"/>
      <c r="E12360" s="3">
        <v>17</v>
      </c>
      <c r="F12360" s="4" t="str">
        <f>HYPERLINK("http://141.218.60.56/~jnz1568/getInfo.php?workbook=10_05.xlsx&amp;sheet=U0&amp;row=12360&amp;col=6&amp;number=4.6&amp;sourceID=14","4.6")</f>
        <v>4.6</v>
      </c>
      <c r="G12360" s="4" t="str">
        <f>HYPERLINK("http://141.218.60.56/~jnz1568/getInfo.php?workbook=10_05.xlsx&amp;sheet=U0&amp;row=12360&amp;col=7&amp;number=0.0251&amp;sourceID=14","0.0251")</f>
        <v>0.0251</v>
      </c>
    </row>
    <row r="12361" spans="1:7">
      <c r="A12361" s="3"/>
      <c r="B12361" s="3"/>
      <c r="C12361" s="3"/>
      <c r="D12361" s="3"/>
      <c r="E12361" s="3">
        <v>18</v>
      </c>
      <c r="F12361" s="4" t="str">
        <f>HYPERLINK("http://141.218.60.56/~jnz1568/getInfo.php?workbook=10_05.xlsx&amp;sheet=U0&amp;row=12361&amp;col=6&amp;number=4.7&amp;sourceID=14","4.7")</f>
        <v>4.7</v>
      </c>
      <c r="G12361" s="4" t="str">
        <f>HYPERLINK("http://141.218.60.56/~jnz1568/getInfo.php?workbook=10_05.xlsx&amp;sheet=U0&amp;row=12361&amp;col=7&amp;number=0.0236&amp;sourceID=14","0.0236")</f>
        <v>0.0236</v>
      </c>
    </row>
    <row r="12362" spans="1:7">
      <c r="A12362" s="3"/>
      <c r="B12362" s="3"/>
      <c r="C12362" s="3"/>
      <c r="D12362" s="3"/>
      <c r="E12362" s="3">
        <v>19</v>
      </c>
      <c r="F12362" s="4" t="str">
        <f>HYPERLINK("http://141.218.60.56/~jnz1568/getInfo.php?workbook=10_05.xlsx&amp;sheet=U0&amp;row=12362&amp;col=6&amp;number=4.8&amp;sourceID=14","4.8")</f>
        <v>4.8</v>
      </c>
      <c r="G12362" s="4" t="str">
        <f>HYPERLINK("http://141.218.60.56/~jnz1568/getInfo.php?workbook=10_05.xlsx&amp;sheet=U0&amp;row=12362&amp;col=7&amp;number=0.022&amp;sourceID=14","0.022")</f>
        <v>0.022</v>
      </c>
    </row>
    <row r="12363" spans="1:7">
      <c r="A12363" s="3"/>
      <c r="B12363" s="3"/>
      <c r="C12363" s="3"/>
      <c r="D12363" s="3"/>
      <c r="E12363" s="3">
        <v>20</v>
      </c>
      <c r="F12363" s="4" t="str">
        <f>HYPERLINK("http://141.218.60.56/~jnz1568/getInfo.php?workbook=10_05.xlsx&amp;sheet=U0&amp;row=12363&amp;col=6&amp;number=4.9&amp;sourceID=14","4.9")</f>
        <v>4.9</v>
      </c>
      <c r="G12363" s="4" t="str">
        <f>HYPERLINK("http://141.218.60.56/~jnz1568/getInfo.php?workbook=10_05.xlsx&amp;sheet=U0&amp;row=12363&amp;col=7&amp;number=0.0202&amp;sourceID=14","0.0202")</f>
        <v>0.0202</v>
      </c>
    </row>
    <row r="12364" spans="1:7">
      <c r="A12364" s="3">
        <v>10</v>
      </c>
      <c r="B12364" s="3">
        <v>5</v>
      </c>
      <c r="C12364" s="3">
        <v>4</v>
      </c>
      <c r="D12364" s="3">
        <v>89</v>
      </c>
      <c r="E12364" s="3">
        <v>1</v>
      </c>
      <c r="F12364" s="4" t="str">
        <f>HYPERLINK("http://141.218.60.56/~jnz1568/getInfo.php?workbook=10_05.xlsx&amp;sheet=U0&amp;row=12364&amp;col=6&amp;number=3&amp;sourceID=14","3")</f>
        <v>3</v>
      </c>
      <c r="G12364" s="4" t="str">
        <f>HYPERLINK("http://141.218.60.56/~jnz1568/getInfo.php?workbook=10_05.xlsx&amp;sheet=U0&amp;row=12364&amp;col=7&amp;number=0.0391&amp;sourceID=14","0.0391")</f>
        <v>0.0391</v>
      </c>
    </row>
    <row r="12365" spans="1:7">
      <c r="A12365" s="3"/>
      <c r="B12365" s="3"/>
      <c r="C12365" s="3"/>
      <c r="D12365" s="3"/>
      <c r="E12365" s="3">
        <v>2</v>
      </c>
      <c r="F12365" s="4" t="str">
        <f>HYPERLINK("http://141.218.60.56/~jnz1568/getInfo.php?workbook=10_05.xlsx&amp;sheet=U0&amp;row=12365&amp;col=6&amp;number=3.1&amp;sourceID=14","3.1")</f>
        <v>3.1</v>
      </c>
      <c r="G12365" s="4" t="str">
        <f>HYPERLINK("http://141.218.60.56/~jnz1568/getInfo.php?workbook=10_05.xlsx&amp;sheet=U0&amp;row=12365&amp;col=7&amp;number=0.039&amp;sourceID=14","0.039")</f>
        <v>0.039</v>
      </c>
    </row>
    <row r="12366" spans="1:7">
      <c r="A12366" s="3"/>
      <c r="B12366" s="3"/>
      <c r="C12366" s="3"/>
      <c r="D12366" s="3"/>
      <c r="E12366" s="3">
        <v>3</v>
      </c>
      <c r="F12366" s="4" t="str">
        <f>HYPERLINK("http://141.218.60.56/~jnz1568/getInfo.php?workbook=10_05.xlsx&amp;sheet=U0&amp;row=12366&amp;col=6&amp;number=3.2&amp;sourceID=14","3.2")</f>
        <v>3.2</v>
      </c>
      <c r="G12366" s="4" t="str">
        <f>HYPERLINK("http://141.218.60.56/~jnz1568/getInfo.php?workbook=10_05.xlsx&amp;sheet=U0&amp;row=12366&amp;col=7&amp;number=0.0389&amp;sourceID=14","0.0389")</f>
        <v>0.0389</v>
      </c>
    </row>
    <row r="12367" spans="1:7">
      <c r="A12367" s="3"/>
      <c r="B12367" s="3"/>
      <c r="C12367" s="3"/>
      <c r="D12367" s="3"/>
      <c r="E12367" s="3">
        <v>4</v>
      </c>
      <c r="F12367" s="4" t="str">
        <f>HYPERLINK("http://141.218.60.56/~jnz1568/getInfo.php?workbook=10_05.xlsx&amp;sheet=U0&amp;row=12367&amp;col=6&amp;number=3.3&amp;sourceID=14","3.3")</f>
        <v>3.3</v>
      </c>
      <c r="G12367" s="4" t="str">
        <f>HYPERLINK("http://141.218.60.56/~jnz1568/getInfo.php?workbook=10_05.xlsx&amp;sheet=U0&amp;row=12367&amp;col=7&amp;number=0.0388&amp;sourceID=14","0.0388")</f>
        <v>0.0388</v>
      </c>
    </row>
    <row r="12368" spans="1:7">
      <c r="A12368" s="3"/>
      <c r="B12368" s="3"/>
      <c r="C12368" s="3"/>
      <c r="D12368" s="3"/>
      <c r="E12368" s="3">
        <v>5</v>
      </c>
      <c r="F12368" s="4" t="str">
        <f>HYPERLINK("http://141.218.60.56/~jnz1568/getInfo.php?workbook=10_05.xlsx&amp;sheet=U0&amp;row=12368&amp;col=6&amp;number=3.4&amp;sourceID=14","3.4")</f>
        <v>3.4</v>
      </c>
      <c r="G12368" s="4" t="str">
        <f>HYPERLINK("http://141.218.60.56/~jnz1568/getInfo.php?workbook=10_05.xlsx&amp;sheet=U0&amp;row=12368&amp;col=7&amp;number=0.0386&amp;sourceID=14","0.0386")</f>
        <v>0.0386</v>
      </c>
    </row>
    <row r="12369" spans="1:7">
      <c r="A12369" s="3"/>
      <c r="B12369" s="3"/>
      <c r="C12369" s="3"/>
      <c r="D12369" s="3"/>
      <c r="E12369" s="3">
        <v>6</v>
      </c>
      <c r="F12369" s="4" t="str">
        <f>HYPERLINK("http://141.218.60.56/~jnz1568/getInfo.php?workbook=10_05.xlsx&amp;sheet=U0&amp;row=12369&amp;col=6&amp;number=3.5&amp;sourceID=14","3.5")</f>
        <v>3.5</v>
      </c>
      <c r="G12369" s="4" t="str">
        <f>HYPERLINK("http://141.218.60.56/~jnz1568/getInfo.php?workbook=10_05.xlsx&amp;sheet=U0&amp;row=12369&amp;col=7&amp;number=0.0384&amp;sourceID=14","0.0384")</f>
        <v>0.0384</v>
      </c>
    </row>
    <row r="12370" spans="1:7">
      <c r="A12370" s="3"/>
      <c r="B12370" s="3"/>
      <c r="C12370" s="3"/>
      <c r="D12370" s="3"/>
      <c r="E12370" s="3">
        <v>7</v>
      </c>
      <c r="F12370" s="4" t="str">
        <f>HYPERLINK("http://141.218.60.56/~jnz1568/getInfo.php?workbook=10_05.xlsx&amp;sheet=U0&amp;row=12370&amp;col=6&amp;number=3.6&amp;sourceID=14","3.6")</f>
        <v>3.6</v>
      </c>
      <c r="G12370" s="4" t="str">
        <f>HYPERLINK("http://141.218.60.56/~jnz1568/getInfo.php?workbook=10_05.xlsx&amp;sheet=U0&amp;row=12370&amp;col=7&amp;number=0.0381&amp;sourceID=14","0.0381")</f>
        <v>0.0381</v>
      </c>
    </row>
    <row r="12371" spans="1:7">
      <c r="A12371" s="3"/>
      <c r="B12371" s="3"/>
      <c r="C12371" s="3"/>
      <c r="D12371" s="3"/>
      <c r="E12371" s="3">
        <v>8</v>
      </c>
      <c r="F12371" s="4" t="str">
        <f>HYPERLINK("http://141.218.60.56/~jnz1568/getInfo.php?workbook=10_05.xlsx&amp;sheet=U0&amp;row=12371&amp;col=6&amp;number=3.7&amp;sourceID=14","3.7")</f>
        <v>3.7</v>
      </c>
      <c r="G12371" s="4" t="str">
        <f>HYPERLINK("http://141.218.60.56/~jnz1568/getInfo.php?workbook=10_05.xlsx&amp;sheet=U0&amp;row=12371&amp;col=7&amp;number=0.0378&amp;sourceID=14","0.0378")</f>
        <v>0.0378</v>
      </c>
    </row>
    <row r="12372" spans="1:7">
      <c r="A12372" s="3"/>
      <c r="B12372" s="3"/>
      <c r="C12372" s="3"/>
      <c r="D12372" s="3"/>
      <c r="E12372" s="3">
        <v>9</v>
      </c>
      <c r="F12372" s="4" t="str">
        <f>HYPERLINK("http://141.218.60.56/~jnz1568/getInfo.php?workbook=10_05.xlsx&amp;sheet=U0&amp;row=12372&amp;col=6&amp;number=3.8&amp;sourceID=14","3.8")</f>
        <v>3.8</v>
      </c>
      <c r="G12372" s="4" t="str">
        <f>HYPERLINK("http://141.218.60.56/~jnz1568/getInfo.php?workbook=10_05.xlsx&amp;sheet=U0&amp;row=12372&amp;col=7&amp;number=0.0374&amp;sourceID=14","0.0374")</f>
        <v>0.0374</v>
      </c>
    </row>
    <row r="12373" spans="1:7">
      <c r="A12373" s="3"/>
      <c r="B12373" s="3"/>
      <c r="C12373" s="3"/>
      <c r="D12373" s="3"/>
      <c r="E12373" s="3">
        <v>10</v>
      </c>
      <c r="F12373" s="4" t="str">
        <f>HYPERLINK("http://141.218.60.56/~jnz1568/getInfo.php?workbook=10_05.xlsx&amp;sheet=U0&amp;row=12373&amp;col=6&amp;number=3.9&amp;sourceID=14","3.9")</f>
        <v>3.9</v>
      </c>
      <c r="G12373" s="4" t="str">
        <f>HYPERLINK("http://141.218.60.56/~jnz1568/getInfo.php?workbook=10_05.xlsx&amp;sheet=U0&amp;row=12373&amp;col=7&amp;number=0.0369&amp;sourceID=14","0.0369")</f>
        <v>0.0369</v>
      </c>
    </row>
    <row r="12374" spans="1:7">
      <c r="A12374" s="3"/>
      <c r="B12374" s="3"/>
      <c r="C12374" s="3"/>
      <c r="D12374" s="3"/>
      <c r="E12374" s="3">
        <v>11</v>
      </c>
      <c r="F12374" s="4" t="str">
        <f>HYPERLINK("http://141.218.60.56/~jnz1568/getInfo.php?workbook=10_05.xlsx&amp;sheet=U0&amp;row=12374&amp;col=6&amp;number=4&amp;sourceID=14","4")</f>
        <v>4</v>
      </c>
      <c r="G12374" s="4" t="str">
        <f>HYPERLINK("http://141.218.60.56/~jnz1568/getInfo.php?workbook=10_05.xlsx&amp;sheet=U0&amp;row=12374&amp;col=7&amp;number=0.0362&amp;sourceID=14","0.0362")</f>
        <v>0.0362</v>
      </c>
    </row>
    <row r="12375" spans="1:7">
      <c r="A12375" s="3"/>
      <c r="B12375" s="3"/>
      <c r="C12375" s="3"/>
      <c r="D12375" s="3"/>
      <c r="E12375" s="3">
        <v>12</v>
      </c>
      <c r="F12375" s="4" t="str">
        <f>HYPERLINK("http://141.218.60.56/~jnz1568/getInfo.php?workbook=10_05.xlsx&amp;sheet=U0&amp;row=12375&amp;col=6&amp;number=4.1&amp;sourceID=14","4.1")</f>
        <v>4.1</v>
      </c>
      <c r="G12375" s="4" t="str">
        <f>HYPERLINK("http://141.218.60.56/~jnz1568/getInfo.php?workbook=10_05.xlsx&amp;sheet=U0&amp;row=12375&amp;col=7&amp;number=0.0355&amp;sourceID=14","0.0355")</f>
        <v>0.0355</v>
      </c>
    </row>
    <row r="12376" spans="1:7">
      <c r="A12376" s="3"/>
      <c r="B12376" s="3"/>
      <c r="C12376" s="3"/>
      <c r="D12376" s="3"/>
      <c r="E12376" s="3">
        <v>13</v>
      </c>
      <c r="F12376" s="4" t="str">
        <f>HYPERLINK("http://141.218.60.56/~jnz1568/getInfo.php?workbook=10_05.xlsx&amp;sheet=U0&amp;row=12376&amp;col=6&amp;number=4.2&amp;sourceID=14","4.2")</f>
        <v>4.2</v>
      </c>
      <c r="G12376" s="4" t="str">
        <f>HYPERLINK("http://141.218.60.56/~jnz1568/getInfo.php?workbook=10_05.xlsx&amp;sheet=U0&amp;row=12376&amp;col=7&amp;number=0.0345&amp;sourceID=14","0.0345")</f>
        <v>0.0345</v>
      </c>
    </row>
    <row r="12377" spans="1:7">
      <c r="A12377" s="3"/>
      <c r="B12377" s="3"/>
      <c r="C12377" s="3"/>
      <c r="D12377" s="3"/>
      <c r="E12377" s="3">
        <v>14</v>
      </c>
      <c r="F12377" s="4" t="str">
        <f>HYPERLINK("http://141.218.60.56/~jnz1568/getInfo.php?workbook=10_05.xlsx&amp;sheet=U0&amp;row=12377&amp;col=6&amp;number=4.3&amp;sourceID=14","4.3")</f>
        <v>4.3</v>
      </c>
      <c r="G12377" s="4" t="str">
        <f>HYPERLINK("http://141.218.60.56/~jnz1568/getInfo.php?workbook=10_05.xlsx&amp;sheet=U0&amp;row=12377&amp;col=7&amp;number=0.0333&amp;sourceID=14","0.0333")</f>
        <v>0.0333</v>
      </c>
    </row>
    <row r="12378" spans="1:7">
      <c r="A12378" s="3"/>
      <c r="B12378" s="3"/>
      <c r="C12378" s="3"/>
      <c r="D12378" s="3"/>
      <c r="E12378" s="3">
        <v>15</v>
      </c>
      <c r="F12378" s="4" t="str">
        <f>HYPERLINK("http://141.218.60.56/~jnz1568/getInfo.php?workbook=10_05.xlsx&amp;sheet=U0&amp;row=12378&amp;col=6&amp;number=4.4&amp;sourceID=14","4.4")</f>
        <v>4.4</v>
      </c>
      <c r="G12378" s="4" t="str">
        <f>HYPERLINK("http://141.218.60.56/~jnz1568/getInfo.php?workbook=10_05.xlsx&amp;sheet=U0&amp;row=12378&amp;col=7&amp;number=0.0319&amp;sourceID=14","0.0319")</f>
        <v>0.0319</v>
      </c>
    </row>
    <row r="12379" spans="1:7">
      <c r="A12379" s="3"/>
      <c r="B12379" s="3"/>
      <c r="C12379" s="3"/>
      <c r="D12379" s="3"/>
      <c r="E12379" s="3">
        <v>16</v>
      </c>
      <c r="F12379" s="4" t="str">
        <f>HYPERLINK("http://141.218.60.56/~jnz1568/getInfo.php?workbook=10_05.xlsx&amp;sheet=U0&amp;row=12379&amp;col=6&amp;number=4.5&amp;sourceID=14","4.5")</f>
        <v>4.5</v>
      </c>
      <c r="G12379" s="4" t="str">
        <f>HYPERLINK("http://141.218.60.56/~jnz1568/getInfo.php?workbook=10_05.xlsx&amp;sheet=U0&amp;row=12379&amp;col=7&amp;number=0.0303&amp;sourceID=14","0.0303")</f>
        <v>0.0303</v>
      </c>
    </row>
    <row r="12380" spans="1:7">
      <c r="A12380" s="3"/>
      <c r="B12380" s="3"/>
      <c r="C12380" s="3"/>
      <c r="D12380" s="3"/>
      <c r="E12380" s="3">
        <v>17</v>
      </c>
      <c r="F12380" s="4" t="str">
        <f>HYPERLINK("http://141.218.60.56/~jnz1568/getInfo.php?workbook=10_05.xlsx&amp;sheet=U0&amp;row=12380&amp;col=6&amp;number=4.6&amp;sourceID=14","4.6")</f>
        <v>4.6</v>
      </c>
      <c r="G12380" s="4" t="str">
        <f>HYPERLINK("http://141.218.60.56/~jnz1568/getInfo.php?workbook=10_05.xlsx&amp;sheet=U0&amp;row=12380&amp;col=7&amp;number=0.0283&amp;sourceID=14","0.0283")</f>
        <v>0.0283</v>
      </c>
    </row>
    <row r="12381" spans="1:7">
      <c r="A12381" s="3"/>
      <c r="B12381" s="3"/>
      <c r="C12381" s="3"/>
      <c r="D12381" s="3"/>
      <c r="E12381" s="3">
        <v>18</v>
      </c>
      <c r="F12381" s="4" t="str">
        <f>HYPERLINK("http://141.218.60.56/~jnz1568/getInfo.php?workbook=10_05.xlsx&amp;sheet=U0&amp;row=12381&amp;col=6&amp;number=4.7&amp;sourceID=14","4.7")</f>
        <v>4.7</v>
      </c>
      <c r="G12381" s="4" t="str">
        <f>HYPERLINK("http://141.218.60.56/~jnz1568/getInfo.php?workbook=10_05.xlsx&amp;sheet=U0&amp;row=12381&amp;col=7&amp;number=0.0261&amp;sourceID=14","0.0261")</f>
        <v>0.0261</v>
      </c>
    </row>
    <row r="12382" spans="1:7">
      <c r="A12382" s="3"/>
      <c r="B12382" s="3"/>
      <c r="C12382" s="3"/>
      <c r="D12382" s="3"/>
      <c r="E12382" s="3">
        <v>19</v>
      </c>
      <c r="F12382" s="4" t="str">
        <f>HYPERLINK("http://141.218.60.56/~jnz1568/getInfo.php?workbook=10_05.xlsx&amp;sheet=U0&amp;row=12382&amp;col=6&amp;number=4.8&amp;sourceID=14","4.8")</f>
        <v>4.8</v>
      </c>
      <c r="G12382" s="4" t="str">
        <f>HYPERLINK("http://141.218.60.56/~jnz1568/getInfo.php?workbook=10_05.xlsx&amp;sheet=U0&amp;row=12382&amp;col=7&amp;number=0.0237&amp;sourceID=14","0.0237")</f>
        <v>0.0237</v>
      </c>
    </row>
    <row r="12383" spans="1:7">
      <c r="A12383" s="3"/>
      <c r="B12383" s="3"/>
      <c r="C12383" s="3"/>
      <c r="D12383" s="3"/>
      <c r="E12383" s="3">
        <v>20</v>
      </c>
      <c r="F12383" s="4" t="str">
        <f>HYPERLINK("http://141.218.60.56/~jnz1568/getInfo.php?workbook=10_05.xlsx&amp;sheet=U0&amp;row=12383&amp;col=6&amp;number=4.9&amp;sourceID=14","4.9")</f>
        <v>4.9</v>
      </c>
      <c r="G12383" s="4" t="str">
        <f>HYPERLINK("http://141.218.60.56/~jnz1568/getInfo.php?workbook=10_05.xlsx&amp;sheet=U0&amp;row=12383&amp;col=7&amp;number=0.0212&amp;sourceID=14","0.0212")</f>
        <v>0.0212</v>
      </c>
    </row>
    <row r="12384" spans="1:7">
      <c r="A12384" s="3">
        <v>10</v>
      </c>
      <c r="B12384" s="3">
        <v>5</v>
      </c>
      <c r="C12384" s="3">
        <v>4</v>
      </c>
      <c r="D12384" s="3">
        <v>90</v>
      </c>
      <c r="E12384" s="3">
        <v>1</v>
      </c>
      <c r="F12384" s="4" t="str">
        <f>HYPERLINK("http://141.218.60.56/~jnz1568/getInfo.php?workbook=10_05.xlsx&amp;sheet=U0&amp;row=12384&amp;col=6&amp;number=3&amp;sourceID=14","3")</f>
        <v>3</v>
      </c>
      <c r="G12384" s="4" t="str">
        <f>HYPERLINK("http://141.218.60.56/~jnz1568/getInfo.php?workbook=10_05.xlsx&amp;sheet=U0&amp;row=12384&amp;col=7&amp;number=0.0635&amp;sourceID=14","0.0635")</f>
        <v>0.0635</v>
      </c>
    </row>
    <row r="12385" spans="1:7">
      <c r="A12385" s="3"/>
      <c r="B12385" s="3"/>
      <c r="C12385" s="3"/>
      <c r="D12385" s="3"/>
      <c r="E12385" s="3">
        <v>2</v>
      </c>
      <c r="F12385" s="4" t="str">
        <f>HYPERLINK("http://141.218.60.56/~jnz1568/getInfo.php?workbook=10_05.xlsx&amp;sheet=U0&amp;row=12385&amp;col=6&amp;number=3.1&amp;sourceID=14","3.1")</f>
        <v>3.1</v>
      </c>
      <c r="G12385" s="4" t="str">
        <f>HYPERLINK("http://141.218.60.56/~jnz1568/getInfo.php?workbook=10_05.xlsx&amp;sheet=U0&amp;row=12385&amp;col=7&amp;number=0.0634&amp;sourceID=14","0.0634")</f>
        <v>0.0634</v>
      </c>
    </row>
    <row r="12386" spans="1:7">
      <c r="A12386" s="3"/>
      <c r="B12386" s="3"/>
      <c r="C12386" s="3"/>
      <c r="D12386" s="3"/>
      <c r="E12386" s="3">
        <v>3</v>
      </c>
      <c r="F12386" s="4" t="str">
        <f>HYPERLINK("http://141.218.60.56/~jnz1568/getInfo.php?workbook=10_05.xlsx&amp;sheet=U0&amp;row=12386&amp;col=6&amp;number=3.2&amp;sourceID=14","3.2")</f>
        <v>3.2</v>
      </c>
      <c r="G12386" s="4" t="str">
        <f>HYPERLINK("http://141.218.60.56/~jnz1568/getInfo.php?workbook=10_05.xlsx&amp;sheet=U0&amp;row=12386&amp;col=7&amp;number=0.0632&amp;sourceID=14","0.0632")</f>
        <v>0.0632</v>
      </c>
    </row>
    <row r="12387" spans="1:7">
      <c r="A12387" s="3"/>
      <c r="B12387" s="3"/>
      <c r="C12387" s="3"/>
      <c r="D12387" s="3"/>
      <c r="E12387" s="3">
        <v>4</v>
      </c>
      <c r="F12387" s="4" t="str">
        <f>HYPERLINK("http://141.218.60.56/~jnz1568/getInfo.php?workbook=10_05.xlsx&amp;sheet=U0&amp;row=12387&amp;col=6&amp;number=3.3&amp;sourceID=14","3.3")</f>
        <v>3.3</v>
      </c>
      <c r="G12387" s="4" t="str">
        <f>HYPERLINK("http://141.218.60.56/~jnz1568/getInfo.php?workbook=10_05.xlsx&amp;sheet=U0&amp;row=12387&amp;col=7&amp;number=0.063&amp;sourceID=14","0.063")</f>
        <v>0.063</v>
      </c>
    </row>
    <row r="12388" spans="1:7">
      <c r="A12388" s="3"/>
      <c r="B12388" s="3"/>
      <c r="C12388" s="3"/>
      <c r="D12388" s="3"/>
      <c r="E12388" s="3">
        <v>5</v>
      </c>
      <c r="F12388" s="4" t="str">
        <f>HYPERLINK("http://141.218.60.56/~jnz1568/getInfo.php?workbook=10_05.xlsx&amp;sheet=U0&amp;row=12388&amp;col=6&amp;number=3.4&amp;sourceID=14","3.4")</f>
        <v>3.4</v>
      </c>
      <c r="G12388" s="4" t="str">
        <f>HYPERLINK("http://141.218.60.56/~jnz1568/getInfo.php?workbook=10_05.xlsx&amp;sheet=U0&amp;row=12388&amp;col=7&amp;number=0.0627&amp;sourceID=14","0.0627")</f>
        <v>0.0627</v>
      </c>
    </row>
    <row r="12389" spans="1:7">
      <c r="A12389" s="3"/>
      <c r="B12389" s="3"/>
      <c r="C12389" s="3"/>
      <c r="D12389" s="3"/>
      <c r="E12389" s="3">
        <v>6</v>
      </c>
      <c r="F12389" s="4" t="str">
        <f>HYPERLINK("http://141.218.60.56/~jnz1568/getInfo.php?workbook=10_05.xlsx&amp;sheet=U0&amp;row=12389&amp;col=6&amp;number=3.5&amp;sourceID=14","3.5")</f>
        <v>3.5</v>
      </c>
      <c r="G12389" s="4" t="str">
        <f>HYPERLINK("http://141.218.60.56/~jnz1568/getInfo.php?workbook=10_05.xlsx&amp;sheet=U0&amp;row=12389&amp;col=7&amp;number=0.0624&amp;sourceID=14","0.0624")</f>
        <v>0.0624</v>
      </c>
    </row>
    <row r="12390" spans="1:7">
      <c r="A12390" s="3"/>
      <c r="B12390" s="3"/>
      <c r="C12390" s="3"/>
      <c r="D12390" s="3"/>
      <c r="E12390" s="3">
        <v>7</v>
      </c>
      <c r="F12390" s="4" t="str">
        <f>HYPERLINK("http://141.218.60.56/~jnz1568/getInfo.php?workbook=10_05.xlsx&amp;sheet=U0&amp;row=12390&amp;col=6&amp;number=3.6&amp;sourceID=14","3.6")</f>
        <v>3.6</v>
      </c>
      <c r="G12390" s="4" t="str">
        <f>HYPERLINK("http://141.218.60.56/~jnz1568/getInfo.php?workbook=10_05.xlsx&amp;sheet=U0&amp;row=12390&amp;col=7&amp;number=0.062&amp;sourceID=14","0.062")</f>
        <v>0.062</v>
      </c>
    </row>
    <row r="12391" spans="1:7">
      <c r="A12391" s="3"/>
      <c r="B12391" s="3"/>
      <c r="C12391" s="3"/>
      <c r="D12391" s="3"/>
      <c r="E12391" s="3">
        <v>8</v>
      </c>
      <c r="F12391" s="4" t="str">
        <f>HYPERLINK("http://141.218.60.56/~jnz1568/getInfo.php?workbook=10_05.xlsx&amp;sheet=U0&amp;row=12391&amp;col=6&amp;number=3.7&amp;sourceID=14","3.7")</f>
        <v>3.7</v>
      </c>
      <c r="G12391" s="4" t="str">
        <f>HYPERLINK("http://141.218.60.56/~jnz1568/getInfo.php?workbook=10_05.xlsx&amp;sheet=U0&amp;row=12391&amp;col=7&amp;number=0.0614&amp;sourceID=14","0.0614")</f>
        <v>0.0614</v>
      </c>
    </row>
    <row r="12392" spans="1:7">
      <c r="A12392" s="3"/>
      <c r="B12392" s="3"/>
      <c r="C12392" s="3"/>
      <c r="D12392" s="3"/>
      <c r="E12392" s="3">
        <v>9</v>
      </c>
      <c r="F12392" s="4" t="str">
        <f>HYPERLINK("http://141.218.60.56/~jnz1568/getInfo.php?workbook=10_05.xlsx&amp;sheet=U0&amp;row=12392&amp;col=6&amp;number=3.8&amp;sourceID=14","3.8")</f>
        <v>3.8</v>
      </c>
      <c r="G12392" s="4" t="str">
        <f>HYPERLINK("http://141.218.60.56/~jnz1568/getInfo.php?workbook=10_05.xlsx&amp;sheet=U0&amp;row=12392&amp;col=7&amp;number=0.0607&amp;sourceID=14","0.0607")</f>
        <v>0.0607</v>
      </c>
    </row>
    <row r="12393" spans="1:7">
      <c r="A12393" s="3"/>
      <c r="B12393" s="3"/>
      <c r="C12393" s="3"/>
      <c r="D12393" s="3"/>
      <c r="E12393" s="3">
        <v>10</v>
      </c>
      <c r="F12393" s="4" t="str">
        <f>HYPERLINK("http://141.218.60.56/~jnz1568/getInfo.php?workbook=10_05.xlsx&amp;sheet=U0&amp;row=12393&amp;col=6&amp;number=3.9&amp;sourceID=14","3.9")</f>
        <v>3.9</v>
      </c>
      <c r="G12393" s="4" t="str">
        <f>HYPERLINK("http://141.218.60.56/~jnz1568/getInfo.php?workbook=10_05.xlsx&amp;sheet=U0&amp;row=12393&amp;col=7&amp;number=0.0599&amp;sourceID=14","0.0599")</f>
        <v>0.0599</v>
      </c>
    </row>
    <row r="12394" spans="1:7">
      <c r="A12394" s="3"/>
      <c r="B12394" s="3"/>
      <c r="C12394" s="3"/>
      <c r="D12394" s="3"/>
      <c r="E12394" s="3">
        <v>11</v>
      </c>
      <c r="F12394" s="4" t="str">
        <f>HYPERLINK("http://141.218.60.56/~jnz1568/getInfo.php?workbook=10_05.xlsx&amp;sheet=U0&amp;row=12394&amp;col=6&amp;number=4&amp;sourceID=14","4")</f>
        <v>4</v>
      </c>
      <c r="G12394" s="4" t="str">
        <f>HYPERLINK("http://141.218.60.56/~jnz1568/getInfo.php?workbook=10_05.xlsx&amp;sheet=U0&amp;row=12394&amp;col=7&amp;number=0.0589&amp;sourceID=14","0.0589")</f>
        <v>0.0589</v>
      </c>
    </row>
    <row r="12395" spans="1:7">
      <c r="A12395" s="3"/>
      <c r="B12395" s="3"/>
      <c r="C12395" s="3"/>
      <c r="D12395" s="3"/>
      <c r="E12395" s="3">
        <v>12</v>
      </c>
      <c r="F12395" s="4" t="str">
        <f>HYPERLINK("http://141.218.60.56/~jnz1568/getInfo.php?workbook=10_05.xlsx&amp;sheet=U0&amp;row=12395&amp;col=6&amp;number=4.1&amp;sourceID=14","4.1")</f>
        <v>4.1</v>
      </c>
      <c r="G12395" s="4" t="str">
        <f>HYPERLINK("http://141.218.60.56/~jnz1568/getInfo.php?workbook=10_05.xlsx&amp;sheet=U0&amp;row=12395&amp;col=7&amp;number=0.0576&amp;sourceID=14","0.0576")</f>
        <v>0.0576</v>
      </c>
    </row>
    <row r="12396" spans="1:7">
      <c r="A12396" s="3"/>
      <c r="B12396" s="3"/>
      <c r="C12396" s="3"/>
      <c r="D12396" s="3"/>
      <c r="E12396" s="3">
        <v>13</v>
      </c>
      <c r="F12396" s="4" t="str">
        <f>HYPERLINK("http://141.218.60.56/~jnz1568/getInfo.php?workbook=10_05.xlsx&amp;sheet=U0&amp;row=12396&amp;col=6&amp;number=4.2&amp;sourceID=14","4.2")</f>
        <v>4.2</v>
      </c>
      <c r="G12396" s="4" t="str">
        <f>HYPERLINK("http://141.218.60.56/~jnz1568/getInfo.php?workbook=10_05.xlsx&amp;sheet=U0&amp;row=12396&amp;col=7&amp;number=0.056&amp;sourceID=14","0.056")</f>
        <v>0.056</v>
      </c>
    </row>
    <row r="12397" spans="1:7">
      <c r="A12397" s="3"/>
      <c r="B12397" s="3"/>
      <c r="C12397" s="3"/>
      <c r="D12397" s="3"/>
      <c r="E12397" s="3">
        <v>14</v>
      </c>
      <c r="F12397" s="4" t="str">
        <f>HYPERLINK("http://141.218.60.56/~jnz1568/getInfo.php?workbook=10_05.xlsx&amp;sheet=U0&amp;row=12397&amp;col=6&amp;number=4.3&amp;sourceID=14","4.3")</f>
        <v>4.3</v>
      </c>
      <c r="G12397" s="4" t="str">
        <f>HYPERLINK("http://141.218.60.56/~jnz1568/getInfo.php?workbook=10_05.xlsx&amp;sheet=U0&amp;row=12397&amp;col=7&amp;number=0.0541&amp;sourceID=14","0.0541")</f>
        <v>0.0541</v>
      </c>
    </row>
    <row r="12398" spans="1:7">
      <c r="A12398" s="3"/>
      <c r="B12398" s="3"/>
      <c r="C12398" s="3"/>
      <c r="D12398" s="3"/>
      <c r="E12398" s="3">
        <v>15</v>
      </c>
      <c r="F12398" s="4" t="str">
        <f>HYPERLINK("http://141.218.60.56/~jnz1568/getInfo.php?workbook=10_05.xlsx&amp;sheet=U0&amp;row=12398&amp;col=6&amp;number=4.4&amp;sourceID=14","4.4")</f>
        <v>4.4</v>
      </c>
      <c r="G12398" s="4" t="str">
        <f>HYPERLINK("http://141.218.60.56/~jnz1568/getInfo.php?workbook=10_05.xlsx&amp;sheet=U0&amp;row=12398&amp;col=7&amp;number=0.0518&amp;sourceID=14","0.0518")</f>
        <v>0.0518</v>
      </c>
    </row>
    <row r="12399" spans="1:7">
      <c r="A12399" s="3"/>
      <c r="B12399" s="3"/>
      <c r="C12399" s="3"/>
      <c r="D12399" s="3"/>
      <c r="E12399" s="3">
        <v>16</v>
      </c>
      <c r="F12399" s="4" t="str">
        <f>HYPERLINK("http://141.218.60.56/~jnz1568/getInfo.php?workbook=10_05.xlsx&amp;sheet=U0&amp;row=12399&amp;col=6&amp;number=4.5&amp;sourceID=14","4.5")</f>
        <v>4.5</v>
      </c>
      <c r="G12399" s="4" t="str">
        <f>HYPERLINK("http://141.218.60.56/~jnz1568/getInfo.php?workbook=10_05.xlsx&amp;sheet=U0&amp;row=12399&amp;col=7&amp;number=0.0491&amp;sourceID=14","0.0491")</f>
        <v>0.0491</v>
      </c>
    </row>
    <row r="12400" spans="1:7">
      <c r="A12400" s="3"/>
      <c r="B12400" s="3"/>
      <c r="C12400" s="3"/>
      <c r="D12400" s="3"/>
      <c r="E12400" s="3">
        <v>17</v>
      </c>
      <c r="F12400" s="4" t="str">
        <f>HYPERLINK("http://141.218.60.56/~jnz1568/getInfo.php?workbook=10_05.xlsx&amp;sheet=U0&amp;row=12400&amp;col=6&amp;number=4.6&amp;sourceID=14","4.6")</f>
        <v>4.6</v>
      </c>
      <c r="G12400" s="4" t="str">
        <f>HYPERLINK("http://141.218.60.56/~jnz1568/getInfo.php?workbook=10_05.xlsx&amp;sheet=U0&amp;row=12400&amp;col=7&amp;number=0.046&amp;sourceID=14","0.046")</f>
        <v>0.046</v>
      </c>
    </row>
    <row r="12401" spans="1:7">
      <c r="A12401" s="3"/>
      <c r="B12401" s="3"/>
      <c r="C12401" s="3"/>
      <c r="D12401" s="3"/>
      <c r="E12401" s="3">
        <v>18</v>
      </c>
      <c r="F12401" s="4" t="str">
        <f>HYPERLINK("http://141.218.60.56/~jnz1568/getInfo.php?workbook=10_05.xlsx&amp;sheet=U0&amp;row=12401&amp;col=6&amp;number=4.7&amp;sourceID=14","4.7")</f>
        <v>4.7</v>
      </c>
      <c r="G12401" s="4" t="str">
        <f>HYPERLINK("http://141.218.60.56/~jnz1568/getInfo.php?workbook=10_05.xlsx&amp;sheet=U0&amp;row=12401&amp;col=7&amp;number=0.0425&amp;sourceID=14","0.0425")</f>
        <v>0.0425</v>
      </c>
    </row>
    <row r="12402" spans="1:7">
      <c r="A12402" s="3"/>
      <c r="B12402" s="3"/>
      <c r="C12402" s="3"/>
      <c r="D12402" s="3"/>
      <c r="E12402" s="3">
        <v>19</v>
      </c>
      <c r="F12402" s="4" t="str">
        <f>HYPERLINK("http://141.218.60.56/~jnz1568/getInfo.php?workbook=10_05.xlsx&amp;sheet=U0&amp;row=12402&amp;col=6&amp;number=4.8&amp;sourceID=14","4.8")</f>
        <v>4.8</v>
      </c>
      <c r="G12402" s="4" t="str">
        <f>HYPERLINK("http://141.218.60.56/~jnz1568/getInfo.php?workbook=10_05.xlsx&amp;sheet=U0&amp;row=12402&amp;col=7&amp;number=0.0387&amp;sourceID=14","0.0387")</f>
        <v>0.0387</v>
      </c>
    </row>
    <row r="12403" spans="1:7">
      <c r="A12403" s="3"/>
      <c r="B12403" s="3"/>
      <c r="C12403" s="3"/>
      <c r="D12403" s="3"/>
      <c r="E12403" s="3">
        <v>20</v>
      </c>
      <c r="F12403" s="4" t="str">
        <f>HYPERLINK("http://141.218.60.56/~jnz1568/getInfo.php?workbook=10_05.xlsx&amp;sheet=U0&amp;row=12403&amp;col=6&amp;number=4.9&amp;sourceID=14","4.9")</f>
        <v>4.9</v>
      </c>
      <c r="G12403" s="4" t="str">
        <f>HYPERLINK("http://141.218.60.56/~jnz1568/getInfo.php?workbook=10_05.xlsx&amp;sheet=U0&amp;row=12403&amp;col=7&amp;number=0.0347&amp;sourceID=14","0.0347")</f>
        <v>0.0347</v>
      </c>
    </row>
    <row r="12404" spans="1:7">
      <c r="A12404" s="3">
        <v>10</v>
      </c>
      <c r="B12404" s="3">
        <v>5</v>
      </c>
      <c r="C12404" s="3">
        <v>4</v>
      </c>
      <c r="D12404" s="3">
        <v>91</v>
      </c>
      <c r="E12404" s="3">
        <v>1</v>
      </c>
      <c r="F12404" s="4" t="str">
        <f>HYPERLINK("http://141.218.60.56/~jnz1568/getInfo.php?workbook=10_05.xlsx&amp;sheet=U0&amp;row=12404&amp;col=6&amp;number=3&amp;sourceID=14","3")</f>
        <v>3</v>
      </c>
      <c r="G12404" s="4" t="str">
        <f>HYPERLINK("http://141.218.60.56/~jnz1568/getInfo.php?workbook=10_05.xlsx&amp;sheet=U0&amp;row=12404&amp;col=7&amp;number=0.02&amp;sourceID=14","0.02")</f>
        <v>0.02</v>
      </c>
    </row>
    <row r="12405" spans="1:7">
      <c r="A12405" s="3"/>
      <c r="B12405" s="3"/>
      <c r="C12405" s="3"/>
      <c r="D12405" s="3"/>
      <c r="E12405" s="3">
        <v>2</v>
      </c>
      <c r="F12405" s="4" t="str">
        <f>HYPERLINK("http://141.218.60.56/~jnz1568/getInfo.php?workbook=10_05.xlsx&amp;sheet=U0&amp;row=12405&amp;col=6&amp;number=3.1&amp;sourceID=14","3.1")</f>
        <v>3.1</v>
      </c>
      <c r="G12405" s="4" t="str">
        <f>HYPERLINK("http://141.218.60.56/~jnz1568/getInfo.php?workbook=10_05.xlsx&amp;sheet=U0&amp;row=12405&amp;col=7&amp;number=0.0199&amp;sourceID=14","0.0199")</f>
        <v>0.0199</v>
      </c>
    </row>
    <row r="12406" spans="1:7">
      <c r="A12406" s="3"/>
      <c r="B12406" s="3"/>
      <c r="C12406" s="3"/>
      <c r="D12406" s="3"/>
      <c r="E12406" s="3">
        <v>3</v>
      </c>
      <c r="F12406" s="4" t="str">
        <f>HYPERLINK("http://141.218.60.56/~jnz1568/getInfo.php?workbook=10_05.xlsx&amp;sheet=U0&amp;row=12406&amp;col=6&amp;number=3.2&amp;sourceID=14","3.2")</f>
        <v>3.2</v>
      </c>
      <c r="G12406" s="4" t="str">
        <f>HYPERLINK("http://141.218.60.56/~jnz1568/getInfo.php?workbook=10_05.xlsx&amp;sheet=U0&amp;row=12406&amp;col=7&amp;number=0.0199&amp;sourceID=14","0.0199")</f>
        <v>0.0199</v>
      </c>
    </row>
    <row r="12407" spans="1:7">
      <c r="A12407" s="3"/>
      <c r="B12407" s="3"/>
      <c r="C12407" s="3"/>
      <c r="D12407" s="3"/>
      <c r="E12407" s="3">
        <v>4</v>
      </c>
      <c r="F12407" s="4" t="str">
        <f>HYPERLINK("http://141.218.60.56/~jnz1568/getInfo.php?workbook=10_05.xlsx&amp;sheet=U0&amp;row=12407&amp;col=6&amp;number=3.3&amp;sourceID=14","3.3")</f>
        <v>3.3</v>
      </c>
      <c r="G12407" s="4" t="str">
        <f>HYPERLINK("http://141.218.60.56/~jnz1568/getInfo.php?workbook=10_05.xlsx&amp;sheet=U0&amp;row=12407&amp;col=7&amp;number=0.0199&amp;sourceID=14","0.0199")</f>
        <v>0.0199</v>
      </c>
    </row>
    <row r="12408" spans="1:7">
      <c r="A12408" s="3"/>
      <c r="B12408" s="3"/>
      <c r="C12408" s="3"/>
      <c r="D12408" s="3"/>
      <c r="E12408" s="3">
        <v>5</v>
      </c>
      <c r="F12408" s="4" t="str">
        <f>HYPERLINK("http://141.218.60.56/~jnz1568/getInfo.php?workbook=10_05.xlsx&amp;sheet=U0&amp;row=12408&amp;col=6&amp;number=3.4&amp;sourceID=14","3.4")</f>
        <v>3.4</v>
      </c>
      <c r="G12408" s="4" t="str">
        <f>HYPERLINK("http://141.218.60.56/~jnz1568/getInfo.php?workbook=10_05.xlsx&amp;sheet=U0&amp;row=12408&amp;col=7&amp;number=0.0198&amp;sourceID=14","0.0198")</f>
        <v>0.0198</v>
      </c>
    </row>
    <row r="12409" spans="1:7">
      <c r="A12409" s="3"/>
      <c r="B12409" s="3"/>
      <c r="C12409" s="3"/>
      <c r="D12409" s="3"/>
      <c r="E12409" s="3">
        <v>6</v>
      </c>
      <c r="F12409" s="4" t="str">
        <f>HYPERLINK("http://141.218.60.56/~jnz1568/getInfo.php?workbook=10_05.xlsx&amp;sheet=U0&amp;row=12409&amp;col=6&amp;number=3.5&amp;sourceID=14","3.5")</f>
        <v>3.5</v>
      </c>
      <c r="G12409" s="4" t="str">
        <f>HYPERLINK("http://141.218.60.56/~jnz1568/getInfo.php?workbook=10_05.xlsx&amp;sheet=U0&amp;row=12409&amp;col=7&amp;number=0.0198&amp;sourceID=14","0.0198")</f>
        <v>0.0198</v>
      </c>
    </row>
    <row r="12410" spans="1:7">
      <c r="A12410" s="3"/>
      <c r="B12410" s="3"/>
      <c r="C12410" s="3"/>
      <c r="D12410" s="3"/>
      <c r="E12410" s="3">
        <v>7</v>
      </c>
      <c r="F12410" s="4" t="str">
        <f>HYPERLINK("http://141.218.60.56/~jnz1568/getInfo.php?workbook=10_05.xlsx&amp;sheet=U0&amp;row=12410&amp;col=6&amp;number=3.6&amp;sourceID=14","3.6")</f>
        <v>3.6</v>
      </c>
      <c r="G12410" s="4" t="str">
        <f>HYPERLINK("http://141.218.60.56/~jnz1568/getInfo.php?workbook=10_05.xlsx&amp;sheet=U0&amp;row=12410&amp;col=7&amp;number=0.0197&amp;sourceID=14","0.0197")</f>
        <v>0.0197</v>
      </c>
    </row>
    <row r="12411" spans="1:7">
      <c r="A12411" s="3"/>
      <c r="B12411" s="3"/>
      <c r="C12411" s="3"/>
      <c r="D12411" s="3"/>
      <c r="E12411" s="3">
        <v>8</v>
      </c>
      <c r="F12411" s="4" t="str">
        <f>HYPERLINK("http://141.218.60.56/~jnz1568/getInfo.php?workbook=10_05.xlsx&amp;sheet=U0&amp;row=12411&amp;col=6&amp;number=3.7&amp;sourceID=14","3.7")</f>
        <v>3.7</v>
      </c>
      <c r="G12411" s="4" t="str">
        <f>HYPERLINK("http://141.218.60.56/~jnz1568/getInfo.php?workbook=10_05.xlsx&amp;sheet=U0&amp;row=12411&amp;col=7&amp;number=0.0196&amp;sourceID=14","0.0196")</f>
        <v>0.0196</v>
      </c>
    </row>
    <row r="12412" spans="1:7">
      <c r="A12412" s="3"/>
      <c r="B12412" s="3"/>
      <c r="C12412" s="3"/>
      <c r="D12412" s="3"/>
      <c r="E12412" s="3">
        <v>9</v>
      </c>
      <c r="F12412" s="4" t="str">
        <f>HYPERLINK("http://141.218.60.56/~jnz1568/getInfo.php?workbook=10_05.xlsx&amp;sheet=U0&amp;row=12412&amp;col=6&amp;number=3.8&amp;sourceID=14","3.8")</f>
        <v>3.8</v>
      </c>
      <c r="G12412" s="4" t="str">
        <f>HYPERLINK("http://141.218.60.56/~jnz1568/getInfo.php?workbook=10_05.xlsx&amp;sheet=U0&amp;row=12412&amp;col=7&amp;number=0.0195&amp;sourceID=14","0.0195")</f>
        <v>0.0195</v>
      </c>
    </row>
    <row r="12413" spans="1:7">
      <c r="A12413" s="3"/>
      <c r="B12413" s="3"/>
      <c r="C12413" s="3"/>
      <c r="D12413" s="3"/>
      <c r="E12413" s="3">
        <v>10</v>
      </c>
      <c r="F12413" s="4" t="str">
        <f>HYPERLINK("http://141.218.60.56/~jnz1568/getInfo.php?workbook=10_05.xlsx&amp;sheet=U0&amp;row=12413&amp;col=6&amp;number=3.9&amp;sourceID=14","3.9")</f>
        <v>3.9</v>
      </c>
      <c r="G12413" s="4" t="str">
        <f>HYPERLINK("http://141.218.60.56/~jnz1568/getInfo.php?workbook=10_05.xlsx&amp;sheet=U0&amp;row=12413&amp;col=7&amp;number=0.0193&amp;sourceID=14","0.0193")</f>
        <v>0.0193</v>
      </c>
    </row>
    <row r="12414" spans="1:7">
      <c r="A12414" s="3"/>
      <c r="B12414" s="3"/>
      <c r="C12414" s="3"/>
      <c r="D12414" s="3"/>
      <c r="E12414" s="3">
        <v>11</v>
      </c>
      <c r="F12414" s="4" t="str">
        <f>HYPERLINK("http://141.218.60.56/~jnz1568/getInfo.php?workbook=10_05.xlsx&amp;sheet=U0&amp;row=12414&amp;col=6&amp;number=4&amp;sourceID=14","4")</f>
        <v>4</v>
      </c>
      <c r="G12414" s="4" t="str">
        <f>HYPERLINK("http://141.218.60.56/~jnz1568/getInfo.php?workbook=10_05.xlsx&amp;sheet=U0&amp;row=12414&amp;col=7&amp;number=0.0191&amp;sourceID=14","0.0191")</f>
        <v>0.0191</v>
      </c>
    </row>
    <row r="12415" spans="1:7">
      <c r="A12415" s="3"/>
      <c r="B12415" s="3"/>
      <c r="C12415" s="3"/>
      <c r="D12415" s="3"/>
      <c r="E12415" s="3">
        <v>12</v>
      </c>
      <c r="F12415" s="4" t="str">
        <f>HYPERLINK("http://141.218.60.56/~jnz1568/getInfo.php?workbook=10_05.xlsx&amp;sheet=U0&amp;row=12415&amp;col=6&amp;number=4.1&amp;sourceID=14","4.1")</f>
        <v>4.1</v>
      </c>
      <c r="G12415" s="4" t="str">
        <f>HYPERLINK("http://141.218.60.56/~jnz1568/getInfo.php?workbook=10_05.xlsx&amp;sheet=U0&amp;row=12415&amp;col=7&amp;number=0.0189&amp;sourceID=14","0.0189")</f>
        <v>0.0189</v>
      </c>
    </row>
    <row r="12416" spans="1:7">
      <c r="A12416" s="3"/>
      <c r="B12416" s="3"/>
      <c r="C12416" s="3"/>
      <c r="D12416" s="3"/>
      <c r="E12416" s="3">
        <v>13</v>
      </c>
      <c r="F12416" s="4" t="str">
        <f>HYPERLINK("http://141.218.60.56/~jnz1568/getInfo.php?workbook=10_05.xlsx&amp;sheet=U0&amp;row=12416&amp;col=6&amp;number=4.2&amp;sourceID=14","4.2")</f>
        <v>4.2</v>
      </c>
      <c r="G12416" s="4" t="str">
        <f>HYPERLINK("http://141.218.60.56/~jnz1568/getInfo.php?workbook=10_05.xlsx&amp;sheet=U0&amp;row=12416&amp;col=7&amp;number=0.0186&amp;sourceID=14","0.0186")</f>
        <v>0.0186</v>
      </c>
    </row>
    <row r="12417" spans="1:7">
      <c r="A12417" s="3"/>
      <c r="B12417" s="3"/>
      <c r="C12417" s="3"/>
      <c r="D12417" s="3"/>
      <c r="E12417" s="3">
        <v>14</v>
      </c>
      <c r="F12417" s="4" t="str">
        <f>HYPERLINK("http://141.218.60.56/~jnz1568/getInfo.php?workbook=10_05.xlsx&amp;sheet=U0&amp;row=12417&amp;col=6&amp;number=4.3&amp;sourceID=14","4.3")</f>
        <v>4.3</v>
      </c>
      <c r="G12417" s="4" t="str">
        <f>HYPERLINK("http://141.218.60.56/~jnz1568/getInfo.php?workbook=10_05.xlsx&amp;sheet=U0&amp;row=12417&amp;col=7&amp;number=0.0181&amp;sourceID=14","0.0181")</f>
        <v>0.0181</v>
      </c>
    </row>
    <row r="12418" spans="1:7">
      <c r="A12418" s="3"/>
      <c r="B12418" s="3"/>
      <c r="C12418" s="3"/>
      <c r="D12418" s="3"/>
      <c r="E12418" s="3">
        <v>15</v>
      </c>
      <c r="F12418" s="4" t="str">
        <f>HYPERLINK("http://141.218.60.56/~jnz1568/getInfo.php?workbook=10_05.xlsx&amp;sheet=U0&amp;row=12418&amp;col=6&amp;number=4.4&amp;sourceID=14","4.4")</f>
        <v>4.4</v>
      </c>
      <c r="G12418" s="4" t="str">
        <f>HYPERLINK("http://141.218.60.56/~jnz1568/getInfo.php?workbook=10_05.xlsx&amp;sheet=U0&amp;row=12418&amp;col=7&amp;number=0.0175&amp;sourceID=14","0.0175")</f>
        <v>0.0175</v>
      </c>
    </row>
    <row r="12419" spans="1:7">
      <c r="A12419" s="3"/>
      <c r="B12419" s="3"/>
      <c r="C12419" s="3"/>
      <c r="D12419" s="3"/>
      <c r="E12419" s="3">
        <v>16</v>
      </c>
      <c r="F12419" s="4" t="str">
        <f>HYPERLINK("http://141.218.60.56/~jnz1568/getInfo.php?workbook=10_05.xlsx&amp;sheet=U0&amp;row=12419&amp;col=6&amp;number=4.5&amp;sourceID=14","4.5")</f>
        <v>4.5</v>
      </c>
      <c r="G12419" s="4" t="str">
        <f>HYPERLINK("http://141.218.60.56/~jnz1568/getInfo.php?workbook=10_05.xlsx&amp;sheet=U0&amp;row=12419&amp;col=7&amp;number=0.0167&amp;sourceID=14","0.0167")</f>
        <v>0.0167</v>
      </c>
    </row>
    <row r="12420" spans="1:7">
      <c r="A12420" s="3"/>
      <c r="B12420" s="3"/>
      <c r="C12420" s="3"/>
      <c r="D12420" s="3"/>
      <c r="E12420" s="3">
        <v>17</v>
      </c>
      <c r="F12420" s="4" t="str">
        <f>HYPERLINK("http://141.218.60.56/~jnz1568/getInfo.php?workbook=10_05.xlsx&amp;sheet=U0&amp;row=12420&amp;col=6&amp;number=4.6&amp;sourceID=14","4.6")</f>
        <v>4.6</v>
      </c>
      <c r="G12420" s="4" t="str">
        <f>HYPERLINK("http://141.218.60.56/~jnz1568/getInfo.php?workbook=10_05.xlsx&amp;sheet=U0&amp;row=12420&amp;col=7&amp;number=0.0157&amp;sourceID=14","0.0157")</f>
        <v>0.0157</v>
      </c>
    </row>
    <row r="12421" spans="1:7">
      <c r="A12421" s="3"/>
      <c r="B12421" s="3"/>
      <c r="C12421" s="3"/>
      <c r="D12421" s="3"/>
      <c r="E12421" s="3">
        <v>18</v>
      </c>
      <c r="F12421" s="4" t="str">
        <f>HYPERLINK("http://141.218.60.56/~jnz1568/getInfo.php?workbook=10_05.xlsx&amp;sheet=U0&amp;row=12421&amp;col=6&amp;number=4.7&amp;sourceID=14","4.7")</f>
        <v>4.7</v>
      </c>
      <c r="G12421" s="4" t="str">
        <f>HYPERLINK("http://141.218.60.56/~jnz1568/getInfo.php?workbook=10_05.xlsx&amp;sheet=U0&amp;row=12421&amp;col=7&amp;number=0.0147&amp;sourceID=14","0.0147")</f>
        <v>0.0147</v>
      </c>
    </row>
    <row r="12422" spans="1:7">
      <c r="A12422" s="3"/>
      <c r="B12422" s="3"/>
      <c r="C12422" s="3"/>
      <c r="D12422" s="3"/>
      <c r="E12422" s="3">
        <v>19</v>
      </c>
      <c r="F12422" s="4" t="str">
        <f>HYPERLINK("http://141.218.60.56/~jnz1568/getInfo.php?workbook=10_05.xlsx&amp;sheet=U0&amp;row=12422&amp;col=6&amp;number=4.8&amp;sourceID=14","4.8")</f>
        <v>4.8</v>
      </c>
      <c r="G12422" s="4" t="str">
        <f>HYPERLINK("http://141.218.60.56/~jnz1568/getInfo.php?workbook=10_05.xlsx&amp;sheet=U0&amp;row=12422&amp;col=7&amp;number=0.0137&amp;sourceID=14","0.0137")</f>
        <v>0.0137</v>
      </c>
    </row>
    <row r="12423" spans="1:7">
      <c r="A12423" s="3"/>
      <c r="B12423" s="3"/>
      <c r="C12423" s="3"/>
      <c r="D12423" s="3"/>
      <c r="E12423" s="3">
        <v>20</v>
      </c>
      <c r="F12423" s="4" t="str">
        <f>HYPERLINK("http://141.218.60.56/~jnz1568/getInfo.php?workbook=10_05.xlsx&amp;sheet=U0&amp;row=12423&amp;col=6&amp;number=4.9&amp;sourceID=14","4.9")</f>
        <v>4.9</v>
      </c>
      <c r="G12423" s="4" t="str">
        <f>HYPERLINK("http://141.218.60.56/~jnz1568/getInfo.php?workbook=10_05.xlsx&amp;sheet=U0&amp;row=12423&amp;col=7&amp;number=0.0127&amp;sourceID=14","0.0127")</f>
        <v>0.0127</v>
      </c>
    </row>
    <row r="12424" spans="1:7">
      <c r="A12424" s="3">
        <v>10</v>
      </c>
      <c r="B12424" s="3">
        <v>5</v>
      </c>
      <c r="C12424" s="3">
        <v>4</v>
      </c>
      <c r="D12424" s="3">
        <v>92</v>
      </c>
      <c r="E12424" s="3">
        <v>1</v>
      </c>
      <c r="F12424" s="4" t="str">
        <f>HYPERLINK("http://141.218.60.56/~jnz1568/getInfo.php?workbook=10_05.xlsx&amp;sheet=U0&amp;row=12424&amp;col=6&amp;number=3&amp;sourceID=14","3")</f>
        <v>3</v>
      </c>
      <c r="G12424" s="4" t="str">
        <f>HYPERLINK("http://141.218.60.56/~jnz1568/getInfo.php?workbook=10_05.xlsx&amp;sheet=U0&amp;row=12424&amp;col=7&amp;number=0.0164&amp;sourceID=14","0.0164")</f>
        <v>0.0164</v>
      </c>
    </row>
    <row r="12425" spans="1:7">
      <c r="A12425" s="3"/>
      <c r="B12425" s="3"/>
      <c r="C12425" s="3"/>
      <c r="D12425" s="3"/>
      <c r="E12425" s="3">
        <v>2</v>
      </c>
      <c r="F12425" s="4" t="str">
        <f>HYPERLINK("http://141.218.60.56/~jnz1568/getInfo.php?workbook=10_05.xlsx&amp;sheet=U0&amp;row=12425&amp;col=6&amp;number=3.1&amp;sourceID=14","3.1")</f>
        <v>3.1</v>
      </c>
      <c r="G12425" s="4" t="str">
        <f>HYPERLINK("http://141.218.60.56/~jnz1568/getInfo.php?workbook=10_05.xlsx&amp;sheet=U0&amp;row=12425&amp;col=7&amp;number=0.0166&amp;sourceID=14","0.0166")</f>
        <v>0.0166</v>
      </c>
    </row>
    <row r="12426" spans="1:7">
      <c r="A12426" s="3"/>
      <c r="B12426" s="3"/>
      <c r="C12426" s="3"/>
      <c r="D12426" s="3"/>
      <c r="E12426" s="3">
        <v>3</v>
      </c>
      <c r="F12426" s="4" t="str">
        <f>HYPERLINK("http://141.218.60.56/~jnz1568/getInfo.php?workbook=10_05.xlsx&amp;sheet=U0&amp;row=12426&amp;col=6&amp;number=3.2&amp;sourceID=14","3.2")</f>
        <v>3.2</v>
      </c>
      <c r="G12426" s="4" t="str">
        <f>HYPERLINK("http://141.218.60.56/~jnz1568/getInfo.php?workbook=10_05.xlsx&amp;sheet=U0&amp;row=12426&amp;col=7&amp;number=0.0169&amp;sourceID=14","0.0169")</f>
        <v>0.0169</v>
      </c>
    </row>
    <row r="12427" spans="1:7">
      <c r="A12427" s="3"/>
      <c r="B12427" s="3"/>
      <c r="C12427" s="3"/>
      <c r="D12427" s="3"/>
      <c r="E12427" s="3">
        <v>4</v>
      </c>
      <c r="F12427" s="4" t="str">
        <f>HYPERLINK("http://141.218.60.56/~jnz1568/getInfo.php?workbook=10_05.xlsx&amp;sheet=U0&amp;row=12427&amp;col=6&amp;number=3.3&amp;sourceID=14","3.3")</f>
        <v>3.3</v>
      </c>
      <c r="G12427" s="4" t="str">
        <f>HYPERLINK("http://141.218.60.56/~jnz1568/getInfo.php?workbook=10_05.xlsx&amp;sheet=U0&amp;row=12427&amp;col=7&amp;number=0.0173&amp;sourceID=14","0.0173")</f>
        <v>0.0173</v>
      </c>
    </row>
    <row r="12428" spans="1:7">
      <c r="A12428" s="3"/>
      <c r="B12428" s="3"/>
      <c r="C12428" s="3"/>
      <c r="D12428" s="3"/>
      <c r="E12428" s="3">
        <v>5</v>
      </c>
      <c r="F12428" s="4" t="str">
        <f>HYPERLINK("http://141.218.60.56/~jnz1568/getInfo.php?workbook=10_05.xlsx&amp;sheet=U0&amp;row=12428&amp;col=6&amp;number=3.4&amp;sourceID=14","3.4")</f>
        <v>3.4</v>
      </c>
      <c r="G12428" s="4" t="str">
        <f>HYPERLINK("http://141.218.60.56/~jnz1568/getInfo.php?workbook=10_05.xlsx&amp;sheet=U0&amp;row=12428&amp;col=7&amp;number=0.0177&amp;sourceID=14","0.0177")</f>
        <v>0.0177</v>
      </c>
    </row>
    <row r="12429" spans="1:7">
      <c r="A12429" s="3"/>
      <c r="B12429" s="3"/>
      <c r="C12429" s="3"/>
      <c r="D12429" s="3"/>
      <c r="E12429" s="3">
        <v>6</v>
      </c>
      <c r="F12429" s="4" t="str">
        <f>HYPERLINK("http://141.218.60.56/~jnz1568/getInfo.php?workbook=10_05.xlsx&amp;sheet=U0&amp;row=12429&amp;col=6&amp;number=3.5&amp;sourceID=14","3.5")</f>
        <v>3.5</v>
      </c>
      <c r="G12429" s="4" t="str">
        <f>HYPERLINK("http://141.218.60.56/~jnz1568/getInfo.php?workbook=10_05.xlsx&amp;sheet=U0&amp;row=12429&amp;col=7&amp;number=0.0182&amp;sourceID=14","0.0182")</f>
        <v>0.0182</v>
      </c>
    </row>
    <row r="12430" spans="1:7">
      <c r="A12430" s="3"/>
      <c r="B12430" s="3"/>
      <c r="C12430" s="3"/>
      <c r="D12430" s="3"/>
      <c r="E12430" s="3">
        <v>7</v>
      </c>
      <c r="F12430" s="4" t="str">
        <f>HYPERLINK("http://141.218.60.56/~jnz1568/getInfo.php?workbook=10_05.xlsx&amp;sheet=U0&amp;row=12430&amp;col=6&amp;number=3.6&amp;sourceID=14","3.6")</f>
        <v>3.6</v>
      </c>
      <c r="G12430" s="4" t="str">
        <f>HYPERLINK("http://141.218.60.56/~jnz1568/getInfo.php?workbook=10_05.xlsx&amp;sheet=U0&amp;row=12430&amp;col=7&amp;number=0.0188&amp;sourceID=14","0.0188")</f>
        <v>0.0188</v>
      </c>
    </row>
    <row r="12431" spans="1:7">
      <c r="A12431" s="3"/>
      <c r="B12431" s="3"/>
      <c r="C12431" s="3"/>
      <c r="D12431" s="3"/>
      <c r="E12431" s="3">
        <v>8</v>
      </c>
      <c r="F12431" s="4" t="str">
        <f>HYPERLINK("http://141.218.60.56/~jnz1568/getInfo.php?workbook=10_05.xlsx&amp;sheet=U0&amp;row=12431&amp;col=6&amp;number=3.7&amp;sourceID=14","3.7")</f>
        <v>3.7</v>
      </c>
      <c r="G12431" s="4" t="str">
        <f>HYPERLINK("http://141.218.60.56/~jnz1568/getInfo.php?workbook=10_05.xlsx&amp;sheet=U0&amp;row=12431&amp;col=7&amp;number=0.0195&amp;sourceID=14","0.0195")</f>
        <v>0.0195</v>
      </c>
    </row>
    <row r="12432" spans="1:7">
      <c r="A12432" s="3"/>
      <c r="B12432" s="3"/>
      <c r="C12432" s="3"/>
      <c r="D12432" s="3"/>
      <c r="E12432" s="3">
        <v>9</v>
      </c>
      <c r="F12432" s="4" t="str">
        <f>HYPERLINK("http://141.218.60.56/~jnz1568/getInfo.php?workbook=10_05.xlsx&amp;sheet=U0&amp;row=12432&amp;col=6&amp;number=3.8&amp;sourceID=14","3.8")</f>
        <v>3.8</v>
      </c>
      <c r="G12432" s="4" t="str">
        <f>HYPERLINK("http://141.218.60.56/~jnz1568/getInfo.php?workbook=10_05.xlsx&amp;sheet=U0&amp;row=12432&amp;col=7&amp;number=0.0201&amp;sourceID=14","0.0201")</f>
        <v>0.0201</v>
      </c>
    </row>
    <row r="12433" spans="1:7">
      <c r="A12433" s="3"/>
      <c r="B12433" s="3"/>
      <c r="C12433" s="3"/>
      <c r="D12433" s="3"/>
      <c r="E12433" s="3">
        <v>10</v>
      </c>
      <c r="F12433" s="4" t="str">
        <f>HYPERLINK("http://141.218.60.56/~jnz1568/getInfo.php?workbook=10_05.xlsx&amp;sheet=U0&amp;row=12433&amp;col=6&amp;number=3.9&amp;sourceID=14","3.9")</f>
        <v>3.9</v>
      </c>
      <c r="G12433" s="4" t="str">
        <f>HYPERLINK("http://141.218.60.56/~jnz1568/getInfo.php?workbook=10_05.xlsx&amp;sheet=U0&amp;row=12433&amp;col=7&amp;number=0.0206&amp;sourceID=14","0.0206")</f>
        <v>0.0206</v>
      </c>
    </row>
    <row r="12434" spans="1:7">
      <c r="A12434" s="3"/>
      <c r="B12434" s="3"/>
      <c r="C12434" s="3"/>
      <c r="D12434" s="3"/>
      <c r="E12434" s="3">
        <v>11</v>
      </c>
      <c r="F12434" s="4" t="str">
        <f>HYPERLINK("http://141.218.60.56/~jnz1568/getInfo.php?workbook=10_05.xlsx&amp;sheet=U0&amp;row=12434&amp;col=6&amp;number=4&amp;sourceID=14","4")</f>
        <v>4</v>
      </c>
      <c r="G12434" s="4" t="str">
        <f>HYPERLINK("http://141.218.60.56/~jnz1568/getInfo.php?workbook=10_05.xlsx&amp;sheet=U0&amp;row=12434&amp;col=7&amp;number=0.0208&amp;sourceID=14","0.0208")</f>
        <v>0.0208</v>
      </c>
    </row>
    <row r="12435" spans="1:7">
      <c r="A12435" s="3"/>
      <c r="B12435" s="3"/>
      <c r="C12435" s="3"/>
      <c r="D12435" s="3"/>
      <c r="E12435" s="3">
        <v>12</v>
      </c>
      <c r="F12435" s="4" t="str">
        <f>HYPERLINK("http://141.218.60.56/~jnz1568/getInfo.php?workbook=10_05.xlsx&amp;sheet=U0&amp;row=12435&amp;col=6&amp;number=4.1&amp;sourceID=14","4.1")</f>
        <v>4.1</v>
      </c>
      <c r="G12435" s="4" t="str">
        <f>HYPERLINK("http://141.218.60.56/~jnz1568/getInfo.php?workbook=10_05.xlsx&amp;sheet=U0&amp;row=12435&amp;col=7&amp;number=0.0205&amp;sourceID=14","0.0205")</f>
        <v>0.0205</v>
      </c>
    </row>
    <row r="12436" spans="1:7">
      <c r="A12436" s="3"/>
      <c r="B12436" s="3"/>
      <c r="C12436" s="3"/>
      <c r="D12436" s="3"/>
      <c r="E12436" s="3">
        <v>13</v>
      </c>
      <c r="F12436" s="4" t="str">
        <f>HYPERLINK("http://141.218.60.56/~jnz1568/getInfo.php?workbook=10_05.xlsx&amp;sheet=U0&amp;row=12436&amp;col=6&amp;number=4.2&amp;sourceID=14","4.2")</f>
        <v>4.2</v>
      </c>
      <c r="G12436" s="4" t="str">
        <f>HYPERLINK("http://141.218.60.56/~jnz1568/getInfo.php?workbook=10_05.xlsx&amp;sheet=U0&amp;row=12436&amp;col=7&amp;number=0.0198&amp;sourceID=14","0.0198")</f>
        <v>0.0198</v>
      </c>
    </row>
    <row r="12437" spans="1:7">
      <c r="A12437" s="3"/>
      <c r="B12437" s="3"/>
      <c r="C12437" s="3"/>
      <c r="D12437" s="3"/>
      <c r="E12437" s="3">
        <v>14</v>
      </c>
      <c r="F12437" s="4" t="str">
        <f>HYPERLINK("http://141.218.60.56/~jnz1568/getInfo.php?workbook=10_05.xlsx&amp;sheet=U0&amp;row=12437&amp;col=6&amp;number=4.3&amp;sourceID=14","4.3")</f>
        <v>4.3</v>
      </c>
      <c r="G12437" s="4" t="str">
        <f>HYPERLINK("http://141.218.60.56/~jnz1568/getInfo.php?workbook=10_05.xlsx&amp;sheet=U0&amp;row=12437&amp;col=7&amp;number=0.0189&amp;sourceID=14","0.0189")</f>
        <v>0.0189</v>
      </c>
    </row>
    <row r="12438" spans="1:7">
      <c r="A12438" s="3"/>
      <c r="B12438" s="3"/>
      <c r="C12438" s="3"/>
      <c r="D12438" s="3"/>
      <c r="E12438" s="3">
        <v>15</v>
      </c>
      <c r="F12438" s="4" t="str">
        <f>HYPERLINK("http://141.218.60.56/~jnz1568/getInfo.php?workbook=10_05.xlsx&amp;sheet=U0&amp;row=12438&amp;col=6&amp;number=4.4&amp;sourceID=14","4.4")</f>
        <v>4.4</v>
      </c>
      <c r="G12438" s="4" t="str">
        <f>HYPERLINK("http://141.218.60.56/~jnz1568/getInfo.php?workbook=10_05.xlsx&amp;sheet=U0&amp;row=12438&amp;col=7&amp;number=0.0181&amp;sourceID=14","0.0181")</f>
        <v>0.0181</v>
      </c>
    </row>
    <row r="12439" spans="1:7">
      <c r="A12439" s="3"/>
      <c r="B12439" s="3"/>
      <c r="C12439" s="3"/>
      <c r="D12439" s="3"/>
      <c r="E12439" s="3">
        <v>16</v>
      </c>
      <c r="F12439" s="4" t="str">
        <f>HYPERLINK("http://141.218.60.56/~jnz1568/getInfo.php?workbook=10_05.xlsx&amp;sheet=U0&amp;row=12439&amp;col=6&amp;number=4.5&amp;sourceID=14","4.5")</f>
        <v>4.5</v>
      </c>
      <c r="G12439" s="4" t="str">
        <f>HYPERLINK("http://141.218.60.56/~jnz1568/getInfo.php?workbook=10_05.xlsx&amp;sheet=U0&amp;row=12439&amp;col=7&amp;number=0.0171&amp;sourceID=14","0.0171")</f>
        <v>0.0171</v>
      </c>
    </row>
    <row r="12440" spans="1:7">
      <c r="A12440" s="3"/>
      <c r="B12440" s="3"/>
      <c r="C12440" s="3"/>
      <c r="D12440" s="3"/>
      <c r="E12440" s="3">
        <v>17</v>
      </c>
      <c r="F12440" s="4" t="str">
        <f>HYPERLINK("http://141.218.60.56/~jnz1568/getInfo.php?workbook=10_05.xlsx&amp;sheet=U0&amp;row=12440&amp;col=6&amp;number=4.6&amp;sourceID=14","4.6")</f>
        <v>4.6</v>
      </c>
      <c r="G12440" s="4" t="str">
        <f>HYPERLINK("http://141.218.60.56/~jnz1568/getInfo.php?workbook=10_05.xlsx&amp;sheet=U0&amp;row=12440&amp;col=7&amp;number=0.0159&amp;sourceID=14","0.0159")</f>
        <v>0.0159</v>
      </c>
    </row>
    <row r="12441" spans="1:7">
      <c r="A12441" s="3"/>
      <c r="B12441" s="3"/>
      <c r="C12441" s="3"/>
      <c r="D12441" s="3"/>
      <c r="E12441" s="3">
        <v>18</v>
      </c>
      <c r="F12441" s="4" t="str">
        <f>HYPERLINK("http://141.218.60.56/~jnz1568/getInfo.php?workbook=10_05.xlsx&amp;sheet=U0&amp;row=12441&amp;col=6&amp;number=4.7&amp;sourceID=14","4.7")</f>
        <v>4.7</v>
      </c>
      <c r="G12441" s="4" t="str">
        <f>HYPERLINK("http://141.218.60.56/~jnz1568/getInfo.php?workbook=10_05.xlsx&amp;sheet=U0&amp;row=12441&amp;col=7&amp;number=0.0144&amp;sourceID=14","0.0144")</f>
        <v>0.0144</v>
      </c>
    </row>
    <row r="12442" spans="1:7">
      <c r="A12442" s="3"/>
      <c r="B12442" s="3"/>
      <c r="C12442" s="3"/>
      <c r="D12442" s="3"/>
      <c r="E12442" s="3">
        <v>19</v>
      </c>
      <c r="F12442" s="4" t="str">
        <f>HYPERLINK("http://141.218.60.56/~jnz1568/getInfo.php?workbook=10_05.xlsx&amp;sheet=U0&amp;row=12442&amp;col=6&amp;number=4.8&amp;sourceID=14","4.8")</f>
        <v>4.8</v>
      </c>
      <c r="G12442" s="4" t="str">
        <f>HYPERLINK("http://141.218.60.56/~jnz1568/getInfo.php?workbook=10_05.xlsx&amp;sheet=U0&amp;row=12442&amp;col=7&amp;number=0.0131&amp;sourceID=14","0.0131")</f>
        <v>0.0131</v>
      </c>
    </row>
    <row r="12443" spans="1:7">
      <c r="A12443" s="3"/>
      <c r="B12443" s="3"/>
      <c r="C12443" s="3"/>
      <c r="D12443" s="3"/>
      <c r="E12443" s="3">
        <v>20</v>
      </c>
      <c r="F12443" s="4" t="str">
        <f>HYPERLINK("http://141.218.60.56/~jnz1568/getInfo.php?workbook=10_05.xlsx&amp;sheet=U0&amp;row=12443&amp;col=6&amp;number=4.9&amp;sourceID=14","4.9")</f>
        <v>4.9</v>
      </c>
      <c r="G12443" s="4" t="str">
        <f>HYPERLINK("http://141.218.60.56/~jnz1568/getInfo.php?workbook=10_05.xlsx&amp;sheet=U0&amp;row=12443&amp;col=7&amp;number=0.0119&amp;sourceID=14","0.0119")</f>
        <v>0.0119</v>
      </c>
    </row>
    <row r="12444" spans="1:7">
      <c r="A12444" s="3">
        <v>10</v>
      </c>
      <c r="B12444" s="3">
        <v>5</v>
      </c>
      <c r="C12444" s="3">
        <v>4</v>
      </c>
      <c r="D12444" s="3">
        <v>93</v>
      </c>
      <c r="E12444" s="3">
        <v>1</v>
      </c>
      <c r="F12444" s="4" t="str">
        <f>HYPERLINK("http://141.218.60.56/~jnz1568/getInfo.php?workbook=10_05.xlsx&amp;sheet=U0&amp;row=12444&amp;col=6&amp;number=3&amp;sourceID=14","3")</f>
        <v>3</v>
      </c>
      <c r="G12444" s="4" t="str">
        <f>HYPERLINK("http://141.218.60.56/~jnz1568/getInfo.php?workbook=10_05.xlsx&amp;sheet=U0&amp;row=12444&amp;col=7&amp;number=0.0195&amp;sourceID=14","0.0195")</f>
        <v>0.0195</v>
      </c>
    </row>
    <row r="12445" spans="1:7">
      <c r="A12445" s="3"/>
      <c r="B12445" s="3"/>
      <c r="C12445" s="3"/>
      <c r="D12445" s="3"/>
      <c r="E12445" s="3">
        <v>2</v>
      </c>
      <c r="F12445" s="4" t="str">
        <f>HYPERLINK("http://141.218.60.56/~jnz1568/getInfo.php?workbook=10_05.xlsx&amp;sheet=U0&amp;row=12445&amp;col=6&amp;number=3.1&amp;sourceID=14","3.1")</f>
        <v>3.1</v>
      </c>
      <c r="G12445" s="4" t="str">
        <f>HYPERLINK("http://141.218.60.56/~jnz1568/getInfo.php?workbook=10_05.xlsx&amp;sheet=U0&amp;row=12445&amp;col=7&amp;number=0.0195&amp;sourceID=14","0.0195")</f>
        <v>0.0195</v>
      </c>
    </row>
    <row r="12446" spans="1:7">
      <c r="A12446" s="3"/>
      <c r="B12446" s="3"/>
      <c r="C12446" s="3"/>
      <c r="D12446" s="3"/>
      <c r="E12446" s="3">
        <v>3</v>
      </c>
      <c r="F12446" s="4" t="str">
        <f>HYPERLINK("http://141.218.60.56/~jnz1568/getInfo.php?workbook=10_05.xlsx&amp;sheet=U0&amp;row=12446&amp;col=6&amp;number=3.2&amp;sourceID=14","3.2")</f>
        <v>3.2</v>
      </c>
      <c r="G12446" s="4" t="str">
        <f>HYPERLINK("http://141.218.60.56/~jnz1568/getInfo.php?workbook=10_05.xlsx&amp;sheet=U0&amp;row=12446&amp;col=7&amp;number=0.0194&amp;sourceID=14","0.0194")</f>
        <v>0.0194</v>
      </c>
    </row>
    <row r="12447" spans="1:7">
      <c r="A12447" s="3"/>
      <c r="B12447" s="3"/>
      <c r="C12447" s="3"/>
      <c r="D12447" s="3"/>
      <c r="E12447" s="3">
        <v>4</v>
      </c>
      <c r="F12447" s="4" t="str">
        <f>HYPERLINK("http://141.218.60.56/~jnz1568/getInfo.php?workbook=10_05.xlsx&amp;sheet=U0&amp;row=12447&amp;col=6&amp;number=3.3&amp;sourceID=14","3.3")</f>
        <v>3.3</v>
      </c>
      <c r="G12447" s="4" t="str">
        <f>HYPERLINK("http://141.218.60.56/~jnz1568/getInfo.php?workbook=10_05.xlsx&amp;sheet=U0&amp;row=12447&amp;col=7&amp;number=0.0193&amp;sourceID=14","0.0193")</f>
        <v>0.0193</v>
      </c>
    </row>
    <row r="12448" spans="1:7">
      <c r="A12448" s="3"/>
      <c r="B12448" s="3"/>
      <c r="C12448" s="3"/>
      <c r="D12448" s="3"/>
      <c r="E12448" s="3">
        <v>5</v>
      </c>
      <c r="F12448" s="4" t="str">
        <f>HYPERLINK("http://141.218.60.56/~jnz1568/getInfo.php?workbook=10_05.xlsx&amp;sheet=U0&amp;row=12448&amp;col=6&amp;number=3.4&amp;sourceID=14","3.4")</f>
        <v>3.4</v>
      </c>
      <c r="G12448" s="4" t="str">
        <f>HYPERLINK("http://141.218.60.56/~jnz1568/getInfo.php?workbook=10_05.xlsx&amp;sheet=U0&amp;row=12448&amp;col=7&amp;number=0.0192&amp;sourceID=14","0.0192")</f>
        <v>0.0192</v>
      </c>
    </row>
    <row r="12449" spans="1:7">
      <c r="A12449" s="3"/>
      <c r="B12449" s="3"/>
      <c r="C12449" s="3"/>
      <c r="D12449" s="3"/>
      <c r="E12449" s="3">
        <v>6</v>
      </c>
      <c r="F12449" s="4" t="str">
        <f>HYPERLINK("http://141.218.60.56/~jnz1568/getInfo.php?workbook=10_05.xlsx&amp;sheet=U0&amp;row=12449&amp;col=6&amp;number=3.5&amp;sourceID=14","3.5")</f>
        <v>3.5</v>
      </c>
      <c r="G12449" s="4" t="str">
        <f>HYPERLINK("http://141.218.60.56/~jnz1568/getInfo.php?workbook=10_05.xlsx&amp;sheet=U0&amp;row=12449&amp;col=7&amp;number=0.0191&amp;sourceID=14","0.0191")</f>
        <v>0.0191</v>
      </c>
    </row>
    <row r="12450" spans="1:7">
      <c r="A12450" s="3"/>
      <c r="B12450" s="3"/>
      <c r="C12450" s="3"/>
      <c r="D12450" s="3"/>
      <c r="E12450" s="3">
        <v>7</v>
      </c>
      <c r="F12450" s="4" t="str">
        <f>HYPERLINK("http://141.218.60.56/~jnz1568/getInfo.php?workbook=10_05.xlsx&amp;sheet=U0&amp;row=12450&amp;col=6&amp;number=3.6&amp;sourceID=14","3.6")</f>
        <v>3.6</v>
      </c>
      <c r="G12450" s="4" t="str">
        <f>HYPERLINK("http://141.218.60.56/~jnz1568/getInfo.php?workbook=10_05.xlsx&amp;sheet=U0&amp;row=12450&amp;col=7&amp;number=0.019&amp;sourceID=14","0.019")</f>
        <v>0.019</v>
      </c>
    </row>
    <row r="12451" spans="1:7">
      <c r="A12451" s="3"/>
      <c r="B12451" s="3"/>
      <c r="C12451" s="3"/>
      <c r="D12451" s="3"/>
      <c r="E12451" s="3">
        <v>8</v>
      </c>
      <c r="F12451" s="4" t="str">
        <f>HYPERLINK("http://141.218.60.56/~jnz1568/getInfo.php?workbook=10_05.xlsx&amp;sheet=U0&amp;row=12451&amp;col=6&amp;number=3.7&amp;sourceID=14","3.7")</f>
        <v>3.7</v>
      </c>
      <c r="G12451" s="4" t="str">
        <f>HYPERLINK("http://141.218.60.56/~jnz1568/getInfo.php?workbook=10_05.xlsx&amp;sheet=U0&amp;row=12451&amp;col=7&amp;number=0.0188&amp;sourceID=14","0.0188")</f>
        <v>0.0188</v>
      </c>
    </row>
    <row r="12452" spans="1:7">
      <c r="A12452" s="3"/>
      <c r="B12452" s="3"/>
      <c r="C12452" s="3"/>
      <c r="D12452" s="3"/>
      <c r="E12452" s="3">
        <v>9</v>
      </c>
      <c r="F12452" s="4" t="str">
        <f>HYPERLINK("http://141.218.60.56/~jnz1568/getInfo.php?workbook=10_05.xlsx&amp;sheet=U0&amp;row=12452&amp;col=6&amp;number=3.8&amp;sourceID=14","3.8")</f>
        <v>3.8</v>
      </c>
      <c r="G12452" s="4" t="str">
        <f>HYPERLINK("http://141.218.60.56/~jnz1568/getInfo.php?workbook=10_05.xlsx&amp;sheet=U0&amp;row=12452&amp;col=7&amp;number=0.0185&amp;sourceID=14","0.0185")</f>
        <v>0.0185</v>
      </c>
    </row>
    <row r="12453" spans="1:7">
      <c r="A12453" s="3"/>
      <c r="B12453" s="3"/>
      <c r="C12453" s="3"/>
      <c r="D12453" s="3"/>
      <c r="E12453" s="3">
        <v>10</v>
      </c>
      <c r="F12453" s="4" t="str">
        <f>HYPERLINK("http://141.218.60.56/~jnz1568/getInfo.php?workbook=10_05.xlsx&amp;sheet=U0&amp;row=12453&amp;col=6&amp;number=3.9&amp;sourceID=14","3.9")</f>
        <v>3.9</v>
      </c>
      <c r="G12453" s="4" t="str">
        <f>HYPERLINK("http://141.218.60.56/~jnz1568/getInfo.php?workbook=10_05.xlsx&amp;sheet=U0&amp;row=12453&amp;col=7&amp;number=0.0183&amp;sourceID=14","0.0183")</f>
        <v>0.0183</v>
      </c>
    </row>
    <row r="12454" spans="1:7">
      <c r="A12454" s="3"/>
      <c r="B12454" s="3"/>
      <c r="C12454" s="3"/>
      <c r="D12454" s="3"/>
      <c r="E12454" s="3">
        <v>11</v>
      </c>
      <c r="F12454" s="4" t="str">
        <f>HYPERLINK("http://141.218.60.56/~jnz1568/getInfo.php?workbook=10_05.xlsx&amp;sheet=U0&amp;row=12454&amp;col=6&amp;number=4&amp;sourceID=14","4")</f>
        <v>4</v>
      </c>
      <c r="G12454" s="4" t="str">
        <f>HYPERLINK("http://141.218.60.56/~jnz1568/getInfo.php?workbook=10_05.xlsx&amp;sheet=U0&amp;row=12454&amp;col=7&amp;number=0.0179&amp;sourceID=14","0.0179")</f>
        <v>0.0179</v>
      </c>
    </row>
    <row r="12455" spans="1:7">
      <c r="A12455" s="3"/>
      <c r="B12455" s="3"/>
      <c r="C12455" s="3"/>
      <c r="D12455" s="3"/>
      <c r="E12455" s="3">
        <v>12</v>
      </c>
      <c r="F12455" s="4" t="str">
        <f>HYPERLINK("http://141.218.60.56/~jnz1568/getInfo.php?workbook=10_05.xlsx&amp;sheet=U0&amp;row=12455&amp;col=6&amp;number=4.1&amp;sourceID=14","4.1")</f>
        <v>4.1</v>
      </c>
      <c r="G12455" s="4" t="str">
        <f>HYPERLINK("http://141.218.60.56/~jnz1568/getInfo.php?workbook=10_05.xlsx&amp;sheet=U0&amp;row=12455&amp;col=7&amp;number=0.0175&amp;sourceID=14","0.0175")</f>
        <v>0.0175</v>
      </c>
    </row>
    <row r="12456" spans="1:7">
      <c r="A12456" s="3"/>
      <c r="B12456" s="3"/>
      <c r="C12456" s="3"/>
      <c r="D12456" s="3"/>
      <c r="E12456" s="3">
        <v>13</v>
      </c>
      <c r="F12456" s="4" t="str">
        <f>HYPERLINK("http://141.218.60.56/~jnz1568/getInfo.php?workbook=10_05.xlsx&amp;sheet=U0&amp;row=12456&amp;col=6&amp;number=4.2&amp;sourceID=14","4.2")</f>
        <v>4.2</v>
      </c>
      <c r="G12456" s="4" t="str">
        <f>HYPERLINK("http://141.218.60.56/~jnz1568/getInfo.php?workbook=10_05.xlsx&amp;sheet=U0&amp;row=12456&amp;col=7&amp;number=0.0169&amp;sourceID=14","0.0169")</f>
        <v>0.0169</v>
      </c>
    </row>
    <row r="12457" spans="1:7">
      <c r="A12457" s="3"/>
      <c r="B12457" s="3"/>
      <c r="C12457" s="3"/>
      <c r="D12457" s="3"/>
      <c r="E12457" s="3">
        <v>14</v>
      </c>
      <c r="F12457" s="4" t="str">
        <f>HYPERLINK("http://141.218.60.56/~jnz1568/getInfo.php?workbook=10_05.xlsx&amp;sheet=U0&amp;row=12457&amp;col=6&amp;number=4.3&amp;sourceID=14","4.3")</f>
        <v>4.3</v>
      </c>
      <c r="G12457" s="4" t="str">
        <f>HYPERLINK("http://141.218.60.56/~jnz1568/getInfo.php?workbook=10_05.xlsx&amp;sheet=U0&amp;row=12457&amp;col=7&amp;number=0.0162&amp;sourceID=14","0.0162")</f>
        <v>0.0162</v>
      </c>
    </row>
    <row r="12458" spans="1:7">
      <c r="A12458" s="3"/>
      <c r="B12458" s="3"/>
      <c r="C12458" s="3"/>
      <c r="D12458" s="3"/>
      <c r="E12458" s="3">
        <v>15</v>
      </c>
      <c r="F12458" s="4" t="str">
        <f>HYPERLINK("http://141.218.60.56/~jnz1568/getInfo.php?workbook=10_05.xlsx&amp;sheet=U0&amp;row=12458&amp;col=6&amp;number=4.4&amp;sourceID=14","4.4")</f>
        <v>4.4</v>
      </c>
      <c r="G12458" s="4" t="str">
        <f>HYPERLINK("http://141.218.60.56/~jnz1568/getInfo.php?workbook=10_05.xlsx&amp;sheet=U0&amp;row=12458&amp;col=7&amp;number=0.0154&amp;sourceID=14","0.0154")</f>
        <v>0.0154</v>
      </c>
    </row>
    <row r="12459" spans="1:7">
      <c r="A12459" s="3"/>
      <c r="B12459" s="3"/>
      <c r="C12459" s="3"/>
      <c r="D12459" s="3"/>
      <c r="E12459" s="3">
        <v>16</v>
      </c>
      <c r="F12459" s="4" t="str">
        <f>HYPERLINK("http://141.218.60.56/~jnz1568/getInfo.php?workbook=10_05.xlsx&amp;sheet=U0&amp;row=12459&amp;col=6&amp;number=4.5&amp;sourceID=14","4.5")</f>
        <v>4.5</v>
      </c>
      <c r="G12459" s="4" t="str">
        <f>HYPERLINK("http://141.218.60.56/~jnz1568/getInfo.php?workbook=10_05.xlsx&amp;sheet=U0&amp;row=12459&amp;col=7&amp;number=0.0143&amp;sourceID=14","0.0143")</f>
        <v>0.0143</v>
      </c>
    </row>
    <row r="12460" spans="1:7">
      <c r="A12460" s="3"/>
      <c r="B12460" s="3"/>
      <c r="C12460" s="3"/>
      <c r="D12460" s="3"/>
      <c r="E12460" s="3">
        <v>17</v>
      </c>
      <c r="F12460" s="4" t="str">
        <f>HYPERLINK("http://141.218.60.56/~jnz1568/getInfo.php?workbook=10_05.xlsx&amp;sheet=U0&amp;row=12460&amp;col=6&amp;number=4.6&amp;sourceID=14","4.6")</f>
        <v>4.6</v>
      </c>
      <c r="G12460" s="4" t="str">
        <f>HYPERLINK("http://141.218.60.56/~jnz1568/getInfo.php?workbook=10_05.xlsx&amp;sheet=U0&amp;row=12460&amp;col=7&amp;number=0.0132&amp;sourceID=14","0.0132")</f>
        <v>0.0132</v>
      </c>
    </row>
    <row r="12461" spans="1:7">
      <c r="A12461" s="3"/>
      <c r="B12461" s="3"/>
      <c r="C12461" s="3"/>
      <c r="D12461" s="3"/>
      <c r="E12461" s="3">
        <v>18</v>
      </c>
      <c r="F12461" s="4" t="str">
        <f>HYPERLINK("http://141.218.60.56/~jnz1568/getInfo.php?workbook=10_05.xlsx&amp;sheet=U0&amp;row=12461&amp;col=6&amp;number=4.7&amp;sourceID=14","4.7")</f>
        <v>4.7</v>
      </c>
      <c r="G12461" s="4" t="str">
        <f>HYPERLINK("http://141.218.60.56/~jnz1568/getInfo.php?workbook=10_05.xlsx&amp;sheet=U0&amp;row=12461&amp;col=7&amp;number=0.012&amp;sourceID=14","0.012")</f>
        <v>0.012</v>
      </c>
    </row>
    <row r="12462" spans="1:7">
      <c r="A12462" s="3"/>
      <c r="B12462" s="3"/>
      <c r="C12462" s="3"/>
      <c r="D12462" s="3"/>
      <c r="E12462" s="3">
        <v>19</v>
      </c>
      <c r="F12462" s="4" t="str">
        <f>HYPERLINK("http://141.218.60.56/~jnz1568/getInfo.php?workbook=10_05.xlsx&amp;sheet=U0&amp;row=12462&amp;col=6&amp;number=4.8&amp;sourceID=14","4.8")</f>
        <v>4.8</v>
      </c>
      <c r="G12462" s="4" t="str">
        <f>HYPERLINK("http://141.218.60.56/~jnz1568/getInfo.php?workbook=10_05.xlsx&amp;sheet=U0&amp;row=12462&amp;col=7&amp;number=0.011&amp;sourceID=14","0.011")</f>
        <v>0.011</v>
      </c>
    </row>
    <row r="12463" spans="1:7">
      <c r="A12463" s="3"/>
      <c r="B12463" s="3"/>
      <c r="C12463" s="3"/>
      <c r="D12463" s="3"/>
      <c r="E12463" s="3">
        <v>20</v>
      </c>
      <c r="F12463" s="4" t="str">
        <f>HYPERLINK("http://141.218.60.56/~jnz1568/getInfo.php?workbook=10_05.xlsx&amp;sheet=U0&amp;row=12463&amp;col=6&amp;number=4.9&amp;sourceID=14","4.9")</f>
        <v>4.9</v>
      </c>
      <c r="G12463" s="4" t="str">
        <f>HYPERLINK("http://141.218.60.56/~jnz1568/getInfo.php?workbook=10_05.xlsx&amp;sheet=U0&amp;row=12463&amp;col=7&amp;number=0.01&amp;sourceID=14","0.01")</f>
        <v>0.01</v>
      </c>
    </row>
    <row r="12464" spans="1:7">
      <c r="A12464" s="3">
        <v>10</v>
      </c>
      <c r="B12464" s="3">
        <v>5</v>
      </c>
      <c r="C12464" s="3">
        <v>4</v>
      </c>
      <c r="D12464" s="3">
        <v>94</v>
      </c>
      <c r="E12464" s="3">
        <v>1</v>
      </c>
      <c r="F12464" s="4" t="str">
        <f>HYPERLINK("http://141.218.60.56/~jnz1568/getInfo.php?workbook=10_05.xlsx&amp;sheet=U0&amp;row=12464&amp;col=6&amp;number=3&amp;sourceID=14","3")</f>
        <v>3</v>
      </c>
      <c r="G12464" s="4" t="str">
        <f>HYPERLINK("http://141.218.60.56/~jnz1568/getInfo.php?workbook=10_05.xlsx&amp;sheet=U0&amp;row=12464&amp;col=7&amp;number=0.0279&amp;sourceID=14","0.0279")</f>
        <v>0.0279</v>
      </c>
    </row>
    <row r="12465" spans="1:7">
      <c r="A12465" s="3"/>
      <c r="B12465" s="3"/>
      <c r="C12465" s="3"/>
      <c r="D12465" s="3"/>
      <c r="E12465" s="3">
        <v>2</v>
      </c>
      <c r="F12465" s="4" t="str">
        <f>HYPERLINK("http://141.218.60.56/~jnz1568/getInfo.php?workbook=10_05.xlsx&amp;sheet=U0&amp;row=12465&amp;col=6&amp;number=3.1&amp;sourceID=14","3.1")</f>
        <v>3.1</v>
      </c>
      <c r="G12465" s="4" t="str">
        <f>HYPERLINK("http://141.218.60.56/~jnz1568/getInfo.php?workbook=10_05.xlsx&amp;sheet=U0&amp;row=12465&amp;col=7&amp;number=0.028&amp;sourceID=14","0.028")</f>
        <v>0.028</v>
      </c>
    </row>
    <row r="12466" spans="1:7">
      <c r="A12466" s="3"/>
      <c r="B12466" s="3"/>
      <c r="C12466" s="3"/>
      <c r="D12466" s="3"/>
      <c r="E12466" s="3">
        <v>3</v>
      </c>
      <c r="F12466" s="4" t="str">
        <f>HYPERLINK("http://141.218.60.56/~jnz1568/getInfo.php?workbook=10_05.xlsx&amp;sheet=U0&amp;row=12466&amp;col=6&amp;number=3.2&amp;sourceID=14","3.2")</f>
        <v>3.2</v>
      </c>
      <c r="G12466" s="4" t="str">
        <f>HYPERLINK("http://141.218.60.56/~jnz1568/getInfo.php?workbook=10_05.xlsx&amp;sheet=U0&amp;row=12466&amp;col=7&amp;number=0.0281&amp;sourceID=14","0.0281")</f>
        <v>0.0281</v>
      </c>
    </row>
    <row r="12467" spans="1:7">
      <c r="A12467" s="3"/>
      <c r="B12467" s="3"/>
      <c r="C12467" s="3"/>
      <c r="D12467" s="3"/>
      <c r="E12467" s="3">
        <v>4</v>
      </c>
      <c r="F12467" s="4" t="str">
        <f>HYPERLINK("http://141.218.60.56/~jnz1568/getInfo.php?workbook=10_05.xlsx&amp;sheet=U0&amp;row=12467&amp;col=6&amp;number=3.3&amp;sourceID=14","3.3")</f>
        <v>3.3</v>
      </c>
      <c r="G12467" s="4" t="str">
        <f>HYPERLINK("http://141.218.60.56/~jnz1568/getInfo.php?workbook=10_05.xlsx&amp;sheet=U0&amp;row=12467&amp;col=7&amp;number=0.0282&amp;sourceID=14","0.0282")</f>
        <v>0.0282</v>
      </c>
    </row>
    <row r="12468" spans="1:7">
      <c r="A12468" s="3"/>
      <c r="B12468" s="3"/>
      <c r="C12468" s="3"/>
      <c r="D12468" s="3"/>
      <c r="E12468" s="3">
        <v>5</v>
      </c>
      <c r="F12468" s="4" t="str">
        <f>HYPERLINK("http://141.218.60.56/~jnz1568/getInfo.php?workbook=10_05.xlsx&amp;sheet=U0&amp;row=12468&amp;col=6&amp;number=3.4&amp;sourceID=14","3.4")</f>
        <v>3.4</v>
      </c>
      <c r="G12468" s="4" t="str">
        <f>HYPERLINK("http://141.218.60.56/~jnz1568/getInfo.php?workbook=10_05.xlsx&amp;sheet=U0&amp;row=12468&amp;col=7&amp;number=0.0283&amp;sourceID=14","0.0283")</f>
        <v>0.0283</v>
      </c>
    </row>
    <row r="12469" spans="1:7">
      <c r="A12469" s="3"/>
      <c r="B12469" s="3"/>
      <c r="C12469" s="3"/>
      <c r="D12469" s="3"/>
      <c r="E12469" s="3">
        <v>6</v>
      </c>
      <c r="F12469" s="4" t="str">
        <f>HYPERLINK("http://141.218.60.56/~jnz1568/getInfo.php?workbook=10_05.xlsx&amp;sheet=U0&amp;row=12469&amp;col=6&amp;number=3.5&amp;sourceID=14","3.5")</f>
        <v>3.5</v>
      </c>
      <c r="G12469" s="4" t="str">
        <f>HYPERLINK("http://141.218.60.56/~jnz1568/getInfo.php?workbook=10_05.xlsx&amp;sheet=U0&amp;row=12469&amp;col=7&amp;number=0.0285&amp;sourceID=14","0.0285")</f>
        <v>0.0285</v>
      </c>
    </row>
    <row r="12470" spans="1:7">
      <c r="A12470" s="3"/>
      <c r="B12470" s="3"/>
      <c r="C12470" s="3"/>
      <c r="D12470" s="3"/>
      <c r="E12470" s="3">
        <v>7</v>
      </c>
      <c r="F12470" s="4" t="str">
        <f>HYPERLINK("http://141.218.60.56/~jnz1568/getInfo.php?workbook=10_05.xlsx&amp;sheet=U0&amp;row=12470&amp;col=6&amp;number=3.6&amp;sourceID=14","3.6")</f>
        <v>3.6</v>
      </c>
      <c r="G12470" s="4" t="str">
        <f>HYPERLINK("http://141.218.60.56/~jnz1568/getInfo.php?workbook=10_05.xlsx&amp;sheet=U0&amp;row=12470&amp;col=7&amp;number=0.0287&amp;sourceID=14","0.0287")</f>
        <v>0.0287</v>
      </c>
    </row>
    <row r="12471" spans="1:7">
      <c r="A12471" s="3"/>
      <c r="B12471" s="3"/>
      <c r="C12471" s="3"/>
      <c r="D12471" s="3"/>
      <c r="E12471" s="3">
        <v>8</v>
      </c>
      <c r="F12471" s="4" t="str">
        <f>HYPERLINK("http://141.218.60.56/~jnz1568/getInfo.php?workbook=10_05.xlsx&amp;sheet=U0&amp;row=12471&amp;col=6&amp;number=3.7&amp;sourceID=14","3.7")</f>
        <v>3.7</v>
      </c>
      <c r="G12471" s="4" t="str">
        <f>HYPERLINK("http://141.218.60.56/~jnz1568/getInfo.php?workbook=10_05.xlsx&amp;sheet=U0&amp;row=12471&amp;col=7&amp;number=0.0289&amp;sourceID=14","0.0289")</f>
        <v>0.0289</v>
      </c>
    </row>
    <row r="12472" spans="1:7">
      <c r="A12472" s="3"/>
      <c r="B12472" s="3"/>
      <c r="C12472" s="3"/>
      <c r="D12472" s="3"/>
      <c r="E12472" s="3">
        <v>9</v>
      </c>
      <c r="F12472" s="4" t="str">
        <f>HYPERLINK("http://141.218.60.56/~jnz1568/getInfo.php?workbook=10_05.xlsx&amp;sheet=U0&amp;row=12472&amp;col=6&amp;number=3.8&amp;sourceID=14","3.8")</f>
        <v>3.8</v>
      </c>
      <c r="G12472" s="4" t="str">
        <f>HYPERLINK("http://141.218.60.56/~jnz1568/getInfo.php?workbook=10_05.xlsx&amp;sheet=U0&amp;row=12472&amp;col=7&amp;number=0.029&amp;sourceID=14","0.029")</f>
        <v>0.029</v>
      </c>
    </row>
    <row r="12473" spans="1:7">
      <c r="A12473" s="3"/>
      <c r="B12473" s="3"/>
      <c r="C12473" s="3"/>
      <c r="D12473" s="3"/>
      <c r="E12473" s="3">
        <v>10</v>
      </c>
      <c r="F12473" s="4" t="str">
        <f>HYPERLINK("http://141.218.60.56/~jnz1568/getInfo.php?workbook=10_05.xlsx&amp;sheet=U0&amp;row=12473&amp;col=6&amp;number=3.9&amp;sourceID=14","3.9")</f>
        <v>3.9</v>
      </c>
      <c r="G12473" s="4" t="str">
        <f>HYPERLINK("http://141.218.60.56/~jnz1568/getInfo.php?workbook=10_05.xlsx&amp;sheet=U0&amp;row=12473&amp;col=7&amp;number=0.0291&amp;sourceID=14","0.0291")</f>
        <v>0.0291</v>
      </c>
    </row>
    <row r="12474" spans="1:7">
      <c r="A12474" s="3"/>
      <c r="B12474" s="3"/>
      <c r="C12474" s="3"/>
      <c r="D12474" s="3"/>
      <c r="E12474" s="3">
        <v>11</v>
      </c>
      <c r="F12474" s="4" t="str">
        <f>HYPERLINK("http://141.218.60.56/~jnz1568/getInfo.php?workbook=10_05.xlsx&amp;sheet=U0&amp;row=12474&amp;col=6&amp;number=4&amp;sourceID=14","4")</f>
        <v>4</v>
      </c>
      <c r="G12474" s="4" t="str">
        <f>HYPERLINK("http://141.218.60.56/~jnz1568/getInfo.php?workbook=10_05.xlsx&amp;sheet=U0&amp;row=12474&amp;col=7&amp;number=0.029&amp;sourceID=14","0.029")</f>
        <v>0.029</v>
      </c>
    </row>
    <row r="12475" spans="1:7">
      <c r="A12475" s="3"/>
      <c r="B12475" s="3"/>
      <c r="C12475" s="3"/>
      <c r="D12475" s="3"/>
      <c r="E12475" s="3">
        <v>12</v>
      </c>
      <c r="F12475" s="4" t="str">
        <f>HYPERLINK("http://141.218.60.56/~jnz1568/getInfo.php?workbook=10_05.xlsx&amp;sheet=U0&amp;row=12475&amp;col=6&amp;number=4.1&amp;sourceID=14","4.1")</f>
        <v>4.1</v>
      </c>
      <c r="G12475" s="4" t="str">
        <f>HYPERLINK("http://141.218.60.56/~jnz1568/getInfo.php?workbook=10_05.xlsx&amp;sheet=U0&amp;row=12475&amp;col=7&amp;number=0.0286&amp;sourceID=14","0.0286")</f>
        <v>0.0286</v>
      </c>
    </row>
    <row r="12476" spans="1:7">
      <c r="A12476" s="3"/>
      <c r="B12476" s="3"/>
      <c r="C12476" s="3"/>
      <c r="D12476" s="3"/>
      <c r="E12476" s="3">
        <v>13</v>
      </c>
      <c r="F12476" s="4" t="str">
        <f>HYPERLINK("http://141.218.60.56/~jnz1568/getInfo.php?workbook=10_05.xlsx&amp;sheet=U0&amp;row=12476&amp;col=6&amp;number=4.2&amp;sourceID=14","4.2")</f>
        <v>4.2</v>
      </c>
      <c r="G12476" s="4" t="str">
        <f>HYPERLINK("http://141.218.60.56/~jnz1568/getInfo.php?workbook=10_05.xlsx&amp;sheet=U0&amp;row=12476&amp;col=7&amp;number=0.0278&amp;sourceID=14","0.0278")</f>
        <v>0.0278</v>
      </c>
    </row>
    <row r="12477" spans="1:7">
      <c r="A12477" s="3"/>
      <c r="B12477" s="3"/>
      <c r="C12477" s="3"/>
      <c r="D12477" s="3"/>
      <c r="E12477" s="3">
        <v>14</v>
      </c>
      <c r="F12477" s="4" t="str">
        <f>HYPERLINK("http://141.218.60.56/~jnz1568/getInfo.php?workbook=10_05.xlsx&amp;sheet=U0&amp;row=12477&amp;col=6&amp;number=4.3&amp;sourceID=14","4.3")</f>
        <v>4.3</v>
      </c>
      <c r="G12477" s="4" t="str">
        <f>HYPERLINK("http://141.218.60.56/~jnz1568/getInfo.php?workbook=10_05.xlsx&amp;sheet=U0&amp;row=12477&amp;col=7&amp;number=0.0265&amp;sourceID=14","0.0265")</f>
        <v>0.0265</v>
      </c>
    </row>
    <row r="12478" spans="1:7">
      <c r="A12478" s="3"/>
      <c r="B12478" s="3"/>
      <c r="C12478" s="3"/>
      <c r="D12478" s="3"/>
      <c r="E12478" s="3">
        <v>15</v>
      </c>
      <c r="F12478" s="4" t="str">
        <f>HYPERLINK("http://141.218.60.56/~jnz1568/getInfo.php?workbook=10_05.xlsx&amp;sheet=U0&amp;row=12478&amp;col=6&amp;number=4.4&amp;sourceID=14","4.4")</f>
        <v>4.4</v>
      </c>
      <c r="G12478" s="4" t="str">
        <f>HYPERLINK("http://141.218.60.56/~jnz1568/getInfo.php?workbook=10_05.xlsx&amp;sheet=U0&amp;row=12478&amp;col=7&amp;number=0.0249&amp;sourceID=14","0.0249")</f>
        <v>0.0249</v>
      </c>
    </row>
    <row r="12479" spans="1:7">
      <c r="A12479" s="3"/>
      <c r="B12479" s="3"/>
      <c r="C12479" s="3"/>
      <c r="D12479" s="3"/>
      <c r="E12479" s="3">
        <v>16</v>
      </c>
      <c r="F12479" s="4" t="str">
        <f>HYPERLINK("http://141.218.60.56/~jnz1568/getInfo.php?workbook=10_05.xlsx&amp;sheet=U0&amp;row=12479&amp;col=6&amp;number=4.5&amp;sourceID=14","4.5")</f>
        <v>4.5</v>
      </c>
      <c r="G12479" s="4" t="str">
        <f>HYPERLINK("http://141.218.60.56/~jnz1568/getInfo.php?workbook=10_05.xlsx&amp;sheet=U0&amp;row=12479&amp;col=7&amp;number=0.0231&amp;sourceID=14","0.0231")</f>
        <v>0.0231</v>
      </c>
    </row>
    <row r="12480" spans="1:7">
      <c r="A12480" s="3"/>
      <c r="B12480" s="3"/>
      <c r="C12480" s="3"/>
      <c r="D12480" s="3"/>
      <c r="E12480" s="3">
        <v>17</v>
      </c>
      <c r="F12480" s="4" t="str">
        <f>HYPERLINK("http://141.218.60.56/~jnz1568/getInfo.php?workbook=10_05.xlsx&amp;sheet=U0&amp;row=12480&amp;col=6&amp;number=4.6&amp;sourceID=14","4.6")</f>
        <v>4.6</v>
      </c>
      <c r="G12480" s="4" t="str">
        <f>HYPERLINK("http://141.218.60.56/~jnz1568/getInfo.php?workbook=10_05.xlsx&amp;sheet=U0&amp;row=12480&amp;col=7&amp;number=0.0213&amp;sourceID=14","0.0213")</f>
        <v>0.0213</v>
      </c>
    </row>
    <row r="12481" spans="1:7">
      <c r="A12481" s="3"/>
      <c r="B12481" s="3"/>
      <c r="C12481" s="3"/>
      <c r="D12481" s="3"/>
      <c r="E12481" s="3">
        <v>18</v>
      </c>
      <c r="F12481" s="4" t="str">
        <f>HYPERLINK("http://141.218.60.56/~jnz1568/getInfo.php?workbook=10_05.xlsx&amp;sheet=U0&amp;row=12481&amp;col=6&amp;number=4.7&amp;sourceID=14","4.7")</f>
        <v>4.7</v>
      </c>
      <c r="G12481" s="4" t="str">
        <f>HYPERLINK("http://141.218.60.56/~jnz1568/getInfo.php?workbook=10_05.xlsx&amp;sheet=U0&amp;row=12481&amp;col=7&amp;number=0.0193&amp;sourceID=14","0.0193")</f>
        <v>0.0193</v>
      </c>
    </row>
    <row r="12482" spans="1:7">
      <c r="A12482" s="3"/>
      <c r="B12482" s="3"/>
      <c r="C12482" s="3"/>
      <c r="D12482" s="3"/>
      <c r="E12482" s="3">
        <v>19</v>
      </c>
      <c r="F12482" s="4" t="str">
        <f>HYPERLINK("http://141.218.60.56/~jnz1568/getInfo.php?workbook=10_05.xlsx&amp;sheet=U0&amp;row=12482&amp;col=6&amp;number=4.8&amp;sourceID=14","4.8")</f>
        <v>4.8</v>
      </c>
      <c r="G12482" s="4" t="str">
        <f>HYPERLINK("http://141.218.60.56/~jnz1568/getInfo.php?workbook=10_05.xlsx&amp;sheet=U0&amp;row=12482&amp;col=7&amp;number=0.0173&amp;sourceID=14","0.0173")</f>
        <v>0.0173</v>
      </c>
    </row>
    <row r="12483" spans="1:7">
      <c r="A12483" s="3"/>
      <c r="B12483" s="3"/>
      <c r="C12483" s="3"/>
      <c r="D12483" s="3"/>
      <c r="E12483" s="3">
        <v>20</v>
      </c>
      <c r="F12483" s="4" t="str">
        <f>HYPERLINK("http://141.218.60.56/~jnz1568/getInfo.php?workbook=10_05.xlsx&amp;sheet=U0&amp;row=12483&amp;col=6&amp;number=4.9&amp;sourceID=14","4.9")</f>
        <v>4.9</v>
      </c>
      <c r="G12483" s="4" t="str">
        <f>HYPERLINK("http://141.218.60.56/~jnz1568/getInfo.php?workbook=10_05.xlsx&amp;sheet=U0&amp;row=12483&amp;col=7&amp;number=0.0155&amp;sourceID=14","0.0155")</f>
        <v>0.0155</v>
      </c>
    </row>
    <row r="12484" spans="1:7">
      <c r="A12484" s="3">
        <v>10</v>
      </c>
      <c r="B12484" s="3">
        <v>5</v>
      </c>
      <c r="C12484" s="3">
        <v>4</v>
      </c>
      <c r="D12484" s="3">
        <v>95</v>
      </c>
      <c r="E12484" s="3">
        <v>1</v>
      </c>
      <c r="F12484" s="4" t="str">
        <f>HYPERLINK("http://141.218.60.56/~jnz1568/getInfo.php?workbook=10_05.xlsx&amp;sheet=U0&amp;row=12484&amp;col=6&amp;number=3&amp;sourceID=14","3")</f>
        <v>3</v>
      </c>
      <c r="G12484" s="4" t="str">
        <f>HYPERLINK("http://141.218.60.56/~jnz1568/getInfo.php?workbook=10_05.xlsx&amp;sheet=U0&amp;row=12484&amp;col=7&amp;number=0.0534&amp;sourceID=14","0.0534")</f>
        <v>0.0534</v>
      </c>
    </row>
    <row r="12485" spans="1:7">
      <c r="A12485" s="3"/>
      <c r="B12485" s="3"/>
      <c r="C12485" s="3"/>
      <c r="D12485" s="3"/>
      <c r="E12485" s="3">
        <v>2</v>
      </c>
      <c r="F12485" s="4" t="str">
        <f>HYPERLINK("http://141.218.60.56/~jnz1568/getInfo.php?workbook=10_05.xlsx&amp;sheet=U0&amp;row=12485&amp;col=6&amp;number=3.1&amp;sourceID=14","3.1")</f>
        <v>3.1</v>
      </c>
      <c r="G12485" s="4" t="str">
        <f>HYPERLINK("http://141.218.60.56/~jnz1568/getInfo.php?workbook=10_05.xlsx&amp;sheet=U0&amp;row=12485&amp;col=7&amp;number=0.0532&amp;sourceID=14","0.0532")</f>
        <v>0.0532</v>
      </c>
    </row>
    <row r="12486" spans="1:7">
      <c r="A12486" s="3"/>
      <c r="B12486" s="3"/>
      <c r="C12486" s="3"/>
      <c r="D12486" s="3"/>
      <c r="E12486" s="3">
        <v>3</v>
      </c>
      <c r="F12486" s="4" t="str">
        <f>HYPERLINK("http://141.218.60.56/~jnz1568/getInfo.php?workbook=10_05.xlsx&amp;sheet=U0&amp;row=12486&amp;col=6&amp;number=3.2&amp;sourceID=14","3.2")</f>
        <v>3.2</v>
      </c>
      <c r="G12486" s="4" t="str">
        <f>HYPERLINK("http://141.218.60.56/~jnz1568/getInfo.php?workbook=10_05.xlsx&amp;sheet=U0&amp;row=12486&amp;col=7&amp;number=0.053&amp;sourceID=14","0.053")</f>
        <v>0.053</v>
      </c>
    </row>
    <row r="12487" spans="1:7">
      <c r="A12487" s="3"/>
      <c r="B12487" s="3"/>
      <c r="C12487" s="3"/>
      <c r="D12487" s="3"/>
      <c r="E12487" s="3">
        <v>4</v>
      </c>
      <c r="F12487" s="4" t="str">
        <f>HYPERLINK("http://141.218.60.56/~jnz1568/getInfo.php?workbook=10_05.xlsx&amp;sheet=U0&amp;row=12487&amp;col=6&amp;number=3.3&amp;sourceID=14","3.3")</f>
        <v>3.3</v>
      </c>
      <c r="G12487" s="4" t="str">
        <f>HYPERLINK("http://141.218.60.56/~jnz1568/getInfo.php?workbook=10_05.xlsx&amp;sheet=U0&amp;row=12487&amp;col=7&amp;number=0.0526&amp;sourceID=14","0.0526")</f>
        <v>0.0526</v>
      </c>
    </row>
    <row r="12488" spans="1:7">
      <c r="A12488" s="3"/>
      <c r="B12488" s="3"/>
      <c r="C12488" s="3"/>
      <c r="D12488" s="3"/>
      <c r="E12488" s="3">
        <v>5</v>
      </c>
      <c r="F12488" s="4" t="str">
        <f>HYPERLINK("http://141.218.60.56/~jnz1568/getInfo.php?workbook=10_05.xlsx&amp;sheet=U0&amp;row=12488&amp;col=6&amp;number=3.4&amp;sourceID=14","3.4")</f>
        <v>3.4</v>
      </c>
      <c r="G12488" s="4" t="str">
        <f>HYPERLINK("http://141.218.60.56/~jnz1568/getInfo.php?workbook=10_05.xlsx&amp;sheet=U0&amp;row=12488&amp;col=7&amp;number=0.0522&amp;sourceID=14","0.0522")</f>
        <v>0.0522</v>
      </c>
    </row>
    <row r="12489" spans="1:7">
      <c r="A12489" s="3"/>
      <c r="B12489" s="3"/>
      <c r="C12489" s="3"/>
      <c r="D12489" s="3"/>
      <c r="E12489" s="3">
        <v>6</v>
      </c>
      <c r="F12489" s="4" t="str">
        <f>HYPERLINK("http://141.218.60.56/~jnz1568/getInfo.php?workbook=10_05.xlsx&amp;sheet=U0&amp;row=12489&amp;col=6&amp;number=3.5&amp;sourceID=14","3.5")</f>
        <v>3.5</v>
      </c>
      <c r="G12489" s="4" t="str">
        <f>HYPERLINK("http://141.218.60.56/~jnz1568/getInfo.php?workbook=10_05.xlsx&amp;sheet=U0&amp;row=12489&amp;col=7&amp;number=0.0517&amp;sourceID=14","0.0517")</f>
        <v>0.0517</v>
      </c>
    </row>
    <row r="12490" spans="1:7">
      <c r="A12490" s="3"/>
      <c r="B12490" s="3"/>
      <c r="C12490" s="3"/>
      <c r="D12490" s="3"/>
      <c r="E12490" s="3">
        <v>7</v>
      </c>
      <c r="F12490" s="4" t="str">
        <f>HYPERLINK("http://141.218.60.56/~jnz1568/getInfo.php?workbook=10_05.xlsx&amp;sheet=U0&amp;row=12490&amp;col=6&amp;number=3.6&amp;sourceID=14","3.6")</f>
        <v>3.6</v>
      </c>
      <c r="G12490" s="4" t="str">
        <f>HYPERLINK("http://141.218.60.56/~jnz1568/getInfo.php?workbook=10_05.xlsx&amp;sheet=U0&amp;row=12490&amp;col=7&amp;number=0.0511&amp;sourceID=14","0.0511")</f>
        <v>0.0511</v>
      </c>
    </row>
    <row r="12491" spans="1:7">
      <c r="A12491" s="3"/>
      <c r="B12491" s="3"/>
      <c r="C12491" s="3"/>
      <c r="D12491" s="3"/>
      <c r="E12491" s="3">
        <v>8</v>
      </c>
      <c r="F12491" s="4" t="str">
        <f>HYPERLINK("http://141.218.60.56/~jnz1568/getInfo.php?workbook=10_05.xlsx&amp;sheet=U0&amp;row=12491&amp;col=6&amp;number=3.7&amp;sourceID=14","3.7")</f>
        <v>3.7</v>
      </c>
      <c r="G12491" s="4" t="str">
        <f>HYPERLINK("http://141.218.60.56/~jnz1568/getInfo.php?workbook=10_05.xlsx&amp;sheet=U0&amp;row=12491&amp;col=7&amp;number=0.0503&amp;sourceID=14","0.0503")</f>
        <v>0.0503</v>
      </c>
    </row>
    <row r="12492" spans="1:7">
      <c r="A12492" s="3"/>
      <c r="B12492" s="3"/>
      <c r="C12492" s="3"/>
      <c r="D12492" s="3"/>
      <c r="E12492" s="3">
        <v>9</v>
      </c>
      <c r="F12492" s="4" t="str">
        <f>HYPERLINK("http://141.218.60.56/~jnz1568/getInfo.php?workbook=10_05.xlsx&amp;sheet=U0&amp;row=12492&amp;col=6&amp;number=3.8&amp;sourceID=14","3.8")</f>
        <v>3.8</v>
      </c>
      <c r="G12492" s="4" t="str">
        <f>HYPERLINK("http://141.218.60.56/~jnz1568/getInfo.php?workbook=10_05.xlsx&amp;sheet=U0&amp;row=12492&amp;col=7&amp;number=0.0493&amp;sourceID=14","0.0493")</f>
        <v>0.0493</v>
      </c>
    </row>
    <row r="12493" spans="1:7">
      <c r="A12493" s="3"/>
      <c r="B12493" s="3"/>
      <c r="C12493" s="3"/>
      <c r="D12493" s="3"/>
      <c r="E12493" s="3">
        <v>10</v>
      </c>
      <c r="F12493" s="4" t="str">
        <f>HYPERLINK("http://141.218.60.56/~jnz1568/getInfo.php?workbook=10_05.xlsx&amp;sheet=U0&amp;row=12493&amp;col=6&amp;number=3.9&amp;sourceID=14","3.9")</f>
        <v>3.9</v>
      </c>
      <c r="G12493" s="4" t="str">
        <f>HYPERLINK("http://141.218.60.56/~jnz1568/getInfo.php?workbook=10_05.xlsx&amp;sheet=U0&amp;row=12493&amp;col=7&amp;number=0.0481&amp;sourceID=14","0.0481")</f>
        <v>0.0481</v>
      </c>
    </row>
    <row r="12494" spans="1:7">
      <c r="A12494" s="3"/>
      <c r="B12494" s="3"/>
      <c r="C12494" s="3"/>
      <c r="D12494" s="3"/>
      <c r="E12494" s="3">
        <v>11</v>
      </c>
      <c r="F12494" s="4" t="str">
        <f>HYPERLINK("http://141.218.60.56/~jnz1568/getInfo.php?workbook=10_05.xlsx&amp;sheet=U0&amp;row=12494&amp;col=6&amp;number=4&amp;sourceID=14","4")</f>
        <v>4</v>
      </c>
      <c r="G12494" s="4" t="str">
        <f>HYPERLINK("http://141.218.60.56/~jnz1568/getInfo.php?workbook=10_05.xlsx&amp;sheet=U0&amp;row=12494&amp;col=7&amp;number=0.0466&amp;sourceID=14","0.0466")</f>
        <v>0.0466</v>
      </c>
    </row>
    <row r="12495" spans="1:7">
      <c r="A12495" s="3"/>
      <c r="B12495" s="3"/>
      <c r="C12495" s="3"/>
      <c r="D12495" s="3"/>
      <c r="E12495" s="3">
        <v>12</v>
      </c>
      <c r="F12495" s="4" t="str">
        <f>HYPERLINK("http://141.218.60.56/~jnz1568/getInfo.php?workbook=10_05.xlsx&amp;sheet=U0&amp;row=12495&amp;col=6&amp;number=4.1&amp;sourceID=14","4.1")</f>
        <v>4.1</v>
      </c>
      <c r="G12495" s="4" t="str">
        <f>HYPERLINK("http://141.218.60.56/~jnz1568/getInfo.php?workbook=10_05.xlsx&amp;sheet=U0&amp;row=12495&amp;col=7&amp;number=0.0448&amp;sourceID=14","0.0448")</f>
        <v>0.0448</v>
      </c>
    </row>
    <row r="12496" spans="1:7">
      <c r="A12496" s="3"/>
      <c r="B12496" s="3"/>
      <c r="C12496" s="3"/>
      <c r="D12496" s="3"/>
      <c r="E12496" s="3">
        <v>13</v>
      </c>
      <c r="F12496" s="4" t="str">
        <f>HYPERLINK("http://141.218.60.56/~jnz1568/getInfo.php?workbook=10_05.xlsx&amp;sheet=U0&amp;row=12496&amp;col=6&amp;number=4.2&amp;sourceID=14","4.2")</f>
        <v>4.2</v>
      </c>
      <c r="G12496" s="4" t="str">
        <f>HYPERLINK("http://141.218.60.56/~jnz1568/getInfo.php?workbook=10_05.xlsx&amp;sheet=U0&amp;row=12496&amp;col=7&amp;number=0.0427&amp;sourceID=14","0.0427")</f>
        <v>0.0427</v>
      </c>
    </row>
    <row r="12497" spans="1:7">
      <c r="A12497" s="3"/>
      <c r="B12497" s="3"/>
      <c r="C12497" s="3"/>
      <c r="D12497" s="3"/>
      <c r="E12497" s="3">
        <v>14</v>
      </c>
      <c r="F12497" s="4" t="str">
        <f>HYPERLINK("http://141.218.60.56/~jnz1568/getInfo.php?workbook=10_05.xlsx&amp;sheet=U0&amp;row=12497&amp;col=6&amp;number=4.3&amp;sourceID=14","4.3")</f>
        <v>4.3</v>
      </c>
      <c r="G12497" s="4" t="str">
        <f>HYPERLINK("http://141.218.60.56/~jnz1568/getInfo.php?workbook=10_05.xlsx&amp;sheet=U0&amp;row=12497&amp;col=7&amp;number=0.0402&amp;sourceID=14","0.0402")</f>
        <v>0.0402</v>
      </c>
    </row>
    <row r="12498" spans="1:7">
      <c r="A12498" s="3"/>
      <c r="B12498" s="3"/>
      <c r="C12498" s="3"/>
      <c r="D12498" s="3"/>
      <c r="E12498" s="3">
        <v>15</v>
      </c>
      <c r="F12498" s="4" t="str">
        <f>HYPERLINK("http://141.218.60.56/~jnz1568/getInfo.php?workbook=10_05.xlsx&amp;sheet=U0&amp;row=12498&amp;col=6&amp;number=4.4&amp;sourceID=14","4.4")</f>
        <v>4.4</v>
      </c>
      <c r="G12498" s="4" t="str">
        <f>HYPERLINK("http://141.218.60.56/~jnz1568/getInfo.php?workbook=10_05.xlsx&amp;sheet=U0&amp;row=12498&amp;col=7&amp;number=0.0374&amp;sourceID=14","0.0374")</f>
        <v>0.0374</v>
      </c>
    </row>
    <row r="12499" spans="1:7">
      <c r="A12499" s="3"/>
      <c r="B12499" s="3"/>
      <c r="C12499" s="3"/>
      <c r="D12499" s="3"/>
      <c r="E12499" s="3">
        <v>16</v>
      </c>
      <c r="F12499" s="4" t="str">
        <f>HYPERLINK("http://141.218.60.56/~jnz1568/getInfo.php?workbook=10_05.xlsx&amp;sheet=U0&amp;row=12499&amp;col=6&amp;number=4.5&amp;sourceID=14","4.5")</f>
        <v>4.5</v>
      </c>
      <c r="G12499" s="4" t="str">
        <f>HYPERLINK("http://141.218.60.56/~jnz1568/getInfo.php?workbook=10_05.xlsx&amp;sheet=U0&amp;row=12499&amp;col=7&amp;number=0.0345&amp;sourceID=14","0.0345")</f>
        <v>0.0345</v>
      </c>
    </row>
    <row r="12500" spans="1:7">
      <c r="A12500" s="3"/>
      <c r="B12500" s="3"/>
      <c r="C12500" s="3"/>
      <c r="D12500" s="3"/>
      <c r="E12500" s="3">
        <v>17</v>
      </c>
      <c r="F12500" s="4" t="str">
        <f>HYPERLINK("http://141.218.60.56/~jnz1568/getInfo.php?workbook=10_05.xlsx&amp;sheet=U0&amp;row=12500&amp;col=6&amp;number=4.6&amp;sourceID=14","4.6")</f>
        <v>4.6</v>
      </c>
      <c r="G12500" s="4" t="str">
        <f>HYPERLINK("http://141.218.60.56/~jnz1568/getInfo.php?workbook=10_05.xlsx&amp;sheet=U0&amp;row=12500&amp;col=7&amp;number=0.0317&amp;sourceID=14","0.0317")</f>
        <v>0.0317</v>
      </c>
    </row>
    <row r="12501" spans="1:7">
      <c r="A12501" s="3"/>
      <c r="B12501" s="3"/>
      <c r="C12501" s="3"/>
      <c r="D12501" s="3"/>
      <c r="E12501" s="3">
        <v>18</v>
      </c>
      <c r="F12501" s="4" t="str">
        <f>HYPERLINK("http://141.218.60.56/~jnz1568/getInfo.php?workbook=10_05.xlsx&amp;sheet=U0&amp;row=12501&amp;col=6&amp;number=4.7&amp;sourceID=14","4.7")</f>
        <v>4.7</v>
      </c>
      <c r="G12501" s="4" t="str">
        <f>HYPERLINK("http://141.218.60.56/~jnz1568/getInfo.php?workbook=10_05.xlsx&amp;sheet=U0&amp;row=12501&amp;col=7&amp;number=0.0292&amp;sourceID=14","0.0292")</f>
        <v>0.0292</v>
      </c>
    </row>
    <row r="12502" spans="1:7">
      <c r="A12502" s="3"/>
      <c r="B12502" s="3"/>
      <c r="C12502" s="3"/>
      <c r="D12502" s="3"/>
      <c r="E12502" s="3">
        <v>19</v>
      </c>
      <c r="F12502" s="4" t="str">
        <f>HYPERLINK("http://141.218.60.56/~jnz1568/getInfo.php?workbook=10_05.xlsx&amp;sheet=U0&amp;row=12502&amp;col=6&amp;number=4.8&amp;sourceID=14","4.8")</f>
        <v>4.8</v>
      </c>
      <c r="G12502" s="4" t="str">
        <f>HYPERLINK("http://141.218.60.56/~jnz1568/getInfo.php?workbook=10_05.xlsx&amp;sheet=U0&amp;row=12502&amp;col=7&amp;number=0.0271&amp;sourceID=14","0.0271")</f>
        <v>0.0271</v>
      </c>
    </row>
    <row r="12503" spans="1:7">
      <c r="A12503" s="3"/>
      <c r="B12503" s="3"/>
      <c r="C12503" s="3"/>
      <c r="D12503" s="3"/>
      <c r="E12503" s="3">
        <v>20</v>
      </c>
      <c r="F12503" s="4" t="str">
        <f>HYPERLINK("http://141.218.60.56/~jnz1568/getInfo.php?workbook=10_05.xlsx&amp;sheet=U0&amp;row=12503&amp;col=6&amp;number=4.9&amp;sourceID=14","4.9")</f>
        <v>4.9</v>
      </c>
      <c r="G12503" s="4" t="str">
        <f>HYPERLINK("http://141.218.60.56/~jnz1568/getInfo.php?workbook=10_05.xlsx&amp;sheet=U0&amp;row=12503&amp;col=7&amp;number=0.0252&amp;sourceID=14","0.0252")</f>
        <v>0.0252</v>
      </c>
    </row>
    <row r="12504" spans="1:7">
      <c r="A12504" s="3">
        <v>10</v>
      </c>
      <c r="B12504" s="3">
        <v>5</v>
      </c>
      <c r="C12504" s="3">
        <v>4</v>
      </c>
      <c r="D12504" s="3">
        <v>96</v>
      </c>
      <c r="E12504" s="3">
        <v>1</v>
      </c>
      <c r="F12504" s="4" t="str">
        <f>HYPERLINK("http://141.218.60.56/~jnz1568/getInfo.php?workbook=10_05.xlsx&amp;sheet=U0&amp;row=12504&amp;col=6&amp;number=3&amp;sourceID=14","3")</f>
        <v>3</v>
      </c>
      <c r="G12504" s="4" t="str">
        <f>HYPERLINK("http://141.218.60.56/~jnz1568/getInfo.php?workbook=10_05.xlsx&amp;sheet=U0&amp;row=12504&amp;col=7&amp;number=0.00871&amp;sourceID=14","0.00871")</f>
        <v>0.00871</v>
      </c>
    </row>
    <row r="12505" spans="1:7">
      <c r="A12505" s="3"/>
      <c r="B12505" s="3"/>
      <c r="C12505" s="3"/>
      <c r="D12505" s="3"/>
      <c r="E12505" s="3">
        <v>2</v>
      </c>
      <c r="F12505" s="4" t="str">
        <f>HYPERLINK("http://141.218.60.56/~jnz1568/getInfo.php?workbook=10_05.xlsx&amp;sheet=U0&amp;row=12505&amp;col=6&amp;number=3.1&amp;sourceID=14","3.1")</f>
        <v>3.1</v>
      </c>
      <c r="G12505" s="4" t="str">
        <f>HYPERLINK("http://141.218.60.56/~jnz1568/getInfo.php?workbook=10_05.xlsx&amp;sheet=U0&amp;row=12505&amp;col=7&amp;number=0.00864&amp;sourceID=14","0.00864")</f>
        <v>0.00864</v>
      </c>
    </row>
    <row r="12506" spans="1:7">
      <c r="A12506" s="3"/>
      <c r="B12506" s="3"/>
      <c r="C12506" s="3"/>
      <c r="D12506" s="3"/>
      <c r="E12506" s="3">
        <v>3</v>
      </c>
      <c r="F12506" s="4" t="str">
        <f>HYPERLINK("http://141.218.60.56/~jnz1568/getInfo.php?workbook=10_05.xlsx&amp;sheet=U0&amp;row=12506&amp;col=6&amp;number=3.2&amp;sourceID=14","3.2")</f>
        <v>3.2</v>
      </c>
      <c r="G12506" s="4" t="str">
        <f>HYPERLINK("http://141.218.60.56/~jnz1568/getInfo.php?workbook=10_05.xlsx&amp;sheet=U0&amp;row=12506&amp;col=7&amp;number=0.00855&amp;sourceID=14","0.00855")</f>
        <v>0.00855</v>
      </c>
    </row>
    <row r="12507" spans="1:7">
      <c r="A12507" s="3"/>
      <c r="B12507" s="3"/>
      <c r="C12507" s="3"/>
      <c r="D12507" s="3"/>
      <c r="E12507" s="3">
        <v>4</v>
      </c>
      <c r="F12507" s="4" t="str">
        <f>HYPERLINK("http://141.218.60.56/~jnz1568/getInfo.php?workbook=10_05.xlsx&amp;sheet=U0&amp;row=12507&amp;col=6&amp;number=3.3&amp;sourceID=14","3.3")</f>
        <v>3.3</v>
      </c>
      <c r="G12507" s="4" t="str">
        <f>HYPERLINK("http://141.218.60.56/~jnz1568/getInfo.php?workbook=10_05.xlsx&amp;sheet=U0&amp;row=12507&amp;col=7&amp;number=0.00843&amp;sourceID=14","0.00843")</f>
        <v>0.00843</v>
      </c>
    </row>
    <row r="12508" spans="1:7">
      <c r="A12508" s="3"/>
      <c r="B12508" s="3"/>
      <c r="C12508" s="3"/>
      <c r="D12508" s="3"/>
      <c r="E12508" s="3">
        <v>5</v>
      </c>
      <c r="F12508" s="4" t="str">
        <f>HYPERLINK("http://141.218.60.56/~jnz1568/getInfo.php?workbook=10_05.xlsx&amp;sheet=U0&amp;row=12508&amp;col=6&amp;number=3.4&amp;sourceID=14","3.4")</f>
        <v>3.4</v>
      </c>
      <c r="G12508" s="4" t="str">
        <f>HYPERLINK("http://141.218.60.56/~jnz1568/getInfo.php?workbook=10_05.xlsx&amp;sheet=U0&amp;row=12508&amp;col=7&amp;number=0.00829&amp;sourceID=14","0.00829")</f>
        <v>0.00829</v>
      </c>
    </row>
    <row r="12509" spans="1:7">
      <c r="A12509" s="3"/>
      <c r="B12509" s="3"/>
      <c r="C12509" s="3"/>
      <c r="D12509" s="3"/>
      <c r="E12509" s="3">
        <v>6</v>
      </c>
      <c r="F12509" s="4" t="str">
        <f>HYPERLINK("http://141.218.60.56/~jnz1568/getInfo.php?workbook=10_05.xlsx&amp;sheet=U0&amp;row=12509&amp;col=6&amp;number=3.5&amp;sourceID=14","3.5")</f>
        <v>3.5</v>
      </c>
      <c r="G12509" s="4" t="str">
        <f>HYPERLINK("http://141.218.60.56/~jnz1568/getInfo.php?workbook=10_05.xlsx&amp;sheet=U0&amp;row=12509&amp;col=7&amp;number=0.00812&amp;sourceID=14","0.00812")</f>
        <v>0.00812</v>
      </c>
    </row>
    <row r="12510" spans="1:7">
      <c r="A12510" s="3"/>
      <c r="B12510" s="3"/>
      <c r="C12510" s="3"/>
      <c r="D12510" s="3"/>
      <c r="E12510" s="3">
        <v>7</v>
      </c>
      <c r="F12510" s="4" t="str">
        <f>HYPERLINK("http://141.218.60.56/~jnz1568/getInfo.php?workbook=10_05.xlsx&amp;sheet=U0&amp;row=12510&amp;col=6&amp;number=3.6&amp;sourceID=14","3.6")</f>
        <v>3.6</v>
      </c>
      <c r="G12510" s="4" t="str">
        <f>HYPERLINK("http://141.218.60.56/~jnz1568/getInfo.php?workbook=10_05.xlsx&amp;sheet=U0&amp;row=12510&amp;col=7&amp;number=0.00791&amp;sourceID=14","0.00791")</f>
        <v>0.00791</v>
      </c>
    </row>
    <row r="12511" spans="1:7">
      <c r="A12511" s="3"/>
      <c r="B12511" s="3"/>
      <c r="C12511" s="3"/>
      <c r="D12511" s="3"/>
      <c r="E12511" s="3">
        <v>8</v>
      </c>
      <c r="F12511" s="4" t="str">
        <f>HYPERLINK("http://141.218.60.56/~jnz1568/getInfo.php?workbook=10_05.xlsx&amp;sheet=U0&amp;row=12511&amp;col=6&amp;number=3.7&amp;sourceID=14","3.7")</f>
        <v>3.7</v>
      </c>
      <c r="G12511" s="4" t="str">
        <f>HYPERLINK("http://141.218.60.56/~jnz1568/getInfo.php?workbook=10_05.xlsx&amp;sheet=U0&amp;row=12511&amp;col=7&amp;number=0.00765&amp;sourceID=14","0.00765")</f>
        <v>0.00765</v>
      </c>
    </row>
    <row r="12512" spans="1:7">
      <c r="A12512" s="3"/>
      <c r="B12512" s="3"/>
      <c r="C12512" s="3"/>
      <c r="D12512" s="3"/>
      <c r="E12512" s="3">
        <v>9</v>
      </c>
      <c r="F12512" s="4" t="str">
        <f>HYPERLINK("http://141.218.60.56/~jnz1568/getInfo.php?workbook=10_05.xlsx&amp;sheet=U0&amp;row=12512&amp;col=6&amp;number=3.8&amp;sourceID=14","3.8")</f>
        <v>3.8</v>
      </c>
      <c r="G12512" s="4" t="str">
        <f>HYPERLINK("http://141.218.60.56/~jnz1568/getInfo.php?workbook=10_05.xlsx&amp;sheet=U0&amp;row=12512&amp;col=7&amp;number=0.00734&amp;sourceID=14","0.00734")</f>
        <v>0.00734</v>
      </c>
    </row>
    <row r="12513" spans="1:7">
      <c r="A12513" s="3"/>
      <c r="B12513" s="3"/>
      <c r="C12513" s="3"/>
      <c r="D12513" s="3"/>
      <c r="E12513" s="3">
        <v>10</v>
      </c>
      <c r="F12513" s="4" t="str">
        <f>HYPERLINK("http://141.218.60.56/~jnz1568/getInfo.php?workbook=10_05.xlsx&amp;sheet=U0&amp;row=12513&amp;col=6&amp;number=3.9&amp;sourceID=14","3.9")</f>
        <v>3.9</v>
      </c>
      <c r="G12513" s="4" t="str">
        <f>HYPERLINK("http://141.218.60.56/~jnz1568/getInfo.php?workbook=10_05.xlsx&amp;sheet=U0&amp;row=12513&amp;col=7&amp;number=0.00698&amp;sourceID=14","0.00698")</f>
        <v>0.00698</v>
      </c>
    </row>
    <row r="12514" spans="1:7">
      <c r="A12514" s="3"/>
      <c r="B12514" s="3"/>
      <c r="C12514" s="3"/>
      <c r="D12514" s="3"/>
      <c r="E12514" s="3">
        <v>11</v>
      </c>
      <c r="F12514" s="4" t="str">
        <f>HYPERLINK("http://141.218.60.56/~jnz1568/getInfo.php?workbook=10_05.xlsx&amp;sheet=U0&amp;row=12514&amp;col=6&amp;number=4&amp;sourceID=14","4")</f>
        <v>4</v>
      </c>
      <c r="G12514" s="4" t="str">
        <f>HYPERLINK("http://141.218.60.56/~jnz1568/getInfo.php?workbook=10_05.xlsx&amp;sheet=U0&amp;row=12514&amp;col=7&amp;number=0.00656&amp;sourceID=14","0.00656")</f>
        <v>0.00656</v>
      </c>
    </row>
    <row r="12515" spans="1:7">
      <c r="A12515" s="3"/>
      <c r="B12515" s="3"/>
      <c r="C12515" s="3"/>
      <c r="D12515" s="3"/>
      <c r="E12515" s="3">
        <v>12</v>
      </c>
      <c r="F12515" s="4" t="str">
        <f>HYPERLINK("http://141.218.60.56/~jnz1568/getInfo.php?workbook=10_05.xlsx&amp;sheet=U0&amp;row=12515&amp;col=6&amp;number=4.1&amp;sourceID=14","4.1")</f>
        <v>4.1</v>
      </c>
      <c r="G12515" s="4" t="str">
        <f>HYPERLINK("http://141.218.60.56/~jnz1568/getInfo.php?workbook=10_05.xlsx&amp;sheet=U0&amp;row=12515&amp;col=7&amp;number=0.0061&amp;sourceID=14","0.0061")</f>
        <v>0.0061</v>
      </c>
    </row>
    <row r="12516" spans="1:7">
      <c r="A12516" s="3"/>
      <c r="B12516" s="3"/>
      <c r="C12516" s="3"/>
      <c r="D12516" s="3"/>
      <c r="E12516" s="3">
        <v>13</v>
      </c>
      <c r="F12516" s="4" t="str">
        <f>HYPERLINK("http://141.218.60.56/~jnz1568/getInfo.php?workbook=10_05.xlsx&amp;sheet=U0&amp;row=12516&amp;col=6&amp;number=4.2&amp;sourceID=14","4.2")</f>
        <v>4.2</v>
      </c>
      <c r="G12516" s="4" t="str">
        <f>HYPERLINK("http://141.218.60.56/~jnz1568/getInfo.php?workbook=10_05.xlsx&amp;sheet=U0&amp;row=12516&amp;col=7&amp;number=0.00562&amp;sourceID=14","0.00562")</f>
        <v>0.00562</v>
      </c>
    </row>
    <row r="12517" spans="1:7">
      <c r="A12517" s="3"/>
      <c r="B12517" s="3"/>
      <c r="C12517" s="3"/>
      <c r="D12517" s="3"/>
      <c r="E12517" s="3">
        <v>14</v>
      </c>
      <c r="F12517" s="4" t="str">
        <f>HYPERLINK("http://141.218.60.56/~jnz1568/getInfo.php?workbook=10_05.xlsx&amp;sheet=U0&amp;row=12517&amp;col=6&amp;number=4.3&amp;sourceID=14","4.3")</f>
        <v>4.3</v>
      </c>
      <c r="G12517" s="4" t="str">
        <f>HYPERLINK("http://141.218.60.56/~jnz1568/getInfo.php?workbook=10_05.xlsx&amp;sheet=U0&amp;row=12517&amp;col=7&amp;number=0.00514&amp;sourceID=14","0.00514")</f>
        <v>0.00514</v>
      </c>
    </row>
    <row r="12518" spans="1:7">
      <c r="A12518" s="3"/>
      <c r="B12518" s="3"/>
      <c r="C12518" s="3"/>
      <c r="D12518" s="3"/>
      <c r="E12518" s="3">
        <v>15</v>
      </c>
      <c r="F12518" s="4" t="str">
        <f>HYPERLINK("http://141.218.60.56/~jnz1568/getInfo.php?workbook=10_05.xlsx&amp;sheet=U0&amp;row=12518&amp;col=6&amp;number=4.4&amp;sourceID=14","4.4")</f>
        <v>4.4</v>
      </c>
      <c r="G12518" s="4" t="str">
        <f>HYPERLINK("http://141.218.60.56/~jnz1568/getInfo.php?workbook=10_05.xlsx&amp;sheet=U0&amp;row=12518&amp;col=7&amp;number=0.00465&amp;sourceID=14","0.00465")</f>
        <v>0.00465</v>
      </c>
    </row>
    <row r="12519" spans="1:7">
      <c r="A12519" s="3"/>
      <c r="B12519" s="3"/>
      <c r="C12519" s="3"/>
      <c r="D12519" s="3"/>
      <c r="E12519" s="3">
        <v>16</v>
      </c>
      <c r="F12519" s="4" t="str">
        <f>HYPERLINK("http://141.218.60.56/~jnz1568/getInfo.php?workbook=10_05.xlsx&amp;sheet=U0&amp;row=12519&amp;col=6&amp;number=4.5&amp;sourceID=14","4.5")</f>
        <v>4.5</v>
      </c>
      <c r="G12519" s="4" t="str">
        <f>HYPERLINK("http://141.218.60.56/~jnz1568/getInfo.php?workbook=10_05.xlsx&amp;sheet=U0&amp;row=12519&amp;col=7&amp;number=0.00414&amp;sourceID=14","0.00414")</f>
        <v>0.00414</v>
      </c>
    </row>
    <row r="12520" spans="1:7">
      <c r="A12520" s="3"/>
      <c r="B12520" s="3"/>
      <c r="C12520" s="3"/>
      <c r="D12520" s="3"/>
      <c r="E12520" s="3">
        <v>17</v>
      </c>
      <c r="F12520" s="4" t="str">
        <f>HYPERLINK("http://141.218.60.56/~jnz1568/getInfo.php?workbook=10_05.xlsx&amp;sheet=U0&amp;row=12520&amp;col=6&amp;number=4.6&amp;sourceID=14","4.6")</f>
        <v>4.6</v>
      </c>
      <c r="G12520" s="4" t="str">
        <f>HYPERLINK("http://141.218.60.56/~jnz1568/getInfo.php?workbook=10_05.xlsx&amp;sheet=U0&amp;row=12520&amp;col=7&amp;number=0.00362&amp;sourceID=14","0.00362")</f>
        <v>0.00362</v>
      </c>
    </row>
    <row r="12521" spans="1:7">
      <c r="A12521" s="3"/>
      <c r="B12521" s="3"/>
      <c r="C12521" s="3"/>
      <c r="D12521" s="3"/>
      <c r="E12521" s="3">
        <v>18</v>
      </c>
      <c r="F12521" s="4" t="str">
        <f>HYPERLINK("http://141.218.60.56/~jnz1568/getInfo.php?workbook=10_05.xlsx&amp;sheet=U0&amp;row=12521&amp;col=6&amp;number=4.7&amp;sourceID=14","4.7")</f>
        <v>4.7</v>
      </c>
      <c r="G12521" s="4" t="str">
        <f>HYPERLINK("http://141.218.60.56/~jnz1568/getInfo.php?workbook=10_05.xlsx&amp;sheet=U0&amp;row=12521&amp;col=7&amp;number=0.00311&amp;sourceID=14","0.00311")</f>
        <v>0.00311</v>
      </c>
    </row>
    <row r="12522" spans="1:7">
      <c r="A12522" s="3"/>
      <c r="B12522" s="3"/>
      <c r="C12522" s="3"/>
      <c r="D12522" s="3"/>
      <c r="E12522" s="3">
        <v>19</v>
      </c>
      <c r="F12522" s="4" t="str">
        <f>HYPERLINK("http://141.218.60.56/~jnz1568/getInfo.php?workbook=10_05.xlsx&amp;sheet=U0&amp;row=12522&amp;col=6&amp;number=4.8&amp;sourceID=14","4.8")</f>
        <v>4.8</v>
      </c>
      <c r="G12522" s="4" t="str">
        <f>HYPERLINK("http://141.218.60.56/~jnz1568/getInfo.php?workbook=10_05.xlsx&amp;sheet=U0&amp;row=12522&amp;col=7&amp;number=0.00266&amp;sourceID=14","0.00266")</f>
        <v>0.00266</v>
      </c>
    </row>
    <row r="12523" spans="1:7">
      <c r="A12523" s="3"/>
      <c r="B12523" s="3"/>
      <c r="C12523" s="3"/>
      <c r="D12523" s="3"/>
      <c r="E12523" s="3">
        <v>20</v>
      </c>
      <c r="F12523" s="4" t="str">
        <f>HYPERLINK("http://141.218.60.56/~jnz1568/getInfo.php?workbook=10_05.xlsx&amp;sheet=U0&amp;row=12523&amp;col=6&amp;number=4.9&amp;sourceID=14","4.9")</f>
        <v>4.9</v>
      </c>
      <c r="G12523" s="4" t="str">
        <f>HYPERLINK("http://141.218.60.56/~jnz1568/getInfo.php?workbook=10_05.xlsx&amp;sheet=U0&amp;row=12523&amp;col=7&amp;number=0.00226&amp;sourceID=14","0.00226")</f>
        <v>0.00226</v>
      </c>
    </row>
    <row r="12524" spans="1:7">
      <c r="A12524" s="3">
        <v>10</v>
      </c>
      <c r="B12524" s="3">
        <v>5</v>
      </c>
      <c r="C12524" s="3">
        <v>4</v>
      </c>
      <c r="D12524" s="3">
        <v>97</v>
      </c>
      <c r="E12524" s="3">
        <v>1</v>
      </c>
      <c r="F12524" s="4" t="str">
        <f>HYPERLINK("http://141.218.60.56/~jnz1568/getInfo.php?workbook=10_05.xlsx&amp;sheet=U0&amp;row=12524&amp;col=6&amp;number=3&amp;sourceID=14","3")</f>
        <v>3</v>
      </c>
      <c r="G12524" s="4" t="str">
        <f>HYPERLINK("http://141.218.60.56/~jnz1568/getInfo.php?workbook=10_05.xlsx&amp;sheet=U0&amp;row=12524&amp;col=7&amp;number=0.00904&amp;sourceID=14","0.00904")</f>
        <v>0.00904</v>
      </c>
    </row>
    <row r="12525" spans="1:7">
      <c r="A12525" s="3"/>
      <c r="B12525" s="3"/>
      <c r="C12525" s="3"/>
      <c r="D12525" s="3"/>
      <c r="E12525" s="3">
        <v>2</v>
      </c>
      <c r="F12525" s="4" t="str">
        <f>HYPERLINK("http://141.218.60.56/~jnz1568/getInfo.php?workbook=10_05.xlsx&amp;sheet=U0&amp;row=12525&amp;col=6&amp;number=3.1&amp;sourceID=14","3.1")</f>
        <v>3.1</v>
      </c>
      <c r="G12525" s="4" t="str">
        <f>HYPERLINK("http://141.218.60.56/~jnz1568/getInfo.php?workbook=10_05.xlsx&amp;sheet=U0&amp;row=12525&amp;col=7&amp;number=0.00898&amp;sourceID=14","0.00898")</f>
        <v>0.00898</v>
      </c>
    </row>
    <row r="12526" spans="1:7">
      <c r="A12526" s="3"/>
      <c r="B12526" s="3"/>
      <c r="C12526" s="3"/>
      <c r="D12526" s="3"/>
      <c r="E12526" s="3">
        <v>3</v>
      </c>
      <c r="F12526" s="4" t="str">
        <f>HYPERLINK("http://141.218.60.56/~jnz1568/getInfo.php?workbook=10_05.xlsx&amp;sheet=U0&amp;row=12526&amp;col=6&amp;number=3.2&amp;sourceID=14","3.2")</f>
        <v>3.2</v>
      </c>
      <c r="G12526" s="4" t="str">
        <f>HYPERLINK("http://141.218.60.56/~jnz1568/getInfo.php?workbook=10_05.xlsx&amp;sheet=U0&amp;row=12526&amp;col=7&amp;number=0.00891&amp;sourceID=14","0.00891")</f>
        <v>0.00891</v>
      </c>
    </row>
    <row r="12527" spans="1:7">
      <c r="A12527" s="3"/>
      <c r="B12527" s="3"/>
      <c r="C12527" s="3"/>
      <c r="D12527" s="3"/>
      <c r="E12527" s="3">
        <v>4</v>
      </c>
      <c r="F12527" s="4" t="str">
        <f>HYPERLINK("http://141.218.60.56/~jnz1568/getInfo.php?workbook=10_05.xlsx&amp;sheet=U0&amp;row=12527&amp;col=6&amp;number=3.3&amp;sourceID=14","3.3")</f>
        <v>3.3</v>
      </c>
      <c r="G12527" s="4" t="str">
        <f>HYPERLINK("http://141.218.60.56/~jnz1568/getInfo.php?workbook=10_05.xlsx&amp;sheet=U0&amp;row=12527&amp;col=7&amp;number=0.00883&amp;sourceID=14","0.00883")</f>
        <v>0.00883</v>
      </c>
    </row>
    <row r="12528" spans="1:7">
      <c r="A12528" s="3"/>
      <c r="B12528" s="3"/>
      <c r="C12528" s="3"/>
      <c r="D12528" s="3"/>
      <c r="E12528" s="3">
        <v>5</v>
      </c>
      <c r="F12528" s="4" t="str">
        <f>HYPERLINK("http://141.218.60.56/~jnz1568/getInfo.php?workbook=10_05.xlsx&amp;sheet=U0&amp;row=12528&amp;col=6&amp;number=3.4&amp;sourceID=14","3.4")</f>
        <v>3.4</v>
      </c>
      <c r="G12528" s="4" t="str">
        <f>HYPERLINK("http://141.218.60.56/~jnz1568/getInfo.php?workbook=10_05.xlsx&amp;sheet=U0&amp;row=12528&amp;col=7&amp;number=0.00872&amp;sourceID=14","0.00872")</f>
        <v>0.00872</v>
      </c>
    </row>
    <row r="12529" spans="1:7">
      <c r="A12529" s="3"/>
      <c r="B12529" s="3"/>
      <c r="C12529" s="3"/>
      <c r="D12529" s="3"/>
      <c r="E12529" s="3">
        <v>6</v>
      </c>
      <c r="F12529" s="4" t="str">
        <f>HYPERLINK("http://141.218.60.56/~jnz1568/getInfo.php?workbook=10_05.xlsx&amp;sheet=U0&amp;row=12529&amp;col=6&amp;number=3.5&amp;sourceID=14","3.5")</f>
        <v>3.5</v>
      </c>
      <c r="G12529" s="4" t="str">
        <f>HYPERLINK("http://141.218.60.56/~jnz1568/getInfo.php?workbook=10_05.xlsx&amp;sheet=U0&amp;row=12529&amp;col=7&amp;number=0.00858&amp;sourceID=14","0.00858")</f>
        <v>0.00858</v>
      </c>
    </row>
    <row r="12530" spans="1:7">
      <c r="A12530" s="3"/>
      <c r="B12530" s="3"/>
      <c r="C12530" s="3"/>
      <c r="D12530" s="3"/>
      <c r="E12530" s="3">
        <v>7</v>
      </c>
      <c r="F12530" s="4" t="str">
        <f>HYPERLINK("http://141.218.60.56/~jnz1568/getInfo.php?workbook=10_05.xlsx&amp;sheet=U0&amp;row=12530&amp;col=6&amp;number=3.6&amp;sourceID=14","3.6")</f>
        <v>3.6</v>
      </c>
      <c r="G12530" s="4" t="str">
        <f>HYPERLINK("http://141.218.60.56/~jnz1568/getInfo.php?workbook=10_05.xlsx&amp;sheet=U0&amp;row=12530&amp;col=7&amp;number=0.00841&amp;sourceID=14","0.00841")</f>
        <v>0.00841</v>
      </c>
    </row>
    <row r="12531" spans="1:7">
      <c r="A12531" s="3"/>
      <c r="B12531" s="3"/>
      <c r="C12531" s="3"/>
      <c r="D12531" s="3"/>
      <c r="E12531" s="3">
        <v>8</v>
      </c>
      <c r="F12531" s="4" t="str">
        <f>HYPERLINK("http://141.218.60.56/~jnz1568/getInfo.php?workbook=10_05.xlsx&amp;sheet=U0&amp;row=12531&amp;col=6&amp;number=3.7&amp;sourceID=14","3.7")</f>
        <v>3.7</v>
      </c>
      <c r="G12531" s="4" t="str">
        <f>HYPERLINK("http://141.218.60.56/~jnz1568/getInfo.php?workbook=10_05.xlsx&amp;sheet=U0&amp;row=12531&amp;col=7&amp;number=0.00821&amp;sourceID=14","0.00821")</f>
        <v>0.00821</v>
      </c>
    </row>
    <row r="12532" spans="1:7">
      <c r="A12532" s="3"/>
      <c r="B12532" s="3"/>
      <c r="C12532" s="3"/>
      <c r="D12532" s="3"/>
      <c r="E12532" s="3">
        <v>9</v>
      </c>
      <c r="F12532" s="4" t="str">
        <f>HYPERLINK("http://141.218.60.56/~jnz1568/getInfo.php?workbook=10_05.xlsx&amp;sheet=U0&amp;row=12532&amp;col=6&amp;number=3.8&amp;sourceID=14","3.8")</f>
        <v>3.8</v>
      </c>
      <c r="G12532" s="4" t="str">
        <f>HYPERLINK("http://141.218.60.56/~jnz1568/getInfo.php?workbook=10_05.xlsx&amp;sheet=U0&amp;row=12532&amp;col=7&amp;number=0.00795&amp;sourceID=14","0.00795")</f>
        <v>0.00795</v>
      </c>
    </row>
    <row r="12533" spans="1:7">
      <c r="A12533" s="3"/>
      <c r="B12533" s="3"/>
      <c r="C12533" s="3"/>
      <c r="D12533" s="3"/>
      <c r="E12533" s="3">
        <v>10</v>
      </c>
      <c r="F12533" s="4" t="str">
        <f>HYPERLINK("http://141.218.60.56/~jnz1568/getInfo.php?workbook=10_05.xlsx&amp;sheet=U0&amp;row=12533&amp;col=6&amp;number=3.9&amp;sourceID=14","3.9")</f>
        <v>3.9</v>
      </c>
      <c r="G12533" s="4" t="str">
        <f>HYPERLINK("http://141.218.60.56/~jnz1568/getInfo.php?workbook=10_05.xlsx&amp;sheet=U0&amp;row=12533&amp;col=7&amp;number=0.00765&amp;sourceID=14","0.00765")</f>
        <v>0.00765</v>
      </c>
    </row>
    <row r="12534" spans="1:7">
      <c r="A12534" s="3"/>
      <c r="B12534" s="3"/>
      <c r="C12534" s="3"/>
      <c r="D12534" s="3"/>
      <c r="E12534" s="3">
        <v>11</v>
      </c>
      <c r="F12534" s="4" t="str">
        <f>HYPERLINK("http://141.218.60.56/~jnz1568/getInfo.php?workbook=10_05.xlsx&amp;sheet=U0&amp;row=12534&amp;col=6&amp;number=4&amp;sourceID=14","4")</f>
        <v>4</v>
      </c>
      <c r="G12534" s="4" t="str">
        <f>HYPERLINK("http://141.218.60.56/~jnz1568/getInfo.php?workbook=10_05.xlsx&amp;sheet=U0&amp;row=12534&amp;col=7&amp;number=0.00729&amp;sourceID=14","0.00729")</f>
        <v>0.00729</v>
      </c>
    </row>
    <row r="12535" spans="1:7">
      <c r="A12535" s="3"/>
      <c r="B12535" s="3"/>
      <c r="C12535" s="3"/>
      <c r="D12535" s="3"/>
      <c r="E12535" s="3">
        <v>12</v>
      </c>
      <c r="F12535" s="4" t="str">
        <f>HYPERLINK("http://141.218.60.56/~jnz1568/getInfo.php?workbook=10_05.xlsx&amp;sheet=U0&amp;row=12535&amp;col=6&amp;number=4.1&amp;sourceID=14","4.1")</f>
        <v>4.1</v>
      </c>
      <c r="G12535" s="4" t="str">
        <f>HYPERLINK("http://141.218.60.56/~jnz1568/getInfo.php?workbook=10_05.xlsx&amp;sheet=U0&amp;row=12535&amp;col=7&amp;number=0.00687&amp;sourceID=14","0.00687")</f>
        <v>0.00687</v>
      </c>
    </row>
    <row r="12536" spans="1:7">
      <c r="A12536" s="3"/>
      <c r="B12536" s="3"/>
      <c r="C12536" s="3"/>
      <c r="D12536" s="3"/>
      <c r="E12536" s="3">
        <v>13</v>
      </c>
      <c r="F12536" s="4" t="str">
        <f>HYPERLINK("http://141.218.60.56/~jnz1568/getInfo.php?workbook=10_05.xlsx&amp;sheet=U0&amp;row=12536&amp;col=6&amp;number=4.2&amp;sourceID=14","4.2")</f>
        <v>4.2</v>
      </c>
      <c r="G12536" s="4" t="str">
        <f>HYPERLINK("http://141.218.60.56/~jnz1568/getInfo.php?workbook=10_05.xlsx&amp;sheet=U0&amp;row=12536&amp;col=7&amp;number=0.0064&amp;sourceID=14","0.0064")</f>
        <v>0.0064</v>
      </c>
    </row>
    <row r="12537" spans="1:7">
      <c r="A12537" s="3"/>
      <c r="B12537" s="3"/>
      <c r="C12537" s="3"/>
      <c r="D12537" s="3"/>
      <c r="E12537" s="3">
        <v>14</v>
      </c>
      <c r="F12537" s="4" t="str">
        <f>HYPERLINK("http://141.218.60.56/~jnz1568/getInfo.php?workbook=10_05.xlsx&amp;sheet=U0&amp;row=12537&amp;col=6&amp;number=4.3&amp;sourceID=14","4.3")</f>
        <v>4.3</v>
      </c>
      <c r="G12537" s="4" t="str">
        <f>HYPERLINK("http://141.218.60.56/~jnz1568/getInfo.php?workbook=10_05.xlsx&amp;sheet=U0&amp;row=12537&amp;col=7&amp;number=0.00588&amp;sourceID=14","0.00588")</f>
        <v>0.00588</v>
      </c>
    </row>
    <row r="12538" spans="1:7">
      <c r="A12538" s="3"/>
      <c r="B12538" s="3"/>
      <c r="C12538" s="3"/>
      <c r="D12538" s="3"/>
      <c r="E12538" s="3">
        <v>15</v>
      </c>
      <c r="F12538" s="4" t="str">
        <f>HYPERLINK("http://141.218.60.56/~jnz1568/getInfo.php?workbook=10_05.xlsx&amp;sheet=U0&amp;row=12538&amp;col=6&amp;number=4.4&amp;sourceID=14","4.4")</f>
        <v>4.4</v>
      </c>
      <c r="G12538" s="4" t="str">
        <f>HYPERLINK("http://141.218.60.56/~jnz1568/getInfo.php?workbook=10_05.xlsx&amp;sheet=U0&amp;row=12538&amp;col=7&amp;number=0.00534&amp;sourceID=14","0.00534")</f>
        <v>0.00534</v>
      </c>
    </row>
    <row r="12539" spans="1:7">
      <c r="A12539" s="3"/>
      <c r="B12539" s="3"/>
      <c r="C12539" s="3"/>
      <c r="D12539" s="3"/>
      <c r="E12539" s="3">
        <v>16</v>
      </c>
      <c r="F12539" s="4" t="str">
        <f>HYPERLINK("http://141.218.60.56/~jnz1568/getInfo.php?workbook=10_05.xlsx&amp;sheet=U0&amp;row=12539&amp;col=6&amp;number=4.5&amp;sourceID=14","4.5")</f>
        <v>4.5</v>
      </c>
      <c r="G12539" s="4" t="str">
        <f>HYPERLINK("http://141.218.60.56/~jnz1568/getInfo.php?workbook=10_05.xlsx&amp;sheet=U0&amp;row=12539&amp;col=7&amp;number=0.00477&amp;sourceID=14","0.00477")</f>
        <v>0.00477</v>
      </c>
    </row>
    <row r="12540" spans="1:7">
      <c r="A12540" s="3"/>
      <c r="B12540" s="3"/>
      <c r="C12540" s="3"/>
      <c r="D12540" s="3"/>
      <c r="E12540" s="3">
        <v>17</v>
      </c>
      <c r="F12540" s="4" t="str">
        <f>HYPERLINK("http://141.218.60.56/~jnz1568/getInfo.php?workbook=10_05.xlsx&amp;sheet=U0&amp;row=12540&amp;col=6&amp;number=4.6&amp;sourceID=14","4.6")</f>
        <v>4.6</v>
      </c>
      <c r="G12540" s="4" t="str">
        <f>HYPERLINK("http://141.218.60.56/~jnz1568/getInfo.php?workbook=10_05.xlsx&amp;sheet=U0&amp;row=12540&amp;col=7&amp;number=0.00419&amp;sourceID=14","0.00419")</f>
        <v>0.00419</v>
      </c>
    </row>
    <row r="12541" spans="1:7">
      <c r="A12541" s="3"/>
      <c r="B12541" s="3"/>
      <c r="C12541" s="3"/>
      <c r="D12541" s="3"/>
      <c r="E12541" s="3">
        <v>18</v>
      </c>
      <c r="F12541" s="4" t="str">
        <f>HYPERLINK("http://141.218.60.56/~jnz1568/getInfo.php?workbook=10_05.xlsx&amp;sheet=U0&amp;row=12541&amp;col=6&amp;number=4.7&amp;sourceID=14","4.7")</f>
        <v>4.7</v>
      </c>
      <c r="G12541" s="4" t="str">
        <f>HYPERLINK("http://141.218.60.56/~jnz1568/getInfo.php?workbook=10_05.xlsx&amp;sheet=U0&amp;row=12541&amp;col=7&amp;number=0.00362&amp;sourceID=14","0.00362")</f>
        <v>0.00362</v>
      </c>
    </row>
    <row r="12542" spans="1:7">
      <c r="A12542" s="3"/>
      <c r="B12542" s="3"/>
      <c r="C12542" s="3"/>
      <c r="D12542" s="3"/>
      <c r="E12542" s="3">
        <v>19</v>
      </c>
      <c r="F12542" s="4" t="str">
        <f>HYPERLINK("http://141.218.60.56/~jnz1568/getInfo.php?workbook=10_05.xlsx&amp;sheet=U0&amp;row=12542&amp;col=6&amp;number=4.8&amp;sourceID=14","4.8")</f>
        <v>4.8</v>
      </c>
      <c r="G12542" s="4" t="str">
        <f>HYPERLINK("http://141.218.60.56/~jnz1568/getInfo.php?workbook=10_05.xlsx&amp;sheet=U0&amp;row=12542&amp;col=7&amp;number=0.00309&amp;sourceID=14","0.00309")</f>
        <v>0.00309</v>
      </c>
    </row>
    <row r="12543" spans="1:7">
      <c r="A12543" s="3"/>
      <c r="B12543" s="3"/>
      <c r="C12543" s="3"/>
      <c r="D12543" s="3"/>
      <c r="E12543" s="3">
        <v>20</v>
      </c>
      <c r="F12543" s="4" t="str">
        <f>HYPERLINK("http://141.218.60.56/~jnz1568/getInfo.php?workbook=10_05.xlsx&amp;sheet=U0&amp;row=12543&amp;col=6&amp;number=4.9&amp;sourceID=14","4.9")</f>
        <v>4.9</v>
      </c>
      <c r="G12543" s="4" t="str">
        <f>HYPERLINK("http://141.218.60.56/~jnz1568/getInfo.php?workbook=10_05.xlsx&amp;sheet=U0&amp;row=12543&amp;col=7&amp;number=0.00261&amp;sourceID=14","0.00261")</f>
        <v>0.00261</v>
      </c>
    </row>
    <row r="12544" spans="1:7">
      <c r="A12544" s="3">
        <v>10</v>
      </c>
      <c r="B12544" s="3">
        <v>5</v>
      </c>
      <c r="C12544" s="3">
        <v>4</v>
      </c>
      <c r="D12544" s="3">
        <v>98</v>
      </c>
      <c r="E12544" s="3">
        <v>1</v>
      </c>
      <c r="F12544" s="4" t="str">
        <f>HYPERLINK("http://141.218.60.56/~jnz1568/getInfo.php?workbook=10_05.xlsx&amp;sheet=U0&amp;row=12544&amp;col=6&amp;number=3&amp;sourceID=14","3")</f>
        <v>3</v>
      </c>
      <c r="G12544" s="4" t="str">
        <f>HYPERLINK("http://141.218.60.56/~jnz1568/getInfo.php?workbook=10_05.xlsx&amp;sheet=U0&amp;row=12544&amp;col=7&amp;number=0.0592&amp;sourceID=14","0.0592")</f>
        <v>0.0592</v>
      </c>
    </row>
    <row r="12545" spans="1:7">
      <c r="A12545" s="3"/>
      <c r="B12545" s="3"/>
      <c r="C12545" s="3"/>
      <c r="D12545" s="3"/>
      <c r="E12545" s="3">
        <v>2</v>
      </c>
      <c r="F12545" s="4" t="str">
        <f>HYPERLINK("http://141.218.60.56/~jnz1568/getInfo.php?workbook=10_05.xlsx&amp;sheet=U0&amp;row=12545&amp;col=6&amp;number=3.1&amp;sourceID=14","3.1")</f>
        <v>3.1</v>
      </c>
      <c r="G12545" s="4" t="str">
        <f>HYPERLINK("http://141.218.60.56/~jnz1568/getInfo.php?workbook=10_05.xlsx&amp;sheet=U0&amp;row=12545&amp;col=7&amp;number=0.059&amp;sourceID=14","0.059")</f>
        <v>0.059</v>
      </c>
    </row>
    <row r="12546" spans="1:7">
      <c r="A12546" s="3"/>
      <c r="B12546" s="3"/>
      <c r="C12546" s="3"/>
      <c r="D12546" s="3"/>
      <c r="E12546" s="3">
        <v>3</v>
      </c>
      <c r="F12546" s="4" t="str">
        <f>HYPERLINK("http://141.218.60.56/~jnz1568/getInfo.php?workbook=10_05.xlsx&amp;sheet=U0&amp;row=12546&amp;col=6&amp;number=3.2&amp;sourceID=14","3.2")</f>
        <v>3.2</v>
      </c>
      <c r="G12546" s="4" t="str">
        <f>HYPERLINK("http://141.218.60.56/~jnz1568/getInfo.php?workbook=10_05.xlsx&amp;sheet=U0&amp;row=12546&amp;col=7&amp;number=0.0587&amp;sourceID=14","0.0587")</f>
        <v>0.0587</v>
      </c>
    </row>
    <row r="12547" spans="1:7">
      <c r="A12547" s="3"/>
      <c r="B12547" s="3"/>
      <c r="C12547" s="3"/>
      <c r="D12547" s="3"/>
      <c r="E12547" s="3">
        <v>4</v>
      </c>
      <c r="F12547" s="4" t="str">
        <f>HYPERLINK("http://141.218.60.56/~jnz1568/getInfo.php?workbook=10_05.xlsx&amp;sheet=U0&amp;row=12547&amp;col=6&amp;number=3.3&amp;sourceID=14","3.3")</f>
        <v>3.3</v>
      </c>
      <c r="G12547" s="4" t="str">
        <f>HYPERLINK("http://141.218.60.56/~jnz1568/getInfo.php?workbook=10_05.xlsx&amp;sheet=U0&amp;row=12547&amp;col=7&amp;number=0.0583&amp;sourceID=14","0.0583")</f>
        <v>0.0583</v>
      </c>
    </row>
    <row r="12548" spans="1:7">
      <c r="A12548" s="3"/>
      <c r="B12548" s="3"/>
      <c r="C12548" s="3"/>
      <c r="D12548" s="3"/>
      <c r="E12548" s="3">
        <v>5</v>
      </c>
      <c r="F12548" s="4" t="str">
        <f>HYPERLINK("http://141.218.60.56/~jnz1568/getInfo.php?workbook=10_05.xlsx&amp;sheet=U0&amp;row=12548&amp;col=6&amp;number=3.4&amp;sourceID=14","3.4")</f>
        <v>3.4</v>
      </c>
      <c r="G12548" s="4" t="str">
        <f>HYPERLINK("http://141.218.60.56/~jnz1568/getInfo.php?workbook=10_05.xlsx&amp;sheet=U0&amp;row=12548&amp;col=7&amp;number=0.0578&amp;sourceID=14","0.0578")</f>
        <v>0.0578</v>
      </c>
    </row>
    <row r="12549" spans="1:7">
      <c r="A12549" s="3"/>
      <c r="B12549" s="3"/>
      <c r="C12549" s="3"/>
      <c r="D12549" s="3"/>
      <c r="E12549" s="3">
        <v>6</v>
      </c>
      <c r="F12549" s="4" t="str">
        <f>HYPERLINK("http://141.218.60.56/~jnz1568/getInfo.php?workbook=10_05.xlsx&amp;sheet=U0&amp;row=12549&amp;col=6&amp;number=3.5&amp;sourceID=14","3.5")</f>
        <v>3.5</v>
      </c>
      <c r="G12549" s="4" t="str">
        <f>HYPERLINK("http://141.218.60.56/~jnz1568/getInfo.php?workbook=10_05.xlsx&amp;sheet=U0&amp;row=12549&amp;col=7&amp;number=0.0572&amp;sourceID=14","0.0572")</f>
        <v>0.0572</v>
      </c>
    </row>
    <row r="12550" spans="1:7">
      <c r="A12550" s="3"/>
      <c r="B12550" s="3"/>
      <c r="C12550" s="3"/>
      <c r="D12550" s="3"/>
      <c r="E12550" s="3">
        <v>7</v>
      </c>
      <c r="F12550" s="4" t="str">
        <f>HYPERLINK("http://141.218.60.56/~jnz1568/getInfo.php?workbook=10_05.xlsx&amp;sheet=U0&amp;row=12550&amp;col=6&amp;number=3.6&amp;sourceID=14","3.6")</f>
        <v>3.6</v>
      </c>
      <c r="G12550" s="4" t="str">
        <f>HYPERLINK("http://141.218.60.56/~jnz1568/getInfo.php?workbook=10_05.xlsx&amp;sheet=U0&amp;row=12550&amp;col=7&amp;number=0.0565&amp;sourceID=14","0.0565")</f>
        <v>0.0565</v>
      </c>
    </row>
    <row r="12551" spans="1:7">
      <c r="A12551" s="3"/>
      <c r="B12551" s="3"/>
      <c r="C12551" s="3"/>
      <c r="D12551" s="3"/>
      <c r="E12551" s="3">
        <v>8</v>
      </c>
      <c r="F12551" s="4" t="str">
        <f>HYPERLINK("http://141.218.60.56/~jnz1568/getInfo.php?workbook=10_05.xlsx&amp;sheet=U0&amp;row=12551&amp;col=6&amp;number=3.7&amp;sourceID=14","3.7")</f>
        <v>3.7</v>
      </c>
      <c r="G12551" s="4" t="str">
        <f>HYPERLINK("http://141.218.60.56/~jnz1568/getInfo.php?workbook=10_05.xlsx&amp;sheet=U0&amp;row=12551&amp;col=7&amp;number=0.0556&amp;sourceID=14","0.0556")</f>
        <v>0.0556</v>
      </c>
    </row>
    <row r="12552" spans="1:7">
      <c r="A12552" s="3"/>
      <c r="B12552" s="3"/>
      <c r="C12552" s="3"/>
      <c r="D12552" s="3"/>
      <c r="E12552" s="3">
        <v>9</v>
      </c>
      <c r="F12552" s="4" t="str">
        <f>HYPERLINK("http://141.218.60.56/~jnz1568/getInfo.php?workbook=10_05.xlsx&amp;sheet=U0&amp;row=12552&amp;col=6&amp;number=3.8&amp;sourceID=14","3.8")</f>
        <v>3.8</v>
      </c>
      <c r="G12552" s="4" t="str">
        <f>HYPERLINK("http://141.218.60.56/~jnz1568/getInfo.php?workbook=10_05.xlsx&amp;sheet=U0&amp;row=12552&amp;col=7&amp;number=0.0544&amp;sourceID=14","0.0544")</f>
        <v>0.0544</v>
      </c>
    </row>
    <row r="12553" spans="1:7">
      <c r="A12553" s="3"/>
      <c r="B12553" s="3"/>
      <c r="C12553" s="3"/>
      <c r="D12553" s="3"/>
      <c r="E12553" s="3">
        <v>10</v>
      </c>
      <c r="F12553" s="4" t="str">
        <f>HYPERLINK("http://141.218.60.56/~jnz1568/getInfo.php?workbook=10_05.xlsx&amp;sheet=U0&amp;row=12553&amp;col=6&amp;number=3.9&amp;sourceID=14","3.9")</f>
        <v>3.9</v>
      </c>
      <c r="G12553" s="4" t="str">
        <f>HYPERLINK("http://141.218.60.56/~jnz1568/getInfo.php?workbook=10_05.xlsx&amp;sheet=U0&amp;row=12553&amp;col=7&amp;number=0.053&amp;sourceID=14","0.053")</f>
        <v>0.053</v>
      </c>
    </row>
    <row r="12554" spans="1:7">
      <c r="A12554" s="3"/>
      <c r="B12554" s="3"/>
      <c r="C12554" s="3"/>
      <c r="D12554" s="3"/>
      <c r="E12554" s="3">
        <v>11</v>
      </c>
      <c r="F12554" s="4" t="str">
        <f>HYPERLINK("http://141.218.60.56/~jnz1568/getInfo.php?workbook=10_05.xlsx&amp;sheet=U0&amp;row=12554&amp;col=6&amp;number=4&amp;sourceID=14","4")</f>
        <v>4</v>
      </c>
      <c r="G12554" s="4" t="str">
        <f>HYPERLINK("http://141.218.60.56/~jnz1568/getInfo.php?workbook=10_05.xlsx&amp;sheet=U0&amp;row=12554&amp;col=7&amp;number=0.0513&amp;sourceID=14","0.0513")</f>
        <v>0.0513</v>
      </c>
    </row>
    <row r="12555" spans="1:7">
      <c r="A12555" s="3"/>
      <c r="B12555" s="3"/>
      <c r="C12555" s="3"/>
      <c r="D12555" s="3"/>
      <c r="E12555" s="3">
        <v>12</v>
      </c>
      <c r="F12555" s="4" t="str">
        <f>HYPERLINK("http://141.218.60.56/~jnz1568/getInfo.php?workbook=10_05.xlsx&amp;sheet=U0&amp;row=12555&amp;col=6&amp;number=4.1&amp;sourceID=14","4.1")</f>
        <v>4.1</v>
      </c>
      <c r="G12555" s="4" t="str">
        <f>HYPERLINK("http://141.218.60.56/~jnz1568/getInfo.php?workbook=10_05.xlsx&amp;sheet=U0&amp;row=12555&amp;col=7&amp;number=0.0492&amp;sourceID=14","0.0492")</f>
        <v>0.0492</v>
      </c>
    </row>
    <row r="12556" spans="1:7">
      <c r="A12556" s="3"/>
      <c r="B12556" s="3"/>
      <c r="C12556" s="3"/>
      <c r="D12556" s="3"/>
      <c r="E12556" s="3">
        <v>13</v>
      </c>
      <c r="F12556" s="4" t="str">
        <f>HYPERLINK("http://141.218.60.56/~jnz1568/getInfo.php?workbook=10_05.xlsx&amp;sheet=U0&amp;row=12556&amp;col=6&amp;number=4.2&amp;sourceID=14","4.2")</f>
        <v>4.2</v>
      </c>
      <c r="G12556" s="4" t="str">
        <f>HYPERLINK("http://141.218.60.56/~jnz1568/getInfo.php?workbook=10_05.xlsx&amp;sheet=U0&amp;row=12556&amp;col=7&amp;number=0.0468&amp;sourceID=14","0.0468")</f>
        <v>0.0468</v>
      </c>
    </row>
    <row r="12557" spans="1:7">
      <c r="A12557" s="3"/>
      <c r="B12557" s="3"/>
      <c r="C12557" s="3"/>
      <c r="D12557" s="3"/>
      <c r="E12557" s="3">
        <v>14</v>
      </c>
      <c r="F12557" s="4" t="str">
        <f>HYPERLINK("http://141.218.60.56/~jnz1568/getInfo.php?workbook=10_05.xlsx&amp;sheet=U0&amp;row=12557&amp;col=6&amp;number=4.3&amp;sourceID=14","4.3")</f>
        <v>4.3</v>
      </c>
      <c r="G12557" s="4" t="str">
        <f>HYPERLINK("http://141.218.60.56/~jnz1568/getInfo.php?workbook=10_05.xlsx&amp;sheet=U0&amp;row=12557&amp;col=7&amp;number=0.0439&amp;sourceID=14","0.0439")</f>
        <v>0.0439</v>
      </c>
    </row>
    <row r="12558" spans="1:7">
      <c r="A12558" s="3"/>
      <c r="B12558" s="3"/>
      <c r="C12558" s="3"/>
      <c r="D12558" s="3"/>
      <c r="E12558" s="3">
        <v>15</v>
      </c>
      <c r="F12558" s="4" t="str">
        <f>HYPERLINK("http://141.218.60.56/~jnz1568/getInfo.php?workbook=10_05.xlsx&amp;sheet=U0&amp;row=12558&amp;col=6&amp;number=4.4&amp;sourceID=14","4.4")</f>
        <v>4.4</v>
      </c>
      <c r="G12558" s="4" t="str">
        <f>HYPERLINK("http://141.218.60.56/~jnz1568/getInfo.php?workbook=10_05.xlsx&amp;sheet=U0&amp;row=12558&amp;col=7&amp;number=0.0405&amp;sourceID=14","0.0405")</f>
        <v>0.0405</v>
      </c>
    </row>
    <row r="12559" spans="1:7">
      <c r="A12559" s="3"/>
      <c r="B12559" s="3"/>
      <c r="C12559" s="3"/>
      <c r="D12559" s="3"/>
      <c r="E12559" s="3">
        <v>16</v>
      </c>
      <c r="F12559" s="4" t="str">
        <f>HYPERLINK("http://141.218.60.56/~jnz1568/getInfo.php?workbook=10_05.xlsx&amp;sheet=U0&amp;row=12559&amp;col=6&amp;number=4.5&amp;sourceID=14","4.5")</f>
        <v>4.5</v>
      </c>
      <c r="G12559" s="4" t="str">
        <f>HYPERLINK("http://141.218.60.56/~jnz1568/getInfo.php?workbook=10_05.xlsx&amp;sheet=U0&amp;row=12559&amp;col=7&amp;number=0.0368&amp;sourceID=14","0.0368")</f>
        <v>0.0368</v>
      </c>
    </row>
    <row r="12560" spans="1:7">
      <c r="A12560" s="3"/>
      <c r="B12560" s="3"/>
      <c r="C12560" s="3"/>
      <c r="D12560" s="3"/>
      <c r="E12560" s="3">
        <v>17</v>
      </c>
      <c r="F12560" s="4" t="str">
        <f>HYPERLINK("http://141.218.60.56/~jnz1568/getInfo.php?workbook=10_05.xlsx&amp;sheet=U0&amp;row=12560&amp;col=6&amp;number=4.6&amp;sourceID=14","4.6")</f>
        <v>4.6</v>
      </c>
      <c r="G12560" s="4" t="str">
        <f>HYPERLINK("http://141.218.60.56/~jnz1568/getInfo.php?workbook=10_05.xlsx&amp;sheet=U0&amp;row=12560&amp;col=7&amp;number=0.033&amp;sourceID=14","0.033")</f>
        <v>0.033</v>
      </c>
    </row>
    <row r="12561" spans="1:7">
      <c r="A12561" s="3"/>
      <c r="B12561" s="3"/>
      <c r="C12561" s="3"/>
      <c r="D12561" s="3"/>
      <c r="E12561" s="3">
        <v>18</v>
      </c>
      <c r="F12561" s="4" t="str">
        <f>HYPERLINK("http://141.218.60.56/~jnz1568/getInfo.php?workbook=10_05.xlsx&amp;sheet=U0&amp;row=12561&amp;col=6&amp;number=4.7&amp;sourceID=14","4.7")</f>
        <v>4.7</v>
      </c>
      <c r="G12561" s="4" t="str">
        <f>HYPERLINK("http://141.218.60.56/~jnz1568/getInfo.php?workbook=10_05.xlsx&amp;sheet=U0&amp;row=12561&amp;col=7&amp;number=0.0291&amp;sourceID=14","0.0291")</f>
        <v>0.0291</v>
      </c>
    </row>
    <row r="12562" spans="1:7">
      <c r="A12562" s="3"/>
      <c r="B12562" s="3"/>
      <c r="C12562" s="3"/>
      <c r="D12562" s="3"/>
      <c r="E12562" s="3">
        <v>19</v>
      </c>
      <c r="F12562" s="4" t="str">
        <f>HYPERLINK("http://141.218.60.56/~jnz1568/getInfo.php?workbook=10_05.xlsx&amp;sheet=U0&amp;row=12562&amp;col=6&amp;number=4.8&amp;sourceID=14","4.8")</f>
        <v>4.8</v>
      </c>
      <c r="G12562" s="4" t="str">
        <f>HYPERLINK("http://141.218.60.56/~jnz1568/getInfo.php?workbook=10_05.xlsx&amp;sheet=U0&amp;row=12562&amp;col=7&amp;number=0.0257&amp;sourceID=14","0.0257")</f>
        <v>0.0257</v>
      </c>
    </row>
    <row r="12563" spans="1:7">
      <c r="A12563" s="3"/>
      <c r="B12563" s="3"/>
      <c r="C12563" s="3"/>
      <c r="D12563" s="3"/>
      <c r="E12563" s="3">
        <v>20</v>
      </c>
      <c r="F12563" s="4" t="str">
        <f>HYPERLINK("http://141.218.60.56/~jnz1568/getInfo.php?workbook=10_05.xlsx&amp;sheet=U0&amp;row=12563&amp;col=6&amp;number=4.9&amp;sourceID=14","4.9")</f>
        <v>4.9</v>
      </c>
      <c r="G12563" s="4" t="str">
        <f>HYPERLINK("http://141.218.60.56/~jnz1568/getInfo.php?workbook=10_05.xlsx&amp;sheet=U0&amp;row=12563&amp;col=7&amp;number=0.0228&amp;sourceID=14","0.0228")</f>
        <v>0.0228</v>
      </c>
    </row>
    <row r="12564" spans="1:7">
      <c r="A12564" s="3">
        <v>10</v>
      </c>
      <c r="B12564" s="3">
        <v>5</v>
      </c>
      <c r="C12564" s="3">
        <v>4</v>
      </c>
      <c r="D12564" s="3">
        <v>99</v>
      </c>
      <c r="E12564" s="3">
        <v>1</v>
      </c>
      <c r="F12564" s="4" t="str">
        <f>HYPERLINK("http://141.218.60.56/~jnz1568/getInfo.php?workbook=10_05.xlsx&amp;sheet=U0&amp;row=12564&amp;col=6&amp;number=3&amp;sourceID=14","3")</f>
        <v>3</v>
      </c>
      <c r="G12564" s="4" t="str">
        <f>HYPERLINK("http://141.218.60.56/~jnz1568/getInfo.php?workbook=10_05.xlsx&amp;sheet=U0&amp;row=12564&amp;col=7&amp;number=0.0214&amp;sourceID=14","0.0214")</f>
        <v>0.0214</v>
      </c>
    </row>
    <row r="12565" spans="1:7">
      <c r="A12565" s="3"/>
      <c r="B12565" s="3"/>
      <c r="C12565" s="3"/>
      <c r="D12565" s="3"/>
      <c r="E12565" s="3">
        <v>2</v>
      </c>
      <c r="F12565" s="4" t="str">
        <f>HYPERLINK("http://141.218.60.56/~jnz1568/getInfo.php?workbook=10_05.xlsx&amp;sheet=U0&amp;row=12565&amp;col=6&amp;number=3.1&amp;sourceID=14","3.1")</f>
        <v>3.1</v>
      </c>
      <c r="G12565" s="4" t="str">
        <f>HYPERLINK("http://141.218.60.56/~jnz1568/getInfo.php?workbook=10_05.xlsx&amp;sheet=U0&amp;row=12565&amp;col=7&amp;number=0.0214&amp;sourceID=14","0.0214")</f>
        <v>0.0214</v>
      </c>
    </row>
    <row r="12566" spans="1:7">
      <c r="A12566" s="3"/>
      <c r="B12566" s="3"/>
      <c r="C12566" s="3"/>
      <c r="D12566" s="3"/>
      <c r="E12566" s="3">
        <v>3</v>
      </c>
      <c r="F12566" s="4" t="str">
        <f>HYPERLINK("http://141.218.60.56/~jnz1568/getInfo.php?workbook=10_05.xlsx&amp;sheet=U0&amp;row=12566&amp;col=6&amp;number=3.2&amp;sourceID=14","3.2")</f>
        <v>3.2</v>
      </c>
      <c r="G12566" s="4" t="str">
        <f>HYPERLINK("http://141.218.60.56/~jnz1568/getInfo.php?workbook=10_05.xlsx&amp;sheet=U0&amp;row=12566&amp;col=7&amp;number=0.0213&amp;sourceID=14","0.0213")</f>
        <v>0.0213</v>
      </c>
    </row>
    <row r="12567" spans="1:7">
      <c r="A12567" s="3"/>
      <c r="B12567" s="3"/>
      <c r="C12567" s="3"/>
      <c r="D12567" s="3"/>
      <c r="E12567" s="3">
        <v>4</v>
      </c>
      <c r="F12567" s="4" t="str">
        <f>HYPERLINK("http://141.218.60.56/~jnz1568/getInfo.php?workbook=10_05.xlsx&amp;sheet=U0&amp;row=12567&amp;col=6&amp;number=3.3&amp;sourceID=14","3.3")</f>
        <v>3.3</v>
      </c>
      <c r="G12567" s="4" t="str">
        <f>HYPERLINK("http://141.218.60.56/~jnz1568/getInfo.php?workbook=10_05.xlsx&amp;sheet=U0&amp;row=12567&amp;col=7&amp;number=0.0213&amp;sourceID=14","0.0213")</f>
        <v>0.0213</v>
      </c>
    </row>
    <row r="12568" spans="1:7">
      <c r="A12568" s="3"/>
      <c r="B12568" s="3"/>
      <c r="C12568" s="3"/>
      <c r="D12568" s="3"/>
      <c r="E12568" s="3">
        <v>5</v>
      </c>
      <c r="F12568" s="4" t="str">
        <f>HYPERLINK("http://141.218.60.56/~jnz1568/getInfo.php?workbook=10_05.xlsx&amp;sheet=U0&amp;row=12568&amp;col=6&amp;number=3.4&amp;sourceID=14","3.4")</f>
        <v>3.4</v>
      </c>
      <c r="G12568" s="4" t="str">
        <f>HYPERLINK("http://141.218.60.56/~jnz1568/getInfo.php?workbook=10_05.xlsx&amp;sheet=U0&amp;row=12568&amp;col=7&amp;number=0.0212&amp;sourceID=14","0.0212")</f>
        <v>0.0212</v>
      </c>
    </row>
    <row r="12569" spans="1:7">
      <c r="A12569" s="3"/>
      <c r="B12569" s="3"/>
      <c r="C12569" s="3"/>
      <c r="D12569" s="3"/>
      <c r="E12569" s="3">
        <v>6</v>
      </c>
      <c r="F12569" s="4" t="str">
        <f>HYPERLINK("http://141.218.60.56/~jnz1568/getInfo.php?workbook=10_05.xlsx&amp;sheet=U0&amp;row=12569&amp;col=6&amp;number=3.5&amp;sourceID=14","3.5")</f>
        <v>3.5</v>
      </c>
      <c r="G12569" s="4" t="str">
        <f>HYPERLINK("http://141.218.60.56/~jnz1568/getInfo.php?workbook=10_05.xlsx&amp;sheet=U0&amp;row=12569&amp;col=7&amp;number=0.0211&amp;sourceID=14","0.0211")</f>
        <v>0.0211</v>
      </c>
    </row>
    <row r="12570" spans="1:7">
      <c r="A12570" s="3"/>
      <c r="B12570" s="3"/>
      <c r="C12570" s="3"/>
      <c r="D12570" s="3"/>
      <c r="E12570" s="3">
        <v>7</v>
      </c>
      <c r="F12570" s="4" t="str">
        <f>HYPERLINK("http://141.218.60.56/~jnz1568/getInfo.php?workbook=10_05.xlsx&amp;sheet=U0&amp;row=12570&amp;col=6&amp;number=3.6&amp;sourceID=14","3.6")</f>
        <v>3.6</v>
      </c>
      <c r="G12570" s="4" t="str">
        <f>HYPERLINK("http://141.218.60.56/~jnz1568/getInfo.php?workbook=10_05.xlsx&amp;sheet=U0&amp;row=12570&amp;col=7&amp;number=0.021&amp;sourceID=14","0.021")</f>
        <v>0.021</v>
      </c>
    </row>
    <row r="12571" spans="1:7">
      <c r="A12571" s="3"/>
      <c r="B12571" s="3"/>
      <c r="C12571" s="3"/>
      <c r="D12571" s="3"/>
      <c r="E12571" s="3">
        <v>8</v>
      </c>
      <c r="F12571" s="4" t="str">
        <f>HYPERLINK("http://141.218.60.56/~jnz1568/getInfo.php?workbook=10_05.xlsx&amp;sheet=U0&amp;row=12571&amp;col=6&amp;number=3.7&amp;sourceID=14","3.7")</f>
        <v>3.7</v>
      </c>
      <c r="G12571" s="4" t="str">
        <f>HYPERLINK("http://141.218.60.56/~jnz1568/getInfo.php?workbook=10_05.xlsx&amp;sheet=U0&amp;row=12571&amp;col=7&amp;number=0.0209&amp;sourceID=14","0.0209")</f>
        <v>0.0209</v>
      </c>
    </row>
    <row r="12572" spans="1:7">
      <c r="A12572" s="3"/>
      <c r="B12572" s="3"/>
      <c r="C12572" s="3"/>
      <c r="D12572" s="3"/>
      <c r="E12572" s="3">
        <v>9</v>
      </c>
      <c r="F12572" s="4" t="str">
        <f>HYPERLINK("http://141.218.60.56/~jnz1568/getInfo.php?workbook=10_05.xlsx&amp;sheet=U0&amp;row=12572&amp;col=6&amp;number=3.8&amp;sourceID=14","3.8")</f>
        <v>3.8</v>
      </c>
      <c r="G12572" s="4" t="str">
        <f>HYPERLINK("http://141.218.60.56/~jnz1568/getInfo.php?workbook=10_05.xlsx&amp;sheet=U0&amp;row=12572&amp;col=7&amp;number=0.0208&amp;sourceID=14","0.0208")</f>
        <v>0.0208</v>
      </c>
    </row>
    <row r="12573" spans="1:7">
      <c r="A12573" s="3"/>
      <c r="B12573" s="3"/>
      <c r="C12573" s="3"/>
      <c r="D12573" s="3"/>
      <c r="E12573" s="3">
        <v>10</v>
      </c>
      <c r="F12573" s="4" t="str">
        <f>HYPERLINK("http://141.218.60.56/~jnz1568/getInfo.php?workbook=10_05.xlsx&amp;sheet=U0&amp;row=12573&amp;col=6&amp;number=3.9&amp;sourceID=14","3.9")</f>
        <v>3.9</v>
      </c>
      <c r="G12573" s="4" t="str">
        <f>HYPERLINK("http://141.218.60.56/~jnz1568/getInfo.php?workbook=10_05.xlsx&amp;sheet=U0&amp;row=12573&amp;col=7&amp;number=0.0206&amp;sourceID=14","0.0206")</f>
        <v>0.0206</v>
      </c>
    </row>
    <row r="12574" spans="1:7">
      <c r="A12574" s="3"/>
      <c r="B12574" s="3"/>
      <c r="C12574" s="3"/>
      <c r="D12574" s="3"/>
      <c r="E12574" s="3">
        <v>11</v>
      </c>
      <c r="F12574" s="4" t="str">
        <f>HYPERLINK("http://141.218.60.56/~jnz1568/getInfo.php?workbook=10_05.xlsx&amp;sheet=U0&amp;row=12574&amp;col=6&amp;number=4&amp;sourceID=14","4")</f>
        <v>4</v>
      </c>
      <c r="G12574" s="4" t="str">
        <f>HYPERLINK("http://141.218.60.56/~jnz1568/getInfo.php?workbook=10_05.xlsx&amp;sheet=U0&amp;row=12574&amp;col=7&amp;number=0.0204&amp;sourceID=14","0.0204")</f>
        <v>0.0204</v>
      </c>
    </row>
    <row r="12575" spans="1:7">
      <c r="A12575" s="3"/>
      <c r="B12575" s="3"/>
      <c r="C12575" s="3"/>
      <c r="D12575" s="3"/>
      <c r="E12575" s="3">
        <v>12</v>
      </c>
      <c r="F12575" s="4" t="str">
        <f>HYPERLINK("http://141.218.60.56/~jnz1568/getInfo.php?workbook=10_05.xlsx&amp;sheet=U0&amp;row=12575&amp;col=6&amp;number=4.1&amp;sourceID=14","4.1")</f>
        <v>4.1</v>
      </c>
      <c r="G12575" s="4" t="str">
        <f>HYPERLINK("http://141.218.60.56/~jnz1568/getInfo.php?workbook=10_05.xlsx&amp;sheet=U0&amp;row=12575&amp;col=7&amp;number=0.0201&amp;sourceID=14","0.0201")</f>
        <v>0.0201</v>
      </c>
    </row>
    <row r="12576" spans="1:7">
      <c r="A12576" s="3"/>
      <c r="B12576" s="3"/>
      <c r="C12576" s="3"/>
      <c r="D12576" s="3"/>
      <c r="E12576" s="3">
        <v>13</v>
      </c>
      <c r="F12576" s="4" t="str">
        <f>HYPERLINK("http://141.218.60.56/~jnz1568/getInfo.php?workbook=10_05.xlsx&amp;sheet=U0&amp;row=12576&amp;col=6&amp;number=4.2&amp;sourceID=14","4.2")</f>
        <v>4.2</v>
      </c>
      <c r="G12576" s="4" t="str">
        <f>HYPERLINK("http://141.218.60.56/~jnz1568/getInfo.php?workbook=10_05.xlsx&amp;sheet=U0&amp;row=12576&amp;col=7&amp;number=0.0198&amp;sourceID=14","0.0198")</f>
        <v>0.0198</v>
      </c>
    </row>
    <row r="12577" spans="1:7">
      <c r="A12577" s="3"/>
      <c r="B12577" s="3"/>
      <c r="C12577" s="3"/>
      <c r="D12577" s="3"/>
      <c r="E12577" s="3">
        <v>14</v>
      </c>
      <c r="F12577" s="4" t="str">
        <f>HYPERLINK("http://141.218.60.56/~jnz1568/getInfo.php?workbook=10_05.xlsx&amp;sheet=U0&amp;row=12577&amp;col=6&amp;number=4.3&amp;sourceID=14","4.3")</f>
        <v>4.3</v>
      </c>
      <c r="G12577" s="4" t="str">
        <f>HYPERLINK("http://141.218.60.56/~jnz1568/getInfo.php?workbook=10_05.xlsx&amp;sheet=U0&amp;row=12577&amp;col=7&amp;number=0.0195&amp;sourceID=14","0.0195")</f>
        <v>0.0195</v>
      </c>
    </row>
    <row r="12578" spans="1:7">
      <c r="A12578" s="3"/>
      <c r="B12578" s="3"/>
      <c r="C12578" s="3"/>
      <c r="D12578" s="3"/>
      <c r="E12578" s="3">
        <v>15</v>
      </c>
      <c r="F12578" s="4" t="str">
        <f>HYPERLINK("http://141.218.60.56/~jnz1568/getInfo.php?workbook=10_05.xlsx&amp;sheet=U0&amp;row=12578&amp;col=6&amp;number=4.4&amp;sourceID=14","4.4")</f>
        <v>4.4</v>
      </c>
      <c r="G12578" s="4" t="str">
        <f>HYPERLINK("http://141.218.60.56/~jnz1568/getInfo.php?workbook=10_05.xlsx&amp;sheet=U0&amp;row=12578&amp;col=7&amp;number=0.0192&amp;sourceID=14","0.0192")</f>
        <v>0.0192</v>
      </c>
    </row>
    <row r="12579" spans="1:7">
      <c r="A12579" s="3"/>
      <c r="B12579" s="3"/>
      <c r="C12579" s="3"/>
      <c r="D12579" s="3"/>
      <c r="E12579" s="3">
        <v>16</v>
      </c>
      <c r="F12579" s="4" t="str">
        <f>HYPERLINK("http://141.218.60.56/~jnz1568/getInfo.php?workbook=10_05.xlsx&amp;sheet=U0&amp;row=12579&amp;col=6&amp;number=4.5&amp;sourceID=14","4.5")</f>
        <v>4.5</v>
      </c>
      <c r="G12579" s="4" t="str">
        <f>HYPERLINK("http://141.218.60.56/~jnz1568/getInfo.php?workbook=10_05.xlsx&amp;sheet=U0&amp;row=12579&amp;col=7&amp;number=0.0189&amp;sourceID=14","0.0189")</f>
        <v>0.0189</v>
      </c>
    </row>
    <row r="12580" spans="1:7">
      <c r="A12580" s="3"/>
      <c r="B12580" s="3"/>
      <c r="C12580" s="3"/>
      <c r="D12580" s="3"/>
      <c r="E12580" s="3">
        <v>17</v>
      </c>
      <c r="F12580" s="4" t="str">
        <f>HYPERLINK("http://141.218.60.56/~jnz1568/getInfo.php?workbook=10_05.xlsx&amp;sheet=U0&amp;row=12580&amp;col=6&amp;number=4.6&amp;sourceID=14","4.6")</f>
        <v>4.6</v>
      </c>
      <c r="G12580" s="4" t="str">
        <f>HYPERLINK("http://141.218.60.56/~jnz1568/getInfo.php?workbook=10_05.xlsx&amp;sheet=U0&amp;row=12580&amp;col=7&amp;number=0.0187&amp;sourceID=14","0.0187")</f>
        <v>0.0187</v>
      </c>
    </row>
    <row r="12581" spans="1:7">
      <c r="A12581" s="3"/>
      <c r="B12581" s="3"/>
      <c r="C12581" s="3"/>
      <c r="D12581" s="3"/>
      <c r="E12581" s="3">
        <v>18</v>
      </c>
      <c r="F12581" s="4" t="str">
        <f>HYPERLINK("http://141.218.60.56/~jnz1568/getInfo.php?workbook=10_05.xlsx&amp;sheet=U0&amp;row=12581&amp;col=6&amp;number=4.7&amp;sourceID=14","4.7")</f>
        <v>4.7</v>
      </c>
      <c r="G12581" s="4" t="str">
        <f>HYPERLINK("http://141.218.60.56/~jnz1568/getInfo.php?workbook=10_05.xlsx&amp;sheet=U0&amp;row=12581&amp;col=7&amp;number=0.0185&amp;sourceID=14","0.0185")</f>
        <v>0.0185</v>
      </c>
    </row>
    <row r="12582" spans="1:7">
      <c r="A12582" s="3"/>
      <c r="B12582" s="3"/>
      <c r="C12582" s="3"/>
      <c r="D12582" s="3"/>
      <c r="E12582" s="3">
        <v>19</v>
      </c>
      <c r="F12582" s="4" t="str">
        <f>HYPERLINK("http://141.218.60.56/~jnz1568/getInfo.php?workbook=10_05.xlsx&amp;sheet=U0&amp;row=12582&amp;col=6&amp;number=4.8&amp;sourceID=14","4.8")</f>
        <v>4.8</v>
      </c>
      <c r="G12582" s="4" t="str">
        <f>HYPERLINK("http://141.218.60.56/~jnz1568/getInfo.php?workbook=10_05.xlsx&amp;sheet=U0&amp;row=12582&amp;col=7&amp;number=0.0183&amp;sourceID=14","0.0183")</f>
        <v>0.0183</v>
      </c>
    </row>
    <row r="12583" spans="1:7">
      <c r="A12583" s="3"/>
      <c r="B12583" s="3"/>
      <c r="C12583" s="3"/>
      <c r="D12583" s="3"/>
      <c r="E12583" s="3">
        <v>20</v>
      </c>
      <c r="F12583" s="4" t="str">
        <f>HYPERLINK("http://141.218.60.56/~jnz1568/getInfo.php?workbook=10_05.xlsx&amp;sheet=U0&amp;row=12583&amp;col=6&amp;number=4.9&amp;sourceID=14","4.9")</f>
        <v>4.9</v>
      </c>
      <c r="G12583" s="4" t="str">
        <f>HYPERLINK("http://141.218.60.56/~jnz1568/getInfo.php?workbook=10_05.xlsx&amp;sheet=U0&amp;row=12583&amp;col=7&amp;number=0.0182&amp;sourceID=14","0.0182")</f>
        <v>0.0182</v>
      </c>
    </row>
    <row r="12584" spans="1:7">
      <c r="A12584" s="3">
        <v>10</v>
      </c>
      <c r="B12584" s="3">
        <v>5</v>
      </c>
      <c r="C12584" s="3">
        <v>4</v>
      </c>
      <c r="D12584" s="3">
        <v>100</v>
      </c>
      <c r="E12584" s="3">
        <v>1</v>
      </c>
      <c r="F12584" s="4" t="str">
        <f>HYPERLINK("http://141.218.60.56/~jnz1568/getInfo.php?workbook=10_05.xlsx&amp;sheet=U0&amp;row=12584&amp;col=6&amp;number=3&amp;sourceID=14","3")</f>
        <v>3</v>
      </c>
      <c r="G12584" s="4" t="str">
        <f>HYPERLINK("http://141.218.60.56/~jnz1568/getInfo.php?workbook=10_05.xlsx&amp;sheet=U0&amp;row=12584&amp;col=7&amp;number=0.046&amp;sourceID=14","0.046")</f>
        <v>0.046</v>
      </c>
    </row>
    <row r="12585" spans="1:7">
      <c r="A12585" s="3"/>
      <c r="B12585" s="3"/>
      <c r="C12585" s="3"/>
      <c r="D12585" s="3"/>
      <c r="E12585" s="3">
        <v>2</v>
      </c>
      <c r="F12585" s="4" t="str">
        <f>HYPERLINK("http://141.218.60.56/~jnz1568/getInfo.php?workbook=10_05.xlsx&amp;sheet=U0&amp;row=12585&amp;col=6&amp;number=3.1&amp;sourceID=14","3.1")</f>
        <v>3.1</v>
      </c>
      <c r="G12585" s="4" t="str">
        <f>HYPERLINK("http://141.218.60.56/~jnz1568/getInfo.php?workbook=10_05.xlsx&amp;sheet=U0&amp;row=12585&amp;col=7&amp;number=0.0459&amp;sourceID=14","0.0459")</f>
        <v>0.0459</v>
      </c>
    </row>
    <row r="12586" spans="1:7">
      <c r="A12586" s="3"/>
      <c r="B12586" s="3"/>
      <c r="C12586" s="3"/>
      <c r="D12586" s="3"/>
      <c r="E12586" s="3">
        <v>3</v>
      </c>
      <c r="F12586" s="4" t="str">
        <f>HYPERLINK("http://141.218.60.56/~jnz1568/getInfo.php?workbook=10_05.xlsx&amp;sheet=U0&amp;row=12586&amp;col=6&amp;number=3.2&amp;sourceID=14","3.2")</f>
        <v>3.2</v>
      </c>
      <c r="G12586" s="4" t="str">
        <f>HYPERLINK("http://141.218.60.56/~jnz1568/getInfo.php?workbook=10_05.xlsx&amp;sheet=U0&amp;row=12586&amp;col=7&amp;number=0.0459&amp;sourceID=14","0.0459")</f>
        <v>0.0459</v>
      </c>
    </row>
    <row r="12587" spans="1:7">
      <c r="A12587" s="3"/>
      <c r="B12587" s="3"/>
      <c r="C12587" s="3"/>
      <c r="D12587" s="3"/>
      <c r="E12587" s="3">
        <v>4</v>
      </c>
      <c r="F12587" s="4" t="str">
        <f>HYPERLINK("http://141.218.60.56/~jnz1568/getInfo.php?workbook=10_05.xlsx&amp;sheet=U0&amp;row=12587&amp;col=6&amp;number=3.3&amp;sourceID=14","3.3")</f>
        <v>3.3</v>
      </c>
      <c r="G12587" s="4" t="str">
        <f>HYPERLINK("http://141.218.60.56/~jnz1568/getInfo.php?workbook=10_05.xlsx&amp;sheet=U0&amp;row=12587&amp;col=7&amp;number=0.0459&amp;sourceID=14","0.0459")</f>
        <v>0.0459</v>
      </c>
    </row>
    <row r="12588" spans="1:7">
      <c r="A12588" s="3"/>
      <c r="B12588" s="3"/>
      <c r="C12588" s="3"/>
      <c r="D12588" s="3"/>
      <c r="E12588" s="3">
        <v>5</v>
      </c>
      <c r="F12588" s="4" t="str">
        <f>HYPERLINK("http://141.218.60.56/~jnz1568/getInfo.php?workbook=10_05.xlsx&amp;sheet=U0&amp;row=12588&amp;col=6&amp;number=3.4&amp;sourceID=14","3.4")</f>
        <v>3.4</v>
      </c>
      <c r="G12588" s="4" t="str">
        <f>HYPERLINK("http://141.218.60.56/~jnz1568/getInfo.php?workbook=10_05.xlsx&amp;sheet=U0&amp;row=12588&amp;col=7&amp;number=0.0459&amp;sourceID=14","0.0459")</f>
        <v>0.0459</v>
      </c>
    </row>
    <row r="12589" spans="1:7">
      <c r="A12589" s="3"/>
      <c r="B12589" s="3"/>
      <c r="C12589" s="3"/>
      <c r="D12589" s="3"/>
      <c r="E12589" s="3">
        <v>6</v>
      </c>
      <c r="F12589" s="4" t="str">
        <f>HYPERLINK("http://141.218.60.56/~jnz1568/getInfo.php?workbook=10_05.xlsx&amp;sheet=U0&amp;row=12589&amp;col=6&amp;number=3.5&amp;sourceID=14","3.5")</f>
        <v>3.5</v>
      </c>
      <c r="G12589" s="4" t="str">
        <f>HYPERLINK("http://141.218.60.56/~jnz1568/getInfo.php?workbook=10_05.xlsx&amp;sheet=U0&amp;row=12589&amp;col=7&amp;number=0.0458&amp;sourceID=14","0.0458")</f>
        <v>0.0458</v>
      </c>
    </row>
    <row r="12590" spans="1:7">
      <c r="A12590" s="3"/>
      <c r="B12590" s="3"/>
      <c r="C12590" s="3"/>
      <c r="D12590" s="3"/>
      <c r="E12590" s="3">
        <v>7</v>
      </c>
      <c r="F12590" s="4" t="str">
        <f>HYPERLINK("http://141.218.60.56/~jnz1568/getInfo.php?workbook=10_05.xlsx&amp;sheet=U0&amp;row=12590&amp;col=6&amp;number=3.6&amp;sourceID=14","3.6")</f>
        <v>3.6</v>
      </c>
      <c r="G12590" s="4" t="str">
        <f>HYPERLINK("http://141.218.60.56/~jnz1568/getInfo.php?workbook=10_05.xlsx&amp;sheet=U0&amp;row=12590&amp;col=7&amp;number=0.0458&amp;sourceID=14","0.0458")</f>
        <v>0.0458</v>
      </c>
    </row>
    <row r="12591" spans="1:7">
      <c r="A12591" s="3"/>
      <c r="B12591" s="3"/>
      <c r="C12591" s="3"/>
      <c r="D12591" s="3"/>
      <c r="E12591" s="3">
        <v>8</v>
      </c>
      <c r="F12591" s="4" t="str">
        <f>HYPERLINK("http://141.218.60.56/~jnz1568/getInfo.php?workbook=10_05.xlsx&amp;sheet=U0&amp;row=12591&amp;col=6&amp;number=3.7&amp;sourceID=14","3.7")</f>
        <v>3.7</v>
      </c>
      <c r="G12591" s="4" t="str">
        <f>HYPERLINK("http://141.218.60.56/~jnz1568/getInfo.php?workbook=10_05.xlsx&amp;sheet=U0&amp;row=12591&amp;col=7&amp;number=0.0457&amp;sourceID=14","0.0457")</f>
        <v>0.0457</v>
      </c>
    </row>
    <row r="12592" spans="1:7">
      <c r="A12592" s="3"/>
      <c r="B12592" s="3"/>
      <c r="C12592" s="3"/>
      <c r="D12592" s="3"/>
      <c r="E12592" s="3">
        <v>9</v>
      </c>
      <c r="F12592" s="4" t="str">
        <f>HYPERLINK("http://141.218.60.56/~jnz1568/getInfo.php?workbook=10_05.xlsx&amp;sheet=U0&amp;row=12592&amp;col=6&amp;number=3.8&amp;sourceID=14","3.8")</f>
        <v>3.8</v>
      </c>
      <c r="G12592" s="4" t="str">
        <f>HYPERLINK("http://141.218.60.56/~jnz1568/getInfo.php?workbook=10_05.xlsx&amp;sheet=U0&amp;row=12592&amp;col=7&amp;number=0.0457&amp;sourceID=14","0.0457")</f>
        <v>0.0457</v>
      </c>
    </row>
    <row r="12593" spans="1:7">
      <c r="A12593" s="3"/>
      <c r="B12593" s="3"/>
      <c r="C12593" s="3"/>
      <c r="D12593" s="3"/>
      <c r="E12593" s="3">
        <v>10</v>
      </c>
      <c r="F12593" s="4" t="str">
        <f>HYPERLINK("http://141.218.60.56/~jnz1568/getInfo.php?workbook=10_05.xlsx&amp;sheet=U0&amp;row=12593&amp;col=6&amp;number=3.9&amp;sourceID=14","3.9")</f>
        <v>3.9</v>
      </c>
      <c r="G12593" s="4" t="str">
        <f>HYPERLINK("http://141.218.60.56/~jnz1568/getInfo.php?workbook=10_05.xlsx&amp;sheet=U0&amp;row=12593&amp;col=7&amp;number=0.0456&amp;sourceID=14","0.0456")</f>
        <v>0.0456</v>
      </c>
    </row>
    <row r="12594" spans="1:7">
      <c r="A12594" s="3"/>
      <c r="B12594" s="3"/>
      <c r="C12594" s="3"/>
      <c r="D12594" s="3"/>
      <c r="E12594" s="3">
        <v>11</v>
      </c>
      <c r="F12594" s="4" t="str">
        <f>HYPERLINK("http://141.218.60.56/~jnz1568/getInfo.php?workbook=10_05.xlsx&amp;sheet=U0&amp;row=12594&amp;col=6&amp;number=4&amp;sourceID=14","4")</f>
        <v>4</v>
      </c>
      <c r="G12594" s="4" t="str">
        <f>HYPERLINK("http://141.218.60.56/~jnz1568/getInfo.php?workbook=10_05.xlsx&amp;sheet=U0&amp;row=12594&amp;col=7&amp;number=0.0455&amp;sourceID=14","0.0455")</f>
        <v>0.0455</v>
      </c>
    </row>
    <row r="12595" spans="1:7">
      <c r="A12595" s="3"/>
      <c r="B12595" s="3"/>
      <c r="C12595" s="3"/>
      <c r="D12595" s="3"/>
      <c r="E12595" s="3">
        <v>12</v>
      </c>
      <c r="F12595" s="4" t="str">
        <f>HYPERLINK("http://141.218.60.56/~jnz1568/getInfo.php?workbook=10_05.xlsx&amp;sheet=U0&amp;row=12595&amp;col=6&amp;number=4.1&amp;sourceID=14","4.1")</f>
        <v>4.1</v>
      </c>
      <c r="G12595" s="4" t="str">
        <f>HYPERLINK("http://141.218.60.56/~jnz1568/getInfo.php?workbook=10_05.xlsx&amp;sheet=U0&amp;row=12595&amp;col=7&amp;number=0.0453&amp;sourceID=14","0.0453")</f>
        <v>0.0453</v>
      </c>
    </row>
    <row r="12596" spans="1:7">
      <c r="A12596" s="3"/>
      <c r="B12596" s="3"/>
      <c r="C12596" s="3"/>
      <c r="D12596" s="3"/>
      <c r="E12596" s="3">
        <v>13</v>
      </c>
      <c r="F12596" s="4" t="str">
        <f>HYPERLINK("http://141.218.60.56/~jnz1568/getInfo.php?workbook=10_05.xlsx&amp;sheet=U0&amp;row=12596&amp;col=6&amp;number=4.2&amp;sourceID=14","4.2")</f>
        <v>4.2</v>
      </c>
      <c r="G12596" s="4" t="str">
        <f>HYPERLINK("http://141.218.60.56/~jnz1568/getInfo.php?workbook=10_05.xlsx&amp;sheet=U0&amp;row=12596&amp;col=7&amp;number=0.0451&amp;sourceID=14","0.0451")</f>
        <v>0.0451</v>
      </c>
    </row>
    <row r="12597" spans="1:7">
      <c r="A12597" s="3"/>
      <c r="B12597" s="3"/>
      <c r="C12597" s="3"/>
      <c r="D12597" s="3"/>
      <c r="E12597" s="3">
        <v>14</v>
      </c>
      <c r="F12597" s="4" t="str">
        <f>HYPERLINK("http://141.218.60.56/~jnz1568/getInfo.php?workbook=10_05.xlsx&amp;sheet=U0&amp;row=12597&amp;col=6&amp;number=4.3&amp;sourceID=14","4.3")</f>
        <v>4.3</v>
      </c>
      <c r="G12597" s="4" t="str">
        <f>HYPERLINK("http://141.218.60.56/~jnz1568/getInfo.php?workbook=10_05.xlsx&amp;sheet=U0&amp;row=12597&amp;col=7&amp;number=0.0449&amp;sourceID=14","0.0449")</f>
        <v>0.0449</v>
      </c>
    </row>
    <row r="12598" spans="1:7">
      <c r="A12598" s="3"/>
      <c r="B12598" s="3"/>
      <c r="C12598" s="3"/>
      <c r="D12598" s="3"/>
      <c r="E12598" s="3">
        <v>15</v>
      </c>
      <c r="F12598" s="4" t="str">
        <f>HYPERLINK("http://141.218.60.56/~jnz1568/getInfo.php?workbook=10_05.xlsx&amp;sheet=U0&amp;row=12598&amp;col=6&amp;number=4.4&amp;sourceID=14","4.4")</f>
        <v>4.4</v>
      </c>
      <c r="G12598" s="4" t="str">
        <f>HYPERLINK("http://141.218.60.56/~jnz1568/getInfo.php?workbook=10_05.xlsx&amp;sheet=U0&amp;row=12598&amp;col=7&amp;number=0.0446&amp;sourceID=14","0.0446")</f>
        <v>0.0446</v>
      </c>
    </row>
    <row r="12599" spans="1:7">
      <c r="A12599" s="3"/>
      <c r="B12599" s="3"/>
      <c r="C12599" s="3"/>
      <c r="D12599" s="3"/>
      <c r="E12599" s="3">
        <v>16</v>
      </c>
      <c r="F12599" s="4" t="str">
        <f>HYPERLINK("http://141.218.60.56/~jnz1568/getInfo.php?workbook=10_05.xlsx&amp;sheet=U0&amp;row=12599&amp;col=6&amp;number=4.5&amp;sourceID=14","4.5")</f>
        <v>4.5</v>
      </c>
      <c r="G12599" s="4" t="str">
        <f>HYPERLINK("http://141.218.60.56/~jnz1568/getInfo.php?workbook=10_05.xlsx&amp;sheet=U0&amp;row=12599&amp;col=7&amp;number=0.0443&amp;sourceID=14","0.0443")</f>
        <v>0.0443</v>
      </c>
    </row>
    <row r="12600" spans="1:7">
      <c r="A12600" s="3"/>
      <c r="B12600" s="3"/>
      <c r="C12600" s="3"/>
      <c r="D12600" s="3"/>
      <c r="E12600" s="3">
        <v>17</v>
      </c>
      <c r="F12600" s="4" t="str">
        <f>HYPERLINK("http://141.218.60.56/~jnz1568/getInfo.php?workbook=10_05.xlsx&amp;sheet=U0&amp;row=12600&amp;col=6&amp;number=4.6&amp;sourceID=14","4.6")</f>
        <v>4.6</v>
      </c>
      <c r="G12600" s="4" t="str">
        <f>HYPERLINK("http://141.218.60.56/~jnz1568/getInfo.php?workbook=10_05.xlsx&amp;sheet=U0&amp;row=12600&amp;col=7&amp;number=0.0439&amp;sourceID=14","0.0439")</f>
        <v>0.0439</v>
      </c>
    </row>
    <row r="12601" spans="1:7">
      <c r="A12601" s="3"/>
      <c r="B12601" s="3"/>
      <c r="C12601" s="3"/>
      <c r="D12601" s="3"/>
      <c r="E12601" s="3">
        <v>18</v>
      </c>
      <c r="F12601" s="4" t="str">
        <f>HYPERLINK("http://141.218.60.56/~jnz1568/getInfo.php?workbook=10_05.xlsx&amp;sheet=U0&amp;row=12601&amp;col=6&amp;number=4.7&amp;sourceID=14","4.7")</f>
        <v>4.7</v>
      </c>
      <c r="G12601" s="4" t="str">
        <f>HYPERLINK("http://141.218.60.56/~jnz1568/getInfo.php?workbook=10_05.xlsx&amp;sheet=U0&amp;row=12601&amp;col=7&amp;number=0.0437&amp;sourceID=14","0.0437")</f>
        <v>0.0437</v>
      </c>
    </row>
    <row r="12602" spans="1:7">
      <c r="A12602" s="3"/>
      <c r="B12602" s="3"/>
      <c r="C12602" s="3"/>
      <c r="D12602" s="3"/>
      <c r="E12602" s="3">
        <v>19</v>
      </c>
      <c r="F12602" s="4" t="str">
        <f>HYPERLINK("http://141.218.60.56/~jnz1568/getInfo.php?workbook=10_05.xlsx&amp;sheet=U0&amp;row=12602&amp;col=6&amp;number=4.8&amp;sourceID=14","4.8")</f>
        <v>4.8</v>
      </c>
      <c r="G12602" s="4" t="str">
        <f>HYPERLINK("http://141.218.60.56/~jnz1568/getInfo.php?workbook=10_05.xlsx&amp;sheet=U0&amp;row=12602&amp;col=7&amp;number=0.0437&amp;sourceID=14","0.0437")</f>
        <v>0.0437</v>
      </c>
    </row>
    <row r="12603" spans="1:7">
      <c r="A12603" s="3"/>
      <c r="B12603" s="3"/>
      <c r="C12603" s="3"/>
      <c r="D12603" s="3"/>
      <c r="E12603" s="3">
        <v>20</v>
      </c>
      <c r="F12603" s="4" t="str">
        <f>HYPERLINK("http://141.218.60.56/~jnz1568/getInfo.php?workbook=10_05.xlsx&amp;sheet=U0&amp;row=12603&amp;col=6&amp;number=4.9&amp;sourceID=14","4.9")</f>
        <v>4.9</v>
      </c>
      <c r="G12603" s="4" t="str">
        <f>HYPERLINK("http://141.218.60.56/~jnz1568/getInfo.php?workbook=10_05.xlsx&amp;sheet=U0&amp;row=12603&amp;col=7&amp;number=0.0439&amp;sourceID=14","0.0439")</f>
        <v>0.0439</v>
      </c>
    </row>
    <row r="12604" spans="1:7">
      <c r="A12604" s="3">
        <v>10</v>
      </c>
      <c r="B12604" s="3">
        <v>5</v>
      </c>
      <c r="C12604" s="3">
        <v>4</v>
      </c>
      <c r="D12604" s="3">
        <v>101</v>
      </c>
      <c r="E12604" s="3">
        <v>1</v>
      </c>
      <c r="F12604" s="4" t="str">
        <f>HYPERLINK("http://141.218.60.56/~jnz1568/getInfo.php?workbook=10_05.xlsx&amp;sheet=U0&amp;row=12604&amp;col=6&amp;number=3&amp;sourceID=14","3")</f>
        <v>3</v>
      </c>
      <c r="G12604" s="4" t="str">
        <f>HYPERLINK("http://141.218.60.56/~jnz1568/getInfo.php?workbook=10_05.xlsx&amp;sheet=U0&amp;row=12604&amp;col=7&amp;number=0.0726&amp;sourceID=14","0.0726")</f>
        <v>0.0726</v>
      </c>
    </row>
    <row r="12605" spans="1:7">
      <c r="A12605" s="3"/>
      <c r="B12605" s="3"/>
      <c r="C12605" s="3"/>
      <c r="D12605" s="3"/>
      <c r="E12605" s="3">
        <v>2</v>
      </c>
      <c r="F12605" s="4" t="str">
        <f>HYPERLINK("http://141.218.60.56/~jnz1568/getInfo.php?workbook=10_05.xlsx&amp;sheet=U0&amp;row=12605&amp;col=6&amp;number=3.1&amp;sourceID=14","3.1")</f>
        <v>3.1</v>
      </c>
      <c r="G12605" s="4" t="str">
        <f>HYPERLINK("http://141.218.60.56/~jnz1568/getInfo.php?workbook=10_05.xlsx&amp;sheet=U0&amp;row=12605&amp;col=7&amp;number=0.0723&amp;sourceID=14","0.0723")</f>
        <v>0.0723</v>
      </c>
    </row>
    <row r="12606" spans="1:7">
      <c r="A12606" s="3"/>
      <c r="B12606" s="3"/>
      <c r="C12606" s="3"/>
      <c r="D12606" s="3"/>
      <c r="E12606" s="3">
        <v>3</v>
      </c>
      <c r="F12606" s="4" t="str">
        <f>HYPERLINK("http://141.218.60.56/~jnz1568/getInfo.php?workbook=10_05.xlsx&amp;sheet=U0&amp;row=12606&amp;col=6&amp;number=3.2&amp;sourceID=14","3.2")</f>
        <v>3.2</v>
      </c>
      <c r="G12606" s="4" t="str">
        <f>HYPERLINK("http://141.218.60.56/~jnz1568/getInfo.php?workbook=10_05.xlsx&amp;sheet=U0&amp;row=12606&amp;col=7&amp;number=0.0718&amp;sourceID=14","0.0718")</f>
        <v>0.0718</v>
      </c>
    </row>
    <row r="12607" spans="1:7">
      <c r="A12607" s="3"/>
      <c r="B12607" s="3"/>
      <c r="C12607" s="3"/>
      <c r="D12607" s="3"/>
      <c r="E12607" s="3">
        <v>4</v>
      </c>
      <c r="F12607" s="4" t="str">
        <f>HYPERLINK("http://141.218.60.56/~jnz1568/getInfo.php?workbook=10_05.xlsx&amp;sheet=U0&amp;row=12607&amp;col=6&amp;number=3.3&amp;sourceID=14","3.3")</f>
        <v>3.3</v>
      </c>
      <c r="G12607" s="4" t="str">
        <f>HYPERLINK("http://141.218.60.56/~jnz1568/getInfo.php?workbook=10_05.xlsx&amp;sheet=U0&amp;row=12607&amp;col=7&amp;number=0.0712&amp;sourceID=14","0.0712")</f>
        <v>0.0712</v>
      </c>
    </row>
    <row r="12608" spans="1:7">
      <c r="A12608" s="3"/>
      <c r="B12608" s="3"/>
      <c r="C12608" s="3"/>
      <c r="D12608" s="3"/>
      <c r="E12608" s="3">
        <v>5</v>
      </c>
      <c r="F12608" s="4" t="str">
        <f>HYPERLINK("http://141.218.60.56/~jnz1568/getInfo.php?workbook=10_05.xlsx&amp;sheet=U0&amp;row=12608&amp;col=6&amp;number=3.4&amp;sourceID=14","3.4")</f>
        <v>3.4</v>
      </c>
      <c r="G12608" s="4" t="str">
        <f>HYPERLINK("http://141.218.60.56/~jnz1568/getInfo.php?workbook=10_05.xlsx&amp;sheet=U0&amp;row=12608&amp;col=7&amp;number=0.0705&amp;sourceID=14","0.0705")</f>
        <v>0.0705</v>
      </c>
    </row>
    <row r="12609" spans="1:7">
      <c r="A12609" s="3"/>
      <c r="B12609" s="3"/>
      <c r="C12609" s="3"/>
      <c r="D12609" s="3"/>
      <c r="E12609" s="3">
        <v>6</v>
      </c>
      <c r="F12609" s="4" t="str">
        <f>HYPERLINK("http://141.218.60.56/~jnz1568/getInfo.php?workbook=10_05.xlsx&amp;sheet=U0&amp;row=12609&amp;col=6&amp;number=3.5&amp;sourceID=14","3.5")</f>
        <v>3.5</v>
      </c>
      <c r="G12609" s="4" t="str">
        <f>HYPERLINK("http://141.218.60.56/~jnz1568/getInfo.php?workbook=10_05.xlsx&amp;sheet=U0&amp;row=12609&amp;col=7&amp;number=0.0696&amp;sourceID=14","0.0696")</f>
        <v>0.0696</v>
      </c>
    </row>
    <row r="12610" spans="1:7">
      <c r="A12610" s="3"/>
      <c r="B12610" s="3"/>
      <c r="C12610" s="3"/>
      <c r="D12610" s="3"/>
      <c r="E12610" s="3">
        <v>7</v>
      </c>
      <c r="F12610" s="4" t="str">
        <f>HYPERLINK("http://141.218.60.56/~jnz1568/getInfo.php?workbook=10_05.xlsx&amp;sheet=U0&amp;row=12610&amp;col=6&amp;number=3.6&amp;sourceID=14","3.6")</f>
        <v>3.6</v>
      </c>
      <c r="G12610" s="4" t="str">
        <f>HYPERLINK("http://141.218.60.56/~jnz1568/getInfo.php?workbook=10_05.xlsx&amp;sheet=U0&amp;row=12610&amp;col=7&amp;number=0.0685&amp;sourceID=14","0.0685")</f>
        <v>0.0685</v>
      </c>
    </row>
    <row r="12611" spans="1:7">
      <c r="A12611" s="3"/>
      <c r="B12611" s="3"/>
      <c r="C12611" s="3"/>
      <c r="D12611" s="3"/>
      <c r="E12611" s="3">
        <v>8</v>
      </c>
      <c r="F12611" s="4" t="str">
        <f>HYPERLINK("http://141.218.60.56/~jnz1568/getInfo.php?workbook=10_05.xlsx&amp;sheet=U0&amp;row=12611&amp;col=6&amp;number=3.7&amp;sourceID=14","3.7")</f>
        <v>3.7</v>
      </c>
      <c r="G12611" s="4" t="str">
        <f>HYPERLINK("http://141.218.60.56/~jnz1568/getInfo.php?workbook=10_05.xlsx&amp;sheet=U0&amp;row=12611&amp;col=7&amp;number=0.0671&amp;sourceID=14","0.0671")</f>
        <v>0.0671</v>
      </c>
    </row>
    <row r="12612" spans="1:7">
      <c r="A12612" s="3"/>
      <c r="B12612" s="3"/>
      <c r="C12612" s="3"/>
      <c r="D12612" s="3"/>
      <c r="E12612" s="3">
        <v>9</v>
      </c>
      <c r="F12612" s="4" t="str">
        <f>HYPERLINK("http://141.218.60.56/~jnz1568/getInfo.php?workbook=10_05.xlsx&amp;sheet=U0&amp;row=12612&amp;col=6&amp;number=3.8&amp;sourceID=14","3.8")</f>
        <v>3.8</v>
      </c>
      <c r="G12612" s="4" t="str">
        <f>HYPERLINK("http://141.218.60.56/~jnz1568/getInfo.php?workbook=10_05.xlsx&amp;sheet=U0&amp;row=12612&amp;col=7&amp;number=0.0654&amp;sourceID=14","0.0654")</f>
        <v>0.0654</v>
      </c>
    </row>
    <row r="12613" spans="1:7">
      <c r="A12613" s="3"/>
      <c r="B12613" s="3"/>
      <c r="C12613" s="3"/>
      <c r="D12613" s="3"/>
      <c r="E12613" s="3">
        <v>10</v>
      </c>
      <c r="F12613" s="4" t="str">
        <f>HYPERLINK("http://141.218.60.56/~jnz1568/getInfo.php?workbook=10_05.xlsx&amp;sheet=U0&amp;row=12613&amp;col=6&amp;number=3.9&amp;sourceID=14","3.9")</f>
        <v>3.9</v>
      </c>
      <c r="G12613" s="4" t="str">
        <f>HYPERLINK("http://141.218.60.56/~jnz1568/getInfo.php?workbook=10_05.xlsx&amp;sheet=U0&amp;row=12613&amp;col=7&amp;number=0.0633&amp;sourceID=14","0.0633")</f>
        <v>0.0633</v>
      </c>
    </row>
    <row r="12614" spans="1:7">
      <c r="A12614" s="3"/>
      <c r="B12614" s="3"/>
      <c r="C12614" s="3"/>
      <c r="D12614" s="3"/>
      <c r="E12614" s="3">
        <v>11</v>
      </c>
      <c r="F12614" s="4" t="str">
        <f>HYPERLINK("http://141.218.60.56/~jnz1568/getInfo.php?workbook=10_05.xlsx&amp;sheet=U0&amp;row=12614&amp;col=6&amp;number=4&amp;sourceID=14","4")</f>
        <v>4</v>
      </c>
      <c r="G12614" s="4" t="str">
        <f>HYPERLINK("http://141.218.60.56/~jnz1568/getInfo.php?workbook=10_05.xlsx&amp;sheet=U0&amp;row=12614&amp;col=7&amp;number=0.0607&amp;sourceID=14","0.0607")</f>
        <v>0.0607</v>
      </c>
    </row>
    <row r="12615" spans="1:7">
      <c r="A12615" s="3"/>
      <c r="B12615" s="3"/>
      <c r="C12615" s="3"/>
      <c r="D12615" s="3"/>
      <c r="E12615" s="3">
        <v>12</v>
      </c>
      <c r="F12615" s="4" t="str">
        <f>HYPERLINK("http://141.218.60.56/~jnz1568/getInfo.php?workbook=10_05.xlsx&amp;sheet=U0&amp;row=12615&amp;col=6&amp;number=4.1&amp;sourceID=14","4.1")</f>
        <v>4.1</v>
      </c>
      <c r="G12615" s="4" t="str">
        <f>HYPERLINK("http://141.218.60.56/~jnz1568/getInfo.php?workbook=10_05.xlsx&amp;sheet=U0&amp;row=12615&amp;col=7&amp;number=0.0575&amp;sourceID=14","0.0575")</f>
        <v>0.0575</v>
      </c>
    </row>
    <row r="12616" spans="1:7">
      <c r="A12616" s="3"/>
      <c r="B12616" s="3"/>
      <c r="C12616" s="3"/>
      <c r="D12616" s="3"/>
      <c r="E12616" s="3">
        <v>13</v>
      </c>
      <c r="F12616" s="4" t="str">
        <f>HYPERLINK("http://141.218.60.56/~jnz1568/getInfo.php?workbook=10_05.xlsx&amp;sheet=U0&amp;row=12616&amp;col=6&amp;number=4.2&amp;sourceID=14","4.2")</f>
        <v>4.2</v>
      </c>
      <c r="G12616" s="4" t="str">
        <f>HYPERLINK("http://141.218.60.56/~jnz1568/getInfo.php?workbook=10_05.xlsx&amp;sheet=U0&amp;row=12616&amp;col=7&amp;number=0.0538&amp;sourceID=14","0.0538")</f>
        <v>0.0538</v>
      </c>
    </row>
    <row r="12617" spans="1:7">
      <c r="A12617" s="3"/>
      <c r="B12617" s="3"/>
      <c r="C12617" s="3"/>
      <c r="D12617" s="3"/>
      <c r="E12617" s="3">
        <v>14</v>
      </c>
      <c r="F12617" s="4" t="str">
        <f>HYPERLINK("http://141.218.60.56/~jnz1568/getInfo.php?workbook=10_05.xlsx&amp;sheet=U0&amp;row=12617&amp;col=6&amp;number=4.3&amp;sourceID=14","4.3")</f>
        <v>4.3</v>
      </c>
      <c r="G12617" s="4" t="str">
        <f>HYPERLINK("http://141.218.60.56/~jnz1568/getInfo.php?workbook=10_05.xlsx&amp;sheet=U0&amp;row=12617&amp;col=7&amp;number=0.0494&amp;sourceID=14","0.0494")</f>
        <v>0.0494</v>
      </c>
    </row>
    <row r="12618" spans="1:7">
      <c r="A12618" s="3"/>
      <c r="B12618" s="3"/>
      <c r="C12618" s="3"/>
      <c r="D12618" s="3"/>
      <c r="E12618" s="3">
        <v>15</v>
      </c>
      <c r="F12618" s="4" t="str">
        <f>HYPERLINK("http://141.218.60.56/~jnz1568/getInfo.php?workbook=10_05.xlsx&amp;sheet=U0&amp;row=12618&amp;col=6&amp;number=4.4&amp;sourceID=14","4.4")</f>
        <v>4.4</v>
      </c>
      <c r="G12618" s="4" t="str">
        <f>HYPERLINK("http://141.218.60.56/~jnz1568/getInfo.php?workbook=10_05.xlsx&amp;sheet=U0&amp;row=12618&amp;col=7&amp;number=0.0445&amp;sourceID=14","0.0445")</f>
        <v>0.0445</v>
      </c>
    </row>
    <row r="12619" spans="1:7">
      <c r="A12619" s="3"/>
      <c r="B12619" s="3"/>
      <c r="C12619" s="3"/>
      <c r="D12619" s="3"/>
      <c r="E12619" s="3">
        <v>16</v>
      </c>
      <c r="F12619" s="4" t="str">
        <f>HYPERLINK("http://141.218.60.56/~jnz1568/getInfo.php?workbook=10_05.xlsx&amp;sheet=U0&amp;row=12619&amp;col=6&amp;number=4.5&amp;sourceID=14","4.5")</f>
        <v>4.5</v>
      </c>
      <c r="G12619" s="4" t="str">
        <f>HYPERLINK("http://141.218.60.56/~jnz1568/getInfo.php?workbook=10_05.xlsx&amp;sheet=U0&amp;row=12619&amp;col=7&amp;number=0.0393&amp;sourceID=14","0.0393")</f>
        <v>0.0393</v>
      </c>
    </row>
    <row r="12620" spans="1:7">
      <c r="A12620" s="3"/>
      <c r="B12620" s="3"/>
      <c r="C12620" s="3"/>
      <c r="D12620" s="3"/>
      <c r="E12620" s="3">
        <v>17</v>
      </c>
      <c r="F12620" s="4" t="str">
        <f>HYPERLINK("http://141.218.60.56/~jnz1568/getInfo.php?workbook=10_05.xlsx&amp;sheet=U0&amp;row=12620&amp;col=6&amp;number=4.6&amp;sourceID=14","4.6")</f>
        <v>4.6</v>
      </c>
      <c r="G12620" s="4" t="str">
        <f>HYPERLINK("http://141.218.60.56/~jnz1568/getInfo.php?workbook=10_05.xlsx&amp;sheet=U0&amp;row=12620&amp;col=7&amp;number=0.0343&amp;sourceID=14","0.0343")</f>
        <v>0.0343</v>
      </c>
    </row>
    <row r="12621" spans="1:7">
      <c r="A12621" s="3"/>
      <c r="B12621" s="3"/>
      <c r="C12621" s="3"/>
      <c r="D12621" s="3"/>
      <c r="E12621" s="3">
        <v>18</v>
      </c>
      <c r="F12621" s="4" t="str">
        <f>HYPERLINK("http://141.218.60.56/~jnz1568/getInfo.php?workbook=10_05.xlsx&amp;sheet=U0&amp;row=12621&amp;col=6&amp;number=4.7&amp;sourceID=14","4.7")</f>
        <v>4.7</v>
      </c>
      <c r="G12621" s="4" t="str">
        <f>HYPERLINK("http://141.218.60.56/~jnz1568/getInfo.php?workbook=10_05.xlsx&amp;sheet=U0&amp;row=12621&amp;col=7&amp;number=0.0298&amp;sourceID=14","0.0298")</f>
        <v>0.0298</v>
      </c>
    </row>
    <row r="12622" spans="1:7">
      <c r="A12622" s="3"/>
      <c r="B12622" s="3"/>
      <c r="C12622" s="3"/>
      <c r="D12622" s="3"/>
      <c r="E12622" s="3">
        <v>19</v>
      </c>
      <c r="F12622" s="4" t="str">
        <f>HYPERLINK("http://141.218.60.56/~jnz1568/getInfo.php?workbook=10_05.xlsx&amp;sheet=U0&amp;row=12622&amp;col=6&amp;number=4.8&amp;sourceID=14","4.8")</f>
        <v>4.8</v>
      </c>
      <c r="G12622" s="4" t="str">
        <f>HYPERLINK("http://141.218.60.56/~jnz1568/getInfo.php?workbook=10_05.xlsx&amp;sheet=U0&amp;row=12622&amp;col=7&amp;number=0.026&amp;sourceID=14","0.026")</f>
        <v>0.026</v>
      </c>
    </row>
    <row r="12623" spans="1:7">
      <c r="A12623" s="3"/>
      <c r="B12623" s="3"/>
      <c r="C12623" s="3"/>
      <c r="D12623" s="3"/>
      <c r="E12623" s="3">
        <v>20</v>
      </c>
      <c r="F12623" s="4" t="str">
        <f>HYPERLINK("http://141.218.60.56/~jnz1568/getInfo.php?workbook=10_05.xlsx&amp;sheet=U0&amp;row=12623&amp;col=6&amp;number=4.9&amp;sourceID=14","4.9")</f>
        <v>4.9</v>
      </c>
      <c r="G12623" s="4" t="str">
        <f>HYPERLINK("http://141.218.60.56/~jnz1568/getInfo.php?workbook=10_05.xlsx&amp;sheet=U0&amp;row=12623&amp;col=7&amp;number=0.0229&amp;sourceID=14","0.0229")</f>
        <v>0.0229</v>
      </c>
    </row>
    <row r="12624" spans="1:7">
      <c r="A12624" s="3">
        <v>10</v>
      </c>
      <c r="B12624" s="3">
        <v>5</v>
      </c>
      <c r="C12624" s="3">
        <v>4</v>
      </c>
      <c r="D12624" s="3">
        <v>102</v>
      </c>
      <c r="E12624" s="3">
        <v>1</v>
      </c>
      <c r="F12624" s="4" t="str">
        <f>HYPERLINK("http://141.218.60.56/~jnz1568/getInfo.php?workbook=10_05.xlsx&amp;sheet=U0&amp;row=12624&amp;col=6&amp;number=3&amp;sourceID=14","3")</f>
        <v>3</v>
      </c>
      <c r="G12624" s="4" t="str">
        <f>HYPERLINK("http://141.218.60.56/~jnz1568/getInfo.php?workbook=10_05.xlsx&amp;sheet=U0&amp;row=12624&amp;col=7&amp;number=0.0687&amp;sourceID=14","0.0687")</f>
        <v>0.0687</v>
      </c>
    </row>
    <row r="12625" spans="1:7">
      <c r="A12625" s="3"/>
      <c r="B12625" s="3"/>
      <c r="C12625" s="3"/>
      <c r="D12625" s="3"/>
      <c r="E12625" s="3">
        <v>2</v>
      </c>
      <c r="F12625" s="4" t="str">
        <f>HYPERLINK("http://141.218.60.56/~jnz1568/getInfo.php?workbook=10_05.xlsx&amp;sheet=U0&amp;row=12625&amp;col=6&amp;number=3.1&amp;sourceID=14","3.1")</f>
        <v>3.1</v>
      </c>
      <c r="G12625" s="4" t="str">
        <f>HYPERLINK("http://141.218.60.56/~jnz1568/getInfo.php?workbook=10_05.xlsx&amp;sheet=U0&amp;row=12625&amp;col=7&amp;number=0.0686&amp;sourceID=14","0.0686")</f>
        <v>0.0686</v>
      </c>
    </row>
    <row r="12626" spans="1:7">
      <c r="A12626" s="3"/>
      <c r="B12626" s="3"/>
      <c r="C12626" s="3"/>
      <c r="D12626" s="3"/>
      <c r="E12626" s="3">
        <v>3</v>
      </c>
      <c r="F12626" s="4" t="str">
        <f>HYPERLINK("http://141.218.60.56/~jnz1568/getInfo.php?workbook=10_05.xlsx&amp;sheet=U0&amp;row=12626&amp;col=6&amp;number=3.2&amp;sourceID=14","3.2")</f>
        <v>3.2</v>
      </c>
      <c r="G12626" s="4" t="str">
        <f>HYPERLINK("http://141.218.60.56/~jnz1568/getInfo.php?workbook=10_05.xlsx&amp;sheet=U0&amp;row=12626&amp;col=7&amp;number=0.0685&amp;sourceID=14","0.0685")</f>
        <v>0.0685</v>
      </c>
    </row>
    <row r="12627" spans="1:7">
      <c r="A12627" s="3"/>
      <c r="B12627" s="3"/>
      <c r="C12627" s="3"/>
      <c r="D12627" s="3"/>
      <c r="E12627" s="3">
        <v>4</v>
      </c>
      <c r="F12627" s="4" t="str">
        <f>HYPERLINK("http://141.218.60.56/~jnz1568/getInfo.php?workbook=10_05.xlsx&amp;sheet=U0&amp;row=12627&amp;col=6&amp;number=3.3&amp;sourceID=14","3.3")</f>
        <v>3.3</v>
      </c>
      <c r="G12627" s="4" t="str">
        <f>HYPERLINK("http://141.218.60.56/~jnz1568/getInfo.php?workbook=10_05.xlsx&amp;sheet=U0&amp;row=12627&amp;col=7&amp;number=0.0684&amp;sourceID=14","0.0684")</f>
        <v>0.0684</v>
      </c>
    </row>
    <row r="12628" spans="1:7">
      <c r="A12628" s="3"/>
      <c r="B12628" s="3"/>
      <c r="C12628" s="3"/>
      <c r="D12628" s="3"/>
      <c r="E12628" s="3">
        <v>5</v>
      </c>
      <c r="F12628" s="4" t="str">
        <f>HYPERLINK("http://141.218.60.56/~jnz1568/getInfo.php?workbook=10_05.xlsx&amp;sheet=U0&amp;row=12628&amp;col=6&amp;number=3.4&amp;sourceID=14","3.4")</f>
        <v>3.4</v>
      </c>
      <c r="G12628" s="4" t="str">
        <f>HYPERLINK("http://141.218.60.56/~jnz1568/getInfo.php?workbook=10_05.xlsx&amp;sheet=U0&amp;row=12628&amp;col=7&amp;number=0.0682&amp;sourceID=14","0.0682")</f>
        <v>0.0682</v>
      </c>
    </row>
    <row r="12629" spans="1:7">
      <c r="A12629" s="3"/>
      <c r="B12629" s="3"/>
      <c r="C12629" s="3"/>
      <c r="D12629" s="3"/>
      <c r="E12629" s="3">
        <v>6</v>
      </c>
      <c r="F12629" s="4" t="str">
        <f>HYPERLINK("http://141.218.60.56/~jnz1568/getInfo.php?workbook=10_05.xlsx&amp;sheet=U0&amp;row=12629&amp;col=6&amp;number=3.5&amp;sourceID=14","3.5")</f>
        <v>3.5</v>
      </c>
      <c r="G12629" s="4" t="str">
        <f>HYPERLINK("http://141.218.60.56/~jnz1568/getInfo.php?workbook=10_05.xlsx&amp;sheet=U0&amp;row=12629&amp;col=7&amp;number=0.068&amp;sourceID=14","0.068")</f>
        <v>0.068</v>
      </c>
    </row>
    <row r="12630" spans="1:7">
      <c r="A12630" s="3"/>
      <c r="B12630" s="3"/>
      <c r="C12630" s="3"/>
      <c r="D12630" s="3"/>
      <c r="E12630" s="3">
        <v>7</v>
      </c>
      <c r="F12630" s="4" t="str">
        <f>HYPERLINK("http://141.218.60.56/~jnz1568/getInfo.php?workbook=10_05.xlsx&amp;sheet=U0&amp;row=12630&amp;col=6&amp;number=3.6&amp;sourceID=14","3.6")</f>
        <v>3.6</v>
      </c>
      <c r="G12630" s="4" t="str">
        <f>HYPERLINK("http://141.218.60.56/~jnz1568/getInfo.php?workbook=10_05.xlsx&amp;sheet=U0&amp;row=12630&amp;col=7&amp;number=0.0678&amp;sourceID=14","0.0678")</f>
        <v>0.0678</v>
      </c>
    </row>
    <row r="12631" spans="1:7">
      <c r="A12631" s="3"/>
      <c r="B12631" s="3"/>
      <c r="C12631" s="3"/>
      <c r="D12631" s="3"/>
      <c r="E12631" s="3">
        <v>8</v>
      </c>
      <c r="F12631" s="4" t="str">
        <f>HYPERLINK("http://141.218.60.56/~jnz1568/getInfo.php?workbook=10_05.xlsx&amp;sheet=U0&amp;row=12631&amp;col=6&amp;number=3.7&amp;sourceID=14","3.7")</f>
        <v>3.7</v>
      </c>
      <c r="G12631" s="4" t="str">
        <f>HYPERLINK("http://141.218.60.56/~jnz1568/getInfo.php?workbook=10_05.xlsx&amp;sheet=U0&amp;row=12631&amp;col=7&amp;number=0.0674&amp;sourceID=14","0.0674")</f>
        <v>0.0674</v>
      </c>
    </row>
    <row r="12632" spans="1:7">
      <c r="A12632" s="3"/>
      <c r="B12632" s="3"/>
      <c r="C12632" s="3"/>
      <c r="D12632" s="3"/>
      <c r="E12632" s="3">
        <v>9</v>
      </c>
      <c r="F12632" s="4" t="str">
        <f>HYPERLINK("http://141.218.60.56/~jnz1568/getInfo.php?workbook=10_05.xlsx&amp;sheet=U0&amp;row=12632&amp;col=6&amp;number=3.8&amp;sourceID=14","3.8")</f>
        <v>3.8</v>
      </c>
      <c r="G12632" s="4" t="str">
        <f>HYPERLINK("http://141.218.60.56/~jnz1568/getInfo.php?workbook=10_05.xlsx&amp;sheet=U0&amp;row=12632&amp;col=7&amp;number=0.0671&amp;sourceID=14","0.0671")</f>
        <v>0.0671</v>
      </c>
    </row>
    <row r="12633" spans="1:7">
      <c r="A12633" s="3"/>
      <c r="B12633" s="3"/>
      <c r="C12633" s="3"/>
      <c r="D12633" s="3"/>
      <c r="E12633" s="3">
        <v>10</v>
      </c>
      <c r="F12633" s="4" t="str">
        <f>HYPERLINK("http://141.218.60.56/~jnz1568/getInfo.php?workbook=10_05.xlsx&amp;sheet=U0&amp;row=12633&amp;col=6&amp;number=3.9&amp;sourceID=14","3.9")</f>
        <v>3.9</v>
      </c>
      <c r="G12633" s="4" t="str">
        <f>HYPERLINK("http://141.218.60.56/~jnz1568/getInfo.php?workbook=10_05.xlsx&amp;sheet=U0&amp;row=12633&amp;col=7&amp;number=0.0666&amp;sourceID=14","0.0666")</f>
        <v>0.0666</v>
      </c>
    </row>
    <row r="12634" spans="1:7">
      <c r="A12634" s="3"/>
      <c r="B12634" s="3"/>
      <c r="C12634" s="3"/>
      <c r="D12634" s="3"/>
      <c r="E12634" s="3">
        <v>11</v>
      </c>
      <c r="F12634" s="4" t="str">
        <f>HYPERLINK("http://141.218.60.56/~jnz1568/getInfo.php?workbook=10_05.xlsx&amp;sheet=U0&amp;row=12634&amp;col=6&amp;number=4&amp;sourceID=14","4")</f>
        <v>4</v>
      </c>
      <c r="G12634" s="4" t="str">
        <f>HYPERLINK("http://141.218.60.56/~jnz1568/getInfo.php?workbook=10_05.xlsx&amp;sheet=U0&amp;row=12634&amp;col=7&amp;number=0.0661&amp;sourceID=14","0.0661")</f>
        <v>0.0661</v>
      </c>
    </row>
    <row r="12635" spans="1:7">
      <c r="A12635" s="3"/>
      <c r="B12635" s="3"/>
      <c r="C12635" s="3"/>
      <c r="D12635" s="3"/>
      <c r="E12635" s="3">
        <v>12</v>
      </c>
      <c r="F12635" s="4" t="str">
        <f>HYPERLINK("http://141.218.60.56/~jnz1568/getInfo.php?workbook=10_05.xlsx&amp;sheet=U0&amp;row=12635&amp;col=6&amp;number=4.1&amp;sourceID=14","4.1")</f>
        <v>4.1</v>
      </c>
      <c r="G12635" s="4" t="str">
        <f>HYPERLINK("http://141.218.60.56/~jnz1568/getInfo.php?workbook=10_05.xlsx&amp;sheet=U0&amp;row=12635&amp;col=7&amp;number=0.0655&amp;sourceID=14","0.0655")</f>
        <v>0.0655</v>
      </c>
    </row>
    <row r="12636" spans="1:7">
      <c r="A12636" s="3"/>
      <c r="B12636" s="3"/>
      <c r="C12636" s="3"/>
      <c r="D12636" s="3"/>
      <c r="E12636" s="3">
        <v>13</v>
      </c>
      <c r="F12636" s="4" t="str">
        <f>HYPERLINK("http://141.218.60.56/~jnz1568/getInfo.php?workbook=10_05.xlsx&amp;sheet=U0&amp;row=12636&amp;col=6&amp;number=4.2&amp;sourceID=14","4.2")</f>
        <v>4.2</v>
      </c>
      <c r="G12636" s="4" t="str">
        <f>HYPERLINK("http://141.218.60.56/~jnz1568/getInfo.php?workbook=10_05.xlsx&amp;sheet=U0&amp;row=12636&amp;col=7&amp;number=0.0649&amp;sourceID=14","0.0649")</f>
        <v>0.0649</v>
      </c>
    </row>
    <row r="12637" spans="1:7">
      <c r="A12637" s="3"/>
      <c r="B12637" s="3"/>
      <c r="C12637" s="3"/>
      <c r="D12637" s="3"/>
      <c r="E12637" s="3">
        <v>14</v>
      </c>
      <c r="F12637" s="4" t="str">
        <f>HYPERLINK("http://141.218.60.56/~jnz1568/getInfo.php?workbook=10_05.xlsx&amp;sheet=U0&amp;row=12637&amp;col=6&amp;number=4.3&amp;sourceID=14","4.3")</f>
        <v>4.3</v>
      </c>
      <c r="G12637" s="4" t="str">
        <f>HYPERLINK("http://141.218.60.56/~jnz1568/getInfo.php?workbook=10_05.xlsx&amp;sheet=U0&amp;row=12637&amp;col=7&amp;number=0.0642&amp;sourceID=14","0.0642")</f>
        <v>0.0642</v>
      </c>
    </row>
    <row r="12638" spans="1:7">
      <c r="A12638" s="3"/>
      <c r="B12638" s="3"/>
      <c r="C12638" s="3"/>
      <c r="D12638" s="3"/>
      <c r="E12638" s="3">
        <v>15</v>
      </c>
      <c r="F12638" s="4" t="str">
        <f>HYPERLINK("http://141.218.60.56/~jnz1568/getInfo.php?workbook=10_05.xlsx&amp;sheet=U0&amp;row=12638&amp;col=6&amp;number=4.4&amp;sourceID=14","4.4")</f>
        <v>4.4</v>
      </c>
      <c r="G12638" s="4" t="str">
        <f>HYPERLINK("http://141.218.60.56/~jnz1568/getInfo.php?workbook=10_05.xlsx&amp;sheet=U0&amp;row=12638&amp;col=7&amp;number=0.0637&amp;sourceID=14","0.0637")</f>
        <v>0.0637</v>
      </c>
    </row>
    <row r="12639" spans="1:7">
      <c r="A12639" s="3"/>
      <c r="B12639" s="3"/>
      <c r="C12639" s="3"/>
      <c r="D12639" s="3"/>
      <c r="E12639" s="3">
        <v>16</v>
      </c>
      <c r="F12639" s="4" t="str">
        <f>HYPERLINK("http://141.218.60.56/~jnz1568/getInfo.php?workbook=10_05.xlsx&amp;sheet=U0&amp;row=12639&amp;col=6&amp;number=4.5&amp;sourceID=14","4.5")</f>
        <v>4.5</v>
      </c>
      <c r="G12639" s="4" t="str">
        <f>HYPERLINK("http://141.218.60.56/~jnz1568/getInfo.php?workbook=10_05.xlsx&amp;sheet=U0&amp;row=12639&amp;col=7&amp;number=0.0633&amp;sourceID=14","0.0633")</f>
        <v>0.0633</v>
      </c>
    </row>
    <row r="12640" spans="1:7">
      <c r="A12640" s="3"/>
      <c r="B12640" s="3"/>
      <c r="C12640" s="3"/>
      <c r="D12640" s="3"/>
      <c r="E12640" s="3">
        <v>17</v>
      </c>
      <c r="F12640" s="4" t="str">
        <f>HYPERLINK("http://141.218.60.56/~jnz1568/getInfo.php?workbook=10_05.xlsx&amp;sheet=U0&amp;row=12640&amp;col=6&amp;number=4.6&amp;sourceID=14","4.6")</f>
        <v>4.6</v>
      </c>
      <c r="G12640" s="4" t="str">
        <f>HYPERLINK("http://141.218.60.56/~jnz1568/getInfo.php?workbook=10_05.xlsx&amp;sheet=U0&amp;row=12640&amp;col=7&amp;number=0.0631&amp;sourceID=14","0.0631")</f>
        <v>0.0631</v>
      </c>
    </row>
    <row r="12641" spans="1:7">
      <c r="A12641" s="3"/>
      <c r="B12641" s="3"/>
      <c r="C12641" s="3"/>
      <c r="D12641" s="3"/>
      <c r="E12641" s="3">
        <v>18</v>
      </c>
      <c r="F12641" s="4" t="str">
        <f>HYPERLINK("http://141.218.60.56/~jnz1568/getInfo.php?workbook=10_05.xlsx&amp;sheet=U0&amp;row=12641&amp;col=6&amp;number=4.7&amp;sourceID=14","4.7")</f>
        <v>4.7</v>
      </c>
      <c r="G12641" s="4" t="str">
        <f>HYPERLINK("http://141.218.60.56/~jnz1568/getInfo.php?workbook=10_05.xlsx&amp;sheet=U0&amp;row=12641&amp;col=7&amp;number=0.063&amp;sourceID=14","0.063")</f>
        <v>0.063</v>
      </c>
    </row>
    <row r="12642" spans="1:7">
      <c r="A12642" s="3"/>
      <c r="B12642" s="3"/>
      <c r="C12642" s="3"/>
      <c r="D12642" s="3"/>
      <c r="E12642" s="3">
        <v>19</v>
      </c>
      <c r="F12642" s="4" t="str">
        <f>HYPERLINK("http://141.218.60.56/~jnz1568/getInfo.php?workbook=10_05.xlsx&amp;sheet=U0&amp;row=12642&amp;col=6&amp;number=4.8&amp;sourceID=14","4.8")</f>
        <v>4.8</v>
      </c>
      <c r="G12642" s="4" t="str">
        <f>HYPERLINK("http://141.218.60.56/~jnz1568/getInfo.php?workbook=10_05.xlsx&amp;sheet=U0&amp;row=12642&amp;col=7&amp;number=0.0629&amp;sourceID=14","0.0629")</f>
        <v>0.0629</v>
      </c>
    </row>
    <row r="12643" spans="1:7">
      <c r="A12643" s="3"/>
      <c r="B12643" s="3"/>
      <c r="C12643" s="3"/>
      <c r="D12643" s="3"/>
      <c r="E12643" s="3">
        <v>20</v>
      </c>
      <c r="F12643" s="4" t="str">
        <f>HYPERLINK("http://141.218.60.56/~jnz1568/getInfo.php?workbook=10_05.xlsx&amp;sheet=U0&amp;row=12643&amp;col=6&amp;number=4.9&amp;sourceID=14","4.9")</f>
        <v>4.9</v>
      </c>
      <c r="G12643" s="4" t="str">
        <f>HYPERLINK("http://141.218.60.56/~jnz1568/getInfo.php?workbook=10_05.xlsx&amp;sheet=U0&amp;row=12643&amp;col=7&amp;number=0.0631&amp;sourceID=14","0.0631")</f>
        <v>0.0631</v>
      </c>
    </row>
    <row r="12644" spans="1:7">
      <c r="A12644" s="3">
        <v>10</v>
      </c>
      <c r="B12644" s="3">
        <v>5</v>
      </c>
      <c r="C12644" s="3">
        <v>4</v>
      </c>
      <c r="D12644" s="3">
        <v>103</v>
      </c>
      <c r="E12644" s="3">
        <v>1</v>
      </c>
      <c r="F12644" s="4" t="str">
        <f>HYPERLINK("http://141.218.60.56/~jnz1568/getInfo.php?workbook=10_05.xlsx&amp;sheet=U0&amp;row=12644&amp;col=6&amp;number=3&amp;sourceID=14","3")</f>
        <v>3</v>
      </c>
      <c r="G12644" s="4" t="str">
        <f>HYPERLINK("http://141.218.60.56/~jnz1568/getInfo.php?workbook=10_05.xlsx&amp;sheet=U0&amp;row=12644&amp;col=7&amp;number=0.0973&amp;sourceID=14","0.0973")</f>
        <v>0.0973</v>
      </c>
    </row>
    <row r="12645" spans="1:7">
      <c r="A12645" s="3"/>
      <c r="B12645" s="3"/>
      <c r="C12645" s="3"/>
      <c r="D12645" s="3"/>
      <c r="E12645" s="3">
        <v>2</v>
      </c>
      <c r="F12645" s="4" t="str">
        <f>HYPERLINK("http://141.218.60.56/~jnz1568/getInfo.php?workbook=10_05.xlsx&amp;sheet=U0&amp;row=12645&amp;col=6&amp;number=3.1&amp;sourceID=14","3.1")</f>
        <v>3.1</v>
      </c>
      <c r="G12645" s="4" t="str">
        <f>HYPERLINK("http://141.218.60.56/~jnz1568/getInfo.php?workbook=10_05.xlsx&amp;sheet=U0&amp;row=12645&amp;col=7&amp;number=0.0969&amp;sourceID=14","0.0969")</f>
        <v>0.0969</v>
      </c>
    </row>
    <row r="12646" spans="1:7">
      <c r="A12646" s="3"/>
      <c r="B12646" s="3"/>
      <c r="C12646" s="3"/>
      <c r="D12646" s="3"/>
      <c r="E12646" s="3">
        <v>3</v>
      </c>
      <c r="F12646" s="4" t="str">
        <f>HYPERLINK("http://141.218.60.56/~jnz1568/getInfo.php?workbook=10_05.xlsx&amp;sheet=U0&amp;row=12646&amp;col=6&amp;number=3.2&amp;sourceID=14","3.2")</f>
        <v>3.2</v>
      </c>
      <c r="G12646" s="4" t="str">
        <f>HYPERLINK("http://141.218.60.56/~jnz1568/getInfo.php?workbook=10_05.xlsx&amp;sheet=U0&amp;row=12646&amp;col=7&amp;number=0.0963&amp;sourceID=14","0.0963")</f>
        <v>0.0963</v>
      </c>
    </row>
    <row r="12647" spans="1:7">
      <c r="A12647" s="3"/>
      <c r="B12647" s="3"/>
      <c r="C12647" s="3"/>
      <c r="D12647" s="3"/>
      <c r="E12647" s="3">
        <v>4</v>
      </c>
      <c r="F12647" s="4" t="str">
        <f>HYPERLINK("http://141.218.60.56/~jnz1568/getInfo.php?workbook=10_05.xlsx&amp;sheet=U0&amp;row=12647&amp;col=6&amp;number=3.3&amp;sourceID=14","3.3")</f>
        <v>3.3</v>
      </c>
      <c r="G12647" s="4" t="str">
        <f>HYPERLINK("http://141.218.60.56/~jnz1568/getInfo.php?workbook=10_05.xlsx&amp;sheet=U0&amp;row=12647&amp;col=7&amp;number=0.0957&amp;sourceID=14","0.0957")</f>
        <v>0.0957</v>
      </c>
    </row>
    <row r="12648" spans="1:7">
      <c r="A12648" s="3"/>
      <c r="B12648" s="3"/>
      <c r="C12648" s="3"/>
      <c r="D12648" s="3"/>
      <c r="E12648" s="3">
        <v>5</v>
      </c>
      <c r="F12648" s="4" t="str">
        <f>HYPERLINK("http://141.218.60.56/~jnz1568/getInfo.php?workbook=10_05.xlsx&amp;sheet=U0&amp;row=12648&amp;col=6&amp;number=3.4&amp;sourceID=14","3.4")</f>
        <v>3.4</v>
      </c>
      <c r="G12648" s="4" t="str">
        <f>HYPERLINK("http://141.218.60.56/~jnz1568/getInfo.php?workbook=10_05.xlsx&amp;sheet=U0&amp;row=12648&amp;col=7&amp;number=0.0948&amp;sourceID=14","0.0948")</f>
        <v>0.0948</v>
      </c>
    </row>
    <row r="12649" spans="1:7">
      <c r="A12649" s="3"/>
      <c r="B12649" s="3"/>
      <c r="C12649" s="3"/>
      <c r="D12649" s="3"/>
      <c r="E12649" s="3">
        <v>6</v>
      </c>
      <c r="F12649" s="4" t="str">
        <f>HYPERLINK("http://141.218.60.56/~jnz1568/getInfo.php?workbook=10_05.xlsx&amp;sheet=U0&amp;row=12649&amp;col=6&amp;number=3.5&amp;sourceID=14","3.5")</f>
        <v>3.5</v>
      </c>
      <c r="G12649" s="4" t="str">
        <f>HYPERLINK("http://141.218.60.56/~jnz1568/getInfo.php?workbook=10_05.xlsx&amp;sheet=U0&amp;row=12649&amp;col=7&amp;number=0.0938&amp;sourceID=14","0.0938")</f>
        <v>0.0938</v>
      </c>
    </row>
    <row r="12650" spans="1:7">
      <c r="A12650" s="3"/>
      <c r="B12650" s="3"/>
      <c r="C12650" s="3"/>
      <c r="D12650" s="3"/>
      <c r="E12650" s="3">
        <v>7</v>
      </c>
      <c r="F12650" s="4" t="str">
        <f>HYPERLINK("http://141.218.60.56/~jnz1568/getInfo.php?workbook=10_05.xlsx&amp;sheet=U0&amp;row=12650&amp;col=6&amp;number=3.6&amp;sourceID=14","3.6")</f>
        <v>3.6</v>
      </c>
      <c r="G12650" s="4" t="str">
        <f>HYPERLINK("http://141.218.60.56/~jnz1568/getInfo.php?workbook=10_05.xlsx&amp;sheet=U0&amp;row=12650&amp;col=7&amp;number=0.0924&amp;sourceID=14","0.0924")</f>
        <v>0.0924</v>
      </c>
    </row>
    <row r="12651" spans="1:7">
      <c r="A12651" s="3"/>
      <c r="B12651" s="3"/>
      <c r="C12651" s="3"/>
      <c r="D12651" s="3"/>
      <c r="E12651" s="3">
        <v>8</v>
      </c>
      <c r="F12651" s="4" t="str">
        <f>HYPERLINK("http://141.218.60.56/~jnz1568/getInfo.php?workbook=10_05.xlsx&amp;sheet=U0&amp;row=12651&amp;col=6&amp;number=3.7&amp;sourceID=14","3.7")</f>
        <v>3.7</v>
      </c>
      <c r="G12651" s="4" t="str">
        <f>HYPERLINK("http://141.218.60.56/~jnz1568/getInfo.php?workbook=10_05.xlsx&amp;sheet=U0&amp;row=12651&amp;col=7&amp;number=0.0908&amp;sourceID=14","0.0908")</f>
        <v>0.0908</v>
      </c>
    </row>
    <row r="12652" spans="1:7">
      <c r="A12652" s="3"/>
      <c r="B12652" s="3"/>
      <c r="C12652" s="3"/>
      <c r="D12652" s="3"/>
      <c r="E12652" s="3">
        <v>9</v>
      </c>
      <c r="F12652" s="4" t="str">
        <f>HYPERLINK("http://141.218.60.56/~jnz1568/getInfo.php?workbook=10_05.xlsx&amp;sheet=U0&amp;row=12652&amp;col=6&amp;number=3.8&amp;sourceID=14","3.8")</f>
        <v>3.8</v>
      </c>
      <c r="G12652" s="4" t="str">
        <f>HYPERLINK("http://141.218.60.56/~jnz1568/getInfo.php?workbook=10_05.xlsx&amp;sheet=U0&amp;row=12652&amp;col=7&amp;number=0.0888&amp;sourceID=14","0.0888")</f>
        <v>0.0888</v>
      </c>
    </row>
    <row r="12653" spans="1:7">
      <c r="A12653" s="3"/>
      <c r="B12653" s="3"/>
      <c r="C12653" s="3"/>
      <c r="D12653" s="3"/>
      <c r="E12653" s="3">
        <v>10</v>
      </c>
      <c r="F12653" s="4" t="str">
        <f>HYPERLINK("http://141.218.60.56/~jnz1568/getInfo.php?workbook=10_05.xlsx&amp;sheet=U0&amp;row=12653&amp;col=6&amp;number=3.9&amp;sourceID=14","3.9")</f>
        <v>3.9</v>
      </c>
      <c r="G12653" s="4" t="str">
        <f>HYPERLINK("http://141.218.60.56/~jnz1568/getInfo.php?workbook=10_05.xlsx&amp;sheet=U0&amp;row=12653&amp;col=7&amp;number=0.0862&amp;sourceID=14","0.0862")</f>
        <v>0.0862</v>
      </c>
    </row>
    <row r="12654" spans="1:7">
      <c r="A12654" s="3"/>
      <c r="B12654" s="3"/>
      <c r="C12654" s="3"/>
      <c r="D12654" s="3"/>
      <c r="E12654" s="3">
        <v>11</v>
      </c>
      <c r="F12654" s="4" t="str">
        <f>HYPERLINK("http://141.218.60.56/~jnz1568/getInfo.php?workbook=10_05.xlsx&amp;sheet=U0&amp;row=12654&amp;col=6&amp;number=4&amp;sourceID=14","4")</f>
        <v>4</v>
      </c>
      <c r="G12654" s="4" t="str">
        <f>HYPERLINK("http://141.218.60.56/~jnz1568/getInfo.php?workbook=10_05.xlsx&amp;sheet=U0&amp;row=12654&amp;col=7&amp;number=0.0832&amp;sourceID=14","0.0832")</f>
        <v>0.0832</v>
      </c>
    </row>
    <row r="12655" spans="1:7">
      <c r="A12655" s="3"/>
      <c r="B12655" s="3"/>
      <c r="C12655" s="3"/>
      <c r="D12655" s="3"/>
      <c r="E12655" s="3">
        <v>12</v>
      </c>
      <c r="F12655" s="4" t="str">
        <f>HYPERLINK("http://141.218.60.56/~jnz1568/getInfo.php?workbook=10_05.xlsx&amp;sheet=U0&amp;row=12655&amp;col=6&amp;number=4.1&amp;sourceID=14","4.1")</f>
        <v>4.1</v>
      </c>
      <c r="G12655" s="4" t="str">
        <f>HYPERLINK("http://141.218.60.56/~jnz1568/getInfo.php?workbook=10_05.xlsx&amp;sheet=U0&amp;row=12655&amp;col=7&amp;number=0.0794&amp;sourceID=14","0.0794")</f>
        <v>0.0794</v>
      </c>
    </row>
    <row r="12656" spans="1:7">
      <c r="A12656" s="3"/>
      <c r="B12656" s="3"/>
      <c r="C12656" s="3"/>
      <c r="D12656" s="3"/>
      <c r="E12656" s="3">
        <v>13</v>
      </c>
      <c r="F12656" s="4" t="str">
        <f>HYPERLINK("http://141.218.60.56/~jnz1568/getInfo.php?workbook=10_05.xlsx&amp;sheet=U0&amp;row=12656&amp;col=6&amp;number=4.2&amp;sourceID=14","4.2")</f>
        <v>4.2</v>
      </c>
      <c r="G12656" s="4" t="str">
        <f>HYPERLINK("http://141.218.60.56/~jnz1568/getInfo.php?workbook=10_05.xlsx&amp;sheet=U0&amp;row=12656&amp;col=7&amp;number=0.0749&amp;sourceID=14","0.0749")</f>
        <v>0.0749</v>
      </c>
    </row>
    <row r="12657" spans="1:7">
      <c r="A12657" s="3"/>
      <c r="B12657" s="3"/>
      <c r="C12657" s="3"/>
      <c r="D12657" s="3"/>
      <c r="E12657" s="3">
        <v>14</v>
      </c>
      <c r="F12657" s="4" t="str">
        <f>HYPERLINK("http://141.218.60.56/~jnz1568/getInfo.php?workbook=10_05.xlsx&amp;sheet=U0&amp;row=12657&amp;col=6&amp;number=4.3&amp;sourceID=14","4.3")</f>
        <v>4.3</v>
      </c>
      <c r="G12657" s="4" t="str">
        <f>HYPERLINK("http://141.218.60.56/~jnz1568/getInfo.php?workbook=10_05.xlsx&amp;sheet=U0&amp;row=12657&amp;col=7&amp;number=0.0697&amp;sourceID=14","0.0697")</f>
        <v>0.0697</v>
      </c>
    </row>
    <row r="12658" spans="1:7">
      <c r="A12658" s="3"/>
      <c r="B12658" s="3"/>
      <c r="C12658" s="3"/>
      <c r="D12658" s="3"/>
      <c r="E12658" s="3">
        <v>15</v>
      </c>
      <c r="F12658" s="4" t="str">
        <f>HYPERLINK("http://141.218.60.56/~jnz1568/getInfo.php?workbook=10_05.xlsx&amp;sheet=U0&amp;row=12658&amp;col=6&amp;number=4.4&amp;sourceID=14","4.4")</f>
        <v>4.4</v>
      </c>
      <c r="G12658" s="4" t="str">
        <f>HYPERLINK("http://141.218.60.56/~jnz1568/getInfo.php?workbook=10_05.xlsx&amp;sheet=U0&amp;row=12658&amp;col=7&amp;number=0.0637&amp;sourceID=14","0.0637")</f>
        <v>0.0637</v>
      </c>
    </row>
    <row r="12659" spans="1:7">
      <c r="A12659" s="3"/>
      <c r="B12659" s="3"/>
      <c r="C12659" s="3"/>
      <c r="D12659" s="3"/>
      <c r="E12659" s="3">
        <v>16</v>
      </c>
      <c r="F12659" s="4" t="str">
        <f>HYPERLINK("http://141.218.60.56/~jnz1568/getInfo.php?workbook=10_05.xlsx&amp;sheet=U0&amp;row=12659&amp;col=6&amp;number=4.5&amp;sourceID=14","4.5")</f>
        <v>4.5</v>
      </c>
      <c r="G12659" s="4" t="str">
        <f>HYPERLINK("http://141.218.60.56/~jnz1568/getInfo.php?workbook=10_05.xlsx&amp;sheet=U0&amp;row=12659&amp;col=7&amp;number=0.0572&amp;sourceID=14","0.0572")</f>
        <v>0.0572</v>
      </c>
    </row>
    <row r="12660" spans="1:7">
      <c r="A12660" s="3"/>
      <c r="B12660" s="3"/>
      <c r="C12660" s="3"/>
      <c r="D12660" s="3"/>
      <c r="E12660" s="3">
        <v>17</v>
      </c>
      <c r="F12660" s="4" t="str">
        <f>HYPERLINK("http://141.218.60.56/~jnz1568/getInfo.php?workbook=10_05.xlsx&amp;sheet=U0&amp;row=12660&amp;col=6&amp;number=4.6&amp;sourceID=14","4.6")</f>
        <v>4.6</v>
      </c>
      <c r="G12660" s="4" t="str">
        <f>HYPERLINK("http://141.218.60.56/~jnz1568/getInfo.php?workbook=10_05.xlsx&amp;sheet=U0&amp;row=12660&amp;col=7&amp;number=0.0508&amp;sourceID=14","0.0508")</f>
        <v>0.0508</v>
      </c>
    </row>
    <row r="12661" spans="1:7">
      <c r="A12661" s="3"/>
      <c r="B12661" s="3"/>
      <c r="C12661" s="3"/>
      <c r="D12661" s="3"/>
      <c r="E12661" s="3">
        <v>18</v>
      </c>
      <c r="F12661" s="4" t="str">
        <f>HYPERLINK("http://141.218.60.56/~jnz1568/getInfo.php?workbook=10_05.xlsx&amp;sheet=U0&amp;row=12661&amp;col=6&amp;number=4.7&amp;sourceID=14","4.7")</f>
        <v>4.7</v>
      </c>
      <c r="G12661" s="4" t="str">
        <f>HYPERLINK("http://141.218.60.56/~jnz1568/getInfo.php?workbook=10_05.xlsx&amp;sheet=U0&amp;row=12661&amp;col=7&amp;number=0.0447&amp;sourceID=14","0.0447")</f>
        <v>0.0447</v>
      </c>
    </row>
    <row r="12662" spans="1:7">
      <c r="A12662" s="3"/>
      <c r="B12662" s="3"/>
      <c r="C12662" s="3"/>
      <c r="D12662" s="3"/>
      <c r="E12662" s="3">
        <v>19</v>
      </c>
      <c r="F12662" s="4" t="str">
        <f>HYPERLINK("http://141.218.60.56/~jnz1568/getInfo.php?workbook=10_05.xlsx&amp;sheet=U0&amp;row=12662&amp;col=6&amp;number=4.8&amp;sourceID=14","4.8")</f>
        <v>4.8</v>
      </c>
      <c r="G12662" s="4" t="str">
        <f>HYPERLINK("http://141.218.60.56/~jnz1568/getInfo.php?workbook=10_05.xlsx&amp;sheet=U0&amp;row=12662&amp;col=7&amp;number=0.0393&amp;sourceID=14","0.0393")</f>
        <v>0.0393</v>
      </c>
    </row>
    <row r="12663" spans="1:7">
      <c r="A12663" s="3"/>
      <c r="B12663" s="3"/>
      <c r="C12663" s="3"/>
      <c r="D12663" s="3"/>
      <c r="E12663" s="3">
        <v>20</v>
      </c>
      <c r="F12663" s="4" t="str">
        <f>HYPERLINK("http://141.218.60.56/~jnz1568/getInfo.php?workbook=10_05.xlsx&amp;sheet=U0&amp;row=12663&amp;col=6&amp;number=4.9&amp;sourceID=14","4.9")</f>
        <v>4.9</v>
      </c>
      <c r="G12663" s="4" t="str">
        <f>HYPERLINK("http://141.218.60.56/~jnz1568/getInfo.php?workbook=10_05.xlsx&amp;sheet=U0&amp;row=12663&amp;col=7&amp;number=0.0345&amp;sourceID=14","0.0345")</f>
        <v>0.0345</v>
      </c>
    </row>
    <row r="12664" spans="1:7">
      <c r="A12664" s="3">
        <v>10</v>
      </c>
      <c r="B12664" s="3">
        <v>5</v>
      </c>
      <c r="C12664" s="3">
        <v>4</v>
      </c>
      <c r="D12664" s="3">
        <v>104</v>
      </c>
      <c r="E12664" s="3">
        <v>1</v>
      </c>
      <c r="F12664" s="4" t="str">
        <f>HYPERLINK("http://141.218.60.56/~jnz1568/getInfo.php?workbook=10_05.xlsx&amp;sheet=U0&amp;row=12664&amp;col=6&amp;number=3&amp;sourceID=14","3")</f>
        <v>3</v>
      </c>
      <c r="G12664" s="4" t="str">
        <f>HYPERLINK("http://141.218.60.56/~jnz1568/getInfo.php?workbook=10_05.xlsx&amp;sheet=U0&amp;row=12664&amp;col=7&amp;number=0.0186&amp;sourceID=14","0.0186")</f>
        <v>0.0186</v>
      </c>
    </row>
    <row r="12665" spans="1:7">
      <c r="A12665" s="3"/>
      <c r="B12665" s="3"/>
      <c r="C12665" s="3"/>
      <c r="D12665" s="3"/>
      <c r="E12665" s="3">
        <v>2</v>
      </c>
      <c r="F12665" s="4" t="str">
        <f>HYPERLINK("http://141.218.60.56/~jnz1568/getInfo.php?workbook=10_05.xlsx&amp;sheet=U0&amp;row=12665&amp;col=6&amp;number=3.1&amp;sourceID=14","3.1")</f>
        <v>3.1</v>
      </c>
      <c r="G12665" s="4" t="str">
        <f>HYPERLINK("http://141.218.60.56/~jnz1568/getInfo.php?workbook=10_05.xlsx&amp;sheet=U0&amp;row=12665&amp;col=7&amp;number=0.0185&amp;sourceID=14","0.0185")</f>
        <v>0.0185</v>
      </c>
    </row>
    <row r="12666" spans="1:7">
      <c r="A12666" s="3"/>
      <c r="B12666" s="3"/>
      <c r="C12666" s="3"/>
      <c r="D12666" s="3"/>
      <c r="E12666" s="3">
        <v>3</v>
      </c>
      <c r="F12666" s="4" t="str">
        <f>HYPERLINK("http://141.218.60.56/~jnz1568/getInfo.php?workbook=10_05.xlsx&amp;sheet=U0&amp;row=12666&amp;col=6&amp;number=3.2&amp;sourceID=14","3.2")</f>
        <v>3.2</v>
      </c>
      <c r="G12666" s="4" t="str">
        <f>HYPERLINK("http://141.218.60.56/~jnz1568/getInfo.php?workbook=10_05.xlsx&amp;sheet=U0&amp;row=12666&amp;col=7&amp;number=0.0184&amp;sourceID=14","0.0184")</f>
        <v>0.0184</v>
      </c>
    </row>
    <row r="12667" spans="1:7">
      <c r="A12667" s="3"/>
      <c r="B12667" s="3"/>
      <c r="C12667" s="3"/>
      <c r="D12667" s="3"/>
      <c r="E12667" s="3">
        <v>4</v>
      </c>
      <c r="F12667" s="4" t="str">
        <f>HYPERLINK("http://141.218.60.56/~jnz1568/getInfo.php?workbook=10_05.xlsx&amp;sheet=U0&amp;row=12667&amp;col=6&amp;number=3.3&amp;sourceID=14","3.3")</f>
        <v>3.3</v>
      </c>
      <c r="G12667" s="4" t="str">
        <f>HYPERLINK("http://141.218.60.56/~jnz1568/getInfo.php?workbook=10_05.xlsx&amp;sheet=U0&amp;row=12667&amp;col=7&amp;number=0.0183&amp;sourceID=14","0.0183")</f>
        <v>0.0183</v>
      </c>
    </row>
    <row r="12668" spans="1:7">
      <c r="A12668" s="3"/>
      <c r="B12668" s="3"/>
      <c r="C12668" s="3"/>
      <c r="D12668" s="3"/>
      <c r="E12668" s="3">
        <v>5</v>
      </c>
      <c r="F12668" s="4" t="str">
        <f>HYPERLINK("http://141.218.60.56/~jnz1568/getInfo.php?workbook=10_05.xlsx&amp;sheet=U0&amp;row=12668&amp;col=6&amp;number=3.4&amp;sourceID=14","3.4")</f>
        <v>3.4</v>
      </c>
      <c r="G12668" s="4" t="str">
        <f>HYPERLINK("http://141.218.60.56/~jnz1568/getInfo.php?workbook=10_05.xlsx&amp;sheet=U0&amp;row=12668&amp;col=7&amp;number=0.0181&amp;sourceID=14","0.0181")</f>
        <v>0.0181</v>
      </c>
    </row>
    <row r="12669" spans="1:7">
      <c r="A12669" s="3"/>
      <c r="B12669" s="3"/>
      <c r="C12669" s="3"/>
      <c r="D12669" s="3"/>
      <c r="E12669" s="3">
        <v>6</v>
      </c>
      <c r="F12669" s="4" t="str">
        <f>HYPERLINK("http://141.218.60.56/~jnz1568/getInfo.php?workbook=10_05.xlsx&amp;sheet=U0&amp;row=12669&amp;col=6&amp;number=3.5&amp;sourceID=14","3.5")</f>
        <v>3.5</v>
      </c>
      <c r="G12669" s="4" t="str">
        <f>HYPERLINK("http://141.218.60.56/~jnz1568/getInfo.php?workbook=10_05.xlsx&amp;sheet=U0&amp;row=12669&amp;col=7&amp;number=0.0179&amp;sourceID=14","0.0179")</f>
        <v>0.0179</v>
      </c>
    </row>
    <row r="12670" spans="1:7">
      <c r="A12670" s="3"/>
      <c r="B12670" s="3"/>
      <c r="C12670" s="3"/>
      <c r="D12670" s="3"/>
      <c r="E12670" s="3">
        <v>7</v>
      </c>
      <c r="F12670" s="4" t="str">
        <f>HYPERLINK("http://141.218.60.56/~jnz1568/getInfo.php?workbook=10_05.xlsx&amp;sheet=U0&amp;row=12670&amp;col=6&amp;number=3.6&amp;sourceID=14","3.6")</f>
        <v>3.6</v>
      </c>
      <c r="G12670" s="4" t="str">
        <f>HYPERLINK("http://141.218.60.56/~jnz1568/getInfo.php?workbook=10_05.xlsx&amp;sheet=U0&amp;row=12670&amp;col=7&amp;number=0.0176&amp;sourceID=14","0.0176")</f>
        <v>0.0176</v>
      </c>
    </row>
    <row r="12671" spans="1:7">
      <c r="A12671" s="3"/>
      <c r="B12671" s="3"/>
      <c r="C12671" s="3"/>
      <c r="D12671" s="3"/>
      <c r="E12671" s="3">
        <v>8</v>
      </c>
      <c r="F12671" s="4" t="str">
        <f>HYPERLINK("http://141.218.60.56/~jnz1568/getInfo.php?workbook=10_05.xlsx&amp;sheet=U0&amp;row=12671&amp;col=6&amp;number=3.7&amp;sourceID=14","3.7")</f>
        <v>3.7</v>
      </c>
      <c r="G12671" s="4" t="str">
        <f>HYPERLINK("http://141.218.60.56/~jnz1568/getInfo.php?workbook=10_05.xlsx&amp;sheet=U0&amp;row=12671&amp;col=7&amp;number=0.0172&amp;sourceID=14","0.0172")</f>
        <v>0.0172</v>
      </c>
    </row>
    <row r="12672" spans="1:7">
      <c r="A12672" s="3"/>
      <c r="B12672" s="3"/>
      <c r="C12672" s="3"/>
      <c r="D12672" s="3"/>
      <c r="E12672" s="3">
        <v>9</v>
      </c>
      <c r="F12672" s="4" t="str">
        <f>HYPERLINK("http://141.218.60.56/~jnz1568/getInfo.php?workbook=10_05.xlsx&amp;sheet=U0&amp;row=12672&amp;col=6&amp;number=3.8&amp;sourceID=14","3.8")</f>
        <v>3.8</v>
      </c>
      <c r="G12672" s="4" t="str">
        <f>HYPERLINK("http://141.218.60.56/~jnz1568/getInfo.php?workbook=10_05.xlsx&amp;sheet=U0&amp;row=12672&amp;col=7&amp;number=0.0168&amp;sourceID=14","0.0168")</f>
        <v>0.0168</v>
      </c>
    </row>
    <row r="12673" spans="1:7">
      <c r="A12673" s="3"/>
      <c r="B12673" s="3"/>
      <c r="C12673" s="3"/>
      <c r="D12673" s="3"/>
      <c r="E12673" s="3">
        <v>10</v>
      </c>
      <c r="F12673" s="4" t="str">
        <f>HYPERLINK("http://141.218.60.56/~jnz1568/getInfo.php?workbook=10_05.xlsx&amp;sheet=U0&amp;row=12673&amp;col=6&amp;number=3.9&amp;sourceID=14","3.9")</f>
        <v>3.9</v>
      </c>
      <c r="G12673" s="4" t="str">
        <f>HYPERLINK("http://141.218.60.56/~jnz1568/getInfo.php?workbook=10_05.xlsx&amp;sheet=U0&amp;row=12673&amp;col=7&amp;number=0.0163&amp;sourceID=14","0.0163")</f>
        <v>0.0163</v>
      </c>
    </row>
    <row r="12674" spans="1:7">
      <c r="A12674" s="3"/>
      <c r="B12674" s="3"/>
      <c r="C12674" s="3"/>
      <c r="D12674" s="3"/>
      <c r="E12674" s="3">
        <v>11</v>
      </c>
      <c r="F12674" s="4" t="str">
        <f>HYPERLINK("http://141.218.60.56/~jnz1568/getInfo.php?workbook=10_05.xlsx&amp;sheet=U0&amp;row=12674&amp;col=6&amp;number=4&amp;sourceID=14","4")</f>
        <v>4</v>
      </c>
      <c r="G12674" s="4" t="str">
        <f>HYPERLINK("http://141.218.60.56/~jnz1568/getInfo.php?workbook=10_05.xlsx&amp;sheet=U0&amp;row=12674&amp;col=7&amp;number=0.0157&amp;sourceID=14","0.0157")</f>
        <v>0.0157</v>
      </c>
    </row>
    <row r="12675" spans="1:7">
      <c r="A12675" s="3"/>
      <c r="B12675" s="3"/>
      <c r="C12675" s="3"/>
      <c r="D12675" s="3"/>
      <c r="E12675" s="3">
        <v>12</v>
      </c>
      <c r="F12675" s="4" t="str">
        <f>HYPERLINK("http://141.218.60.56/~jnz1568/getInfo.php?workbook=10_05.xlsx&amp;sheet=U0&amp;row=12675&amp;col=6&amp;number=4.1&amp;sourceID=14","4.1")</f>
        <v>4.1</v>
      </c>
      <c r="G12675" s="4" t="str">
        <f>HYPERLINK("http://141.218.60.56/~jnz1568/getInfo.php?workbook=10_05.xlsx&amp;sheet=U0&amp;row=12675&amp;col=7&amp;number=0.015&amp;sourceID=14","0.015")</f>
        <v>0.015</v>
      </c>
    </row>
    <row r="12676" spans="1:7">
      <c r="A12676" s="3"/>
      <c r="B12676" s="3"/>
      <c r="C12676" s="3"/>
      <c r="D12676" s="3"/>
      <c r="E12676" s="3">
        <v>13</v>
      </c>
      <c r="F12676" s="4" t="str">
        <f>HYPERLINK("http://141.218.60.56/~jnz1568/getInfo.php?workbook=10_05.xlsx&amp;sheet=U0&amp;row=12676&amp;col=6&amp;number=4.2&amp;sourceID=14","4.2")</f>
        <v>4.2</v>
      </c>
      <c r="G12676" s="4" t="str">
        <f>HYPERLINK("http://141.218.60.56/~jnz1568/getInfo.php?workbook=10_05.xlsx&amp;sheet=U0&amp;row=12676&amp;col=7&amp;number=0.0142&amp;sourceID=14","0.0142")</f>
        <v>0.0142</v>
      </c>
    </row>
    <row r="12677" spans="1:7">
      <c r="A12677" s="3"/>
      <c r="B12677" s="3"/>
      <c r="C12677" s="3"/>
      <c r="D12677" s="3"/>
      <c r="E12677" s="3">
        <v>14</v>
      </c>
      <c r="F12677" s="4" t="str">
        <f>HYPERLINK("http://141.218.60.56/~jnz1568/getInfo.php?workbook=10_05.xlsx&amp;sheet=U0&amp;row=12677&amp;col=6&amp;number=4.3&amp;sourceID=14","4.3")</f>
        <v>4.3</v>
      </c>
      <c r="G12677" s="4" t="str">
        <f>HYPERLINK("http://141.218.60.56/~jnz1568/getInfo.php?workbook=10_05.xlsx&amp;sheet=U0&amp;row=12677&amp;col=7&amp;number=0.0133&amp;sourceID=14","0.0133")</f>
        <v>0.0133</v>
      </c>
    </row>
    <row r="12678" spans="1:7">
      <c r="A12678" s="3"/>
      <c r="B12678" s="3"/>
      <c r="C12678" s="3"/>
      <c r="D12678" s="3"/>
      <c r="E12678" s="3">
        <v>15</v>
      </c>
      <c r="F12678" s="4" t="str">
        <f>HYPERLINK("http://141.218.60.56/~jnz1568/getInfo.php?workbook=10_05.xlsx&amp;sheet=U0&amp;row=12678&amp;col=6&amp;number=4.4&amp;sourceID=14","4.4")</f>
        <v>4.4</v>
      </c>
      <c r="G12678" s="4" t="str">
        <f>HYPERLINK("http://141.218.60.56/~jnz1568/getInfo.php?workbook=10_05.xlsx&amp;sheet=U0&amp;row=12678&amp;col=7&amp;number=0.0125&amp;sourceID=14","0.0125")</f>
        <v>0.0125</v>
      </c>
    </row>
    <row r="12679" spans="1:7">
      <c r="A12679" s="3"/>
      <c r="B12679" s="3"/>
      <c r="C12679" s="3"/>
      <c r="D12679" s="3"/>
      <c r="E12679" s="3">
        <v>16</v>
      </c>
      <c r="F12679" s="4" t="str">
        <f>HYPERLINK("http://141.218.60.56/~jnz1568/getInfo.php?workbook=10_05.xlsx&amp;sheet=U0&amp;row=12679&amp;col=6&amp;number=4.5&amp;sourceID=14","4.5")</f>
        <v>4.5</v>
      </c>
      <c r="G12679" s="4" t="str">
        <f>HYPERLINK("http://141.218.60.56/~jnz1568/getInfo.php?workbook=10_05.xlsx&amp;sheet=U0&amp;row=12679&amp;col=7&amp;number=0.0118&amp;sourceID=14","0.0118")</f>
        <v>0.0118</v>
      </c>
    </row>
    <row r="12680" spans="1:7">
      <c r="A12680" s="3"/>
      <c r="B12680" s="3"/>
      <c r="C12680" s="3"/>
      <c r="D12680" s="3"/>
      <c r="E12680" s="3">
        <v>17</v>
      </c>
      <c r="F12680" s="4" t="str">
        <f>HYPERLINK("http://141.218.60.56/~jnz1568/getInfo.php?workbook=10_05.xlsx&amp;sheet=U0&amp;row=12680&amp;col=6&amp;number=4.6&amp;sourceID=14","4.6")</f>
        <v>4.6</v>
      </c>
      <c r="G12680" s="4" t="str">
        <f>HYPERLINK("http://141.218.60.56/~jnz1568/getInfo.php?workbook=10_05.xlsx&amp;sheet=U0&amp;row=12680&amp;col=7&amp;number=0.0112&amp;sourceID=14","0.0112")</f>
        <v>0.0112</v>
      </c>
    </row>
    <row r="12681" spans="1:7">
      <c r="A12681" s="3"/>
      <c r="B12681" s="3"/>
      <c r="C12681" s="3"/>
      <c r="D12681" s="3"/>
      <c r="E12681" s="3">
        <v>18</v>
      </c>
      <c r="F12681" s="4" t="str">
        <f>HYPERLINK("http://141.218.60.56/~jnz1568/getInfo.php?workbook=10_05.xlsx&amp;sheet=U0&amp;row=12681&amp;col=6&amp;number=4.7&amp;sourceID=14","4.7")</f>
        <v>4.7</v>
      </c>
      <c r="G12681" s="4" t="str">
        <f>HYPERLINK("http://141.218.60.56/~jnz1568/getInfo.php?workbook=10_05.xlsx&amp;sheet=U0&amp;row=12681&amp;col=7&amp;number=0.0106&amp;sourceID=14","0.0106")</f>
        <v>0.0106</v>
      </c>
    </row>
    <row r="12682" spans="1:7">
      <c r="A12682" s="3"/>
      <c r="B12682" s="3"/>
      <c r="C12682" s="3"/>
      <c r="D12682" s="3"/>
      <c r="E12682" s="3">
        <v>19</v>
      </c>
      <c r="F12682" s="4" t="str">
        <f>HYPERLINK("http://141.218.60.56/~jnz1568/getInfo.php?workbook=10_05.xlsx&amp;sheet=U0&amp;row=12682&amp;col=6&amp;number=4.8&amp;sourceID=14","4.8")</f>
        <v>4.8</v>
      </c>
      <c r="G12682" s="4" t="str">
        <f>HYPERLINK("http://141.218.60.56/~jnz1568/getInfo.php?workbook=10_05.xlsx&amp;sheet=U0&amp;row=12682&amp;col=7&amp;number=0.0101&amp;sourceID=14","0.0101")</f>
        <v>0.0101</v>
      </c>
    </row>
    <row r="12683" spans="1:7">
      <c r="A12683" s="3"/>
      <c r="B12683" s="3"/>
      <c r="C12683" s="3"/>
      <c r="D12683" s="3"/>
      <c r="E12683" s="3">
        <v>20</v>
      </c>
      <c r="F12683" s="4" t="str">
        <f>HYPERLINK("http://141.218.60.56/~jnz1568/getInfo.php?workbook=10_05.xlsx&amp;sheet=U0&amp;row=12683&amp;col=6&amp;number=4.9&amp;sourceID=14","4.9")</f>
        <v>4.9</v>
      </c>
      <c r="G12683" s="4" t="str">
        <f>HYPERLINK("http://141.218.60.56/~jnz1568/getInfo.php?workbook=10_05.xlsx&amp;sheet=U0&amp;row=12683&amp;col=7&amp;number=0.00953&amp;sourceID=14","0.00953")</f>
        <v>0.00953</v>
      </c>
    </row>
    <row r="12684" spans="1:7">
      <c r="A12684" s="3">
        <v>10</v>
      </c>
      <c r="B12684" s="3">
        <v>5</v>
      </c>
      <c r="C12684" s="3">
        <v>4</v>
      </c>
      <c r="D12684" s="3">
        <v>105</v>
      </c>
      <c r="E12684" s="3">
        <v>1</v>
      </c>
      <c r="F12684" s="4" t="str">
        <f>HYPERLINK("http://141.218.60.56/~jnz1568/getInfo.php?workbook=10_05.xlsx&amp;sheet=U0&amp;row=12684&amp;col=6&amp;number=3&amp;sourceID=14","3")</f>
        <v>3</v>
      </c>
      <c r="G12684" s="4" t="str">
        <f>HYPERLINK("http://141.218.60.56/~jnz1568/getInfo.php?workbook=10_05.xlsx&amp;sheet=U0&amp;row=12684&amp;col=7&amp;number=0.0357&amp;sourceID=14","0.0357")</f>
        <v>0.0357</v>
      </c>
    </row>
    <row r="12685" spans="1:7">
      <c r="A12685" s="3"/>
      <c r="B12685" s="3"/>
      <c r="C12685" s="3"/>
      <c r="D12685" s="3"/>
      <c r="E12685" s="3">
        <v>2</v>
      </c>
      <c r="F12685" s="4" t="str">
        <f>HYPERLINK("http://141.218.60.56/~jnz1568/getInfo.php?workbook=10_05.xlsx&amp;sheet=U0&amp;row=12685&amp;col=6&amp;number=3.1&amp;sourceID=14","3.1")</f>
        <v>3.1</v>
      </c>
      <c r="G12685" s="4" t="str">
        <f>HYPERLINK("http://141.218.60.56/~jnz1568/getInfo.php?workbook=10_05.xlsx&amp;sheet=U0&amp;row=12685&amp;col=7&amp;number=0.0356&amp;sourceID=14","0.0356")</f>
        <v>0.0356</v>
      </c>
    </row>
    <row r="12686" spans="1:7">
      <c r="A12686" s="3"/>
      <c r="B12686" s="3"/>
      <c r="C12686" s="3"/>
      <c r="D12686" s="3"/>
      <c r="E12686" s="3">
        <v>3</v>
      </c>
      <c r="F12686" s="4" t="str">
        <f>HYPERLINK("http://141.218.60.56/~jnz1568/getInfo.php?workbook=10_05.xlsx&amp;sheet=U0&amp;row=12686&amp;col=6&amp;number=3.2&amp;sourceID=14","3.2")</f>
        <v>3.2</v>
      </c>
      <c r="G12686" s="4" t="str">
        <f>HYPERLINK("http://141.218.60.56/~jnz1568/getInfo.php?workbook=10_05.xlsx&amp;sheet=U0&amp;row=12686&amp;col=7&amp;number=0.0355&amp;sourceID=14","0.0355")</f>
        <v>0.0355</v>
      </c>
    </row>
    <row r="12687" spans="1:7">
      <c r="A12687" s="3"/>
      <c r="B12687" s="3"/>
      <c r="C12687" s="3"/>
      <c r="D12687" s="3"/>
      <c r="E12687" s="3">
        <v>4</v>
      </c>
      <c r="F12687" s="4" t="str">
        <f>HYPERLINK("http://141.218.60.56/~jnz1568/getInfo.php?workbook=10_05.xlsx&amp;sheet=U0&amp;row=12687&amp;col=6&amp;number=3.3&amp;sourceID=14","3.3")</f>
        <v>3.3</v>
      </c>
      <c r="G12687" s="4" t="str">
        <f>HYPERLINK("http://141.218.60.56/~jnz1568/getInfo.php?workbook=10_05.xlsx&amp;sheet=U0&amp;row=12687&amp;col=7&amp;number=0.0352&amp;sourceID=14","0.0352")</f>
        <v>0.0352</v>
      </c>
    </row>
    <row r="12688" spans="1:7">
      <c r="A12688" s="3"/>
      <c r="B12688" s="3"/>
      <c r="C12688" s="3"/>
      <c r="D12688" s="3"/>
      <c r="E12688" s="3">
        <v>5</v>
      </c>
      <c r="F12688" s="4" t="str">
        <f>HYPERLINK("http://141.218.60.56/~jnz1568/getInfo.php?workbook=10_05.xlsx&amp;sheet=U0&amp;row=12688&amp;col=6&amp;number=3.4&amp;sourceID=14","3.4")</f>
        <v>3.4</v>
      </c>
      <c r="G12688" s="4" t="str">
        <f>HYPERLINK("http://141.218.60.56/~jnz1568/getInfo.php?workbook=10_05.xlsx&amp;sheet=U0&amp;row=12688&amp;col=7&amp;number=0.035&amp;sourceID=14","0.035")</f>
        <v>0.035</v>
      </c>
    </row>
    <row r="12689" spans="1:7">
      <c r="A12689" s="3"/>
      <c r="B12689" s="3"/>
      <c r="C12689" s="3"/>
      <c r="D12689" s="3"/>
      <c r="E12689" s="3">
        <v>6</v>
      </c>
      <c r="F12689" s="4" t="str">
        <f>HYPERLINK("http://141.218.60.56/~jnz1568/getInfo.php?workbook=10_05.xlsx&amp;sheet=U0&amp;row=12689&amp;col=6&amp;number=3.5&amp;sourceID=14","3.5")</f>
        <v>3.5</v>
      </c>
      <c r="G12689" s="4" t="str">
        <f>HYPERLINK("http://141.218.60.56/~jnz1568/getInfo.php?workbook=10_05.xlsx&amp;sheet=U0&amp;row=12689&amp;col=7&amp;number=0.0347&amp;sourceID=14","0.0347")</f>
        <v>0.0347</v>
      </c>
    </row>
    <row r="12690" spans="1:7">
      <c r="A12690" s="3"/>
      <c r="B12690" s="3"/>
      <c r="C12690" s="3"/>
      <c r="D12690" s="3"/>
      <c r="E12690" s="3">
        <v>7</v>
      </c>
      <c r="F12690" s="4" t="str">
        <f>HYPERLINK("http://141.218.60.56/~jnz1568/getInfo.php?workbook=10_05.xlsx&amp;sheet=U0&amp;row=12690&amp;col=6&amp;number=3.6&amp;sourceID=14","3.6")</f>
        <v>3.6</v>
      </c>
      <c r="G12690" s="4" t="str">
        <f>HYPERLINK("http://141.218.60.56/~jnz1568/getInfo.php?workbook=10_05.xlsx&amp;sheet=U0&amp;row=12690&amp;col=7&amp;number=0.0343&amp;sourceID=14","0.0343")</f>
        <v>0.0343</v>
      </c>
    </row>
    <row r="12691" spans="1:7">
      <c r="A12691" s="3"/>
      <c r="B12691" s="3"/>
      <c r="C12691" s="3"/>
      <c r="D12691" s="3"/>
      <c r="E12691" s="3">
        <v>8</v>
      </c>
      <c r="F12691" s="4" t="str">
        <f>HYPERLINK("http://141.218.60.56/~jnz1568/getInfo.php?workbook=10_05.xlsx&amp;sheet=U0&amp;row=12691&amp;col=6&amp;number=3.7&amp;sourceID=14","3.7")</f>
        <v>3.7</v>
      </c>
      <c r="G12691" s="4" t="str">
        <f>HYPERLINK("http://141.218.60.56/~jnz1568/getInfo.php?workbook=10_05.xlsx&amp;sheet=U0&amp;row=12691&amp;col=7&amp;number=0.0338&amp;sourceID=14","0.0338")</f>
        <v>0.0338</v>
      </c>
    </row>
    <row r="12692" spans="1:7">
      <c r="A12692" s="3"/>
      <c r="B12692" s="3"/>
      <c r="C12692" s="3"/>
      <c r="D12692" s="3"/>
      <c r="E12692" s="3">
        <v>9</v>
      </c>
      <c r="F12692" s="4" t="str">
        <f>HYPERLINK("http://141.218.60.56/~jnz1568/getInfo.php?workbook=10_05.xlsx&amp;sheet=U0&amp;row=12692&amp;col=6&amp;number=3.8&amp;sourceID=14","3.8")</f>
        <v>3.8</v>
      </c>
      <c r="G12692" s="4" t="str">
        <f>HYPERLINK("http://141.218.60.56/~jnz1568/getInfo.php?workbook=10_05.xlsx&amp;sheet=U0&amp;row=12692&amp;col=7&amp;number=0.0332&amp;sourceID=14","0.0332")</f>
        <v>0.0332</v>
      </c>
    </row>
    <row r="12693" spans="1:7">
      <c r="A12693" s="3"/>
      <c r="B12693" s="3"/>
      <c r="C12693" s="3"/>
      <c r="D12693" s="3"/>
      <c r="E12693" s="3">
        <v>10</v>
      </c>
      <c r="F12693" s="4" t="str">
        <f>HYPERLINK("http://141.218.60.56/~jnz1568/getInfo.php?workbook=10_05.xlsx&amp;sheet=U0&amp;row=12693&amp;col=6&amp;number=3.9&amp;sourceID=14","3.9")</f>
        <v>3.9</v>
      </c>
      <c r="G12693" s="4" t="str">
        <f>HYPERLINK("http://141.218.60.56/~jnz1568/getInfo.php?workbook=10_05.xlsx&amp;sheet=U0&amp;row=12693&amp;col=7&amp;number=0.0325&amp;sourceID=14","0.0325")</f>
        <v>0.0325</v>
      </c>
    </row>
    <row r="12694" spans="1:7">
      <c r="A12694" s="3"/>
      <c r="B12694" s="3"/>
      <c r="C12694" s="3"/>
      <c r="D12694" s="3"/>
      <c r="E12694" s="3">
        <v>11</v>
      </c>
      <c r="F12694" s="4" t="str">
        <f>HYPERLINK("http://141.218.60.56/~jnz1568/getInfo.php?workbook=10_05.xlsx&amp;sheet=U0&amp;row=12694&amp;col=6&amp;number=4&amp;sourceID=14","4")</f>
        <v>4</v>
      </c>
      <c r="G12694" s="4" t="str">
        <f>HYPERLINK("http://141.218.60.56/~jnz1568/getInfo.php?workbook=10_05.xlsx&amp;sheet=U0&amp;row=12694&amp;col=7&amp;number=0.0316&amp;sourceID=14","0.0316")</f>
        <v>0.0316</v>
      </c>
    </row>
    <row r="12695" spans="1:7">
      <c r="A12695" s="3"/>
      <c r="B12695" s="3"/>
      <c r="C12695" s="3"/>
      <c r="D12695" s="3"/>
      <c r="E12695" s="3">
        <v>12</v>
      </c>
      <c r="F12695" s="4" t="str">
        <f>HYPERLINK("http://141.218.60.56/~jnz1568/getInfo.php?workbook=10_05.xlsx&amp;sheet=U0&amp;row=12695&amp;col=6&amp;number=4.1&amp;sourceID=14","4.1")</f>
        <v>4.1</v>
      </c>
      <c r="G12695" s="4" t="str">
        <f>HYPERLINK("http://141.218.60.56/~jnz1568/getInfo.php?workbook=10_05.xlsx&amp;sheet=U0&amp;row=12695&amp;col=7&amp;number=0.0306&amp;sourceID=14","0.0306")</f>
        <v>0.0306</v>
      </c>
    </row>
    <row r="12696" spans="1:7">
      <c r="A12696" s="3"/>
      <c r="B12696" s="3"/>
      <c r="C12696" s="3"/>
      <c r="D12696" s="3"/>
      <c r="E12696" s="3">
        <v>13</v>
      </c>
      <c r="F12696" s="4" t="str">
        <f>HYPERLINK("http://141.218.60.56/~jnz1568/getInfo.php?workbook=10_05.xlsx&amp;sheet=U0&amp;row=12696&amp;col=6&amp;number=4.2&amp;sourceID=14","4.2")</f>
        <v>4.2</v>
      </c>
      <c r="G12696" s="4" t="str">
        <f>HYPERLINK("http://141.218.60.56/~jnz1568/getInfo.php?workbook=10_05.xlsx&amp;sheet=U0&amp;row=12696&amp;col=7&amp;number=0.0295&amp;sourceID=14","0.0295")</f>
        <v>0.0295</v>
      </c>
    </row>
    <row r="12697" spans="1:7">
      <c r="A12697" s="3"/>
      <c r="B12697" s="3"/>
      <c r="C12697" s="3"/>
      <c r="D12697" s="3"/>
      <c r="E12697" s="3">
        <v>14</v>
      </c>
      <c r="F12697" s="4" t="str">
        <f>HYPERLINK("http://141.218.60.56/~jnz1568/getInfo.php?workbook=10_05.xlsx&amp;sheet=U0&amp;row=12697&amp;col=6&amp;number=4.3&amp;sourceID=14","4.3")</f>
        <v>4.3</v>
      </c>
      <c r="G12697" s="4" t="str">
        <f>HYPERLINK("http://141.218.60.56/~jnz1568/getInfo.php?workbook=10_05.xlsx&amp;sheet=U0&amp;row=12697&amp;col=7&amp;number=0.0284&amp;sourceID=14","0.0284")</f>
        <v>0.0284</v>
      </c>
    </row>
    <row r="12698" spans="1:7">
      <c r="A12698" s="3"/>
      <c r="B12698" s="3"/>
      <c r="C12698" s="3"/>
      <c r="D12698" s="3"/>
      <c r="E12698" s="3">
        <v>15</v>
      </c>
      <c r="F12698" s="4" t="str">
        <f>HYPERLINK("http://141.218.60.56/~jnz1568/getInfo.php?workbook=10_05.xlsx&amp;sheet=U0&amp;row=12698&amp;col=6&amp;number=4.4&amp;sourceID=14","4.4")</f>
        <v>4.4</v>
      </c>
      <c r="G12698" s="4" t="str">
        <f>HYPERLINK("http://141.218.60.56/~jnz1568/getInfo.php?workbook=10_05.xlsx&amp;sheet=U0&amp;row=12698&amp;col=7&amp;number=0.0274&amp;sourceID=14","0.0274")</f>
        <v>0.0274</v>
      </c>
    </row>
    <row r="12699" spans="1:7">
      <c r="A12699" s="3"/>
      <c r="B12699" s="3"/>
      <c r="C12699" s="3"/>
      <c r="D12699" s="3"/>
      <c r="E12699" s="3">
        <v>16</v>
      </c>
      <c r="F12699" s="4" t="str">
        <f>HYPERLINK("http://141.218.60.56/~jnz1568/getInfo.php?workbook=10_05.xlsx&amp;sheet=U0&amp;row=12699&amp;col=6&amp;number=4.5&amp;sourceID=14","4.5")</f>
        <v>4.5</v>
      </c>
      <c r="G12699" s="4" t="str">
        <f>HYPERLINK("http://141.218.60.56/~jnz1568/getInfo.php?workbook=10_05.xlsx&amp;sheet=U0&amp;row=12699&amp;col=7&amp;number=0.0266&amp;sourceID=14","0.0266")</f>
        <v>0.0266</v>
      </c>
    </row>
    <row r="12700" spans="1:7">
      <c r="A12700" s="3"/>
      <c r="B12700" s="3"/>
      <c r="C12700" s="3"/>
      <c r="D12700" s="3"/>
      <c r="E12700" s="3">
        <v>17</v>
      </c>
      <c r="F12700" s="4" t="str">
        <f>HYPERLINK("http://141.218.60.56/~jnz1568/getInfo.php?workbook=10_05.xlsx&amp;sheet=U0&amp;row=12700&amp;col=6&amp;number=4.6&amp;sourceID=14","4.6")</f>
        <v>4.6</v>
      </c>
      <c r="G12700" s="4" t="str">
        <f>HYPERLINK("http://141.218.60.56/~jnz1568/getInfo.php?workbook=10_05.xlsx&amp;sheet=U0&amp;row=12700&amp;col=7&amp;number=0.0259&amp;sourceID=14","0.0259")</f>
        <v>0.0259</v>
      </c>
    </row>
    <row r="12701" spans="1:7">
      <c r="A12701" s="3"/>
      <c r="B12701" s="3"/>
      <c r="C12701" s="3"/>
      <c r="D12701" s="3"/>
      <c r="E12701" s="3">
        <v>18</v>
      </c>
      <c r="F12701" s="4" t="str">
        <f>HYPERLINK("http://141.218.60.56/~jnz1568/getInfo.php?workbook=10_05.xlsx&amp;sheet=U0&amp;row=12701&amp;col=6&amp;number=4.7&amp;sourceID=14","4.7")</f>
        <v>4.7</v>
      </c>
      <c r="G12701" s="4" t="str">
        <f>HYPERLINK("http://141.218.60.56/~jnz1568/getInfo.php?workbook=10_05.xlsx&amp;sheet=U0&amp;row=12701&amp;col=7&amp;number=0.0254&amp;sourceID=14","0.0254")</f>
        <v>0.0254</v>
      </c>
    </row>
    <row r="12702" spans="1:7">
      <c r="A12702" s="3"/>
      <c r="B12702" s="3"/>
      <c r="C12702" s="3"/>
      <c r="D12702" s="3"/>
      <c r="E12702" s="3">
        <v>19</v>
      </c>
      <c r="F12702" s="4" t="str">
        <f>HYPERLINK("http://141.218.60.56/~jnz1568/getInfo.php?workbook=10_05.xlsx&amp;sheet=U0&amp;row=12702&amp;col=6&amp;number=4.8&amp;sourceID=14","4.8")</f>
        <v>4.8</v>
      </c>
      <c r="G12702" s="4" t="str">
        <f>HYPERLINK("http://141.218.60.56/~jnz1568/getInfo.php?workbook=10_05.xlsx&amp;sheet=U0&amp;row=12702&amp;col=7&amp;number=0.0248&amp;sourceID=14","0.0248")</f>
        <v>0.0248</v>
      </c>
    </row>
    <row r="12703" spans="1:7">
      <c r="A12703" s="3"/>
      <c r="B12703" s="3"/>
      <c r="C12703" s="3"/>
      <c r="D12703" s="3"/>
      <c r="E12703" s="3">
        <v>20</v>
      </c>
      <c r="F12703" s="4" t="str">
        <f>HYPERLINK("http://141.218.60.56/~jnz1568/getInfo.php?workbook=10_05.xlsx&amp;sheet=U0&amp;row=12703&amp;col=6&amp;number=4.9&amp;sourceID=14","4.9")</f>
        <v>4.9</v>
      </c>
      <c r="G12703" s="4" t="str">
        <f>HYPERLINK("http://141.218.60.56/~jnz1568/getInfo.php?workbook=10_05.xlsx&amp;sheet=U0&amp;row=12703&amp;col=7&amp;number=0.0243&amp;sourceID=14","0.0243")</f>
        <v>0.0243</v>
      </c>
    </row>
    <row r="12704" spans="1:7">
      <c r="A12704" s="3">
        <v>10</v>
      </c>
      <c r="B12704" s="3">
        <v>5</v>
      </c>
      <c r="C12704" s="3">
        <v>4</v>
      </c>
      <c r="D12704" s="3">
        <v>106</v>
      </c>
      <c r="E12704" s="3">
        <v>1</v>
      </c>
      <c r="F12704" s="4" t="str">
        <f>HYPERLINK("http://141.218.60.56/~jnz1568/getInfo.php?workbook=10_05.xlsx&amp;sheet=U0&amp;row=12704&amp;col=6&amp;number=3&amp;sourceID=14","3")</f>
        <v>3</v>
      </c>
      <c r="G12704" s="4" t="str">
        <f>HYPERLINK("http://141.218.60.56/~jnz1568/getInfo.php?workbook=10_05.xlsx&amp;sheet=U0&amp;row=12704&amp;col=7&amp;number=0.0457&amp;sourceID=14","0.0457")</f>
        <v>0.0457</v>
      </c>
    </row>
    <row r="12705" spans="1:7">
      <c r="A12705" s="3"/>
      <c r="B12705" s="3"/>
      <c r="C12705" s="3"/>
      <c r="D12705" s="3"/>
      <c r="E12705" s="3">
        <v>2</v>
      </c>
      <c r="F12705" s="4" t="str">
        <f>HYPERLINK("http://141.218.60.56/~jnz1568/getInfo.php?workbook=10_05.xlsx&amp;sheet=U0&amp;row=12705&amp;col=6&amp;number=3.1&amp;sourceID=14","3.1")</f>
        <v>3.1</v>
      </c>
      <c r="G12705" s="4" t="str">
        <f>HYPERLINK("http://141.218.60.56/~jnz1568/getInfo.php?workbook=10_05.xlsx&amp;sheet=U0&amp;row=12705&amp;col=7&amp;number=0.0455&amp;sourceID=14","0.0455")</f>
        <v>0.0455</v>
      </c>
    </row>
    <row r="12706" spans="1:7">
      <c r="A12706" s="3"/>
      <c r="B12706" s="3"/>
      <c r="C12706" s="3"/>
      <c r="D12706" s="3"/>
      <c r="E12706" s="3">
        <v>3</v>
      </c>
      <c r="F12706" s="4" t="str">
        <f>HYPERLINK("http://141.218.60.56/~jnz1568/getInfo.php?workbook=10_05.xlsx&amp;sheet=U0&amp;row=12706&amp;col=6&amp;number=3.2&amp;sourceID=14","3.2")</f>
        <v>3.2</v>
      </c>
      <c r="G12706" s="4" t="str">
        <f>HYPERLINK("http://141.218.60.56/~jnz1568/getInfo.php?workbook=10_05.xlsx&amp;sheet=U0&amp;row=12706&amp;col=7&amp;number=0.0452&amp;sourceID=14","0.0452")</f>
        <v>0.0452</v>
      </c>
    </row>
    <row r="12707" spans="1:7">
      <c r="A12707" s="3"/>
      <c r="B12707" s="3"/>
      <c r="C12707" s="3"/>
      <c r="D12707" s="3"/>
      <c r="E12707" s="3">
        <v>4</v>
      </c>
      <c r="F12707" s="4" t="str">
        <f>HYPERLINK("http://141.218.60.56/~jnz1568/getInfo.php?workbook=10_05.xlsx&amp;sheet=U0&amp;row=12707&amp;col=6&amp;number=3.3&amp;sourceID=14","3.3")</f>
        <v>3.3</v>
      </c>
      <c r="G12707" s="4" t="str">
        <f>HYPERLINK("http://141.218.60.56/~jnz1568/getInfo.php?workbook=10_05.xlsx&amp;sheet=U0&amp;row=12707&amp;col=7&amp;number=0.045&amp;sourceID=14","0.045")</f>
        <v>0.045</v>
      </c>
    </row>
    <row r="12708" spans="1:7">
      <c r="A12708" s="3"/>
      <c r="B12708" s="3"/>
      <c r="C12708" s="3"/>
      <c r="D12708" s="3"/>
      <c r="E12708" s="3">
        <v>5</v>
      </c>
      <c r="F12708" s="4" t="str">
        <f>HYPERLINK("http://141.218.60.56/~jnz1568/getInfo.php?workbook=10_05.xlsx&amp;sheet=U0&amp;row=12708&amp;col=6&amp;number=3.4&amp;sourceID=14","3.4")</f>
        <v>3.4</v>
      </c>
      <c r="G12708" s="4" t="str">
        <f>HYPERLINK("http://141.218.60.56/~jnz1568/getInfo.php?workbook=10_05.xlsx&amp;sheet=U0&amp;row=12708&amp;col=7&amp;number=0.0446&amp;sourceID=14","0.0446")</f>
        <v>0.0446</v>
      </c>
    </row>
    <row r="12709" spans="1:7">
      <c r="A12709" s="3"/>
      <c r="B12709" s="3"/>
      <c r="C12709" s="3"/>
      <c r="D12709" s="3"/>
      <c r="E12709" s="3">
        <v>6</v>
      </c>
      <c r="F12709" s="4" t="str">
        <f>HYPERLINK("http://141.218.60.56/~jnz1568/getInfo.php?workbook=10_05.xlsx&amp;sheet=U0&amp;row=12709&amp;col=6&amp;number=3.5&amp;sourceID=14","3.5")</f>
        <v>3.5</v>
      </c>
      <c r="G12709" s="4" t="str">
        <f>HYPERLINK("http://141.218.60.56/~jnz1568/getInfo.php?workbook=10_05.xlsx&amp;sheet=U0&amp;row=12709&amp;col=7&amp;number=0.0442&amp;sourceID=14","0.0442")</f>
        <v>0.0442</v>
      </c>
    </row>
    <row r="12710" spans="1:7">
      <c r="A12710" s="3"/>
      <c r="B12710" s="3"/>
      <c r="C12710" s="3"/>
      <c r="D12710" s="3"/>
      <c r="E12710" s="3">
        <v>7</v>
      </c>
      <c r="F12710" s="4" t="str">
        <f>HYPERLINK("http://141.218.60.56/~jnz1568/getInfo.php?workbook=10_05.xlsx&amp;sheet=U0&amp;row=12710&amp;col=6&amp;number=3.6&amp;sourceID=14","3.6")</f>
        <v>3.6</v>
      </c>
      <c r="G12710" s="4" t="str">
        <f>HYPERLINK("http://141.218.60.56/~jnz1568/getInfo.php?workbook=10_05.xlsx&amp;sheet=U0&amp;row=12710&amp;col=7&amp;number=0.0436&amp;sourceID=14","0.0436")</f>
        <v>0.0436</v>
      </c>
    </row>
    <row r="12711" spans="1:7">
      <c r="A12711" s="3"/>
      <c r="B12711" s="3"/>
      <c r="C12711" s="3"/>
      <c r="D12711" s="3"/>
      <c r="E12711" s="3">
        <v>8</v>
      </c>
      <c r="F12711" s="4" t="str">
        <f>HYPERLINK("http://141.218.60.56/~jnz1568/getInfo.php?workbook=10_05.xlsx&amp;sheet=U0&amp;row=12711&amp;col=6&amp;number=3.7&amp;sourceID=14","3.7")</f>
        <v>3.7</v>
      </c>
      <c r="G12711" s="4" t="str">
        <f>HYPERLINK("http://141.218.60.56/~jnz1568/getInfo.php?workbook=10_05.xlsx&amp;sheet=U0&amp;row=12711&amp;col=7&amp;number=0.0429&amp;sourceID=14","0.0429")</f>
        <v>0.0429</v>
      </c>
    </row>
    <row r="12712" spans="1:7">
      <c r="A12712" s="3"/>
      <c r="B12712" s="3"/>
      <c r="C12712" s="3"/>
      <c r="D12712" s="3"/>
      <c r="E12712" s="3">
        <v>9</v>
      </c>
      <c r="F12712" s="4" t="str">
        <f>HYPERLINK("http://141.218.60.56/~jnz1568/getInfo.php?workbook=10_05.xlsx&amp;sheet=U0&amp;row=12712&amp;col=6&amp;number=3.8&amp;sourceID=14","3.8")</f>
        <v>3.8</v>
      </c>
      <c r="G12712" s="4" t="str">
        <f>HYPERLINK("http://141.218.60.56/~jnz1568/getInfo.php?workbook=10_05.xlsx&amp;sheet=U0&amp;row=12712&amp;col=7&amp;number=0.0421&amp;sourceID=14","0.0421")</f>
        <v>0.0421</v>
      </c>
    </row>
    <row r="12713" spans="1:7">
      <c r="A12713" s="3"/>
      <c r="B12713" s="3"/>
      <c r="C12713" s="3"/>
      <c r="D12713" s="3"/>
      <c r="E12713" s="3">
        <v>10</v>
      </c>
      <c r="F12713" s="4" t="str">
        <f>HYPERLINK("http://141.218.60.56/~jnz1568/getInfo.php?workbook=10_05.xlsx&amp;sheet=U0&amp;row=12713&amp;col=6&amp;number=3.9&amp;sourceID=14","3.9")</f>
        <v>3.9</v>
      </c>
      <c r="G12713" s="4" t="str">
        <f>HYPERLINK("http://141.218.60.56/~jnz1568/getInfo.php?workbook=10_05.xlsx&amp;sheet=U0&amp;row=12713&amp;col=7&amp;number=0.0411&amp;sourceID=14","0.0411")</f>
        <v>0.0411</v>
      </c>
    </row>
    <row r="12714" spans="1:7">
      <c r="A12714" s="3"/>
      <c r="B12714" s="3"/>
      <c r="C12714" s="3"/>
      <c r="D12714" s="3"/>
      <c r="E12714" s="3">
        <v>11</v>
      </c>
      <c r="F12714" s="4" t="str">
        <f>HYPERLINK("http://141.218.60.56/~jnz1568/getInfo.php?workbook=10_05.xlsx&amp;sheet=U0&amp;row=12714&amp;col=6&amp;number=4&amp;sourceID=14","4")</f>
        <v>4</v>
      </c>
      <c r="G12714" s="4" t="str">
        <f>HYPERLINK("http://141.218.60.56/~jnz1568/getInfo.php?workbook=10_05.xlsx&amp;sheet=U0&amp;row=12714&amp;col=7&amp;number=0.0399&amp;sourceID=14","0.0399")</f>
        <v>0.0399</v>
      </c>
    </row>
    <row r="12715" spans="1:7">
      <c r="A12715" s="3"/>
      <c r="B12715" s="3"/>
      <c r="C12715" s="3"/>
      <c r="D12715" s="3"/>
      <c r="E12715" s="3">
        <v>12</v>
      </c>
      <c r="F12715" s="4" t="str">
        <f>HYPERLINK("http://141.218.60.56/~jnz1568/getInfo.php?workbook=10_05.xlsx&amp;sheet=U0&amp;row=12715&amp;col=6&amp;number=4.1&amp;sourceID=14","4.1")</f>
        <v>4.1</v>
      </c>
      <c r="G12715" s="4" t="str">
        <f>HYPERLINK("http://141.218.60.56/~jnz1568/getInfo.php?workbook=10_05.xlsx&amp;sheet=U0&amp;row=12715&amp;col=7&amp;number=0.0385&amp;sourceID=14","0.0385")</f>
        <v>0.0385</v>
      </c>
    </row>
    <row r="12716" spans="1:7">
      <c r="A12716" s="3"/>
      <c r="B12716" s="3"/>
      <c r="C12716" s="3"/>
      <c r="D12716" s="3"/>
      <c r="E12716" s="3">
        <v>13</v>
      </c>
      <c r="F12716" s="4" t="str">
        <f>HYPERLINK("http://141.218.60.56/~jnz1568/getInfo.php?workbook=10_05.xlsx&amp;sheet=U0&amp;row=12716&amp;col=6&amp;number=4.2&amp;sourceID=14","4.2")</f>
        <v>4.2</v>
      </c>
      <c r="G12716" s="4" t="str">
        <f>HYPERLINK("http://141.218.60.56/~jnz1568/getInfo.php?workbook=10_05.xlsx&amp;sheet=U0&amp;row=12716&amp;col=7&amp;number=0.0369&amp;sourceID=14","0.0369")</f>
        <v>0.0369</v>
      </c>
    </row>
    <row r="12717" spans="1:7">
      <c r="A12717" s="3"/>
      <c r="B12717" s="3"/>
      <c r="C12717" s="3"/>
      <c r="D12717" s="3"/>
      <c r="E12717" s="3">
        <v>14</v>
      </c>
      <c r="F12717" s="4" t="str">
        <f>HYPERLINK("http://141.218.60.56/~jnz1568/getInfo.php?workbook=10_05.xlsx&amp;sheet=U0&amp;row=12717&amp;col=6&amp;number=4.3&amp;sourceID=14","4.3")</f>
        <v>4.3</v>
      </c>
      <c r="G12717" s="4" t="str">
        <f>HYPERLINK("http://141.218.60.56/~jnz1568/getInfo.php?workbook=10_05.xlsx&amp;sheet=U0&amp;row=12717&amp;col=7&amp;number=0.0351&amp;sourceID=14","0.0351")</f>
        <v>0.0351</v>
      </c>
    </row>
    <row r="12718" spans="1:7">
      <c r="A12718" s="3"/>
      <c r="B12718" s="3"/>
      <c r="C12718" s="3"/>
      <c r="D12718" s="3"/>
      <c r="E12718" s="3">
        <v>15</v>
      </c>
      <c r="F12718" s="4" t="str">
        <f>HYPERLINK("http://141.218.60.56/~jnz1568/getInfo.php?workbook=10_05.xlsx&amp;sheet=U0&amp;row=12718&amp;col=6&amp;number=4.4&amp;sourceID=14","4.4")</f>
        <v>4.4</v>
      </c>
      <c r="G12718" s="4" t="str">
        <f>HYPERLINK("http://141.218.60.56/~jnz1568/getInfo.php?workbook=10_05.xlsx&amp;sheet=U0&amp;row=12718&amp;col=7&amp;number=0.0334&amp;sourceID=14","0.0334")</f>
        <v>0.0334</v>
      </c>
    </row>
    <row r="12719" spans="1:7">
      <c r="A12719" s="3"/>
      <c r="B12719" s="3"/>
      <c r="C12719" s="3"/>
      <c r="D12719" s="3"/>
      <c r="E12719" s="3">
        <v>16</v>
      </c>
      <c r="F12719" s="4" t="str">
        <f>HYPERLINK("http://141.218.60.56/~jnz1568/getInfo.php?workbook=10_05.xlsx&amp;sheet=U0&amp;row=12719&amp;col=6&amp;number=4.5&amp;sourceID=14","4.5")</f>
        <v>4.5</v>
      </c>
      <c r="G12719" s="4" t="str">
        <f>HYPERLINK("http://141.218.60.56/~jnz1568/getInfo.php?workbook=10_05.xlsx&amp;sheet=U0&amp;row=12719&amp;col=7&amp;number=0.0318&amp;sourceID=14","0.0318")</f>
        <v>0.0318</v>
      </c>
    </row>
    <row r="12720" spans="1:7">
      <c r="A12720" s="3"/>
      <c r="B12720" s="3"/>
      <c r="C12720" s="3"/>
      <c r="D12720" s="3"/>
      <c r="E12720" s="3">
        <v>17</v>
      </c>
      <c r="F12720" s="4" t="str">
        <f>HYPERLINK("http://141.218.60.56/~jnz1568/getInfo.php?workbook=10_05.xlsx&amp;sheet=U0&amp;row=12720&amp;col=6&amp;number=4.6&amp;sourceID=14","4.6")</f>
        <v>4.6</v>
      </c>
      <c r="G12720" s="4" t="str">
        <f>HYPERLINK("http://141.218.60.56/~jnz1568/getInfo.php?workbook=10_05.xlsx&amp;sheet=U0&amp;row=12720&amp;col=7&amp;number=0.0303&amp;sourceID=14","0.0303")</f>
        <v>0.0303</v>
      </c>
    </row>
    <row r="12721" spans="1:7">
      <c r="A12721" s="3"/>
      <c r="B12721" s="3"/>
      <c r="C12721" s="3"/>
      <c r="D12721" s="3"/>
      <c r="E12721" s="3">
        <v>18</v>
      </c>
      <c r="F12721" s="4" t="str">
        <f>HYPERLINK("http://141.218.60.56/~jnz1568/getInfo.php?workbook=10_05.xlsx&amp;sheet=U0&amp;row=12721&amp;col=6&amp;number=4.7&amp;sourceID=14","4.7")</f>
        <v>4.7</v>
      </c>
      <c r="G12721" s="4" t="str">
        <f>HYPERLINK("http://141.218.60.56/~jnz1568/getInfo.php?workbook=10_05.xlsx&amp;sheet=U0&amp;row=12721&amp;col=7&amp;number=0.0291&amp;sourceID=14","0.0291")</f>
        <v>0.0291</v>
      </c>
    </row>
    <row r="12722" spans="1:7">
      <c r="A12722" s="3"/>
      <c r="B12722" s="3"/>
      <c r="C12722" s="3"/>
      <c r="D12722" s="3"/>
      <c r="E12722" s="3">
        <v>19</v>
      </c>
      <c r="F12722" s="4" t="str">
        <f>HYPERLINK("http://141.218.60.56/~jnz1568/getInfo.php?workbook=10_05.xlsx&amp;sheet=U0&amp;row=12722&amp;col=6&amp;number=4.8&amp;sourceID=14","4.8")</f>
        <v>4.8</v>
      </c>
      <c r="G12722" s="4" t="str">
        <f>HYPERLINK("http://141.218.60.56/~jnz1568/getInfo.php?workbook=10_05.xlsx&amp;sheet=U0&amp;row=12722&amp;col=7&amp;number=0.028&amp;sourceID=14","0.028")</f>
        <v>0.028</v>
      </c>
    </row>
    <row r="12723" spans="1:7">
      <c r="A12723" s="3"/>
      <c r="B12723" s="3"/>
      <c r="C12723" s="3"/>
      <c r="D12723" s="3"/>
      <c r="E12723" s="3">
        <v>20</v>
      </c>
      <c r="F12723" s="4" t="str">
        <f>HYPERLINK("http://141.218.60.56/~jnz1568/getInfo.php?workbook=10_05.xlsx&amp;sheet=U0&amp;row=12723&amp;col=6&amp;number=4.9&amp;sourceID=14","4.9")</f>
        <v>4.9</v>
      </c>
      <c r="G12723" s="4" t="str">
        <f>HYPERLINK("http://141.218.60.56/~jnz1568/getInfo.php?workbook=10_05.xlsx&amp;sheet=U0&amp;row=12723&amp;col=7&amp;number=0.0272&amp;sourceID=14","0.0272")</f>
        <v>0.0272</v>
      </c>
    </row>
    <row r="12724" spans="1:7">
      <c r="A12724" s="3">
        <v>10</v>
      </c>
      <c r="B12724" s="3">
        <v>5</v>
      </c>
      <c r="C12724" s="3">
        <v>4</v>
      </c>
      <c r="D12724" s="3">
        <v>107</v>
      </c>
      <c r="E12724" s="3">
        <v>1</v>
      </c>
      <c r="F12724" s="4" t="str">
        <f>HYPERLINK("http://141.218.60.56/~jnz1568/getInfo.php?workbook=10_05.xlsx&amp;sheet=U0&amp;row=12724&amp;col=6&amp;number=3&amp;sourceID=14","3")</f>
        <v>3</v>
      </c>
      <c r="G12724" s="4" t="str">
        <f>HYPERLINK("http://141.218.60.56/~jnz1568/getInfo.php?workbook=10_05.xlsx&amp;sheet=U0&amp;row=12724&amp;col=7&amp;number=0.0427&amp;sourceID=14","0.0427")</f>
        <v>0.0427</v>
      </c>
    </row>
    <row r="12725" spans="1:7">
      <c r="A12725" s="3"/>
      <c r="B12725" s="3"/>
      <c r="C12725" s="3"/>
      <c r="D12725" s="3"/>
      <c r="E12725" s="3">
        <v>2</v>
      </c>
      <c r="F12725" s="4" t="str">
        <f>HYPERLINK("http://141.218.60.56/~jnz1568/getInfo.php?workbook=10_05.xlsx&amp;sheet=U0&amp;row=12725&amp;col=6&amp;number=3.1&amp;sourceID=14","3.1")</f>
        <v>3.1</v>
      </c>
      <c r="G12725" s="4" t="str">
        <f>HYPERLINK("http://141.218.60.56/~jnz1568/getInfo.php?workbook=10_05.xlsx&amp;sheet=U0&amp;row=12725&amp;col=7&amp;number=0.0424&amp;sourceID=14","0.0424")</f>
        <v>0.0424</v>
      </c>
    </row>
    <row r="12726" spans="1:7">
      <c r="A12726" s="3"/>
      <c r="B12726" s="3"/>
      <c r="C12726" s="3"/>
      <c r="D12726" s="3"/>
      <c r="E12726" s="3">
        <v>3</v>
      </c>
      <c r="F12726" s="4" t="str">
        <f>HYPERLINK("http://141.218.60.56/~jnz1568/getInfo.php?workbook=10_05.xlsx&amp;sheet=U0&amp;row=12726&amp;col=6&amp;number=3.2&amp;sourceID=14","3.2")</f>
        <v>3.2</v>
      </c>
      <c r="G12726" s="4" t="str">
        <f>HYPERLINK("http://141.218.60.56/~jnz1568/getInfo.php?workbook=10_05.xlsx&amp;sheet=U0&amp;row=12726&amp;col=7&amp;number=0.042&amp;sourceID=14","0.042")</f>
        <v>0.042</v>
      </c>
    </row>
    <row r="12727" spans="1:7">
      <c r="A12727" s="3"/>
      <c r="B12727" s="3"/>
      <c r="C12727" s="3"/>
      <c r="D12727" s="3"/>
      <c r="E12727" s="3">
        <v>4</v>
      </c>
      <c r="F12727" s="4" t="str">
        <f>HYPERLINK("http://141.218.60.56/~jnz1568/getInfo.php?workbook=10_05.xlsx&amp;sheet=U0&amp;row=12727&amp;col=6&amp;number=3.3&amp;sourceID=14","3.3")</f>
        <v>3.3</v>
      </c>
      <c r="G12727" s="4" t="str">
        <f>HYPERLINK("http://141.218.60.56/~jnz1568/getInfo.php?workbook=10_05.xlsx&amp;sheet=U0&amp;row=12727&amp;col=7&amp;number=0.0416&amp;sourceID=14","0.0416")</f>
        <v>0.0416</v>
      </c>
    </row>
    <row r="12728" spans="1:7">
      <c r="A12728" s="3"/>
      <c r="B12728" s="3"/>
      <c r="C12728" s="3"/>
      <c r="D12728" s="3"/>
      <c r="E12728" s="3">
        <v>5</v>
      </c>
      <c r="F12728" s="4" t="str">
        <f>HYPERLINK("http://141.218.60.56/~jnz1568/getInfo.php?workbook=10_05.xlsx&amp;sheet=U0&amp;row=12728&amp;col=6&amp;number=3.4&amp;sourceID=14","3.4")</f>
        <v>3.4</v>
      </c>
      <c r="G12728" s="4" t="str">
        <f>HYPERLINK("http://141.218.60.56/~jnz1568/getInfo.php?workbook=10_05.xlsx&amp;sheet=U0&amp;row=12728&amp;col=7&amp;number=0.0411&amp;sourceID=14","0.0411")</f>
        <v>0.0411</v>
      </c>
    </row>
    <row r="12729" spans="1:7">
      <c r="A12729" s="3"/>
      <c r="B12729" s="3"/>
      <c r="C12729" s="3"/>
      <c r="D12729" s="3"/>
      <c r="E12729" s="3">
        <v>6</v>
      </c>
      <c r="F12729" s="4" t="str">
        <f>HYPERLINK("http://141.218.60.56/~jnz1568/getInfo.php?workbook=10_05.xlsx&amp;sheet=U0&amp;row=12729&amp;col=6&amp;number=3.5&amp;sourceID=14","3.5")</f>
        <v>3.5</v>
      </c>
      <c r="G12729" s="4" t="str">
        <f>HYPERLINK("http://141.218.60.56/~jnz1568/getInfo.php?workbook=10_05.xlsx&amp;sheet=U0&amp;row=12729&amp;col=7&amp;number=0.0404&amp;sourceID=14","0.0404")</f>
        <v>0.0404</v>
      </c>
    </row>
    <row r="12730" spans="1:7">
      <c r="A12730" s="3"/>
      <c r="B12730" s="3"/>
      <c r="C12730" s="3"/>
      <c r="D12730" s="3"/>
      <c r="E12730" s="3">
        <v>7</v>
      </c>
      <c r="F12730" s="4" t="str">
        <f>HYPERLINK("http://141.218.60.56/~jnz1568/getInfo.php?workbook=10_05.xlsx&amp;sheet=U0&amp;row=12730&amp;col=6&amp;number=3.6&amp;sourceID=14","3.6")</f>
        <v>3.6</v>
      </c>
      <c r="G12730" s="4" t="str">
        <f>HYPERLINK("http://141.218.60.56/~jnz1568/getInfo.php?workbook=10_05.xlsx&amp;sheet=U0&amp;row=12730&amp;col=7&amp;number=0.0396&amp;sourceID=14","0.0396")</f>
        <v>0.0396</v>
      </c>
    </row>
    <row r="12731" spans="1:7">
      <c r="A12731" s="3"/>
      <c r="B12731" s="3"/>
      <c r="C12731" s="3"/>
      <c r="D12731" s="3"/>
      <c r="E12731" s="3">
        <v>8</v>
      </c>
      <c r="F12731" s="4" t="str">
        <f>HYPERLINK("http://141.218.60.56/~jnz1568/getInfo.php?workbook=10_05.xlsx&amp;sheet=U0&amp;row=12731&amp;col=6&amp;number=3.7&amp;sourceID=14","3.7")</f>
        <v>3.7</v>
      </c>
      <c r="G12731" s="4" t="str">
        <f>HYPERLINK("http://141.218.60.56/~jnz1568/getInfo.php?workbook=10_05.xlsx&amp;sheet=U0&amp;row=12731&amp;col=7&amp;number=0.0386&amp;sourceID=14","0.0386")</f>
        <v>0.0386</v>
      </c>
    </row>
    <row r="12732" spans="1:7">
      <c r="A12732" s="3"/>
      <c r="B12732" s="3"/>
      <c r="C12732" s="3"/>
      <c r="D12732" s="3"/>
      <c r="E12732" s="3">
        <v>9</v>
      </c>
      <c r="F12732" s="4" t="str">
        <f>HYPERLINK("http://141.218.60.56/~jnz1568/getInfo.php?workbook=10_05.xlsx&amp;sheet=U0&amp;row=12732&amp;col=6&amp;number=3.8&amp;sourceID=14","3.8")</f>
        <v>3.8</v>
      </c>
      <c r="G12732" s="4" t="str">
        <f>HYPERLINK("http://141.218.60.56/~jnz1568/getInfo.php?workbook=10_05.xlsx&amp;sheet=U0&amp;row=12732&amp;col=7&amp;number=0.0374&amp;sourceID=14","0.0374")</f>
        <v>0.0374</v>
      </c>
    </row>
    <row r="12733" spans="1:7">
      <c r="A12733" s="3"/>
      <c r="B12733" s="3"/>
      <c r="C12733" s="3"/>
      <c r="D12733" s="3"/>
      <c r="E12733" s="3">
        <v>10</v>
      </c>
      <c r="F12733" s="4" t="str">
        <f>HYPERLINK("http://141.218.60.56/~jnz1568/getInfo.php?workbook=10_05.xlsx&amp;sheet=U0&amp;row=12733&amp;col=6&amp;number=3.9&amp;sourceID=14","3.9")</f>
        <v>3.9</v>
      </c>
      <c r="G12733" s="4" t="str">
        <f>HYPERLINK("http://141.218.60.56/~jnz1568/getInfo.php?workbook=10_05.xlsx&amp;sheet=U0&amp;row=12733&amp;col=7&amp;number=0.0359&amp;sourceID=14","0.0359")</f>
        <v>0.0359</v>
      </c>
    </row>
    <row r="12734" spans="1:7">
      <c r="A12734" s="3"/>
      <c r="B12734" s="3"/>
      <c r="C12734" s="3"/>
      <c r="D12734" s="3"/>
      <c r="E12734" s="3">
        <v>11</v>
      </c>
      <c r="F12734" s="4" t="str">
        <f>HYPERLINK("http://141.218.60.56/~jnz1568/getInfo.php?workbook=10_05.xlsx&amp;sheet=U0&amp;row=12734&amp;col=6&amp;number=4&amp;sourceID=14","4")</f>
        <v>4</v>
      </c>
      <c r="G12734" s="4" t="str">
        <f>HYPERLINK("http://141.218.60.56/~jnz1568/getInfo.php?workbook=10_05.xlsx&amp;sheet=U0&amp;row=12734&amp;col=7&amp;number=0.0341&amp;sourceID=14","0.0341")</f>
        <v>0.0341</v>
      </c>
    </row>
    <row r="12735" spans="1:7">
      <c r="A12735" s="3"/>
      <c r="B12735" s="3"/>
      <c r="C12735" s="3"/>
      <c r="D12735" s="3"/>
      <c r="E12735" s="3">
        <v>12</v>
      </c>
      <c r="F12735" s="4" t="str">
        <f>HYPERLINK("http://141.218.60.56/~jnz1568/getInfo.php?workbook=10_05.xlsx&amp;sheet=U0&amp;row=12735&amp;col=6&amp;number=4.1&amp;sourceID=14","4.1")</f>
        <v>4.1</v>
      </c>
      <c r="G12735" s="4" t="str">
        <f>HYPERLINK("http://141.218.60.56/~jnz1568/getInfo.php?workbook=10_05.xlsx&amp;sheet=U0&amp;row=12735&amp;col=7&amp;number=0.032&amp;sourceID=14","0.032")</f>
        <v>0.032</v>
      </c>
    </row>
    <row r="12736" spans="1:7">
      <c r="A12736" s="3"/>
      <c r="B12736" s="3"/>
      <c r="C12736" s="3"/>
      <c r="D12736" s="3"/>
      <c r="E12736" s="3">
        <v>13</v>
      </c>
      <c r="F12736" s="4" t="str">
        <f>HYPERLINK("http://141.218.60.56/~jnz1568/getInfo.php?workbook=10_05.xlsx&amp;sheet=U0&amp;row=12736&amp;col=6&amp;number=4.2&amp;sourceID=14","4.2")</f>
        <v>4.2</v>
      </c>
      <c r="G12736" s="4" t="str">
        <f>HYPERLINK("http://141.218.60.56/~jnz1568/getInfo.php?workbook=10_05.xlsx&amp;sheet=U0&amp;row=12736&amp;col=7&amp;number=0.0297&amp;sourceID=14","0.0297")</f>
        <v>0.0297</v>
      </c>
    </row>
    <row r="12737" spans="1:7">
      <c r="A12737" s="3"/>
      <c r="B12737" s="3"/>
      <c r="C12737" s="3"/>
      <c r="D12737" s="3"/>
      <c r="E12737" s="3">
        <v>14</v>
      </c>
      <c r="F12737" s="4" t="str">
        <f>HYPERLINK("http://141.218.60.56/~jnz1568/getInfo.php?workbook=10_05.xlsx&amp;sheet=U0&amp;row=12737&amp;col=6&amp;number=4.3&amp;sourceID=14","4.3")</f>
        <v>4.3</v>
      </c>
      <c r="G12737" s="4" t="str">
        <f>HYPERLINK("http://141.218.60.56/~jnz1568/getInfo.php?workbook=10_05.xlsx&amp;sheet=U0&amp;row=12737&amp;col=7&amp;number=0.0272&amp;sourceID=14","0.0272")</f>
        <v>0.0272</v>
      </c>
    </row>
    <row r="12738" spans="1:7">
      <c r="A12738" s="3"/>
      <c r="B12738" s="3"/>
      <c r="C12738" s="3"/>
      <c r="D12738" s="3"/>
      <c r="E12738" s="3">
        <v>15</v>
      </c>
      <c r="F12738" s="4" t="str">
        <f>HYPERLINK("http://141.218.60.56/~jnz1568/getInfo.php?workbook=10_05.xlsx&amp;sheet=U0&amp;row=12738&amp;col=6&amp;number=4.4&amp;sourceID=14","4.4")</f>
        <v>4.4</v>
      </c>
      <c r="G12738" s="4" t="str">
        <f>HYPERLINK("http://141.218.60.56/~jnz1568/getInfo.php?workbook=10_05.xlsx&amp;sheet=U0&amp;row=12738&amp;col=7&amp;number=0.0247&amp;sourceID=14","0.0247")</f>
        <v>0.0247</v>
      </c>
    </row>
    <row r="12739" spans="1:7">
      <c r="A12739" s="3"/>
      <c r="B12739" s="3"/>
      <c r="C12739" s="3"/>
      <c r="D12739" s="3"/>
      <c r="E12739" s="3">
        <v>16</v>
      </c>
      <c r="F12739" s="4" t="str">
        <f>HYPERLINK("http://141.218.60.56/~jnz1568/getInfo.php?workbook=10_05.xlsx&amp;sheet=U0&amp;row=12739&amp;col=6&amp;number=4.5&amp;sourceID=14","4.5")</f>
        <v>4.5</v>
      </c>
      <c r="G12739" s="4" t="str">
        <f>HYPERLINK("http://141.218.60.56/~jnz1568/getInfo.php?workbook=10_05.xlsx&amp;sheet=U0&amp;row=12739&amp;col=7&amp;number=0.0225&amp;sourceID=14","0.0225")</f>
        <v>0.0225</v>
      </c>
    </row>
    <row r="12740" spans="1:7">
      <c r="A12740" s="3"/>
      <c r="B12740" s="3"/>
      <c r="C12740" s="3"/>
      <c r="D12740" s="3"/>
      <c r="E12740" s="3">
        <v>17</v>
      </c>
      <c r="F12740" s="4" t="str">
        <f>HYPERLINK("http://141.218.60.56/~jnz1568/getInfo.php?workbook=10_05.xlsx&amp;sheet=U0&amp;row=12740&amp;col=6&amp;number=4.6&amp;sourceID=14","4.6")</f>
        <v>4.6</v>
      </c>
      <c r="G12740" s="4" t="str">
        <f>HYPERLINK("http://141.218.60.56/~jnz1568/getInfo.php?workbook=10_05.xlsx&amp;sheet=U0&amp;row=12740&amp;col=7&amp;number=0.0206&amp;sourceID=14","0.0206")</f>
        <v>0.0206</v>
      </c>
    </row>
    <row r="12741" spans="1:7">
      <c r="A12741" s="3"/>
      <c r="B12741" s="3"/>
      <c r="C12741" s="3"/>
      <c r="D12741" s="3"/>
      <c r="E12741" s="3">
        <v>18</v>
      </c>
      <c r="F12741" s="4" t="str">
        <f>HYPERLINK("http://141.218.60.56/~jnz1568/getInfo.php?workbook=10_05.xlsx&amp;sheet=U0&amp;row=12741&amp;col=6&amp;number=4.7&amp;sourceID=14","4.7")</f>
        <v>4.7</v>
      </c>
      <c r="G12741" s="4" t="str">
        <f>HYPERLINK("http://141.218.60.56/~jnz1568/getInfo.php?workbook=10_05.xlsx&amp;sheet=U0&amp;row=12741&amp;col=7&amp;number=0.0189&amp;sourceID=14","0.0189")</f>
        <v>0.0189</v>
      </c>
    </row>
    <row r="12742" spans="1:7">
      <c r="A12742" s="3"/>
      <c r="B12742" s="3"/>
      <c r="C12742" s="3"/>
      <c r="D12742" s="3"/>
      <c r="E12742" s="3">
        <v>19</v>
      </c>
      <c r="F12742" s="4" t="str">
        <f>HYPERLINK("http://141.218.60.56/~jnz1568/getInfo.php?workbook=10_05.xlsx&amp;sheet=U0&amp;row=12742&amp;col=6&amp;number=4.8&amp;sourceID=14","4.8")</f>
        <v>4.8</v>
      </c>
      <c r="G12742" s="4" t="str">
        <f>HYPERLINK("http://141.218.60.56/~jnz1568/getInfo.php?workbook=10_05.xlsx&amp;sheet=U0&amp;row=12742&amp;col=7&amp;number=0.0172&amp;sourceID=14","0.0172")</f>
        <v>0.0172</v>
      </c>
    </row>
    <row r="12743" spans="1:7">
      <c r="A12743" s="3"/>
      <c r="B12743" s="3"/>
      <c r="C12743" s="3"/>
      <c r="D12743" s="3"/>
      <c r="E12743" s="3">
        <v>20</v>
      </c>
      <c r="F12743" s="4" t="str">
        <f>HYPERLINK("http://141.218.60.56/~jnz1568/getInfo.php?workbook=10_05.xlsx&amp;sheet=U0&amp;row=12743&amp;col=6&amp;number=4.9&amp;sourceID=14","4.9")</f>
        <v>4.9</v>
      </c>
      <c r="G12743" s="4" t="str">
        <f>HYPERLINK("http://141.218.60.56/~jnz1568/getInfo.php?workbook=10_05.xlsx&amp;sheet=U0&amp;row=12743&amp;col=7&amp;number=0.0157&amp;sourceID=14","0.0157")</f>
        <v>0.0157</v>
      </c>
    </row>
    <row r="12744" spans="1:7">
      <c r="A12744" s="3">
        <v>10</v>
      </c>
      <c r="B12744" s="3">
        <v>5</v>
      </c>
      <c r="C12744" s="3">
        <v>4</v>
      </c>
      <c r="D12744" s="3">
        <v>108</v>
      </c>
      <c r="E12744" s="3">
        <v>1</v>
      </c>
      <c r="F12744" s="4" t="str">
        <f>HYPERLINK("http://141.218.60.56/~jnz1568/getInfo.php?workbook=10_05.xlsx&amp;sheet=U0&amp;row=12744&amp;col=6&amp;number=3&amp;sourceID=14","3")</f>
        <v>3</v>
      </c>
      <c r="G12744" s="4" t="str">
        <f>HYPERLINK("http://141.218.60.56/~jnz1568/getInfo.php?workbook=10_05.xlsx&amp;sheet=U0&amp;row=12744&amp;col=7&amp;number=0.0683&amp;sourceID=14","0.0683")</f>
        <v>0.0683</v>
      </c>
    </row>
    <row r="12745" spans="1:7">
      <c r="A12745" s="3"/>
      <c r="B12745" s="3"/>
      <c r="C12745" s="3"/>
      <c r="D12745" s="3"/>
      <c r="E12745" s="3">
        <v>2</v>
      </c>
      <c r="F12745" s="4" t="str">
        <f>HYPERLINK("http://141.218.60.56/~jnz1568/getInfo.php?workbook=10_05.xlsx&amp;sheet=U0&amp;row=12745&amp;col=6&amp;number=3.1&amp;sourceID=14","3.1")</f>
        <v>3.1</v>
      </c>
      <c r="G12745" s="4" t="str">
        <f>HYPERLINK("http://141.218.60.56/~jnz1568/getInfo.php?workbook=10_05.xlsx&amp;sheet=U0&amp;row=12745&amp;col=7&amp;number=0.0681&amp;sourceID=14","0.0681")</f>
        <v>0.0681</v>
      </c>
    </row>
    <row r="12746" spans="1:7">
      <c r="A12746" s="3"/>
      <c r="B12746" s="3"/>
      <c r="C12746" s="3"/>
      <c r="D12746" s="3"/>
      <c r="E12746" s="3">
        <v>3</v>
      </c>
      <c r="F12746" s="4" t="str">
        <f>HYPERLINK("http://141.218.60.56/~jnz1568/getInfo.php?workbook=10_05.xlsx&amp;sheet=U0&amp;row=12746&amp;col=6&amp;number=3.2&amp;sourceID=14","3.2")</f>
        <v>3.2</v>
      </c>
      <c r="G12746" s="4" t="str">
        <f>HYPERLINK("http://141.218.60.56/~jnz1568/getInfo.php?workbook=10_05.xlsx&amp;sheet=U0&amp;row=12746&amp;col=7&amp;number=0.0677&amp;sourceID=14","0.0677")</f>
        <v>0.0677</v>
      </c>
    </row>
    <row r="12747" spans="1:7">
      <c r="A12747" s="3"/>
      <c r="B12747" s="3"/>
      <c r="C12747" s="3"/>
      <c r="D12747" s="3"/>
      <c r="E12747" s="3">
        <v>4</v>
      </c>
      <c r="F12747" s="4" t="str">
        <f>HYPERLINK("http://141.218.60.56/~jnz1568/getInfo.php?workbook=10_05.xlsx&amp;sheet=U0&amp;row=12747&amp;col=6&amp;number=3.3&amp;sourceID=14","3.3")</f>
        <v>3.3</v>
      </c>
      <c r="G12747" s="4" t="str">
        <f>HYPERLINK("http://141.218.60.56/~jnz1568/getInfo.php?workbook=10_05.xlsx&amp;sheet=U0&amp;row=12747&amp;col=7&amp;number=0.0673&amp;sourceID=14","0.0673")</f>
        <v>0.0673</v>
      </c>
    </row>
    <row r="12748" spans="1:7">
      <c r="A12748" s="3"/>
      <c r="B12748" s="3"/>
      <c r="C12748" s="3"/>
      <c r="D12748" s="3"/>
      <c r="E12748" s="3">
        <v>5</v>
      </c>
      <c r="F12748" s="4" t="str">
        <f>HYPERLINK("http://141.218.60.56/~jnz1568/getInfo.php?workbook=10_05.xlsx&amp;sheet=U0&amp;row=12748&amp;col=6&amp;number=3.4&amp;sourceID=14","3.4")</f>
        <v>3.4</v>
      </c>
      <c r="G12748" s="4" t="str">
        <f>HYPERLINK("http://141.218.60.56/~jnz1568/getInfo.php?workbook=10_05.xlsx&amp;sheet=U0&amp;row=12748&amp;col=7&amp;number=0.0668&amp;sourceID=14","0.0668")</f>
        <v>0.0668</v>
      </c>
    </row>
    <row r="12749" spans="1:7">
      <c r="A12749" s="3"/>
      <c r="B12749" s="3"/>
      <c r="C12749" s="3"/>
      <c r="D12749" s="3"/>
      <c r="E12749" s="3">
        <v>6</v>
      </c>
      <c r="F12749" s="4" t="str">
        <f>HYPERLINK("http://141.218.60.56/~jnz1568/getInfo.php?workbook=10_05.xlsx&amp;sheet=U0&amp;row=12749&amp;col=6&amp;number=3.5&amp;sourceID=14","3.5")</f>
        <v>3.5</v>
      </c>
      <c r="G12749" s="4" t="str">
        <f>HYPERLINK("http://141.218.60.56/~jnz1568/getInfo.php?workbook=10_05.xlsx&amp;sheet=U0&amp;row=12749&amp;col=7&amp;number=0.0661&amp;sourceID=14","0.0661")</f>
        <v>0.0661</v>
      </c>
    </row>
    <row r="12750" spans="1:7">
      <c r="A12750" s="3"/>
      <c r="B12750" s="3"/>
      <c r="C12750" s="3"/>
      <c r="D12750" s="3"/>
      <c r="E12750" s="3">
        <v>7</v>
      </c>
      <c r="F12750" s="4" t="str">
        <f>HYPERLINK("http://141.218.60.56/~jnz1568/getInfo.php?workbook=10_05.xlsx&amp;sheet=U0&amp;row=12750&amp;col=6&amp;number=3.6&amp;sourceID=14","3.6")</f>
        <v>3.6</v>
      </c>
      <c r="G12750" s="4" t="str">
        <f>HYPERLINK("http://141.218.60.56/~jnz1568/getInfo.php?workbook=10_05.xlsx&amp;sheet=U0&amp;row=12750&amp;col=7&amp;number=0.0653&amp;sourceID=14","0.0653")</f>
        <v>0.0653</v>
      </c>
    </row>
    <row r="12751" spans="1:7">
      <c r="A12751" s="3"/>
      <c r="B12751" s="3"/>
      <c r="C12751" s="3"/>
      <c r="D12751" s="3"/>
      <c r="E12751" s="3">
        <v>8</v>
      </c>
      <c r="F12751" s="4" t="str">
        <f>HYPERLINK("http://141.218.60.56/~jnz1568/getInfo.php?workbook=10_05.xlsx&amp;sheet=U0&amp;row=12751&amp;col=6&amp;number=3.7&amp;sourceID=14","3.7")</f>
        <v>3.7</v>
      </c>
      <c r="G12751" s="4" t="str">
        <f>HYPERLINK("http://141.218.60.56/~jnz1568/getInfo.php?workbook=10_05.xlsx&amp;sheet=U0&amp;row=12751&amp;col=7&amp;number=0.0643&amp;sourceID=14","0.0643")</f>
        <v>0.0643</v>
      </c>
    </row>
    <row r="12752" spans="1:7">
      <c r="A12752" s="3"/>
      <c r="B12752" s="3"/>
      <c r="C12752" s="3"/>
      <c r="D12752" s="3"/>
      <c r="E12752" s="3">
        <v>9</v>
      </c>
      <c r="F12752" s="4" t="str">
        <f>HYPERLINK("http://141.218.60.56/~jnz1568/getInfo.php?workbook=10_05.xlsx&amp;sheet=U0&amp;row=12752&amp;col=6&amp;number=3.8&amp;sourceID=14","3.8")</f>
        <v>3.8</v>
      </c>
      <c r="G12752" s="4" t="str">
        <f>HYPERLINK("http://141.218.60.56/~jnz1568/getInfo.php?workbook=10_05.xlsx&amp;sheet=U0&amp;row=12752&amp;col=7&amp;number=0.0631&amp;sourceID=14","0.0631")</f>
        <v>0.0631</v>
      </c>
    </row>
    <row r="12753" spans="1:7">
      <c r="A12753" s="3"/>
      <c r="B12753" s="3"/>
      <c r="C12753" s="3"/>
      <c r="D12753" s="3"/>
      <c r="E12753" s="3">
        <v>10</v>
      </c>
      <c r="F12753" s="4" t="str">
        <f>HYPERLINK("http://141.218.60.56/~jnz1568/getInfo.php?workbook=10_05.xlsx&amp;sheet=U0&amp;row=12753&amp;col=6&amp;number=3.9&amp;sourceID=14","3.9")</f>
        <v>3.9</v>
      </c>
      <c r="G12753" s="4" t="str">
        <f>HYPERLINK("http://141.218.60.56/~jnz1568/getInfo.php?workbook=10_05.xlsx&amp;sheet=U0&amp;row=12753&amp;col=7&amp;number=0.0616&amp;sourceID=14","0.0616")</f>
        <v>0.0616</v>
      </c>
    </row>
    <row r="12754" spans="1:7">
      <c r="A12754" s="3"/>
      <c r="B12754" s="3"/>
      <c r="C12754" s="3"/>
      <c r="D12754" s="3"/>
      <c r="E12754" s="3">
        <v>11</v>
      </c>
      <c r="F12754" s="4" t="str">
        <f>HYPERLINK("http://141.218.60.56/~jnz1568/getInfo.php?workbook=10_05.xlsx&amp;sheet=U0&amp;row=12754&amp;col=6&amp;number=4&amp;sourceID=14","4")</f>
        <v>4</v>
      </c>
      <c r="G12754" s="4" t="str">
        <f>HYPERLINK("http://141.218.60.56/~jnz1568/getInfo.php?workbook=10_05.xlsx&amp;sheet=U0&amp;row=12754&amp;col=7&amp;number=0.0598&amp;sourceID=14","0.0598")</f>
        <v>0.0598</v>
      </c>
    </row>
    <row r="12755" spans="1:7">
      <c r="A12755" s="3"/>
      <c r="B12755" s="3"/>
      <c r="C12755" s="3"/>
      <c r="D12755" s="3"/>
      <c r="E12755" s="3">
        <v>12</v>
      </c>
      <c r="F12755" s="4" t="str">
        <f>HYPERLINK("http://141.218.60.56/~jnz1568/getInfo.php?workbook=10_05.xlsx&amp;sheet=U0&amp;row=12755&amp;col=6&amp;number=4.1&amp;sourceID=14","4.1")</f>
        <v>4.1</v>
      </c>
      <c r="G12755" s="4" t="str">
        <f>HYPERLINK("http://141.218.60.56/~jnz1568/getInfo.php?workbook=10_05.xlsx&amp;sheet=U0&amp;row=12755&amp;col=7&amp;number=0.0577&amp;sourceID=14","0.0577")</f>
        <v>0.0577</v>
      </c>
    </row>
    <row r="12756" spans="1:7">
      <c r="A12756" s="3"/>
      <c r="B12756" s="3"/>
      <c r="C12756" s="3"/>
      <c r="D12756" s="3"/>
      <c r="E12756" s="3">
        <v>13</v>
      </c>
      <c r="F12756" s="4" t="str">
        <f>HYPERLINK("http://141.218.60.56/~jnz1568/getInfo.php?workbook=10_05.xlsx&amp;sheet=U0&amp;row=12756&amp;col=6&amp;number=4.2&amp;sourceID=14","4.2")</f>
        <v>4.2</v>
      </c>
      <c r="G12756" s="4" t="str">
        <f>HYPERLINK("http://141.218.60.56/~jnz1568/getInfo.php?workbook=10_05.xlsx&amp;sheet=U0&amp;row=12756&amp;col=7&amp;number=0.0554&amp;sourceID=14","0.0554")</f>
        <v>0.0554</v>
      </c>
    </row>
    <row r="12757" spans="1:7">
      <c r="A12757" s="3"/>
      <c r="B12757" s="3"/>
      <c r="C12757" s="3"/>
      <c r="D12757" s="3"/>
      <c r="E12757" s="3">
        <v>14</v>
      </c>
      <c r="F12757" s="4" t="str">
        <f>HYPERLINK("http://141.218.60.56/~jnz1568/getInfo.php?workbook=10_05.xlsx&amp;sheet=U0&amp;row=12757&amp;col=6&amp;number=4.3&amp;sourceID=14","4.3")</f>
        <v>4.3</v>
      </c>
      <c r="G12757" s="4" t="str">
        <f>HYPERLINK("http://141.218.60.56/~jnz1568/getInfo.php?workbook=10_05.xlsx&amp;sheet=U0&amp;row=12757&amp;col=7&amp;number=0.053&amp;sourceID=14","0.053")</f>
        <v>0.053</v>
      </c>
    </row>
    <row r="12758" spans="1:7">
      <c r="A12758" s="3"/>
      <c r="B12758" s="3"/>
      <c r="C12758" s="3"/>
      <c r="D12758" s="3"/>
      <c r="E12758" s="3">
        <v>15</v>
      </c>
      <c r="F12758" s="4" t="str">
        <f>HYPERLINK("http://141.218.60.56/~jnz1568/getInfo.php?workbook=10_05.xlsx&amp;sheet=U0&amp;row=12758&amp;col=6&amp;number=4.4&amp;sourceID=14","4.4")</f>
        <v>4.4</v>
      </c>
      <c r="G12758" s="4" t="str">
        <f>HYPERLINK("http://141.218.60.56/~jnz1568/getInfo.php?workbook=10_05.xlsx&amp;sheet=U0&amp;row=12758&amp;col=7&amp;number=0.0507&amp;sourceID=14","0.0507")</f>
        <v>0.0507</v>
      </c>
    </row>
    <row r="12759" spans="1:7">
      <c r="A12759" s="3"/>
      <c r="B12759" s="3"/>
      <c r="C12759" s="3"/>
      <c r="D12759" s="3"/>
      <c r="E12759" s="3">
        <v>16</v>
      </c>
      <c r="F12759" s="4" t="str">
        <f>HYPERLINK("http://141.218.60.56/~jnz1568/getInfo.php?workbook=10_05.xlsx&amp;sheet=U0&amp;row=12759&amp;col=6&amp;number=4.5&amp;sourceID=14","4.5")</f>
        <v>4.5</v>
      </c>
      <c r="G12759" s="4" t="str">
        <f>HYPERLINK("http://141.218.60.56/~jnz1568/getInfo.php?workbook=10_05.xlsx&amp;sheet=U0&amp;row=12759&amp;col=7&amp;number=0.0486&amp;sourceID=14","0.0486")</f>
        <v>0.0486</v>
      </c>
    </row>
    <row r="12760" spans="1:7">
      <c r="A12760" s="3"/>
      <c r="B12760" s="3"/>
      <c r="C12760" s="3"/>
      <c r="D12760" s="3"/>
      <c r="E12760" s="3">
        <v>17</v>
      </c>
      <c r="F12760" s="4" t="str">
        <f>HYPERLINK("http://141.218.60.56/~jnz1568/getInfo.php?workbook=10_05.xlsx&amp;sheet=U0&amp;row=12760&amp;col=6&amp;number=4.6&amp;sourceID=14","4.6")</f>
        <v>4.6</v>
      </c>
      <c r="G12760" s="4" t="str">
        <f>HYPERLINK("http://141.218.60.56/~jnz1568/getInfo.php?workbook=10_05.xlsx&amp;sheet=U0&amp;row=12760&amp;col=7&amp;number=0.047&amp;sourceID=14","0.047")</f>
        <v>0.047</v>
      </c>
    </row>
    <row r="12761" spans="1:7">
      <c r="A12761" s="3"/>
      <c r="B12761" s="3"/>
      <c r="C12761" s="3"/>
      <c r="D12761" s="3"/>
      <c r="E12761" s="3">
        <v>18</v>
      </c>
      <c r="F12761" s="4" t="str">
        <f>HYPERLINK("http://141.218.60.56/~jnz1568/getInfo.php?workbook=10_05.xlsx&amp;sheet=U0&amp;row=12761&amp;col=6&amp;number=4.7&amp;sourceID=14","4.7")</f>
        <v>4.7</v>
      </c>
      <c r="G12761" s="4" t="str">
        <f>HYPERLINK("http://141.218.60.56/~jnz1568/getInfo.php?workbook=10_05.xlsx&amp;sheet=U0&amp;row=12761&amp;col=7&amp;number=0.0455&amp;sourceID=14","0.0455")</f>
        <v>0.0455</v>
      </c>
    </row>
    <row r="12762" spans="1:7">
      <c r="A12762" s="3"/>
      <c r="B12762" s="3"/>
      <c r="C12762" s="3"/>
      <c r="D12762" s="3"/>
      <c r="E12762" s="3">
        <v>19</v>
      </c>
      <c r="F12762" s="4" t="str">
        <f>HYPERLINK("http://141.218.60.56/~jnz1568/getInfo.php?workbook=10_05.xlsx&amp;sheet=U0&amp;row=12762&amp;col=6&amp;number=4.8&amp;sourceID=14","4.8")</f>
        <v>4.8</v>
      </c>
      <c r="G12762" s="4" t="str">
        <f>HYPERLINK("http://141.218.60.56/~jnz1568/getInfo.php?workbook=10_05.xlsx&amp;sheet=U0&amp;row=12762&amp;col=7&amp;number=0.0441&amp;sourceID=14","0.0441")</f>
        <v>0.0441</v>
      </c>
    </row>
    <row r="12763" spans="1:7">
      <c r="A12763" s="3"/>
      <c r="B12763" s="3"/>
      <c r="C12763" s="3"/>
      <c r="D12763" s="3"/>
      <c r="E12763" s="3">
        <v>20</v>
      </c>
      <c r="F12763" s="4" t="str">
        <f>HYPERLINK("http://141.218.60.56/~jnz1568/getInfo.php?workbook=10_05.xlsx&amp;sheet=U0&amp;row=12763&amp;col=6&amp;number=4.9&amp;sourceID=14","4.9")</f>
        <v>4.9</v>
      </c>
      <c r="G12763" s="4" t="str">
        <f>HYPERLINK("http://141.218.60.56/~jnz1568/getInfo.php?workbook=10_05.xlsx&amp;sheet=U0&amp;row=12763&amp;col=7&amp;number=0.0429&amp;sourceID=14","0.0429")</f>
        <v>0.0429</v>
      </c>
    </row>
    <row r="12764" spans="1:7">
      <c r="A12764" s="3">
        <v>10</v>
      </c>
      <c r="B12764" s="3">
        <v>5</v>
      </c>
      <c r="C12764" s="3">
        <v>4</v>
      </c>
      <c r="D12764" s="3">
        <v>109</v>
      </c>
      <c r="E12764" s="3">
        <v>1</v>
      </c>
      <c r="F12764" s="4" t="str">
        <f>HYPERLINK("http://141.218.60.56/~jnz1568/getInfo.php?workbook=10_05.xlsx&amp;sheet=U0&amp;row=12764&amp;col=6&amp;number=3&amp;sourceID=14","3")</f>
        <v>3</v>
      </c>
      <c r="G12764" s="4" t="str">
        <f>HYPERLINK("http://141.218.60.56/~jnz1568/getInfo.php?workbook=10_05.xlsx&amp;sheet=U0&amp;row=12764&amp;col=7&amp;number=0.0244&amp;sourceID=14","0.0244")</f>
        <v>0.0244</v>
      </c>
    </row>
    <row r="12765" spans="1:7">
      <c r="A12765" s="3"/>
      <c r="B12765" s="3"/>
      <c r="C12765" s="3"/>
      <c r="D12765" s="3"/>
      <c r="E12765" s="3">
        <v>2</v>
      </c>
      <c r="F12765" s="4" t="str">
        <f>HYPERLINK("http://141.218.60.56/~jnz1568/getInfo.php?workbook=10_05.xlsx&amp;sheet=U0&amp;row=12765&amp;col=6&amp;number=3.1&amp;sourceID=14","3.1")</f>
        <v>3.1</v>
      </c>
      <c r="G12765" s="4" t="str">
        <f>HYPERLINK("http://141.218.60.56/~jnz1568/getInfo.php?workbook=10_05.xlsx&amp;sheet=U0&amp;row=12765&amp;col=7&amp;number=0.0243&amp;sourceID=14","0.0243")</f>
        <v>0.0243</v>
      </c>
    </row>
    <row r="12766" spans="1:7">
      <c r="A12766" s="3"/>
      <c r="B12766" s="3"/>
      <c r="C12766" s="3"/>
      <c r="D12766" s="3"/>
      <c r="E12766" s="3">
        <v>3</v>
      </c>
      <c r="F12766" s="4" t="str">
        <f>HYPERLINK("http://141.218.60.56/~jnz1568/getInfo.php?workbook=10_05.xlsx&amp;sheet=U0&amp;row=12766&amp;col=6&amp;number=3.2&amp;sourceID=14","3.2")</f>
        <v>3.2</v>
      </c>
      <c r="G12766" s="4" t="str">
        <f>HYPERLINK("http://141.218.60.56/~jnz1568/getInfo.php?workbook=10_05.xlsx&amp;sheet=U0&amp;row=12766&amp;col=7&amp;number=0.0242&amp;sourceID=14","0.0242")</f>
        <v>0.0242</v>
      </c>
    </row>
    <row r="12767" spans="1:7">
      <c r="A12767" s="3"/>
      <c r="B12767" s="3"/>
      <c r="C12767" s="3"/>
      <c r="D12767" s="3"/>
      <c r="E12767" s="3">
        <v>4</v>
      </c>
      <c r="F12767" s="4" t="str">
        <f>HYPERLINK("http://141.218.60.56/~jnz1568/getInfo.php?workbook=10_05.xlsx&amp;sheet=U0&amp;row=12767&amp;col=6&amp;number=3.3&amp;sourceID=14","3.3")</f>
        <v>3.3</v>
      </c>
      <c r="G12767" s="4" t="str">
        <f>HYPERLINK("http://141.218.60.56/~jnz1568/getInfo.php?workbook=10_05.xlsx&amp;sheet=U0&amp;row=12767&amp;col=7&amp;number=0.0241&amp;sourceID=14","0.0241")</f>
        <v>0.0241</v>
      </c>
    </row>
    <row r="12768" spans="1:7">
      <c r="A12768" s="3"/>
      <c r="B12768" s="3"/>
      <c r="C12768" s="3"/>
      <c r="D12768" s="3"/>
      <c r="E12768" s="3">
        <v>5</v>
      </c>
      <c r="F12768" s="4" t="str">
        <f>HYPERLINK("http://141.218.60.56/~jnz1568/getInfo.php?workbook=10_05.xlsx&amp;sheet=U0&amp;row=12768&amp;col=6&amp;number=3.4&amp;sourceID=14","3.4")</f>
        <v>3.4</v>
      </c>
      <c r="G12768" s="4" t="str">
        <f>HYPERLINK("http://141.218.60.56/~jnz1568/getInfo.php?workbook=10_05.xlsx&amp;sheet=U0&amp;row=12768&amp;col=7&amp;number=0.0239&amp;sourceID=14","0.0239")</f>
        <v>0.0239</v>
      </c>
    </row>
    <row r="12769" spans="1:7">
      <c r="A12769" s="3"/>
      <c r="B12769" s="3"/>
      <c r="C12769" s="3"/>
      <c r="D12769" s="3"/>
      <c r="E12769" s="3">
        <v>6</v>
      </c>
      <c r="F12769" s="4" t="str">
        <f>HYPERLINK("http://141.218.60.56/~jnz1568/getInfo.php?workbook=10_05.xlsx&amp;sheet=U0&amp;row=12769&amp;col=6&amp;number=3.5&amp;sourceID=14","3.5")</f>
        <v>3.5</v>
      </c>
      <c r="G12769" s="4" t="str">
        <f>HYPERLINK("http://141.218.60.56/~jnz1568/getInfo.php?workbook=10_05.xlsx&amp;sheet=U0&amp;row=12769&amp;col=7&amp;number=0.0237&amp;sourceID=14","0.0237")</f>
        <v>0.0237</v>
      </c>
    </row>
    <row r="12770" spans="1:7">
      <c r="A12770" s="3"/>
      <c r="B12770" s="3"/>
      <c r="C12770" s="3"/>
      <c r="D12770" s="3"/>
      <c r="E12770" s="3">
        <v>7</v>
      </c>
      <c r="F12770" s="4" t="str">
        <f>HYPERLINK("http://141.218.60.56/~jnz1568/getInfo.php?workbook=10_05.xlsx&amp;sheet=U0&amp;row=12770&amp;col=6&amp;number=3.6&amp;sourceID=14","3.6")</f>
        <v>3.6</v>
      </c>
      <c r="G12770" s="4" t="str">
        <f>HYPERLINK("http://141.218.60.56/~jnz1568/getInfo.php?workbook=10_05.xlsx&amp;sheet=U0&amp;row=12770&amp;col=7&amp;number=0.0234&amp;sourceID=14","0.0234")</f>
        <v>0.0234</v>
      </c>
    </row>
    <row r="12771" spans="1:7">
      <c r="A12771" s="3"/>
      <c r="B12771" s="3"/>
      <c r="C12771" s="3"/>
      <c r="D12771" s="3"/>
      <c r="E12771" s="3">
        <v>8</v>
      </c>
      <c r="F12771" s="4" t="str">
        <f>HYPERLINK("http://141.218.60.56/~jnz1568/getInfo.php?workbook=10_05.xlsx&amp;sheet=U0&amp;row=12771&amp;col=6&amp;number=3.7&amp;sourceID=14","3.7")</f>
        <v>3.7</v>
      </c>
      <c r="G12771" s="4" t="str">
        <f>HYPERLINK("http://141.218.60.56/~jnz1568/getInfo.php?workbook=10_05.xlsx&amp;sheet=U0&amp;row=12771&amp;col=7&amp;number=0.0231&amp;sourceID=14","0.0231")</f>
        <v>0.0231</v>
      </c>
    </row>
    <row r="12772" spans="1:7">
      <c r="A12772" s="3"/>
      <c r="B12772" s="3"/>
      <c r="C12772" s="3"/>
      <c r="D12772" s="3"/>
      <c r="E12772" s="3">
        <v>9</v>
      </c>
      <c r="F12772" s="4" t="str">
        <f>HYPERLINK("http://141.218.60.56/~jnz1568/getInfo.php?workbook=10_05.xlsx&amp;sheet=U0&amp;row=12772&amp;col=6&amp;number=3.8&amp;sourceID=14","3.8")</f>
        <v>3.8</v>
      </c>
      <c r="G12772" s="4" t="str">
        <f>HYPERLINK("http://141.218.60.56/~jnz1568/getInfo.php?workbook=10_05.xlsx&amp;sheet=U0&amp;row=12772&amp;col=7&amp;number=0.0227&amp;sourceID=14","0.0227")</f>
        <v>0.0227</v>
      </c>
    </row>
    <row r="12773" spans="1:7">
      <c r="A12773" s="3"/>
      <c r="B12773" s="3"/>
      <c r="C12773" s="3"/>
      <c r="D12773" s="3"/>
      <c r="E12773" s="3">
        <v>10</v>
      </c>
      <c r="F12773" s="4" t="str">
        <f>HYPERLINK("http://141.218.60.56/~jnz1568/getInfo.php?workbook=10_05.xlsx&amp;sheet=U0&amp;row=12773&amp;col=6&amp;number=3.9&amp;sourceID=14","3.9")</f>
        <v>3.9</v>
      </c>
      <c r="G12773" s="4" t="str">
        <f>HYPERLINK("http://141.218.60.56/~jnz1568/getInfo.php?workbook=10_05.xlsx&amp;sheet=U0&amp;row=12773&amp;col=7&amp;number=0.0222&amp;sourceID=14","0.0222")</f>
        <v>0.0222</v>
      </c>
    </row>
    <row r="12774" spans="1:7">
      <c r="A12774" s="3"/>
      <c r="B12774" s="3"/>
      <c r="C12774" s="3"/>
      <c r="D12774" s="3"/>
      <c r="E12774" s="3">
        <v>11</v>
      </c>
      <c r="F12774" s="4" t="str">
        <f>HYPERLINK("http://141.218.60.56/~jnz1568/getInfo.php?workbook=10_05.xlsx&amp;sheet=U0&amp;row=12774&amp;col=6&amp;number=4&amp;sourceID=14","4")</f>
        <v>4</v>
      </c>
      <c r="G12774" s="4" t="str">
        <f>HYPERLINK("http://141.218.60.56/~jnz1568/getInfo.php?workbook=10_05.xlsx&amp;sheet=U0&amp;row=12774&amp;col=7&amp;number=0.0216&amp;sourceID=14","0.0216")</f>
        <v>0.0216</v>
      </c>
    </row>
    <row r="12775" spans="1:7">
      <c r="A12775" s="3"/>
      <c r="B12775" s="3"/>
      <c r="C12775" s="3"/>
      <c r="D12775" s="3"/>
      <c r="E12775" s="3">
        <v>12</v>
      </c>
      <c r="F12775" s="4" t="str">
        <f>HYPERLINK("http://141.218.60.56/~jnz1568/getInfo.php?workbook=10_05.xlsx&amp;sheet=U0&amp;row=12775&amp;col=6&amp;number=4.1&amp;sourceID=14","4.1")</f>
        <v>4.1</v>
      </c>
      <c r="G12775" s="4" t="str">
        <f>HYPERLINK("http://141.218.60.56/~jnz1568/getInfo.php?workbook=10_05.xlsx&amp;sheet=U0&amp;row=12775&amp;col=7&amp;number=0.0209&amp;sourceID=14","0.0209")</f>
        <v>0.0209</v>
      </c>
    </row>
    <row r="12776" spans="1:7">
      <c r="A12776" s="3"/>
      <c r="B12776" s="3"/>
      <c r="C12776" s="3"/>
      <c r="D12776" s="3"/>
      <c r="E12776" s="3">
        <v>13</v>
      </c>
      <c r="F12776" s="4" t="str">
        <f>HYPERLINK("http://141.218.60.56/~jnz1568/getInfo.php?workbook=10_05.xlsx&amp;sheet=U0&amp;row=12776&amp;col=6&amp;number=4.2&amp;sourceID=14","4.2")</f>
        <v>4.2</v>
      </c>
      <c r="G12776" s="4" t="str">
        <f>HYPERLINK("http://141.218.60.56/~jnz1568/getInfo.php?workbook=10_05.xlsx&amp;sheet=U0&amp;row=12776&amp;col=7&amp;number=0.0201&amp;sourceID=14","0.0201")</f>
        <v>0.0201</v>
      </c>
    </row>
    <row r="12777" spans="1:7">
      <c r="A12777" s="3"/>
      <c r="B12777" s="3"/>
      <c r="C12777" s="3"/>
      <c r="D12777" s="3"/>
      <c r="E12777" s="3">
        <v>14</v>
      </c>
      <c r="F12777" s="4" t="str">
        <f>HYPERLINK("http://141.218.60.56/~jnz1568/getInfo.php?workbook=10_05.xlsx&amp;sheet=U0&amp;row=12777&amp;col=6&amp;number=4.3&amp;sourceID=14","4.3")</f>
        <v>4.3</v>
      </c>
      <c r="G12777" s="4" t="str">
        <f>HYPERLINK("http://141.218.60.56/~jnz1568/getInfo.php?workbook=10_05.xlsx&amp;sheet=U0&amp;row=12777&amp;col=7&amp;number=0.0191&amp;sourceID=14","0.0191")</f>
        <v>0.0191</v>
      </c>
    </row>
    <row r="12778" spans="1:7">
      <c r="A12778" s="3"/>
      <c r="B12778" s="3"/>
      <c r="C12778" s="3"/>
      <c r="D12778" s="3"/>
      <c r="E12778" s="3">
        <v>15</v>
      </c>
      <c r="F12778" s="4" t="str">
        <f>HYPERLINK("http://141.218.60.56/~jnz1568/getInfo.php?workbook=10_05.xlsx&amp;sheet=U0&amp;row=12778&amp;col=6&amp;number=4.4&amp;sourceID=14","4.4")</f>
        <v>4.4</v>
      </c>
      <c r="G12778" s="4" t="str">
        <f>HYPERLINK("http://141.218.60.56/~jnz1568/getInfo.php?workbook=10_05.xlsx&amp;sheet=U0&amp;row=12778&amp;col=7&amp;number=0.0181&amp;sourceID=14","0.0181")</f>
        <v>0.0181</v>
      </c>
    </row>
    <row r="12779" spans="1:7">
      <c r="A12779" s="3"/>
      <c r="B12779" s="3"/>
      <c r="C12779" s="3"/>
      <c r="D12779" s="3"/>
      <c r="E12779" s="3">
        <v>16</v>
      </c>
      <c r="F12779" s="4" t="str">
        <f>HYPERLINK("http://141.218.60.56/~jnz1568/getInfo.php?workbook=10_05.xlsx&amp;sheet=U0&amp;row=12779&amp;col=6&amp;number=4.5&amp;sourceID=14","4.5")</f>
        <v>4.5</v>
      </c>
      <c r="G12779" s="4" t="str">
        <f>HYPERLINK("http://141.218.60.56/~jnz1568/getInfo.php?workbook=10_05.xlsx&amp;sheet=U0&amp;row=12779&amp;col=7&amp;number=0.0171&amp;sourceID=14","0.0171")</f>
        <v>0.0171</v>
      </c>
    </row>
    <row r="12780" spans="1:7">
      <c r="A12780" s="3"/>
      <c r="B12780" s="3"/>
      <c r="C12780" s="3"/>
      <c r="D12780" s="3"/>
      <c r="E12780" s="3">
        <v>17</v>
      </c>
      <c r="F12780" s="4" t="str">
        <f>HYPERLINK("http://141.218.60.56/~jnz1568/getInfo.php?workbook=10_05.xlsx&amp;sheet=U0&amp;row=12780&amp;col=6&amp;number=4.6&amp;sourceID=14","4.6")</f>
        <v>4.6</v>
      </c>
      <c r="G12780" s="4" t="str">
        <f>HYPERLINK("http://141.218.60.56/~jnz1568/getInfo.php?workbook=10_05.xlsx&amp;sheet=U0&amp;row=12780&amp;col=7&amp;number=0.0162&amp;sourceID=14","0.0162")</f>
        <v>0.0162</v>
      </c>
    </row>
    <row r="12781" spans="1:7">
      <c r="A12781" s="3"/>
      <c r="B12781" s="3"/>
      <c r="C12781" s="3"/>
      <c r="D12781" s="3"/>
      <c r="E12781" s="3">
        <v>18</v>
      </c>
      <c r="F12781" s="4" t="str">
        <f>HYPERLINK("http://141.218.60.56/~jnz1568/getInfo.php?workbook=10_05.xlsx&amp;sheet=U0&amp;row=12781&amp;col=6&amp;number=4.7&amp;sourceID=14","4.7")</f>
        <v>4.7</v>
      </c>
      <c r="G12781" s="4" t="str">
        <f>HYPERLINK("http://141.218.60.56/~jnz1568/getInfo.php?workbook=10_05.xlsx&amp;sheet=U0&amp;row=12781&amp;col=7&amp;number=0.0155&amp;sourceID=14","0.0155")</f>
        <v>0.0155</v>
      </c>
    </row>
    <row r="12782" spans="1:7">
      <c r="A12782" s="3"/>
      <c r="B12782" s="3"/>
      <c r="C12782" s="3"/>
      <c r="D12782" s="3"/>
      <c r="E12782" s="3">
        <v>19</v>
      </c>
      <c r="F12782" s="4" t="str">
        <f>HYPERLINK("http://141.218.60.56/~jnz1568/getInfo.php?workbook=10_05.xlsx&amp;sheet=U0&amp;row=12782&amp;col=6&amp;number=4.8&amp;sourceID=14","4.8")</f>
        <v>4.8</v>
      </c>
      <c r="G12782" s="4" t="str">
        <f>HYPERLINK("http://141.218.60.56/~jnz1568/getInfo.php?workbook=10_05.xlsx&amp;sheet=U0&amp;row=12782&amp;col=7&amp;number=0.0148&amp;sourceID=14","0.0148")</f>
        <v>0.0148</v>
      </c>
    </row>
    <row r="12783" spans="1:7">
      <c r="A12783" s="3"/>
      <c r="B12783" s="3"/>
      <c r="C12783" s="3"/>
      <c r="D12783" s="3"/>
      <c r="E12783" s="3">
        <v>20</v>
      </c>
      <c r="F12783" s="4" t="str">
        <f>HYPERLINK("http://141.218.60.56/~jnz1568/getInfo.php?workbook=10_05.xlsx&amp;sheet=U0&amp;row=12783&amp;col=6&amp;number=4.9&amp;sourceID=14","4.9")</f>
        <v>4.9</v>
      </c>
      <c r="G12783" s="4" t="str">
        <f>HYPERLINK("http://141.218.60.56/~jnz1568/getInfo.php?workbook=10_05.xlsx&amp;sheet=U0&amp;row=12783&amp;col=7&amp;number=0.0141&amp;sourceID=14","0.0141")</f>
        <v>0.0141</v>
      </c>
    </row>
    <row r="12784" spans="1:7">
      <c r="A12784" s="3">
        <v>10</v>
      </c>
      <c r="B12784" s="3">
        <v>5</v>
      </c>
      <c r="C12784" s="3">
        <v>4</v>
      </c>
      <c r="D12784" s="3">
        <v>110</v>
      </c>
      <c r="E12784" s="3">
        <v>1</v>
      </c>
      <c r="F12784" s="4" t="str">
        <f>HYPERLINK("http://141.218.60.56/~jnz1568/getInfo.php?workbook=10_05.xlsx&amp;sheet=U0&amp;row=12784&amp;col=6&amp;number=3&amp;sourceID=14","3")</f>
        <v>3</v>
      </c>
      <c r="G12784" s="4" t="str">
        <f>HYPERLINK("http://141.218.60.56/~jnz1568/getInfo.php?workbook=10_05.xlsx&amp;sheet=U0&amp;row=12784&amp;col=7&amp;number=0.0201&amp;sourceID=14","0.0201")</f>
        <v>0.0201</v>
      </c>
    </row>
    <row r="12785" spans="1:7">
      <c r="A12785" s="3"/>
      <c r="B12785" s="3"/>
      <c r="C12785" s="3"/>
      <c r="D12785" s="3"/>
      <c r="E12785" s="3">
        <v>2</v>
      </c>
      <c r="F12785" s="4" t="str">
        <f>HYPERLINK("http://141.218.60.56/~jnz1568/getInfo.php?workbook=10_05.xlsx&amp;sheet=U0&amp;row=12785&amp;col=6&amp;number=3.1&amp;sourceID=14","3.1")</f>
        <v>3.1</v>
      </c>
      <c r="G12785" s="4" t="str">
        <f>HYPERLINK("http://141.218.60.56/~jnz1568/getInfo.php?workbook=10_05.xlsx&amp;sheet=U0&amp;row=12785&amp;col=7&amp;number=0.02&amp;sourceID=14","0.02")</f>
        <v>0.02</v>
      </c>
    </row>
    <row r="12786" spans="1:7">
      <c r="A12786" s="3"/>
      <c r="B12786" s="3"/>
      <c r="C12786" s="3"/>
      <c r="D12786" s="3"/>
      <c r="E12786" s="3">
        <v>3</v>
      </c>
      <c r="F12786" s="4" t="str">
        <f>HYPERLINK("http://141.218.60.56/~jnz1568/getInfo.php?workbook=10_05.xlsx&amp;sheet=U0&amp;row=12786&amp;col=6&amp;number=3.2&amp;sourceID=14","3.2")</f>
        <v>3.2</v>
      </c>
      <c r="G12786" s="4" t="str">
        <f>HYPERLINK("http://141.218.60.56/~jnz1568/getInfo.php?workbook=10_05.xlsx&amp;sheet=U0&amp;row=12786&amp;col=7&amp;number=0.0199&amp;sourceID=14","0.0199")</f>
        <v>0.0199</v>
      </c>
    </row>
    <row r="12787" spans="1:7">
      <c r="A12787" s="3"/>
      <c r="B12787" s="3"/>
      <c r="C12787" s="3"/>
      <c r="D12787" s="3"/>
      <c r="E12787" s="3">
        <v>4</v>
      </c>
      <c r="F12787" s="4" t="str">
        <f>HYPERLINK("http://141.218.60.56/~jnz1568/getInfo.php?workbook=10_05.xlsx&amp;sheet=U0&amp;row=12787&amp;col=6&amp;number=3.3&amp;sourceID=14","3.3")</f>
        <v>3.3</v>
      </c>
      <c r="G12787" s="4" t="str">
        <f>HYPERLINK("http://141.218.60.56/~jnz1568/getInfo.php?workbook=10_05.xlsx&amp;sheet=U0&amp;row=12787&amp;col=7&amp;number=0.0198&amp;sourceID=14","0.0198")</f>
        <v>0.0198</v>
      </c>
    </row>
    <row r="12788" spans="1:7">
      <c r="A12788" s="3"/>
      <c r="B12788" s="3"/>
      <c r="C12788" s="3"/>
      <c r="D12788" s="3"/>
      <c r="E12788" s="3">
        <v>5</v>
      </c>
      <c r="F12788" s="4" t="str">
        <f>HYPERLINK("http://141.218.60.56/~jnz1568/getInfo.php?workbook=10_05.xlsx&amp;sheet=U0&amp;row=12788&amp;col=6&amp;number=3.4&amp;sourceID=14","3.4")</f>
        <v>3.4</v>
      </c>
      <c r="G12788" s="4" t="str">
        <f>HYPERLINK("http://141.218.60.56/~jnz1568/getInfo.php?workbook=10_05.xlsx&amp;sheet=U0&amp;row=12788&amp;col=7&amp;number=0.0196&amp;sourceID=14","0.0196")</f>
        <v>0.0196</v>
      </c>
    </row>
    <row r="12789" spans="1:7">
      <c r="A12789" s="3"/>
      <c r="B12789" s="3"/>
      <c r="C12789" s="3"/>
      <c r="D12789" s="3"/>
      <c r="E12789" s="3">
        <v>6</v>
      </c>
      <c r="F12789" s="4" t="str">
        <f>HYPERLINK("http://141.218.60.56/~jnz1568/getInfo.php?workbook=10_05.xlsx&amp;sheet=U0&amp;row=12789&amp;col=6&amp;number=3.5&amp;sourceID=14","3.5")</f>
        <v>3.5</v>
      </c>
      <c r="G12789" s="4" t="str">
        <f>HYPERLINK("http://141.218.60.56/~jnz1568/getInfo.php?workbook=10_05.xlsx&amp;sheet=U0&amp;row=12789&amp;col=7&amp;number=0.0194&amp;sourceID=14","0.0194")</f>
        <v>0.0194</v>
      </c>
    </row>
    <row r="12790" spans="1:7">
      <c r="A12790" s="3"/>
      <c r="B12790" s="3"/>
      <c r="C12790" s="3"/>
      <c r="D12790" s="3"/>
      <c r="E12790" s="3">
        <v>7</v>
      </c>
      <c r="F12790" s="4" t="str">
        <f>HYPERLINK("http://141.218.60.56/~jnz1568/getInfo.php?workbook=10_05.xlsx&amp;sheet=U0&amp;row=12790&amp;col=6&amp;number=3.6&amp;sourceID=14","3.6")</f>
        <v>3.6</v>
      </c>
      <c r="G12790" s="4" t="str">
        <f>HYPERLINK("http://141.218.60.56/~jnz1568/getInfo.php?workbook=10_05.xlsx&amp;sheet=U0&amp;row=12790&amp;col=7&amp;number=0.0191&amp;sourceID=14","0.0191")</f>
        <v>0.0191</v>
      </c>
    </row>
    <row r="12791" spans="1:7">
      <c r="A12791" s="3"/>
      <c r="B12791" s="3"/>
      <c r="C12791" s="3"/>
      <c r="D12791" s="3"/>
      <c r="E12791" s="3">
        <v>8</v>
      </c>
      <c r="F12791" s="4" t="str">
        <f>HYPERLINK("http://141.218.60.56/~jnz1568/getInfo.php?workbook=10_05.xlsx&amp;sheet=U0&amp;row=12791&amp;col=6&amp;number=3.7&amp;sourceID=14","3.7")</f>
        <v>3.7</v>
      </c>
      <c r="G12791" s="4" t="str">
        <f>HYPERLINK("http://141.218.60.56/~jnz1568/getInfo.php?workbook=10_05.xlsx&amp;sheet=U0&amp;row=12791&amp;col=7&amp;number=0.0187&amp;sourceID=14","0.0187")</f>
        <v>0.0187</v>
      </c>
    </row>
    <row r="12792" spans="1:7">
      <c r="A12792" s="3"/>
      <c r="B12792" s="3"/>
      <c r="C12792" s="3"/>
      <c r="D12792" s="3"/>
      <c r="E12792" s="3">
        <v>9</v>
      </c>
      <c r="F12792" s="4" t="str">
        <f>HYPERLINK("http://141.218.60.56/~jnz1568/getInfo.php?workbook=10_05.xlsx&amp;sheet=U0&amp;row=12792&amp;col=6&amp;number=3.8&amp;sourceID=14","3.8")</f>
        <v>3.8</v>
      </c>
      <c r="G12792" s="4" t="str">
        <f>HYPERLINK("http://141.218.60.56/~jnz1568/getInfo.php?workbook=10_05.xlsx&amp;sheet=U0&amp;row=12792&amp;col=7&amp;number=0.0183&amp;sourceID=14","0.0183")</f>
        <v>0.0183</v>
      </c>
    </row>
    <row r="12793" spans="1:7">
      <c r="A12793" s="3"/>
      <c r="B12793" s="3"/>
      <c r="C12793" s="3"/>
      <c r="D12793" s="3"/>
      <c r="E12793" s="3">
        <v>10</v>
      </c>
      <c r="F12793" s="4" t="str">
        <f>HYPERLINK("http://141.218.60.56/~jnz1568/getInfo.php?workbook=10_05.xlsx&amp;sheet=U0&amp;row=12793&amp;col=6&amp;number=3.9&amp;sourceID=14","3.9")</f>
        <v>3.9</v>
      </c>
      <c r="G12793" s="4" t="str">
        <f>HYPERLINK("http://141.218.60.56/~jnz1568/getInfo.php?workbook=10_05.xlsx&amp;sheet=U0&amp;row=12793&amp;col=7&amp;number=0.0178&amp;sourceID=14","0.0178")</f>
        <v>0.0178</v>
      </c>
    </row>
    <row r="12794" spans="1:7">
      <c r="A12794" s="3"/>
      <c r="B12794" s="3"/>
      <c r="C12794" s="3"/>
      <c r="D12794" s="3"/>
      <c r="E12794" s="3">
        <v>11</v>
      </c>
      <c r="F12794" s="4" t="str">
        <f>HYPERLINK("http://141.218.60.56/~jnz1568/getInfo.php?workbook=10_05.xlsx&amp;sheet=U0&amp;row=12794&amp;col=6&amp;number=4&amp;sourceID=14","4")</f>
        <v>4</v>
      </c>
      <c r="G12794" s="4" t="str">
        <f>HYPERLINK("http://141.218.60.56/~jnz1568/getInfo.php?workbook=10_05.xlsx&amp;sheet=U0&amp;row=12794&amp;col=7&amp;number=0.0172&amp;sourceID=14","0.0172")</f>
        <v>0.0172</v>
      </c>
    </row>
    <row r="12795" spans="1:7">
      <c r="A12795" s="3"/>
      <c r="B12795" s="3"/>
      <c r="C12795" s="3"/>
      <c r="D12795" s="3"/>
      <c r="E12795" s="3">
        <v>12</v>
      </c>
      <c r="F12795" s="4" t="str">
        <f>HYPERLINK("http://141.218.60.56/~jnz1568/getInfo.php?workbook=10_05.xlsx&amp;sheet=U0&amp;row=12795&amp;col=6&amp;number=4.1&amp;sourceID=14","4.1")</f>
        <v>4.1</v>
      </c>
      <c r="G12795" s="4" t="str">
        <f>HYPERLINK("http://141.218.60.56/~jnz1568/getInfo.php?workbook=10_05.xlsx&amp;sheet=U0&amp;row=12795&amp;col=7&amp;number=0.0164&amp;sourceID=14","0.0164")</f>
        <v>0.0164</v>
      </c>
    </row>
    <row r="12796" spans="1:7">
      <c r="A12796" s="3"/>
      <c r="B12796" s="3"/>
      <c r="C12796" s="3"/>
      <c r="D12796" s="3"/>
      <c r="E12796" s="3">
        <v>13</v>
      </c>
      <c r="F12796" s="4" t="str">
        <f>HYPERLINK("http://141.218.60.56/~jnz1568/getInfo.php?workbook=10_05.xlsx&amp;sheet=U0&amp;row=12796&amp;col=6&amp;number=4.2&amp;sourceID=14","4.2")</f>
        <v>4.2</v>
      </c>
      <c r="G12796" s="4" t="str">
        <f>HYPERLINK("http://141.218.60.56/~jnz1568/getInfo.php?workbook=10_05.xlsx&amp;sheet=U0&amp;row=12796&amp;col=7&amp;number=0.0156&amp;sourceID=14","0.0156")</f>
        <v>0.0156</v>
      </c>
    </row>
    <row r="12797" spans="1:7">
      <c r="A12797" s="3"/>
      <c r="B12797" s="3"/>
      <c r="C12797" s="3"/>
      <c r="D12797" s="3"/>
      <c r="E12797" s="3">
        <v>14</v>
      </c>
      <c r="F12797" s="4" t="str">
        <f>HYPERLINK("http://141.218.60.56/~jnz1568/getInfo.php?workbook=10_05.xlsx&amp;sheet=U0&amp;row=12797&amp;col=6&amp;number=4.3&amp;sourceID=14","4.3")</f>
        <v>4.3</v>
      </c>
      <c r="G12797" s="4" t="str">
        <f>HYPERLINK("http://141.218.60.56/~jnz1568/getInfo.php?workbook=10_05.xlsx&amp;sheet=U0&amp;row=12797&amp;col=7&amp;number=0.0146&amp;sourceID=14","0.0146")</f>
        <v>0.0146</v>
      </c>
    </row>
    <row r="12798" spans="1:7">
      <c r="A12798" s="3"/>
      <c r="B12798" s="3"/>
      <c r="C12798" s="3"/>
      <c r="D12798" s="3"/>
      <c r="E12798" s="3">
        <v>15</v>
      </c>
      <c r="F12798" s="4" t="str">
        <f>HYPERLINK("http://141.218.60.56/~jnz1568/getInfo.php?workbook=10_05.xlsx&amp;sheet=U0&amp;row=12798&amp;col=6&amp;number=4.4&amp;sourceID=14","4.4")</f>
        <v>4.4</v>
      </c>
      <c r="G12798" s="4" t="str">
        <f>HYPERLINK("http://141.218.60.56/~jnz1568/getInfo.php?workbook=10_05.xlsx&amp;sheet=U0&amp;row=12798&amp;col=7&amp;number=0.0135&amp;sourceID=14","0.0135")</f>
        <v>0.0135</v>
      </c>
    </row>
    <row r="12799" spans="1:7">
      <c r="A12799" s="3"/>
      <c r="B12799" s="3"/>
      <c r="C12799" s="3"/>
      <c r="D12799" s="3"/>
      <c r="E12799" s="3">
        <v>16</v>
      </c>
      <c r="F12799" s="4" t="str">
        <f>HYPERLINK("http://141.218.60.56/~jnz1568/getInfo.php?workbook=10_05.xlsx&amp;sheet=U0&amp;row=12799&amp;col=6&amp;number=4.5&amp;sourceID=14","4.5")</f>
        <v>4.5</v>
      </c>
      <c r="G12799" s="4" t="str">
        <f>HYPERLINK("http://141.218.60.56/~jnz1568/getInfo.php?workbook=10_05.xlsx&amp;sheet=U0&amp;row=12799&amp;col=7&amp;number=0.0123&amp;sourceID=14","0.0123")</f>
        <v>0.0123</v>
      </c>
    </row>
    <row r="12800" spans="1:7">
      <c r="A12800" s="3"/>
      <c r="B12800" s="3"/>
      <c r="C12800" s="3"/>
      <c r="D12800" s="3"/>
      <c r="E12800" s="3">
        <v>17</v>
      </c>
      <c r="F12800" s="4" t="str">
        <f>HYPERLINK("http://141.218.60.56/~jnz1568/getInfo.php?workbook=10_05.xlsx&amp;sheet=U0&amp;row=12800&amp;col=6&amp;number=4.6&amp;sourceID=14","4.6")</f>
        <v>4.6</v>
      </c>
      <c r="G12800" s="4" t="str">
        <f>HYPERLINK("http://141.218.60.56/~jnz1568/getInfo.php?workbook=10_05.xlsx&amp;sheet=U0&amp;row=12800&amp;col=7&amp;number=0.0111&amp;sourceID=14","0.0111")</f>
        <v>0.0111</v>
      </c>
    </row>
    <row r="12801" spans="1:7">
      <c r="A12801" s="3"/>
      <c r="B12801" s="3"/>
      <c r="C12801" s="3"/>
      <c r="D12801" s="3"/>
      <c r="E12801" s="3">
        <v>18</v>
      </c>
      <c r="F12801" s="4" t="str">
        <f>HYPERLINK("http://141.218.60.56/~jnz1568/getInfo.php?workbook=10_05.xlsx&amp;sheet=U0&amp;row=12801&amp;col=6&amp;number=4.7&amp;sourceID=14","4.7")</f>
        <v>4.7</v>
      </c>
      <c r="G12801" s="4" t="str">
        <f>HYPERLINK("http://141.218.60.56/~jnz1568/getInfo.php?workbook=10_05.xlsx&amp;sheet=U0&amp;row=12801&amp;col=7&amp;number=0.00996&amp;sourceID=14","0.00996")</f>
        <v>0.00996</v>
      </c>
    </row>
    <row r="12802" spans="1:7">
      <c r="A12802" s="3"/>
      <c r="B12802" s="3"/>
      <c r="C12802" s="3"/>
      <c r="D12802" s="3"/>
      <c r="E12802" s="3">
        <v>19</v>
      </c>
      <c r="F12802" s="4" t="str">
        <f>HYPERLINK("http://141.218.60.56/~jnz1568/getInfo.php?workbook=10_05.xlsx&amp;sheet=U0&amp;row=12802&amp;col=6&amp;number=4.8&amp;sourceID=14","4.8")</f>
        <v>4.8</v>
      </c>
      <c r="G12802" s="4" t="str">
        <f>HYPERLINK("http://141.218.60.56/~jnz1568/getInfo.php?workbook=10_05.xlsx&amp;sheet=U0&amp;row=12802&amp;col=7&amp;number=0.00898&amp;sourceID=14","0.00898")</f>
        <v>0.00898</v>
      </c>
    </row>
    <row r="12803" spans="1:7">
      <c r="A12803" s="3"/>
      <c r="B12803" s="3"/>
      <c r="C12803" s="3"/>
      <c r="D12803" s="3"/>
      <c r="E12803" s="3">
        <v>20</v>
      </c>
      <c r="F12803" s="4" t="str">
        <f>HYPERLINK("http://141.218.60.56/~jnz1568/getInfo.php?workbook=10_05.xlsx&amp;sheet=U0&amp;row=12803&amp;col=6&amp;number=4.9&amp;sourceID=14","4.9")</f>
        <v>4.9</v>
      </c>
      <c r="G12803" s="4" t="str">
        <f>HYPERLINK("http://141.218.60.56/~jnz1568/getInfo.php?workbook=10_05.xlsx&amp;sheet=U0&amp;row=12803&amp;col=7&amp;number=0.00815&amp;sourceID=14","0.00815")</f>
        <v>0.00815</v>
      </c>
    </row>
    <row r="12804" spans="1:7">
      <c r="A12804" s="3">
        <v>10</v>
      </c>
      <c r="B12804" s="3">
        <v>5</v>
      </c>
      <c r="C12804" s="3">
        <v>4</v>
      </c>
      <c r="D12804" s="3">
        <v>111</v>
      </c>
      <c r="E12804" s="3">
        <v>1</v>
      </c>
      <c r="F12804" s="4" t="str">
        <f>HYPERLINK("http://141.218.60.56/~jnz1568/getInfo.php?workbook=10_05.xlsx&amp;sheet=U0&amp;row=12804&amp;col=6&amp;number=3&amp;sourceID=14","3")</f>
        <v>3</v>
      </c>
      <c r="G12804" s="4" t="str">
        <f>HYPERLINK("http://141.218.60.56/~jnz1568/getInfo.php?workbook=10_05.xlsx&amp;sheet=U0&amp;row=12804&amp;col=7&amp;number=0.0105&amp;sourceID=14","0.0105")</f>
        <v>0.0105</v>
      </c>
    </row>
    <row r="12805" spans="1:7">
      <c r="A12805" s="3"/>
      <c r="B12805" s="3"/>
      <c r="C12805" s="3"/>
      <c r="D12805" s="3"/>
      <c r="E12805" s="3">
        <v>2</v>
      </c>
      <c r="F12805" s="4" t="str">
        <f>HYPERLINK("http://141.218.60.56/~jnz1568/getInfo.php?workbook=10_05.xlsx&amp;sheet=U0&amp;row=12805&amp;col=6&amp;number=3.1&amp;sourceID=14","3.1")</f>
        <v>3.1</v>
      </c>
      <c r="G12805" s="4" t="str">
        <f>HYPERLINK("http://141.218.60.56/~jnz1568/getInfo.php?workbook=10_05.xlsx&amp;sheet=U0&amp;row=12805&amp;col=7&amp;number=0.0105&amp;sourceID=14","0.0105")</f>
        <v>0.0105</v>
      </c>
    </row>
    <row r="12806" spans="1:7">
      <c r="A12806" s="3"/>
      <c r="B12806" s="3"/>
      <c r="C12806" s="3"/>
      <c r="D12806" s="3"/>
      <c r="E12806" s="3">
        <v>3</v>
      </c>
      <c r="F12806" s="4" t="str">
        <f>HYPERLINK("http://141.218.60.56/~jnz1568/getInfo.php?workbook=10_05.xlsx&amp;sheet=U0&amp;row=12806&amp;col=6&amp;number=3.2&amp;sourceID=14","3.2")</f>
        <v>3.2</v>
      </c>
      <c r="G12806" s="4" t="str">
        <f>HYPERLINK("http://141.218.60.56/~jnz1568/getInfo.php?workbook=10_05.xlsx&amp;sheet=U0&amp;row=12806&amp;col=7&amp;number=0.0104&amp;sourceID=14","0.0104")</f>
        <v>0.0104</v>
      </c>
    </row>
    <row r="12807" spans="1:7">
      <c r="A12807" s="3"/>
      <c r="B12807" s="3"/>
      <c r="C12807" s="3"/>
      <c r="D12807" s="3"/>
      <c r="E12807" s="3">
        <v>4</v>
      </c>
      <c r="F12807" s="4" t="str">
        <f>HYPERLINK("http://141.218.60.56/~jnz1568/getInfo.php?workbook=10_05.xlsx&amp;sheet=U0&amp;row=12807&amp;col=6&amp;number=3.3&amp;sourceID=14","3.3")</f>
        <v>3.3</v>
      </c>
      <c r="G12807" s="4" t="str">
        <f>HYPERLINK("http://141.218.60.56/~jnz1568/getInfo.php?workbook=10_05.xlsx&amp;sheet=U0&amp;row=12807&amp;col=7&amp;number=0.0103&amp;sourceID=14","0.0103")</f>
        <v>0.0103</v>
      </c>
    </row>
    <row r="12808" spans="1:7">
      <c r="A12808" s="3"/>
      <c r="B12808" s="3"/>
      <c r="C12808" s="3"/>
      <c r="D12808" s="3"/>
      <c r="E12808" s="3">
        <v>5</v>
      </c>
      <c r="F12808" s="4" t="str">
        <f>HYPERLINK("http://141.218.60.56/~jnz1568/getInfo.php?workbook=10_05.xlsx&amp;sheet=U0&amp;row=12808&amp;col=6&amp;number=3.4&amp;sourceID=14","3.4")</f>
        <v>3.4</v>
      </c>
      <c r="G12808" s="4" t="str">
        <f>HYPERLINK("http://141.218.60.56/~jnz1568/getInfo.php?workbook=10_05.xlsx&amp;sheet=U0&amp;row=12808&amp;col=7&amp;number=0.0102&amp;sourceID=14","0.0102")</f>
        <v>0.0102</v>
      </c>
    </row>
    <row r="12809" spans="1:7">
      <c r="A12809" s="3"/>
      <c r="B12809" s="3"/>
      <c r="C12809" s="3"/>
      <c r="D12809" s="3"/>
      <c r="E12809" s="3">
        <v>6</v>
      </c>
      <c r="F12809" s="4" t="str">
        <f>HYPERLINK("http://141.218.60.56/~jnz1568/getInfo.php?workbook=10_05.xlsx&amp;sheet=U0&amp;row=12809&amp;col=6&amp;number=3.5&amp;sourceID=14","3.5")</f>
        <v>3.5</v>
      </c>
      <c r="G12809" s="4" t="str">
        <f>HYPERLINK("http://141.218.60.56/~jnz1568/getInfo.php?workbook=10_05.xlsx&amp;sheet=U0&amp;row=12809&amp;col=7&amp;number=0.0101&amp;sourceID=14","0.0101")</f>
        <v>0.0101</v>
      </c>
    </row>
    <row r="12810" spans="1:7">
      <c r="A12810" s="3"/>
      <c r="B12810" s="3"/>
      <c r="C12810" s="3"/>
      <c r="D12810" s="3"/>
      <c r="E12810" s="3">
        <v>7</v>
      </c>
      <c r="F12810" s="4" t="str">
        <f>HYPERLINK("http://141.218.60.56/~jnz1568/getInfo.php?workbook=10_05.xlsx&amp;sheet=U0&amp;row=12810&amp;col=6&amp;number=3.6&amp;sourceID=14","3.6")</f>
        <v>3.6</v>
      </c>
      <c r="G12810" s="4" t="str">
        <f>HYPERLINK("http://141.218.60.56/~jnz1568/getInfo.php?workbook=10_05.xlsx&amp;sheet=U0&amp;row=12810&amp;col=7&amp;number=0.00988&amp;sourceID=14","0.00988")</f>
        <v>0.00988</v>
      </c>
    </row>
    <row r="12811" spans="1:7">
      <c r="A12811" s="3"/>
      <c r="B12811" s="3"/>
      <c r="C12811" s="3"/>
      <c r="D12811" s="3"/>
      <c r="E12811" s="3">
        <v>8</v>
      </c>
      <c r="F12811" s="4" t="str">
        <f>HYPERLINK("http://141.218.60.56/~jnz1568/getInfo.php?workbook=10_05.xlsx&amp;sheet=U0&amp;row=12811&amp;col=6&amp;number=3.7&amp;sourceID=14","3.7")</f>
        <v>3.7</v>
      </c>
      <c r="G12811" s="4" t="str">
        <f>HYPERLINK("http://141.218.60.56/~jnz1568/getInfo.php?workbook=10_05.xlsx&amp;sheet=U0&amp;row=12811&amp;col=7&amp;number=0.00967&amp;sourceID=14","0.00967")</f>
        <v>0.00967</v>
      </c>
    </row>
    <row r="12812" spans="1:7">
      <c r="A12812" s="3"/>
      <c r="B12812" s="3"/>
      <c r="C12812" s="3"/>
      <c r="D12812" s="3"/>
      <c r="E12812" s="3">
        <v>9</v>
      </c>
      <c r="F12812" s="4" t="str">
        <f>HYPERLINK("http://141.218.60.56/~jnz1568/getInfo.php?workbook=10_05.xlsx&amp;sheet=U0&amp;row=12812&amp;col=6&amp;number=3.8&amp;sourceID=14","3.8")</f>
        <v>3.8</v>
      </c>
      <c r="G12812" s="4" t="str">
        <f>HYPERLINK("http://141.218.60.56/~jnz1568/getInfo.php?workbook=10_05.xlsx&amp;sheet=U0&amp;row=12812&amp;col=7&amp;number=0.0094&amp;sourceID=14","0.0094")</f>
        <v>0.0094</v>
      </c>
    </row>
    <row r="12813" spans="1:7">
      <c r="A12813" s="3"/>
      <c r="B12813" s="3"/>
      <c r="C12813" s="3"/>
      <c r="D12813" s="3"/>
      <c r="E12813" s="3">
        <v>10</v>
      </c>
      <c r="F12813" s="4" t="str">
        <f>HYPERLINK("http://141.218.60.56/~jnz1568/getInfo.php?workbook=10_05.xlsx&amp;sheet=U0&amp;row=12813&amp;col=6&amp;number=3.9&amp;sourceID=14","3.9")</f>
        <v>3.9</v>
      </c>
      <c r="G12813" s="4" t="str">
        <f>HYPERLINK("http://141.218.60.56/~jnz1568/getInfo.php?workbook=10_05.xlsx&amp;sheet=U0&amp;row=12813&amp;col=7&amp;number=0.00908&amp;sourceID=14","0.00908")</f>
        <v>0.00908</v>
      </c>
    </row>
    <row r="12814" spans="1:7">
      <c r="A12814" s="3"/>
      <c r="B12814" s="3"/>
      <c r="C12814" s="3"/>
      <c r="D12814" s="3"/>
      <c r="E12814" s="3">
        <v>11</v>
      </c>
      <c r="F12814" s="4" t="str">
        <f>HYPERLINK("http://141.218.60.56/~jnz1568/getInfo.php?workbook=10_05.xlsx&amp;sheet=U0&amp;row=12814&amp;col=6&amp;number=4&amp;sourceID=14","4")</f>
        <v>4</v>
      </c>
      <c r="G12814" s="4" t="str">
        <f>HYPERLINK("http://141.218.60.56/~jnz1568/getInfo.php?workbook=10_05.xlsx&amp;sheet=U0&amp;row=12814&amp;col=7&amp;number=0.00869&amp;sourceID=14","0.00869")</f>
        <v>0.00869</v>
      </c>
    </row>
    <row r="12815" spans="1:7">
      <c r="A12815" s="3"/>
      <c r="B12815" s="3"/>
      <c r="C12815" s="3"/>
      <c r="D12815" s="3"/>
      <c r="E12815" s="3">
        <v>12</v>
      </c>
      <c r="F12815" s="4" t="str">
        <f>HYPERLINK("http://141.218.60.56/~jnz1568/getInfo.php?workbook=10_05.xlsx&amp;sheet=U0&amp;row=12815&amp;col=6&amp;number=4.1&amp;sourceID=14","4.1")</f>
        <v>4.1</v>
      </c>
      <c r="G12815" s="4" t="str">
        <f>HYPERLINK("http://141.218.60.56/~jnz1568/getInfo.php?workbook=10_05.xlsx&amp;sheet=U0&amp;row=12815&amp;col=7&amp;number=0.00823&amp;sourceID=14","0.00823")</f>
        <v>0.00823</v>
      </c>
    </row>
    <row r="12816" spans="1:7">
      <c r="A12816" s="3"/>
      <c r="B12816" s="3"/>
      <c r="C12816" s="3"/>
      <c r="D12816" s="3"/>
      <c r="E12816" s="3">
        <v>13</v>
      </c>
      <c r="F12816" s="4" t="str">
        <f>HYPERLINK("http://141.218.60.56/~jnz1568/getInfo.php?workbook=10_05.xlsx&amp;sheet=U0&amp;row=12816&amp;col=6&amp;number=4.2&amp;sourceID=14","4.2")</f>
        <v>4.2</v>
      </c>
      <c r="G12816" s="4" t="str">
        <f>HYPERLINK("http://141.218.60.56/~jnz1568/getInfo.php?workbook=10_05.xlsx&amp;sheet=U0&amp;row=12816&amp;col=7&amp;number=0.0077&amp;sourceID=14","0.0077")</f>
        <v>0.0077</v>
      </c>
    </row>
    <row r="12817" spans="1:7">
      <c r="A12817" s="3"/>
      <c r="B12817" s="3"/>
      <c r="C12817" s="3"/>
      <c r="D12817" s="3"/>
      <c r="E12817" s="3">
        <v>14</v>
      </c>
      <c r="F12817" s="4" t="str">
        <f>HYPERLINK("http://141.218.60.56/~jnz1568/getInfo.php?workbook=10_05.xlsx&amp;sheet=U0&amp;row=12817&amp;col=6&amp;number=4.3&amp;sourceID=14","4.3")</f>
        <v>4.3</v>
      </c>
      <c r="G12817" s="4" t="str">
        <f>HYPERLINK("http://141.218.60.56/~jnz1568/getInfo.php?workbook=10_05.xlsx&amp;sheet=U0&amp;row=12817&amp;col=7&amp;number=0.0071&amp;sourceID=14","0.0071")</f>
        <v>0.0071</v>
      </c>
    </row>
    <row r="12818" spans="1:7">
      <c r="A12818" s="3"/>
      <c r="B12818" s="3"/>
      <c r="C12818" s="3"/>
      <c r="D12818" s="3"/>
      <c r="E12818" s="3">
        <v>15</v>
      </c>
      <c r="F12818" s="4" t="str">
        <f>HYPERLINK("http://141.218.60.56/~jnz1568/getInfo.php?workbook=10_05.xlsx&amp;sheet=U0&amp;row=12818&amp;col=6&amp;number=4.4&amp;sourceID=14","4.4")</f>
        <v>4.4</v>
      </c>
      <c r="G12818" s="4" t="str">
        <f>HYPERLINK("http://141.218.60.56/~jnz1568/getInfo.php?workbook=10_05.xlsx&amp;sheet=U0&amp;row=12818&amp;col=7&amp;number=0.00648&amp;sourceID=14","0.00648")</f>
        <v>0.00648</v>
      </c>
    </row>
    <row r="12819" spans="1:7">
      <c r="A12819" s="3"/>
      <c r="B12819" s="3"/>
      <c r="C12819" s="3"/>
      <c r="D12819" s="3"/>
      <c r="E12819" s="3">
        <v>16</v>
      </c>
      <c r="F12819" s="4" t="str">
        <f>HYPERLINK("http://141.218.60.56/~jnz1568/getInfo.php?workbook=10_05.xlsx&amp;sheet=U0&amp;row=12819&amp;col=6&amp;number=4.5&amp;sourceID=14","4.5")</f>
        <v>4.5</v>
      </c>
      <c r="G12819" s="4" t="str">
        <f>HYPERLINK("http://141.218.60.56/~jnz1568/getInfo.php?workbook=10_05.xlsx&amp;sheet=U0&amp;row=12819&amp;col=7&amp;number=0.0059&amp;sourceID=14","0.0059")</f>
        <v>0.0059</v>
      </c>
    </row>
    <row r="12820" spans="1:7">
      <c r="A12820" s="3"/>
      <c r="B12820" s="3"/>
      <c r="C12820" s="3"/>
      <c r="D12820" s="3"/>
      <c r="E12820" s="3">
        <v>17</v>
      </c>
      <c r="F12820" s="4" t="str">
        <f>HYPERLINK("http://141.218.60.56/~jnz1568/getInfo.php?workbook=10_05.xlsx&amp;sheet=U0&amp;row=12820&amp;col=6&amp;number=4.6&amp;sourceID=14","4.6")</f>
        <v>4.6</v>
      </c>
      <c r="G12820" s="4" t="str">
        <f>HYPERLINK("http://141.218.60.56/~jnz1568/getInfo.php?workbook=10_05.xlsx&amp;sheet=U0&amp;row=12820&amp;col=7&amp;number=0.00541&amp;sourceID=14","0.00541")</f>
        <v>0.00541</v>
      </c>
    </row>
    <row r="12821" spans="1:7">
      <c r="A12821" s="3"/>
      <c r="B12821" s="3"/>
      <c r="C12821" s="3"/>
      <c r="D12821" s="3"/>
      <c r="E12821" s="3">
        <v>18</v>
      </c>
      <c r="F12821" s="4" t="str">
        <f>HYPERLINK("http://141.218.60.56/~jnz1568/getInfo.php?workbook=10_05.xlsx&amp;sheet=U0&amp;row=12821&amp;col=6&amp;number=4.7&amp;sourceID=14","4.7")</f>
        <v>4.7</v>
      </c>
      <c r="G12821" s="4" t="str">
        <f>HYPERLINK("http://141.218.60.56/~jnz1568/getInfo.php?workbook=10_05.xlsx&amp;sheet=U0&amp;row=12821&amp;col=7&amp;number=0.00504&amp;sourceID=14","0.00504")</f>
        <v>0.00504</v>
      </c>
    </row>
    <row r="12822" spans="1:7">
      <c r="A12822" s="3"/>
      <c r="B12822" s="3"/>
      <c r="C12822" s="3"/>
      <c r="D12822" s="3"/>
      <c r="E12822" s="3">
        <v>19</v>
      </c>
      <c r="F12822" s="4" t="str">
        <f>HYPERLINK("http://141.218.60.56/~jnz1568/getInfo.php?workbook=10_05.xlsx&amp;sheet=U0&amp;row=12822&amp;col=6&amp;number=4.8&amp;sourceID=14","4.8")</f>
        <v>4.8</v>
      </c>
      <c r="G12822" s="4" t="str">
        <f>HYPERLINK("http://141.218.60.56/~jnz1568/getInfo.php?workbook=10_05.xlsx&amp;sheet=U0&amp;row=12822&amp;col=7&amp;number=0.00472&amp;sourceID=14","0.00472")</f>
        <v>0.00472</v>
      </c>
    </row>
    <row r="12823" spans="1:7">
      <c r="A12823" s="3"/>
      <c r="B12823" s="3"/>
      <c r="C12823" s="3"/>
      <c r="D12823" s="3"/>
      <c r="E12823" s="3">
        <v>20</v>
      </c>
      <c r="F12823" s="4" t="str">
        <f>HYPERLINK("http://141.218.60.56/~jnz1568/getInfo.php?workbook=10_05.xlsx&amp;sheet=U0&amp;row=12823&amp;col=6&amp;number=4.9&amp;sourceID=14","4.9")</f>
        <v>4.9</v>
      </c>
      <c r="G12823" s="4" t="str">
        <f>HYPERLINK("http://141.218.60.56/~jnz1568/getInfo.php?workbook=10_05.xlsx&amp;sheet=U0&amp;row=12823&amp;col=7&amp;number=0.00438&amp;sourceID=14","0.00438")</f>
        <v>0.00438</v>
      </c>
    </row>
    <row r="12824" spans="1:7">
      <c r="A12824" s="3">
        <v>10</v>
      </c>
      <c r="B12824" s="3">
        <v>5</v>
      </c>
      <c r="C12824" s="3">
        <v>4</v>
      </c>
      <c r="D12824" s="3">
        <v>112</v>
      </c>
      <c r="E12824" s="3">
        <v>1</v>
      </c>
      <c r="F12824" s="4" t="str">
        <f>HYPERLINK("http://141.218.60.56/~jnz1568/getInfo.php?workbook=10_05.xlsx&amp;sheet=U0&amp;row=12824&amp;col=6&amp;number=3&amp;sourceID=14","3")</f>
        <v>3</v>
      </c>
      <c r="G12824" s="4" t="str">
        <f>HYPERLINK("http://141.218.60.56/~jnz1568/getInfo.php?workbook=10_05.xlsx&amp;sheet=U0&amp;row=12824&amp;col=7&amp;number=0.0363&amp;sourceID=14","0.0363")</f>
        <v>0.0363</v>
      </c>
    </row>
    <row r="12825" spans="1:7">
      <c r="A12825" s="3"/>
      <c r="B12825" s="3"/>
      <c r="C12825" s="3"/>
      <c r="D12825" s="3"/>
      <c r="E12825" s="3">
        <v>2</v>
      </c>
      <c r="F12825" s="4" t="str">
        <f>HYPERLINK("http://141.218.60.56/~jnz1568/getInfo.php?workbook=10_05.xlsx&amp;sheet=U0&amp;row=12825&amp;col=6&amp;number=3.1&amp;sourceID=14","3.1")</f>
        <v>3.1</v>
      </c>
      <c r="G12825" s="4" t="str">
        <f>HYPERLINK("http://141.218.60.56/~jnz1568/getInfo.php?workbook=10_05.xlsx&amp;sheet=U0&amp;row=12825&amp;col=7&amp;number=0.0361&amp;sourceID=14","0.0361")</f>
        <v>0.0361</v>
      </c>
    </row>
    <row r="12826" spans="1:7">
      <c r="A12826" s="3"/>
      <c r="B12826" s="3"/>
      <c r="C12826" s="3"/>
      <c r="D12826" s="3"/>
      <c r="E12826" s="3">
        <v>3</v>
      </c>
      <c r="F12826" s="4" t="str">
        <f>HYPERLINK("http://141.218.60.56/~jnz1568/getInfo.php?workbook=10_05.xlsx&amp;sheet=U0&amp;row=12826&amp;col=6&amp;number=3.2&amp;sourceID=14","3.2")</f>
        <v>3.2</v>
      </c>
      <c r="G12826" s="4" t="str">
        <f>HYPERLINK("http://141.218.60.56/~jnz1568/getInfo.php?workbook=10_05.xlsx&amp;sheet=U0&amp;row=12826&amp;col=7&amp;number=0.0358&amp;sourceID=14","0.0358")</f>
        <v>0.0358</v>
      </c>
    </row>
    <row r="12827" spans="1:7">
      <c r="A12827" s="3"/>
      <c r="B12827" s="3"/>
      <c r="C12827" s="3"/>
      <c r="D12827" s="3"/>
      <c r="E12827" s="3">
        <v>4</v>
      </c>
      <c r="F12827" s="4" t="str">
        <f>HYPERLINK("http://141.218.60.56/~jnz1568/getInfo.php?workbook=10_05.xlsx&amp;sheet=U0&amp;row=12827&amp;col=6&amp;number=3.3&amp;sourceID=14","3.3")</f>
        <v>3.3</v>
      </c>
      <c r="G12827" s="4" t="str">
        <f>HYPERLINK("http://141.218.60.56/~jnz1568/getInfo.php?workbook=10_05.xlsx&amp;sheet=U0&amp;row=12827&amp;col=7&amp;number=0.0355&amp;sourceID=14","0.0355")</f>
        <v>0.0355</v>
      </c>
    </row>
    <row r="12828" spans="1:7">
      <c r="A12828" s="3"/>
      <c r="B12828" s="3"/>
      <c r="C12828" s="3"/>
      <c r="D12828" s="3"/>
      <c r="E12828" s="3">
        <v>5</v>
      </c>
      <c r="F12828" s="4" t="str">
        <f>HYPERLINK("http://141.218.60.56/~jnz1568/getInfo.php?workbook=10_05.xlsx&amp;sheet=U0&amp;row=12828&amp;col=6&amp;number=3.4&amp;sourceID=14","3.4")</f>
        <v>3.4</v>
      </c>
      <c r="G12828" s="4" t="str">
        <f>HYPERLINK("http://141.218.60.56/~jnz1568/getInfo.php?workbook=10_05.xlsx&amp;sheet=U0&amp;row=12828&amp;col=7&amp;number=0.0352&amp;sourceID=14","0.0352")</f>
        <v>0.0352</v>
      </c>
    </row>
    <row r="12829" spans="1:7">
      <c r="A12829" s="3"/>
      <c r="B12829" s="3"/>
      <c r="C12829" s="3"/>
      <c r="D12829" s="3"/>
      <c r="E12829" s="3">
        <v>6</v>
      </c>
      <c r="F12829" s="4" t="str">
        <f>HYPERLINK("http://141.218.60.56/~jnz1568/getInfo.php?workbook=10_05.xlsx&amp;sheet=U0&amp;row=12829&amp;col=6&amp;number=3.5&amp;sourceID=14","3.5")</f>
        <v>3.5</v>
      </c>
      <c r="G12829" s="4" t="str">
        <f>HYPERLINK("http://141.218.60.56/~jnz1568/getInfo.php?workbook=10_05.xlsx&amp;sheet=U0&amp;row=12829&amp;col=7&amp;number=0.0347&amp;sourceID=14","0.0347")</f>
        <v>0.0347</v>
      </c>
    </row>
    <row r="12830" spans="1:7">
      <c r="A12830" s="3"/>
      <c r="B12830" s="3"/>
      <c r="C12830" s="3"/>
      <c r="D12830" s="3"/>
      <c r="E12830" s="3">
        <v>7</v>
      </c>
      <c r="F12830" s="4" t="str">
        <f>HYPERLINK("http://141.218.60.56/~jnz1568/getInfo.php?workbook=10_05.xlsx&amp;sheet=U0&amp;row=12830&amp;col=6&amp;number=3.6&amp;sourceID=14","3.6")</f>
        <v>3.6</v>
      </c>
      <c r="G12830" s="4" t="str">
        <f>HYPERLINK("http://141.218.60.56/~jnz1568/getInfo.php?workbook=10_05.xlsx&amp;sheet=U0&amp;row=12830&amp;col=7&amp;number=0.0342&amp;sourceID=14","0.0342")</f>
        <v>0.0342</v>
      </c>
    </row>
    <row r="12831" spans="1:7">
      <c r="A12831" s="3"/>
      <c r="B12831" s="3"/>
      <c r="C12831" s="3"/>
      <c r="D12831" s="3"/>
      <c r="E12831" s="3">
        <v>8</v>
      </c>
      <c r="F12831" s="4" t="str">
        <f>HYPERLINK("http://141.218.60.56/~jnz1568/getInfo.php?workbook=10_05.xlsx&amp;sheet=U0&amp;row=12831&amp;col=6&amp;number=3.7&amp;sourceID=14","3.7")</f>
        <v>3.7</v>
      </c>
      <c r="G12831" s="4" t="str">
        <f>HYPERLINK("http://141.218.60.56/~jnz1568/getInfo.php?workbook=10_05.xlsx&amp;sheet=U0&amp;row=12831&amp;col=7&amp;number=0.0335&amp;sourceID=14","0.0335")</f>
        <v>0.0335</v>
      </c>
    </row>
    <row r="12832" spans="1:7">
      <c r="A12832" s="3"/>
      <c r="B12832" s="3"/>
      <c r="C12832" s="3"/>
      <c r="D12832" s="3"/>
      <c r="E12832" s="3">
        <v>9</v>
      </c>
      <c r="F12832" s="4" t="str">
        <f>HYPERLINK("http://141.218.60.56/~jnz1568/getInfo.php?workbook=10_05.xlsx&amp;sheet=U0&amp;row=12832&amp;col=6&amp;number=3.8&amp;sourceID=14","3.8")</f>
        <v>3.8</v>
      </c>
      <c r="G12832" s="4" t="str">
        <f>HYPERLINK("http://141.218.60.56/~jnz1568/getInfo.php?workbook=10_05.xlsx&amp;sheet=U0&amp;row=12832&amp;col=7&amp;number=0.0326&amp;sourceID=14","0.0326")</f>
        <v>0.0326</v>
      </c>
    </row>
    <row r="12833" spans="1:7">
      <c r="A12833" s="3"/>
      <c r="B12833" s="3"/>
      <c r="C12833" s="3"/>
      <c r="D12833" s="3"/>
      <c r="E12833" s="3">
        <v>10</v>
      </c>
      <c r="F12833" s="4" t="str">
        <f>HYPERLINK("http://141.218.60.56/~jnz1568/getInfo.php?workbook=10_05.xlsx&amp;sheet=U0&amp;row=12833&amp;col=6&amp;number=3.9&amp;sourceID=14","3.9")</f>
        <v>3.9</v>
      </c>
      <c r="G12833" s="4" t="str">
        <f>HYPERLINK("http://141.218.60.56/~jnz1568/getInfo.php?workbook=10_05.xlsx&amp;sheet=U0&amp;row=12833&amp;col=7&amp;number=0.0316&amp;sourceID=14","0.0316")</f>
        <v>0.0316</v>
      </c>
    </row>
    <row r="12834" spans="1:7">
      <c r="A12834" s="3"/>
      <c r="B12834" s="3"/>
      <c r="C12834" s="3"/>
      <c r="D12834" s="3"/>
      <c r="E12834" s="3">
        <v>11</v>
      </c>
      <c r="F12834" s="4" t="str">
        <f>HYPERLINK("http://141.218.60.56/~jnz1568/getInfo.php?workbook=10_05.xlsx&amp;sheet=U0&amp;row=12834&amp;col=6&amp;number=4&amp;sourceID=14","4")</f>
        <v>4</v>
      </c>
      <c r="G12834" s="4" t="str">
        <f>HYPERLINK("http://141.218.60.56/~jnz1568/getInfo.php?workbook=10_05.xlsx&amp;sheet=U0&amp;row=12834&amp;col=7&amp;number=0.0303&amp;sourceID=14","0.0303")</f>
        <v>0.0303</v>
      </c>
    </row>
    <row r="12835" spans="1:7">
      <c r="A12835" s="3"/>
      <c r="B12835" s="3"/>
      <c r="C12835" s="3"/>
      <c r="D12835" s="3"/>
      <c r="E12835" s="3">
        <v>12</v>
      </c>
      <c r="F12835" s="4" t="str">
        <f>HYPERLINK("http://141.218.60.56/~jnz1568/getInfo.php?workbook=10_05.xlsx&amp;sheet=U0&amp;row=12835&amp;col=6&amp;number=4.1&amp;sourceID=14","4.1")</f>
        <v>4.1</v>
      </c>
      <c r="G12835" s="4" t="str">
        <f>HYPERLINK("http://141.218.60.56/~jnz1568/getInfo.php?workbook=10_05.xlsx&amp;sheet=U0&amp;row=12835&amp;col=7&amp;number=0.0288&amp;sourceID=14","0.0288")</f>
        <v>0.0288</v>
      </c>
    </row>
    <row r="12836" spans="1:7">
      <c r="A12836" s="3"/>
      <c r="B12836" s="3"/>
      <c r="C12836" s="3"/>
      <c r="D12836" s="3"/>
      <c r="E12836" s="3">
        <v>13</v>
      </c>
      <c r="F12836" s="4" t="str">
        <f>HYPERLINK("http://141.218.60.56/~jnz1568/getInfo.php?workbook=10_05.xlsx&amp;sheet=U0&amp;row=12836&amp;col=6&amp;number=4.2&amp;sourceID=14","4.2")</f>
        <v>4.2</v>
      </c>
      <c r="G12836" s="4" t="str">
        <f>HYPERLINK("http://141.218.60.56/~jnz1568/getInfo.php?workbook=10_05.xlsx&amp;sheet=U0&amp;row=12836&amp;col=7&amp;number=0.0271&amp;sourceID=14","0.0271")</f>
        <v>0.0271</v>
      </c>
    </row>
    <row r="12837" spans="1:7">
      <c r="A12837" s="3"/>
      <c r="B12837" s="3"/>
      <c r="C12837" s="3"/>
      <c r="D12837" s="3"/>
      <c r="E12837" s="3">
        <v>14</v>
      </c>
      <c r="F12837" s="4" t="str">
        <f>HYPERLINK("http://141.218.60.56/~jnz1568/getInfo.php?workbook=10_05.xlsx&amp;sheet=U0&amp;row=12837&amp;col=6&amp;number=4.3&amp;sourceID=14","4.3")</f>
        <v>4.3</v>
      </c>
      <c r="G12837" s="4" t="str">
        <f>HYPERLINK("http://141.218.60.56/~jnz1568/getInfo.php?workbook=10_05.xlsx&amp;sheet=U0&amp;row=12837&amp;col=7&amp;number=0.0251&amp;sourceID=14","0.0251")</f>
        <v>0.0251</v>
      </c>
    </row>
    <row r="12838" spans="1:7">
      <c r="A12838" s="3"/>
      <c r="B12838" s="3"/>
      <c r="C12838" s="3"/>
      <c r="D12838" s="3"/>
      <c r="E12838" s="3">
        <v>15</v>
      </c>
      <c r="F12838" s="4" t="str">
        <f>HYPERLINK("http://141.218.60.56/~jnz1568/getInfo.php?workbook=10_05.xlsx&amp;sheet=U0&amp;row=12838&amp;col=6&amp;number=4.4&amp;sourceID=14","4.4")</f>
        <v>4.4</v>
      </c>
      <c r="G12838" s="4" t="str">
        <f>HYPERLINK("http://141.218.60.56/~jnz1568/getInfo.php?workbook=10_05.xlsx&amp;sheet=U0&amp;row=12838&amp;col=7&amp;number=0.023&amp;sourceID=14","0.023")</f>
        <v>0.023</v>
      </c>
    </row>
    <row r="12839" spans="1:7">
      <c r="A12839" s="3"/>
      <c r="B12839" s="3"/>
      <c r="C12839" s="3"/>
      <c r="D12839" s="3"/>
      <c r="E12839" s="3">
        <v>16</v>
      </c>
      <c r="F12839" s="4" t="str">
        <f>HYPERLINK("http://141.218.60.56/~jnz1568/getInfo.php?workbook=10_05.xlsx&amp;sheet=U0&amp;row=12839&amp;col=6&amp;number=4.5&amp;sourceID=14","4.5")</f>
        <v>4.5</v>
      </c>
      <c r="G12839" s="4" t="str">
        <f>HYPERLINK("http://141.218.60.56/~jnz1568/getInfo.php?workbook=10_05.xlsx&amp;sheet=U0&amp;row=12839&amp;col=7&amp;number=0.0207&amp;sourceID=14","0.0207")</f>
        <v>0.0207</v>
      </c>
    </row>
    <row r="12840" spans="1:7">
      <c r="A12840" s="3"/>
      <c r="B12840" s="3"/>
      <c r="C12840" s="3"/>
      <c r="D12840" s="3"/>
      <c r="E12840" s="3">
        <v>17</v>
      </c>
      <c r="F12840" s="4" t="str">
        <f>HYPERLINK("http://141.218.60.56/~jnz1568/getInfo.php?workbook=10_05.xlsx&amp;sheet=U0&amp;row=12840&amp;col=6&amp;number=4.6&amp;sourceID=14","4.6")</f>
        <v>4.6</v>
      </c>
      <c r="G12840" s="4" t="str">
        <f>HYPERLINK("http://141.218.60.56/~jnz1568/getInfo.php?workbook=10_05.xlsx&amp;sheet=U0&amp;row=12840&amp;col=7&amp;number=0.0185&amp;sourceID=14","0.0185")</f>
        <v>0.0185</v>
      </c>
    </row>
    <row r="12841" spans="1:7">
      <c r="A12841" s="3"/>
      <c r="B12841" s="3"/>
      <c r="C12841" s="3"/>
      <c r="D12841" s="3"/>
      <c r="E12841" s="3">
        <v>18</v>
      </c>
      <c r="F12841" s="4" t="str">
        <f>HYPERLINK("http://141.218.60.56/~jnz1568/getInfo.php?workbook=10_05.xlsx&amp;sheet=U0&amp;row=12841&amp;col=6&amp;number=4.7&amp;sourceID=14","4.7")</f>
        <v>4.7</v>
      </c>
      <c r="G12841" s="4" t="str">
        <f>HYPERLINK("http://141.218.60.56/~jnz1568/getInfo.php?workbook=10_05.xlsx&amp;sheet=U0&amp;row=12841&amp;col=7&amp;number=0.0164&amp;sourceID=14","0.0164")</f>
        <v>0.0164</v>
      </c>
    </row>
    <row r="12842" spans="1:7">
      <c r="A12842" s="3"/>
      <c r="B12842" s="3"/>
      <c r="C12842" s="3"/>
      <c r="D12842" s="3"/>
      <c r="E12842" s="3">
        <v>19</v>
      </c>
      <c r="F12842" s="4" t="str">
        <f>HYPERLINK("http://141.218.60.56/~jnz1568/getInfo.php?workbook=10_05.xlsx&amp;sheet=U0&amp;row=12842&amp;col=6&amp;number=4.8&amp;sourceID=14","4.8")</f>
        <v>4.8</v>
      </c>
      <c r="G12842" s="4" t="str">
        <f>HYPERLINK("http://141.218.60.56/~jnz1568/getInfo.php?workbook=10_05.xlsx&amp;sheet=U0&amp;row=12842&amp;col=7&amp;number=0.0146&amp;sourceID=14","0.0146")</f>
        <v>0.0146</v>
      </c>
    </row>
    <row r="12843" spans="1:7">
      <c r="A12843" s="3"/>
      <c r="B12843" s="3"/>
      <c r="C12843" s="3"/>
      <c r="D12843" s="3"/>
      <c r="E12843" s="3">
        <v>20</v>
      </c>
      <c r="F12843" s="4" t="str">
        <f>HYPERLINK("http://141.218.60.56/~jnz1568/getInfo.php?workbook=10_05.xlsx&amp;sheet=U0&amp;row=12843&amp;col=6&amp;number=4.9&amp;sourceID=14","4.9")</f>
        <v>4.9</v>
      </c>
      <c r="G12843" s="4" t="str">
        <f>HYPERLINK("http://141.218.60.56/~jnz1568/getInfo.php?workbook=10_05.xlsx&amp;sheet=U0&amp;row=12843&amp;col=7&amp;number=0.013&amp;sourceID=14","0.013")</f>
        <v>0.013</v>
      </c>
    </row>
    <row r="12844" spans="1:7">
      <c r="A12844" s="3">
        <v>10</v>
      </c>
      <c r="B12844" s="3">
        <v>5</v>
      </c>
      <c r="C12844" s="3">
        <v>4</v>
      </c>
      <c r="D12844" s="3">
        <v>113</v>
      </c>
      <c r="E12844" s="3">
        <v>1</v>
      </c>
      <c r="F12844" s="4" t="str">
        <f>HYPERLINK("http://141.218.60.56/~jnz1568/getInfo.php?workbook=10_05.xlsx&amp;sheet=U0&amp;row=12844&amp;col=6&amp;number=3&amp;sourceID=14","3")</f>
        <v>3</v>
      </c>
      <c r="G12844" s="4" t="str">
        <f>HYPERLINK("http://141.218.60.56/~jnz1568/getInfo.php?workbook=10_05.xlsx&amp;sheet=U0&amp;row=12844&amp;col=7&amp;number=0.00755&amp;sourceID=14","0.00755")</f>
        <v>0.00755</v>
      </c>
    </row>
    <row r="12845" spans="1:7">
      <c r="A12845" s="3"/>
      <c r="B12845" s="3"/>
      <c r="C12845" s="3"/>
      <c r="D12845" s="3"/>
      <c r="E12845" s="3">
        <v>2</v>
      </c>
      <c r="F12845" s="4" t="str">
        <f>HYPERLINK("http://141.218.60.56/~jnz1568/getInfo.php?workbook=10_05.xlsx&amp;sheet=U0&amp;row=12845&amp;col=6&amp;number=3.1&amp;sourceID=14","3.1")</f>
        <v>3.1</v>
      </c>
      <c r="G12845" s="4" t="str">
        <f>HYPERLINK("http://141.218.60.56/~jnz1568/getInfo.php?workbook=10_05.xlsx&amp;sheet=U0&amp;row=12845&amp;col=7&amp;number=0.00751&amp;sourceID=14","0.00751")</f>
        <v>0.00751</v>
      </c>
    </row>
    <row r="12846" spans="1:7">
      <c r="A12846" s="3"/>
      <c r="B12846" s="3"/>
      <c r="C12846" s="3"/>
      <c r="D12846" s="3"/>
      <c r="E12846" s="3">
        <v>3</v>
      </c>
      <c r="F12846" s="4" t="str">
        <f>HYPERLINK("http://141.218.60.56/~jnz1568/getInfo.php?workbook=10_05.xlsx&amp;sheet=U0&amp;row=12846&amp;col=6&amp;number=3.2&amp;sourceID=14","3.2")</f>
        <v>3.2</v>
      </c>
      <c r="G12846" s="4" t="str">
        <f>HYPERLINK("http://141.218.60.56/~jnz1568/getInfo.php?workbook=10_05.xlsx&amp;sheet=U0&amp;row=12846&amp;col=7&amp;number=0.00747&amp;sourceID=14","0.00747")</f>
        <v>0.00747</v>
      </c>
    </row>
    <row r="12847" spans="1:7">
      <c r="A12847" s="3"/>
      <c r="B12847" s="3"/>
      <c r="C12847" s="3"/>
      <c r="D12847" s="3"/>
      <c r="E12847" s="3">
        <v>4</v>
      </c>
      <c r="F12847" s="4" t="str">
        <f>HYPERLINK("http://141.218.60.56/~jnz1568/getInfo.php?workbook=10_05.xlsx&amp;sheet=U0&amp;row=12847&amp;col=6&amp;number=3.3&amp;sourceID=14","3.3")</f>
        <v>3.3</v>
      </c>
      <c r="G12847" s="4" t="str">
        <f>HYPERLINK("http://141.218.60.56/~jnz1568/getInfo.php?workbook=10_05.xlsx&amp;sheet=U0&amp;row=12847&amp;col=7&amp;number=0.00742&amp;sourceID=14","0.00742")</f>
        <v>0.00742</v>
      </c>
    </row>
    <row r="12848" spans="1:7">
      <c r="A12848" s="3"/>
      <c r="B12848" s="3"/>
      <c r="C12848" s="3"/>
      <c r="D12848" s="3"/>
      <c r="E12848" s="3">
        <v>5</v>
      </c>
      <c r="F12848" s="4" t="str">
        <f>HYPERLINK("http://141.218.60.56/~jnz1568/getInfo.php?workbook=10_05.xlsx&amp;sheet=U0&amp;row=12848&amp;col=6&amp;number=3.4&amp;sourceID=14","3.4")</f>
        <v>3.4</v>
      </c>
      <c r="G12848" s="4" t="str">
        <f>HYPERLINK("http://141.218.60.56/~jnz1568/getInfo.php?workbook=10_05.xlsx&amp;sheet=U0&amp;row=12848&amp;col=7&amp;number=0.00735&amp;sourceID=14","0.00735")</f>
        <v>0.00735</v>
      </c>
    </row>
    <row r="12849" spans="1:7">
      <c r="A12849" s="3"/>
      <c r="B12849" s="3"/>
      <c r="C12849" s="3"/>
      <c r="D12849" s="3"/>
      <c r="E12849" s="3">
        <v>6</v>
      </c>
      <c r="F12849" s="4" t="str">
        <f>HYPERLINK("http://141.218.60.56/~jnz1568/getInfo.php?workbook=10_05.xlsx&amp;sheet=U0&amp;row=12849&amp;col=6&amp;number=3.5&amp;sourceID=14","3.5")</f>
        <v>3.5</v>
      </c>
      <c r="G12849" s="4" t="str">
        <f>HYPERLINK("http://141.218.60.56/~jnz1568/getInfo.php?workbook=10_05.xlsx&amp;sheet=U0&amp;row=12849&amp;col=7&amp;number=0.00726&amp;sourceID=14","0.00726")</f>
        <v>0.00726</v>
      </c>
    </row>
    <row r="12850" spans="1:7">
      <c r="A12850" s="3"/>
      <c r="B12850" s="3"/>
      <c r="C12850" s="3"/>
      <c r="D12850" s="3"/>
      <c r="E12850" s="3">
        <v>7</v>
      </c>
      <c r="F12850" s="4" t="str">
        <f>HYPERLINK("http://141.218.60.56/~jnz1568/getInfo.php?workbook=10_05.xlsx&amp;sheet=U0&amp;row=12850&amp;col=6&amp;number=3.6&amp;sourceID=14","3.6")</f>
        <v>3.6</v>
      </c>
      <c r="G12850" s="4" t="str">
        <f>HYPERLINK("http://141.218.60.56/~jnz1568/getInfo.php?workbook=10_05.xlsx&amp;sheet=U0&amp;row=12850&amp;col=7&amp;number=0.00716&amp;sourceID=14","0.00716")</f>
        <v>0.00716</v>
      </c>
    </row>
    <row r="12851" spans="1:7">
      <c r="A12851" s="3"/>
      <c r="B12851" s="3"/>
      <c r="C12851" s="3"/>
      <c r="D12851" s="3"/>
      <c r="E12851" s="3">
        <v>8</v>
      </c>
      <c r="F12851" s="4" t="str">
        <f>HYPERLINK("http://141.218.60.56/~jnz1568/getInfo.php?workbook=10_05.xlsx&amp;sheet=U0&amp;row=12851&amp;col=6&amp;number=3.7&amp;sourceID=14","3.7")</f>
        <v>3.7</v>
      </c>
      <c r="G12851" s="4" t="str">
        <f>HYPERLINK("http://141.218.60.56/~jnz1568/getInfo.php?workbook=10_05.xlsx&amp;sheet=U0&amp;row=12851&amp;col=7&amp;number=0.00703&amp;sourceID=14","0.00703")</f>
        <v>0.00703</v>
      </c>
    </row>
    <row r="12852" spans="1:7">
      <c r="A12852" s="3"/>
      <c r="B12852" s="3"/>
      <c r="C12852" s="3"/>
      <c r="D12852" s="3"/>
      <c r="E12852" s="3">
        <v>9</v>
      </c>
      <c r="F12852" s="4" t="str">
        <f>HYPERLINK("http://141.218.60.56/~jnz1568/getInfo.php?workbook=10_05.xlsx&amp;sheet=U0&amp;row=12852&amp;col=6&amp;number=3.8&amp;sourceID=14","3.8")</f>
        <v>3.8</v>
      </c>
      <c r="G12852" s="4" t="str">
        <f>HYPERLINK("http://141.218.60.56/~jnz1568/getInfo.php?workbook=10_05.xlsx&amp;sheet=U0&amp;row=12852&amp;col=7&amp;number=0.00687&amp;sourceID=14","0.00687")</f>
        <v>0.00687</v>
      </c>
    </row>
    <row r="12853" spans="1:7">
      <c r="A12853" s="3"/>
      <c r="B12853" s="3"/>
      <c r="C12853" s="3"/>
      <c r="D12853" s="3"/>
      <c r="E12853" s="3">
        <v>10</v>
      </c>
      <c r="F12853" s="4" t="str">
        <f>HYPERLINK("http://141.218.60.56/~jnz1568/getInfo.php?workbook=10_05.xlsx&amp;sheet=U0&amp;row=12853&amp;col=6&amp;number=3.9&amp;sourceID=14","3.9")</f>
        <v>3.9</v>
      </c>
      <c r="G12853" s="4" t="str">
        <f>HYPERLINK("http://141.218.60.56/~jnz1568/getInfo.php?workbook=10_05.xlsx&amp;sheet=U0&amp;row=12853&amp;col=7&amp;number=0.00667&amp;sourceID=14","0.00667")</f>
        <v>0.00667</v>
      </c>
    </row>
    <row r="12854" spans="1:7">
      <c r="A12854" s="3"/>
      <c r="B12854" s="3"/>
      <c r="C12854" s="3"/>
      <c r="D12854" s="3"/>
      <c r="E12854" s="3">
        <v>11</v>
      </c>
      <c r="F12854" s="4" t="str">
        <f>HYPERLINK("http://141.218.60.56/~jnz1568/getInfo.php?workbook=10_05.xlsx&amp;sheet=U0&amp;row=12854&amp;col=6&amp;number=4&amp;sourceID=14","4")</f>
        <v>4</v>
      </c>
      <c r="G12854" s="4" t="str">
        <f>HYPERLINK("http://141.218.60.56/~jnz1568/getInfo.php?workbook=10_05.xlsx&amp;sheet=U0&amp;row=12854&amp;col=7&amp;number=0.00644&amp;sourceID=14","0.00644")</f>
        <v>0.00644</v>
      </c>
    </row>
    <row r="12855" spans="1:7">
      <c r="A12855" s="3"/>
      <c r="B12855" s="3"/>
      <c r="C12855" s="3"/>
      <c r="D12855" s="3"/>
      <c r="E12855" s="3">
        <v>12</v>
      </c>
      <c r="F12855" s="4" t="str">
        <f>HYPERLINK("http://141.218.60.56/~jnz1568/getInfo.php?workbook=10_05.xlsx&amp;sheet=U0&amp;row=12855&amp;col=6&amp;number=4.1&amp;sourceID=14","4.1")</f>
        <v>4.1</v>
      </c>
      <c r="G12855" s="4" t="str">
        <f>HYPERLINK("http://141.218.60.56/~jnz1568/getInfo.php?workbook=10_05.xlsx&amp;sheet=U0&amp;row=12855&amp;col=7&amp;number=0.00616&amp;sourceID=14","0.00616")</f>
        <v>0.00616</v>
      </c>
    </row>
    <row r="12856" spans="1:7">
      <c r="A12856" s="3"/>
      <c r="B12856" s="3"/>
      <c r="C12856" s="3"/>
      <c r="D12856" s="3"/>
      <c r="E12856" s="3">
        <v>13</v>
      </c>
      <c r="F12856" s="4" t="str">
        <f>HYPERLINK("http://141.218.60.56/~jnz1568/getInfo.php?workbook=10_05.xlsx&amp;sheet=U0&amp;row=12856&amp;col=6&amp;number=4.2&amp;sourceID=14","4.2")</f>
        <v>4.2</v>
      </c>
      <c r="G12856" s="4" t="str">
        <f>HYPERLINK("http://141.218.60.56/~jnz1568/getInfo.php?workbook=10_05.xlsx&amp;sheet=U0&amp;row=12856&amp;col=7&amp;number=0.00584&amp;sourceID=14","0.00584")</f>
        <v>0.00584</v>
      </c>
    </row>
    <row r="12857" spans="1:7">
      <c r="A12857" s="3"/>
      <c r="B12857" s="3"/>
      <c r="C12857" s="3"/>
      <c r="D12857" s="3"/>
      <c r="E12857" s="3">
        <v>14</v>
      </c>
      <c r="F12857" s="4" t="str">
        <f>HYPERLINK("http://141.218.60.56/~jnz1568/getInfo.php?workbook=10_05.xlsx&amp;sheet=U0&amp;row=12857&amp;col=6&amp;number=4.3&amp;sourceID=14","4.3")</f>
        <v>4.3</v>
      </c>
      <c r="G12857" s="4" t="str">
        <f>HYPERLINK("http://141.218.60.56/~jnz1568/getInfo.php?workbook=10_05.xlsx&amp;sheet=U0&amp;row=12857&amp;col=7&amp;number=0.00549&amp;sourceID=14","0.00549")</f>
        <v>0.00549</v>
      </c>
    </row>
    <row r="12858" spans="1:7">
      <c r="A12858" s="3"/>
      <c r="B12858" s="3"/>
      <c r="C12858" s="3"/>
      <c r="D12858" s="3"/>
      <c r="E12858" s="3">
        <v>15</v>
      </c>
      <c r="F12858" s="4" t="str">
        <f>HYPERLINK("http://141.218.60.56/~jnz1568/getInfo.php?workbook=10_05.xlsx&amp;sheet=U0&amp;row=12858&amp;col=6&amp;number=4.4&amp;sourceID=14","4.4")</f>
        <v>4.4</v>
      </c>
      <c r="G12858" s="4" t="str">
        <f>HYPERLINK("http://141.218.60.56/~jnz1568/getInfo.php?workbook=10_05.xlsx&amp;sheet=U0&amp;row=12858&amp;col=7&amp;number=0.00512&amp;sourceID=14","0.00512")</f>
        <v>0.00512</v>
      </c>
    </row>
    <row r="12859" spans="1:7">
      <c r="A12859" s="3"/>
      <c r="B12859" s="3"/>
      <c r="C12859" s="3"/>
      <c r="D12859" s="3"/>
      <c r="E12859" s="3">
        <v>16</v>
      </c>
      <c r="F12859" s="4" t="str">
        <f>HYPERLINK("http://141.218.60.56/~jnz1568/getInfo.php?workbook=10_05.xlsx&amp;sheet=U0&amp;row=12859&amp;col=6&amp;number=4.5&amp;sourceID=14","4.5")</f>
        <v>4.5</v>
      </c>
      <c r="G12859" s="4" t="str">
        <f>HYPERLINK("http://141.218.60.56/~jnz1568/getInfo.php?workbook=10_05.xlsx&amp;sheet=U0&amp;row=12859&amp;col=7&amp;number=0.00475&amp;sourceID=14","0.00475")</f>
        <v>0.00475</v>
      </c>
    </row>
    <row r="12860" spans="1:7">
      <c r="A12860" s="3"/>
      <c r="B12860" s="3"/>
      <c r="C12860" s="3"/>
      <c r="D12860" s="3"/>
      <c r="E12860" s="3">
        <v>17</v>
      </c>
      <c r="F12860" s="4" t="str">
        <f>HYPERLINK("http://141.218.60.56/~jnz1568/getInfo.php?workbook=10_05.xlsx&amp;sheet=U0&amp;row=12860&amp;col=6&amp;number=4.6&amp;sourceID=14","4.6")</f>
        <v>4.6</v>
      </c>
      <c r="G12860" s="4" t="str">
        <f>HYPERLINK("http://141.218.60.56/~jnz1568/getInfo.php?workbook=10_05.xlsx&amp;sheet=U0&amp;row=12860&amp;col=7&amp;number=0.00439&amp;sourceID=14","0.00439")</f>
        <v>0.00439</v>
      </c>
    </row>
    <row r="12861" spans="1:7">
      <c r="A12861" s="3"/>
      <c r="B12861" s="3"/>
      <c r="C12861" s="3"/>
      <c r="D12861" s="3"/>
      <c r="E12861" s="3">
        <v>18</v>
      </c>
      <c r="F12861" s="4" t="str">
        <f>HYPERLINK("http://141.218.60.56/~jnz1568/getInfo.php?workbook=10_05.xlsx&amp;sheet=U0&amp;row=12861&amp;col=6&amp;number=4.7&amp;sourceID=14","4.7")</f>
        <v>4.7</v>
      </c>
      <c r="G12861" s="4" t="str">
        <f>HYPERLINK("http://141.218.60.56/~jnz1568/getInfo.php?workbook=10_05.xlsx&amp;sheet=U0&amp;row=12861&amp;col=7&amp;number=0.00406&amp;sourceID=14","0.00406")</f>
        <v>0.00406</v>
      </c>
    </row>
    <row r="12862" spans="1:7">
      <c r="A12862" s="3"/>
      <c r="B12862" s="3"/>
      <c r="C12862" s="3"/>
      <c r="D12862" s="3"/>
      <c r="E12862" s="3">
        <v>19</v>
      </c>
      <c r="F12862" s="4" t="str">
        <f>HYPERLINK("http://141.218.60.56/~jnz1568/getInfo.php?workbook=10_05.xlsx&amp;sheet=U0&amp;row=12862&amp;col=6&amp;number=4.8&amp;sourceID=14","4.8")</f>
        <v>4.8</v>
      </c>
      <c r="G12862" s="4" t="str">
        <f>HYPERLINK("http://141.218.60.56/~jnz1568/getInfo.php?workbook=10_05.xlsx&amp;sheet=U0&amp;row=12862&amp;col=7&amp;number=0.00374&amp;sourceID=14","0.00374")</f>
        <v>0.00374</v>
      </c>
    </row>
    <row r="12863" spans="1:7">
      <c r="A12863" s="3"/>
      <c r="B12863" s="3"/>
      <c r="C12863" s="3"/>
      <c r="D12863" s="3"/>
      <c r="E12863" s="3">
        <v>20</v>
      </c>
      <c r="F12863" s="4" t="str">
        <f>HYPERLINK("http://141.218.60.56/~jnz1568/getInfo.php?workbook=10_05.xlsx&amp;sheet=U0&amp;row=12863&amp;col=6&amp;number=4.9&amp;sourceID=14","4.9")</f>
        <v>4.9</v>
      </c>
      <c r="G12863" s="4" t="str">
        <f>HYPERLINK("http://141.218.60.56/~jnz1568/getInfo.php?workbook=10_05.xlsx&amp;sheet=U0&amp;row=12863&amp;col=7&amp;number=0.00345&amp;sourceID=14","0.00345")</f>
        <v>0.00345</v>
      </c>
    </row>
    <row r="12864" spans="1:7">
      <c r="A12864" s="3">
        <v>10</v>
      </c>
      <c r="B12864" s="3">
        <v>5</v>
      </c>
      <c r="C12864" s="3">
        <v>4</v>
      </c>
      <c r="D12864" s="3">
        <v>114</v>
      </c>
      <c r="E12864" s="3">
        <v>1</v>
      </c>
      <c r="F12864" s="4" t="str">
        <f>HYPERLINK("http://141.218.60.56/~jnz1568/getInfo.php?workbook=10_05.xlsx&amp;sheet=U0&amp;row=12864&amp;col=6&amp;number=3&amp;sourceID=14","3")</f>
        <v>3</v>
      </c>
      <c r="G12864" s="4" t="str">
        <f>HYPERLINK("http://141.218.60.56/~jnz1568/getInfo.php?workbook=10_05.xlsx&amp;sheet=U0&amp;row=12864&amp;col=7&amp;number=0.00655&amp;sourceID=14","0.00655")</f>
        <v>0.00655</v>
      </c>
    </row>
    <row r="12865" spans="1:7">
      <c r="A12865" s="3"/>
      <c r="B12865" s="3"/>
      <c r="C12865" s="3"/>
      <c r="D12865" s="3"/>
      <c r="E12865" s="3">
        <v>2</v>
      </c>
      <c r="F12865" s="4" t="str">
        <f>HYPERLINK("http://141.218.60.56/~jnz1568/getInfo.php?workbook=10_05.xlsx&amp;sheet=U0&amp;row=12865&amp;col=6&amp;number=3.1&amp;sourceID=14","3.1")</f>
        <v>3.1</v>
      </c>
      <c r="G12865" s="4" t="str">
        <f>HYPERLINK("http://141.218.60.56/~jnz1568/getInfo.php?workbook=10_05.xlsx&amp;sheet=U0&amp;row=12865&amp;col=7&amp;number=0.00653&amp;sourceID=14","0.00653")</f>
        <v>0.00653</v>
      </c>
    </row>
    <row r="12866" spans="1:7">
      <c r="A12866" s="3"/>
      <c r="B12866" s="3"/>
      <c r="C12866" s="3"/>
      <c r="D12866" s="3"/>
      <c r="E12866" s="3">
        <v>3</v>
      </c>
      <c r="F12866" s="4" t="str">
        <f>HYPERLINK("http://141.218.60.56/~jnz1568/getInfo.php?workbook=10_05.xlsx&amp;sheet=U0&amp;row=12866&amp;col=6&amp;number=3.2&amp;sourceID=14","3.2")</f>
        <v>3.2</v>
      </c>
      <c r="G12866" s="4" t="str">
        <f>HYPERLINK("http://141.218.60.56/~jnz1568/getInfo.php?workbook=10_05.xlsx&amp;sheet=U0&amp;row=12866&amp;col=7&amp;number=0.0065&amp;sourceID=14","0.0065")</f>
        <v>0.0065</v>
      </c>
    </row>
    <row r="12867" spans="1:7">
      <c r="A12867" s="3"/>
      <c r="B12867" s="3"/>
      <c r="C12867" s="3"/>
      <c r="D12867" s="3"/>
      <c r="E12867" s="3">
        <v>4</v>
      </c>
      <c r="F12867" s="4" t="str">
        <f>HYPERLINK("http://141.218.60.56/~jnz1568/getInfo.php?workbook=10_05.xlsx&amp;sheet=U0&amp;row=12867&amp;col=6&amp;number=3.3&amp;sourceID=14","3.3")</f>
        <v>3.3</v>
      </c>
      <c r="G12867" s="4" t="str">
        <f>HYPERLINK("http://141.218.60.56/~jnz1568/getInfo.php?workbook=10_05.xlsx&amp;sheet=U0&amp;row=12867&amp;col=7&amp;number=0.00646&amp;sourceID=14","0.00646")</f>
        <v>0.00646</v>
      </c>
    </row>
    <row r="12868" spans="1:7">
      <c r="A12868" s="3"/>
      <c r="B12868" s="3"/>
      <c r="C12868" s="3"/>
      <c r="D12868" s="3"/>
      <c r="E12868" s="3">
        <v>5</v>
      </c>
      <c r="F12868" s="4" t="str">
        <f>HYPERLINK("http://141.218.60.56/~jnz1568/getInfo.php?workbook=10_05.xlsx&amp;sheet=U0&amp;row=12868&amp;col=6&amp;number=3.4&amp;sourceID=14","3.4")</f>
        <v>3.4</v>
      </c>
      <c r="G12868" s="4" t="str">
        <f>HYPERLINK("http://141.218.60.56/~jnz1568/getInfo.php?workbook=10_05.xlsx&amp;sheet=U0&amp;row=12868&amp;col=7&amp;number=0.00642&amp;sourceID=14","0.00642")</f>
        <v>0.00642</v>
      </c>
    </row>
    <row r="12869" spans="1:7">
      <c r="A12869" s="3"/>
      <c r="B12869" s="3"/>
      <c r="C12869" s="3"/>
      <c r="D12869" s="3"/>
      <c r="E12869" s="3">
        <v>6</v>
      </c>
      <c r="F12869" s="4" t="str">
        <f>HYPERLINK("http://141.218.60.56/~jnz1568/getInfo.php?workbook=10_05.xlsx&amp;sheet=U0&amp;row=12869&amp;col=6&amp;number=3.5&amp;sourceID=14","3.5")</f>
        <v>3.5</v>
      </c>
      <c r="G12869" s="4" t="str">
        <f>HYPERLINK("http://141.218.60.56/~jnz1568/getInfo.php?workbook=10_05.xlsx&amp;sheet=U0&amp;row=12869&amp;col=7&amp;number=0.00636&amp;sourceID=14","0.00636")</f>
        <v>0.00636</v>
      </c>
    </row>
    <row r="12870" spans="1:7">
      <c r="A12870" s="3"/>
      <c r="B12870" s="3"/>
      <c r="C12870" s="3"/>
      <c r="D12870" s="3"/>
      <c r="E12870" s="3">
        <v>7</v>
      </c>
      <c r="F12870" s="4" t="str">
        <f>HYPERLINK("http://141.218.60.56/~jnz1568/getInfo.php?workbook=10_05.xlsx&amp;sheet=U0&amp;row=12870&amp;col=6&amp;number=3.6&amp;sourceID=14","3.6")</f>
        <v>3.6</v>
      </c>
      <c r="G12870" s="4" t="str">
        <f>HYPERLINK("http://141.218.60.56/~jnz1568/getInfo.php?workbook=10_05.xlsx&amp;sheet=U0&amp;row=12870&amp;col=7&amp;number=0.00629&amp;sourceID=14","0.00629")</f>
        <v>0.00629</v>
      </c>
    </row>
    <row r="12871" spans="1:7">
      <c r="A12871" s="3"/>
      <c r="B12871" s="3"/>
      <c r="C12871" s="3"/>
      <c r="D12871" s="3"/>
      <c r="E12871" s="3">
        <v>8</v>
      </c>
      <c r="F12871" s="4" t="str">
        <f>HYPERLINK("http://141.218.60.56/~jnz1568/getInfo.php?workbook=10_05.xlsx&amp;sheet=U0&amp;row=12871&amp;col=6&amp;number=3.7&amp;sourceID=14","3.7")</f>
        <v>3.7</v>
      </c>
      <c r="G12871" s="4" t="str">
        <f>HYPERLINK("http://141.218.60.56/~jnz1568/getInfo.php?workbook=10_05.xlsx&amp;sheet=U0&amp;row=12871&amp;col=7&amp;number=0.0062&amp;sourceID=14","0.0062")</f>
        <v>0.0062</v>
      </c>
    </row>
    <row r="12872" spans="1:7">
      <c r="A12872" s="3"/>
      <c r="B12872" s="3"/>
      <c r="C12872" s="3"/>
      <c r="D12872" s="3"/>
      <c r="E12872" s="3">
        <v>9</v>
      </c>
      <c r="F12872" s="4" t="str">
        <f>HYPERLINK("http://141.218.60.56/~jnz1568/getInfo.php?workbook=10_05.xlsx&amp;sheet=U0&amp;row=12872&amp;col=6&amp;number=3.8&amp;sourceID=14","3.8")</f>
        <v>3.8</v>
      </c>
      <c r="G12872" s="4" t="str">
        <f>HYPERLINK("http://141.218.60.56/~jnz1568/getInfo.php?workbook=10_05.xlsx&amp;sheet=U0&amp;row=12872&amp;col=7&amp;number=0.0061&amp;sourceID=14","0.0061")</f>
        <v>0.0061</v>
      </c>
    </row>
    <row r="12873" spans="1:7">
      <c r="A12873" s="3"/>
      <c r="B12873" s="3"/>
      <c r="C12873" s="3"/>
      <c r="D12873" s="3"/>
      <c r="E12873" s="3">
        <v>10</v>
      </c>
      <c r="F12873" s="4" t="str">
        <f>HYPERLINK("http://141.218.60.56/~jnz1568/getInfo.php?workbook=10_05.xlsx&amp;sheet=U0&amp;row=12873&amp;col=6&amp;number=3.9&amp;sourceID=14","3.9")</f>
        <v>3.9</v>
      </c>
      <c r="G12873" s="4" t="str">
        <f>HYPERLINK("http://141.218.60.56/~jnz1568/getInfo.php?workbook=10_05.xlsx&amp;sheet=U0&amp;row=12873&amp;col=7&amp;number=0.00597&amp;sourceID=14","0.00597")</f>
        <v>0.00597</v>
      </c>
    </row>
    <row r="12874" spans="1:7">
      <c r="A12874" s="3"/>
      <c r="B12874" s="3"/>
      <c r="C12874" s="3"/>
      <c r="D12874" s="3"/>
      <c r="E12874" s="3">
        <v>11</v>
      </c>
      <c r="F12874" s="4" t="str">
        <f>HYPERLINK("http://141.218.60.56/~jnz1568/getInfo.php?workbook=10_05.xlsx&amp;sheet=U0&amp;row=12874&amp;col=6&amp;number=4&amp;sourceID=14","4")</f>
        <v>4</v>
      </c>
      <c r="G12874" s="4" t="str">
        <f>HYPERLINK("http://141.218.60.56/~jnz1568/getInfo.php?workbook=10_05.xlsx&amp;sheet=U0&amp;row=12874&amp;col=7&amp;number=0.00581&amp;sourceID=14","0.00581")</f>
        <v>0.00581</v>
      </c>
    </row>
    <row r="12875" spans="1:7">
      <c r="A12875" s="3"/>
      <c r="B12875" s="3"/>
      <c r="C12875" s="3"/>
      <c r="D12875" s="3"/>
      <c r="E12875" s="3">
        <v>12</v>
      </c>
      <c r="F12875" s="4" t="str">
        <f>HYPERLINK("http://141.218.60.56/~jnz1568/getInfo.php?workbook=10_05.xlsx&amp;sheet=U0&amp;row=12875&amp;col=6&amp;number=4.1&amp;sourceID=14","4.1")</f>
        <v>4.1</v>
      </c>
      <c r="G12875" s="4" t="str">
        <f>HYPERLINK("http://141.218.60.56/~jnz1568/getInfo.php?workbook=10_05.xlsx&amp;sheet=U0&amp;row=12875&amp;col=7&amp;number=0.00563&amp;sourceID=14","0.00563")</f>
        <v>0.00563</v>
      </c>
    </row>
    <row r="12876" spans="1:7">
      <c r="A12876" s="3"/>
      <c r="B12876" s="3"/>
      <c r="C12876" s="3"/>
      <c r="D12876" s="3"/>
      <c r="E12876" s="3">
        <v>13</v>
      </c>
      <c r="F12876" s="4" t="str">
        <f>HYPERLINK("http://141.218.60.56/~jnz1568/getInfo.php?workbook=10_05.xlsx&amp;sheet=U0&amp;row=12876&amp;col=6&amp;number=4.2&amp;sourceID=14","4.2")</f>
        <v>4.2</v>
      </c>
      <c r="G12876" s="4" t="str">
        <f>HYPERLINK("http://141.218.60.56/~jnz1568/getInfo.php?workbook=10_05.xlsx&amp;sheet=U0&amp;row=12876&amp;col=7&amp;number=0.00541&amp;sourceID=14","0.00541")</f>
        <v>0.00541</v>
      </c>
    </row>
    <row r="12877" spans="1:7">
      <c r="A12877" s="3"/>
      <c r="B12877" s="3"/>
      <c r="C12877" s="3"/>
      <c r="D12877" s="3"/>
      <c r="E12877" s="3">
        <v>14</v>
      </c>
      <c r="F12877" s="4" t="str">
        <f>HYPERLINK("http://141.218.60.56/~jnz1568/getInfo.php?workbook=10_05.xlsx&amp;sheet=U0&amp;row=12877&amp;col=6&amp;number=4.3&amp;sourceID=14","4.3")</f>
        <v>4.3</v>
      </c>
      <c r="G12877" s="4" t="str">
        <f>HYPERLINK("http://141.218.60.56/~jnz1568/getInfo.php?workbook=10_05.xlsx&amp;sheet=U0&amp;row=12877&amp;col=7&amp;number=0.00517&amp;sourceID=14","0.00517")</f>
        <v>0.00517</v>
      </c>
    </row>
    <row r="12878" spans="1:7">
      <c r="A12878" s="3"/>
      <c r="B12878" s="3"/>
      <c r="C12878" s="3"/>
      <c r="D12878" s="3"/>
      <c r="E12878" s="3">
        <v>15</v>
      </c>
      <c r="F12878" s="4" t="str">
        <f>HYPERLINK("http://141.218.60.56/~jnz1568/getInfo.php?workbook=10_05.xlsx&amp;sheet=U0&amp;row=12878&amp;col=6&amp;number=4.4&amp;sourceID=14","4.4")</f>
        <v>4.4</v>
      </c>
      <c r="G12878" s="4" t="str">
        <f>HYPERLINK("http://141.218.60.56/~jnz1568/getInfo.php?workbook=10_05.xlsx&amp;sheet=U0&amp;row=12878&amp;col=7&amp;number=0.00491&amp;sourceID=14","0.00491")</f>
        <v>0.00491</v>
      </c>
    </row>
    <row r="12879" spans="1:7">
      <c r="A12879" s="3"/>
      <c r="B12879" s="3"/>
      <c r="C12879" s="3"/>
      <c r="D12879" s="3"/>
      <c r="E12879" s="3">
        <v>16</v>
      </c>
      <c r="F12879" s="4" t="str">
        <f>HYPERLINK("http://141.218.60.56/~jnz1568/getInfo.php?workbook=10_05.xlsx&amp;sheet=U0&amp;row=12879&amp;col=6&amp;number=4.5&amp;sourceID=14","4.5")</f>
        <v>4.5</v>
      </c>
      <c r="G12879" s="4" t="str">
        <f>HYPERLINK("http://141.218.60.56/~jnz1568/getInfo.php?workbook=10_05.xlsx&amp;sheet=U0&amp;row=12879&amp;col=7&amp;number=0.00465&amp;sourceID=14","0.00465")</f>
        <v>0.00465</v>
      </c>
    </row>
    <row r="12880" spans="1:7">
      <c r="A12880" s="3"/>
      <c r="B12880" s="3"/>
      <c r="C12880" s="3"/>
      <c r="D12880" s="3"/>
      <c r="E12880" s="3">
        <v>17</v>
      </c>
      <c r="F12880" s="4" t="str">
        <f>HYPERLINK("http://141.218.60.56/~jnz1568/getInfo.php?workbook=10_05.xlsx&amp;sheet=U0&amp;row=12880&amp;col=6&amp;number=4.6&amp;sourceID=14","4.6")</f>
        <v>4.6</v>
      </c>
      <c r="G12880" s="4" t="str">
        <f>HYPERLINK("http://141.218.60.56/~jnz1568/getInfo.php?workbook=10_05.xlsx&amp;sheet=U0&amp;row=12880&amp;col=7&amp;number=0.0044&amp;sourceID=14","0.0044")</f>
        <v>0.0044</v>
      </c>
    </row>
    <row r="12881" spans="1:7">
      <c r="A12881" s="3"/>
      <c r="B12881" s="3"/>
      <c r="C12881" s="3"/>
      <c r="D12881" s="3"/>
      <c r="E12881" s="3">
        <v>18</v>
      </c>
      <c r="F12881" s="4" t="str">
        <f>HYPERLINK("http://141.218.60.56/~jnz1568/getInfo.php?workbook=10_05.xlsx&amp;sheet=U0&amp;row=12881&amp;col=6&amp;number=4.7&amp;sourceID=14","4.7")</f>
        <v>4.7</v>
      </c>
      <c r="G12881" s="4" t="str">
        <f>HYPERLINK("http://141.218.60.56/~jnz1568/getInfo.php?workbook=10_05.xlsx&amp;sheet=U0&amp;row=12881&amp;col=7&amp;number=0.00415&amp;sourceID=14","0.00415")</f>
        <v>0.00415</v>
      </c>
    </row>
    <row r="12882" spans="1:7">
      <c r="A12882" s="3"/>
      <c r="B12882" s="3"/>
      <c r="C12882" s="3"/>
      <c r="D12882" s="3"/>
      <c r="E12882" s="3">
        <v>19</v>
      </c>
      <c r="F12882" s="4" t="str">
        <f>HYPERLINK("http://141.218.60.56/~jnz1568/getInfo.php?workbook=10_05.xlsx&amp;sheet=U0&amp;row=12882&amp;col=6&amp;number=4.8&amp;sourceID=14","4.8")</f>
        <v>4.8</v>
      </c>
      <c r="G12882" s="4" t="str">
        <f>HYPERLINK("http://141.218.60.56/~jnz1568/getInfo.php?workbook=10_05.xlsx&amp;sheet=U0&amp;row=12882&amp;col=7&amp;number=0.00393&amp;sourceID=14","0.00393")</f>
        <v>0.00393</v>
      </c>
    </row>
    <row r="12883" spans="1:7">
      <c r="A12883" s="3"/>
      <c r="B12883" s="3"/>
      <c r="C12883" s="3"/>
      <c r="D12883" s="3"/>
      <c r="E12883" s="3">
        <v>20</v>
      </c>
      <c r="F12883" s="4" t="str">
        <f>HYPERLINK("http://141.218.60.56/~jnz1568/getInfo.php?workbook=10_05.xlsx&amp;sheet=U0&amp;row=12883&amp;col=6&amp;number=4.9&amp;sourceID=14","4.9")</f>
        <v>4.9</v>
      </c>
      <c r="G12883" s="4" t="str">
        <f>HYPERLINK("http://141.218.60.56/~jnz1568/getInfo.php?workbook=10_05.xlsx&amp;sheet=U0&amp;row=12883&amp;col=7&amp;number=0.00373&amp;sourceID=14","0.00373")</f>
        <v>0.00373</v>
      </c>
    </row>
    <row r="12884" spans="1:7">
      <c r="A12884" s="3">
        <v>10</v>
      </c>
      <c r="B12884" s="3">
        <v>5</v>
      </c>
      <c r="C12884" s="3">
        <v>4</v>
      </c>
      <c r="D12884" s="3">
        <v>115</v>
      </c>
      <c r="E12884" s="3">
        <v>1</v>
      </c>
      <c r="F12884" s="4" t="str">
        <f>HYPERLINK("http://141.218.60.56/~jnz1568/getInfo.php?workbook=10_05.xlsx&amp;sheet=U0&amp;row=12884&amp;col=6&amp;number=3&amp;sourceID=14","3")</f>
        <v>3</v>
      </c>
      <c r="G12884" s="4" t="str">
        <f>HYPERLINK("http://141.218.60.56/~jnz1568/getInfo.php?workbook=10_05.xlsx&amp;sheet=U0&amp;row=12884&amp;col=7&amp;number=0.0151&amp;sourceID=14","0.0151")</f>
        <v>0.0151</v>
      </c>
    </row>
    <row r="12885" spans="1:7">
      <c r="A12885" s="3"/>
      <c r="B12885" s="3"/>
      <c r="C12885" s="3"/>
      <c r="D12885" s="3"/>
      <c r="E12885" s="3">
        <v>2</v>
      </c>
      <c r="F12885" s="4" t="str">
        <f>HYPERLINK("http://141.218.60.56/~jnz1568/getInfo.php?workbook=10_05.xlsx&amp;sheet=U0&amp;row=12885&amp;col=6&amp;number=3.1&amp;sourceID=14","3.1")</f>
        <v>3.1</v>
      </c>
      <c r="G12885" s="4" t="str">
        <f>HYPERLINK("http://141.218.60.56/~jnz1568/getInfo.php?workbook=10_05.xlsx&amp;sheet=U0&amp;row=12885&amp;col=7&amp;number=0.0151&amp;sourceID=14","0.0151")</f>
        <v>0.0151</v>
      </c>
    </row>
    <row r="12886" spans="1:7">
      <c r="A12886" s="3"/>
      <c r="B12886" s="3"/>
      <c r="C12886" s="3"/>
      <c r="D12886" s="3"/>
      <c r="E12886" s="3">
        <v>3</v>
      </c>
      <c r="F12886" s="4" t="str">
        <f>HYPERLINK("http://141.218.60.56/~jnz1568/getInfo.php?workbook=10_05.xlsx&amp;sheet=U0&amp;row=12886&amp;col=6&amp;number=3.2&amp;sourceID=14","3.2")</f>
        <v>3.2</v>
      </c>
      <c r="G12886" s="4" t="str">
        <f>HYPERLINK("http://141.218.60.56/~jnz1568/getInfo.php?workbook=10_05.xlsx&amp;sheet=U0&amp;row=12886&amp;col=7&amp;number=0.0151&amp;sourceID=14","0.0151")</f>
        <v>0.0151</v>
      </c>
    </row>
    <row r="12887" spans="1:7">
      <c r="A12887" s="3"/>
      <c r="B12887" s="3"/>
      <c r="C12887" s="3"/>
      <c r="D12887" s="3"/>
      <c r="E12887" s="3">
        <v>4</v>
      </c>
      <c r="F12887" s="4" t="str">
        <f>HYPERLINK("http://141.218.60.56/~jnz1568/getInfo.php?workbook=10_05.xlsx&amp;sheet=U0&amp;row=12887&amp;col=6&amp;number=3.3&amp;sourceID=14","3.3")</f>
        <v>3.3</v>
      </c>
      <c r="G12887" s="4" t="str">
        <f>HYPERLINK("http://141.218.60.56/~jnz1568/getInfo.php?workbook=10_05.xlsx&amp;sheet=U0&amp;row=12887&amp;col=7&amp;number=0.0151&amp;sourceID=14","0.0151")</f>
        <v>0.0151</v>
      </c>
    </row>
    <row r="12888" spans="1:7">
      <c r="A12888" s="3"/>
      <c r="B12888" s="3"/>
      <c r="C12888" s="3"/>
      <c r="D12888" s="3"/>
      <c r="E12888" s="3">
        <v>5</v>
      </c>
      <c r="F12888" s="4" t="str">
        <f>HYPERLINK("http://141.218.60.56/~jnz1568/getInfo.php?workbook=10_05.xlsx&amp;sheet=U0&amp;row=12888&amp;col=6&amp;number=3.4&amp;sourceID=14","3.4")</f>
        <v>3.4</v>
      </c>
      <c r="G12888" s="4" t="str">
        <f>HYPERLINK("http://141.218.60.56/~jnz1568/getInfo.php?workbook=10_05.xlsx&amp;sheet=U0&amp;row=12888&amp;col=7&amp;number=0.0151&amp;sourceID=14","0.0151")</f>
        <v>0.0151</v>
      </c>
    </row>
    <row r="12889" spans="1:7">
      <c r="A12889" s="3"/>
      <c r="B12889" s="3"/>
      <c r="C12889" s="3"/>
      <c r="D12889" s="3"/>
      <c r="E12889" s="3">
        <v>6</v>
      </c>
      <c r="F12889" s="4" t="str">
        <f>HYPERLINK("http://141.218.60.56/~jnz1568/getInfo.php?workbook=10_05.xlsx&amp;sheet=U0&amp;row=12889&amp;col=6&amp;number=3.5&amp;sourceID=14","3.5")</f>
        <v>3.5</v>
      </c>
      <c r="G12889" s="4" t="str">
        <f>HYPERLINK("http://141.218.60.56/~jnz1568/getInfo.php?workbook=10_05.xlsx&amp;sheet=U0&amp;row=12889&amp;col=7&amp;number=0.015&amp;sourceID=14","0.015")</f>
        <v>0.015</v>
      </c>
    </row>
    <row r="12890" spans="1:7">
      <c r="A12890" s="3"/>
      <c r="B12890" s="3"/>
      <c r="C12890" s="3"/>
      <c r="D12890" s="3"/>
      <c r="E12890" s="3">
        <v>7</v>
      </c>
      <c r="F12890" s="4" t="str">
        <f>HYPERLINK("http://141.218.60.56/~jnz1568/getInfo.php?workbook=10_05.xlsx&amp;sheet=U0&amp;row=12890&amp;col=6&amp;number=3.6&amp;sourceID=14","3.6")</f>
        <v>3.6</v>
      </c>
      <c r="G12890" s="4" t="str">
        <f>HYPERLINK("http://141.218.60.56/~jnz1568/getInfo.php?workbook=10_05.xlsx&amp;sheet=U0&amp;row=12890&amp;col=7&amp;number=0.015&amp;sourceID=14","0.015")</f>
        <v>0.015</v>
      </c>
    </row>
    <row r="12891" spans="1:7">
      <c r="A12891" s="3"/>
      <c r="B12891" s="3"/>
      <c r="C12891" s="3"/>
      <c r="D12891" s="3"/>
      <c r="E12891" s="3">
        <v>8</v>
      </c>
      <c r="F12891" s="4" t="str">
        <f>HYPERLINK("http://141.218.60.56/~jnz1568/getInfo.php?workbook=10_05.xlsx&amp;sheet=U0&amp;row=12891&amp;col=6&amp;number=3.7&amp;sourceID=14","3.7")</f>
        <v>3.7</v>
      </c>
      <c r="G12891" s="4" t="str">
        <f>HYPERLINK("http://141.218.60.56/~jnz1568/getInfo.php?workbook=10_05.xlsx&amp;sheet=U0&amp;row=12891&amp;col=7&amp;number=0.015&amp;sourceID=14","0.015")</f>
        <v>0.015</v>
      </c>
    </row>
    <row r="12892" spans="1:7">
      <c r="A12892" s="3"/>
      <c r="B12892" s="3"/>
      <c r="C12892" s="3"/>
      <c r="D12892" s="3"/>
      <c r="E12892" s="3">
        <v>9</v>
      </c>
      <c r="F12892" s="4" t="str">
        <f>HYPERLINK("http://141.218.60.56/~jnz1568/getInfo.php?workbook=10_05.xlsx&amp;sheet=U0&amp;row=12892&amp;col=6&amp;number=3.8&amp;sourceID=14","3.8")</f>
        <v>3.8</v>
      </c>
      <c r="G12892" s="4" t="str">
        <f>HYPERLINK("http://141.218.60.56/~jnz1568/getInfo.php?workbook=10_05.xlsx&amp;sheet=U0&amp;row=12892&amp;col=7&amp;number=0.0149&amp;sourceID=14","0.0149")</f>
        <v>0.0149</v>
      </c>
    </row>
    <row r="12893" spans="1:7">
      <c r="A12893" s="3"/>
      <c r="B12893" s="3"/>
      <c r="C12893" s="3"/>
      <c r="D12893" s="3"/>
      <c r="E12893" s="3">
        <v>10</v>
      </c>
      <c r="F12893" s="4" t="str">
        <f>HYPERLINK("http://141.218.60.56/~jnz1568/getInfo.php?workbook=10_05.xlsx&amp;sheet=U0&amp;row=12893&amp;col=6&amp;number=3.9&amp;sourceID=14","3.9")</f>
        <v>3.9</v>
      </c>
      <c r="G12893" s="4" t="str">
        <f>HYPERLINK("http://141.218.60.56/~jnz1568/getInfo.php?workbook=10_05.xlsx&amp;sheet=U0&amp;row=12893&amp;col=7&amp;number=0.0148&amp;sourceID=14","0.0148")</f>
        <v>0.0148</v>
      </c>
    </row>
    <row r="12894" spans="1:7">
      <c r="A12894" s="3"/>
      <c r="B12894" s="3"/>
      <c r="C12894" s="3"/>
      <c r="D12894" s="3"/>
      <c r="E12894" s="3">
        <v>11</v>
      </c>
      <c r="F12894" s="4" t="str">
        <f>HYPERLINK("http://141.218.60.56/~jnz1568/getInfo.php?workbook=10_05.xlsx&amp;sheet=U0&amp;row=12894&amp;col=6&amp;number=4&amp;sourceID=14","4")</f>
        <v>4</v>
      </c>
      <c r="G12894" s="4" t="str">
        <f>HYPERLINK("http://141.218.60.56/~jnz1568/getInfo.php?workbook=10_05.xlsx&amp;sheet=U0&amp;row=12894&amp;col=7&amp;number=0.0148&amp;sourceID=14","0.0148")</f>
        <v>0.0148</v>
      </c>
    </row>
    <row r="12895" spans="1:7">
      <c r="A12895" s="3"/>
      <c r="B12895" s="3"/>
      <c r="C12895" s="3"/>
      <c r="D12895" s="3"/>
      <c r="E12895" s="3">
        <v>12</v>
      </c>
      <c r="F12895" s="4" t="str">
        <f>HYPERLINK("http://141.218.60.56/~jnz1568/getInfo.php?workbook=10_05.xlsx&amp;sheet=U0&amp;row=12895&amp;col=6&amp;number=4.1&amp;sourceID=14","4.1")</f>
        <v>4.1</v>
      </c>
      <c r="G12895" s="4" t="str">
        <f>HYPERLINK("http://141.218.60.56/~jnz1568/getInfo.php?workbook=10_05.xlsx&amp;sheet=U0&amp;row=12895&amp;col=7&amp;number=0.0147&amp;sourceID=14","0.0147")</f>
        <v>0.0147</v>
      </c>
    </row>
    <row r="12896" spans="1:7">
      <c r="A12896" s="3"/>
      <c r="B12896" s="3"/>
      <c r="C12896" s="3"/>
      <c r="D12896" s="3"/>
      <c r="E12896" s="3">
        <v>13</v>
      </c>
      <c r="F12896" s="4" t="str">
        <f>HYPERLINK("http://141.218.60.56/~jnz1568/getInfo.php?workbook=10_05.xlsx&amp;sheet=U0&amp;row=12896&amp;col=6&amp;number=4.2&amp;sourceID=14","4.2")</f>
        <v>4.2</v>
      </c>
      <c r="G12896" s="4" t="str">
        <f>HYPERLINK("http://141.218.60.56/~jnz1568/getInfo.php?workbook=10_05.xlsx&amp;sheet=U0&amp;row=12896&amp;col=7&amp;number=0.0145&amp;sourceID=14","0.0145")</f>
        <v>0.0145</v>
      </c>
    </row>
    <row r="12897" spans="1:7">
      <c r="A12897" s="3"/>
      <c r="B12897" s="3"/>
      <c r="C12897" s="3"/>
      <c r="D12897" s="3"/>
      <c r="E12897" s="3">
        <v>14</v>
      </c>
      <c r="F12897" s="4" t="str">
        <f>HYPERLINK("http://141.218.60.56/~jnz1568/getInfo.php?workbook=10_05.xlsx&amp;sheet=U0&amp;row=12897&amp;col=6&amp;number=4.3&amp;sourceID=14","4.3")</f>
        <v>4.3</v>
      </c>
      <c r="G12897" s="4" t="str">
        <f>HYPERLINK("http://141.218.60.56/~jnz1568/getInfo.php?workbook=10_05.xlsx&amp;sheet=U0&amp;row=12897&amp;col=7&amp;number=0.0144&amp;sourceID=14","0.0144")</f>
        <v>0.0144</v>
      </c>
    </row>
    <row r="12898" spans="1:7">
      <c r="A12898" s="3"/>
      <c r="B12898" s="3"/>
      <c r="C12898" s="3"/>
      <c r="D12898" s="3"/>
      <c r="E12898" s="3">
        <v>15</v>
      </c>
      <c r="F12898" s="4" t="str">
        <f>HYPERLINK("http://141.218.60.56/~jnz1568/getInfo.php?workbook=10_05.xlsx&amp;sheet=U0&amp;row=12898&amp;col=6&amp;number=4.4&amp;sourceID=14","4.4")</f>
        <v>4.4</v>
      </c>
      <c r="G12898" s="4" t="str">
        <f>HYPERLINK("http://141.218.60.56/~jnz1568/getInfo.php?workbook=10_05.xlsx&amp;sheet=U0&amp;row=12898&amp;col=7&amp;number=0.0142&amp;sourceID=14","0.0142")</f>
        <v>0.0142</v>
      </c>
    </row>
    <row r="12899" spans="1:7">
      <c r="A12899" s="3"/>
      <c r="B12899" s="3"/>
      <c r="C12899" s="3"/>
      <c r="D12899" s="3"/>
      <c r="E12899" s="3">
        <v>16</v>
      </c>
      <c r="F12899" s="4" t="str">
        <f>HYPERLINK("http://141.218.60.56/~jnz1568/getInfo.php?workbook=10_05.xlsx&amp;sheet=U0&amp;row=12899&amp;col=6&amp;number=4.5&amp;sourceID=14","4.5")</f>
        <v>4.5</v>
      </c>
      <c r="G12899" s="4" t="str">
        <f>HYPERLINK("http://141.218.60.56/~jnz1568/getInfo.php?workbook=10_05.xlsx&amp;sheet=U0&amp;row=12899&amp;col=7&amp;number=0.014&amp;sourceID=14","0.014")</f>
        <v>0.014</v>
      </c>
    </row>
    <row r="12900" spans="1:7">
      <c r="A12900" s="3"/>
      <c r="B12900" s="3"/>
      <c r="C12900" s="3"/>
      <c r="D12900" s="3"/>
      <c r="E12900" s="3">
        <v>17</v>
      </c>
      <c r="F12900" s="4" t="str">
        <f>HYPERLINK("http://141.218.60.56/~jnz1568/getInfo.php?workbook=10_05.xlsx&amp;sheet=U0&amp;row=12900&amp;col=6&amp;number=4.6&amp;sourceID=14","4.6")</f>
        <v>4.6</v>
      </c>
      <c r="G12900" s="4" t="str">
        <f>HYPERLINK("http://141.218.60.56/~jnz1568/getInfo.php?workbook=10_05.xlsx&amp;sheet=U0&amp;row=12900&amp;col=7&amp;number=0.0138&amp;sourceID=14","0.0138")</f>
        <v>0.0138</v>
      </c>
    </row>
    <row r="12901" spans="1:7">
      <c r="A12901" s="3"/>
      <c r="B12901" s="3"/>
      <c r="C12901" s="3"/>
      <c r="D12901" s="3"/>
      <c r="E12901" s="3">
        <v>18</v>
      </c>
      <c r="F12901" s="4" t="str">
        <f>HYPERLINK("http://141.218.60.56/~jnz1568/getInfo.php?workbook=10_05.xlsx&amp;sheet=U0&amp;row=12901&amp;col=6&amp;number=4.7&amp;sourceID=14","4.7")</f>
        <v>4.7</v>
      </c>
      <c r="G12901" s="4" t="str">
        <f>HYPERLINK("http://141.218.60.56/~jnz1568/getInfo.php?workbook=10_05.xlsx&amp;sheet=U0&amp;row=12901&amp;col=7&amp;number=0.0136&amp;sourceID=14","0.0136")</f>
        <v>0.0136</v>
      </c>
    </row>
    <row r="12902" spans="1:7">
      <c r="A12902" s="3"/>
      <c r="B12902" s="3"/>
      <c r="C12902" s="3"/>
      <c r="D12902" s="3"/>
      <c r="E12902" s="3">
        <v>19</v>
      </c>
      <c r="F12902" s="4" t="str">
        <f>HYPERLINK("http://141.218.60.56/~jnz1568/getInfo.php?workbook=10_05.xlsx&amp;sheet=U0&amp;row=12902&amp;col=6&amp;number=4.8&amp;sourceID=14","4.8")</f>
        <v>4.8</v>
      </c>
      <c r="G12902" s="4" t="str">
        <f>HYPERLINK("http://141.218.60.56/~jnz1568/getInfo.php?workbook=10_05.xlsx&amp;sheet=U0&amp;row=12902&amp;col=7&amp;number=0.0133&amp;sourceID=14","0.0133")</f>
        <v>0.0133</v>
      </c>
    </row>
    <row r="12903" spans="1:7">
      <c r="A12903" s="3"/>
      <c r="B12903" s="3"/>
      <c r="C12903" s="3"/>
      <c r="D12903" s="3"/>
      <c r="E12903" s="3">
        <v>20</v>
      </c>
      <c r="F12903" s="4" t="str">
        <f>HYPERLINK("http://141.218.60.56/~jnz1568/getInfo.php?workbook=10_05.xlsx&amp;sheet=U0&amp;row=12903&amp;col=6&amp;number=4.9&amp;sourceID=14","4.9")</f>
        <v>4.9</v>
      </c>
      <c r="G12903" s="4" t="str">
        <f>HYPERLINK("http://141.218.60.56/~jnz1568/getInfo.php?workbook=10_05.xlsx&amp;sheet=U0&amp;row=12903&amp;col=7&amp;number=0.0131&amp;sourceID=14","0.0131")</f>
        <v>0.0131</v>
      </c>
    </row>
    <row r="12904" spans="1:7">
      <c r="A12904" s="3">
        <v>10</v>
      </c>
      <c r="B12904" s="3">
        <v>5</v>
      </c>
      <c r="C12904" s="3">
        <v>4</v>
      </c>
      <c r="D12904" s="3">
        <v>116</v>
      </c>
      <c r="E12904" s="3">
        <v>1</v>
      </c>
      <c r="F12904" s="4" t="str">
        <f>HYPERLINK("http://141.218.60.56/~jnz1568/getInfo.php?workbook=10_05.xlsx&amp;sheet=U0&amp;row=12904&amp;col=6&amp;number=3&amp;sourceID=14","3")</f>
        <v>3</v>
      </c>
      <c r="G12904" s="4" t="str">
        <f>HYPERLINK("http://141.218.60.56/~jnz1568/getInfo.php?workbook=10_05.xlsx&amp;sheet=U0&amp;row=12904&amp;col=7&amp;number=0.0107&amp;sourceID=14","0.0107")</f>
        <v>0.0107</v>
      </c>
    </row>
    <row r="12905" spans="1:7">
      <c r="A12905" s="3"/>
      <c r="B12905" s="3"/>
      <c r="C12905" s="3"/>
      <c r="D12905" s="3"/>
      <c r="E12905" s="3">
        <v>2</v>
      </c>
      <c r="F12905" s="4" t="str">
        <f>HYPERLINK("http://141.218.60.56/~jnz1568/getInfo.php?workbook=10_05.xlsx&amp;sheet=U0&amp;row=12905&amp;col=6&amp;number=3.1&amp;sourceID=14","3.1")</f>
        <v>3.1</v>
      </c>
      <c r="G12905" s="4" t="str">
        <f>HYPERLINK("http://141.218.60.56/~jnz1568/getInfo.php?workbook=10_05.xlsx&amp;sheet=U0&amp;row=12905&amp;col=7&amp;number=0.0107&amp;sourceID=14","0.0107")</f>
        <v>0.0107</v>
      </c>
    </row>
    <row r="12906" spans="1:7">
      <c r="A12906" s="3"/>
      <c r="B12906" s="3"/>
      <c r="C12906" s="3"/>
      <c r="D12906" s="3"/>
      <c r="E12906" s="3">
        <v>3</v>
      </c>
      <c r="F12906" s="4" t="str">
        <f>HYPERLINK("http://141.218.60.56/~jnz1568/getInfo.php?workbook=10_05.xlsx&amp;sheet=U0&amp;row=12906&amp;col=6&amp;number=3.2&amp;sourceID=14","3.2")</f>
        <v>3.2</v>
      </c>
      <c r="G12906" s="4" t="str">
        <f>HYPERLINK("http://141.218.60.56/~jnz1568/getInfo.php?workbook=10_05.xlsx&amp;sheet=U0&amp;row=12906&amp;col=7&amp;number=0.0106&amp;sourceID=14","0.0106")</f>
        <v>0.0106</v>
      </c>
    </row>
    <row r="12907" spans="1:7">
      <c r="A12907" s="3"/>
      <c r="B12907" s="3"/>
      <c r="C12907" s="3"/>
      <c r="D12907" s="3"/>
      <c r="E12907" s="3">
        <v>4</v>
      </c>
      <c r="F12907" s="4" t="str">
        <f>HYPERLINK("http://141.218.60.56/~jnz1568/getInfo.php?workbook=10_05.xlsx&amp;sheet=U0&amp;row=12907&amp;col=6&amp;number=3.3&amp;sourceID=14","3.3")</f>
        <v>3.3</v>
      </c>
      <c r="G12907" s="4" t="str">
        <f>HYPERLINK("http://141.218.60.56/~jnz1568/getInfo.php?workbook=10_05.xlsx&amp;sheet=U0&amp;row=12907&amp;col=7&amp;number=0.0106&amp;sourceID=14","0.0106")</f>
        <v>0.0106</v>
      </c>
    </row>
    <row r="12908" spans="1:7">
      <c r="A12908" s="3"/>
      <c r="B12908" s="3"/>
      <c r="C12908" s="3"/>
      <c r="D12908" s="3"/>
      <c r="E12908" s="3">
        <v>5</v>
      </c>
      <c r="F12908" s="4" t="str">
        <f>HYPERLINK("http://141.218.60.56/~jnz1568/getInfo.php?workbook=10_05.xlsx&amp;sheet=U0&amp;row=12908&amp;col=6&amp;number=3.4&amp;sourceID=14","3.4")</f>
        <v>3.4</v>
      </c>
      <c r="G12908" s="4" t="str">
        <f>HYPERLINK("http://141.218.60.56/~jnz1568/getInfo.php?workbook=10_05.xlsx&amp;sheet=U0&amp;row=12908&amp;col=7&amp;number=0.0106&amp;sourceID=14","0.0106")</f>
        <v>0.0106</v>
      </c>
    </row>
    <row r="12909" spans="1:7">
      <c r="A12909" s="3"/>
      <c r="B12909" s="3"/>
      <c r="C12909" s="3"/>
      <c r="D12909" s="3"/>
      <c r="E12909" s="3">
        <v>6</v>
      </c>
      <c r="F12909" s="4" t="str">
        <f>HYPERLINK("http://141.218.60.56/~jnz1568/getInfo.php?workbook=10_05.xlsx&amp;sheet=U0&amp;row=12909&amp;col=6&amp;number=3.5&amp;sourceID=14","3.5")</f>
        <v>3.5</v>
      </c>
      <c r="G12909" s="4" t="str">
        <f>HYPERLINK("http://141.218.60.56/~jnz1568/getInfo.php?workbook=10_05.xlsx&amp;sheet=U0&amp;row=12909&amp;col=7&amp;number=0.0105&amp;sourceID=14","0.0105")</f>
        <v>0.0105</v>
      </c>
    </row>
    <row r="12910" spans="1:7">
      <c r="A12910" s="3"/>
      <c r="B12910" s="3"/>
      <c r="C12910" s="3"/>
      <c r="D12910" s="3"/>
      <c r="E12910" s="3">
        <v>7</v>
      </c>
      <c r="F12910" s="4" t="str">
        <f>HYPERLINK("http://141.218.60.56/~jnz1568/getInfo.php?workbook=10_05.xlsx&amp;sheet=U0&amp;row=12910&amp;col=6&amp;number=3.6&amp;sourceID=14","3.6")</f>
        <v>3.6</v>
      </c>
      <c r="G12910" s="4" t="str">
        <f>HYPERLINK("http://141.218.60.56/~jnz1568/getInfo.php?workbook=10_05.xlsx&amp;sheet=U0&amp;row=12910&amp;col=7&amp;number=0.0104&amp;sourceID=14","0.0104")</f>
        <v>0.0104</v>
      </c>
    </row>
    <row r="12911" spans="1:7">
      <c r="A12911" s="3"/>
      <c r="B12911" s="3"/>
      <c r="C12911" s="3"/>
      <c r="D12911" s="3"/>
      <c r="E12911" s="3">
        <v>8</v>
      </c>
      <c r="F12911" s="4" t="str">
        <f>HYPERLINK("http://141.218.60.56/~jnz1568/getInfo.php?workbook=10_05.xlsx&amp;sheet=U0&amp;row=12911&amp;col=6&amp;number=3.7&amp;sourceID=14","3.7")</f>
        <v>3.7</v>
      </c>
      <c r="G12911" s="4" t="str">
        <f>HYPERLINK("http://141.218.60.56/~jnz1568/getInfo.php?workbook=10_05.xlsx&amp;sheet=U0&amp;row=12911&amp;col=7&amp;number=0.0104&amp;sourceID=14","0.0104")</f>
        <v>0.0104</v>
      </c>
    </row>
    <row r="12912" spans="1:7">
      <c r="A12912" s="3"/>
      <c r="B12912" s="3"/>
      <c r="C12912" s="3"/>
      <c r="D12912" s="3"/>
      <c r="E12912" s="3">
        <v>9</v>
      </c>
      <c r="F12912" s="4" t="str">
        <f>HYPERLINK("http://141.218.60.56/~jnz1568/getInfo.php?workbook=10_05.xlsx&amp;sheet=U0&amp;row=12912&amp;col=6&amp;number=3.8&amp;sourceID=14","3.8")</f>
        <v>3.8</v>
      </c>
      <c r="G12912" s="4" t="str">
        <f>HYPERLINK("http://141.218.60.56/~jnz1568/getInfo.php?workbook=10_05.xlsx&amp;sheet=U0&amp;row=12912&amp;col=7&amp;number=0.0103&amp;sourceID=14","0.0103")</f>
        <v>0.0103</v>
      </c>
    </row>
    <row r="12913" spans="1:7">
      <c r="A12913" s="3"/>
      <c r="B12913" s="3"/>
      <c r="C12913" s="3"/>
      <c r="D12913" s="3"/>
      <c r="E12913" s="3">
        <v>10</v>
      </c>
      <c r="F12913" s="4" t="str">
        <f>HYPERLINK("http://141.218.60.56/~jnz1568/getInfo.php?workbook=10_05.xlsx&amp;sheet=U0&amp;row=12913&amp;col=6&amp;number=3.9&amp;sourceID=14","3.9")</f>
        <v>3.9</v>
      </c>
      <c r="G12913" s="4" t="str">
        <f>HYPERLINK("http://141.218.60.56/~jnz1568/getInfo.php?workbook=10_05.xlsx&amp;sheet=U0&amp;row=12913&amp;col=7&amp;number=0.0102&amp;sourceID=14","0.0102")</f>
        <v>0.0102</v>
      </c>
    </row>
    <row r="12914" spans="1:7">
      <c r="A12914" s="3"/>
      <c r="B12914" s="3"/>
      <c r="C12914" s="3"/>
      <c r="D12914" s="3"/>
      <c r="E12914" s="3">
        <v>11</v>
      </c>
      <c r="F12914" s="4" t="str">
        <f>HYPERLINK("http://141.218.60.56/~jnz1568/getInfo.php?workbook=10_05.xlsx&amp;sheet=U0&amp;row=12914&amp;col=6&amp;number=4&amp;sourceID=14","4")</f>
        <v>4</v>
      </c>
      <c r="G12914" s="4" t="str">
        <f>HYPERLINK("http://141.218.60.56/~jnz1568/getInfo.php?workbook=10_05.xlsx&amp;sheet=U0&amp;row=12914&amp;col=7&amp;number=0.01&amp;sourceID=14","0.01")</f>
        <v>0.01</v>
      </c>
    </row>
    <row r="12915" spans="1:7">
      <c r="A12915" s="3"/>
      <c r="B12915" s="3"/>
      <c r="C12915" s="3"/>
      <c r="D12915" s="3"/>
      <c r="E12915" s="3">
        <v>12</v>
      </c>
      <c r="F12915" s="4" t="str">
        <f>HYPERLINK("http://141.218.60.56/~jnz1568/getInfo.php?workbook=10_05.xlsx&amp;sheet=U0&amp;row=12915&amp;col=6&amp;number=4.1&amp;sourceID=14","4.1")</f>
        <v>4.1</v>
      </c>
      <c r="G12915" s="4" t="str">
        <f>HYPERLINK("http://141.218.60.56/~jnz1568/getInfo.php?workbook=10_05.xlsx&amp;sheet=U0&amp;row=12915&amp;col=7&amp;number=0.00984&amp;sourceID=14","0.00984")</f>
        <v>0.00984</v>
      </c>
    </row>
    <row r="12916" spans="1:7">
      <c r="A12916" s="3"/>
      <c r="B12916" s="3"/>
      <c r="C12916" s="3"/>
      <c r="D12916" s="3"/>
      <c r="E12916" s="3">
        <v>13</v>
      </c>
      <c r="F12916" s="4" t="str">
        <f>HYPERLINK("http://141.218.60.56/~jnz1568/getInfo.php?workbook=10_05.xlsx&amp;sheet=U0&amp;row=12916&amp;col=6&amp;number=4.2&amp;sourceID=14","4.2")</f>
        <v>4.2</v>
      </c>
      <c r="G12916" s="4" t="str">
        <f>HYPERLINK("http://141.218.60.56/~jnz1568/getInfo.php?workbook=10_05.xlsx&amp;sheet=U0&amp;row=12916&amp;col=7&amp;number=0.00965&amp;sourceID=14","0.00965")</f>
        <v>0.00965</v>
      </c>
    </row>
    <row r="12917" spans="1:7">
      <c r="A12917" s="3"/>
      <c r="B12917" s="3"/>
      <c r="C12917" s="3"/>
      <c r="D12917" s="3"/>
      <c r="E12917" s="3">
        <v>14</v>
      </c>
      <c r="F12917" s="4" t="str">
        <f>HYPERLINK("http://141.218.60.56/~jnz1568/getInfo.php?workbook=10_05.xlsx&amp;sheet=U0&amp;row=12917&amp;col=6&amp;number=4.3&amp;sourceID=14","4.3")</f>
        <v>4.3</v>
      </c>
      <c r="G12917" s="4" t="str">
        <f>HYPERLINK("http://141.218.60.56/~jnz1568/getInfo.php?workbook=10_05.xlsx&amp;sheet=U0&amp;row=12917&amp;col=7&amp;number=0.00943&amp;sourceID=14","0.00943")</f>
        <v>0.00943</v>
      </c>
    </row>
    <row r="12918" spans="1:7">
      <c r="A12918" s="3"/>
      <c r="B12918" s="3"/>
      <c r="C12918" s="3"/>
      <c r="D12918" s="3"/>
      <c r="E12918" s="3">
        <v>15</v>
      </c>
      <c r="F12918" s="4" t="str">
        <f>HYPERLINK("http://141.218.60.56/~jnz1568/getInfo.php?workbook=10_05.xlsx&amp;sheet=U0&amp;row=12918&amp;col=6&amp;number=4.4&amp;sourceID=14","4.4")</f>
        <v>4.4</v>
      </c>
      <c r="G12918" s="4" t="str">
        <f>HYPERLINK("http://141.218.60.56/~jnz1568/getInfo.php?workbook=10_05.xlsx&amp;sheet=U0&amp;row=12918&amp;col=7&amp;number=0.00921&amp;sourceID=14","0.00921")</f>
        <v>0.00921</v>
      </c>
    </row>
    <row r="12919" spans="1:7">
      <c r="A12919" s="3"/>
      <c r="B12919" s="3"/>
      <c r="C12919" s="3"/>
      <c r="D12919" s="3"/>
      <c r="E12919" s="3">
        <v>16</v>
      </c>
      <c r="F12919" s="4" t="str">
        <f>HYPERLINK("http://141.218.60.56/~jnz1568/getInfo.php?workbook=10_05.xlsx&amp;sheet=U0&amp;row=12919&amp;col=6&amp;number=4.5&amp;sourceID=14","4.5")</f>
        <v>4.5</v>
      </c>
      <c r="G12919" s="4" t="str">
        <f>HYPERLINK("http://141.218.60.56/~jnz1568/getInfo.php?workbook=10_05.xlsx&amp;sheet=U0&amp;row=12919&amp;col=7&amp;number=0.00898&amp;sourceID=14","0.00898")</f>
        <v>0.00898</v>
      </c>
    </row>
    <row r="12920" spans="1:7">
      <c r="A12920" s="3"/>
      <c r="B12920" s="3"/>
      <c r="C12920" s="3"/>
      <c r="D12920" s="3"/>
      <c r="E12920" s="3">
        <v>17</v>
      </c>
      <c r="F12920" s="4" t="str">
        <f>HYPERLINK("http://141.218.60.56/~jnz1568/getInfo.php?workbook=10_05.xlsx&amp;sheet=U0&amp;row=12920&amp;col=6&amp;number=4.6&amp;sourceID=14","4.6")</f>
        <v>4.6</v>
      </c>
      <c r="G12920" s="4" t="str">
        <f>HYPERLINK("http://141.218.60.56/~jnz1568/getInfo.php?workbook=10_05.xlsx&amp;sheet=U0&amp;row=12920&amp;col=7&amp;number=0.00876&amp;sourceID=14","0.00876")</f>
        <v>0.00876</v>
      </c>
    </row>
    <row r="12921" spans="1:7">
      <c r="A12921" s="3"/>
      <c r="B12921" s="3"/>
      <c r="C12921" s="3"/>
      <c r="D12921" s="3"/>
      <c r="E12921" s="3">
        <v>18</v>
      </c>
      <c r="F12921" s="4" t="str">
        <f>HYPERLINK("http://141.218.60.56/~jnz1568/getInfo.php?workbook=10_05.xlsx&amp;sheet=U0&amp;row=12921&amp;col=6&amp;number=4.7&amp;sourceID=14","4.7")</f>
        <v>4.7</v>
      </c>
      <c r="G12921" s="4" t="str">
        <f>HYPERLINK("http://141.218.60.56/~jnz1568/getInfo.php?workbook=10_05.xlsx&amp;sheet=U0&amp;row=12921&amp;col=7&amp;number=0.00855&amp;sourceID=14","0.00855")</f>
        <v>0.00855</v>
      </c>
    </row>
    <row r="12922" spans="1:7">
      <c r="A12922" s="3"/>
      <c r="B12922" s="3"/>
      <c r="C12922" s="3"/>
      <c r="D12922" s="3"/>
      <c r="E12922" s="3">
        <v>19</v>
      </c>
      <c r="F12922" s="4" t="str">
        <f>HYPERLINK("http://141.218.60.56/~jnz1568/getInfo.php?workbook=10_05.xlsx&amp;sheet=U0&amp;row=12922&amp;col=6&amp;number=4.8&amp;sourceID=14","4.8")</f>
        <v>4.8</v>
      </c>
      <c r="G12922" s="4" t="str">
        <f>HYPERLINK("http://141.218.60.56/~jnz1568/getInfo.php?workbook=10_05.xlsx&amp;sheet=U0&amp;row=12922&amp;col=7&amp;number=0.00834&amp;sourceID=14","0.00834")</f>
        <v>0.00834</v>
      </c>
    </row>
    <row r="12923" spans="1:7">
      <c r="A12923" s="3"/>
      <c r="B12923" s="3"/>
      <c r="C12923" s="3"/>
      <c r="D12923" s="3"/>
      <c r="E12923" s="3">
        <v>20</v>
      </c>
      <c r="F12923" s="4" t="str">
        <f>HYPERLINK("http://141.218.60.56/~jnz1568/getInfo.php?workbook=10_05.xlsx&amp;sheet=U0&amp;row=12923&amp;col=6&amp;number=4.9&amp;sourceID=14","4.9")</f>
        <v>4.9</v>
      </c>
      <c r="G12923" s="4" t="str">
        <f>HYPERLINK("http://141.218.60.56/~jnz1568/getInfo.php?workbook=10_05.xlsx&amp;sheet=U0&amp;row=12923&amp;col=7&amp;number=0.00812&amp;sourceID=14","0.00812")</f>
        <v>0.00812</v>
      </c>
    </row>
    <row r="12924" spans="1:7">
      <c r="A12924" s="3">
        <v>10</v>
      </c>
      <c r="B12924" s="3">
        <v>5</v>
      </c>
      <c r="C12924" s="3">
        <v>4</v>
      </c>
      <c r="D12924" s="3">
        <v>117</v>
      </c>
      <c r="E12924" s="3">
        <v>1</v>
      </c>
      <c r="F12924" s="4" t="str">
        <f>HYPERLINK("http://141.218.60.56/~jnz1568/getInfo.php?workbook=10_05.xlsx&amp;sheet=U0&amp;row=12924&amp;col=6&amp;number=3&amp;sourceID=14","3")</f>
        <v>3</v>
      </c>
      <c r="G12924" s="4" t="str">
        <f>HYPERLINK("http://141.218.60.56/~jnz1568/getInfo.php?workbook=10_05.xlsx&amp;sheet=U0&amp;row=12924&amp;col=7&amp;number=0.0577&amp;sourceID=14","0.0577")</f>
        <v>0.0577</v>
      </c>
    </row>
    <row r="12925" spans="1:7">
      <c r="A12925" s="3"/>
      <c r="B12925" s="3"/>
      <c r="C12925" s="3"/>
      <c r="D12925" s="3"/>
      <c r="E12925" s="3">
        <v>2</v>
      </c>
      <c r="F12925" s="4" t="str">
        <f>HYPERLINK("http://141.218.60.56/~jnz1568/getInfo.php?workbook=10_05.xlsx&amp;sheet=U0&amp;row=12925&amp;col=6&amp;number=3.1&amp;sourceID=14","3.1")</f>
        <v>3.1</v>
      </c>
      <c r="G12925" s="4" t="str">
        <f>HYPERLINK("http://141.218.60.56/~jnz1568/getInfo.php?workbook=10_05.xlsx&amp;sheet=U0&amp;row=12925&amp;col=7&amp;number=0.0574&amp;sourceID=14","0.0574")</f>
        <v>0.0574</v>
      </c>
    </row>
    <row r="12926" spans="1:7">
      <c r="A12926" s="3"/>
      <c r="B12926" s="3"/>
      <c r="C12926" s="3"/>
      <c r="D12926" s="3"/>
      <c r="E12926" s="3">
        <v>3</v>
      </c>
      <c r="F12926" s="4" t="str">
        <f>HYPERLINK("http://141.218.60.56/~jnz1568/getInfo.php?workbook=10_05.xlsx&amp;sheet=U0&amp;row=12926&amp;col=6&amp;number=3.2&amp;sourceID=14","3.2")</f>
        <v>3.2</v>
      </c>
      <c r="G12926" s="4" t="str">
        <f>HYPERLINK("http://141.218.60.56/~jnz1568/getInfo.php?workbook=10_05.xlsx&amp;sheet=U0&amp;row=12926&amp;col=7&amp;number=0.0571&amp;sourceID=14","0.0571")</f>
        <v>0.0571</v>
      </c>
    </row>
    <row r="12927" spans="1:7">
      <c r="A12927" s="3"/>
      <c r="B12927" s="3"/>
      <c r="C12927" s="3"/>
      <c r="D12927" s="3"/>
      <c r="E12927" s="3">
        <v>4</v>
      </c>
      <c r="F12927" s="4" t="str">
        <f>HYPERLINK("http://141.218.60.56/~jnz1568/getInfo.php?workbook=10_05.xlsx&amp;sheet=U0&amp;row=12927&amp;col=6&amp;number=3.3&amp;sourceID=14","3.3")</f>
        <v>3.3</v>
      </c>
      <c r="G12927" s="4" t="str">
        <f>HYPERLINK("http://141.218.60.56/~jnz1568/getInfo.php?workbook=10_05.xlsx&amp;sheet=U0&amp;row=12927&amp;col=7&amp;number=0.0567&amp;sourceID=14","0.0567")</f>
        <v>0.0567</v>
      </c>
    </row>
    <row r="12928" spans="1:7">
      <c r="A12928" s="3"/>
      <c r="B12928" s="3"/>
      <c r="C12928" s="3"/>
      <c r="D12928" s="3"/>
      <c r="E12928" s="3">
        <v>5</v>
      </c>
      <c r="F12928" s="4" t="str">
        <f>HYPERLINK("http://141.218.60.56/~jnz1568/getInfo.php?workbook=10_05.xlsx&amp;sheet=U0&amp;row=12928&amp;col=6&amp;number=3.4&amp;sourceID=14","3.4")</f>
        <v>3.4</v>
      </c>
      <c r="G12928" s="4" t="str">
        <f>HYPERLINK("http://141.218.60.56/~jnz1568/getInfo.php?workbook=10_05.xlsx&amp;sheet=U0&amp;row=12928&amp;col=7&amp;number=0.0561&amp;sourceID=14","0.0561")</f>
        <v>0.0561</v>
      </c>
    </row>
    <row r="12929" spans="1:7">
      <c r="A12929" s="3"/>
      <c r="B12929" s="3"/>
      <c r="C12929" s="3"/>
      <c r="D12929" s="3"/>
      <c r="E12929" s="3">
        <v>6</v>
      </c>
      <c r="F12929" s="4" t="str">
        <f>HYPERLINK("http://141.218.60.56/~jnz1568/getInfo.php?workbook=10_05.xlsx&amp;sheet=U0&amp;row=12929&amp;col=6&amp;number=3.5&amp;sourceID=14","3.5")</f>
        <v>3.5</v>
      </c>
      <c r="G12929" s="4" t="str">
        <f>HYPERLINK("http://141.218.60.56/~jnz1568/getInfo.php?workbook=10_05.xlsx&amp;sheet=U0&amp;row=12929&amp;col=7&amp;number=0.0555&amp;sourceID=14","0.0555")</f>
        <v>0.0555</v>
      </c>
    </row>
    <row r="12930" spans="1:7">
      <c r="A12930" s="3"/>
      <c r="B12930" s="3"/>
      <c r="C12930" s="3"/>
      <c r="D12930" s="3"/>
      <c r="E12930" s="3">
        <v>7</v>
      </c>
      <c r="F12930" s="4" t="str">
        <f>HYPERLINK("http://141.218.60.56/~jnz1568/getInfo.php?workbook=10_05.xlsx&amp;sheet=U0&amp;row=12930&amp;col=6&amp;number=3.6&amp;sourceID=14","3.6")</f>
        <v>3.6</v>
      </c>
      <c r="G12930" s="4" t="str">
        <f>HYPERLINK("http://141.218.60.56/~jnz1568/getInfo.php?workbook=10_05.xlsx&amp;sheet=U0&amp;row=12930&amp;col=7&amp;number=0.0547&amp;sourceID=14","0.0547")</f>
        <v>0.0547</v>
      </c>
    </row>
    <row r="12931" spans="1:7">
      <c r="A12931" s="3"/>
      <c r="B12931" s="3"/>
      <c r="C12931" s="3"/>
      <c r="D12931" s="3"/>
      <c r="E12931" s="3">
        <v>8</v>
      </c>
      <c r="F12931" s="4" t="str">
        <f>HYPERLINK("http://141.218.60.56/~jnz1568/getInfo.php?workbook=10_05.xlsx&amp;sheet=U0&amp;row=12931&amp;col=6&amp;number=3.7&amp;sourceID=14","3.7")</f>
        <v>3.7</v>
      </c>
      <c r="G12931" s="4" t="str">
        <f>HYPERLINK("http://141.218.60.56/~jnz1568/getInfo.php?workbook=10_05.xlsx&amp;sheet=U0&amp;row=12931&amp;col=7&amp;number=0.0536&amp;sourceID=14","0.0536")</f>
        <v>0.0536</v>
      </c>
    </row>
    <row r="12932" spans="1:7">
      <c r="A12932" s="3"/>
      <c r="B12932" s="3"/>
      <c r="C12932" s="3"/>
      <c r="D12932" s="3"/>
      <c r="E12932" s="3">
        <v>9</v>
      </c>
      <c r="F12932" s="4" t="str">
        <f>HYPERLINK("http://141.218.60.56/~jnz1568/getInfo.php?workbook=10_05.xlsx&amp;sheet=U0&amp;row=12932&amp;col=6&amp;number=3.8&amp;sourceID=14","3.8")</f>
        <v>3.8</v>
      </c>
      <c r="G12932" s="4" t="str">
        <f>HYPERLINK("http://141.218.60.56/~jnz1568/getInfo.php?workbook=10_05.xlsx&amp;sheet=U0&amp;row=12932&amp;col=7&amp;number=0.0524&amp;sourceID=14","0.0524")</f>
        <v>0.0524</v>
      </c>
    </row>
    <row r="12933" spans="1:7">
      <c r="A12933" s="3"/>
      <c r="B12933" s="3"/>
      <c r="C12933" s="3"/>
      <c r="D12933" s="3"/>
      <c r="E12933" s="3">
        <v>10</v>
      </c>
      <c r="F12933" s="4" t="str">
        <f>HYPERLINK("http://141.218.60.56/~jnz1568/getInfo.php?workbook=10_05.xlsx&amp;sheet=U0&amp;row=12933&amp;col=6&amp;number=3.9&amp;sourceID=14","3.9")</f>
        <v>3.9</v>
      </c>
      <c r="G12933" s="4" t="str">
        <f>HYPERLINK("http://141.218.60.56/~jnz1568/getInfo.php?workbook=10_05.xlsx&amp;sheet=U0&amp;row=12933&amp;col=7&amp;number=0.0509&amp;sourceID=14","0.0509")</f>
        <v>0.0509</v>
      </c>
    </row>
    <row r="12934" spans="1:7">
      <c r="A12934" s="3"/>
      <c r="B12934" s="3"/>
      <c r="C12934" s="3"/>
      <c r="D12934" s="3"/>
      <c r="E12934" s="3">
        <v>11</v>
      </c>
      <c r="F12934" s="4" t="str">
        <f>HYPERLINK("http://141.218.60.56/~jnz1568/getInfo.php?workbook=10_05.xlsx&amp;sheet=U0&amp;row=12934&amp;col=6&amp;number=4&amp;sourceID=14","4")</f>
        <v>4</v>
      </c>
      <c r="G12934" s="4" t="str">
        <f>HYPERLINK("http://141.218.60.56/~jnz1568/getInfo.php?workbook=10_05.xlsx&amp;sheet=U0&amp;row=12934&amp;col=7&amp;number=0.0492&amp;sourceID=14","0.0492")</f>
        <v>0.0492</v>
      </c>
    </row>
    <row r="12935" spans="1:7">
      <c r="A12935" s="3"/>
      <c r="B12935" s="3"/>
      <c r="C12935" s="3"/>
      <c r="D12935" s="3"/>
      <c r="E12935" s="3">
        <v>12</v>
      </c>
      <c r="F12935" s="4" t="str">
        <f>HYPERLINK("http://141.218.60.56/~jnz1568/getInfo.php?workbook=10_05.xlsx&amp;sheet=U0&amp;row=12935&amp;col=6&amp;number=4.1&amp;sourceID=14","4.1")</f>
        <v>4.1</v>
      </c>
      <c r="G12935" s="4" t="str">
        <f>HYPERLINK("http://141.218.60.56/~jnz1568/getInfo.php?workbook=10_05.xlsx&amp;sheet=U0&amp;row=12935&amp;col=7&amp;number=0.0471&amp;sourceID=14","0.0471")</f>
        <v>0.0471</v>
      </c>
    </row>
    <row r="12936" spans="1:7">
      <c r="A12936" s="3"/>
      <c r="B12936" s="3"/>
      <c r="C12936" s="3"/>
      <c r="D12936" s="3"/>
      <c r="E12936" s="3">
        <v>13</v>
      </c>
      <c r="F12936" s="4" t="str">
        <f>HYPERLINK("http://141.218.60.56/~jnz1568/getInfo.php?workbook=10_05.xlsx&amp;sheet=U0&amp;row=12936&amp;col=6&amp;number=4.2&amp;sourceID=14","4.2")</f>
        <v>4.2</v>
      </c>
      <c r="G12936" s="4" t="str">
        <f>HYPERLINK("http://141.218.60.56/~jnz1568/getInfo.php?workbook=10_05.xlsx&amp;sheet=U0&amp;row=12936&amp;col=7&amp;number=0.0449&amp;sourceID=14","0.0449")</f>
        <v>0.0449</v>
      </c>
    </row>
    <row r="12937" spans="1:7">
      <c r="A12937" s="3"/>
      <c r="B12937" s="3"/>
      <c r="C12937" s="3"/>
      <c r="D12937" s="3"/>
      <c r="E12937" s="3">
        <v>14</v>
      </c>
      <c r="F12937" s="4" t="str">
        <f>HYPERLINK("http://141.218.60.56/~jnz1568/getInfo.php?workbook=10_05.xlsx&amp;sheet=U0&amp;row=12937&amp;col=6&amp;number=4.3&amp;sourceID=14","4.3")</f>
        <v>4.3</v>
      </c>
      <c r="G12937" s="4" t="str">
        <f>HYPERLINK("http://141.218.60.56/~jnz1568/getInfo.php?workbook=10_05.xlsx&amp;sheet=U0&amp;row=12937&amp;col=7&amp;number=0.0426&amp;sourceID=14","0.0426")</f>
        <v>0.0426</v>
      </c>
    </row>
    <row r="12938" spans="1:7">
      <c r="A12938" s="3"/>
      <c r="B12938" s="3"/>
      <c r="C12938" s="3"/>
      <c r="D12938" s="3"/>
      <c r="E12938" s="3">
        <v>15</v>
      </c>
      <c r="F12938" s="4" t="str">
        <f>HYPERLINK("http://141.218.60.56/~jnz1568/getInfo.php?workbook=10_05.xlsx&amp;sheet=U0&amp;row=12938&amp;col=6&amp;number=4.4&amp;sourceID=14","4.4")</f>
        <v>4.4</v>
      </c>
      <c r="G12938" s="4" t="str">
        <f>HYPERLINK("http://141.218.60.56/~jnz1568/getInfo.php?workbook=10_05.xlsx&amp;sheet=U0&amp;row=12938&amp;col=7&amp;number=0.0404&amp;sourceID=14","0.0404")</f>
        <v>0.0404</v>
      </c>
    </row>
    <row r="12939" spans="1:7">
      <c r="A12939" s="3"/>
      <c r="B12939" s="3"/>
      <c r="C12939" s="3"/>
      <c r="D12939" s="3"/>
      <c r="E12939" s="3">
        <v>16</v>
      </c>
      <c r="F12939" s="4" t="str">
        <f>HYPERLINK("http://141.218.60.56/~jnz1568/getInfo.php?workbook=10_05.xlsx&amp;sheet=U0&amp;row=12939&amp;col=6&amp;number=4.5&amp;sourceID=14","4.5")</f>
        <v>4.5</v>
      </c>
      <c r="G12939" s="4" t="str">
        <f>HYPERLINK("http://141.218.60.56/~jnz1568/getInfo.php?workbook=10_05.xlsx&amp;sheet=U0&amp;row=12939&amp;col=7&amp;number=0.0387&amp;sourceID=14","0.0387")</f>
        <v>0.0387</v>
      </c>
    </row>
    <row r="12940" spans="1:7">
      <c r="A12940" s="3"/>
      <c r="B12940" s="3"/>
      <c r="C12940" s="3"/>
      <c r="D12940" s="3"/>
      <c r="E12940" s="3">
        <v>17</v>
      </c>
      <c r="F12940" s="4" t="str">
        <f>HYPERLINK("http://141.218.60.56/~jnz1568/getInfo.php?workbook=10_05.xlsx&amp;sheet=U0&amp;row=12940&amp;col=6&amp;number=4.6&amp;sourceID=14","4.6")</f>
        <v>4.6</v>
      </c>
      <c r="G12940" s="4" t="str">
        <f>HYPERLINK("http://141.218.60.56/~jnz1568/getInfo.php?workbook=10_05.xlsx&amp;sheet=U0&amp;row=12940&amp;col=7&amp;number=0.0375&amp;sourceID=14","0.0375")</f>
        <v>0.0375</v>
      </c>
    </row>
    <row r="12941" spans="1:7">
      <c r="A12941" s="3"/>
      <c r="B12941" s="3"/>
      <c r="C12941" s="3"/>
      <c r="D12941" s="3"/>
      <c r="E12941" s="3">
        <v>18</v>
      </c>
      <c r="F12941" s="4" t="str">
        <f>HYPERLINK("http://141.218.60.56/~jnz1568/getInfo.php?workbook=10_05.xlsx&amp;sheet=U0&amp;row=12941&amp;col=6&amp;number=4.7&amp;sourceID=14","4.7")</f>
        <v>4.7</v>
      </c>
      <c r="G12941" s="4" t="str">
        <f>HYPERLINK("http://141.218.60.56/~jnz1568/getInfo.php?workbook=10_05.xlsx&amp;sheet=U0&amp;row=12941&amp;col=7&amp;number=0.0365&amp;sourceID=14","0.0365")</f>
        <v>0.0365</v>
      </c>
    </row>
    <row r="12942" spans="1:7">
      <c r="A12942" s="3"/>
      <c r="B12942" s="3"/>
      <c r="C12942" s="3"/>
      <c r="D12942" s="3"/>
      <c r="E12942" s="3">
        <v>19</v>
      </c>
      <c r="F12942" s="4" t="str">
        <f>HYPERLINK("http://141.218.60.56/~jnz1568/getInfo.php?workbook=10_05.xlsx&amp;sheet=U0&amp;row=12942&amp;col=6&amp;number=4.8&amp;sourceID=14","4.8")</f>
        <v>4.8</v>
      </c>
      <c r="G12942" s="4" t="str">
        <f>HYPERLINK("http://141.218.60.56/~jnz1568/getInfo.php?workbook=10_05.xlsx&amp;sheet=U0&amp;row=12942&amp;col=7&amp;number=0.0354&amp;sourceID=14","0.0354")</f>
        <v>0.0354</v>
      </c>
    </row>
    <row r="12943" spans="1:7">
      <c r="A12943" s="3"/>
      <c r="B12943" s="3"/>
      <c r="C12943" s="3"/>
      <c r="D12943" s="3"/>
      <c r="E12943" s="3">
        <v>20</v>
      </c>
      <c r="F12943" s="4" t="str">
        <f>HYPERLINK("http://141.218.60.56/~jnz1568/getInfo.php?workbook=10_05.xlsx&amp;sheet=U0&amp;row=12943&amp;col=6&amp;number=4.9&amp;sourceID=14","4.9")</f>
        <v>4.9</v>
      </c>
      <c r="G12943" s="4" t="str">
        <f>HYPERLINK("http://141.218.60.56/~jnz1568/getInfo.php?workbook=10_05.xlsx&amp;sheet=U0&amp;row=12943&amp;col=7&amp;number=0.0344&amp;sourceID=14","0.0344")</f>
        <v>0.0344</v>
      </c>
    </row>
    <row r="12944" spans="1:7">
      <c r="A12944" s="3">
        <v>10</v>
      </c>
      <c r="B12944" s="3">
        <v>5</v>
      </c>
      <c r="C12944" s="3">
        <v>4</v>
      </c>
      <c r="D12944" s="3">
        <v>118</v>
      </c>
      <c r="E12944" s="3">
        <v>1</v>
      </c>
      <c r="F12944" s="4" t="str">
        <f>HYPERLINK("http://141.218.60.56/~jnz1568/getInfo.php?workbook=10_05.xlsx&amp;sheet=U0&amp;row=12944&amp;col=6&amp;number=3&amp;sourceID=14","3")</f>
        <v>3</v>
      </c>
      <c r="G12944" s="4" t="str">
        <f>HYPERLINK("http://141.218.60.56/~jnz1568/getInfo.php?workbook=10_05.xlsx&amp;sheet=U0&amp;row=12944&amp;col=7&amp;number=0.109&amp;sourceID=14","0.109")</f>
        <v>0.109</v>
      </c>
    </row>
    <row r="12945" spans="1:7">
      <c r="A12945" s="3"/>
      <c r="B12945" s="3"/>
      <c r="C12945" s="3"/>
      <c r="D12945" s="3"/>
      <c r="E12945" s="3">
        <v>2</v>
      </c>
      <c r="F12945" s="4" t="str">
        <f>HYPERLINK("http://141.218.60.56/~jnz1568/getInfo.php?workbook=10_05.xlsx&amp;sheet=U0&amp;row=12945&amp;col=6&amp;number=3.1&amp;sourceID=14","3.1")</f>
        <v>3.1</v>
      </c>
      <c r="G12945" s="4" t="str">
        <f>HYPERLINK("http://141.218.60.56/~jnz1568/getInfo.php?workbook=10_05.xlsx&amp;sheet=U0&amp;row=12945&amp;col=7&amp;number=0.108&amp;sourceID=14","0.108")</f>
        <v>0.108</v>
      </c>
    </row>
    <row r="12946" spans="1:7">
      <c r="A12946" s="3"/>
      <c r="B12946" s="3"/>
      <c r="C12946" s="3"/>
      <c r="D12946" s="3"/>
      <c r="E12946" s="3">
        <v>3</v>
      </c>
      <c r="F12946" s="4" t="str">
        <f>HYPERLINK("http://141.218.60.56/~jnz1568/getInfo.php?workbook=10_05.xlsx&amp;sheet=U0&amp;row=12946&amp;col=6&amp;number=3.2&amp;sourceID=14","3.2")</f>
        <v>3.2</v>
      </c>
      <c r="G12946" s="4" t="str">
        <f>HYPERLINK("http://141.218.60.56/~jnz1568/getInfo.php?workbook=10_05.xlsx&amp;sheet=U0&amp;row=12946&amp;col=7&amp;number=0.108&amp;sourceID=14","0.108")</f>
        <v>0.108</v>
      </c>
    </row>
    <row r="12947" spans="1:7">
      <c r="A12947" s="3"/>
      <c r="B12947" s="3"/>
      <c r="C12947" s="3"/>
      <c r="D12947" s="3"/>
      <c r="E12947" s="3">
        <v>4</v>
      </c>
      <c r="F12947" s="4" t="str">
        <f>HYPERLINK("http://141.218.60.56/~jnz1568/getInfo.php?workbook=10_05.xlsx&amp;sheet=U0&amp;row=12947&amp;col=6&amp;number=3.3&amp;sourceID=14","3.3")</f>
        <v>3.3</v>
      </c>
      <c r="G12947" s="4" t="str">
        <f>HYPERLINK("http://141.218.60.56/~jnz1568/getInfo.php?workbook=10_05.xlsx&amp;sheet=U0&amp;row=12947&amp;col=7&amp;number=0.107&amp;sourceID=14","0.107")</f>
        <v>0.107</v>
      </c>
    </row>
    <row r="12948" spans="1:7">
      <c r="A12948" s="3"/>
      <c r="B12948" s="3"/>
      <c r="C12948" s="3"/>
      <c r="D12948" s="3"/>
      <c r="E12948" s="3">
        <v>5</v>
      </c>
      <c r="F12948" s="4" t="str">
        <f>HYPERLINK("http://141.218.60.56/~jnz1568/getInfo.php?workbook=10_05.xlsx&amp;sheet=U0&amp;row=12948&amp;col=6&amp;number=3.4&amp;sourceID=14","3.4")</f>
        <v>3.4</v>
      </c>
      <c r="G12948" s="4" t="str">
        <f>HYPERLINK("http://141.218.60.56/~jnz1568/getInfo.php?workbook=10_05.xlsx&amp;sheet=U0&amp;row=12948&amp;col=7&amp;number=0.106&amp;sourceID=14","0.106")</f>
        <v>0.106</v>
      </c>
    </row>
    <row r="12949" spans="1:7">
      <c r="A12949" s="3"/>
      <c r="B12949" s="3"/>
      <c r="C12949" s="3"/>
      <c r="D12949" s="3"/>
      <c r="E12949" s="3">
        <v>6</v>
      </c>
      <c r="F12949" s="4" t="str">
        <f>HYPERLINK("http://141.218.60.56/~jnz1568/getInfo.php?workbook=10_05.xlsx&amp;sheet=U0&amp;row=12949&amp;col=6&amp;number=3.5&amp;sourceID=14","3.5")</f>
        <v>3.5</v>
      </c>
      <c r="G12949" s="4" t="str">
        <f>HYPERLINK("http://141.218.60.56/~jnz1568/getInfo.php?workbook=10_05.xlsx&amp;sheet=U0&amp;row=12949&amp;col=7&amp;number=0.105&amp;sourceID=14","0.105")</f>
        <v>0.105</v>
      </c>
    </row>
    <row r="12950" spans="1:7">
      <c r="A12950" s="3"/>
      <c r="B12950" s="3"/>
      <c r="C12950" s="3"/>
      <c r="D12950" s="3"/>
      <c r="E12950" s="3">
        <v>7</v>
      </c>
      <c r="F12950" s="4" t="str">
        <f>HYPERLINK("http://141.218.60.56/~jnz1568/getInfo.php?workbook=10_05.xlsx&amp;sheet=U0&amp;row=12950&amp;col=6&amp;number=3.6&amp;sourceID=14","3.6")</f>
        <v>3.6</v>
      </c>
      <c r="G12950" s="4" t="str">
        <f>HYPERLINK("http://141.218.60.56/~jnz1568/getInfo.php?workbook=10_05.xlsx&amp;sheet=U0&amp;row=12950&amp;col=7&amp;number=0.103&amp;sourceID=14","0.103")</f>
        <v>0.103</v>
      </c>
    </row>
    <row r="12951" spans="1:7">
      <c r="A12951" s="3"/>
      <c r="B12951" s="3"/>
      <c r="C12951" s="3"/>
      <c r="D12951" s="3"/>
      <c r="E12951" s="3">
        <v>8</v>
      </c>
      <c r="F12951" s="4" t="str">
        <f>HYPERLINK("http://141.218.60.56/~jnz1568/getInfo.php?workbook=10_05.xlsx&amp;sheet=U0&amp;row=12951&amp;col=6&amp;number=3.7&amp;sourceID=14","3.7")</f>
        <v>3.7</v>
      </c>
      <c r="G12951" s="4" t="str">
        <f>HYPERLINK("http://141.218.60.56/~jnz1568/getInfo.php?workbook=10_05.xlsx&amp;sheet=U0&amp;row=12951&amp;col=7&amp;number=0.101&amp;sourceID=14","0.101")</f>
        <v>0.101</v>
      </c>
    </row>
    <row r="12952" spans="1:7">
      <c r="A12952" s="3"/>
      <c r="B12952" s="3"/>
      <c r="C12952" s="3"/>
      <c r="D12952" s="3"/>
      <c r="E12952" s="3">
        <v>9</v>
      </c>
      <c r="F12952" s="4" t="str">
        <f>HYPERLINK("http://141.218.60.56/~jnz1568/getInfo.php?workbook=10_05.xlsx&amp;sheet=U0&amp;row=12952&amp;col=6&amp;number=3.8&amp;sourceID=14","3.8")</f>
        <v>3.8</v>
      </c>
      <c r="G12952" s="4" t="str">
        <f>HYPERLINK("http://141.218.60.56/~jnz1568/getInfo.php?workbook=10_05.xlsx&amp;sheet=U0&amp;row=12952&amp;col=7&amp;number=0.099&amp;sourceID=14","0.099")</f>
        <v>0.099</v>
      </c>
    </row>
    <row r="12953" spans="1:7">
      <c r="A12953" s="3"/>
      <c r="B12953" s="3"/>
      <c r="C12953" s="3"/>
      <c r="D12953" s="3"/>
      <c r="E12953" s="3">
        <v>10</v>
      </c>
      <c r="F12953" s="4" t="str">
        <f>HYPERLINK("http://141.218.60.56/~jnz1568/getInfo.php?workbook=10_05.xlsx&amp;sheet=U0&amp;row=12953&amp;col=6&amp;number=3.9&amp;sourceID=14","3.9")</f>
        <v>3.9</v>
      </c>
      <c r="G12953" s="4" t="str">
        <f>HYPERLINK("http://141.218.60.56/~jnz1568/getInfo.php?workbook=10_05.xlsx&amp;sheet=U0&amp;row=12953&amp;col=7&amp;number=0.0963&amp;sourceID=14","0.0963")</f>
        <v>0.0963</v>
      </c>
    </row>
    <row r="12954" spans="1:7">
      <c r="A12954" s="3"/>
      <c r="B12954" s="3"/>
      <c r="C12954" s="3"/>
      <c r="D12954" s="3"/>
      <c r="E12954" s="3">
        <v>11</v>
      </c>
      <c r="F12954" s="4" t="str">
        <f>HYPERLINK("http://141.218.60.56/~jnz1568/getInfo.php?workbook=10_05.xlsx&amp;sheet=U0&amp;row=12954&amp;col=6&amp;number=4&amp;sourceID=14","4")</f>
        <v>4</v>
      </c>
      <c r="G12954" s="4" t="str">
        <f>HYPERLINK("http://141.218.60.56/~jnz1568/getInfo.php?workbook=10_05.xlsx&amp;sheet=U0&amp;row=12954&amp;col=7&amp;number=0.093&amp;sourceID=14","0.093")</f>
        <v>0.093</v>
      </c>
    </row>
    <row r="12955" spans="1:7">
      <c r="A12955" s="3"/>
      <c r="B12955" s="3"/>
      <c r="C12955" s="3"/>
      <c r="D12955" s="3"/>
      <c r="E12955" s="3">
        <v>12</v>
      </c>
      <c r="F12955" s="4" t="str">
        <f>HYPERLINK("http://141.218.60.56/~jnz1568/getInfo.php?workbook=10_05.xlsx&amp;sheet=U0&amp;row=12955&amp;col=6&amp;number=4.1&amp;sourceID=14","4.1")</f>
        <v>4.1</v>
      </c>
      <c r="G12955" s="4" t="str">
        <f>HYPERLINK("http://141.218.60.56/~jnz1568/getInfo.php?workbook=10_05.xlsx&amp;sheet=U0&amp;row=12955&amp;col=7&amp;number=0.0893&amp;sourceID=14","0.0893")</f>
        <v>0.0893</v>
      </c>
    </row>
    <row r="12956" spans="1:7">
      <c r="A12956" s="3"/>
      <c r="B12956" s="3"/>
      <c r="C12956" s="3"/>
      <c r="D12956" s="3"/>
      <c r="E12956" s="3">
        <v>13</v>
      </c>
      <c r="F12956" s="4" t="str">
        <f>HYPERLINK("http://141.218.60.56/~jnz1568/getInfo.php?workbook=10_05.xlsx&amp;sheet=U0&amp;row=12956&amp;col=6&amp;number=4.2&amp;sourceID=14","4.2")</f>
        <v>4.2</v>
      </c>
      <c r="G12956" s="4" t="str">
        <f>HYPERLINK("http://141.218.60.56/~jnz1568/getInfo.php?workbook=10_05.xlsx&amp;sheet=U0&amp;row=12956&amp;col=7&amp;number=0.0851&amp;sourceID=14","0.0851")</f>
        <v>0.0851</v>
      </c>
    </row>
    <row r="12957" spans="1:7">
      <c r="A12957" s="3"/>
      <c r="B12957" s="3"/>
      <c r="C12957" s="3"/>
      <c r="D12957" s="3"/>
      <c r="E12957" s="3">
        <v>14</v>
      </c>
      <c r="F12957" s="4" t="str">
        <f>HYPERLINK("http://141.218.60.56/~jnz1568/getInfo.php?workbook=10_05.xlsx&amp;sheet=U0&amp;row=12957&amp;col=6&amp;number=4.3&amp;sourceID=14","4.3")</f>
        <v>4.3</v>
      </c>
      <c r="G12957" s="4" t="str">
        <f>HYPERLINK("http://141.218.60.56/~jnz1568/getInfo.php?workbook=10_05.xlsx&amp;sheet=U0&amp;row=12957&amp;col=7&amp;number=0.0807&amp;sourceID=14","0.0807")</f>
        <v>0.0807</v>
      </c>
    </row>
    <row r="12958" spans="1:7">
      <c r="A12958" s="3"/>
      <c r="B12958" s="3"/>
      <c r="C12958" s="3"/>
      <c r="D12958" s="3"/>
      <c r="E12958" s="3">
        <v>15</v>
      </c>
      <c r="F12958" s="4" t="str">
        <f>HYPERLINK("http://141.218.60.56/~jnz1568/getInfo.php?workbook=10_05.xlsx&amp;sheet=U0&amp;row=12958&amp;col=6&amp;number=4.4&amp;sourceID=14","4.4")</f>
        <v>4.4</v>
      </c>
      <c r="G12958" s="4" t="str">
        <f>HYPERLINK("http://141.218.60.56/~jnz1568/getInfo.php?workbook=10_05.xlsx&amp;sheet=U0&amp;row=12958&amp;col=7&amp;number=0.0766&amp;sourceID=14","0.0766")</f>
        <v>0.0766</v>
      </c>
    </row>
    <row r="12959" spans="1:7">
      <c r="A12959" s="3"/>
      <c r="B12959" s="3"/>
      <c r="C12959" s="3"/>
      <c r="D12959" s="3"/>
      <c r="E12959" s="3">
        <v>16</v>
      </c>
      <c r="F12959" s="4" t="str">
        <f>HYPERLINK("http://141.218.60.56/~jnz1568/getInfo.php?workbook=10_05.xlsx&amp;sheet=U0&amp;row=12959&amp;col=6&amp;number=4.5&amp;sourceID=14","4.5")</f>
        <v>4.5</v>
      </c>
      <c r="G12959" s="4" t="str">
        <f>HYPERLINK("http://141.218.60.56/~jnz1568/getInfo.php?workbook=10_05.xlsx&amp;sheet=U0&amp;row=12959&amp;col=7&amp;number=0.0732&amp;sourceID=14","0.0732")</f>
        <v>0.0732</v>
      </c>
    </row>
    <row r="12960" spans="1:7">
      <c r="A12960" s="3"/>
      <c r="B12960" s="3"/>
      <c r="C12960" s="3"/>
      <c r="D12960" s="3"/>
      <c r="E12960" s="3">
        <v>17</v>
      </c>
      <c r="F12960" s="4" t="str">
        <f>HYPERLINK("http://141.218.60.56/~jnz1568/getInfo.php?workbook=10_05.xlsx&amp;sheet=U0&amp;row=12960&amp;col=6&amp;number=4.6&amp;sourceID=14","4.6")</f>
        <v>4.6</v>
      </c>
      <c r="G12960" s="4" t="str">
        <f>HYPERLINK("http://141.218.60.56/~jnz1568/getInfo.php?workbook=10_05.xlsx&amp;sheet=U0&amp;row=12960&amp;col=7&amp;number=0.0704&amp;sourceID=14","0.0704")</f>
        <v>0.0704</v>
      </c>
    </row>
    <row r="12961" spans="1:7">
      <c r="A12961" s="3"/>
      <c r="B12961" s="3"/>
      <c r="C12961" s="3"/>
      <c r="D12961" s="3"/>
      <c r="E12961" s="3">
        <v>18</v>
      </c>
      <c r="F12961" s="4" t="str">
        <f>HYPERLINK("http://141.218.60.56/~jnz1568/getInfo.php?workbook=10_05.xlsx&amp;sheet=U0&amp;row=12961&amp;col=6&amp;number=4.7&amp;sourceID=14","4.7")</f>
        <v>4.7</v>
      </c>
      <c r="G12961" s="4" t="str">
        <f>HYPERLINK("http://141.218.60.56/~jnz1568/getInfo.php?workbook=10_05.xlsx&amp;sheet=U0&amp;row=12961&amp;col=7&amp;number=0.0681&amp;sourceID=14","0.0681")</f>
        <v>0.0681</v>
      </c>
    </row>
    <row r="12962" spans="1:7">
      <c r="A12962" s="3"/>
      <c r="B12962" s="3"/>
      <c r="C12962" s="3"/>
      <c r="D12962" s="3"/>
      <c r="E12962" s="3">
        <v>19</v>
      </c>
      <c r="F12962" s="4" t="str">
        <f>HYPERLINK("http://141.218.60.56/~jnz1568/getInfo.php?workbook=10_05.xlsx&amp;sheet=U0&amp;row=12962&amp;col=6&amp;number=4.8&amp;sourceID=14","4.8")</f>
        <v>4.8</v>
      </c>
      <c r="G12962" s="4" t="str">
        <f>HYPERLINK("http://141.218.60.56/~jnz1568/getInfo.php?workbook=10_05.xlsx&amp;sheet=U0&amp;row=12962&amp;col=7&amp;number=0.0658&amp;sourceID=14","0.0658")</f>
        <v>0.0658</v>
      </c>
    </row>
    <row r="12963" spans="1:7">
      <c r="A12963" s="3"/>
      <c r="B12963" s="3"/>
      <c r="C12963" s="3"/>
      <c r="D12963" s="3"/>
      <c r="E12963" s="3">
        <v>20</v>
      </c>
      <c r="F12963" s="4" t="str">
        <f>HYPERLINK("http://141.218.60.56/~jnz1568/getInfo.php?workbook=10_05.xlsx&amp;sheet=U0&amp;row=12963&amp;col=6&amp;number=4.9&amp;sourceID=14","4.9")</f>
        <v>4.9</v>
      </c>
      <c r="G12963" s="4" t="str">
        <f>HYPERLINK("http://141.218.60.56/~jnz1568/getInfo.php?workbook=10_05.xlsx&amp;sheet=U0&amp;row=12963&amp;col=7&amp;number=0.0636&amp;sourceID=14","0.0636")</f>
        <v>0.0636</v>
      </c>
    </row>
    <row r="12964" spans="1:7">
      <c r="A12964" s="3">
        <v>10</v>
      </c>
      <c r="B12964" s="3">
        <v>5</v>
      </c>
      <c r="C12964" s="3">
        <v>4</v>
      </c>
      <c r="D12964" s="3">
        <v>119</v>
      </c>
      <c r="E12964" s="3">
        <v>1</v>
      </c>
      <c r="F12964" s="4" t="str">
        <f>HYPERLINK("http://141.218.60.56/~jnz1568/getInfo.php?workbook=10_05.xlsx&amp;sheet=U0&amp;row=12964&amp;col=6&amp;number=3&amp;sourceID=14","3")</f>
        <v>3</v>
      </c>
      <c r="G12964" s="4" t="str">
        <f>HYPERLINK("http://141.218.60.56/~jnz1568/getInfo.php?workbook=10_05.xlsx&amp;sheet=U0&amp;row=12964&amp;col=7&amp;number=0.0165&amp;sourceID=14","0.0165")</f>
        <v>0.0165</v>
      </c>
    </row>
    <row r="12965" spans="1:7">
      <c r="A12965" s="3"/>
      <c r="B12965" s="3"/>
      <c r="C12965" s="3"/>
      <c r="D12965" s="3"/>
      <c r="E12965" s="3">
        <v>2</v>
      </c>
      <c r="F12965" s="4" t="str">
        <f>HYPERLINK("http://141.218.60.56/~jnz1568/getInfo.php?workbook=10_05.xlsx&amp;sheet=U0&amp;row=12965&amp;col=6&amp;number=3.1&amp;sourceID=14","3.1")</f>
        <v>3.1</v>
      </c>
      <c r="G12965" s="4" t="str">
        <f>HYPERLINK("http://141.218.60.56/~jnz1568/getInfo.php?workbook=10_05.xlsx&amp;sheet=U0&amp;row=12965&amp;col=7&amp;number=0.0164&amp;sourceID=14","0.0164")</f>
        <v>0.0164</v>
      </c>
    </row>
    <row r="12966" spans="1:7">
      <c r="A12966" s="3"/>
      <c r="B12966" s="3"/>
      <c r="C12966" s="3"/>
      <c r="D12966" s="3"/>
      <c r="E12966" s="3">
        <v>3</v>
      </c>
      <c r="F12966" s="4" t="str">
        <f>HYPERLINK("http://141.218.60.56/~jnz1568/getInfo.php?workbook=10_05.xlsx&amp;sheet=U0&amp;row=12966&amp;col=6&amp;number=3.2&amp;sourceID=14","3.2")</f>
        <v>3.2</v>
      </c>
      <c r="G12966" s="4" t="str">
        <f>HYPERLINK("http://141.218.60.56/~jnz1568/getInfo.php?workbook=10_05.xlsx&amp;sheet=U0&amp;row=12966&amp;col=7&amp;number=0.0163&amp;sourceID=14","0.0163")</f>
        <v>0.0163</v>
      </c>
    </row>
    <row r="12967" spans="1:7">
      <c r="A12967" s="3"/>
      <c r="B12967" s="3"/>
      <c r="C12967" s="3"/>
      <c r="D12967" s="3"/>
      <c r="E12967" s="3">
        <v>4</v>
      </c>
      <c r="F12967" s="4" t="str">
        <f>HYPERLINK("http://141.218.60.56/~jnz1568/getInfo.php?workbook=10_05.xlsx&amp;sheet=U0&amp;row=12967&amp;col=6&amp;number=3.3&amp;sourceID=14","3.3")</f>
        <v>3.3</v>
      </c>
      <c r="G12967" s="4" t="str">
        <f>HYPERLINK("http://141.218.60.56/~jnz1568/getInfo.php?workbook=10_05.xlsx&amp;sheet=U0&amp;row=12967&amp;col=7&amp;number=0.0161&amp;sourceID=14","0.0161")</f>
        <v>0.0161</v>
      </c>
    </row>
    <row r="12968" spans="1:7">
      <c r="A12968" s="3"/>
      <c r="B12968" s="3"/>
      <c r="C12968" s="3"/>
      <c r="D12968" s="3"/>
      <c r="E12968" s="3">
        <v>5</v>
      </c>
      <c r="F12968" s="4" t="str">
        <f>HYPERLINK("http://141.218.60.56/~jnz1568/getInfo.php?workbook=10_05.xlsx&amp;sheet=U0&amp;row=12968&amp;col=6&amp;number=3.4&amp;sourceID=14","3.4")</f>
        <v>3.4</v>
      </c>
      <c r="G12968" s="4" t="str">
        <f>HYPERLINK("http://141.218.60.56/~jnz1568/getInfo.php?workbook=10_05.xlsx&amp;sheet=U0&amp;row=12968&amp;col=7&amp;number=0.0159&amp;sourceID=14","0.0159")</f>
        <v>0.0159</v>
      </c>
    </row>
    <row r="12969" spans="1:7">
      <c r="A12969" s="3"/>
      <c r="B12969" s="3"/>
      <c r="C12969" s="3"/>
      <c r="D12969" s="3"/>
      <c r="E12969" s="3">
        <v>6</v>
      </c>
      <c r="F12969" s="4" t="str">
        <f>HYPERLINK("http://141.218.60.56/~jnz1568/getInfo.php?workbook=10_05.xlsx&amp;sheet=U0&amp;row=12969&amp;col=6&amp;number=3.5&amp;sourceID=14","3.5")</f>
        <v>3.5</v>
      </c>
      <c r="G12969" s="4" t="str">
        <f>HYPERLINK("http://141.218.60.56/~jnz1568/getInfo.php?workbook=10_05.xlsx&amp;sheet=U0&amp;row=12969&amp;col=7&amp;number=0.0157&amp;sourceID=14","0.0157")</f>
        <v>0.0157</v>
      </c>
    </row>
    <row r="12970" spans="1:7">
      <c r="A12970" s="3"/>
      <c r="B12970" s="3"/>
      <c r="C12970" s="3"/>
      <c r="D12970" s="3"/>
      <c r="E12970" s="3">
        <v>7</v>
      </c>
      <c r="F12970" s="4" t="str">
        <f>HYPERLINK("http://141.218.60.56/~jnz1568/getInfo.php?workbook=10_05.xlsx&amp;sheet=U0&amp;row=12970&amp;col=6&amp;number=3.6&amp;sourceID=14","3.6")</f>
        <v>3.6</v>
      </c>
      <c r="G12970" s="4" t="str">
        <f>HYPERLINK("http://141.218.60.56/~jnz1568/getInfo.php?workbook=10_05.xlsx&amp;sheet=U0&amp;row=12970&amp;col=7&amp;number=0.0154&amp;sourceID=14","0.0154")</f>
        <v>0.0154</v>
      </c>
    </row>
    <row r="12971" spans="1:7">
      <c r="A12971" s="3"/>
      <c r="B12971" s="3"/>
      <c r="C12971" s="3"/>
      <c r="D12971" s="3"/>
      <c r="E12971" s="3">
        <v>8</v>
      </c>
      <c r="F12971" s="4" t="str">
        <f>HYPERLINK("http://141.218.60.56/~jnz1568/getInfo.php?workbook=10_05.xlsx&amp;sheet=U0&amp;row=12971&amp;col=6&amp;number=3.7&amp;sourceID=14","3.7")</f>
        <v>3.7</v>
      </c>
      <c r="G12971" s="4" t="str">
        <f>HYPERLINK("http://141.218.60.56/~jnz1568/getInfo.php?workbook=10_05.xlsx&amp;sheet=U0&amp;row=12971&amp;col=7&amp;number=0.015&amp;sourceID=14","0.015")</f>
        <v>0.015</v>
      </c>
    </row>
    <row r="12972" spans="1:7">
      <c r="A12972" s="3"/>
      <c r="B12972" s="3"/>
      <c r="C12972" s="3"/>
      <c r="D12972" s="3"/>
      <c r="E12972" s="3">
        <v>9</v>
      </c>
      <c r="F12972" s="4" t="str">
        <f>HYPERLINK("http://141.218.60.56/~jnz1568/getInfo.php?workbook=10_05.xlsx&amp;sheet=U0&amp;row=12972&amp;col=6&amp;number=3.8&amp;sourceID=14","3.8")</f>
        <v>3.8</v>
      </c>
      <c r="G12972" s="4" t="str">
        <f>HYPERLINK("http://141.218.60.56/~jnz1568/getInfo.php?workbook=10_05.xlsx&amp;sheet=U0&amp;row=12972&amp;col=7&amp;number=0.0145&amp;sourceID=14","0.0145")</f>
        <v>0.0145</v>
      </c>
    </row>
    <row r="12973" spans="1:7">
      <c r="A12973" s="3"/>
      <c r="B12973" s="3"/>
      <c r="C12973" s="3"/>
      <c r="D12973" s="3"/>
      <c r="E12973" s="3">
        <v>10</v>
      </c>
      <c r="F12973" s="4" t="str">
        <f>HYPERLINK("http://141.218.60.56/~jnz1568/getInfo.php?workbook=10_05.xlsx&amp;sheet=U0&amp;row=12973&amp;col=6&amp;number=3.9&amp;sourceID=14","3.9")</f>
        <v>3.9</v>
      </c>
      <c r="G12973" s="4" t="str">
        <f>HYPERLINK("http://141.218.60.56/~jnz1568/getInfo.php?workbook=10_05.xlsx&amp;sheet=U0&amp;row=12973&amp;col=7&amp;number=0.014&amp;sourceID=14","0.014")</f>
        <v>0.014</v>
      </c>
    </row>
    <row r="12974" spans="1:7">
      <c r="A12974" s="3"/>
      <c r="B12974" s="3"/>
      <c r="C12974" s="3"/>
      <c r="D12974" s="3"/>
      <c r="E12974" s="3">
        <v>11</v>
      </c>
      <c r="F12974" s="4" t="str">
        <f>HYPERLINK("http://141.218.60.56/~jnz1568/getInfo.php?workbook=10_05.xlsx&amp;sheet=U0&amp;row=12974&amp;col=6&amp;number=4&amp;sourceID=14","4")</f>
        <v>4</v>
      </c>
      <c r="G12974" s="4" t="str">
        <f>HYPERLINK("http://141.218.60.56/~jnz1568/getInfo.php?workbook=10_05.xlsx&amp;sheet=U0&amp;row=12974&amp;col=7&amp;number=0.0133&amp;sourceID=14","0.0133")</f>
        <v>0.0133</v>
      </c>
    </row>
    <row r="12975" spans="1:7">
      <c r="A12975" s="3"/>
      <c r="B12975" s="3"/>
      <c r="C12975" s="3"/>
      <c r="D12975" s="3"/>
      <c r="E12975" s="3">
        <v>12</v>
      </c>
      <c r="F12975" s="4" t="str">
        <f>HYPERLINK("http://141.218.60.56/~jnz1568/getInfo.php?workbook=10_05.xlsx&amp;sheet=U0&amp;row=12975&amp;col=6&amp;number=4.1&amp;sourceID=14","4.1")</f>
        <v>4.1</v>
      </c>
      <c r="G12975" s="4" t="str">
        <f>HYPERLINK("http://141.218.60.56/~jnz1568/getInfo.php?workbook=10_05.xlsx&amp;sheet=U0&amp;row=12975&amp;col=7&amp;number=0.0126&amp;sourceID=14","0.0126")</f>
        <v>0.0126</v>
      </c>
    </row>
    <row r="12976" spans="1:7">
      <c r="A12976" s="3"/>
      <c r="B12976" s="3"/>
      <c r="C12976" s="3"/>
      <c r="D12976" s="3"/>
      <c r="E12976" s="3">
        <v>13</v>
      </c>
      <c r="F12976" s="4" t="str">
        <f>HYPERLINK("http://141.218.60.56/~jnz1568/getInfo.php?workbook=10_05.xlsx&amp;sheet=U0&amp;row=12976&amp;col=6&amp;number=4.2&amp;sourceID=14","4.2")</f>
        <v>4.2</v>
      </c>
      <c r="G12976" s="4" t="str">
        <f>HYPERLINK("http://141.218.60.56/~jnz1568/getInfo.php?workbook=10_05.xlsx&amp;sheet=U0&amp;row=12976&amp;col=7&amp;number=0.0117&amp;sourceID=14","0.0117")</f>
        <v>0.0117</v>
      </c>
    </row>
    <row r="12977" spans="1:7">
      <c r="A12977" s="3"/>
      <c r="B12977" s="3"/>
      <c r="C12977" s="3"/>
      <c r="D12977" s="3"/>
      <c r="E12977" s="3">
        <v>14</v>
      </c>
      <c r="F12977" s="4" t="str">
        <f>HYPERLINK("http://141.218.60.56/~jnz1568/getInfo.php?workbook=10_05.xlsx&amp;sheet=U0&amp;row=12977&amp;col=6&amp;number=4.3&amp;sourceID=14","4.3")</f>
        <v>4.3</v>
      </c>
      <c r="G12977" s="4" t="str">
        <f>HYPERLINK("http://141.218.60.56/~jnz1568/getInfo.php?workbook=10_05.xlsx&amp;sheet=U0&amp;row=12977&amp;col=7&amp;number=0.0108&amp;sourceID=14","0.0108")</f>
        <v>0.0108</v>
      </c>
    </row>
    <row r="12978" spans="1:7">
      <c r="A12978" s="3"/>
      <c r="B12978" s="3"/>
      <c r="C12978" s="3"/>
      <c r="D12978" s="3"/>
      <c r="E12978" s="3">
        <v>15</v>
      </c>
      <c r="F12978" s="4" t="str">
        <f>HYPERLINK("http://141.218.60.56/~jnz1568/getInfo.php?workbook=10_05.xlsx&amp;sheet=U0&amp;row=12978&amp;col=6&amp;number=4.4&amp;sourceID=14","4.4")</f>
        <v>4.4</v>
      </c>
      <c r="G12978" s="4" t="str">
        <f>HYPERLINK("http://141.218.60.56/~jnz1568/getInfo.php?workbook=10_05.xlsx&amp;sheet=U0&amp;row=12978&amp;col=7&amp;number=0.0099&amp;sourceID=14","0.0099")</f>
        <v>0.0099</v>
      </c>
    </row>
    <row r="12979" spans="1:7">
      <c r="A12979" s="3"/>
      <c r="B12979" s="3"/>
      <c r="C12979" s="3"/>
      <c r="D12979" s="3"/>
      <c r="E12979" s="3">
        <v>16</v>
      </c>
      <c r="F12979" s="4" t="str">
        <f>HYPERLINK("http://141.218.60.56/~jnz1568/getInfo.php?workbook=10_05.xlsx&amp;sheet=U0&amp;row=12979&amp;col=6&amp;number=4.5&amp;sourceID=14","4.5")</f>
        <v>4.5</v>
      </c>
      <c r="G12979" s="4" t="str">
        <f>HYPERLINK("http://141.218.60.56/~jnz1568/getInfo.php?workbook=10_05.xlsx&amp;sheet=U0&amp;row=12979&amp;col=7&amp;number=0.00913&amp;sourceID=14","0.00913")</f>
        <v>0.00913</v>
      </c>
    </row>
    <row r="12980" spans="1:7">
      <c r="A12980" s="3"/>
      <c r="B12980" s="3"/>
      <c r="C12980" s="3"/>
      <c r="D12980" s="3"/>
      <c r="E12980" s="3">
        <v>17</v>
      </c>
      <c r="F12980" s="4" t="str">
        <f>HYPERLINK("http://141.218.60.56/~jnz1568/getInfo.php?workbook=10_05.xlsx&amp;sheet=U0&amp;row=12980&amp;col=6&amp;number=4.6&amp;sourceID=14","4.6")</f>
        <v>4.6</v>
      </c>
      <c r="G12980" s="4" t="str">
        <f>HYPERLINK("http://141.218.60.56/~jnz1568/getInfo.php?workbook=10_05.xlsx&amp;sheet=U0&amp;row=12980&amp;col=7&amp;number=0.00848&amp;sourceID=14","0.00848")</f>
        <v>0.00848</v>
      </c>
    </row>
    <row r="12981" spans="1:7">
      <c r="A12981" s="3"/>
      <c r="B12981" s="3"/>
      <c r="C12981" s="3"/>
      <c r="D12981" s="3"/>
      <c r="E12981" s="3">
        <v>18</v>
      </c>
      <c r="F12981" s="4" t="str">
        <f>HYPERLINK("http://141.218.60.56/~jnz1568/getInfo.php?workbook=10_05.xlsx&amp;sheet=U0&amp;row=12981&amp;col=6&amp;number=4.7&amp;sourceID=14","4.7")</f>
        <v>4.7</v>
      </c>
      <c r="G12981" s="4" t="str">
        <f>HYPERLINK("http://141.218.60.56/~jnz1568/getInfo.php?workbook=10_05.xlsx&amp;sheet=U0&amp;row=12981&amp;col=7&amp;number=0.00793&amp;sourceID=14","0.00793")</f>
        <v>0.00793</v>
      </c>
    </row>
    <row r="12982" spans="1:7">
      <c r="A12982" s="3"/>
      <c r="B12982" s="3"/>
      <c r="C12982" s="3"/>
      <c r="D12982" s="3"/>
      <c r="E12982" s="3">
        <v>19</v>
      </c>
      <c r="F12982" s="4" t="str">
        <f>HYPERLINK("http://141.218.60.56/~jnz1568/getInfo.php?workbook=10_05.xlsx&amp;sheet=U0&amp;row=12982&amp;col=6&amp;number=4.8&amp;sourceID=14","4.8")</f>
        <v>4.8</v>
      </c>
      <c r="G12982" s="4" t="str">
        <f>HYPERLINK("http://141.218.60.56/~jnz1568/getInfo.php?workbook=10_05.xlsx&amp;sheet=U0&amp;row=12982&amp;col=7&amp;number=0.00741&amp;sourceID=14","0.00741")</f>
        <v>0.00741</v>
      </c>
    </row>
    <row r="12983" spans="1:7">
      <c r="A12983" s="3"/>
      <c r="B12983" s="3"/>
      <c r="C12983" s="3"/>
      <c r="D12983" s="3"/>
      <c r="E12983" s="3">
        <v>20</v>
      </c>
      <c r="F12983" s="4" t="str">
        <f>HYPERLINK("http://141.218.60.56/~jnz1568/getInfo.php?workbook=10_05.xlsx&amp;sheet=U0&amp;row=12983&amp;col=6&amp;number=4.9&amp;sourceID=14","4.9")</f>
        <v>4.9</v>
      </c>
      <c r="G12983" s="4" t="str">
        <f>HYPERLINK("http://141.218.60.56/~jnz1568/getInfo.php?workbook=10_05.xlsx&amp;sheet=U0&amp;row=12983&amp;col=7&amp;number=0.00692&amp;sourceID=14","0.00692")</f>
        <v>0.00692</v>
      </c>
    </row>
    <row r="12984" spans="1:7">
      <c r="A12984" s="3">
        <v>10</v>
      </c>
      <c r="B12984" s="3">
        <v>5</v>
      </c>
      <c r="C12984" s="3">
        <v>4</v>
      </c>
      <c r="D12984" s="3">
        <v>120</v>
      </c>
      <c r="E12984" s="3">
        <v>1</v>
      </c>
      <c r="F12984" s="4" t="str">
        <f>HYPERLINK("http://141.218.60.56/~jnz1568/getInfo.php?workbook=10_05.xlsx&amp;sheet=U0&amp;row=12984&amp;col=6&amp;number=3&amp;sourceID=14","3")</f>
        <v>3</v>
      </c>
      <c r="G12984" s="4" t="str">
        <f>HYPERLINK("http://141.218.60.56/~jnz1568/getInfo.php?workbook=10_05.xlsx&amp;sheet=U0&amp;row=12984&amp;col=7&amp;number=0.0186&amp;sourceID=14","0.0186")</f>
        <v>0.0186</v>
      </c>
    </row>
    <row r="12985" spans="1:7">
      <c r="A12985" s="3"/>
      <c r="B12985" s="3"/>
      <c r="C12985" s="3"/>
      <c r="D12985" s="3"/>
      <c r="E12985" s="3">
        <v>2</v>
      </c>
      <c r="F12985" s="4" t="str">
        <f>HYPERLINK("http://141.218.60.56/~jnz1568/getInfo.php?workbook=10_05.xlsx&amp;sheet=U0&amp;row=12985&amp;col=6&amp;number=3.1&amp;sourceID=14","3.1")</f>
        <v>3.1</v>
      </c>
      <c r="G12985" s="4" t="str">
        <f>HYPERLINK("http://141.218.60.56/~jnz1568/getInfo.php?workbook=10_05.xlsx&amp;sheet=U0&amp;row=12985&amp;col=7&amp;number=0.0185&amp;sourceID=14","0.0185")</f>
        <v>0.0185</v>
      </c>
    </row>
    <row r="12986" spans="1:7">
      <c r="A12986" s="3"/>
      <c r="B12986" s="3"/>
      <c r="C12986" s="3"/>
      <c r="D12986" s="3"/>
      <c r="E12986" s="3">
        <v>3</v>
      </c>
      <c r="F12986" s="4" t="str">
        <f>HYPERLINK("http://141.218.60.56/~jnz1568/getInfo.php?workbook=10_05.xlsx&amp;sheet=U0&amp;row=12986&amp;col=6&amp;number=3.2&amp;sourceID=14","3.2")</f>
        <v>3.2</v>
      </c>
      <c r="G12986" s="4" t="str">
        <f>HYPERLINK("http://141.218.60.56/~jnz1568/getInfo.php?workbook=10_05.xlsx&amp;sheet=U0&amp;row=12986&amp;col=7&amp;number=0.0184&amp;sourceID=14","0.0184")</f>
        <v>0.0184</v>
      </c>
    </row>
    <row r="12987" spans="1:7">
      <c r="A12987" s="3"/>
      <c r="B12987" s="3"/>
      <c r="C12987" s="3"/>
      <c r="D12987" s="3"/>
      <c r="E12987" s="3">
        <v>4</v>
      </c>
      <c r="F12987" s="4" t="str">
        <f>HYPERLINK("http://141.218.60.56/~jnz1568/getInfo.php?workbook=10_05.xlsx&amp;sheet=U0&amp;row=12987&amp;col=6&amp;number=3.3&amp;sourceID=14","3.3")</f>
        <v>3.3</v>
      </c>
      <c r="G12987" s="4" t="str">
        <f>HYPERLINK("http://141.218.60.56/~jnz1568/getInfo.php?workbook=10_05.xlsx&amp;sheet=U0&amp;row=12987&amp;col=7&amp;number=0.0182&amp;sourceID=14","0.0182")</f>
        <v>0.0182</v>
      </c>
    </row>
    <row r="12988" spans="1:7">
      <c r="A12988" s="3"/>
      <c r="B12988" s="3"/>
      <c r="C12988" s="3"/>
      <c r="D12988" s="3"/>
      <c r="E12988" s="3">
        <v>5</v>
      </c>
      <c r="F12988" s="4" t="str">
        <f>HYPERLINK("http://141.218.60.56/~jnz1568/getInfo.php?workbook=10_05.xlsx&amp;sheet=U0&amp;row=12988&amp;col=6&amp;number=3.4&amp;sourceID=14","3.4")</f>
        <v>3.4</v>
      </c>
      <c r="G12988" s="4" t="str">
        <f>HYPERLINK("http://141.218.60.56/~jnz1568/getInfo.php?workbook=10_05.xlsx&amp;sheet=U0&amp;row=12988&amp;col=7&amp;number=0.018&amp;sourceID=14","0.018")</f>
        <v>0.018</v>
      </c>
    </row>
    <row r="12989" spans="1:7">
      <c r="A12989" s="3"/>
      <c r="B12989" s="3"/>
      <c r="C12989" s="3"/>
      <c r="D12989" s="3"/>
      <c r="E12989" s="3">
        <v>6</v>
      </c>
      <c r="F12989" s="4" t="str">
        <f>HYPERLINK("http://141.218.60.56/~jnz1568/getInfo.php?workbook=10_05.xlsx&amp;sheet=U0&amp;row=12989&amp;col=6&amp;number=3.5&amp;sourceID=14","3.5")</f>
        <v>3.5</v>
      </c>
      <c r="G12989" s="4" t="str">
        <f>HYPERLINK("http://141.218.60.56/~jnz1568/getInfo.php?workbook=10_05.xlsx&amp;sheet=U0&amp;row=12989&amp;col=7&amp;number=0.0177&amp;sourceID=14","0.0177")</f>
        <v>0.0177</v>
      </c>
    </row>
    <row r="12990" spans="1:7">
      <c r="A12990" s="3"/>
      <c r="B12990" s="3"/>
      <c r="C12990" s="3"/>
      <c r="D12990" s="3"/>
      <c r="E12990" s="3">
        <v>7</v>
      </c>
      <c r="F12990" s="4" t="str">
        <f>HYPERLINK("http://141.218.60.56/~jnz1568/getInfo.php?workbook=10_05.xlsx&amp;sheet=U0&amp;row=12990&amp;col=6&amp;number=3.6&amp;sourceID=14","3.6")</f>
        <v>3.6</v>
      </c>
      <c r="G12990" s="4" t="str">
        <f>HYPERLINK("http://141.218.60.56/~jnz1568/getInfo.php?workbook=10_05.xlsx&amp;sheet=U0&amp;row=12990&amp;col=7&amp;number=0.0173&amp;sourceID=14","0.0173")</f>
        <v>0.0173</v>
      </c>
    </row>
    <row r="12991" spans="1:7">
      <c r="A12991" s="3"/>
      <c r="B12991" s="3"/>
      <c r="C12991" s="3"/>
      <c r="D12991" s="3"/>
      <c r="E12991" s="3">
        <v>8</v>
      </c>
      <c r="F12991" s="4" t="str">
        <f>HYPERLINK("http://141.218.60.56/~jnz1568/getInfo.php?workbook=10_05.xlsx&amp;sheet=U0&amp;row=12991&amp;col=6&amp;number=3.7&amp;sourceID=14","3.7")</f>
        <v>3.7</v>
      </c>
      <c r="G12991" s="4" t="str">
        <f>HYPERLINK("http://141.218.60.56/~jnz1568/getInfo.php?workbook=10_05.xlsx&amp;sheet=U0&amp;row=12991&amp;col=7&amp;number=0.0169&amp;sourceID=14","0.0169")</f>
        <v>0.0169</v>
      </c>
    </row>
    <row r="12992" spans="1:7">
      <c r="A12992" s="3"/>
      <c r="B12992" s="3"/>
      <c r="C12992" s="3"/>
      <c r="D12992" s="3"/>
      <c r="E12992" s="3">
        <v>9</v>
      </c>
      <c r="F12992" s="4" t="str">
        <f>HYPERLINK("http://141.218.60.56/~jnz1568/getInfo.php?workbook=10_05.xlsx&amp;sheet=U0&amp;row=12992&amp;col=6&amp;number=3.8&amp;sourceID=14","3.8")</f>
        <v>3.8</v>
      </c>
      <c r="G12992" s="4" t="str">
        <f>HYPERLINK("http://141.218.60.56/~jnz1568/getInfo.php?workbook=10_05.xlsx&amp;sheet=U0&amp;row=12992&amp;col=7&amp;number=0.0164&amp;sourceID=14","0.0164")</f>
        <v>0.0164</v>
      </c>
    </row>
    <row r="12993" spans="1:7">
      <c r="A12993" s="3"/>
      <c r="B12993" s="3"/>
      <c r="C12993" s="3"/>
      <c r="D12993" s="3"/>
      <c r="E12993" s="3">
        <v>10</v>
      </c>
      <c r="F12993" s="4" t="str">
        <f>HYPERLINK("http://141.218.60.56/~jnz1568/getInfo.php?workbook=10_05.xlsx&amp;sheet=U0&amp;row=12993&amp;col=6&amp;number=3.9&amp;sourceID=14","3.9")</f>
        <v>3.9</v>
      </c>
      <c r="G12993" s="4" t="str">
        <f>HYPERLINK("http://141.218.60.56/~jnz1568/getInfo.php?workbook=10_05.xlsx&amp;sheet=U0&amp;row=12993&amp;col=7&amp;number=0.0158&amp;sourceID=14","0.0158")</f>
        <v>0.0158</v>
      </c>
    </row>
    <row r="12994" spans="1:7">
      <c r="A12994" s="3"/>
      <c r="B12994" s="3"/>
      <c r="C12994" s="3"/>
      <c r="D12994" s="3"/>
      <c r="E12994" s="3">
        <v>11</v>
      </c>
      <c r="F12994" s="4" t="str">
        <f>HYPERLINK("http://141.218.60.56/~jnz1568/getInfo.php?workbook=10_05.xlsx&amp;sheet=U0&amp;row=12994&amp;col=6&amp;number=4&amp;sourceID=14","4")</f>
        <v>4</v>
      </c>
      <c r="G12994" s="4" t="str">
        <f>HYPERLINK("http://141.218.60.56/~jnz1568/getInfo.php?workbook=10_05.xlsx&amp;sheet=U0&amp;row=12994&amp;col=7&amp;number=0.015&amp;sourceID=14","0.015")</f>
        <v>0.015</v>
      </c>
    </row>
    <row r="12995" spans="1:7">
      <c r="A12995" s="3"/>
      <c r="B12995" s="3"/>
      <c r="C12995" s="3"/>
      <c r="D12995" s="3"/>
      <c r="E12995" s="3">
        <v>12</v>
      </c>
      <c r="F12995" s="4" t="str">
        <f>HYPERLINK("http://141.218.60.56/~jnz1568/getInfo.php?workbook=10_05.xlsx&amp;sheet=U0&amp;row=12995&amp;col=6&amp;number=4.1&amp;sourceID=14","4.1")</f>
        <v>4.1</v>
      </c>
      <c r="G12995" s="4" t="str">
        <f>HYPERLINK("http://141.218.60.56/~jnz1568/getInfo.php?workbook=10_05.xlsx&amp;sheet=U0&amp;row=12995&amp;col=7&amp;number=0.0142&amp;sourceID=14","0.0142")</f>
        <v>0.0142</v>
      </c>
    </row>
    <row r="12996" spans="1:7">
      <c r="A12996" s="3"/>
      <c r="B12996" s="3"/>
      <c r="C12996" s="3"/>
      <c r="D12996" s="3"/>
      <c r="E12996" s="3">
        <v>13</v>
      </c>
      <c r="F12996" s="4" t="str">
        <f>HYPERLINK("http://141.218.60.56/~jnz1568/getInfo.php?workbook=10_05.xlsx&amp;sheet=U0&amp;row=12996&amp;col=6&amp;number=4.2&amp;sourceID=14","4.2")</f>
        <v>4.2</v>
      </c>
      <c r="G12996" s="4" t="str">
        <f>HYPERLINK("http://141.218.60.56/~jnz1568/getInfo.php?workbook=10_05.xlsx&amp;sheet=U0&amp;row=12996&amp;col=7&amp;number=0.0132&amp;sourceID=14","0.0132")</f>
        <v>0.0132</v>
      </c>
    </row>
    <row r="12997" spans="1:7">
      <c r="A12997" s="3"/>
      <c r="B12997" s="3"/>
      <c r="C12997" s="3"/>
      <c r="D12997" s="3"/>
      <c r="E12997" s="3">
        <v>14</v>
      </c>
      <c r="F12997" s="4" t="str">
        <f>HYPERLINK("http://141.218.60.56/~jnz1568/getInfo.php?workbook=10_05.xlsx&amp;sheet=U0&amp;row=12997&amp;col=6&amp;number=4.3&amp;sourceID=14","4.3")</f>
        <v>4.3</v>
      </c>
      <c r="G12997" s="4" t="str">
        <f>HYPERLINK("http://141.218.60.56/~jnz1568/getInfo.php?workbook=10_05.xlsx&amp;sheet=U0&amp;row=12997&amp;col=7&amp;number=0.0122&amp;sourceID=14","0.0122")</f>
        <v>0.0122</v>
      </c>
    </row>
    <row r="12998" spans="1:7">
      <c r="A12998" s="3"/>
      <c r="B12998" s="3"/>
      <c r="C12998" s="3"/>
      <c r="D12998" s="3"/>
      <c r="E12998" s="3">
        <v>15</v>
      </c>
      <c r="F12998" s="4" t="str">
        <f>HYPERLINK("http://141.218.60.56/~jnz1568/getInfo.php?workbook=10_05.xlsx&amp;sheet=U0&amp;row=12998&amp;col=6&amp;number=4.4&amp;sourceID=14","4.4")</f>
        <v>4.4</v>
      </c>
      <c r="G12998" s="4" t="str">
        <f>HYPERLINK("http://141.218.60.56/~jnz1568/getInfo.php?workbook=10_05.xlsx&amp;sheet=U0&amp;row=12998&amp;col=7&amp;number=0.0113&amp;sourceID=14","0.0113")</f>
        <v>0.0113</v>
      </c>
    </row>
    <row r="12999" spans="1:7">
      <c r="A12999" s="3"/>
      <c r="B12999" s="3"/>
      <c r="C12999" s="3"/>
      <c r="D12999" s="3"/>
      <c r="E12999" s="3">
        <v>16</v>
      </c>
      <c r="F12999" s="4" t="str">
        <f>HYPERLINK("http://141.218.60.56/~jnz1568/getInfo.php?workbook=10_05.xlsx&amp;sheet=U0&amp;row=12999&amp;col=6&amp;number=4.5&amp;sourceID=14","4.5")</f>
        <v>4.5</v>
      </c>
      <c r="G12999" s="4" t="str">
        <f>HYPERLINK("http://141.218.60.56/~jnz1568/getInfo.php?workbook=10_05.xlsx&amp;sheet=U0&amp;row=12999&amp;col=7&amp;number=0.0105&amp;sourceID=14","0.0105")</f>
        <v>0.0105</v>
      </c>
    </row>
    <row r="13000" spans="1:7">
      <c r="A13000" s="3"/>
      <c r="B13000" s="3"/>
      <c r="C13000" s="3"/>
      <c r="D13000" s="3"/>
      <c r="E13000" s="3">
        <v>17</v>
      </c>
      <c r="F13000" s="4" t="str">
        <f>HYPERLINK("http://141.218.60.56/~jnz1568/getInfo.php?workbook=10_05.xlsx&amp;sheet=U0&amp;row=13000&amp;col=6&amp;number=4.6&amp;sourceID=14","4.6")</f>
        <v>4.6</v>
      </c>
      <c r="G13000" s="4" t="str">
        <f>HYPERLINK("http://141.218.60.56/~jnz1568/getInfo.php?workbook=10_05.xlsx&amp;sheet=U0&amp;row=13000&amp;col=7&amp;number=0.00993&amp;sourceID=14","0.00993")</f>
        <v>0.00993</v>
      </c>
    </row>
    <row r="13001" spans="1:7">
      <c r="A13001" s="3"/>
      <c r="B13001" s="3"/>
      <c r="C13001" s="3"/>
      <c r="D13001" s="3"/>
      <c r="E13001" s="3">
        <v>18</v>
      </c>
      <c r="F13001" s="4" t="str">
        <f>HYPERLINK("http://141.218.60.56/~jnz1568/getInfo.php?workbook=10_05.xlsx&amp;sheet=U0&amp;row=13001&amp;col=6&amp;number=4.7&amp;sourceID=14","4.7")</f>
        <v>4.7</v>
      </c>
      <c r="G13001" s="4" t="str">
        <f>HYPERLINK("http://141.218.60.56/~jnz1568/getInfo.php?workbook=10_05.xlsx&amp;sheet=U0&amp;row=13001&amp;col=7&amp;number=0.00944&amp;sourceID=14","0.00944")</f>
        <v>0.00944</v>
      </c>
    </row>
    <row r="13002" spans="1:7">
      <c r="A13002" s="3"/>
      <c r="B13002" s="3"/>
      <c r="C13002" s="3"/>
      <c r="D13002" s="3"/>
      <c r="E13002" s="3">
        <v>19</v>
      </c>
      <c r="F13002" s="4" t="str">
        <f>HYPERLINK("http://141.218.60.56/~jnz1568/getInfo.php?workbook=10_05.xlsx&amp;sheet=U0&amp;row=13002&amp;col=6&amp;number=4.8&amp;sourceID=14","4.8")</f>
        <v>4.8</v>
      </c>
      <c r="G13002" s="4" t="str">
        <f>HYPERLINK("http://141.218.60.56/~jnz1568/getInfo.php?workbook=10_05.xlsx&amp;sheet=U0&amp;row=13002&amp;col=7&amp;number=0.00892&amp;sourceID=14","0.00892")</f>
        <v>0.00892</v>
      </c>
    </row>
    <row r="13003" spans="1:7">
      <c r="A13003" s="3"/>
      <c r="B13003" s="3"/>
      <c r="C13003" s="3"/>
      <c r="D13003" s="3"/>
      <c r="E13003" s="3">
        <v>20</v>
      </c>
      <c r="F13003" s="4" t="str">
        <f>HYPERLINK("http://141.218.60.56/~jnz1568/getInfo.php?workbook=10_05.xlsx&amp;sheet=U0&amp;row=13003&amp;col=6&amp;number=4.9&amp;sourceID=14","4.9")</f>
        <v>4.9</v>
      </c>
      <c r="G13003" s="4" t="str">
        <f>HYPERLINK("http://141.218.60.56/~jnz1568/getInfo.php?workbook=10_05.xlsx&amp;sheet=U0&amp;row=13003&amp;col=7&amp;number=0.00839&amp;sourceID=14","0.00839")</f>
        <v>0.00839</v>
      </c>
    </row>
    <row r="13004" spans="1:7">
      <c r="A13004" s="3">
        <v>10</v>
      </c>
      <c r="B13004" s="3">
        <v>5</v>
      </c>
      <c r="C13004" s="3">
        <v>4</v>
      </c>
      <c r="D13004" s="3">
        <v>121</v>
      </c>
      <c r="E13004" s="3">
        <v>1</v>
      </c>
      <c r="F13004" s="4" t="str">
        <f>HYPERLINK("http://141.218.60.56/~jnz1568/getInfo.php?workbook=10_05.xlsx&amp;sheet=U0&amp;row=13004&amp;col=6&amp;number=3&amp;sourceID=14","3")</f>
        <v>3</v>
      </c>
      <c r="G13004" s="4" t="str">
        <f>HYPERLINK("http://141.218.60.56/~jnz1568/getInfo.php?workbook=10_05.xlsx&amp;sheet=U0&amp;row=13004&amp;col=7&amp;number=0.0346&amp;sourceID=14","0.0346")</f>
        <v>0.0346</v>
      </c>
    </row>
    <row r="13005" spans="1:7">
      <c r="A13005" s="3"/>
      <c r="B13005" s="3"/>
      <c r="C13005" s="3"/>
      <c r="D13005" s="3"/>
      <c r="E13005" s="3">
        <v>2</v>
      </c>
      <c r="F13005" s="4" t="str">
        <f>HYPERLINK("http://141.218.60.56/~jnz1568/getInfo.php?workbook=10_05.xlsx&amp;sheet=U0&amp;row=13005&amp;col=6&amp;number=3.1&amp;sourceID=14","3.1")</f>
        <v>3.1</v>
      </c>
      <c r="G13005" s="4" t="str">
        <f>HYPERLINK("http://141.218.60.56/~jnz1568/getInfo.php?workbook=10_05.xlsx&amp;sheet=U0&amp;row=13005&amp;col=7&amp;number=0.0343&amp;sourceID=14","0.0343")</f>
        <v>0.0343</v>
      </c>
    </row>
    <row r="13006" spans="1:7">
      <c r="A13006" s="3"/>
      <c r="B13006" s="3"/>
      <c r="C13006" s="3"/>
      <c r="D13006" s="3"/>
      <c r="E13006" s="3">
        <v>3</v>
      </c>
      <c r="F13006" s="4" t="str">
        <f>HYPERLINK("http://141.218.60.56/~jnz1568/getInfo.php?workbook=10_05.xlsx&amp;sheet=U0&amp;row=13006&amp;col=6&amp;number=3.2&amp;sourceID=14","3.2")</f>
        <v>3.2</v>
      </c>
      <c r="G13006" s="4" t="str">
        <f>HYPERLINK("http://141.218.60.56/~jnz1568/getInfo.php?workbook=10_05.xlsx&amp;sheet=U0&amp;row=13006&amp;col=7&amp;number=0.034&amp;sourceID=14","0.034")</f>
        <v>0.034</v>
      </c>
    </row>
    <row r="13007" spans="1:7">
      <c r="A13007" s="3"/>
      <c r="B13007" s="3"/>
      <c r="C13007" s="3"/>
      <c r="D13007" s="3"/>
      <c r="E13007" s="3">
        <v>4</v>
      </c>
      <c r="F13007" s="4" t="str">
        <f>HYPERLINK("http://141.218.60.56/~jnz1568/getInfo.php?workbook=10_05.xlsx&amp;sheet=U0&amp;row=13007&amp;col=6&amp;number=3.3&amp;sourceID=14","3.3")</f>
        <v>3.3</v>
      </c>
      <c r="G13007" s="4" t="str">
        <f>HYPERLINK("http://141.218.60.56/~jnz1568/getInfo.php?workbook=10_05.xlsx&amp;sheet=U0&amp;row=13007&amp;col=7&amp;number=0.0336&amp;sourceID=14","0.0336")</f>
        <v>0.0336</v>
      </c>
    </row>
    <row r="13008" spans="1:7">
      <c r="A13008" s="3"/>
      <c r="B13008" s="3"/>
      <c r="C13008" s="3"/>
      <c r="D13008" s="3"/>
      <c r="E13008" s="3">
        <v>5</v>
      </c>
      <c r="F13008" s="4" t="str">
        <f>HYPERLINK("http://141.218.60.56/~jnz1568/getInfo.php?workbook=10_05.xlsx&amp;sheet=U0&amp;row=13008&amp;col=6&amp;number=3.4&amp;sourceID=14","3.4")</f>
        <v>3.4</v>
      </c>
      <c r="G13008" s="4" t="str">
        <f>HYPERLINK("http://141.218.60.56/~jnz1568/getInfo.php?workbook=10_05.xlsx&amp;sheet=U0&amp;row=13008&amp;col=7&amp;number=0.0331&amp;sourceID=14","0.0331")</f>
        <v>0.0331</v>
      </c>
    </row>
    <row r="13009" spans="1:7">
      <c r="A13009" s="3"/>
      <c r="B13009" s="3"/>
      <c r="C13009" s="3"/>
      <c r="D13009" s="3"/>
      <c r="E13009" s="3">
        <v>6</v>
      </c>
      <c r="F13009" s="4" t="str">
        <f>HYPERLINK("http://141.218.60.56/~jnz1568/getInfo.php?workbook=10_05.xlsx&amp;sheet=U0&amp;row=13009&amp;col=6&amp;number=3.5&amp;sourceID=14","3.5")</f>
        <v>3.5</v>
      </c>
      <c r="G13009" s="4" t="str">
        <f>HYPERLINK("http://141.218.60.56/~jnz1568/getInfo.php?workbook=10_05.xlsx&amp;sheet=U0&amp;row=13009&amp;col=7&amp;number=0.0324&amp;sourceID=14","0.0324")</f>
        <v>0.0324</v>
      </c>
    </row>
    <row r="13010" spans="1:7">
      <c r="A13010" s="3"/>
      <c r="B13010" s="3"/>
      <c r="C13010" s="3"/>
      <c r="D13010" s="3"/>
      <c r="E13010" s="3">
        <v>7</v>
      </c>
      <c r="F13010" s="4" t="str">
        <f>HYPERLINK("http://141.218.60.56/~jnz1568/getInfo.php?workbook=10_05.xlsx&amp;sheet=U0&amp;row=13010&amp;col=6&amp;number=3.6&amp;sourceID=14","3.6")</f>
        <v>3.6</v>
      </c>
      <c r="G13010" s="4" t="str">
        <f>HYPERLINK("http://141.218.60.56/~jnz1568/getInfo.php?workbook=10_05.xlsx&amp;sheet=U0&amp;row=13010&amp;col=7&amp;number=0.0317&amp;sourceID=14","0.0317")</f>
        <v>0.0317</v>
      </c>
    </row>
    <row r="13011" spans="1:7">
      <c r="A13011" s="3"/>
      <c r="B13011" s="3"/>
      <c r="C13011" s="3"/>
      <c r="D13011" s="3"/>
      <c r="E13011" s="3">
        <v>8</v>
      </c>
      <c r="F13011" s="4" t="str">
        <f>HYPERLINK("http://141.218.60.56/~jnz1568/getInfo.php?workbook=10_05.xlsx&amp;sheet=U0&amp;row=13011&amp;col=6&amp;number=3.7&amp;sourceID=14","3.7")</f>
        <v>3.7</v>
      </c>
      <c r="G13011" s="4" t="str">
        <f>HYPERLINK("http://141.218.60.56/~jnz1568/getInfo.php?workbook=10_05.xlsx&amp;sheet=U0&amp;row=13011&amp;col=7&amp;number=0.0307&amp;sourceID=14","0.0307")</f>
        <v>0.0307</v>
      </c>
    </row>
    <row r="13012" spans="1:7">
      <c r="A13012" s="3"/>
      <c r="B13012" s="3"/>
      <c r="C13012" s="3"/>
      <c r="D13012" s="3"/>
      <c r="E13012" s="3">
        <v>9</v>
      </c>
      <c r="F13012" s="4" t="str">
        <f>HYPERLINK("http://141.218.60.56/~jnz1568/getInfo.php?workbook=10_05.xlsx&amp;sheet=U0&amp;row=13012&amp;col=6&amp;number=3.8&amp;sourceID=14","3.8")</f>
        <v>3.8</v>
      </c>
      <c r="G13012" s="4" t="str">
        <f>HYPERLINK("http://141.218.60.56/~jnz1568/getInfo.php?workbook=10_05.xlsx&amp;sheet=U0&amp;row=13012&amp;col=7&amp;number=0.0295&amp;sourceID=14","0.0295")</f>
        <v>0.0295</v>
      </c>
    </row>
    <row r="13013" spans="1:7">
      <c r="A13013" s="3"/>
      <c r="B13013" s="3"/>
      <c r="C13013" s="3"/>
      <c r="D13013" s="3"/>
      <c r="E13013" s="3">
        <v>10</v>
      </c>
      <c r="F13013" s="4" t="str">
        <f>HYPERLINK("http://141.218.60.56/~jnz1568/getInfo.php?workbook=10_05.xlsx&amp;sheet=U0&amp;row=13013&amp;col=6&amp;number=3.9&amp;sourceID=14","3.9")</f>
        <v>3.9</v>
      </c>
      <c r="G13013" s="4" t="str">
        <f>HYPERLINK("http://141.218.60.56/~jnz1568/getInfo.php?workbook=10_05.xlsx&amp;sheet=U0&amp;row=13013&amp;col=7&amp;number=0.0281&amp;sourceID=14","0.0281")</f>
        <v>0.0281</v>
      </c>
    </row>
    <row r="13014" spans="1:7">
      <c r="A13014" s="3"/>
      <c r="B13014" s="3"/>
      <c r="C13014" s="3"/>
      <c r="D13014" s="3"/>
      <c r="E13014" s="3">
        <v>11</v>
      </c>
      <c r="F13014" s="4" t="str">
        <f>HYPERLINK("http://141.218.60.56/~jnz1568/getInfo.php?workbook=10_05.xlsx&amp;sheet=U0&amp;row=13014&amp;col=6&amp;number=4&amp;sourceID=14","4")</f>
        <v>4</v>
      </c>
      <c r="G13014" s="4" t="str">
        <f>HYPERLINK("http://141.218.60.56/~jnz1568/getInfo.php?workbook=10_05.xlsx&amp;sheet=U0&amp;row=13014&amp;col=7&amp;number=0.0265&amp;sourceID=14","0.0265")</f>
        <v>0.0265</v>
      </c>
    </row>
    <row r="13015" spans="1:7">
      <c r="A13015" s="3"/>
      <c r="B13015" s="3"/>
      <c r="C13015" s="3"/>
      <c r="D13015" s="3"/>
      <c r="E13015" s="3">
        <v>12</v>
      </c>
      <c r="F13015" s="4" t="str">
        <f>HYPERLINK("http://141.218.60.56/~jnz1568/getInfo.php?workbook=10_05.xlsx&amp;sheet=U0&amp;row=13015&amp;col=6&amp;number=4.1&amp;sourceID=14","4.1")</f>
        <v>4.1</v>
      </c>
      <c r="G13015" s="4" t="str">
        <f>HYPERLINK("http://141.218.60.56/~jnz1568/getInfo.php?workbook=10_05.xlsx&amp;sheet=U0&amp;row=13015&amp;col=7&amp;number=0.0246&amp;sourceID=14","0.0246")</f>
        <v>0.0246</v>
      </c>
    </row>
    <row r="13016" spans="1:7">
      <c r="A13016" s="3"/>
      <c r="B13016" s="3"/>
      <c r="C13016" s="3"/>
      <c r="D13016" s="3"/>
      <c r="E13016" s="3">
        <v>13</v>
      </c>
      <c r="F13016" s="4" t="str">
        <f>HYPERLINK("http://141.218.60.56/~jnz1568/getInfo.php?workbook=10_05.xlsx&amp;sheet=U0&amp;row=13016&amp;col=6&amp;number=4.2&amp;sourceID=14","4.2")</f>
        <v>4.2</v>
      </c>
      <c r="G13016" s="4" t="str">
        <f>HYPERLINK("http://141.218.60.56/~jnz1568/getInfo.php?workbook=10_05.xlsx&amp;sheet=U0&amp;row=13016&amp;col=7&amp;number=0.0227&amp;sourceID=14","0.0227")</f>
        <v>0.0227</v>
      </c>
    </row>
    <row r="13017" spans="1:7">
      <c r="A13017" s="3"/>
      <c r="B13017" s="3"/>
      <c r="C13017" s="3"/>
      <c r="D13017" s="3"/>
      <c r="E13017" s="3">
        <v>14</v>
      </c>
      <c r="F13017" s="4" t="str">
        <f>HYPERLINK("http://141.218.60.56/~jnz1568/getInfo.php?workbook=10_05.xlsx&amp;sheet=U0&amp;row=13017&amp;col=6&amp;number=4.3&amp;sourceID=14","4.3")</f>
        <v>4.3</v>
      </c>
      <c r="G13017" s="4" t="str">
        <f>HYPERLINK("http://141.218.60.56/~jnz1568/getInfo.php?workbook=10_05.xlsx&amp;sheet=U0&amp;row=13017&amp;col=7&amp;number=0.0207&amp;sourceID=14","0.0207")</f>
        <v>0.0207</v>
      </c>
    </row>
    <row r="13018" spans="1:7">
      <c r="A13018" s="3"/>
      <c r="B13018" s="3"/>
      <c r="C13018" s="3"/>
      <c r="D13018" s="3"/>
      <c r="E13018" s="3">
        <v>15</v>
      </c>
      <c r="F13018" s="4" t="str">
        <f>HYPERLINK("http://141.218.60.56/~jnz1568/getInfo.php?workbook=10_05.xlsx&amp;sheet=U0&amp;row=13018&amp;col=6&amp;number=4.4&amp;sourceID=14","4.4")</f>
        <v>4.4</v>
      </c>
      <c r="G13018" s="4" t="str">
        <f>HYPERLINK("http://141.218.60.56/~jnz1568/getInfo.php?workbook=10_05.xlsx&amp;sheet=U0&amp;row=13018&amp;col=7&amp;number=0.0189&amp;sourceID=14","0.0189")</f>
        <v>0.0189</v>
      </c>
    </row>
    <row r="13019" spans="1:7">
      <c r="A13019" s="3"/>
      <c r="B13019" s="3"/>
      <c r="C13019" s="3"/>
      <c r="D13019" s="3"/>
      <c r="E13019" s="3">
        <v>16</v>
      </c>
      <c r="F13019" s="4" t="str">
        <f>HYPERLINK("http://141.218.60.56/~jnz1568/getInfo.php?workbook=10_05.xlsx&amp;sheet=U0&amp;row=13019&amp;col=6&amp;number=4.5&amp;sourceID=14","4.5")</f>
        <v>4.5</v>
      </c>
      <c r="G13019" s="4" t="str">
        <f>HYPERLINK("http://141.218.60.56/~jnz1568/getInfo.php?workbook=10_05.xlsx&amp;sheet=U0&amp;row=13019&amp;col=7&amp;number=0.0173&amp;sourceID=14","0.0173")</f>
        <v>0.0173</v>
      </c>
    </row>
    <row r="13020" spans="1:7">
      <c r="A13020" s="3"/>
      <c r="B13020" s="3"/>
      <c r="C13020" s="3"/>
      <c r="D13020" s="3"/>
      <c r="E13020" s="3">
        <v>17</v>
      </c>
      <c r="F13020" s="4" t="str">
        <f>HYPERLINK("http://141.218.60.56/~jnz1568/getInfo.php?workbook=10_05.xlsx&amp;sheet=U0&amp;row=13020&amp;col=6&amp;number=4.6&amp;sourceID=14","4.6")</f>
        <v>4.6</v>
      </c>
      <c r="G13020" s="4" t="str">
        <f>HYPERLINK("http://141.218.60.56/~jnz1568/getInfo.php?workbook=10_05.xlsx&amp;sheet=U0&amp;row=13020&amp;col=7&amp;number=0.016&amp;sourceID=14","0.016")</f>
        <v>0.016</v>
      </c>
    </row>
    <row r="13021" spans="1:7">
      <c r="A13021" s="3"/>
      <c r="B13021" s="3"/>
      <c r="C13021" s="3"/>
      <c r="D13021" s="3"/>
      <c r="E13021" s="3">
        <v>18</v>
      </c>
      <c r="F13021" s="4" t="str">
        <f>HYPERLINK("http://141.218.60.56/~jnz1568/getInfo.php?workbook=10_05.xlsx&amp;sheet=U0&amp;row=13021&amp;col=6&amp;number=4.7&amp;sourceID=14","4.7")</f>
        <v>4.7</v>
      </c>
      <c r="G13021" s="4" t="str">
        <f>HYPERLINK("http://141.218.60.56/~jnz1568/getInfo.php?workbook=10_05.xlsx&amp;sheet=U0&amp;row=13021&amp;col=7&amp;number=0.0148&amp;sourceID=14","0.0148")</f>
        <v>0.0148</v>
      </c>
    </row>
    <row r="13022" spans="1:7">
      <c r="A13022" s="3"/>
      <c r="B13022" s="3"/>
      <c r="C13022" s="3"/>
      <c r="D13022" s="3"/>
      <c r="E13022" s="3">
        <v>19</v>
      </c>
      <c r="F13022" s="4" t="str">
        <f>HYPERLINK("http://141.218.60.56/~jnz1568/getInfo.php?workbook=10_05.xlsx&amp;sheet=U0&amp;row=13022&amp;col=6&amp;number=4.8&amp;sourceID=14","4.8")</f>
        <v>4.8</v>
      </c>
      <c r="G13022" s="4" t="str">
        <f>HYPERLINK("http://141.218.60.56/~jnz1568/getInfo.php?workbook=10_05.xlsx&amp;sheet=U0&amp;row=13022&amp;col=7&amp;number=0.0137&amp;sourceID=14","0.0137")</f>
        <v>0.0137</v>
      </c>
    </row>
    <row r="13023" spans="1:7">
      <c r="A13023" s="3"/>
      <c r="B13023" s="3"/>
      <c r="C13023" s="3"/>
      <c r="D13023" s="3"/>
      <c r="E13023" s="3">
        <v>20</v>
      </c>
      <c r="F13023" s="4" t="str">
        <f>HYPERLINK("http://141.218.60.56/~jnz1568/getInfo.php?workbook=10_05.xlsx&amp;sheet=U0&amp;row=13023&amp;col=6&amp;number=4.9&amp;sourceID=14","4.9")</f>
        <v>4.9</v>
      </c>
      <c r="G13023" s="4" t="str">
        <f>HYPERLINK("http://141.218.60.56/~jnz1568/getInfo.php?workbook=10_05.xlsx&amp;sheet=U0&amp;row=13023&amp;col=7&amp;number=0.0128&amp;sourceID=14","0.0128")</f>
        <v>0.0128</v>
      </c>
    </row>
    <row r="13024" spans="1:7">
      <c r="A13024" s="3">
        <v>10</v>
      </c>
      <c r="B13024" s="3">
        <v>5</v>
      </c>
      <c r="C13024" s="3">
        <v>4</v>
      </c>
      <c r="D13024" s="3">
        <v>122</v>
      </c>
      <c r="E13024" s="3">
        <v>1</v>
      </c>
      <c r="F13024" s="4" t="str">
        <f>HYPERLINK("http://141.218.60.56/~jnz1568/getInfo.php?workbook=10_05.xlsx&amp;sheet=U0&amp;row=13024&amp;col=6&amp;number=3&amp;sourceID=14","3")</f>
        <v>3</v>
      </c>
      <c r="G13024" s="4" t="str">
        <f>HYPERLINK("http://141.218.60.56/~jnz1568/getInfo.php?workbook=10_05.xlsx&amp;sheet=U0&amp;row=13024&amp;col=7&amp;number=0.0456&amp;sourceID=14","0.0456")</f>
        <v>0.0456</v>
      </c>
    </row>
    <row r="13025" spans="1:7">
      <c r="A13025" s="3"/>
      <c r="B13025" s="3"/>
      <c r="C13025" s="3"/>
      <c r="D13025" s="3"/>
      <c r="E13025" s="3">
        <v>2</v>
      </c>
      <c r="F13025" s="4" t="str">
        <f>HYPERLINK("http://141.218.60.56/~jnz1568/getInfo.php?workbook=10_05.xlsx&amp;sheet=U0&amp;row=13025&amp;col=6&amp;number=3.1&amp;sourceID=14","3.1")</f>
        <v>3.1</v>
      </c>
      <c r="G13025" s="4" t="str">
        <f>HYPERLINK("http://141.218.60.56/~jnz1568/getInfo.php?workbook=10_05.xlsx&amp;sheet=U0&amp;row=13025&amp;col=7&amp;number=0.0452&amp;sourceID=14","0.0452")</f>
        <v>0.0452</v>
      </c>
    </row>
    <row r="13026" spans="1:7">
      <c r="A13026" s="3"/>
      <c r="B13026" s="3"/>
      <c r="C13026" s="3"/>
      <c r="D13026" s="3"/>
      <c r="E13026" s="3">
        <v>3</v>
      </c>
      <c r="F13026" s="4" t="str">
        <f>HYPERLINK("http://141.218.60.56/~jnz1568/getInfo.php?workbook=10_05.xlsx&amp;sheet=U0&amp;row=13026&amp;col=6&amp;number=3.2&amp;sourceID=14","3.2")</f>
        <v>3.2</v>
      </c>
      <c r="G13026" s="4" t="str">
        <f>HYPERLINK("http://141.218.60.56/~jnz1568/getInfo.php?workbook=10_05.xlsx&amp;sheet=U0&amp;row=13026&amp;col=7&amp;number=0.0446&amp;sourceID=14","0.0446")</f>
        <v>0.0446</v>
      </c>
    </row>
    <row r="13027" spans="1:7">
      <c r="A13027" s="3"/>
      <c r="B13027" s="3"/>
      <c r="C13027" s="3"/>
      <c r="D13027" s="3"/>
      <c r="E13027" s="3">
        <v>4</v>
      </c>
      <c r="F13027" s="4" t="str">
        <f>HYPERLINK("http://141.218.60.56/~jnz1568/getInfo.php?workbook=10_05.xlsx&amp;sheet=U0&amp;row=13027&amp;col=6&amp;number=3.3&amp;sourceID=14","3.3")</f>
        <v>3.3</v>
      </c>
      <c r="G13027" s="4" t="str">
        <f>HYPERLINK("http://141.218.60.56/~jnz1568/getInfo.php?workbook=10_05.xlsx&amp;sheet=U0&amp;row=13027&amp;col=7&amp;number=0.044&amp;sourceID=14","0.044")</f>
        <v>0.044</v>
      </c>
    </row>
    <row r="13028" spans="1:7">
      <c r="A13028" s="3"/>
      <c r="B13028" s="3"/>
      <c r="C13028" s="3"/>
      <c r="D13028" s="3"/>
      <c r="E13028" s="3">
        <v>5</v>
      </c>
      <c r="F13028" s="4" t="str">
        <f>HYPERLINK("http://141.218.60.56/~jnz1568/getInfo.php?workbook=10_05.xlsx&amp;sheet=U0&amp;row=13028&amp;col=6&amp;number=3.4&amp;sourceID=14","3.4")</f>
        <v>3.4</v>
      </c>
      <c r="G13028" s="4" t="str">
        <f>HYPERLINK("http://141.218.60.56/~jnz1568/getInfo.php?workbook=10_05.xlsx&amp;sheet=U0&amp;row=13028&amp;col=7&amp;number=0.0431&amp;sourceID=14","0.0431")</f>
        <v>0.0431</v>
      </c>
    </row>
    <row r="13029" spans="1:7">
      <c r="A13029" s="3"/>
      <c r="B13029" s="3"/>
      <c r="C13029" s="3"/>
      <c r="D13029" s="3"/>
      <c r="E13029" s="3">
        <v>6</v>
      </c>
      <c r="F13029" s="4" t="str">
        <f>HYPERLINK("http://141.218.60.56/~jnz1568/getInfo.php?workbook=10_05.xlsx&amp;sheet=U0&amp;row=13029&amp;col=6&amp;number=3.5&amp;sourceID=14","3.5")</f>
        <v>3.5</v>
      </c>
      <c r="G13029" s="4" t="str">
        <f>HYPERLINK("http://141.218.60.56/~jnz1568/getInfo.php?workbook=10_05.xlsx&amp;sheet=U0&amp;row=13029&amp;col=7&amp;number=0.0421&amp;sourceID=14","0.0421")</f>
        <v>0.0421</v>
      </c>
    </row>
    <row r="13030" spans="1:7">
      <c r="A13030" s="3"/>
      <c r="B13030" s="3"/>
      <c r="C13030" s="3"/>
      <c r="D13030" s="3"/>
      <c r="E13030" s="3">
        <v>7</v>
      </c>
      <c r="F13030" s="4" t="str">
        <f>HYPERLINK("http://141.218.60.56/~jnz1568/getInfo.php?workbook=10_05.xlsx&amp;sheet=U0&amp;row=13030&amp;col=6&amp;number=3.6&amp;sourceID=14","3.6")</f>
        <v>3.6</v>
      </c>
      <c r="G13030" s="4" t="str">
        <f>HYPERLINK("http://141.218.60.56/~jnz1568/getInfo.php?workbook=10_05.xlsx&amp;sheet=U0&amp;row=13030&amp;col=7&amp;number=0.0408&amp;sourceID=14","0.0408")</f>
        <v>0.0408</v>
      </c>
    </row>
    <row r="13031" spans="1:7">
      <c r="A13031" s="3"/>
      <c r="B13031" s="3"/>
      <c r="C13031" s="3"/>
      <c r="D13031" s="3"/>
      <c r="E13031" s="3">
        <v>8</v>
      </c>
      <c r="F13031" s="4" t="str">
        <f>HYPERLINK("http://141.218.60.56/~jnz1568/getInfo.php?workbook=10_05.xlsx&amp;sheet=U0&amp;row=13031&amp;col=6&amp;number=3.7&amp;sourceID=14","3.7")</f>
        <v>3.7</v>
      </c>
      <c r="G13031" s="4" t="str">
        <f>HYPERLINK("http://141.218.60.56/~jnz1568/getInfo.php?workbook=10_05.xlsx&amp;sheet=U0&amp;row=13031&amp;col=7&amp;number=0.0393&amp;sourceID=14","0.0393")</f>
        <v>0.0393</v>
      </c>
    </row>
    <row r="13032" spans="1:7">
      <c r="A13032" s="3"/>
      <c r="B13032" s="3"/>
      <c r="C13032" s="3"/>
      <c r="D13032" s="3"/>
      <c r="E13032" s="3">
        <v>9</v>
      </c>
      <c r="F13032" s="4" t="str">
        <f>HYPERLINK("http://141.218.60.56/~jnz1568/getInfo.php?workbook=10_05.xlsx&amp;sheet=U0&amp;row=13032&amp;col=6&amp;number=3.8&amp;sourceID=14","3.8")</f>
        <v>3.8</v>
      </c>
      <c r="G13032" s="4" t="str">
        <f>HYPERLINK("http://141.218.60.56/~jnz1568/getInfo.php?workbook=10_05.xlsx&amp;sheet=U0&amp;row=13032&amp;col=7&amp;number=0.0374&amp;sourceID=14","0.0374")</f>
        <v>0.0374</v>
      </c>
    </row>
    <row r="13033" spans="1:7">
      <c r="A13033" s="3"/>
      <c r="B13033" s="3"/>
      <c r="C13033" s="3"/>
      <c r="D13033" s="3"/>
      <c r="E13033" s="3">
        <v>10</v>
      </c>
      <c r="F13033" s="4" t="str">
        <f>HYPERLINK("http://141.218.60.56/~jnz1568/getInfo.php?workbook=10_05.xlsx&amp;sheet=U0&amp;row=13033&amp;col=6&amp;number=3.9&amp;sourceID=14","3.9")</f>
        <v>3.9</v>
      </c>
      <c r="G13033" s="4" t="str">
        <f>HYPERLINK("http://141.218.60.56/~jnz1568/getInfo.php?workbook=10_05.xlsx&amp;sheet=U0&amp;row=13033&amp;col=7&amp;number=0.0352&amp;sourceID=14","0.0352")</f>
        <v>0.0352</v>
      </c>
    </row>
    <row r="13034" spans="1:7">
      <c r="A13034" s="3"/>
      <c r="B13034" s="3"/>
      <c r="C13034" s="3"/>
      <c r="D13034" s="3"/>
      <c r="E13034" s="3">
        <v>11</v>
      </c>
      <c r="F13034" s="4" t="str">
        <f>HYPERLINK("http://141.218.60.56/~jnz1568/getInfo.php?workbook=10_05.xlsx&amp;sheet=U0&amp;row=13034&amp;col=6&amp;number=4&amp;sourceID=14","4")</f>
        <v>4</v>
      </c>
      <c r="G13034" s="4" t="str">
        <f>HYPERLINK("http://141.218.60.56/~jnz1568/getInfo.php?workbook=10_05.xlsx&amp;sheet=U0&amp;row=13034&amp;col=7&amp;number=0.0327&amp;sourceID=14","0.0327")</f>
        <v>0.0327</v>
      </c>
    </row>
    <row r="13035" spans="1:7">
      <c r="A13035" s="3"/>
      <c r="B13035" s="3"/>
      <c r="C13035" s="3"/>
      <c r="D13035" s="3"/>
      <c r="E13035" s="3">
        <v>12</v>
      </c>
      <c r="F13035" s="4" t="str">
        <f>HYPERLINK("http://141.218.60.56/~jnz1568/getInfo.php?workbook=10_05.xlsx&amp;sheet=U0&amp;row=13035&amp;col=6&amp;number=4.1&amp;sourceID=14","4.1")</f>
        <v>4.1</v>
      </c>
      <c r="G13035" s="4" t="str">
        <f>HYPERLINK("http://141.218.60.56/~jnz1568/getInfo.php?workbook=10_05.xlsx&amp;sheet=U0&amp;row=13035&amp;col=7&amp;number=0.0299&amp;sourceID=14","0.0299")</f>
        <v>0.0299</v>
      </c>
    </row>
    <row r="13036" spans="1:7">
      <c r="A13036" s="3"/>
      <c r="B13036" s="3"/>
      <c r="C13036" s="3"/>
      <c r="D13036" s="3"/>
      <c r="E13036" s="3">
        <v>13</v>
      </c>
      <c r="F13036" s="4" t="str">
        <f>HYPERLINK("http://141.218.60.56/~jnz1568/getInfo.php?workbook=10_05.xlsx&amp;sheet=U0&amp;row=13036&amp;col=6&amp;number=4.2&amp;sourceID=14","4.2")</f>
        <v>4.2</v>
      </c>
      <c r="G13036" s="4" t="str">
        <f>HYPERLINK("http://141.218.60.56/~jnz1568/getInfo.php?workbook=10_05.xlsx&amp;sheet=U0&amp;row=13036&amp;col=7&amp;number=0.0271&amp;sourceID=14","0.0271")</f>
        <v>0.0271</v>
      </c>
    </row>
    <row r="13037" spans="1:7">
      <c r="A13037" s="3"/>
      <c r="B13037" s="3"/>
      <c r="C13037" s="3"/>
      <c r="D13037" s="3"/>
      <c r="E13037" s="3">
        <v>14</v>
      </c>
      <c r="F13037" s="4" t="str">
        <f>HYPERLINK("http://141.218.60.56/~jnz1568/getInfo.php?workbook=10_05.xlsx&amp;sheet=U0&amp;row=13037&amp;col=6&amp;number=4.3&amp;sourceID=14","4.3")</f>
        <v>4.3</v>
      </c>
      <c r="G13037" s="4" t="str">
        <f>HYPERLINK("http://141.218.60.56/~jnz1568/getInfo.php?workbook=10_05.xlsx&amp;sheet=U0&amp;row=13037&amp;col=7&amp;number=0.0244&amp;sourceID=14","0.0244")</f>
        <v>0.0244</v>
      </c>
    </row>
    <row r="13038" spans="1:7">
      <c r="A13038" s="3"/>
      <c r="B13038" s="3"/>
      <c r="C13038" s="3"/>
      <c r="D13038" s="3"/>
      <c r="E13038" s="3">
        <v>15</v>
      </c>
      <c r="F13038" s="4" t="str">
        <f>HYPERLINK("http://141.218.60.56/~jnz1568/getInfo.php?workbook=10_05.xlsx&amp;sheet=U0&amp;row=13038&amp;col=6&amp;number=4.4&amp;sourceID=14","4.4")</f>
        <v>4.4</v>
      </c>
      <c r="G13038" s="4" t="str">
        <f>HYPERLINK("http://141.218.60.56/~jnz1568/getInfo.php?workbook=10_05.xlsx&amp;sheet=U0&amp;row=13038&amp;col=7&amp;number=0.0221&amp;sourceID=14","0.0221")</f>
        <v>0.0221</v>
      </c>
    </row>
    <row r="13039" spans="1:7">
      <c r="A13039" s="3"/>
      <c r="B13039" s="3"/>
      <c r="C13039" s="3"/>
      <c r="D13039" s="3"/>
      <c r="E13039" s="3">
        <v>16</v>
      </c>
      <c r="F13039" s="4" t="str">
        <f>HYPERLINK("http://141.218.60.56/~jnz1568/getInfo.php?workbook=10_05.xlsx&amp;sheet=U0&amp;row=13039&amp;col=6&amp;number=4.5&amp;sourceID=14","4.5")</f>
        <v>4.5</v>
      </c>
      <c r="G13039" s="4" t="str">
        <f>HYPERLINK("http://141.218.60.56/~jnz1568/getInfo.php?workbook=10_05.xlsx&amp;sheet=U0&amp;row=13039&amp;col=7&amp;number=0.0202&amp;sourceID=14","0.0202")</f>
        <v>0.0202</v>
      </c>
    </row>
    <row r="13040" spans="1:7">
      <c r="A13040" s="3"/>
      <c r="B13040" s="3"/>
      <c r="C13040" s="3"/>
      <c r="D13040" s="3"/>
      <c r="E13040" s="3">
        <v>17</v>
      </c>
      <c r="F13040" s="4" t="str">
        <f>HYPERLINK("http://141.218.60.56/~jnz1568/getInfo.php?workbook=10_05.xlsx&amp;sheet=U0&amp;row=13040&amp;col=6&amp;number=4.6&amp;sourceID=14","4.6")</f>
        <v>4.6</v>
      </c>
      <c r="G13040" s="4" t="str">
        <f>HYPERLINK("http://141.218.60.56/~jnz1568/getInfo.php?workbook=10_05.xlsx&amp;sheet=U0&amp;row=13040&amp;col=7&amp;number=0.0184&amp;sourceID=14","0.0184")</f>
        <v>0.0184</v>
      </c>
    </row>
    <row r="13041" spans="1:7">
      <c r="A13041" s="3"/>
      <c r="B13041" s="3"/>
      <c r="C13041" s="3"/>
      <c r="D13041" s="3"/>
      <c r="E13041" s="3">
        <v>18</v>
      </c>
      <c r="F13041" s="4" t="str">
        <f>HYPERLINK("http://141.218.60.56/~jnz1568/getInfo.php?workbook=10_05.xlsx&amp;sheet=U0&amp;row=13041&amp;col=6&amp;number=4.7&amp;sourceID=14","4.7")</f>
        <v>4.7</v>
      </c>
      <c r="G13041" s="4" t="str">
        <f>HYPERLINK("http://141.218.60.56/~jnz1568/getInfo.php?workbook=10_05.xlsx&amp;sheet=U0&amp;row=13041&amp;col=7&amp;number=0.0167&amp;sourceID=14","0.0167")</f>
        <v>0.0167</v>
      </c>
    </row>
    <row r="13042" spans="1:7">
      <c r="A13042" s="3"/>
      <c r="B13042" s="3"/>
      <c r="C13042" s="3"/>
      <c r="D13042" s="3"/>
      <c r="E13042" s="3">
        <v>19</v>
      </c>
      <c r="F13042" s="4" t="str">
        <f>HYPERLINK("http://141.218.60.56/~jnz1568/getInfo.php?workbook=10_05.xlsx&amp;sheet=U0&amp;row=13042&amp;col=6&amp;number=4.8&amp;sourceID=14","4.8")</f>
        <v>4.8</v>
      </c>
      <c r="G13042" s="4" t="str">
        <f>HYPERLINK("http://141.218.60.56/~jnz1568/getInfo.php?workbook=10_05.xlsx&amp;sheet=U0&amp;row=13042&amp;col=7&amp;number=0.0153&amp;sourceID=14","0.0153")</f>
        <v>0.0153</v>
      </c>
    </row>
    <row r="13043" spans="1:7">
      <c r="A13043" s="3"/>
      <c r="B13043" s="3"/>
      <c r="C13043" s="3"/>
      <c r="D13043" s="3"/>
      <c r="E13043" s="3">
        <v>20</v>
      </c>
      <c r="F13043" s="4" t="str">
        <f>HYPERLINK("http://141.218.60.56/~jnz1568/getInfo.php?workbook=10_05.xlsx&amp;sheet=U0&amp;row=13043&amp;col=6&amp;number=4.9&amp;sourceID=14","4.9")</f>
        <v>4.9</v>
      </c>
      <c r="G13043" s="4" t="str">
        <f>HYPERLINK("http://141.218.60.56/~jnz1568/getInfo.php?workbook=10_05.xlsx&amp;sheet=U0&amp;row=13043&amp;col=7&amp;number=0.014&amp;sourceID=14","0.014")</f>
        <v>0.014</v>
      </c>
    </row>
    <row r="13044" spans="1:7">
      <c r="A13044" s="3">
        <v>10</v>
      </c>
      <c r="B13044" s="3">
        <v>5</v>
      </c>
      <c r="C13044" s="3">
        <v>4</v>
      </c>
      <c r="D13044" s="3">
        <v>123</v>
      </c>
      <c r="E13044" s="3">
        <v>1</v>
      </c>
      <c r="F13044" s="4" t="str">
        <f>HYPERLINK("http://141.218.60.56/~jnz1568/getInfo.php?workbook=10_05.xlsx&amp;sheet=U0&amp;row=13044&amp;col=6&amp;number=3&amp;sourceID=14","3")</f>
        <v>3</v>
      </c>
      <c r="G13044" s="4" t="str">
        <f>HYPERLINK("http://141.218.60.56/~jnz1568/getInfo.php?workbook=10_05.xlsx&amp;sheet=U0&amp;row=13044&amp;col=7&amp;number=0.0471&amp;sourceID=14","0.0471")</f>
        <v>0.0471</v>
      </c>
    </row>
    <row r="13045" spans="1:7">
      <c r="A13045" s="3"/>
      <c r="B13045" s="3"/>
      <c r="C13045" s="3"/>
      <c r="D13045" s="3"/>
      <c r="E13045" s="3">
        <v>2</v>
      </c>
      <c r="F13045" s="4" t="str">
        <f>HYPERLINK("http://141.218.60.56/~jnz1568/getInfo.php?workbook=10_05.xlsx&amp;sheet=U0&amp;row=13045&amp;col=6&amp;number=3.1&amp;sourceID=14","3.1")</f>
        <v>3.1</v>
      </c>
      <c r="G13045" s="4" t="str">
        <f>HYPERLINK("http://141.218.60.56/~jnz1568/getInfo.php?workbook=10_05.xlsx&amp;sheet=U0&amp;row=13045&amp;col=7&amp;number=0.0467&amp;sourceID=14","0.0467")</f>
        <v>0.0467</v>
      </c>
    </row>
    <row r="13046" spans="1:7">
      <c r="A13046" s="3"/>
      <c r="B13046" s="3"/>
      <c r="C13046" s="3"/>
      <c r="D13046" s="3"/>
      <c r="E13046" s="3">
        <v>3</v>
      </c>
      <c r="F13046" s="4" t="str">
        <f>HYPERLINK("http://141.218.60.56/~jnz1568/getInfo.php?workbook=10_05.xlsx&amp;sheet=U0&amp;row=13046&amp;col=6&amp;number=3.2&amp;sourceID=14","3.2")</f>
        <v>3.2</v>
      </c>
      <c r="G13046" s="4" t="str">
        <f>HYPERLINK("http://141.218.60.56/~jnz1568/getInfo.php?workbook=10_05.xlsx&amp;sheet=U0&amp;row=13046&amp;col=7&amp;number=0.0462&amp;sourceID=14","0.0462")</f>
        <v>0.0462</v>
      </c>
    </row>
    <row r="13047" spans="1:7">
      <c r="A13047" s="3"/>
      <c r="B13047" s="3"/>
      <c r="C13047" s="3"/>
      <c r="D13047" s="3"/>
      <c r="E13047" s="3">
        <v>4</v>
      </c>
      <c r="F13047" s="4" t="str">
        <f>HYPERLINK("http://141.218.60.56/~jnz1568/getInfo.php?workbook=10_05.xlsx&amp;sheet=U0&amp;row=13047&amp;col=6&amp;number=3.3&amp;sourceID=14","3.3")</f>
        <v>3.3</v>
      </c>
      <c r="G13047" s="4" t="str">
        <f>HYPERLINK("http://141.218.60.56/~jnz1568/getInfo.php?workbook=10_05.xlsx&amp;sheet=U0&amp;row=13047&amp;col=7&amp;number=0.0456&amp;sourceID=14","0.0456")</f>
        <v>0.0456</v>
      </c>
    </row>
    <row r="13048" spans="1:7">
      <c r="A13048" s="3"/>
      <c r="B13048" s="3"/>
      <c r="C13048" s="3"/>
      <c r="D13048" s="3"/>
      <c r="E13048" s="3">
        <v>5</v>
      </c>
      <c r="F13048" s="4" t="str">
        <f>HYPERLINK("http://141.218.60.56/~jnz1568/getInfo.php?workbook=10_05.xlsx&amp;sheet=U0&amp;row=13048&amp;col=6&amp;number=3.4&amp;sourceID=14","3.4")</f>
        <v>3.4</v>
      </c>
      <c r="G13048" s="4" t="str">
        <f>HYPERLINK("http://141.218.60.56/~jnz1568/getInfo.php?workbook=10_05.xlsx&amp;sheet=U0&amp;row=13048&amp;col=7&amp;number=0.0448&amp;sourceID=14","0.0448")</f>
        <v>0.0448</v>
      </c>
    </row>
    <row r="13049" spans="1:7">
      <c r="A13049" s="3"/>
      <c r="B13049" s="3"/>
      <c r="C13049" s="3"/>
      <c r="D13049" s="3"/>
      <c r="E13049" s="3">
        <v>6</v>
      </c>
      <c r="F13049" s="4" t="str">
        <f>HYPERLINK("http://141.218.60.56/~jnz1568/getInfo.php?workbook=10_05.xlsx&amp;sheet=U0&amp;row=13049&amp;col=6&amp;number=3.5&amp;sourceID=14","3.5")</f>
        <v>3.5</v>
      </c>
      <c r="G13049" s="4" t="str">
        <f>HYPERLINK("http://141.218.60.56/~jnz1568/getInfo.php?workbook=10_05.xlsx&amp;sheet=U0&amp;row=13049&amp;col=7&amp;number=0.0438&amp;sourceID=14","0.0438")</f>
        <v>0.0438</v>
      </c>
    </row>
    <row r="13050" spans="1:7">
      <c r="A13050" s="3"/>
      <c r="B13050" s="3"/>
      <c r="C13050" s="3"/>
      <c r="D13050" s="3"/>
      <c r="E13050" s="3">
        <v>7</v>
      </c>
      <c r="F13050" s="4" t="str">
        <f>HYPERLINK("http://141.218.60.56/~jnz1568/getInfo.php?workbook=10_05.xlsx&amp;sheet=U0&amp;row=13050&amp;col=6&amp;number=3.6&amp;sourceID=14","3.6")</f>
        <v>3.6</v>
      </c>
      <c r="G13050" s="4" t="str">
        <f>HYPERLINK("http://141.218.60.56/~jnz1568/getInfo.php?workbook=10_05.xlsx&amp;sheet=U0&amp;row=13050&amp;col=7&amp;number=0.0426&amp;sourceID=14","0.0426")</f>
        <v>0.0426</v>
      </c>
    </row>
    <row r="13051" spans="1:7">
      <c r="A13051" s="3"/>
      <c r="B13051" s="3"/>
      <c r="C13051" s="3"/>
      <c r="D13051" s="3"/>
      <c r="E13051" s="3">
        <v>8</v>
      </c>
      <c r="F13051" s="4" t="str">
        <f>HYPERLINK("http://141.218.60.56/~jnz1568/getInfo.php?workbook=10_05.xlsx&amp;sheet=U0&amp;row=13051&amp;col=6&amp;number=3.7&amp;sourceID=14","3.7")</f>
        <v>3.7</v>
      </c>
      <c r="G13051" s="4" t="str">
        <f>HYPERLINK("http://141.218.60.56/~jnz1568/getInfo.php?workbook=10_05.xlsx&amp;sheet=U0&amp;row=13051&amp;col=7&amp;number=0.0411&amp;sourceID=14","0.0411")</f>
        <v>0.0411</v>
      </c>
    </row>
    <row r="13052" spans="1:7">
      <c r="A13052" s="3"/>
      <c r="B13052" s="3"/>
      <c r="C13052" s="3"/>
      <c r="D13052" s="3"/>
      <c r="E13052" s="3">
        <v>9</v>
      </c>
      <c r="F13052" s="4" t="str">
        <f>HYPERLINK("http://141.218.60.56/~jnz1568/getInfo.php?workbook=10_05.xlsx&amp;sheet=U0&amp;row=13052&amp;col=6&amp;number=3.8&amp;sourceID=14","3.8")</f>
        <v>3.8</v>
      </c>
      <c r="G13052" s="4" t="str">
        <f>HYPERLINK("http://141.218.60.56/~jnz1568/getInfo.php?workbook=10_05.xlsx&amp;sheet=U0&amp;row=13052&amp;col=7&amp;number=0.0394&amp;sourceID=14","0.0394")</f>
        <v>0.0394</v>
      </c>
    </row>
    <row r="13053" spans="1:7">
      <c r="A13053" s="3"/>
      <c r="B13053" s="3"/>
      <c r="C13053" s="3"/>
      <c r="D13053" s="3"/>
      <c r="E13053" s="3">
        <v>10</v>
      </c>
      <c r="F13053" s="4" t="str">
        <f>HYPERLINK("http://141.218.60.56/~jnz1568/getInfo.php?workbook=10_05.xlsx&amp;sheet=U0&amp;row=13053&amp;col=6&amp;number=3.9&amp;sourceID=14","3.9")</f>
        <v>3.9</v>
      </c>
      <c r="G13053" s="4" t="str">
        <f>HYPERLINK("http://141.218.60.56/~jnz1568/getInfo.php?workbook=10_05.xlsx&amp;sheet=U0&amp;row=13053&amp;col=7&amp;number=0.0372&amp;sourceID=14","0.0372")</f>
        <v>0.0372</v>
      </c>
    </row>
    <row r="13054" spans="1:7">
      <c r="A13054" s="3"/>
      <c r="B13054" s="3"/>
      <c r="C13054" s="3"/>
      <c r="D13054" s="3"/>
      <c r="E13054" s="3">
        <v>11</v>
      </c>
      <c r="F13054" s="4" t="str">
        <f>HYPERLINK("http://141.218.60.56/~jnz1568/getInfo.php?workbook=10_05.xlsx&amp;sheet=U0&amp;row=13054&amp;col=6&amp;number=4&amp;sourceID=14","4")</f>
        <v>4</v>
      </c>
      <c r="G13054" s="4" t="str">
        <f>HYPERLINK("http://141.218.60.56/~jnz1568/getInfo.php?workbook=10_05.xlsx&amp;sheet=U0&amp;row=13054&amp;col=7&amp;number=0.0348&amp;sourceID=14","0.0348")</f>
        <v>0.0348</v>
      </c>
    </row>
    <row r="13055" spans="1:7">
      <c r="A13055" s="3"/>
      <c r="B13055" s="3"/>
      <c r="C13055" s="3"/>
      <c r="D13055" s="3"/>
      <c r="E13055" s="3">
        <v>12</v>
      </c>
      <c r="F13055" s="4" t="str">
        <f>HYPERLINK("http://141.218.60.56/~jnz1568/getInfo.php?workbook=10_05.xlsx&amp;sheet=U0&amp;row=13055&amp;col=6&amp;number=4.1&amp;sourceID=14","4.1")</f>
        <v>4.1</v>
      </c>
      <c r="G13055" s="4" t="str">
        <f>HYPERLINK("http://141.218.60.56/~jnz1568/getInfo.php?workbook=10_05.xlsx&amp;sheet=U0&amp;row=13055&amp;col=7&amp;number=0.032&amp;sourceID=14","0.032")</f>
        <v>0.032</v>
      </c>
    </row>
    <row r="13056" spans="1:7">
      <c r="A13056" s="3"/>
      <c r="B13056" s="3"/>
      <c r="C13056" s="3"/>
      <c r="D13056" s="3"/>
      <c r="E13056" s="3">
        <v>13</v>
      </c>
      <c r="F13056" s="4" t="str">
        <f>HYPERLINK("http://141.218.60.56/~jnz1568/getInfo.php?workbook=10_05.xlsx&amp;sheet=U0&amp;row=13056&amp;col=6&amp;number=4.2&amp;sourceID=14","4.2")</f>
        <v>4.2</v>
      </c>
      <c r="G13056" s="4" t="str">
        <f>HYPERLINK("http://141.218.60.56/~jnz1568/getInfo.php?workbook=10_05.xlsx&amp;sheet=U0&amp;row=13056&amp;col=7&amp;number=0.029&amp;sourceID=14","0.029")</f>
        <v>0.029</v>
      </c>
    </row>
    <row r="13057" spans="1:7">
      <c r="A13057" s="3"/>
      <c r="B13057" s="3"/>
      <c r="C13057" s="3"/>
      <c r="D13057" s="3"/>
      <c r="E13057" s="3">
        <v>14</v>
      </c>
      <c r="F13057" s="4" t="str">
        <f>HYPERLINK("http://141.218.60.56/~jnz1568/getInfo.php?workbook=10_05.xlsx&amp;sheet=U0&amp;row=13057&amp;col=6&amp;number=4.3&amp;sourceID=14","4.3")</f>
        <v>4.3</v>
      </c>
      <c r="G13057" s="4" t="str">
        <f>HYPERLINK("http://141.218.60.56/~jnz1568/getInfo.php?workbook=10_05.xlsx&amp;sheet=U0&amp;row=13057&amp;col=7&amp;number=0.0261&amp;sourceID=14","0.0261")</f>
        <v>0.0261</v>
      </c>
    </row>
    <row r="13058" spans="1:7">
      <c r="A13058" s="3"/>
      <c r="B13058" s="3"/>
      <c r="C13058" s="3"/>
      <c r="D13058" s="3"/>
      <c r="E13058" s="3">
        <v>15</v>
      </c>
      <c r="F13058" s="4" t="str">
        <f>HYPERLINK("http://141.218.60.56/~jnz1568/getInfo.php?workbook=10_05.xlsx&amp;sheet=U0&amp;row=13058&amp;col=6&amp;number=4.4&amp;sourceID=14","4.4")</f>
        <v>4.4</v>
      </c>
      <c r="G13058" s="4" t="str">
        <f>HYPERLINK("http://141.218.60.56/~jnz1568/getInfo.php?workbook=10_05.xlsx&amp;sheet=U0&amp;row=13058&amp;col=7&amp;number=0.0235&amp;sourceID=14","0.0235")</f>
        <v>0.0235</v>
      </c>
    </row>
    <row r="13059" spans="1:7">
      <c r="A13059" s="3"/>
      <c r="B13059" s="3"/>
      <c r="C13059" s="3"/>
      <c r="D13059" s="3"/>
      <c r="E13059" s="3">
        <v>16</v>
      </c>
      <c r="F13059" s="4" t="str">
        <f>HYPERLINK("http://141.218.60.56/~jnz1568/getInfo.php?workbook=10_05.xlsx&amp;sheet=U0&amp;row=13059&amp;col=6&amp;number=4.5&amp;sourceID=14","4.5")</f>
        <v>4.5</v>
      </c>
      <c r="G13059" s="4" t="str">
        <f>HYPERLINK("http://141.218.60.56/~jnz1568/getInfo.php?workbook=10_05.xlsx&amp;sheet=U0&amp;row=13059&amp;col=7&amp;number=0.0213&amp;sourceID=14","0.0213")</f>
        <v>0.0213</v>
      </c>
    </row>
    <row r="13060" spans="1:7">
      <c r="A13060" s="3"/>
      <c r="B13060" s="3"/>
      <c r="C13060" s="3"/>
      <c r="D13060" s="3"/>
      <c r="E13060" s="3">
        <v>17</v>
      </c>
      <c r="F13060" s="4" t="str">
        <f>HYPERLINK("http://141.218.60.56/~jnz1568/getInfo.php?workbook=10_05.xlsx&amp;sheet=U0&amp;row=13060&amp;col=6&amp;number=4.6&amp;sourceID=14","4.6")</f>
        <v>4.6</v>
      </c>
      <c r="G13060" s="4" t="str">
        <f>HYPERLINK("http://141.218.60.56/~jnz1568/getInfo.php?workbook=10_05.xlsx&amp;sheet=U0&amp;row=13060&amp;col=7&amp;number=0.0194&amp;sourceID=14","0.0194")</f>
        <v>0.0194</v>
      </c>
    </row>
    <row r="13061" spans="1:7">
      <c r="A13061" s="3"/>
      <c r="B13061" s="3"/>
      <c r="C13061" s="3"/>
      <c r="D13061" s="3"/>
      <c r="E13061" s="3">
        <v>18</v>
      </c>
      <c r="F13061" s="4" t="str">
        <f>HYPERLINK("http://141.218.60.56/~jnz1568/getInfo.php?workbook=10_05.xlsx&amp;sheet=U0&amp;row=13061&amp;col=6&amp;number=4.7&amp;sourceID=14","4.7")</f>
        <v>4.7</v>
      </c>
      <c r="G13061" s="4" t="str">
        <f>HYPERLINK("http://141.218.60.56/~jnz1568/getInfo.php?workbook=10_05.xlsx&amp;sheet=U0&amp;row=13061&amp;col=7&amp;number=0.0176&amp;sourceID=14","0.0176")</f>
        <v>0.0176</v>
      </c>
    </row>
    <row r="13062" spans="1:7">
      <c r="A13062" s="3"/>
      <c r="B13062" s="3"/>
      <c r="C13062" s="3"/>
      <c r="D13062" s="3"/>
      <c r="E13062" s="3">
        <v>19</v>
      </c>
      <c r="F13062" s="4" t="str">
        <f>HYPERLINK("http://141.218.60.56/~jnz1568/getInfo.php?workbook=10_05.xlsx&amp;sheet=U0&amp;row=13062&amp;col=6&amp;number=4.8&amp;sourceID=14","4.8")</f>
        <v>4.8</v>
      </c>
      <c r="G13062" s="4" t="str">
        <f>HYPERLINK("http://141.218.60.56/~jnz1568/getInfo.php?workbook=10_05.xlsx&amp;sheet=U0&amp;row=13062&amp;col=7&amp;number=0.0158&amp;sourceID=14","0.0158")</f>
        <v>0.0158</v>
      </c>
    </row>
    <row r="13063" spans="1:7">
      <c r="A13063" s="3"/>
      <c r="B13063" s="3"/>
      <c r="C13063" s="3"/>
      <c r="D13063" s="3"/>
      <c r="E13063" s="3">
        <v>20</v>
      </c>
      <c r="F13063" s="4" t="str">
        <f>HYPERLINK("http://141.218.60.56/~jnz1568/getInfo.php?workbook=10_05.xlsx&amp;sheet=U0&amp;row=13063&amp;col=6&amp;number=4.9&amp;sourceID=14","4.9")</f>
        <v>4.9</v>
      </c>
      <c r="G13063" s="4" t="str">
        <f>HYPERLINK("http://141.218.60.56/~jnz1568/getInfo.php?workbook=10_05.xlsx&amp;sheet=U0&amp;row=13063&amp;col=7&amp;number=0.0143&amp;sourceID=14","0.0143")</f>
        <v>0.0143</v>
      </c>
    </row>
    <row r="13064" spans="1:7">
      <c r="A13064" s="3">
        <v>10</v>
      </c>
      <c r="B13064" s="3">
        <v>5</v>
      </c>
      <c r="C13064" s="3">
        <v>4</v>
      </c>
      <c r="D13064" s="3">
        <v>124</v>
      </c>
      <c r="E13064" s="3">
        <v>1</v>
      </c>
      <c r="F13064" s="4" t="str">
        <f>HYPERLINK("http://141.218.60.56/~jnz1568/getInfo.php?workbook=10_05.xlsx&amp;sheet=U0&amp;row=13064&amp;col=6&amp;number=3&amp;sourceID=14","3")</f>
        <v>3</v>
      </c>
      <c r="G13064" s="4" t="str">
        <f>HYPERLINK("http://141.218.60.56/~jnz1568/getInfo.php?workbook=10_05.xlsx&amp;sheet=U0&amp;row=13064&amp;col=7&amp;number=0.0483&amp;sourceID=14","0.0483")</f>
        <v>0.0483</v>
      </c>
    </row>
    <row r="13065" spans="1:7">
      <c r="A13065" s="3"/>
      <c r="B13065" s="3"/>
      <c r="C13065" s="3"/>
      <c r="D13065" s="3"/>
      <c r="E13065" s="3">
        <v>2</v>
      </c>
      <c r="F13065" s="4" t="str">
        <f>HYPERLINK("http://141.218.60.56/~jnz1568/getInfo.php?workbook=10_05.xlsx&amp;sheet=U0&amp;row=13065&amp;col=6&amp;number=3.1&amp;sourceID=14","3.1")</f>
        <v>3.1</v>
      </c>
      <c r="G13065" s="4" t="str">
        <f>HYPERLINK("http://141.218.60.56/~jnz1568/getInfo.php?workbook=10_05.xlsx&amp;sheet=U0&amp;row=13065&amp;col=7&amp;number=0.0479&amp;sourceID=14","0.0479")</f>
        <v>0.0479</v>
      </c>
    </row>
    <row r="13066" spans="1:7">
      <c r="A13066" s="3"/>
      <c r="B13066" s="3"/>
      <c r="C13066" s="3"/>
      <c r="D13066" s="3"/>
      <c r="E13066" s="3">
        <v>3</v>
      </c>
      <c r="F13066" s="4" t="str">
        <f>HYPERLINK("http://141.218.60.56/~jnz1568/getInfo.php?workbook=10_05.xlsx&amp;sheet=U0&amp;row=13066&amp;col=6&amp;number=3.2&amp;sourceID=14","3.2")</f>
        <v>3.2</v>
      </c>
      <c r="G13066" s="4" t="str">
        <f>HYPERLINK("http://141.218.60.56/~jnz1568/getInfo.php?workbook=10_05.xlsx&amp;sheet=U0&amp;row=13066&amp;col=7&amp;number=0.0473&amp;sourceID=14","0.0473")</f>
        <v>0.0473</v>
      </c>
    </row>
    <row r="13067" spans="1:7">
      <c r="A13067" s="3"/>
      <c r="B13067" s="3"/>
      <c r="C13067" s="3"/>
      <c r="D13067" s="3"/>
      <c r="E13067" s="3">
        <v>4</v>
      </c>
      <c r="F13067" s="4" t="str">
        <f>HYPERLINK("http://141.218.60.56/~jnz1568/getInfo.php?workbook=10_05.xlsx&amp;sheet=U0&amp;row=13067&amp;col=6&amp;number=3.3&amp;sourceID=14","3.3")</f>
        <v>3.3</v>
      </c>
      <c r="G13067" s="4" t="str">
        <f>HYPERLINK("http://141.218.60.56/~jnz1568/getInfo.php?workbook=10_05.xlsx&amp;sheet=U0&amp;row=13067&amp;col=7&amp;number=0.0466&amp;sourceID=14","0.0466")</f>
        <v>0.0466</v>
      </c>
    </row>
    <row r="13068" spans="1:7">
      <c r="A13068" s="3"/>
      <c r="B13068" s="3"/>
      <c r="C13068" s="3"/>
      <c r="D13068" s="3"/>
      <c r="E13068" s="3">
        <v>5</v>
      </c>
      <c r="F13068" s="4" t="str">
        <f>HYPERLINK("http://141.218.60.56/~jnz1568/getInfo.php?workbook=10_05.xlsx&amp;sheet=U0&amp;row=13068&amp;col=6&amp;number=3.4&amp;sourceID=14","3.4")</f>
        <v>3.4</v>
      </c>
      <c r="G13068" s="4" t="str">
        <f>HYPERLINK("http://141.218.60.56/~jnz1568/getInfo.php?workbook=10_05.xlsx&amp;sheet=U0&amp;row=13068&amp;col=7&amp;number=0.0457&amp;sourceID=14","0.0457")</f>
        <v>0.0457</v>
      </c>
    </row>
    <row r="13069" spans="1:7">
      <c r="A13069" s="3"/>
      <c r="B13069" s="3"/>
      <c r="C13069" s="3"/>
      <c r="D13069" s="3"/>
      <c r="E13069" s="3">
        <v>6</v>
      </c>
      <c r="F13069" s="4" t="str">
        <f>HYPERLINK("http://141.218.60.56/~jnz1568/getInfo.php?workbook=10_05.xlsx&amp;sheet=U0&amp;row=13069&amp;col=6&amp;number=3.5&amp;sourceID=14","3.5")</f>
        <v>3.5</v>
      </c>
      <c r="G13069" s="4" t="str">
        <f>HYPERLINK("http://141.218.60.56/~jnz1568/getInfo.php?workbook=10_05.xlsx&amp;sheet=U0&amp;row=13069&amp;col=7&amp;number=0.0446&amp;sourceID=14","0.0446")</f>
        <v>0.0446</v>
      </c>
    </row>
    <row r="13070" spans="1:7">
      <c r="A13070" s="3"/>
      <c r="B13070" s="3"/>
      <c r="C13070" s="3"/>
      <c r="D13070" s="3"/>
      <c r="E13070" s="3">
        <v>7</v>
      </c>
      <c r="F13070" s="4" t="str">
        <f>HYPERLINK("http://141.218.60.56/~jnz1568/getInfo.php?workbook=10_05.xlsx&amp;sheet=U0&amp;row=13070&amp;col=6&amp;number=3.6&amp;sourceID=14","3.6")</f>
        <v>3.6</v>
      </c>
      <c r="G13070" s="4" t="str">
        <f>HYPERLINK("http://141.218.60.56/~jnz1568/getInfo.php?workbook=10_05.xlsx&amp;sheet=U0&amp;row=13070&amp;col=7&amp;number=0.0433&amp;sourceID=14","0.0433")</f>
        <v>0.0433</v>
      </c>
    </row>
    <row r="13071" spans="1:7">
      <c r="A13071" s="3"/>
      <c r="B13071" s="3"/>
      <c r="C13071" s="3"/>
      <c r="D13071" s="3"/>
      <c r="E13071" s="3">
        <v>8</v>
      </c>
      <c r="F13071" s="4" t="str">
        <f>HYPERLINK("http://141.218.60.56/~jnz1568/getInfo.php?workbook=10_05.xlsx&amp;sheet=U0&amp;row=13071&amp;col=6&amp;number=3.7&amp;sourceID=14","3.7")</f>
        <v>3.7</v>
      </c>
      <c r="G13071" s="4" t="str">
        <f>HYPERLINK("http://141.218.60.56/~jnz1568/getInfo.php?workbook=10_05.xlsx&amp;sheet=U0&amp;row=13071&amp;col=7&amp;number=0.0417&amp;sourceID=14","0.0417")</f>
        <v>0.0417</v>
      </c>
    </row>
    <row r="13072" spans="1:7">
      <c r="A13072" s="3"/>
      <c r="B13072" s="3"/>
      <c r="C13072" s="3"/>
      <c r="D13072" s="3"/>
      <c r="E13072" s="3">
        <v>9</v>
      </c>
      <c r="F13072" s="4" t="str">
        <f>HYPERLINK("http://141.218.60.56/~jnz1568/getInfo.php?workbook=10_05.xlsx&amp;sheet=U0&amp;row=13072&amp;col=6&amp;number=3.8&amp;sourceID=14","3.8")</f>
        <v>3.8</v>
      </c>
      <c r="G13072" s="4" t="str">
        <f>HYPERLINK("http://141.218.60.56/~jnz1568/getInfo.php?workbook=10_05.xlsx&amp;sheet=U0&amp;row=13072&amp;col=7&amp;number=0.0397&amp;sourceID=14","0.0397")</f>
        <v>0.0397</v>
      </c>
    </row>
    <row r="13073" spans="1:7">
      <c r="A13073" s="3"/>
      <c r="B13073" s="3"/>
      <c r="C13073" s="3"/>
      <c r="D13073" s="3"/>
      <c r="E13073" s="3">
        <v>10</v>
      </c>
      <c r="F13073" s="4" t="str">
        <f>HYPERLINK("http://141.218.60.56/~jnz1568/getInfo.php?workbook=10_05.xlsx&amp;sheet=U0&amp;row=13073&amp;col=6&amp;number=3.9&amp;sourceID=14","3.9")</f>
        <v>3.9</v>
      </c>
      <c r="G13073" s="4" t="str">
        <f>HYPERLINK("http://141.218.60.56/~jnz1568/getInfo.php?workbook=10_05.xlsx&amp;sheet=U0&amp;row=13073&amp;col=7&amp;number=0.0374&amp;sourceID=14","0.0374")</f>
        <v>0.0374</v>
      </c>
    </row>
    <row r="13074" spans="1:7">
      <c r="A13074" s="3"/>
      <c r="B13074" s="3"/>
      <c r="C13074" s="3"/>
      <c r="D13074" s="3"/>
      <c r="E13074" s="3">
        <v>11</v>
      </c>
      <c r="F13074" s="4" t="str">
        <f>HYPERLINK("http://141.218.60.56/~jnz1568/getInfo.php?workbook=10_05.xlsx&amp;sheet=U0&amp;row=13074&amp;col=6&amp;number=4&amp;sourceID=14","4")</f>
        <v>4</v>
      </c>
      <c r="G13074" s="4" t="str">
        <f>HYPERLINK("http://141.218.60.56/~jnz1568/getInfo.php?workbook=10_05.xlsx&amp;sheet=U0&amp;row=13074&amp;col=7&amp;number=0.0348&amp;sourceID=14","0.0348")</f>
        <v>0.0348</v>
      </c>
    </row>
    <row r="13075" spans="1:7">
      <c r="A13075" s="3"/>
      <c r="B13075" s="3"/>
      <c r="C13075" s="3"/>
      <c r="D13075" s="3"/>
      <c r="E13075" s="3">
        <v>12</v>
      </c>
      <c r="F13075" s="4" t="str">
        <f>HYPERLINK("http://141.218.60.56/~jnz1568/getInfo.php?workbook=10_05.xlsx&amp;sheet=U0&amp;row=13075&amp;col=6&amp;number=4.1&amp;sourceID=14","4.1")</f>
        <v>4.1</v>
      </c>
      <c r="G13075" s="4" t="str">
        <f>HYPERLINK("http://141.218.60.56/~jnz1568/getInfo.php?workbook=10_05.xlsx&amp;sheet=U0&amp;row=13075&amp;col=7&amp;number=0.0319&amp;sourceID=14","0.0319")</f>
        <v>0.0319</v>
      </c>
    </row>
    <row r="13076" spans="1:7">
      <c r="A13076" s="3"/>
      <c r="B13076" s="3"/>
      <c r="C13076" s="3"/>
      <c r="D13076" s="3"/>
      <c r="E13076" s="3">
        <v>13</v>
      </c>
      <c r="F13076" s="4" t="str">
        <f>HYPERLINK("http://141.218.60.56/~jnz1568/getInfo.php?workbook=10_05.xlsx&amp;sheet=U0&amp;row=13076&amp;col=6&amp;number=4.2&amp;sourceID=14","4.2")</f>
        <v>4.2</v>
      </c>
      <c r="G13076" s="4" t="str">
        <f>HYPERLINK("http://141.218.60.56/~jnz1568/getInfo.php?workbook=10_05.xlsx&amp;sheet=U0&amp;row=13076&amp;col=7&amp;number=0.029&amp;sourceID=14","0.029")</f>
        <v>0.029</v>
      </c>
    </row>
    <row r="13077" spans="1:7">
      <c r="A13077" s="3"/>
      <c r="B13077" s="3"/>
      <c r="C13077" s="3"/>
      <c r="D13077" s="3"/>
      <c r="E13077" s="3">
        <v>14</v>
      </c>
      <c r="F13077" s="4" t="str">
        <f>HYPERLINK("http://141.218.60.56/~jnz1568/getInfo.php?workbook=10_05.xlsx&amp;sheet=U0&amp;row=13077&amp;col=6&amp;number=4.3&amp;sourceID=14","4.3")</f>
        <v>4.3</v>
      </c>
      <c r="G13077" s="4" t="str">
        <f>HYPERLINK("http://141.218.60.56/~jnz1568/getInfo.php?workbook=10_05.xlsx&amp;sheet=U0&amp;row=13077&amp;col=7&amp;number=0.0263&amp;sourceID=14","0.0263")</f>
        <v>0.0263</v>
      </c>
    </row>
    <row r="13078" spans="1:7">
      <c r="A13078" s="3"/>
      <c r="B13078" s="3"/>
      <c r="C13078" s="3"/>
      <c r="D13078" s="3"/>
      <c r="E13078" s="3">
        <v>15</v>
      </c>
      <c r="F13078" s="4" t="str">
        <f>HYPERLINK("http://141.218.60.56/~jnz1568/getInfo.php?workbook=10_05.xlsx&amp;sheet=U0&amp;row=13078&amp;col=6&amp;number=4.4&amp;sourceID=14","4.4")</f>
        <v>4.4</v>
      </c>
      <c r="G13078" s="4" t="str">
        <f>HYPERLINK("http://141.218.60.56/~jnz1568/getInfo.php?workbook=10_05.xlsx&amp;sheet=U0&amp;row=13078&amp;col=7&amp;number=0.024&amp;sourceID=14","0.024")</f>
        <v>0.024</v>
      </c>
    </row>
    <row r="13079" spans="1:7">
      <c r="A13079" s="3"/>
      <c r="B13079" s="3"/>
      <c r="C13079" s="3"/>
      <c r="D13079" s="3"/>
      <c r="E13079" s="3">
        <v>16</v>
      </c>
      <c r="F13079" s="4" t="str">
        <f>HYPERLINK("http://141.218.60.56/~jnz1568/getInfo.php?workbook=10_05.xlsx&amp;sheet=U0&amp;row=13079&amp;col=6&amp;number=4.5&amp;sourceID=14","4.5")</f>
        <v>4.5</v>
      </c>
      <c r="G13079" s="4" t="str">
        <f>HYPERLINK("http://141.218.60.56/~jnz1568/getInfo.php?workbook=10_05.xlsx&amp;sheet=U0&amp;row=13079&amp;col=7&amp;number=0.0221&amp;sourceID=14","0.0221")</f>
        <v>0.0221</v>
      </c>
    </row>
    <row r="13080" spans="1:7">
      <c r="A13080" s="3"/>
      <c r="B13080" s="3"/>
      <c r="C13080" s="3"/>
      <c r="D13080" s="3"/>
      <c r="E13080" s="3">
        <v>17</v>
      </c>
      <c r="F13080" s="4" t="str">
        <f>HYPERLINK("http://141.218.60.56/~jnz1568/getInfo.php?workbook=10_05.xlsx&amp;sheet=U0&amp;row=13080&amp;col=6&amp;number=4.6&amp;sourceID=14","4.6")</f>
        <v>4.6</v>
      </c>
      <c r="G13080" s="4" t="str">
        <f>HYPERLINK("http://141.218.60.56/~jnz1568/getInfo.php?workbook=10_05.xlsx&amp;sheet=U0&amp;row=13080&amp;col=7&amp;number=0.0203&amp;sourceID=14","0.0203")</f>
        <v>0.0203</v>
      </c>
    </row>
    <row r="13081" spans="1:7">
      <c r="A13081" s="3"/>
      <c r="B13081" s="3"/>
      <c r="C13081" s="3"/>
      <c r="D13081" s="3"/>
      <c r="E13081" s="3">
        <v>18</v>
      </c>
      <c r="F13081" s="4" t="str">
        <f>HYPERLINK("http://141.218.60.56/~jnz1568/getInfo.php?workbook=10_05.xlsx&amp;sheet=U0&amp;row=13081&amp;col=6&amp;number=4.7&amp;sourceID=14","4.7")</f>
        <v>4.7</v>
      </c>
      <c r="G13081" s="4" t="str">
        <f>HYPERLINK("http://141.218.60.56/~jnz1568/getInfo.php?workbook=10_05.xlsx&amp;sheet=U0&amp;row=13081&amp;col=7&amp;number=0.0186&amp;sourceID=14","0.0186")</f>
        <v>0.0186</v>
      </c>
    </row>
    <row r="13082" spans="1:7">
      <c r="A13082" s="3"/>
      <c r="B13082" s="3"/>
      <c r="C13082" s="3"/>
      <c r="D13082" s="3"/>
      <c r="E13082" s="3">
        <v>19</v>
      </c>
      <c r="F13082" s="4" t="str">
        <f>HYPERLINK("http://141.218.60.56/~jnz1568/getInfo.php?workbook=10_05.xlsx&amp;sheet=U0&amp;row=13082&amp;col=6&amp;number=4.8&amp;sourceID=14","4.8")</f>
        <v>4.8</v>
      </c>
      <c r="G13082" s="4" t="str">
        <f>HYPERLINK("http://141.218.60.56/~jnz1568/getInfo.php?workbook=10_05.xlsx&amp;sheet=U0&amp;row=13082&amp;col=7&amp;number=0.0171&amp;sourceID=14","0.0171")</f>
        <v>0.0171</v>
      </c>
    </row>
    <row r="13083" spans="1:7">
      <c r="A13083" s="3"/>
      <c r="B13083" s="3"/>
      <c r="C13083" s="3"/>
      <c r="D13083" s="3"/>
      <c r="E13083" s="3">
        <v>20</v>
      </c>
      <c r="F13083" s="4" t="str">
        <f>HYPERLINK("http://141.218.60.56/~jnz1568/getInfo.php?workbook=10_05.xlsx&amp;sheet=U0&amp;row=13083&amp;col=6&amp;number=4.9&amp;sourceID=14","4.9")</f>
        <v>4.9</v>
      </c>
      <c r="G13083" s="4" t="str">
        <f>HYPERLINK("http://141.218.60.56/~jnz1568/getInfo.php?workbook=10_05.xlsx&amp;sheet=U0&amp;row=13083&amp;col=7&amp;number=0.0159&amp;sourceID=14","0.0159")</f>
        <v>0.0159</v>
      </c>
    </row>
    <row r="13084" spans="1:7">
      <c r="A13084" s="3">
        <v>10</v>
      </c>
      <c r="B13084" s="3">
        <v>5</v>
      </c>
      <c r="C13084" s="3">
        <v>4</v>
      </c>
      <c r="D13084" s="3">
        <v>125</v>
      </c>
      <c r="E13084" s="3">
        <v>1</v>
      </c>
      <c r="F13084" s="4" t="str">
        <f>HYPERLINK("http://141.218.60.56/~jnz1568/getInfo.php?workbook=10_05.xlsx&amp;sheet=U0&amp;row=13084&amp;col=6&amp;number=3&amp;sourceID=14","3")</f>
        <v>3</v>
      </c>
      <c r="G13084" s="4" t="str">
        <f>HYPERLINK("http://141.218.60.56/~jnz1568/getInfo.php?workbook=10_05.xlsx&amp;sheet=U0&amp;row=13084&amp;col=7&amp;number=0.0198&amp;sourceID=14","0.0198")</f>
        <v>0.0198</v>
      </c>
    </row>
    <row r="13085" spans="1:7">
      <c r="A13085" s="3"/>
      <c r="B13085" s="3"/>
      <c r="C13085" s="3"/>
      <c r="D13085" s="3"/>
      <c r="E13085" s="3">
        <v>2</v>
      </c>
      <c r="F13085" s="4" t="str">
        <f>HYPERLINK("http://141.218.60.56/~jnz1568/getInfo.php?workbook=10_05.xlsx&amp;sheet=U0&amp;row=13085&amp;col=6&amp;number=3.1&amp;sourceID=14","3.1")</f>
        <v>3.1</v>
      </c>
      <c r="G13085" s="4" t="str">
        <f>HYPERLINK("http://141.218.60.56/~jnz1568/getInfo.php?workbook=10_05.xlsx&amp;sheet=U0&amp;row=13085&amp;col=7&amp;number=0.0196&amp;sourceID=14","0.0196")</f>
        <v>0.0196</v>
      </c>
    </row>
    <row r="13086" spans="1:7">
      <c r="A13086" s="3"/>
      <c r="B13086" s="3"/>
      <c r="C13086" s="3"/>
      <c r="D13086" s="3"/>
      <c r="E13086" s="3">
        <v>3</v>
      </c>
      <c r="F13086" s="4" t="str">
        <f>HYPERLINK("http://141.218.60.56/~jnz1568/getInfo.php?workbook=10_05.xlsx&amp;sheet=U0&amp;row=13086&amp;col=6&amp;number=3.2&amp;sourceID=14","3.2")</f>
        <v>3.2</v>
      </c>
      <c r="G13086" s="4" t="str">
        <f>HYPERLINK("http://141.218.60.56/~jnz1568/getInfo.php?workbook=10_05.xlsx&amp;sheet=U0&amp;row=13086&amp;col=7&amp;number=0.0194&amp;sourceID=14","0.0194")</f>
        <v>0.0194</v>
      </c>
    </row>
    <row r="13087" spans="1:7">
      <c r="A13087" s="3"/>
      <c r="B13087" s="3"/>
      <c r="C13087" s="3"/>
      <c r="D13087" s="3"/>
      <c r="E13087" s="3">
        <v>4</v>
      </c>
      <c r="F13087" s="4" t="str">
        <f>HYPERLINK("http://141.218.60.56/~jnz1568/getInfo.php?workbook=10_05.xlsx&amp;sheet=U0&amp;row=13087&amp;col=6&amp;number=3.3&amp;sourceID=14","3.3")</f>
        <v>3.3</v>
      </c>
      <c r="G13087" s="4" t="str">
        <f>HYPERLINK("http://141.218.60.56/~jnz1568/getInfo.php?workbook=10_05.xlsx&amp;sheet=U0&amp;row=13087&amp;col=7&amp;number=0.0192&amp;sourceID=14","0.0192")</f>
        <v>0.0192</v>
      </c>
    </row>
    <row r="13088" spans="1:7">
      <c r="A13088" s="3"/>
      <c r="B13088" s="3"/>
      <c r="C13088" s="3"/>
      <c r="D13088" s="3"/>
      <c r="E13088" s="3">
        <v>5</v>
      </c>
      <c r="F13088" s="4" t="str">
        <f>HYPERLINK("http://141.218.60.56/~jnz1568/getInfo.php?workbook=10_05.xlsx&amp;sheet=U0&amp;row=13088&amp;col=6&amp;number=3.4&amp;sourceID=14","3.4")</f>
        <v>3.4</v>
      </c>
      <c r="G13088" s="4" t="str">
        <f>HYPERLINK("http://141.218.60.56/~jnz1568/getInfo.php?workbook=10_05.xlsx&amp;sheet=U0&amp;row=13088&amp;col=7&amp;number=0.0189&amp;sourceID=14","0.0189")</f>
        <v>0.0189</v>
      </c>
    </row>
    <row r="13089" spans="1:7">
      <c r="A13089" s="3"/>
      <c r="B13089" s="3"/>
      <c r="C13089" s="3"/>
      <c r="D13089" s="3"/>
      <c r="E13089" s="3">
        <v>6</v>
      </c>
      <c r="F13089" s="4" t="str">
        <f>HYPERLINK("http://141.218.60.56/~jnz1568/getInfo.php?workbook=10_05.xlsx&amp;sheet=U0&amp;row=13089&amp;col=6&amp;number=3.5&amp;sourceID=14","3.5")</f>
        <v>3.5</v>
      </c>
      <c r="G13089" s="4" t="str">
        <f>HYPERLINK("http://141.218.60.56/~jnz1568/getInfo.php?workbook=10_05.xlsx&amp;sheet=U0&amp;row=13089&amp;col=7&amp;number=0.0185&amp;sourceID=14","0.0185")</f>
        <v>0.0185</v>
      </c>
    </row>
    <row r="13090" spans="1:7">
      <c r="A13090" s="3"/>
      <c r="B13090" s="3"/>
      <c r="C13090" s="3"/>
      <c r="D13090" s="3"/>
      <c r="E13090" s="3">
        <v>7</v>
      </c>
      <c r="F13090" s="4" t="str">
        <f>HYPERLINK("http://141.218.60.56/~jnz1568/getInfo.php?workbook=10_05.xlsx&amp;sheet=U0&amp;row=13090&amp;col=6&amp;number=3.6&amp;sourceID=14","3.6")</f>
        <v>3.6</v>
      </c>
      <c r="G13090" s="4" t="str">
        <f>HYPERLINK("http://141.218.60.56/~jnz1568/getInfo.php?workbook=10_05.xlsx&amp;sheet=U0&amp;row=13090&amp;col=7&amp;number=0.018&amp;sourceID=14","0.018")</f>
        <v>0.018</v>
      </c>
    </row>
    <row r="13091" spans="1:7">
      <c r="A13091" s="3"/>
      <c r="B13091" s="3"/>
      <c r="C13091" s="3"/>
      <c r="D13091" s="3"/>
      <c r="E13091" s="3">
        <v>8</v>
      </c>
      <c r="F13091" s="4" t="str">
        <f>HYPERLINK("http://141.218.60.56/~jnz1568/getInfo.php?workbook=10_05.xlsx&amp;sheet=U0&amp;row=13091&amp;col=6&amp;number=3.7&amp;sourceID=14","3.7")</f>
        <v>3.7</v>
      </c>
      <c r="G13091" s="4" t="str">
        <f>HYPERLINK("http://141.218.60.56/~jnz1568/getInfo.php?workbook=10_05.xlsx&amp;sheet=U0&amp;row=13091&amp;col=7&amp;number=0.0175&amp;sourceID=14","0.0175")</f>
        <v>0.0175</v>
      </c>
    </row>
    <row r="13092" spans="1:7">
      <c r="A13092" s="3"/>
      <c r="B13092" s="3"/>
      <c r="C13092" s="3"/>
      <c r="D13092" s="3"/>
      <c r="E13092" s="3">
        <v>9</v>
      </c>
      <c r="F13092" s="4" t="str">
        <f>HYPERLINK("http://141.218.60.56/~jnz1568/getInfo.php?workbook=10_05.xlsx&amp;sheet=U0&amp;row=13092&amp;col=6&amp;number=3.8&amp;sourceID=14","3.8")</f>
        <v>3.8</v>
      </c>
      <c r="G13092" s="4" t="str">
        <f>HYPERLINK("http://141.218.60.56/~jnz1568/getInfo.php?workbook=10_05.xlsx&amp;sheet=U0&amp;row=13092&amp;col=7&amp;number=0.0168&amp;sourceID=14","0.0168")</f>
        <v>0.0168</v>
      </c>
    </row>
    <row r="13093" spans="1:7">
      <c r="A13093" s="3"/>
      <c r="B13093" s="3"/>
      <c r="C13093" s="3"/>
      <c r="D13093" s="3"/>
      <c r="E13093" s="3">
        <v>10</v>
      </c>
      <c r="F13093" s="4" t="str">
        <f>HYPERLINK("http://141.218.60.56/~jnz1568/getInfo.php?workbook=10_05.xlsx&amp;sheet=U0&amp;row=13093&amp;col=6&amp;number=3.9&amp;sourceID=14","3.9")</f>
        <v>3.9</v>
      </c>
      <c r="G13093" s="4" t="str">
        <f>HYPERLINK("http://141.218.60.56/~jnz1568/getInfo.php?workbook=10_05.xlsx&amp;sheet=U0&amp;row=13093&amp;col=7&amp;number=0.0159&amp;sourceID=14","0.0159")</f>
        <v>0.0159</v>
      </c>
    </row>
    <row r="13094" spans="1:7">
      <c r="A13094" s="3"/>
      <c r="B13094" s="3"/>
      <c r="C13094" s="3"/>
      <c r="D13094" s="3"/>
      <c r="E13094" s="3">
        <v>11</v>
      </c>
      <c r="F13094" s="4" t="str">
        <f>HYPERLINK("http://141.218.60.56/~jnz1568/getInfo.php?workbook=10_05.xlsx&amp;sheet=U0&amp;row=13094&amp;col=6&amp;number=4&amp;sourceID=14","4")</f>
        <v>4</v>
      </c>
      <c r="G13094" s="4" t="str">
        <f>HYPERLINK("http://141.218.60.56/~jnz1568/getInfo.php?workbook=10_05.xlsx&amp;sheet=U0&amp;row=13094&amp;col=7&amp;number=0.015&amp;sourceID=14","0.015")</f>
        <v>0.015</v>
      </c>
    </row>
    <row r="13095" spans="1:7">
      <c r="A13095" s="3"/>
      <c r="B13095" s="3"/>
      <c r="C13095" s="3"/>
      <c r="D13095" s="3"/>
      <c r="E13095" s="3">
        <v>12</v>
      </c>
      <c r="F13095" s="4" t="str">
        <f>HYPERLINK("http://141.218.60.56/~jnz1568/getInfo.php?workbook=10_05.xlsx&amp;sheet=U0&amp;row=13095&amp;col=6&amp;number=4.1&amp;sourceID=14","4.1")</f>
        <v>4.1</v>
      </c>
      <c r="G13095" s="4" t="str">
        <f>HYPERLINK("http://141.218.60.56/~jnz1568/getInfo.php?workbook=10_05.xlsx&amp;sheet=U0&amp;row=13095&amp;col=7&amp;number=0.014&amp;sourceID=14","0.014")</f>
        <v>0.014</v>
      </c>
    </row>
    <row r="13096" spans="1:7">
      <c r="A13096" s="3"/>
      <c r="B13096" s="3"/>
      <c r="C13096" s="3"/>
      <c r="D13096" s="3"/>
      <c r="E13096" s="3">
        <v>13</v>
      </c>
      <c r="F13096" s="4" t="str">
        <f>HYPERLINK("http://141.218.60.56/~jnz1568/getInfo.php?workbook=10_05.xlsx&amp;sheet=U0&amp;row=13096&amp;col=6&amp;number=4.2&amp;sourceID=14","4.2")</f>
        <v>4.2</v>
      </c>
      <c r="G13096" s="4" t="str">
        <f>HYPERLINK("http://141.218.60.56/~jnz1568/getInfo.php?workbook=10_05.xlsx&amp;sheet=U0&amp;row=13096&amp;col=7&amp;number=0.013&amp;sourceID=14","0.013")</f>
        <v>0.013</v>
      </c>
    </row>
    <row r="13097" spans="1:7">
      <c r="A13097" s="3"/>
      <c r="B13097" s="3"/>
      <c r="C13097" s="3"/>
      <c r="D13097" s="3"/>
      <c r="E13097" s="3">
        <v>14</v>
      </c>
      <c r="F13097" s="4" t="str">
        <f>HYPERLINK("http://141.218.60.56/~jnz1568/getInfo.php?workbook=10_05.xlsx&amp;sheet=U0&amp;row=13097&amp;col=6&amp;number=4.3&amp;sourceID=14","4.3")</f>
        <v>4.3</v>
      </c>
      <c r="G13097" s="4" t="str">
        <f>HYPERLINK("http://141.218.60.56/~jnz1568/getInfo.php?workbook=10_05.xlsx&amp;sheet=U0&amp;row=13097&amp;col=7&amp;number=0.012&amp;sourceID=14","0.012")</f>
        <v>0.012</v>
      </c>
    </row>
    <row r="13098" spans="1:7">
      <c r="A13098" s="3"/>
      <c r="B13098" s="3"/>
      <c r="C13098" s="3"/>
      <c r="D13098" s="3"/>
      <c r="E13098" s="3">
        <v>15</v>
      </c>
      <c r="F13098" s="4" t="str">
        <f>HYPERLINK("http://141.218.60.56/~jnz1568/getInfo.php?workbook=10_05.xlsx&amp;sheet=U0&amp;row=13098&amp;col=6&amp;number=4.4&amp;sourceID=14","4.4")</f>
        <v>4.4</v>
      </c>
      <c r="G13098" s="4" t="str">
        <f>HYPERLINK("http://141.218.60.56/~jnz1568/getInfo.php?workbook=10_05.xlsx&amp;sheet=U0&amp;row=13098&amp;col=7&amp;number=0.0112&amp;sourceID=14","0.0112")</f>
        <v>0.0112</v>
      </c>
    </row>
    <row r="13099" spans="1:7">
      <c r="A13099" s="3"/>
      <c r="B13099" s="3"/>
      <c r="C13099" s="3"/>
      <c r="D13099" s="3"/>
      <c r="E13099" s="3">
        <v>16</v>
      </c>
      <c r="F13099" s="4" t="str">
        <f>HYPERLINK("http://141.218.60.56/~jnz1568/getInfo.php?workbook=10_05.xlsx&amp;sheet=U0&amp;row=13099&amp;col=6&amp;number=4.5&amp;sourceID=14","4.5")</f>
        <v>4.5</v>
      </c>
      <c r="G13099" s="4" t="str">
        <f>HYPERLINK("http://141.218.60.56/~jnz1568/getInfo.php?workbook=10_05.xlsx&amp;sheet=U0&amp;row=13099&amp;col=7&amp;number=0.0105&amp;sourceID=14","0.0105")</f>
        <v>0.0105</v>
      </c>
    </row>
    <row r="13100" spans="1:7">
      <c r="A13100" s="3"/>
      <c r="B13100" s="3"/>
      <c r="C13100" s="3"/>
      <c r="D13100" s="3"/>
      <c r="E13100" s="3">
        <v>17</v>
      </c>
      <c r="F13100" s="4" t="str">
        <f>HYPERLINK("http://141.218.60.56/~jnz1568/getInfo.php?workbook=10_05.xlsx&amp;sheet=U0&amp;row=13100&amp;col=6&amp;number=4.6&amp;sourceID=14","4.6")</f>
        <v>4.6</v>
      </c>
      <c r="G13100" s="4" t="str">
        <f>HYPERLINK("http://141.218.60.56/~jnz1568/getInfo.php?workbook=10_05.xlsx&amp;sheet=U0&amp;row=13100&amp;col=7&amp;number=0.00986&amp;sourceID=14","0.00986")</f>
        <v>0.00986</v>
      </c>
    </row>
    <row r="13101" spans="1:7">
      <c r="A13101" s="3"/>
      <c r="B13101" s="3"/>
      <c r="C13101" s="3"/>
      <c r="D13101" s="3"/>
      <c r="E13101" s="3">
        <v>18</v>
      </c>
      <c r="F13101" s="4" t="str">
        <f>HYPERLINK("http://141.218.60.56/~jnz1568/getInfo.php?workbook=10_05.xlsx&amp;sheet=U0&amp;row=13101&amp;col=6&amp;number=4.7&amp;sourceID=14","4.7")</f>
        <v>4.7</v>
      </c>
      <c r="G13101" s="4" t="str">
        <f>HYPERLINK("http://141.218.60.56/~jnz1568/getInfo.php?workbook=10_05.xlsx&amp;sheet=U0&amp;row=13101&amp;col=7&amp;number=0.00919&amp;sourceID=14","0.00919")</f>
        <v>0.00919</v>
      </c>
    </row>
    <row r="13102" spans="1:7">
      <c r="A13102" s="3"/>
      <c r="B13102" s="3"/>
      <c r="C13102" s="3"/>
      <c r="D13102" s="3"/>
      <c r="E13102" s="3">
        <v>19</v>
      </c>
      <c r="F13102" s="4" t="str">
        <f>HYPERLINK("http://141.218.60.56/~jnz1568/getInfo.php?workbook=10_05.xlsx&amp;sheet=U0&amp;row=13102&amp;col=6&amp;number=4.8&amp;sourceID=14","4.8")</f>
        <v>4.8</v>
      </c>
      <c r="G13102" s="4" t="str">
        <f>HYPERLINK("http://141.218.60.56/~jnz1568/getInfo.php?workbook=10_05.xlsx&amp;sheet=U0&amp;row=13102&amp;col=7&amp;number=0.00857&amp;sourceID=14","0.00857")</f>
        <v>0.00857</v>
      </c>
    </row>
    <row r="13103" spans="1:7">
      <c r="A13103" s="3"/>
      <c r="B13103" s="3"/>
      <c r="C13103" s="3"/>
      <c r="D13103" s="3"/>
      <c r="E13103" s="3">
        <v>20</v>
      </c>
      <c r="F13103" s="4" t="str">
        <f>HYPERLINK("http://141.218.60.56/~jnz1568/getInfo.php?workbook=10_05.xlsx&amp;sheet=U0&amp;row=13103&amp;col=6&amp;number=4.9&amp;sourceID=14","4.9")</f>
        <v>4.9</v>
      </c>
      <c r="G13103" s="4" t="str">
        <f>HYPERLINK("http://141.218.60.56/~jnz1568/getInfo.php?workbook=10_05.xlsx&amp;sheet=U0&amp;row=13103&amp;col=7&amp;number=0.00803&amp;sourceID=14","0.00803")</f>
        <v>0.00803</v>
      </c>
    </row>
    <row r="13104" spans="1:7">
      <c r="A13104" s="3">
        <v>10</v>
      </c>
      <c r="B13104" s="3">
        <v>5</v>
      </c>
      <c r="C13104" s="3">
        <v>4</v>
      </c>
      <c r="D13104" s="3">
        <v>126</v>
      </c>
      <c r="E13104" s="3">
        <v>1</v>
      </c>
      <c r="F13104" s="4" t="str">
        <f>HYPERLINK("http://141.218.60.56/~jnz1568/getInfo.php?workbook=10_05.xlsx&amp;sheet=U0&amp;row=13104&amp;col=6&amp;number=3&amp;sourceID=14","3")</f>
        <v>3</v>
      </c>
      <c r="G13104" s="4" t="str">
        <f>HYPERLINK("http://141.218.60.56/~jnz1568/getInfo.php?workbook=10_05.xlsx&amp;sheet=U0&amp;row=13104&amp;col=7&amp;number=0.0341&amp;sourceID=14","0.0341")</f>
        <v>0.0341</v>
      </c>
    </row>
    <row r="13105" spans="1:7">
      <c r="A13105" s="3"/>
      <c r="B13105" s="3"/>
      <c r="C13105" s="3"/>
      <c r="D13105" s="3"/>
      <c r="E13105" s="3">
        <v>2</v>
      </c>
      <c r="F13105" s="4" t="str">
        <f>HYPERLINK("http://141.218.60.56/~jnz1568/getInfo.php?workbook=10_05.xlsx&amp;sheet=U0&amp;row=13105&amp;col=6&amp;number=3.1&amp;sourceID=14","3.1")</f>
        <v>3.1</v>
      </c>
      <c r="G13105" s="4" t="str">
        <f>HYPERLINK("http://141.218.60.56/~jnz1568/getInfo.php?workbook=10_05.xlsx&amp;sheet=U0&amp;row=13105&amp;col=7&amp;number=0.0338&amp;sourceID=14","0.0338")</f>
        <v>0.0338</v>
      </c>
    </row>
    <row r="13106" spans="1:7">
      <c r="A13106" s="3"/>
      <c r="B13106" s="3"/>
      <c r="C13106" s="3"/>
      <c r="D13106" s="3"/>
      <c r="E13106" s="3">
        <v>3</v>
      </c>
      <c r="F13106" s="4" t="str">
        <f>HYPERLINK("http://141.218.60.56/~jnz1568/getInfo.php?workbook=10_05.xlsx&amp;sheet=U0&amp;row=13106&amp;col=6&amp;number=3.2&amp;sourceID=14","3.2")</f>
        <v>3.2</v>
      </c>
      <c r="G13106" s="4" t="str">
        <f>HYPERLINK("http://141.218.60.56/~jnz1568/getInfo.php?workbook=10_05.xlsx&amp;sheet=U0&amp;row=13106&amp;col=7&amp;number=0.0334&amp;sourceID=14","0.0334")</f>
        <v>0.0334</v>
      </c>
    </row>
    <row r="13107" spans="1:7">
      <c r="A13107" s="3"/>
      <c r="B13107" s="3"/>
      <c r="C13107" s="3"/>
      <c r="D13107" s="3"/>
      <c r="E13107" s="3">
        <v>4</v>
      </c>
      <c r="F13107" s="4" t="str">
        <f>HYPERLINK("http://141.218.60.56/~jnz1568/getInfo.php?workbook=10_05.xlsx&amp;sheet=U0&amp;row=13107&amp;col=6&amp;number=3.3&amp;sourceID=14","3.3")</f>
        <v>3.3</v>
      </c>
      <c r="G13107" s="4" t="str">
        <f>HYPERLINK("http://141.218.60.56/~jnz1568/getInfo.php?workbook=10_05.xlsx&amp;sheet=U0&amp;row=13107&amp;col=7&amp;number=0.0329&amp;sourceID=14","0.0329")</f>
        <v>0.0329</v>
      </c>
    </row>
    <row r="13108" spans="1:7">
      <c r="A13108" s="3"/>
      <c r="B13108" s="3"/>
      <c r="C13108" s="3"/>
      <c r="D13108" s="3"/>
      <c r="E13108" s="3">
        <v>5</v>
      </c>
      <c r="F13108" s="4" t="str">
        <f>HYPERLINK("http://141.218.60.56/~jnz1568/getInfo.php?workbook=10_05.xlsx&amp;sheet=U0&amp;row=13108&amp;col=6&amp;number=3.4&amp;sourceID=14","3.4")</f>
        <v>3.4</v>
      </c>
      <c r="G13108" s="4" t="str">
        <f>HYPERLINK("http://141.218.60.56/~jnz1568/getInfo.php?workbook=10_05.xlsx&amp;sheet=U0&amp;row=13108&amp;col=7&amp;number=0.0323&amp;sourceID=14","0.0323")</f>
        <v>0.0323</v>
      </c>
    </row>
    <row r="13109" spans="1:7">
      <c r="A13109" s="3"/>
      <c r="B13109" s="3"/>
      <c r="C13109" s="3"/>
      <c r="D13109" s="3"/>
      <c r="E13109" s="3">
        <v>6</v>
      </c>
      <c r="F13109" s="4" t="str">
        <f>HYPERLINK("http://141.218.60.56/~jnz1568/getInfo.php?workbook=10_05.xlsx&amp;sheet=U0&amp;row=13109&amp;col=6&amp;number=3.5&amp;sourceID=14","3.5")</f>
        <v>3.5</v>
      </c>
      <c r="G13109" s="4" t="str">
        <f>HYPERLINK("http://141.218.60.56/~jnz1568/getInfo.php?workbook=10_05.xlsx&amp;sheet=U0&amp;row=13109&amp;col=7&amp;number=0.0316&amp;sourceID=14","0.0316")</f>
        <v>0.0316</v>
      </c>
    </row>
    <row r="13110" spans="1:7">
      <c r="A13110" s="3"/>
      <c r="B13110" s="3"/>
      <c r="C13110" s="3"/>
      <c r="D13110" s="3"/>
      <c r="E13110" s="3">
        <v>7</v>
      </c>
      <c r="F13110" s="4" t="str">
        <f>HYPERLINK("http://141.218.60.56/~jnz1568/getInfo.php?workbook=10_05.xlsx&amp;sheet=U0&amp;row=13110&amp;col=6&amp;number=3.6&amp;sourceID=14","3.6")</f>
        <v>3.6</v>
      </c>
      <c r="G13110" s="4" t="str">
        <f>HYPERLINK("http://141.218.60.56/~jnz1568/getInfo.php?workbook=10_05.xlsx&amp;sheet=U0&amp;row=13110&amp;col=7&amp;number=0.0307&amp;sourceID=14","0.0307")</f>
        <v>0.0307</v>
      </c>
    </row>
    <row r="13111" spans="1:7">
      <c r="A13111" s="3"/>
      <c r="B13111" s="3"/>
      <c r="C13111" s="3"/>
      <c r="D13111" s="3"/>
      <c r="E13111" s="3">
        <v>8</v>
      </c>
      <c r="F13111" s="4" t="str">
        <f>HYPERLINK("http://141.218.60.56/~jnz1568/getInfo.php?workbook=10_05.xlsx&amp;sheet=U0&amp;row=13111&amp;col=6&amp;number=3.7&amp;sourceID=14","3.7")</f>
        <v>3.7</v>
      </c>
      <c r="G13111" s="4" t="str">
        <f>HYPERLINK("http://141.218.60.56/~jnz1568/getInfo.php?workbook=10_05.xlsx&amp;sheet=U0&amp;row=13111&amp;col=7&amp;number=0.0296&amp;sourceID=14","0.0296")</f>
        <v>0.0296</v>
      </c>
    </row>
    <row r="13112" spans="1:7">
      <c r="A13112" s="3"/>
      <c r="B13112" s="3"/>
      <c r="C13112" s="3"/>
      <c r="D13112" s="3"/>
      <c r="E13112" s="3">
        <v>9</v>
      </c>
      <c r="F13112" s="4" t="str">
        <f>HYPERLINK("http://141.218.60.56/~jnz1568/getInfo.php?workbook=10_05.xlsx&amp;sheet=U0&amp;row=13112&amp;col=6&amp;number=3.8&amp;sourceID=14","3.8")</f>
        <v>3.8</v>
      </c>
      <c r="G13112" s="4" t="str">
        <f>HYPERLINK("http://141.218.60.56/~jnz1568/getInfo.php?workbook=10_05.xlsx&amp;sheet=U0&amp;row=13112&amp;col=7&amp;number=0.0283&amp;sourceID=14","0.0283")</f>
        <v>0.0283</v>
      </c>
    </row>
    <row r="13113" spans="1:7">
      <c r="A13113" s="3"/>
      <c r="B13113" s="3"/>
      <c r="C13113" s="3"/>
      <c r="D13113" s="3"/>
      <c r="E13113" s="3">
        <v>10</v>
      </c>
      <c r="F13113" s="4" t="str">
        <f>HYPERLINK("http://141.218.60.56/~jnz1568/getInfo.php?workbook=10_05.xlsx&amp;sheet=U0&amp;row=13113&amp;col=6&amp;number=3.9&amp;sourceID=14","3.9")</f>
        <v>3.9</v>
      </c>
      <c r="G13113" s="4" t="str">
        <f>HYPERLINK("http://141.218.60.56/~jnz1568/getInfo.php?workbook=10_05.xlsx&amp;sheet=U0&amp;row=13113&amp;col=7&amp;number=0.0268&amp;sourceID=14","0.0268")</f>
        <v>0.0268</v>
      </c>
    </row>
    <row r="13114" spans="1:7">
      <c r="A13114" s="3"/>
      <c r="B13114" s="3"/>
      <c r="C13114" s="3"/>
      <c r="D13114" s="3"/>
      <c r="E13114" s="3">
        <v>11</v>
      </c>
      <c r="F13114" s="4" t="str">
        <f>HYPERLINK("http://141.218.60.56/~jnz1568/getInfo.php?workbook=10_05.xlsx&amp;sheet=U0&amp;row=13114&amp;col=6&amp;number=4&amp;sourceID=14","4")</f>
        <v>4</v>
      </c>
      <c r="G13114" s="4" t="str">
        <f>HYPERLINK("http://141.218.60.56/~jnz1568/getInfo.php?workbook=10_05.xlsx&amp;sheet=U0&amp;row=13114&amp;col=7&amp;number=0.025&amp;sourceID=14","0.025")</f>
        <v>0.025</v>
      </c>
    </row>
    <row r="13115" spans="1:7">
      <c r="A13115" s="3"/>
      <c r="B13115" s="3"/>
      <c r="C13115" s="3"/>
      <c r="D13115" s="3"/>
      <c r="E13115" s="3">
        <v>12</v>
      </c>
      <c r="F13115" s="4" t="str">
        <f>HYPERLINK("http://141.218.60.56/~jnz1568/getInfo.php?workbook=10_05.xlsx&amp;sheet=U0&amp;row=13115&amp;col=6&amp;number=4.1&amp;sourceID=14","4.1")</f>
        <v>4.1</v>
      </c>
      <c r="G13115" s="4" t="str">
        <f>HYPERLINK("http://141.218.60.56/~jnz1568/getInfo.php?workbook=10_05.xlsx&amp;sheet=U0&amp;row=13115&amp;col=7&amp;number=0.0231&amp;sourceID=14","0.0231")</f>
        <v>0.0231</v>
      </c>
    </row>
    <row r="13116" spans="1:7">
      <c r="A13116" s="3"/>
      <c r="B13116" s="3"/>
      <c r="C13116" s="3"/>
      <c r="D13116" s="3"/>
      <c r="E13116" s="3">
        <v>13</v>
      </c>
      <c r="F13116" s="4" t="str">
        <f>HYPERLINK("http://141.218.60.56/~jnz1568/getInfo.php?workbook=10_05.xlsx&amp;sheet=U0&amp;row=13116&amp;col=6&amp;number=4.2&amp;sourceID=14","4.2")</f>
        <v>4.2</v>
      </c>
      <c r="G13116" s="4" t="str">
        <f>HYPERLINK("http://141.218.60.56/~jnz1568/getInfo.php?workbook=10_05.xlsx&amp;sheet=U0&amp;row=13116&amp;col=7&amp;number=0.0212&amp;sourceID=14","0.0212")</f>
        <v>0.0212</v>
      </c>
    </row>
    <row r="13117" spans="1:7">
      <c r="A13117" s="3"/>
      <c r="B13117" s="3"/>
      <c r="C13117" s="3"/>
      <c r="D13117" s="3"/>
      <c r="E13117" s="3">
        <v>14</v>
      </c>
      <c r="F13117" s="4" t="str">
        <f>HYPERLINK("http://141.218.60.56/~jnz1568/getInfo.php?workbook=10_05.xlsx&amp;sheet=U0&amp;row=13117&amp;col=6&amp;number=4.3&amp;sourceID=14","4.3")</f>
        <v>4.3</v>
      </c>
      <c r="G13117" s="4" t="str">
        <f>HYPERLINK("http://141.218.60.56/~jnz1568/getInfo.php?workbook=10_05.xlsx&amp;sheet=U0&amp;row=13117&amp;col=7&amp;number=0.0195&amp;sourceID=14","0.0195")</f>
        <v>0.0195</v>
      </c>
    </row>
    <row r="13118" spans="1:7">
      <c r="A13118" s="3"/>
      <c r="B13118" s="3"/>
      <c r="C13118" s="3"/>
      <c r="D13118" s="3"/>
      <c r="E13118" s="3">
        <v>15</v>
      </c>
      <c r="F13118" s="4" t="str">
        <f>HYPERLINK("http://141.218.60.56/~jnz1568/getInfo.php?workbook=10_05.xlsx&amp;sheet=U0&amp;row=13118&amp;col=6&amp;number=4.4&amp;sourceID=14","4.4")</f>
        <v>4.4</v>
      </c>
      <c r="G13118" s="4" t="str">
        <f>HYPERLINK("http://141.218.60.56/~jnz1568/getInfo.php?workbook=10_05.xlsx&amp;sheet=U0&amp;row=13118&amp;col=7&amp;number=0.0181&amp;sourceID=14","0.0181")</f>
        <v>0.0181</v>
      </c>
    </row>
    <row r="13119" spans="1:7">
      <c r="A13119" s="3"/>
      <c r="B13119" s="3"/>
      <c r="C13119" s="3"/>
      <c r="D13119" s="3"/>
      <c r="E13119" s="3">
        <v>16</v>
      </c>
      <c r="F13119" s="4" t="str">
        <f>HYPERLINK("http://141.218.60.56/~jnz1568/getInfo.php?workbook=10_05.xlsx&amp;sheet=U0&amp;row=13119&amp;col=6&amp;number=4.5&amp;sourceID=14","4.5")</f>
        <v>4.5</v>
      </c>
      <c r="G13119" s="4" t="str">
        <f>HYPERLINK("http://141.218.60.56/~jnz1568/getInfo.php?workbook=10_05.xlsx&amp;sheet=U0&amp;row=13119&amp;col=7&amp;number=0.017&amp;sourceID=14","0.017")</f>
        <v>0.017</v>
      </c>
    </row>
    <row r="13120" spans="1:7">
      <c r="A13120" s="3"/>
      <c r="B13120" s="3"/>
      <c r="C13120" s="3"/>
      <c r="D13120" s="3"/>
      <c r="E13120" s="3">
        <v>17</v>
      </c>
      <c r="F13120" s="4" t="str">
        <f>HYPERLINK("http://141.218.60.56/~jnz1568/getInfo.php?workbook=10_05.xlsx&amp;sheet=U0&amp;row=13120&amp;col=6&amp;number=4.6&amp;sourceID=14","4.6")</f>
        <v>4.6</v>
      </c>
      <c r="G13120" s="4" t="str">
        <f>HYPERLINK("http://141.218.60.56/~jnz1568/getInfo.php?workbook=10_05.xlsx&amp;sheet=U0&amp;row=13120&amp;col=7&amp;number=0.0159&amp;sourceID=14","0.0159")</f>
        <v>0.0159</v>
      </c>
    </row>
    <row r="13121" spans="1:7">
      <c r="A13121" s="3"/>
      <c r="B13121" s="3"/>
      <c r="C13121" s="3"/>
      <c r="D13121" s="3"/>
      <c r="E13121" s="3">
        <v>18</v>
      </c>
      <c r="F13121" s="4" t="str">
        <f>HYPERLINK("http://141.218.60.56/~jnz1568/getInfo.php?workbook=10_05.xlsx&amp;sheet=U0&amp;row=13121&amp;col=6&amp;number=4.7&amp;sourceID=14","4.7")</f>
        <v>4.7</v>
      </c>
      <c r="G13121" s="4" t="str">
        <f>HYPERLINK("http://141.218.60.56/~jnz1568/getInfo.php?workbook=10_05.xlsx&amp;sheet=U0&amp;row=13121&amp;col=7&amp;number=0.0149&amp;sourceID=14","0.0149")</f>
        <v>0.0149</v>
      </c>
    </row>
    <row r="13122" spans="1:7">
      <c r="A13122" s="3"/>
      <c r="B13122" s="3"/>
      <c r="C13122" s="3"/>
      <c r="D13122" s="3"/>
      <c r="E13122" s="3">
        <v>19</v>
      </c>
      <c r="F13122" s="4" t="str">
        <f>HYPERLINK("http://141.218.60.56/~jnz1568/getInfo.php?workbook=10_05.xlsx&amp;sheet=U0&amp;row=13122&amp;col=6&amp;number=4.8&amp;sourceID=14","4.8")</f>
        <v>4.8</v>
      </c>
      <c r="G13122" s="4" t="str">
        <f>HYPERLINK("http://141.218.60.56/~jnz1568/getInfo.php?workbook=10_05.xlsx&amp;sheet=U0&amp;row=13122&amp;col=7&amp;number=0.0139&amp;sourceID=14","0.0139")</f>
        <v>0.0139</v>
      </c>
    </row>
    <row r="13123" spans="1:7">
      <c r="A13123" s="3"/>
      <c r="B13123" s="3"/>
      <c r="C13123" s="3"/>
      <c r="D13123" s="3"/>
      <c r="E13123" s="3">
        <v>20</v>
      </c>
      <c r="F13123" s="4" t="str">
        <f>HYPERLINK("http://141.218.60.56/~jnz1568/getInfo.php?workbook=10_05.xlsx&amp;sheet=U0&amp;row=13123&amp;col=6&amp;number=4.9&amp;sourceID=14","4.9")</f>
        <v>4.9</v>
      </c>
      <c r="G13123" s="4" t="str">
        <f>HYPERLINK("http://141.218.60.56/~jnz1568/getInfo.php?workbook=10_05.xlsx&amp;sheet=U0&amp;row=13123&amp;col=7&amp;number=0.013&amp;sourceID=14","0.013")</f>
        <v>0.013</v>
      </c>
    </row>
    <row r="13124" spans="1:7">
      <c r="A13124" s="3">
        <v>10</v>
      </c>
      <c r="B13124" s="3">
        <v>5</v>
      </c>
      <c r="C13124" s="3">
        <v>4</v>
      </c>
      <c r="D13124" s="3">
        <v>127</v>
      </c>
      <c r="E13124" s="3">
        <v>1</v>
      </c>
      <c r="F13124" s="4" t="str">
        <f>HYPERLINK("http://141.218.60.56/~jnz1568/getInfo.php?workbook=10_05.xlsx&amp;sheet=U0&amp;row=13124&amp;col=6&amp;number=3&amp;sourceID=14","3")</f>
        <v>3</v>
      </c>
      <c r="G13124" s="4" t="str">
        <f>HYPERLINK("http://141.218.60.56/~jnz1568/getInfo.php?workbook=10_05.xlsx&amp;sheet=U0&amp;row=13124&amp;col=7&amp;number=0.00279&amp;sourceID=14","0.00279")</f>
        <v>0.00279</v>
      </c>
    </row>
    <row r="13125" spans="1:7">
      <c r="A13125" s="3"/>
      <c r="B13125" s="3"/>
      <c r="C13125" s="3"/>
      <c r="D13125" s="3"/>
      <c r="E13125" s="3">
        <v>2</v>
      </c>
      <c r="F13125" s="4" t="str">
        <f>HYPERLINK("http://141.218.60.56/~jnz1568/getInfo.php?workbook=10_05.xlsx&amp;sheet=U0&amp;row=13125&amp;col=6&amp;number=3.1&amp;sourceID=14","3.1")</f>
        <v>3.1</v>
      </c>
      <c r="G13125" s="4" t="str">
        <f>HYPERLINK("http://141.218.60.56/~jnz1568/getInfo.php?workbook=10_05.xlsx&amp;sheet=U0&amp;row=13125&amp;col=7&amp;number=0.00278&amp;sourceID=14","0.00278")</f>
        <v>0.00278</v>
      </c>
    </row>
    <row r="13126" spans="1:7">
      <c r="A13126" s="3"/>
      <c r="B13126" s="3"/>
      <c r="C13126" s="3"/>
      <c r="D13126" s="3"/>
      <c r="E13126" s="3">
        <v>3</v>
      </c>
      <c r="F13126" s="4" t="str">
        <f>HYPERLINK("http://141.218.60.56/~jnz1568/getInfo.php?workbook=10_05.xlsx&amp;sheet=U0&amp;row=13126&amp;col=6&amp;number=3.2&amp;sourceID=14","3.2")</f>
        <v>3.2</v>
      </c>
      <c r="G13126" s="4" t="str">
        <f>HYPERLINK("http://141.218.60.56/~jnz1568/getInfo.php?workbook=10_05.xlsx&amp;sheet=U0&amp;row=13126&amp;col=7&amp;number=0.00275&amp;sourceID=14","0.00275")</f>
        <v>0.00275</v>
      </c>
    </row>
    <row r="13127" spans="1:7">
      <c r="A13127" s="3"/>
      <c r="B13127" s="3"/>
      <c r="C13127" s="3"/>
      <c r="D13127" s="3"/>
      <c r="E13127" s="3">
        <v>4</v>
      </c>
      <c r="F13127" s="4" t="str">
        <f>HYPERLINK("http://141.218.60.56/~jnz1568/getInfo.php?workbook=10_05.xlsx&amp;sheet=U0&amp;row=13127&amp;col=6&amp;number=3.3&amp;sourceID=14","3.3")</f>
        <v>3.3</v>
      </c>
      <c r="G13127" s="4" t="str">
        <f>HYPERLINK("http://141.218.60.56/~jnz1568/getInfo.php?workbook=10_05.xlsx&amp;sheet=U0&amp;row=13127&amp;col=7&amp;number=0.00273&amp;sourceID=14","0.00273")</f>
        <v>0.00273</v>
      </c>
    </row>
    <row r="13128" spans="1:7">
      <c r="A13128" s="3"/>
      <c r="B13128" s="3"/>
      <c r="C13128" s="3"/>
      <c r="D13128" s="3"/>
      <c r="E13128" s="3">
        <v>5</v>
      </c>
      <c r="F13128" s="4" t="str">
        <f>HYPERLINK("http://141.218.60.56/~jnz1568/getInfo.php?workbook=10_05.xlsx&amp;sheet=U0&amp;row=13128&amp;col=6&amp;number=3.4&amp;sourceID=14","3.4")</f>
        <v>3.4</v>
      </c>
      <c r="G13128" s="4" t="str">
        <f>HYPERLINK("http://141.218.60.56/~jnz1568/getInfo.php?workbook=10_05.xlsx&amp;sheet=U0&amp;row=13128&amp;col=7&amp;number=0.00269&amp;sourceID=14","0.00269")</f>
        <v>0.00269</v>
      </c>
    </row>
    <row r="13129" spans="1:7">
      <c r="A13129" s="3"/>
      <c r="B13129" s="3"/>
      <c r="C13129" s="3"/>
      <c r="D13129" s="3"/>
      <c r="E13129" s="3">
        <v>6</v>
      </c>
      <c r="F13129" s="4" t="str">
        <f>HYPERLINK("http://141.218.60.56/~jnz1568/getInfo.php?workbook=10_05.xlsx&amp;sheet=U0&amp;row=13129&amp;col=6&amp;number=3.5&amp;sourceID=14","3.5")</f>
        <v>3.5</v>
      </c>
      <c r="G13129" s="4" t="str">
        <f>HYPERLINK("http://141.218.60.56/~jnz1568/getInfo.php?workbook=10_05.xlsx&amp;sheet=U0&amp;row=13129&amp;col=7&amp;number=0.00265&amp;sourceID=14","0.00265")</f>
        <v>0.00265</v>
      </c>
    </row>
    <row r="13130" spans="1:7">
      <c r="A13130" s="3"/>
      <c r="B13130" s="3"/>
      <c r="C13130" s="3"/>
      <c r="D13130" s="3"/>
      <c r="E13130" s="3">
        <v>7</v>
      </c>
      <c r="F13130" s="4" t="str">
        <f>HYPERLINK("http://141.218.60.56/~jnz1568/getInfo.php?workbook=10_05.xlsx&amp;sheet=U0&amp;row=13130&amp;col=6&amp;number=3.6&amp;sourceID=14","3.6")</f>
        <v>3.6</v>
      </c>
      <c r="G13130" s="4" t="str">
        <f>HYPERLINK("http://141.218.60.56/~jnz1568/getInfo.php?workbook=10_05.xlsx&amp;sheet=U0&amp;row=13130&amp;col=7&amp;number=0.0026&amp;sourceID=14","0.0026")</f>
        <v>0.0026</v>
      </c>
    </row>
    <row r="13131" spans="1:7">
      <c r="A13131" s="3"/>
      <c r="B13131" s="3"/>
      <c r="C13131" s="3"/>
      <c r="D13131" s="3"/>
      <c r="E13131" s="3">
        <v>8</v>
      </c>
      <c r="F13131" s="4" t="str">
        <f>HYPERLINK("http://141.218.60.56/~jnz1568/getInfo.php?workbook=10_05.xlsx&amp;sheet=U0&amp;row=13131&amp;col=6&amp;number=3.7&amp;sourceID=14","3.7")</f>
        <v>3.7</v>
      </c>
      <c r="G13131" s="4" t="str">
        <f>HYPERLINK("http://141.218.60.56/~jnz1568/getInfo.php?workbook=10_05.xlsx&amp;sheet=U0&amp;row=13131&amp;col=7&amp;number=0.00253&amp;sourceID=14","0.00253")</f>
        <v>0.00253</v>
      </c>
    </row>
    <row r="13132" spans="1:7">
      <c r="A13132" s="3"/>
      <c r="B13132" s="3"/>
      <c r="C13132" s="3"/>
      <c r="D13132" s="3"/>
      <c r="E13132" s="3">
        <v>9</v>
      </c>
      <c r="F13132" s="4" t="str">
        <f>HYPERLINK("http://141.218.60.56/~jnz1568/getInfo.php?workbook=10_05.xlsx&amp;sheet=U0&amp;row=13132&amp;col=6&amp;number=3.8&amp;sourceID=14","3.8")</f>
        <v>3.8</v>
      </c>
      <c r="G13132" s="4" t="str">
        <f>HYPERLINK("http://141.218.60.56/~jnz1568/getInfo.php?workbook=10_05.xlsx&amp;sheet=U0&amp;row=13132&amp;col=7&amp;number=0.00246&amp;sourceID=14","0.00246")</f>
        <v>0.00246</v>
      </c>
    </row>
    <row r="13133" spans="1:7">
      <c r="A13133" s="3"/>
      <c r="B13133" s="3"/>
      <c r="C13133" s="3"/>
      <c r="D13133" s="3"/>
      <c r="E13133" s="3">
        <v>10</v>
      </c>
      <c r="F13133" s="4" t="str">
        <f>HYPERLINK("http://141.218.60.56/~jnz1568/getInfo.php?workbook=10_05.xlsx&amp;sheet=U0&amp;row=13133&amp;col=6&amp;number=3.9&amp;sourceID=14","3.9")</f>
        <v>3.9</v>
      </c>
      <c r="G13133" s="4" t="str">
        <f>HYPERLINK("http://141.218.60.56/~jnz1568/getInfo.php?workbook=10_05.xlsx&amp;sheet=U0&amp;row=13133&amp;col=7&amp;number=0.00237&amp;sourceID=14","0.00237")</f>
        <v>0.00237</v>
      </c>
    </row>
    <row r="13134" spans="1:7">
      <c r="A13134" s="3"/>
      <c r="B13134" s="3"/>
      <c r="C13134" s="3"/>
      <c r="D13134" s="3"/>
      <c r="E13134" s="3">
        <v>11</v>
      </c>
      <c r="F13134" s="4" t="str">
        <f>HYPERLINK("http://141.218.60.56/~jnz1568/getInfo.php?workbook=10_05.xlsx&amp;sheet=U0&amp;row=13134&amp;col=6&amp;number=4&amp;sourceID=14","4")</f>
        <v>4</v>
      </c>
      <c r="G13134" s="4" t="str">
        <f>HYPERLINK("http://141.218.60.56/~jnz1568/getInfo.php?workbook=10_05.xlsx&amp;sheet=U0&amp;row=13134&amp;col=7&amp;number=0.00226&amp;sourceID=14","0.00226")</f>
        <v>0.00226</v>
      </c>
    </row>
    <row r="13135" spans="1:7">
      <c r="A13135" s="3"/>
      <c r="B13135" s="3"/>
      <c r="C13135" s="3"/>
      <c r="D13135" s="3"/>
      <c r="E13135" s="3">
        <v>12</v>
      </c>
      <c r="F13135" s="4" t="str">
        <f>HYPERLINK("http://141.218.60.56/~jnz1568/getInfo.php?workbook=10_05.xlsx&amp;sheet=U0&amp;row=13135&amp;col=6&amp;number=4.1&amp;sourceID=14","4.1")</f>
        <v>4.1</v>
      </c>
      <c r="G13135" s="4" t="str">
        <f>HYPERLINK("http://141.218.60.56/~jnz1568/getInfo.php?workbook=10_05.xlsx&amp;sheet=U0&amp;row=13135&amp;col=7&amp;number=0.00214&amp;sourceID=14","0.00214")</f>
        <v>0.00214</v>
      </c>
    </row>
    <row r="13136" spans="1:7">
      <c r="A13136" s="3"/>
      <c r="B13136" s="3"/>
      <c r="C13136" s="3"/>
      <c r="D13136" s="3"/>
      <c r="E13136" s="3">
        <v>13</v>
      </c>
      <c r="F13136" s="4" t="str">
        <f>HYPERLINK("http://141.218.60.56/~jnz1568/getInfo.php?workbook=10_05.xlsx&amp;sheet=U0&amp;row=13136&amp;col=6&amp;number=4.2&amp;sourceID=14","4.2")</f>
        <v>4.2</v>
      </c>
      <c r="G13136" s="4" t="str">
        <f>HYPERLINK("http://141.218.60.56/~jnz1568/getInfo.php?workbook=10_05.xlsx&amp;sheet=U0&amp;row=13136&amp;col=7&amp;number=0.00202&amp;sourceID=14","0.00202")</f>
        <v>0.00202</v>
      </c>
    </row>
    <row r="13137" spans="1:7">
      <c r="A13137" s="3"/>
      <c r="B13137" s="3"/>
      <c r="C13137" s="3"/>
      <c r="D13137" s="3"/>
      <c r="E13137" s="3">
        <v>14</v>
      </c>
      <c r="F13137" s="4" t="str">
        <f>HYPERLINK("http://141.218.60.56/~jnz1568/getInfo.php?workbook=10_05.xlsx&amp;sheet=U0&amp;row=13137&amp;col=6&amp;number=4.3&amp;sourceID=14","4.3")</f>
        <v>4.3</v>
      </c>
      <c r="G13137" s="4" t="str">
        <f>HYPERLINK("http://141.218.60.56/~jnz1568/getInfo.php?workbook=10_05.xlsx&amp;sheet=U0&amp;row=13137&amp;col=7&amp;number=0.0019&amp;sourceID=14","0.0019")</f>
        <v>0.0019</v>
      </c>
    </row>
    <row r="13138" spans="1:7">
      <c r="A13138" s="3"/>
      <c r="B13138" s="3"/>
      <c r="C13138" s="3"/>
      <c r="D13138" s="3"/>
      <c r="E13138" s="3">
        <v>15</v>
      </c>
      <c r="F13138" s="4" t="str">
        <f>HYPERLINK("http://141.218.60.56/~jnz1568/getInfo.php?workbook=10_05.xlsx&amp;sheet=U0&amp;row=13138&amp;col=6&amp;number=4.4&amp;sourceID=14","4.4")</f>
        <v>4.4</v>
      </c>
      <c r="G13138" s="4" t="str">
        <f>HYPERLINK("http://141.218.60.56/~jnz1568/getInfo.php?workbook=10_05.xlsx&amp;sheet=U0&amp;row=13138&amp;col=7&amp;number=0.0018&amp;sourceID=14","0.0018")</f>
        <v>0.0018</v>
      </c>
    </row>
    <row r="13139" spans="1:7">
      <c r="A13139" s="3"/>
      <c r="B13139" s="3"/>
      <c r="C13139" s="3"/>
      <c r="D13139" s="3"/>
      <c r="E13139" s="3">
        <v>16</v>
      </c>
      <c r="F13139" s="4" t="str">
        <f>HYPERLINK("http://141.218.60.56/~jnz1568/getInfo.php?workbook=10_05.xlsx&amp;sheet=U0&amp;row=13139&amp;col=6&amp;number=4.5&amp;sourceID=14","4.5")</f>
        <v>4.5</v>
      </c>
      <c r="G13139" s="4" t="str">
        <f>HYPERLINK("http://141.218.60.56/~jnz1568/getInfo.php?workbook=10_05.xlsx&amp;sheet=U0&amp;row=13139&amp;col=7&amp;number=0.00171&amp;sourceID=14","0.00171")</f>
        <v>0.00171</v>
      </c>
    </row>
    <row r="13140" spans="1:7">
      <c r="A13140" s="3"/>
      <c r="B13140" s="3"/>
      <c r="C13140" s="3"/>
      <c r="D13140" s="3"/>
      <c r="E13140" s="3">
        <v>17</v>
      </c>
      <c r="F13140" s="4" t="str">
        <f>HYPERLINK("http://141.218.60.56/~jnz1568/getInfo.php?workbook=10_05.xlsx&amp;sheet=U0&amp;row=13140&amp;col=6&amp;number=4.6&amp;sourceID=14","4.6")</f>
        <v>4.6</v>
      </c>
      <c r="G13140" s="4" t="str">
        <f>HYPERLINK("http://141.218.60.56/~jnz1568/getInfo.php?workbook=10_05.xlsx&amp;sheet=U0&amp;row=13140&amp;col=7&amp;number=0.00164&amp;sourceID=14","0.00164")</f>
        <v>0.00164</v>
      </c>
    </row>
    <row r="13141" spans="1:7">
      <c r="A13141" s="3"/>
      <c r="B13141" s="3"/>
      <c r="C13141" s="3"/>
      <c r="D13141" s="3"/>
      <c r="E13141" s="3">
        <v>18</v>
      </c>
      <c r="F13141" s="4" t="str">
        <f>HYPERLINK("http://141.218.60.56/~jnz1568/getInfo.php?workbook=10_05.xlsx&amp;sheet=U0&amp;row=13141&amp;col=6&amp;number=4.7&amp;sourceID=14","4.7")</f>
        <v>4.7</v>
      </c>
      <c r="G13141" s="4" t="str">
        <f>HYPERLINK("http://141.218.60.56/~jnz1568/getInfo.php?workbook=10_05.xlsx&amp;sheet=U0&amp;row=13141&amp;col=7&amp;number=0.00155&amp;sourceID=14","0.00155")</f>
        <v>0.00155</v>
      </c>
    </row>
    <row r="13142" spans="1:7">
      <c r="A13142" s="3"/>
      <c r="B13142" s="3"/>
      <c r="C13142" s="3"/>
      <c r="D13142" s="3"/>
      <c r="E13142" s="3">
        <v>19</v>
      </c>
      <c r="F13142" s="4" t="str">
        <f>HYPERLINK("http://141.218.60.56/~jnz1568/getInfo.php?workbook=10_05.xlsx&amp;sheet=U0&amp;row=13142&amp;col=6&amp;number=4.8&amp;sourceID=14","4.8")</f>
        <v>4.8</v>
      </c>
      <c r="G13142" s="4" t="str">
        <f>HYPERLINK("http://141.218.60.56/~jnz1568/getInfo.php?workbook=10_05.xlsx&amp;sheet=U0&amp;row=13142&amp;col=7&amp;number=0.00146&amp;sourceID=14","0.00146")</f>
        <v>0.00146</v>
      </c>
    </row>
    <row r="13143" spans="1:7">
      <c r="A13143" s="3"/>
      <c r="B13143" s="3"/>
      <c r="C13143" s="3"/>
      <c r="D13143" s="3"/>
      <c r="E13143" s="3">
        <v>20</v>
      </c>
      <c r="F13143" s="4" t="str">
        <f>HYPERLINK("http://141.218.60.56/~jnz1568/getInfo.php?workbook=10_05.xlsx&amp;sheet=U0&amp;row=13143&amp;col=6&amp;number=4.9&amp;sourceID=14","4.9")</f>
        <v>4.9</v>
      </c>
      <c r="G13143" s="4" t="str">
        <f>HYPERLINK("http://141.218.60.56/~jnz1568/getInfo.php?workbook=10_05.xlsx&amp;sheet=U0&amp;row=13143&amp;col=7&amp;number=0.00137&amp;sourceID=14","0.00137")</f>
        <v>0.00137</v>
      </c>
    </row>
    <row r="13144" spans="1:7">
      <c r="A13144" s="3">
        <v>10</v>
      </c>
      <c r="B13144" s="3">
        <v>5</v>
      </c>
      <c r="C13144" s="3">
        <v>4</v>
      </c>
      <c r="D13144" s="3">
        <v>128</v>
      </c>
      <c r="E13144" s="3">
        <v>1</v>
      </c>
      <c r="F13144" s="4" t="str">
        <f>HYPERLINK("http://141.218.60.56/~jnz1568/getInfo.php?workbook=10_05.xlsx&amp;sheet=U0&amp;row=13144&amp;col=6&amp;number=3&amp;sourceID=14","3")</f>
        <v>3</v>
      </c>
      <c r="G13144" s="4" t="str">
        <f>HYPERLINK("http://141.218.60.56/~jnz1568/getInfo.php?workbook=10_05.xlsx&amp;sheet=U0&amp;row=13144&amp;col=7&amp;number=0.00498&amp;sourceID=14","0.00498")</f>
        <v>0.00498</v>
      </c>
    </row>
    <row r="13145" spans="1:7">
      <c r="A13145" s="3"/>
      <c r="B13145" s="3"/>
      <c r="C13145" s="3"/>
      <c r="D13145" s="3"/>
      <c r="E13145" s="3">
        <v>2</v>
      </c>
      <c r="F13145" s="4" t="str">
        <f>HYPERLINK("http://141.218.60.56/~jnz1568/getInfo.php?workbook=10_05.xlsx&amp;sheet=U0&amp;row=13145&amp;col=6&amp;number=3.1&amp;sourceID=14","3.1")</f>
        <v>3.1</v>
      </c>
      <c r="G13145" s="4" t="str">
        <f>HYPERLINK("http://141.218.60.56/~jnz1568/getInfo.php?workbook=10_05.xlsx&amp;sheet=U0&amp;row=13145&amp;col=7&amp;number=0.00495&amp;sourceID=14","0.00495")</f>
        <v>0.00495</v>
      </c>
    </row>
    <row r="13146" spans="1:7">
      <c r="A13146" s="3"/>
      <c r="B13146" s="3"/>
      <c r="C13146" s="3"/>
      <c r="D13146" s="3"/>
      <c r="E13146" s="3">
        <v>3</v>
      </c>
      <c r="F13146" s="4" t="str">
        <f>HYPERLINK("http://141.218.60.56/~jnz1568/getInfo.php?workbook=10_05.xlsx&amp;sheet=U0&amp;row=13146&amp;col=6&amp;number=3.2&amp;sourceID=14","3.2")</f>
        <v>3.2</v>
      </c>
      <c r="G13146" s="4" t="str">
        <f>HYPERLINK("http://141.218.60.56/~jnz1568/getInfo.php?workbook=10_05.xlsx&amp;sheet=U0&amp;row=13146&amp;col=7&amp;number=0.00491&amp;sourceID=14","0.00491")</f>
        <v>0.00491</v>
      </c>
    </row>
    <row r="13147" spans="1:7">
      <c r="A13147" s="3"/>
      <c r="B13147" s="3"/>
      <c r="C13147" s="3"/>
      <c r="D13147" s="3"/>
      <c r="E13147" s="3">
        <v>4</v>
      </c>
      <c r="F13147" s="4" t="str">
        <f>HYPERLINK("http://141.218.60.56/~jnz1568/getInfo.php?workbook=10_05.xlsx&amp;sheet=U0&amp;row=13147&amp;col=6&amp;number=3.3&amp;sourceID=14","3.3")</f>
        <v>3.3</v>
      </c>
      <c r="G13147" s="4" t="str">
        <f>HYPERLINK("http://141.218.60.56/~jnz1568/getInfo.php?workbook=10_05.xlsx&amp;sheet=U0&amp;row=13147&amp;col=7&amp;number=0.00485&amp;sourceID=14","0.00485")</f>
        <v>0.00485</v>
      </c>
    </row>
    <row r="13148" spans="1:7">
      <c r="A13148" s="3"/>
      <c r="B13148" s="3"/>
      <c r="C13148" s="3"/>
      <c r="D13148" s="3"/>
      <c r="E13148" s="3">
        <v>5</v>
      </c>
      <c r="F13148" s="4" t="str">
        <f>HYPERLINK("http://141.218.60.56/~jnz1568/getInfo.php?workbook=10_05.xlsx&amp;sheet=U0&amp;row=13148&amp;col=6&amp;number=3.4&amp;sourceID=14","3.4")</f>
        <v>3.4</v>
      </c>
      <c r="G13148" s="4" t="str">
        <f>HYPERLINK("http://141.218.60.56/~jnz1568/getInfo.php?workbook=10_05.xlsx&amp;sheet=U0&amp;row=13148&amp;col=7&amp;number=0.00479&amp;sourceID=14","0.00479")</f>
        <v>0.00479</v>
      </c>
    </row>
    <row r="13149" spans="1:7">
      <c r="A13149" s="3"/>
      <c r="B13149" s="3"/>
      <c r="C13149" s="3"/>
      <c r="D13149" s="3"/>
      <c r="E13149" s="3">
        <v>6</v>
      </c>
      <c r="F13149" s="4" t="str">
        <f>HYPERLINK("http://141.218.60.56/~jnz1568/getInfo.php?workbook=10_05.xlsx&amp;sheet=U0&amp;row=13149&amp;col=6&amp;number=3.5&amp;sourceID=14","3.5")</f>
        <v>3.5</v>
      </c>
      <c r="G13149" s="4" t="str">
        <f>HYPERLINK("http://141.218.60.56/~jnz1568/getInfo.php?workbook=10_05.xlsx&amp;sheet=U0&amp;row=13149&amp;col=7&amp;number=0.00471&amp;sourceID=14","0.00471")</f>
        <v>0.00471</v>
      </c>
    </row>
    <row r="13150" spans="1:7">
      <c r="A13150" s="3"/>
      <c r="B13150" s="3"/>
      <c r="C13150" s="3"/>
      <c r="D13150" s="3"/>
      <c r="E13150" s="3">
        <v>7</v>
      </c>
      <c r="F13150" s="4" t="str">
        <f>HYPERLINK("http://141.218.60.56/~jnz1568/getInfo.php?workbook=10_05.xlsx&amp;sheet=U0&amp;row=13150&amp;col=6&amp;number=3.6&amp;sourceID=14","3.6")</f>
        <v>3.6</v>
      </c>
      <c r="G13150" s="4" t="str">
        <f>HYPERLINK("http://141.218.60.56/~jnz1568/getInfo.php?workbook=10_05.xlsx&amp;sheet=U0&amp;row=13150&amp;col=7&amp;number=0.00461&amp;sourceID=14","0.00461")</f>
        <v>0.00461</v>
      </c>
    </row>
    <row r="13151" spans="1:7">
      <c r="A13151" s="3"/>
      <c r="B13151" s="3"/>
      <c r="C13151" s="3"/>
      <c r="D13151" s="3"/>
      <c r="E13151" s="3">
        <v>8</v>
      </c>
      <c r="F13151" s="4" t="str">
        <f>HYPERLINK("http://141.218.60.56/~jnz1568/getInfo.php?workbook=10_05.xlsx&amp;sheet=U0&amp;row=13151&amp;col=6&amp;number=3.7&amp;sourceID=14","3.7")</f>
        <v>3.7</v>
      </c>
      <c r="G13151" s="4" t="str">
        <f>HYPERLINK("http://141.218.60.56/~jnz1568/getInfo.php?workbook=10_05.xlsx&amp;sheet=U0&amp;row=13151&amp;col=7&amp;number=0.00448&amp;sourceID=14","0.00448")</f>
        <v>0.00448</v>
      </c>
    </row>
    <row r="13152" spans="1:7">
      <c r="A13152" s="3"/>
      <c r="B13152" s="3"/>
      <c r="C13152" s="3"/>
      <c r="D13152" s="3"/>
      <c r="E13152" s="3">
        <v>9</v>
      </c>
      <c r="F13152" s="4" t="str">
        <f>HYPERLINK("http://141.218.60.56/~jnz1568/getInfo.php?workbook=10_05.xlsx&amp;sheet=U0&amp;row=13152&amp;col=6&amp;number=3.8&amp;sourceID=14","3.8")</f>
        <v>3.8</v>
      </c>
      <c r="G13152" s="4" t="str">
        <f>HYPERLINK("http://141.218.60.56/~jnz1568/getInfo.php?workbook=10_05.xlsx&amp;sheet=U0&amp;row=13152&amp;col=7&amp;number=0.00434&amp;sourceID=14","0.00434")</f>
        <v>0.00434</v>
      </c>
    </row>
    <row r="13153" spans="1:7">
      <c r="A13153" s="3"/>
      <c r="B13153" s="3"/>
      <c r="C13153" s="3"/>
      <c r="D13153" s="3"/>
      <c r="E13153" s="3">
        <v>10</v>
      </c>
      <c r="F13153" s="4" t="str">
        <f>HYPERLINK("http://141.218.60.56/~jnz1568/getInfo.php?workbook=10_05.xlsx&amp;sheet=U0&amp;row=13153&amp;col=6&amp;number=3.9&amp;sourceID=14","3.9")</f>
        <v>3.9</v>
      </c>
      <c r="G13153" s="4" t="str">
        <f>HYPERLINK("http://141.218.60.56/~jnz1568/getInfo.php?workbook=10_05.xlsx&amp;sheet=U0&amp;row=13153&amp;col=7&amp;number=0.00416&amp;sourceID=14","0.00416")</f>
        <v>0.00416</v>
      </c>
    </row>
    <row r="13154" spans="1:7">
      <c r="A13154" s="3"/>
      <c r="B13154" s="3"/>
      <c r="C13154" s="3"/>
      <c r="D13154" s="3"/>
      <c r="E13154" s="3">
        <v>11</v>
      </c>
      <c r="F13154" s="4" t="str">
        <f>HYPERLINK("http://141.218.60.56/~jnz1568/getInfo.php?workbook=10_05.xlsx&amp;sheet=U0&amp;row=13154&amp;col=6&amp;number=4&amp;sourceID=14","4")</f>
        <v>4</v>
      </c>
      <c r="G13154" s="4" t="str">
        <f>HYPERLINK("http://141.218.60.56/~jnz1568/getInfo.php?workbook=10_05.xlsx&amp;sheet=U0&amp;row=13154&amp;col=7&amp;number=0.00395&amp;sourceID=14","0.00395")</f>
        <v>0.00395</v>
      </c>
    </row>
    <row r="13155" spans="1:7">
      <c r="A13155" s="3"/>
      <c r="B13155" s="3"/>
      <c r="C13155" s="3"/>
      <c r="D13155" s="3"/>
      <c r="E13155" s="3">
        <v>12</v>
      </c>
      <c r="F13155" s="4" t="str">
        <f>HYPERLINK("http://141.218.60.56/~jnz1568/getInfo.php?workbook=10_05.xlsx&amp;sheet=U0&amp;row=13155&amp;col=6&amp;number=4.1&amp;sourceID=14","4.1")</f>
        <v>4.1</v>
      </c>
      <c r="G13155" s="4" t="str">
        <f>HYPERLINK("http://141.218.60.56/~jnz1568/getInfo.php?workbook=10_05.xlsx&amp;sheet=U0&amp;row=13155&amp;col=7&amp;number=0.00371&amp;sourceID=14","0.00371")</f>
        <v>0.00371</v>
      </c>
    </row>
    <row r="13156" spans="1:7">
      <c r="A13156" s="3"/>
      <c r="B13156" s="3"/>
      <c r="C13156" s="3"/>
      <c r="D13156" s="3"/>
      <c r="E13156" s="3">
        <v>13</v>
      </c>
      <c r="F13156" s="4" t="str">
        <f>HYPERLINK("http://141.218.60.56/~jnz1568/getInfo.php?workbook=10_05.xlsx&amp;sheet=U0&amp;row=13156&amp;col=6&amp;number=4.2&amp;sourceID=14","4.2")</f>
        <v>4.2</v>
      </c>
      <c r="G13156" s="4" t="str">
        <f>HYPERLINK("http://141.218.60.56/~jnz1568/getInfo.php?workbook=10_05.xlsx&amp;sheet=U0&amp;row=13156&amp;col=7&amp;number=0.00346&amp;sourceID=14","0.00346")</f>
        <v>0.00346</v>
      </c>
    </row>
    <row r="13157" spans="1:7">
      <c r="A13157" s="3"/>
      <c r="B13157" s="3"/>
      <c r="C13157" s="3"/>
      <c r="D13157" s="3"/>
      <c r="E13157" s="3">
        <v>14</v>
      </c>
      <c r="F13157" s="4" t="str">
        <f>HYPERLINK("http://141.218.60.56/~jnz1568/getInfo.php?workbook=10_05.xlsx&amp;sheet=U0&amp;row=13157&amp;col=6&amp;number=4.3&amp;sourceID=14","4.3")</f>
        <v>4.3</v>
      </c>
      <c r="G13157" s="4" t="str">
        <f>HYPERLINK("http://141.218.60.56/~jnz1568/getInfo.php?workbook=10_05.xlsx&amp;sheet=U0&amp;row=13157&amp;col=7&amp;number=0.00321&amp;sourceID=14","0.00321")</f>
        <v>0.00321</v>
      </c>
    </row>
    <row r="13158" spans="1:7">
      <c r="A13158" s="3"/>
      <c r="B13158" s="3"/>
      <c r="C13158" s="3"/>
      <c r="D13158" s="3"/>
      <c r="E13158" s="3">
        <v>15</v>
      </c>
      <c r="F13158" s="4" t="str">
        <f>HYPERLINK("http://141.218.60.56/~jnz1568/getInfo.php?workbook=10_05.xlsx&amp;sheet=U0&amp;row=13158&amp;col=6&amp;number=4.4&amp;sourceID=14","4.4")</f>
        <v>4.4</v>
      </c>
      <c r="G13158" s="4" t="str">
        <f>HYPERLINK("http://141.218.60.56/~jnz1568/getInfo.php?workbook=10_05.xlsx&amp;sheet=U0&amp;row=13158&amp;col=7&amp;number=0.00298&amp;sourceID=14","0.00298")</f>
        <v>0.00298</v>
      </c>
    </row>
    <row r="13159" spans="1:7">
      <c r="A13159" s="3"/>
      <c r="B13159" s="3"/>
      <c r="C13159" s="3"/>
      <c r="D13159" s="3"/>
      <c r="E13159" s="3">
        <v>16</v>
      </c>
      <c r="F13159" s="4" t="str">
        <f>HYPERLINK("http://141.218.60.56/~jnz1568/getInfo.php?workbook=10_05.xlsx&amp;sheet=U0&amp;row=13159&amp;col=6&amp;number=4.5&amp;sourceID=14","4.5")</f>
        <v>4.5</v>
      </c>
      <c r="G13159" s="4" t="str">
        <f>HYPERLINK("http://141.218.60.56/~jnz1568/getInfo.php?workbook=10_05.xlsx&amp;sheet=U0&amp;row=13159&amp;col=7&amp;number=0.00278&amp;sourceID=14","0.00278")</f>
        <v>0.00278</v>
      </c>
    </row>
    <row r="13160" spans="1:7">
      <c r="A13160" s="3"/>
      <c r="B13160" s="3"/>
      <c r="C13160" s="3"/>
      <c r="D13160" s="3"/>
      <c r="E13160" s="3">
        <v>17</v>
      </c>
      <c r="F13160" s="4" t="str">
        <f>HYPERLINK("http://141.218.60.56/~jnz1568/getInfo.php?workbook=10_05.xlsx&amp;sheet=U0&amp;row=13160&amp;col=6&amp;number=4.6&amp;sourceID=14","4.6")</f>
        <v>4.6</v>
      </c>
      <c r="G13160" s="4" t="str">
        <f>HYPERLINK("http://141.218.60.56/~jnz1568/getInfo.php?workbook=10_05.xlsx&amp;sheet=U0&amp;row=13160&amp;col=7&amp;number=0.00261&amp;sourceID=14","0.00261")</f>
        <v>0.00261</v>
      </c>
    </row>
    <row r="13161" spans="1:7">
      <c r="A13161" s="3"/>
      <c r="B13161" s="3"/>
      <c r="C13161" s="3"/>
      <c r="D13161" s="3"/>
      <c r="E13161" s="3">
        <v>18</v>
      </c>
      <c r="F13161" s="4" t="str">
        <f>HYPERLINK("http://141.218.60.56/~jnz1568/getInfo.php?workbook=10_05.xlsx&amp;sheet=U0&amp;row=13161&amp;col=6&amp;number=4.7&amp;sourceID=14","4.7")</f>
        <v>4.7</v>
      </c>
      <c r="G13161" s="4" t="str">
        <f>HYPERLINK("http://141.218.60.56/~jnz1568/getInfo.php?workbook=10_05.xlsx&amp;sheet=U0&amp;row=13161&amp;col=7&amp;number=0.00243&amp;sourceID=14","0.00243")</f>
        <v>0.00243</v>
      </c>
    </row>
    <row r="13162" spans="1:7">
      <c r="A13162" s="3"/>
      <c r="B13162" s="3"/>
      <c r="C13162" s="3"/>
      <c r="D13162" s="3"/>
      <c r="E13162" s="3">
        <v>19</v>
      </c>
      <c r="F13162" s="4" t="str">
        <f>HYPERLINK("http://141.218.60.56/~jnz1568/getInfo.php?workbook=10_05.xlsx&amp;sheet=U0&amp;row=13162&amp;col=6&amp;number=4.8&amp;sourceID=14","4.8")</f>
        <v>4.8</v>
      </c>
      <c r="G13162" s="4" t="str">
        <f>HYPERLINK("http://141.218.60.56/~jnz1568/getInfo.php?workbook=10_05.xlsx&amp;sheet=U0&amp;row=13162&amp;col=7&amp;number=0.00226&amp;sourceID=14","0.00226")</f>
        <v>0.00226</v>
      </c>
    </row>
    <row r="13163" spans="1:7">
      <c r="A13163" s="3"/>
      <c r="B13163" s="3"/>
      <c r="C13163" s="3"/>
      <c r="D13163" s="3"/>
      <c r="E13163" s="3">
        <v>20</v>
      </c>
      <c r="F13163" s="4" t="str">
        <f>HYPERLINK("http://141.218.60.56/~jnz1568/getInfo.php?workbook=10_05.xlsx&amp;sheet=U0&amp;row=13163&amp;col=6&amp;number=4.9&amp;sourceID=14","4.9")</f>
        <v>4.9</v>
      </c>
      <c r="G13163" s="4" t="str">
        <f>HYPERLINK("http://141.218.60.56/~jnz1568/getInfo.php?workbook=10_05.xlsx&amp;sheet=U0&amp;row=13163&amp;col=7&amp;number=0.00211&amp;sourceID=14","0.00211")</f>
        <v>0.00211</v>
      </c>
    </row>
    <row r="13164" spans="1:7">
      <c r="A13164" s="3">
        <v>10</v>
      </c>
      <c r="B13164" s="3">
        <v>5</v>
      </c>
      <c r="C13164" s="3">
        <v>4</v>
      </c>
      <c r="D13164" s="3">
        <v>129</v>
      </c>
      <c r="E13164" s="3">
        <v>1</v>
      </c>
      <c r="F13164" s="4" t="str">
        <f>HYPERLINK("http://141.218.60.56/~jnz1568/getInfo.php?workbook=10_05.xlsx&amp;sheet=U0&amp;row=13164&amp;col=6&amp;number=3&amp;sourceID=14","3")</f>
        <v>3</v>
      </c>
      <c r="G13164" s="4" t="str">
        <f>HYPERLINK("http://141.218.60.56/~jnz1568/getInfo.php?workbook=10_05.xlsx&amp;sheet=U0&amp;row=13164&amp;col=7&amp;number=0.0306&amp;sourceID=14","0.0306")</f>
        <v>0.0306</v>
      </c>
    </row>
    <row r="13165" spans="1:7">
      <c r="A13165" s="3"/>
      <c r="B13165" s="3"/>
      <c r="C13165" s="3"/>
      <c r="D13165" s="3"/>
      <c r="E13165" s="3">
        <v>2</v>
      </c>
      <c r="F13165" s="4" t="str">
        <f>HYPERLINK("http://141.218.60.56/~jnz1568/getInfo.php?workbook=10_05.xlsx&amp;sheet=U0&amp;row=13165&amp;col=6&amp;number=3.1&amp;sourceID=14","3.1")</f>
        <v>3.1</v>
      </c>
      <c r="G13165" s="4" t="str">
        <f>HYPERLINK("http://141.218.60.56/~jnz1568/getInfo.php?workbook=10_05.xlsx&amp;sheet=U0&amp;row=13165&amp;col=7&amp;number=0.0304&amp;sourceID=14","0.0304")</f>
        <v>0.0304</v>
      </c>
    </row>
    <row r="13166" spans="1:7">
      <c r="A13166" s="3"/>
      <c r="B13166" s="3"/>
      <c r="C13166" s="3"/>
      <c r="D13166" s="3"/>
      <c r="E13166" s="3">
        <v>3</v>
      </c>
      <c r="F13166" s="4" t="str">
        <f>HYPERLINK("http://141.218.60.56/~jnz1568/getInfo.php?workbook=10_05.xlsx&amp;sheet=U0&amp;row=13166&amp;col=6&amp;number=3.2&amp;sourceID=14","3.2")</f>
        <v>3.2</v>
      </c>
      <c r="G13166" s="4" t="str">
        <f>HYPERLINK("http://141.218.60.56/~jnz1568/getInfo.php?workbook=10_05.xlsx&amp;sheet=U0&amp;row=13166&amp;col=7&amp;number=0.0302&amp;sourceID=14","0.0302")</f>
        <v>0.0302</v>
      </c>
    </row>
    <row r="13167" spans="1:7">
      <c r="A13167" s="3"/>
      <c r="B13167" s="3"/>
      <c r="C13167" s="3"/>
      <c r="D13167" s="3"/>
      <c r="E13167" s="3">
        <v>4</v>
      </c>
      <c r="F13167" s="4" t="str">
        <f>HYPERLINK("http://141.218.60.56/~jnz1568/getInfo.php?workbook=10_05.xlsx&amp;sheet=U0&amp;row=13167&amp;col=6&amp;number=3.3&amp;sourceID=14","3.3")</f>
        <v>3.3</v>
      </c>
      <c r="G13167" s="4" t="str">
        <f>HYPERLINK("http://141.218.60.56/~jnz1568/getInfo.php?workbook=10_05.xlsx&amp;sheet=U0&amp;row=13167&amp;col=7&amp;number=0.0298&amp;sourceID=14","0.0298")</f>
        <v>0.0298</v>
      </c>
    </row>
    <row r="13168" spans="1:7">
      <c r="A13168" s="3"/>
      <c r="B13168" s="3"/>
      <c r="C13168" s="3"/>
      <c r="D13168" s="3"/>
      <c r="E13168" s="3">
        <v>5</v>
      </c>
      <c r="F13168" s="4" t="str">
        <f>HYPERLINK("http://141.218.60.56/~jnz1568/getInfo.php?workbook=10_05.xlsx&amp;sheet=U0&amp;row=13168&amp;col=6&amp;number=3.4&amp;sourceID=14","3.4")</f>
        <v>3.4</v>
      </c>
      <c r="G13168" s="4" t="str">
        <f>HYPERLINK("http://141.218.60.56/~jnz1568/getInfo.php?workbook=10_05.xlsx&amp;sheet=U0&amp;row=13168&amp;col=7&amp;number=0.0295&amp;sourceID=14","0.0295")</f>
        <v>0.0295</v>
      </c>
    </row>
    <row r="13169" spans="1:7">
      <c r="A13169" s="3"/>
      <c r="B13169" s="3"/>
      <c r="C13169" s="3"/>
      <c r="D13169" s="3"/>
      <c r="E13169" s="3">
        <v>6</v>
      </c>
      <c r="F13169" s="4" t="str">
        <f>HYPERLINK("http://141.218.60.56/~jnz1568/getInfo.php?workbook=10_05.xlsx&amp;sheet=U0&amp;row=13169&amp;col=6&amp;number=3.5&amp;sourceID=14","3.5")</f>
        <v>3.5</v>
      </c>
      <c r="G13169" s="4" t="str">
        <f>HYPERLINK("http://141.218.60.56/~jnz1568/getInfo.php?workbook=10_05.xlsx&amp;sheet=U0&amp;row=13169&amp;col=7&amp;number=0.029&amp;sourceID=14","0.029")</f>
        <v>0.029</v>
      </c>
    </row>
    <row r="13170" spans="1:7">
      <c r="A13170" s="3"/>
      <c r="B13170" s="3"/>
      <c r="C13170" s="3"/>
      <c r="D13170" s="3"/>
      <c r="E13170" s="3">
        <v>7</v>
      </c>
      <c r="F13170" s="4" t="str">
        <f>HYPERLINK("http://141.218.60.56/~jnz1568/getInfo.php?workbook=10_05.xlsx&amp;sheet=U0&amp;row=13170&amp;col=6&amp;number=3.6&amp;sourceID=14","3.6")</f>
        <v>3.6</v>
      </c>
      <c r="G13170" s="4" t="str">
        <f>HYPERLINK("http://141.218.60.56/~jnz1568/getInfo.php?workbook=10_05.xlsx&amp;sheet=U0&amp;row=13170&amp;col=7&amp;number=0.0284&amp;sourceID=14","0.0284")</f>
        <v>0.0284</v>
      </c>
    </row>
    <row r="13171" spans="1:7">
      <c r="A13171" s="3"/>
      <c r="B13171" s="3"/>
      <c r="C13171" s="3"/>
      <c r="D13171" s="3"/>
      <c r="E13171" s="3">
        <v>8</v>
      </c>
      <c r="F13171" s="4" t="str">
        <f>HYPERLINK("http://141.218.60.56/~jnz1568/getInfo.php?workbook=10_05.xlsx&amp;sheet=U0&amp;row=13171&amp;col=6&amp;number=3.7&amp;sourceID=14","3.7")</f>
        <v>3.7</v>
      </c>
      <c r="G13171" s="4" t="str">
        <f>HYPERLINK("http://141.218.60.56/~jnz1568/getInfo.php?workbook=10_05.xlsx&amp;sheet=U0&amp;row=13171&amp;col=7&amp;number=0.0277&amp;sourceID=14","0.0277")</f>
        <v>0.0277</v>
      </c>
    </row>
    <row r="13172" spans="1:7">
      <c r="A13172" s="3"/>
      <c r="B13172" s="3"/>
      <c r="C13172" s="3"/>
      <c r="D13172" s="3"/>
      <c r="E13172" s="3">
        <v>9</v>
      </c>
      <c r="F13172" s="4" t="str">
        <f>HYPERLINK("http://141.218.60.56/~jnz1568/getInfo.php?workbook=10_05.xlsx&amp;sheet=U0&amp;row=13172&amp;col=6&amp;number=3.8&amp;sourceID=14","3.8")</f>
        <v>3.8</v>
      </c>
      <c r="G13172" s="4" t="str">
        <f>HYPERLINK("http://141.218.60.56/~jnz1568/getInfo.php?workbook=10_05.xlsx&amp;sheet=U0&amp;row=13172&amp;col=7&amp;number=0.0268&amp;sourceID=14","0.0268")</f>
        <v>0.0268</v>
      </c>
    </row>
    <row r="13173" spans="1:7">
      <c r="A13173" s="3"/>
      <c r="B13173" s="3"/>
      <c r="C13173" s="3"/>
      <c r="D13173" s="3"/>
      <c r="E13173" s="3">
        <v>10</v>
      </c>
      <c r="F13173" s="4" t="str">
        <f>HYPERLINK("http://141.218.60.56/~jnz1568/getInfo.php?workbook=10_05.xlsx&amp;sheet=U0&amp;row=13173&amp;col=6&amp;number=3.9&amp;sourceID=14","3.9")</f>
        <v>3.9</v>
      </c>
      <c r="G13173" s="4" t="str">
        <f>HYPERLINK("http://141.218.60.56/~jnz1568/getInfo.php?workbook=10_05.xlsx&amp;sheet=U0&amp;row=13173&amp;col=7&amp;number=0.0257&amp;sourceID=14","0.0257")</f>
        <v>0.0257</v>
      </c>
    </row>
    <row r="13174" spans="1:7">
      <c r="A13174" s="3"/>
      <c r="B13174" s="3"/>
      <c r="C13174" s="3"/>
      <c r="D13174" s="3"/>
      <c r="E13174" s="3">
        <v>11</v>
      </c>
      <c r="F13174" s="4" t="str">
        <f>HYPERLINK("http://141.218.60.56/~jnz1568/getInfo.php?workbook=10_05.xlsx&amp;sheet=U0&amp;row=13174&amp;col=6&amp;number=4&amp;sourceID=14","4")</f>
        <v>4</v>
      </c>
      <c r="G13174" s="4" t="str">
        <f>HYPERLINK("http://141.218.60.56/~jnz1568/getInfo.php?workbook=10_05.xlsx&amp;sheet=U0&amp;row=13174&amp;col=7&amp;number=0.0245&amp;sourceID=14","0.0245")</f>
        <v>0.0245</v>
      </c>
    </row>
    <row r="13175" spans="1:7">
      <c r="A13175" s="3"/>
      <c r="B13175" s="3"/>
      <c r="C13175" s="3"/>
      <c r="D13175" s="3"/>
      <c r="E13175" s="3">
        <v>12</v>
      </c>
      <c r="F13175" s="4" t="str">
        <f>HYPERLINK("http://141.218.60.56/~jnz1568/getInfo.php?workbook=10_05.xlsx&amp;sheet=U0&amp;row=13175&amp;col=6&amp;number=4.1&amp;sourceID=14","4.1")</f>
        <v>4.1</v>
      </c>
      <c r="G13175" s="4" t="str">
        <f>HYPERLINK("http://141.218.60.56/~jnz1568/getInfo.php?workbook=10_05.xlsx&amp;sheet=U0&amp;row=13175&amp;col=7&amp;number=0.0231&amp;sourceID=14","0.0231")</f>
        <v>0.0231</v>
      </c>
    </row>
    <row r="13176" spans="1:7">
      <c r="A13176" s="3"/>
      <c r="B13176" s="3"/>
      <c r="C13176" s="3"/>
      <c r="D13176" s="3"/>
      <c r="E13176" s="3">
        <v>13</v>
      </c>
      <c r="F13176" s="4" t="str">
        <f>HYPERLINK("http://141.218.60.56/~jnz1568/getInfo.php?workbook=10_05.xlsx&amp;sheet=U0&amp;row=13176&amp;col=6&amp;number=4.2&amp;sourceID=14","4.2")</f>
        <v>4.2</v>
      </c>
      <c r="G13176" s="4" t="str">
        <f>HYPERLINK("http://141.218.60.56/~jnz1568/getInfo.php?workbook=10_05.xlsx&amp;sheet=U0&amp;row=13176&amp;col=7&amp;number=0.0216&amp;sourceID=14","0.0216")</f>
        <v>0.0216</v>
      </c>
    </row>
    <row r="13177" spans="1:7">
      <c r="A13177" s="3"/>
      <c r="B13177" s="3"/>
      <c r="C13177" s="3"/>
      <c r="D13177" s="3"/>
      <c r="E13177" s="3">
        <v>14</v>
      </c>
      <c r="F13177" s="4" t="str">
        <f>HYPERLINK("http://141.218.60.56/~jnz1568/getInfo.php?workbook=10_05.xlsx&amp;sheet=U0&amp;row=13177&amp;col=6&amp;number=4.3&amp;sourceID=14","4.3")</f>
        <v>4.3</v>
      </c>
      <c r="G13177" s="4" t="str">
        <f>HYPERLINK("http://141.218.60.56/~jnz1568/getInfo.php?workbook=10_05.xlsx&amp;sheet=U0&amp;row=13177&amp;col=7&amp;number=0.0202&amp;sourceID=14","0.0202")</f>
        <v>0.0202</v>
      </c>
    </row>
    <row r="13178" spans="1:7">
      <c r="A13178" s="3"/>
      <c r="B13178" s="3"/>
      <c r="C13178" s="3"/>
      <c r="D13178" s="3"/>
      <c r="E13178" s="3">
        <v>15</v>
      </c>
      <c r="F13178" s="4" t="str">
        <f>HYPERLINK("http://141.218.60.56/~jnz1568/getInfo.php?workbook=10_05.xlsx&amp;sheet=U0&amp;row=13178&amp;col=6&amp;number=4.4&amp;sourceID=14","4.4")</f>
        <v>4.4</v>
      </c>
      <c r="G13178" s="4" t="str">
        <f>HYPERLINK("http://141.218.60.56/~jnz1568/getInfo.php?workbook=10_05.xlsx&amp;sheet=U0&amp;row=13178&amp;col=7&amp;number=0.0189&amp;sourceID=14","0.0189")</f>
        <v>0.0189</v>
      </c>
    </row>
    <row r="13179" spans="1:7">
      <c r="A13179" s="3"/>
      <c r="B13179" s="3"/>
      <c r="C13179" s="3"/>
      <c r="D13179" s="3"/>
      <c r="E13179" s="3">
        <v>16</v>
      </c>
      <c r="F13179" s="4" t="str">
        <f>HYPERLINK("http://141.218.60.56/~jnz1568/getInfo.php?workbook=10_05.xlsx&amp;sheet=U0&amp;row=13179&amp;col=6&amp;number=4.5&amp;sourceID=14","4.5")</f>
        <v>4.5</v>
      </c>
      <c r="G13179" s="4" t="str">
        <f>HYPERLINK("http://141.218.60.56/~jnz1568/getInfo.php?workbook=10_05.xlsx&amp;sheet=U0&amp;row=13179&amp;col=7&amp;number=0.0179&amp;sourceID=14","0.0179")</f>
        <v>0.0179</v>
      </c>
    </row>
    <row r="13180" spans="1:7">
      <c r="A13180" s="3"/>
      <c r="B13180" s="3"/>
      <c r="C13180" s="3"/>
      <c r="D13180" s="3"/>
      <c r="E13180" s="3">
        <v>17</v>
      </c>
      <c r="F13180" s="4" t="str">
        <f>HYPERLINK("http://141.218.60.56/~jnz1568/getInfo.php?workbook=10_05.xlsx&amp;sheet=U0&amp;row=13180&amp;col=6&amp;number=4.6&amp;sourceID=14","4.6")</f>
        <v>4.6</v>
      </c>
      <c r="G13180" s="4" t="str">
        <f>HYPERLINK("http://141.218.60.56/~jnz1568/getInfo.php?workbook=10_05.xlsx&amp;sheet=U0&amp;row=13180&amp;col=7&amp;number=0.0169&amp;sourceID=14","0.0169")</f>
        <v>0.0169</v>
      </c>
    </row>
    <row r="13181" spans="1:7">
      <c r="A13181" s="3"/>
      <c r="B13181" s="3"/>
      <c r="C13181" s="3"/>
      <c r="D13181" s="3"/>
      <c r="E13181" s="3">
        <v>18</v>
      </c>
      <c r="F13181" s="4" t="str">
        <f>HYPERLINK("http://141.218.60.56/~jnz1568/getInfo.php?workbook=10_05.xlsx&amp;sheet=U0&amp;row=13181&amp;col=6&amp;number=4.7&amp;sourceID=14","4.7")</f>
        <v>4.7</v>
      </c>
      <c r="G13181" s="4" t="str">
        <f>HYPERLINK("http://141.218.60.56/~jnz1568/getInfo.php?workbook=10_05.xlsx&amp;sheet=U0&amp;row=13181&amp;col=7&amp;number=0.016&amp;sourceID=14","0.016")</f>
        <v>0.016</v>
      </c>
    </row>
    <row r="13182" spans="1:7">
      <c r="A13182" s="3"/>
      <c r="B13182" s="3"/>
      <c r="C13182" s="3"/>
      <c r="D13182" s="3"/>
      <c r="E13182" s="3">
        <v>19</v>
      </c>
      <c r="F13182" s="4" t="str">
        <f>HYPERLINK("http://141.218.60.56/~jnz1568/getInfo.php?workbook=10_05.xlsx&amp;sheet=U0&amp;row=13182&amp;col=6&amp;number=4.8&amp;sourceID=14","4.8")</f>
        <v>4.8</v>
      </c>
      <c r="G13182" s="4" t="str">
        <f>HYPERLINK("http://141.218.60.56/~jnz1568/getInfo.php?workbook=10_05.xlsx&amp;sheet=U0&amp;row=13182&amp;col=7&amp;number=0.015&amp;sourceID=14","0.015")</f>
        <v>0.015</v>
      </c>
    </row>
    <row r="13183" spans="1:7">
      <c r="A13183" s="3"/>
      <c r="B13183" s="3"/>
      <c r="C13183" s="3"/>
      <c r="D13183" s="3"/>
      <c r="E13183" s="3">
        <v>20</v>
      </c>
      <c r="F13183" s="4" t="str">
        <f>HYPERLINK("http://141.218.60.56/~jnz1568/getInfo.php?workbook=10_05.xlsx&amp;sheet=U0&amp;row=13183&amp;col=6&amp;number=4.9&amp;sourceID=14","4.9")</f>
        <v>4.9</v>
      </c>
      <c r="G13183" s="4" t="str">
        <f>HYPERLINK("http://141.218.60.56/~jnz1568/getInfo.php?workbook=10_05.xlsx&amp;sheet=U0&amp;row=13183&amp;col=7&amp;number=0.0141&amp;sourceID=14","0.0141")</f>
        <v>0.0141</v>
      </c>
    </row>
    <row r="13184" spans="1:7">
      <c r="A13184" s="3">
        <v>10</v>
      </c>
      <c r="B13184" s="3">
        <v>5</v>
      </c>
      <c r="C13184" s="3">
        <v>4</v>
      </c>
      <c r="D13184" s="3">
        <v>130</v>
      </c>
      <c r="E13184" s="3">
        <v>1</v>
      </c>
      <c r="F13184" s="4" t="str">
        <f>HYPERLINK("http://141.218.60.56/~jnz1568/getInfo.php?workbook=10_05.xlsx&amp;sheet=U0&amp;row=13184&amp;col=6&amp;number=3&amp;sourceID=14","3")</f>
        <v>3</v>
      </c>
      <c r="G13184" s="4" t="str">
        <f>HYPERLINK("http://141.218.60.56/~jnz1568/getInfo.php?workbook=10_05.xlsx&amp;sheet=U0&amp;row=13184&amp;col=7&amp;number=0.0337&amp;sourceID=14","0.0337")</f>
        <v>0.0337</v>
      </c>
    </row>
    <row r="13185" spans="1:7">
      <c r="A13185" s="3"/>
      <c r="B13185" s="3"/>
      <c r="C13185" s="3"/>
      <c r="D13185" s="3"/>
      <c r="E13185" s="3">
        <v>2</v>
      </c>
      <c r="F13185" s="4" t="str">
        <f>HYPERLINK("http://141.218.60.56/~jnz1568/getInfo.php?workbook=10_05.xlsx&amp;sheet=U0&amp;row=13185&amp;col=6&amp;number=3.1&amp;sourceID=14","3.1")</f>
        <v>3.1</v>
      </c>
      <c r="G13185" s="4" t="str">
        <f>HYPERLINK("http://141.218.60.56/~jnz1568/getInfo.php?workbook=10_05.xlsx&amp;sheet=U0&amp;row=13185&amp;col=7&amp;number=0.0336&amp;sourceID=14","0.0336")</f>
        <v>0.0336</v>
      </c>
    </row>
    <row r="13186" spans="1:7">
      <c r="A13186" s="3"/>
      <c r="B13186" s="3"/>
      <c r="C13186" s="3"/>
      <c r="D13186" s="3"/>
      <c r="E13186" s="3">
        <v>3</v>
      </c>
      <c r="F13186" s="4" t="str">
        <f>HYPERLINK("http://141.218.60.56/~jnz1568/getInfo.php?workbook=10_05.xlsx&amp;sheet=U0&amp;row=13186&amp;col=6&amp;number=3.2&amp;sourceID=14","3.2")</f>
        <v>3.2</v>
      </c>
      <c r="G13186" s="4" t="str">
        <f>HYPERLINK("http://141.218.60.56/~jnz1568/getInfo.php?workbook=10_05.xlsx&amp;sheet=U0&amp;row=13186&amp;col=7&amp;number=0.0333&amp;sourceID=14","0.0333")</f>
        <v>0.0333</v>
      </c>
    </row>
    <row r="13187" spans="1:7">
      <c r="A13187" s="3"/>
      <c r="B13187" s="3"/>
      <c r="C13187" s="3"/>
      <c r="D13187" s="3"/>
      <c r="E13187" s="3">
        <v>4</v>
      </c>
      <c r="F13187" s="4" t="str">
        <f>HYPERLINK("http://141.218.60.56/~jnz1568/getInfo.php?workbook=10_05.xlsx&amp;sheet=U0&amp;row=13187&amp;col=6&amp;number=3.3&amp;sourceID=14","3.3")</f>
        <v>3.3</v>
      </c>
      <c r="G13187" s="4" t="str">
        <f>HYPERLINK("http://141.218.60.56/~jnz1568/getInfo.php?workbook=10_05.xlsx&amp;sheet=U0&amp;row=13187&amp;col=7&amp;number=0.033&amp;sourceID=14","0.033")</f>
        <v>0.033</v>
      </c>
    </row>
    <row r="13188" spans="1:7">
      <c r="A13188" s="3"/>
      <c r="B13188" s="3"/>
      <c r="C13188" s="3"/>
      <c r="D13188" s="3"/>
      <c r="E13188" s="3">
        <v>5</v>
      </c>
      <c r="F13188" s="4" t="str">
        <f>HYPERLINK("http://141.218.60.56/~jnz1568/getInfo.php?workbook=10_05.xlsx&amp;sheet=U0&amp;row=13188&amp;col=6&amp;number=3.4&amp;sourceID=14","3.4")</f>
        <v>3.4</v>
      </c>
      <c r="G13188" s="4" t="str">
        <f>HYPERLINK("http://141.218.60.56/~jnz1568/getInfo.php?workbook=10_05.xlsx&amp;sheet=U0&amp;row=13188&amp;col=7&amp;number=0.0327&amp;sourceID=14","0.0327")</f>
        <v>0.0327</v>
      </c>
    </row>
    <row r="13189" spans="1:7">
      <c r="A13189" s="3"/>
      <c r="B13189" s="3"/>
      <c r="C13189" s="3"/>
      <c r="D13189" s="3"/>
      <c r="E13189" s="3">
        <v>6</v>
      </c>
      <c r="F13189" s="4" t="str">
        <f>HYPERLINK("http://141.218.60.56/~jnz1568/getInfo.php?workbook=10_05.xlsx&amp;sheet=U0&amp;row=13189&amp;col=6&amp;number=3.5&amp;sourceID=14","3.5")</f>
        <v>3.5</v>
      </c>
      <c r="G13189" s="4" t="str">
        <f>HYPERLINK("http://141.218.60.56/~jnz1568/getInfo.php?workbook=10_05.xlsx&amp;sheet=U0&amp;row=13189&amp;col=7&amp;number=0.0322&amp;sourceID=14","0.0322")</f>
        <v>0.0322</v>
      </c>
    </row>
    <row r="13190" spans="1:7">
      <c r="A13190" s="3"/>
      <c r="B13190" s="3"/>
      <c r="C13190" s="3"/>
      <c r="D13190" s="3"/>
      <c r="E13190" s="3">
        <v>7</v>
      </c>
      <c r="F13190" s="4" t="str">
        <f>HYPERLINK("http://141.218.60.56/~jnz1568/getInfo.php?workbook=10_05.xlsx&amp;sheet=U0&amp;row=13190&amp;col=6&amp;number=3.6&amp;sourceID=14","3.6")</f>
        <v>3.6</v>
      </c>
      <c r="G13190" s="4" t="str">
        <f>HYPERLINK("http://141.218.60.56/~jnz1568/getInfo.php?workbook=10_05.xlsx&amp;sheet=U0&amp;row=13190&amp;col=7&amp;number=0.0316&amp;sourceID=14","0.0316")</f>
        <v>0.0316</v>
      </c>
    </row>
    <row r="13191" spans="1:7">
      <c r="A13191" s="3"/>
      <c r="B13191" s="3"/>
      <c r="C13191" s="3"/>
      <c r="D13191" s="3"/>
      <c r="E13191" s="3">
        <v>8</v>
      </c>
      <c r="F13191" s="4" t="str">
        <f>HYPERLINK("http://141.218.60.56/~jnz1568/getInfo.php?workbook=10_05.xlsx&amp;sheet=U0&amp;row=13191&amp;col=6&amp;number=3.7&amp;sourceID=14","3.7")</f>
        <v>3.7</v>
      </c>
      <c r="G13191" s="4" t="str">
        <f>HYPERLINK("http://141.218.60.56/~jnz1568/getInfo.php?workbook=10_05.xlsx&amp;sheet=U0&amp;row=13191&amp;col=7&amp;number=0.0309&amp;sourceID=14","0.0309")</f>
        <v>0.0309</v>
      </c>
    </row>
    <row r="13192" spans="1:7">
      <c r="A13192" s="3"/>
      <c r="B13192" s="3"/>
      <c r="C13192" s="3"/>
      <c r="D13192" s="3"/>
      <c r="E13192" s="3">
        <v>9</v>
      </c>
      <c r="F13192" s="4" t="str">
        <f>HYPERLINK("http://141.218.60.56/~jnz1568/getInfo.php?workbook=10_05.xlsx&amp;sheet=U0&amp;row=13192&amp;col=6&amp;number=3.8&amp;sourceID=14","3.8")</f>
        <v>3.8</v>
      </c>
      <c r="G13192" s="4" t="str">
        <f>HYPERLINK("http://141.218.60.56/~jnz1568/getInfo.php?workbook=10_05.xlsx&amp;sheet=U0&amp;row=13192&amp;col=7&amp;number=0.0301&amp;sourceID=14","0.0301")</f>
        <v>0.0301</v>
      </c>
    </row>
    <row r="13193" spans="1:7">
      <c r="A13193" s="3"/>
      <c r="B13193" s="3"/>
      <c r="C13193" s="3"/>
      <c r="D13193" s="3"/>
      <c r="E13193" s="3">
        <v>10</v>
      </c>
      <c r="F13193" s="4" t="str">
        <f>HYPERLINK("http://141.218.60.56/~jnz1568/getInfo.php?workbook=10_05.xlsx&amp;sheet=U0&amp;row=13193&amp;col=6&amp;number=3.9&amp;sourceID=14","3.9")</f>
        <v>3.9</v>
      </c>
      <c r="G13193" s="4" t="str">
        <f>HYPERLINK("http://141.218.60.56/~jnz1568/getInfo.php?workbook=10_05.xlsx&amp;sheet=U0&amp;row=13193&amp;col=7&amp;number=0.0291&amp;sourceID=14","0.0291")</f>
        <v>0.0291</v>
      </c>
    </row>
    <row r="13194" spans="1:7">
      <c r="A13194" s="3"/>
      <c r="B13194" s="3"/>
      <c r="C13194" s="3"/>
      <c r="D13194" s="3"/>
      <c r="E13194" s="3">
        <v>11</v>
      </c>
      <c r="F13194" s="4" t="str">
        <f>HYPERLINK("http://141.218.60.56/~jnz1568/getInfo.php?workbook=10_05.xlsx&amp;sheet=U0&amp;row=13194&amp;col=6&amp;number=4&amp;sourceID=14","4")</f>
        <v>4</v>
      </c>
      <c r="G13194" s="4" t="str">
        <f>HYPERLINK("http://141.218.60.56/~jnz1568/getInfo.php?workbook=10_05.xlsx&amp;sheet=U0&amp;row=13194&amp;col=7&amp;number=0.0278&amp;sourceID=14","0.0278")</f>
        <v>0.0278</v>
      </c>
    </row>
    <row r="13195" spans="1:7">
      <c r="A13195" s="3"/>
      <c r="B13195" s="3"/>
      <c r="C13195" s="3"/>
      <c r="D13195" s="3"/>
      <c r="E13195" s="3">
        <v>12</v>
      </c>
      <c r="F13195" s="4" t="str">
        <f>HYPERLINK("http://141.218.60.56/~jnz1568/getInfo.php?workbook=10_05.xlsx&amp;sheet=U0&amp;row=13195&amp;col=6&amp;number=4.1&amp;sourceID=14","4.1")</f>
        <v>4.1</v>
      </c>
      <c r="G13195" s="4" t="str">
        <f>HYPERLINK("http://141.218.60.56/~jnz1568/getInfo.php?workbook=10_05.xlsx&amp;sheet=U0&amp;row=13195&amp;col=7&amp;number=0.0264&amp;sourceID=14","0.0264")</f>
        <v>0.0264</v>
      </c>
    </row>
    <row r="13196" spans="1:7">
      <c r="A13196" s="3"/>
      <c r="B13196" s="3"/>
      <c r="C13196" s="3"/>
      <c r="D13196" s="3"/>
      <c r="E13196" s="3">
        <v>13</v>
      </c>
      <c r="F13196" s="4" t="str">
        <f>HYPERLINK("http://141.218.60.56/~jnz1568/getInfo.php?workbook=10_05.xlsx&amp;sheet=U0&amp;row=13196&amp;col=6&amp;number=4.2&amp;sourceID=14","4.2")</f>
        <v>4.2</v>
      </c>
      <c r="G13196" s="4" t="str">
        <f>HYPERLINK("http://141.218.60.56/~jnz1568/getInfo.php?workbook=10_05.xlsx&amp;sheet=U0&amp;row=13196&amp;col=7&amp;number=0.0248&amp;sourceID=14","0.0248")</f>
        <v>0.0248</v>
      </c>
    </row>
    <row r="13197" spans="1:7">
      <c r="A13197" s="3"/>
      <c r="B13197" s="3"/>
      <c r="C13197" s="3"/>
      <c r="D13197" s="3"/>
      <c r="E13197" s="3">
        <v>14</v>
      </c>
      <c r="F13197" s="4" t="str">
        <f>HYPERLINK("http://141.218.60.56/~jnz1568/getInfo.php?workbook=10_05.xlsx&amp;sheet=U0&amp;row=13197&amp;col=6&amp;number=4.3&amp;sourceID=14","4.3")</f>
        <v>4.3</v>
      </c>
      <c r="G13197" s="4" t="str">
        <f>HYPERLINK("http://141.218.60.56/~jnz1568/getInfo.php?workbook=10_05.xlsx&amp;sheet=U0&amp;row=13197&amp;col=7&amp;number=0.0231&amp;sourceID=14","0.0231")</f>
        <v>0.0231</v>
      </c>
    </row>
    <row r="13198" spans="1:7">
      <c r="A13198" s="3"/>
      <c r="B13198" s="3"/>
      <c r="C13198" s="3"/>
      <c r="D13198" s="3"/>
      <c r="E13198" s="3">
        <v>15</v>
      </c>
      <c r="F13198" s="4" t="str">
        <f>HYPERLINK("http://141.218.60.56/~jnz1568/getInfo.php?workbook=10_05.xlsx&amp;sheet=U0&amp;row=13198&amp;col=6&amp;number=4.4&amp;sourceID=14","4.4")</f>
        <v>4.4</v>
      </c>
      <c r="G13198" s="4" t="str">
        <f>HYPERLINK("http://141.218.60.56/~jnz1568/getInfo.php?workbook=10_05.xlsx&amp;sheet=U0&amp;row=13198&amp;col=7&amp;number=0.0216&amp;sourceID=14","0.0216")</f>
        <v>0.0216</v>
      </c>
    </row>
    <row r="13199" spans="1:7">
      <c r="A13199" s="3"/>
      <c r="B13199" s="3"/>
      <c r="C13199" s="3"/>
      <c r="D13199" s="3"/>
      <c r="E13199" s="3">
        <v>16</v>
      </c>
      <c r="F13199" s="4" t="str">
        <f>HYPERLINK("http://141.218.60.56/~jnz1568/getInfo.php?workbook=10_05.xlsx&amp;sheet=U0&amp;row=13199&amp;col=6&amp;number=4.5&amp;sourceID=14","4.5")</f>
        <v>4.5</v>
      </c>
      <c r="G13199" s="4" t="str">
        <f>HYPERLINK("http://141.218.60.56/~jnz1568/getInfo.php?workbook=10_05.xlsx&amp;sheet=U0&amp;row=13199&amp;col=7&amp;number=0.0202&amp;sourceID=14","0.0202")</f>
        <v>0.0202</v>
      </c>
    </row>
    <row r="13200" spans="1:7">
      <c r="A13200" s="3"/>
      <c r="B13200" s="3"/>
      <c r="C13200" s="3"/>
      <c r="D13200" s="3"/>
      <c r="E13200" s="3">
        <v>17</v>
      </c>
      <c r="F13200" s="4" t="str">
        <f>HYPERLINK("http://141.218.60.56/~jnz1568/getInfo.php?workbook=10_05.xlsx&amp;sheet=U0&amp;row=13200&amp;col=6&amp;number=4.6&amp;sourceID=14","4.6")</f>
        <v>4.6</v>
      </c>
      <c r="G13200" s="4" t="str">
        <f>HYPERLINK("http://141.218.60.56/~jnz1568/getInfo.php?workbook=10_05.xlsx&amp;sheet=U0&amp;row=13200&amp;col=7&amp;number=0.0191&amp;sourceID=14","0.0191")</f>
        <v>0.0191</v>
      </c>
    </row>
    <row r="13201" spans="1:7">
      <c r="A13201" s="3"/>
      <c r="B13201" s="3"/>
      <c r="C13201" s="3"/>
      <c r="D13201" s="3"/>
      <c r="E13201" s="3">
        <v>18</v>
      </c>
      <c r="F13201" s="4" t="str">
        <f>HYPERLINK("http://141.218.60.56/~jnz1568/getInfo.php?workbook=10_05.xlsx&amp;sheet=U0&amp;row=13201&amp;col=6&amp;number=4.7&amp;sourceID=14","4.7")</f>
        <v>4.7</v>
      </c>
      <c r="G13201" s="4" t="str">
        <f>HYPERLINK("http://141.218.60.56/~jnz1568/getInfo.php?workbook=10_05.xlsx&amp;sheet=U0&amp;row=13201&amp;col=7&amp;number=0.0182&amp;sourceID=14","0.0182")</f>
        <v>0.0182</v>
      </c>
    </row>
    <row r="13202" spans="1:7">
      <c r="A13202" s="3"/>
      <c r="B13202" s="3"/>
      <c r="C13202" s="3"/>
      <c r="D13202" s="3"/>
      <c r="E13202" s="3">
        <v>19</v>
      </c>
      <c r="F13202" s="4" t="str">
        <f>HYPERLINK("http://141.218.60.56/~jnz1568/getInfo.php?workbook=10_05.xlsx&amp;sheet=U0&amp;row=13202&amp;col=6&amp;number=4.8&amp;sourceID=14","4.8")</f>
        <v>4.8</v>
      </c>
      <c r="G13202" s="4" t="str">
        <f>HYPERLINK("http://141.218.60.56/~jnz1568/getInfo.php?workbook=10_05.xlsx&amp;sheet=U0&amp;row=13202&amp;col=7&amp;number=0.0172&amp;sourceID=14","0.0172")</f>
        <v>0.0172</v>
      </c>
    </row>
    <row r="13203" spans="1:7">
      <c r="A13203" s="3"/>
      <c r="B13203" s="3"/>
      <c r="C13203" s="3"/>
      <c r="D13203" s="3"/>
      <c r="E13203" s="3">
        <v>20</v>
      </c>
      <c r="F13203" s="4" t="str">
        <f>HYPERLINK("http://141.218.60.56/~jnz1568/getInfo.php?workbook=10_05.xlsx&amp;sheet=U0&amp;row=13203&amp;col=6&amp;number=4.9&amp;sourceID=14","4.9")</f>
        <v>4.9</v>
      </c>
      <c r="G13203" s="4" t="str">
        <f>HYPERLINK("http://141.218.60.56/~jnz1568/getInfo.php?workbook=10_05.xlsx&amp;sheet=U0&amp;row=13203&amp;col=7&amp;number=0.0162&amp;sourceID=14","0.0162")</f>
        <v>0.0162</v>
      </c>
    </row>
    <row r="13204" spans="1:7">
      <c r="A13204" s="3">
        <v>10</v>
      </c>
      <c r="B13204" s="3">
        <v>5</v>
      </c>
      <c r="C13204" s="3">
        <v>4</v>
      </c>
      <c r="D13204" s="3">
        <v>131</v>
      </c>
      <c r="E13204" s="3">
        <v>1</v>
      </c>
      <c r="F13204" s="4" t="str">
        <f>HYPERLINK("http://141.218.60.56/~jnz1568/getInfo.php?workbook=10_05.xlsx&amp;sheet=U0&amp;row=13204&amp;col=6&amp;number=3&amp;sourceID=14","3")</f>
        <v>3</v>
      </c>
      <c r="G13204" s="4" t="str">
        <f>HYPERLINK("http://141.218.60.56/~jnz1568/getInfo.php?workbook=10_05.xlsx&amp;sheet=U0&amp;row=13204&amp;col=7&amp;number=0.0166&amp;sourceID=14","0.0166")</f>
        <v>0.0166</v>
      </c>
    </row>
    <row r="13205" spans="1:7">
      <c r="A13205" s="3"/>
      <c r="B13205" s="3"/>
      <c r="C13205" s="3"/>
      <c r="D13205" s="3"/>
      <c r="E13205" s="3">
        <v>2</v>
      </c>
      <c r="F13205" s="4" t="str">
        <f>HYPERLINK("http://141.218.60.56/~jnz1568/getInfo.php?workbook=10_05.xlsx&amp;sheet=U0&amp;row=13205&amp;col=6&amp;number=3.1&amp;sourceID=14","3.1")</f>
        <v>3.1</v>
      </c>
      <c r="G13205" s="4" t="str">
        <f>HYPERLINK("http://141.218.60.56/~jnz1568/getInfo.php?workbook=10_05.xlsx&amp;sheet=U0&amp;row=13205&amp;col=7&amp;number=0.0164&amp;sourceID=14","0.0164")</f>
        <v>0.0164</v>
      </c>
    </row>
    <row r="13206" spans="1:7">
      <c r="A13206" s="3"/>
      <c r="B13206" s="3"/>
      <c r="C13206" s="3"/>
      <c r="D13206" s="3"/>
      <c r="E13206" s="3">
        <v>3</v>
      </c>
      <c r="F13206" s="4" t="str">
        <f>HYPERLINK("http://141.218.60.56/~jnz1568/getInfo.php?workbook=10_05.xlsx&amp;sheet=U0&amp;row=13206&amp;col=6&amp;number=3.2&amp;sourceID=14","3.2")</f>
        <v>3.2</v>
      </c>
      <c r="G13206" s="4" t="str">
        <f>HYPERLINK("http://141.218.60.56/~jnz1568/getInfo.php?workbook=10_05.xlsx&amp;sheet=U0&amp;row=13206&amp;col=7&amp;number=0.0162&amp;sourceID=14","0.0162")</f>
        <v>0.0162</v>
      </c>
    </row>
    <row r="13207" spans="1:7">
      <c r="A13207" s="3"/>
      <c r="B13207" s="3"/>
      <c r="C13207" s="3"/>
      <c r="D13207" s="3"/>
      <c r="E13207" s="3">
        <v>4</v>
      </c>
      <c r="F13207" s="4" t="str">
        <f>HYPERLINK("http://141.218.60.56/~jnz1568/getInfo.php?workbook=10_05.xlsx&amp;sheet=U0&amp;row=13207&amp;col=6&amp;number=3.3&amp;sourceID=14","3.3")</f>
        <v>3.3</v>
      </c>
      <c r="G13207" s="4" t="str">
        <f>HYPERLINK("http://141.218.60.56/~jnz1568/getInfo.php?workbook=10_05.xlsx&amp;sheet=U0&amp;row=13207&amp;col=7&amp;number=0.016&amp;sourceID=14","0.016")</f>
        <v>0.016</v>
      </c>
    </row>
    <row r="13208" spans="1:7">
      <c r="A13208" s="3"/>
      <c r="B13208" s="3"/>
      <c r="C13208" s="3"/>
      <c r="D13208" s="3"/>
      <c r="E13208" s="3">
        <v>5</v>
      </c>
      <c r="F13208" s="4" t="str">
        <f>HYPERLINK("http://141.218.60.56/~jnz1568/getInfo.php?workbook=10_05.xlsx&amp;sheet=U0&amp;row=13208&amp;col=6&amp;number=3.4&amp;sourceID=14","3.4")</f>
        <v>3.4</v>
      </c>
      <c r="G13208" s="4" t="str">
        <f>HYPERLINK("http://141.218.60.56/~jnz1568/getInfo.php?workbook=10_05.xlsx&amp;sheet=U0&amp;row=13208&amp;col=7&amp;number=0.0157&amp;sourceID=14","0.0157")</f>
        <v>0.0157</v>
      </c>
    </row>
    <row r="13209" spans="1:7">
      <c r="A13209" s="3"/>
      <c r="B13209" s="3"/>
      <c r="C13209" s="3"/>
      <c r="D13209" s="3"/>
      <c r="E13209" s="3">
        <v>6</v>
      </c>
      <c r="F13209" s="4" t="str">
        <f>HYPERLINK("http://141.218.60.56/~jnz1568/getInfo.php?workbook=10_05.xlsx&amp;sheet=U0&amp;row=13209&amp;col=6&amp;number=3.5&amp;sourceID=14","3.5")</f>
        <v>3.5</v>
      </c>
      <c r="G13209" s="4" t="str">
        <f>HYPERLINK("http://141.218.60.56/~jnz1568/getInfo.php?workbook=10_05.xlsx&amp;sheet=U0&amp;row=13209&amp;col=7&amp;number=0.0154&amp;sourceID=14","0.0154")</f>
        <v>0.0154</v>
      </c>
    </row>
    <row r="13210" spans="1:7">
      <c r="A13210" s="3"/>
      <c r="B13210" s="3"/>
      <c r="C13210" s="3"/>
      <c r="D13210" s="3"/>
      <c r="E13210" s="3">
        <v>7</v>
      </c>
      <c r="F13210" s="4" t="str">
        <f>HYPERLINK("http://141.218.60.56/~jnz1568/getInfo.php?workbook=10_05.xlsx&amp;sheet=U0&amp;row=13210&amp;col=6&amp;number=3.6&amp;sourceID=14","3.6")</f>
        <v>3.6</v>
      </c>
      <c r="G13210" s="4" t="str">
        <f>HYPERLINK("http://141.218.60.56/~jnz1568/getInfo.php?workbook=10_05.xlsx&amp;sheet=U0&amp;row=13210&amp;col=7&amp;number=0.0149&amp;sourceID=14","0.0149")</f>
        <v>0.0149</v>
      </c>
    </row>
    <row r="13211" spans="1:7">
      <c r="A13211" s="3"/>
      <c r="B13211" s="3"/>
      <c r="C13211" s="3"/>
      <c r="D13211" s="3"/>
      <c r="E13211" s="3">
        <v>8</v>
      </c>
      <c r="F13211" s="4" t="str">
        <f>HYPERLINK("http://141.218.60.56/~jnz1568/getInfo.php?workbook=10_05.xlsx&amp;sheet=U0&amp;row=13211&amp;col=6&amp;number=3.7&amp;sourceID=14","3.7")</f>
        <v>3.7</v>
      </c>
      <c r="G13211" s="4" t="str">
        <f>HYPERLINK("http://141.218.60.56/~jnz1568/getInfo.php?workbook=10_05.xlsx&amp;sheet=U0&amp;row=13211&amp;col=7&amp;number=0.0144&amp;sourceID=14","0.0144")</f>
        <v>0.0144</v>
      </c>
    </row>
    <row r="13212" spans="1:7">
      <c r="A13212" s="3"/>
      <c r="B13212" s="3"/>
      <c r="C13212" s="3"/>
      <c r="D13212" s="3"/>
      <c r="E13212" s="3">
        <v>9</v>
      </c>
      <c r="F13212" s="4" t="str">
        <f>HYPERLINK("http://141.218.60.56/~jnz1568/getInfo.php?workbook=10_05.xlsx&amp;sheet=U0&amp;row=13212&amp;col=6&amp;number=3.8&amp;sourceID=14","3.8")</f>
        <v>3.8</v>
      </c>
      <c r="G13212" s="4" t="str">
        <f>HYPERLINK("http://141.218.60.56/~jnz1568/getInfo.php?workbook=10_05.xlsx&amp;sheet=U0&amp;row=13212&amp;col=7&amp;number=0.0138&amp;sourceID=14","0.0138")</f>
        <v>0.0138</v>
      </c>
    </row>
    <row r="13213" spans="1:7">
      <c r="A13213" s="3"/>
      <c r="B13213" s="3"/>
      <c r="C13213" s="3"/>
      <c r="D13213" s="3"/>
      <c r="E13213" s="3">
        <v>10</v>
      </c>
      <c r="F13213" s="4" t="str">
        <f>HYPERLINK("http://141.218.60.56/~jnz1568/getInfo.php?workbook=10_05.xlsx&amp;sheet=U0&amp;row=13213&amp;col=6&amp;number=3.9&amp;sourceID=14","3.9")</f>
        <v>3.9</v>
      </c>
      <c r="G13213" s="4" t="str">
        <f>HYPERLINK("http://141.218.60.56/~jnz1568/getInfo.php?workbook=10_05.xlsx&amp;sheet=U0&amp;row=13213&amp;col=7&amp;number=0.013&amp;sourceID=14","0.013")</f>
        <v>0.013</v>
      </c>
    </row>
    <row r="13214" spans="1:7">
      <c r="A13214" s="3"/>
      <c r="B13214" s="3"/>
      <c r="C13214" s="3"/>
      <c r="D13214" s="3"/>
      <c r="E13214" s="3">
        <v>11</v>
      </c>
      <c r="F13214" s="4" t="str">
        <f>HYPERLINK("http://141.218.60.56/~jnz1568/getInfo.php?workbook=10_05.xlsx&amp;sheet=U0&amp;row=13214&amp;col=6&amp;number=4&amp;sourceID=14","4")</f>
        <v>4</v>
      </c>
      <c r="G13214" s="4" t="str">
        <f>HYPERLINK("http://141.218.60.56/~jnz1568/getInfo.php?workbook=10_05.xlsx&amp;sheet=U0&amp;row=13214&amp;col=7&amp;number=0.0122&amp;sourceID=14","0.0122")</f>
        <v>0.0122</v>
      </c>
    </row>
    <row r="13215" spans="1:7">
      <c r="A13215" s="3"/>
      <c r="B13215" s="3"/>
      <c r="C13215" s="3"/>
      <c r="D13215" s="3"/>
      <c r="E13215" s="3">
        <v>12</v>
      </c>
      <c r="F13215" s="4" t="str">
        <f>HYPERLINK("http://141.218.60.56/~jnz1568/getInfo.php?workbook=10_05.xlsx&amp;sheet=U0&amp;row=13215&amp;col=6&amp;number=4.1&amp;sourceID=14","4.1")</f>
        <v>4.1</v>
      </c>
      <c r="G13215" s="4" t="str">
        <f>HYPERLINK("http://141.218.60.56/~jnz1568/getInfo.php?workbook=10_05.xlsx&amp;sheet=U0&amp;row=13215&amp;col=7&amp;number=0.0112&amp;sourceID=14","0.0112")</f>
        <v>0.0112</v>
      </c>
    </row>
    <row r="13216" spans="1:7">
      <c r="A13216" s="3"/>
      <c r="B13216" s="3"/>
      <c r="C13216" s="3"/>
      <c r="D13216" s="3"/>
      <c r="E13216" s="3">
        <v>13</v>
      </c>
      <c r="F13216" s="4" t="str">
        <f>HYPERLINK("http://141.218.60.56/~jnz1568/getInfo.php?workbook=10_05.xlsx&amp;sheet=U0&amp;row=13216&amp;col=6&amp;number=4.2&amp;sourceID=14","4.2")</f>
        <v>4.2</v>
      </c>
      <c r="G13216" s="4" t="str">
        <f>HYPERLINK("http://141.218.60.56/~jnz1568/getInfo.php?workbook=10_05.xlsx&amp;sheet=U0&amp;row=13216&amp;col=7&amp;number=0.0103&amp;sourceID=14","0.0103")</f>
        <v>0.0103</v>
      </c>
    </row>
    <row r="13217" spans="1:7">
      <c r="A13217" s="3"/>
      <c r="B13217" s="3"/>
      <c r="C13217" s="3"/>
      <c r="D13217" s="3"/>
      <c r="E13217" s="3">
        <v>14</v>
      </c>
      <c r="F13217" s="4" t="str">
        <f>HYPERLINK("http://141.218.60.56/~jnz1568/getInfo.php?workbook=10_05.xlsx&amp;sheet=U0&amp;row=13217&amp;col=6&amp;number=4.3&amp;sourceID=14","4.3")</f>
        <v>4.3</v>
      </c>
      <c r="G13217" s="4" t="str">
        <f>HYPERLINK("http://141.218.60.56/~jnz1568/getInfo.php?workbook=10_05.xlsx&amp;sheet=U0&amp;row=13217&amp;col=7&amp;number=0.00956&amp;sourceID=14","0.00956")</f>
        <v>0.00956</v>
      </c>
    </row>
    <row r="13218" spans="1:7">
      <c r="A13218" s="3"/>
      <c r="B13218" s="3"/>
      <c r="C13218" s="3"/>
      <c r="D13218" s="3"/>
      <c r="E13218" s="3">
        <v>15</v>
      </c>
      <c r="F13218" s="4" t="str">
        <f>HYPERLINK("http://141.218.60.56/~jnz1568/getInfo.php?workbook=10_05.xlsx&amp;sheet=U0&amp;row=13218&amp;col=6&amp;number=4.4&amp;sourceID=14","4.4")</f>
        <v>4.4</v>
      </c>
      <c r="G13218" s="4" t="str">
        <f>HYPERLINK("http://141.218.60.56/~jnz1568/getInfo.php?workbook=10_05.xlsx&amp;sheet=U0&amp;row=13218&amp;col=7&amp;number=0.00894&amp;sourceID=14","0.00894")</f>
        <v>0.00894</v>
      </c>
    </row>
    <row r="13219" spans="1:7">
      <c r="A13219" s="3"/>
      <c r="B13219" s="3"/>
      <c r="C13219" s="3"/>
      <c r="D13219" s="3"/>
      <c r="E13219" s="3">
        <v>16</v>
      </c>
      <c r="F13219" s="4" t="str">
        <f>HYPERLINK("http://141.218.60.56/~jnz1568/getInfo.php?workbook=10_05.xlsx&amp;sheet=U0&amp;row=13219&amp;col=6&amp;number=4.5&amp;sourceID=14","4.5")</f>
        <v>4.5</v>
      </c>
      <c r="G13219" s="4" t="str">
        <f>HYPERLINK("http://141.218.60.56/~jnz1568/getInfo.php?workbook=10_05.xlsx&amp;sheet=U0&amp;row=13219&amp;col=7&amp;number=0.00846&amp;sourceID=14","0.00846")</f>
        <v>0.00846</v>
      </c>
    </row>
    <row r="13220" spans="1:7">
      <c r="A13220" s="3"/>
      <c r="B13220" s="3"/>
      <c r="C13220" s="3"/>
      <c r="D13220" s="3"/>
      <c r="E13220" s="3">
        <v>17</v>
      </c>
      <c r="F13220" s="4" t="str">
        <f>HYPERLINK("http://141.218.60.56/~jnz1568/getInfo.php?workbook=10_05.xlsx&amp;sheet=U0&amp;row=13220&amp;col=6&amp;number=4.6&amp;sourceID=14","4.6")</f>
        <v>4.6</v>
      </c>
      <c r="G13220" s="4" t="str">
        <f>HYPERLINK("http://141.218.60.56/~jnz1568/getInfo.php?workbook=10_05.xlsx&amp;sheet=U0&amp;row=13220&amp;col=7&amp;number=0.00801&amp;sourceID=14","0.00801")</f>
        <v>0.00801</v>
      </c>
    </row>
    <row r="13221" spans="1:7">
      <c r="A13221" s="3"/>
      <c r="B13221" s="3"/>
      <c r="C13221" s="3"/>
      <c r="D13221" s="3"/>
      <c r="E13221" s="3">
        <v>18</v>
      </c>
      <c r="F13221" s="4" t="str">
        <f>HYPERLINK("http://141.218.60.56/~jnz1568/getInfo.php?workbook=10_05.xlsx&amp;sheet=U0&amp;row=13221&amp;col=6&amp;number=4.7&amp;sourceID=14","4.7")</f>
        <v>4.7</v>
      </c>
      <c r="G13221" s="4" t="str">
        <f>HYPERLINK("http://141.218.60.56/~jnz1568/getInfo.php?workbook=10_05.xlsx&amp;sheet=U0&amp;row=13221&amp;col=7&amp;number=0.00752&amp;sourceID=14","0.00752")</f>
        <v>0.00752</v>
      </c>
    </row>
    <row r="13222" spans="1:7">
      <c r="A13222" s="3"/>
      <c r="B13222" s="3"/>
      <c r="C13222" s="3"/>
      <c r="D13222" s="3"/>
      <c r="E13222" s="3">
        <v>19</v>
      </c>
      <c r="F13222" s="4" t="str">
        <f>HYPERLINK("http://141.218.60.56/~jnz1568/getInfo.php?workbook=10_05.xlsx&amp;sheet=U0&amp;row=13222&amp;col=6&amp;number=4.8&amp;sourceID=14","4.8")</f>
        <v>4.8</v>
      </c>
      <c r="G13222" s="4" t="str">
        <f>HYPERLINK("http://141.218.60.56/~jnz1568/getInfo.php?workbook=10_05.xlsx&amp;sheet=U0&amp;row=13222&amp;col=7&amp;number=0.00706&amp;sourceID=14","0.00706")</f>
        <v>0.00706</v>
      </c>
    </row>
    <row r="13223" spans="1:7">
      <c r="A13223" s="3"/>
      <c r="B13223" s="3"/>
      <c r="C13223" s="3"/>
      <c r="D13223" s="3"/>
      <c r="E13223" s="3">
        <v>20</v>
      </c>
      <c r="F13223" s="4" t="str">
        <f>HYPERLINK("http://141.218.60.56/~jnz1568/getInfo.php?workbook=10_05.xlsx&amp;sheet=U0&amp;row=13223&amp;col=6&amp;number=4.9&amp;sourceID=14","4.9")</f>
        <v>4.9</v>
      </c>
      <c r="G13223" s="4" t="str">
        <f>HYPERLINK("http://141.218.60.56/~jnz1568/getInfo.php?workbook=10_05.xlsx&amp;sheet=U0&amp;row=13223&amp;col=7&amp;number=0.0067&amp;sourceID=14","0.0067")</f>
        <v>0.0067</v>
      </c>
    </row>
    <row r="13224" spans="1:7">
      <c r="A13224" s="3">
        <v>10</v>
      </c>
      <c r="B13224" s="3">
        <v>5</v>
      </c>
      <c r="C13224" s="3">
        <v>4</v>
      </c>
      <c r="D13224" s="3">
        <v>132</v>
      </c>
      <c r="E13224" s="3">
        <v>1</v>
      </c>
      <c r="F13224" s="4" t="str">
        <f>HYPERLINK("http://141.218.60.56/~jnz1568/getInfo.php?workbook=10_05.xlsx&amp;sheet=U0&amp;row=13224&amp;col=6&amp;number=3&amp;sourceID=14","3")</f>
        <v>3</v>
      </c>
      <c r="G13224" s="4" t="str">
        <f>HYPERLINK("http://141.218.60.56/~jnz1568/getInfo.php?workbook=10_05.xlsx&amp;sheet=U0&amp;row=13224&amp;col=7&amp;number=0.114&amp;sourceID=14","0.114")</f>
        <v>0.114</v>
      </c>
    </row>
    <row r="13225" spans="1:7">
      <c r="A13225" s="3"/>
      <c r="B13225" s="3"/>
      <c r="C13225" s="3"/>
      <c r="D13225" s="3"/>
      <c r="E13225" s="3">
        <v>2</v>
      </c>
      <c r="F13225" s="4" t="str">
        <f>HYPERLINK("http://141.218.60.56/~jnz1568/getInfo.php?workbook=10_05.xlsx&amp;sheet=U0&amp;row=13225&amp;col=6&amp;number=3.1&amp;sourceID=14","3.1")</f>
        <v>3.1</v>
      </c>
      <c r="G13225" s="4" t="str">
        <f>HYPERLINK("http://141.218.60.56/~jnz1568/getInfo.php?workbook=10_05.xlsx&amp;sheet=U0&amp;row=13225&amp;col=7&amp;number=0.114&amp;sourceID=14","0.114")</f>
        <v>0.114</v>
      </c>
    </row>
    <row r="13226" spans="1:7">
      <c r="A13226" s="3"/>
      <c r="B13226" s="3"/>
      <c r="C13226" s="3"/>
      <c r="D13226" s="3"/>
      <c r="E13226" s="3">
        <v>3</v>
      </c>
      <c r="F13226" s="4" t="str">
        <f>HYPERLINK("http://141.218.60.56/~jnz1568/getInfo.php?workbook=10_05.xlsx&amp;sheet=U0&amp;row=13226&amp;col=6&amp;number=3.2&amp;sourceID=14","3.2")</f>
        <v>3.2</v>
      </c>
      <c r="G13226" s="4" t="str">
        <f>HYPERLINK("http://141.218.60.56/~jnz1568/getInfo.php?workbook=10_05.xlsx&amp;sheet=U0&amp;row=13226&amp;col=7&amp;number=0.114&amp;sourceID=14","0.114")</f>
        <v>0.114</v>
      </c>
    </row>
    <row r="13227" spans="1:7">
      <c r="A13227" s="3"/>
      <c r="B13227" s="3"/>
      <c r="C13227" s="3"/>
      <c r="D13227" s="3"/>
      <c r="E13227" s="3">
        <v>4</v>
      </c>
      <c r="F13227" s="4" t="str">
        <f>HYPERLINK("http://141.218.60.56/~jnz1568/getInfo.php?workbook=10_05.xlsx&amp;sheet=U0&amp;row=13227&amp;col=6&amp;number=3.3&amp;sourceID=14","3.3")</f>
        <v>3.3</v>
      </c>
      <c r="G13227" s="4" t="str">
        <f>HYPERLINK("http://141.218.60.56/~jnz1568/getInfo.php?workbook=10_05.xlsx&amp;sheet=U0&amp;row=13227&amp;col=7&amp;number=0.113&amp;sourceID=14","0.113")</f>
        <v>0.113</v>
      </c>
    </row>
    <row r="13228" spans="1:7">
      <c r="A13228" s="3"/>
      <c r="B13228" s="3"/>
      <c r="C13228" s="3"/>
      <c r="D13228" s="3"/>
      <c r="E13228" s="3">
        <v>5</v>
      </c>
      <c r="F13228" s="4" t="str">
        <f>HYPERLINK("http://141.218.60.56/~jnz1568/getInfo.php?workbook=10_05.xlsx&amp;sheet=U0&amp;row=13228&amp;col=6&amp;number=3.4&amp;sourceID=14","3.4")</f>
        <v>3.4</v>
      </c>
      <c r="G13228" s="4" t="str">
        <f>HYPERLINK("http://141.218.60.56/~jnz1568/getInfo.php?workbook=10_05.xlsx&amp;sheet=U0&amp;row=13228&amp;col=7&amp;number=0.112&amp;sourceID=14","0.112")</f>
        <v>0.112</v>
      </c>
    </row>
    <row r="13229" spans="1:7">
      <c r="A13229" s="3"/>
      <c r="B13229" s="3"/>
      <c r="C13229" s="3"/>
      <c r="D13229" s="3"/>
      <c r="E13229" s="3">
        <v>6</v>
      </c>
      <c r="F13229" s="4" t="str">
        <f>HYPERLINK("http://141.218.60.56/~jnz1568/getInfo.php?workbook=10_05.xlsx&amp;sheet=U0&amp;row=13229&amp;col=6&amp;number=3.5&amp;sourceID=14","3.5")</f>
        <v>3.5</v>
      </c>
      <c r="G13229" s="4" t="str">
        <f>HYPERLINK("http://141.218.60.56/~jnz1568/getInfo.php?workbook=10_05.xlsx&amp;sheet=U0&amp;row=13229&amp;col=7&amp;number=0.111&amp;sourceID=14","0.111")</f>
        <v>0.111</v>
      </c>
    </row>
    <row r="13230" spans="1:7">
      <c r="A13230" s="3"/>
      <c r="B13230" s="3"/>
      <c r="C13230" s="3"/>
      <c r="D13230" s="3"/>
      <c r="E13230" s="3">
        <v>7</v>
      </c>
      <c r="F13230" s="4" t="str">
        <f>HYPERLINK("http://141.218.60.56/~jnz1568/getInfo.php?workbook=10_05.xlsx&amp;sheet=U0&amp;row=13230&amp;col=6&amp;number=3.6&amp;sourceID=14","3.6")</f>
        <v>3.6</v>
      </c>
      <c r="G13230" s="4" t="str">
        <f>HYPERLINK("http://141.218.60.56/~jnz1568/getInfo.php?workbook=10_05.xlsx&amp;sheet=U0&amp;row=13230&amp;col=7&amp;number=0.11&amp;sourceID=14","0.11")</f>
        <v>0.11</v>
      </c>
    </row>
    <row r="13231" spans="1:7">
      <c r="A13231" s="3"/>
      <c r="B13231" s="3"/>
      <c r="C13231" s="3"/>
      <c r="D13231" s="3"/>
      <c r="E13231" s="3">
        <v>8</v>
      </c>
      <c r="F13231" s="4" t="str">
        <f>HYPERLINK("http://141.218.60.56/~jnz1568/getInfo.php?workbook=10_05.xlsx&amp;sheet=U0&amp;row=13231&amp;col=6&amp;number=3.7&amp;sourceID=14","3.7")</f>
        <v>3.7</v>
      </c>
      <c r="G13231" s="4" t="str">
        <f>HYPERLINK("http://141.218.60.56/~jnz1568/getInfo.php?workbook=10_05.xlsx&amp;sheet=U0&amp;row=13231&amp;col=7&amp;number=0.109&amp;sourceID=14","0.109")</f>
        <v>0.109</v>
      </c>
    </row>
    <row r="13232" spans="1:7">
      <c r="A13232" s="3"/>
      <c r="B13232" s="3"/>
      <c r="C13232" s="3"/>
      <c r="D13232" s="3"/>
      <c r="E13232" s="3">
        <v>9</v>
      </c>
      <c r="F13232" s="4" t="str">
        <f>HYPERLINK("http://141.218.60.56/~jnz1568/getInfo.php?workbook=10_05.xlsx&amp;sheet=U0&amp;row=13232&amp;col=6&amp;number=3.8&amp;sourceID=14","3.8")</f>
        <v>3.8</v>
      </c>
      <c r="G13232" s="4" t="str">
        <f>HYPERLINK("http://141.218.60.56/~jnz1568/getInfo.php?workbook=10_05.xlsx&amp;sheet=U0&amp;row=13232&amp;col=7&amp;number=0.107&amp;sourceID=14","0.107")</f>
        <v>0.107</v>
      </c>
    </row>
    <row r="13233" spans="1:7">
      <c r="A13233" s="3"/>
      <c r="B13233" s="3"/>
      <c r="C13233" s="3"/>
      <c r="D13233" s="3"/>
      <c r="E13233" s="3">
        <v>10</v>
      </c>
      <c r="F13233" s="4" t="str">
        <f>HYPERLINK("http://141.218.60.56/~jnz1568/getInfo.php?workbook=10_05.xlsx&amp;sheet=U0&amp;row=13233&amp;col=6&amp;number=3.9&amp;sourceID=14","3.9")</f>
        <v>3.9</v>
      </c>
      <c r="G13233" s="4" t="str">
        <f>HYPERLINK("http://141.218.60.56/~jnz1568/getInfo.php?workbook=10_05.xlsx&amp;sheet=U0&amp;row=13233&amp;col=7&amp;number=0.105&amp;sourceID=14","0.105")</f>
        <v>0.105</v>
      </c>
    </row>
    <row r="13234" spans="1:7">
      <c r="A13234" s="3"/>
      <c r="B13234" s="3"/>
      <c r="C13234" s="3"/>
      <c r="D13234" s="3"/>
      <c r="E13234" s="3">
        <v>11</v>
      </c>
      <c r="F13234" s="4" t="str">
        <f>HYPERLINK("http://141.218.60.56/~jnz1568/getInfo.php?workbook=10_05.xlsx&amp;sheet=U0&amp;row=13234&amp;col=6&amp;number=4&amp;sourceID=14","4")</f>
        <v>4</v>
      </c>
      <c r="G13234" s="4" t="str">
        <f>HYPERLINK("http://141.218.60.56/~jnz1568/getInfo.php?workbook=10_05.xlsx&amp;sheet=U0&amp;row=13234&amp;col=7&amp;number=0.103&amp;sourceID=14","0.103")</f>
        <v>0.103</v>
      </c>
    </row>
    <row r="13235" spans="1:7">
      <c r="A13235" s="3"/>
      <c r="B13235" s="3"/>
      <c r="C13235" s="3"/>
      <c r="D13235" s="3"/>
      <c r="E13235" s="3">
        <v>12</v>
      </c>
      <c r="F13235" s="4" t="str">
        <f>HYPERLINK("http://141.218.60.56/~jnz1568/getInfo.php?workbook=10_05.xlsx&amp;sheet=U0&amp;row=13235&amp;col=6&amp;number=4.1&amp;sourceID=14","4.1")</f>
        <v>4.1</v>
      </c>
      <c r="G13235" s="4" t="str">
        <f>HYPERLINK("http://141.218.60.56/~jnz1568/getInfo.php?workbook=10_05.xlsx&amp;sheet=U0&amp;row=13235&amp;col=7&amp;number=0.1&amp;sourceID=14","0.1")</f>
        <v>0.1</v>
      </c>
    </row>
    <row r="13236" spans="1:7">
      <c r="A13236" s="3"/>
      <c r="B13236" s="3"/>
      <c r="C13236" s="3"/>
      <c r="D13236" s="3"/>
      <c r="E13236" s="3">
        <v>13</v>
      </c>
      <c r="F13236" s="4" t="str">
        <f>HYPERLINK("http://141.218.60.56/~jnz1568/getInfo.php?workbook=10_05.xlsx&amp;sheet=U0&amp;row=13236&amp;col=6&amp;number=4.2&amp;sourceID=14","4.2")</f>
        <v>4.2</v>
      </c>
      <c r="G13236" s="4" t="str">
        <f>HYPERLINK("http://141.218.60.56/~jnz1568/getInfo.php?workbook=10_05.xlsx&amp;sheet=U0&amp;row=13236&amp;col=7&amp;number=0.0969&amp;sourceID=14","0.0969")</f>
        <v>0.0969</v>
      </c>
    </row>
    <row r="13237" spans="1:7">
      <c r="A13237" s="3"/>
      <c r="B13237" s="3"/>
      <c r="C13237" s="3"/>
      <c r="D13237" s="3"/>
      <c r="E13237" s="3">
        <v>14</v>
      </c>
      <c r="F13237" s="4" t="str">
        <f>HYPERLINK("http://141.218.60.56/~jnz1568/getInfo.php?workbook=10_05.xlsx&amp;sheet=U0&amp;row=13237&amp;col=6&amp;number=4.3&amp;sourceID=14","4.3")</f>
        <v>4.3</v>
      </c>
      <c r="G13237" s="4" t="str">
        <f>HYPERLINK("http://141.218.60.56/~jnz1568/getInfo.php?workbook=10_05.xlsx&amp;sheet=U0&amp;row=13237&amp;col=7&amp;number=0.0938&amp;sourceID=14","0.0938")</f>
        <v>0.0938</v>
      </c>
    </row>
    <row r="13238" spans="1:7">
      <c r="A13238" s="3"/>
      <c r="B13238" s="3"/>
      <c r="C13238" s="3"/>
      <c r="D13238" s="3"/>
      <c r="E13238" s="3">
        <v>15</v>
      </c>
      <c r="F13238" s="4" t="str">
        <f>HYPERLINK("http://141.218.60.56/~jnz1568/getInfo.php?workbook=10_05.xlsx&amp;sheet=U0&amp;row=13238&amp;col=6&amp;number=4.4&amp;sourceID=14","4.4")</f>
        <v>4.4</v>
      </c>
      <c r="G13238" s="4" t="str">
        <f>HYPERLINK("http://141.218.60.56/~jnz1568/getInfo.php?workbook=10_05.xlsx&amp;sheet=U0&amp;row=13238&amp;col=7&amp;number=0.091&amp;sourceID=14","0.091")</f>
        <v>0.091</v>
      </c>
    </row>
    <row r="13239" spans="1:7">
      <c r="A13239" s="3"/>
      <c r="B13239" s="3"/>
      <c r="C13239" s="3"/>
      <c r="D13239" s="3"/>
      <c r="E13239" s="3">
        <v>16</v>
      </c>
      <c r="F13239" s="4" t="str">
        <f>HYPERLINK("http://141.218.60.56/~jnz1568/getInfo.php?workbook=10_05.xlsx&amp;sheet=U0&amp;row=13239&amp;col=6&amp;number=4.5&amp;sourceID=14","4.5")</f>
        <v>4.5</v>
      </c>
      <c r="G13239" s="4" t="str">
        <f>HYPERLINK("http://141.218.60.56/~jnz1568/getInfo.php?workbook=10_05.xlsx&amp;sheet=U0&amp;row=13239&amp;col=7&amp;number=0.0888&amp;sourceID=14","0.0888")</f>
        <v>0.0888</v>
      </c>
    </row>
    <row r="13240" spans="1:7">
      <c r="A13240" s="3"/>
      <c r="B13240" s="3"/>
      <c r="C13240" s="3"/>
      <c r="D13240" s="3"/>
      <c r="E13240" s="3">
        <v>17</v>
      </c>
      <c r="F13240" s="4" t="str">
        <f>HYPERLINK("http://141.218.60.56/~jnz1568/getInfo.php?workbook=10_05.xlsx&amp;sheet=U0&amp;row=13240&amp;col=6&amp;number=4.6&amp;sourceID=14","4.6")</f>
        <v>4.6</v>
      </c>
      <c r="G13240" s="4" t="str">
        <f>HYPERLINK("http://141.218.60.56/~jnz1568/getInfo.php?workbook=10_05.xlsx&amp;sheet=U0&amp;row=13240&amp;col=7&amp;number=0.0872&amp;sourceID=14","0.0872")</f>
        <v>0.0872</v>
      </c>
    </row>
    <row r="13241" spans="1:7">
      <c r="A13241" s="3"/>
      <c r="B13241" s="3"/>
      <c r="C13241" s="3"/>
      <c r="D13241" s="3"/>
      <c r="E13241" s="3">
        <v>18</v>
      </c>
      <c r="F13241" s="4" t="str">
        <f>HYPERLINK("http://141.218.60.56/~jnz1568/getInfo.php?workbook=10_05.xlsx&amp;sheet=U0&amp;row=13241&amp;col=6&amp;number=4.7&amp;sourceID=14","4.7")</f>
        <v>4.7</v>
      </c>
      <c r="G13241" s="4" t="str">
        <f>HYPERLINK("http://141.218.60.56/~jnz1568/getInfo.php?workbook=10_05.xlsx&amp;sheet=U0&amp;row=13241&amp;col=7&amp;number=0.086&amp;sourceID=14","0.086")</f>
        <v>0.086</v>
      </c>
    </row>
    <row r="13242" spans="1:7">
      <c r="A13242" s="3"/>
      <c r="B13242" s="3"/>
      <c r="C13242" s="3"/>
      <c r="D13242" s="3"/>
      <c r="E13242" s="3">
        <v>19</v>
      </c>
      <c r="F13242" s="4" t="str">
        <f>HYPERLINK("http://141.218.60.56/~jnz1568/getInfo.php?workbook=10_05.xlsx&amp;sheet=U0&amp;row=13242&amp;col=6&amp;number=4.8&amp;sourceID=14","4.8")</f>
        <v>4.8</v>
      </c>
      <c r="G13242" s="4" t="str">
        <f>HYPERLINK("http://141.218.60.56/~jnz1568/getInfo.php?workbook=10_05.xlsx&amp;sheet=U0&amp;row=13242&amp;col=7&amp;number=0.0846&amp;sourceID=14","0.0846")</f>
        <v>0.0846</v>
      </c>
    </row>
    <row r="13243" spans="1:7">
      <c r="A13243" s="3"/>
      <c r="B13243" s="3"/>
      <c r="C13243" s="3"/>
      <c r="D13243" s="3"/>
      <c r="E13243" s="3">
        <v>20</v>
      </c>
      <c r="F13243" s="4" t="str">
        <f>HYPERLINK("http://141.218.60.56/~jnz1568/getInfo.php?workbook=10_05.xlsx&amp;sheet=U0&amp;row=13243&amp;col=6&amp;number=4.9&amp;sourceID=14","4.9")</f>
        <v>4.9</v>
      </c>
      <c r="G13243" s="4" t="str">
        <f>HYPERLINK("http://141.218.60.56/~jnz1568/getInfo.php?workbook=10_05.xlsx&amp;sheet=U0&amp;row=13243&amp;col=7&amp;number=0.0831&amp;sourceID=14","0.0831")</f>
        <v>0.0831</v>
      </c>
    </row>
    <row r="13244" spans="1:7">
      <c r="A13244" s="3">
        <v>10</v>
      </c>
      <c r="B13244" s="3">
        <v>5</v>
      </c>
      <c r="C13244" s="3">
        <v>4</v>
      </c>
      <c r="D13244" s="3">
        <v>133</v>
      </c>
      <c r="E13244" s="3">
        <v>1</v>
      </c>
      <c r="F13244" s="4" t="str">
        <f>HYPERLINK("http://141.218.60.56/~jnz1568/getInfo.php?workbook=10_05.xlsx&amp;sheet=U0&amp;row=13244&amp;col=6&amp;number=3&amp;sourceID=14","3")</f>
        <v>3</v>
      </c>
      <c r="G13244" s="4" t="str">
        <f>HYPERLINK("http://141.218.60.56/~jnz1568/getInfo.php?workbook=10_05.xlsx&amp;sheet=U0&amp;row=13244&amp;col=7&amp;number=0.0343&amp;sourceID=14","0.0343")</f>
        <v>0.0343</v>
      </c>
    </row>
    <row r="13245" spans="1:7">
      <c r="A13245" s="3"/>
      <c r="B13245" s="3"/>
      <c r="C13245" s="3"/>
      <c r="D13245" s="3"/>
      <c r="E13245" s="3">
        <v>2</v>
      </c>
      <c r="F13245" s="4" t="str">
        <f>HYPERLINK("http://141.218.60.56/~jnz1568/getInfo.php?workbook=10_05.xlsx&amp;sheet=U0&amp;row=13245&amp;col=6&amp;number=3.1&amp;sourceID=14","3.1")</f>
        <v>3.1</v>
      </c>
      <c r="G13245" s="4" t="str">
        <f>HYPERLINK("http://141.218.60.56/~jnz1568/getInfo.php?workbook=10_05.xlsx&amp;sheet=U0&amp;row=13245&amp;col=7&amp;number=0.0341&amp;sourceID=14","0.0341")</f>
        <v>0.0341</v>
      </c>
    </row>
    <row r="13246" spans="1:7">
      <c r="A13246" s="3"/>
      <c r="B13246" s="3"/>
      <c r="C13246" s="3"/>
      <c r="D13246" s="3"/>
      <c r="E13246" s="3">
        <v>3</v>
      </c>
      <c r="F13246" s="4" t="str">
        <f>HYPERLINK("http://141.218.60.56/~jnz1568/getInfo.php?workbook=10_05.xlsx&amp;sheet=U0&amp;row=13246&amp;col=6&amp;number=3.2&amp;sourceID=14","3.2")</f>
        <v>3.2</v>
      </c>
      <c r="G13246" s="4" t="str">
        <f>HYPERLINK("http://141.218.60.56/~jnz1568/getInfo.php?workbook=10_05.xlsx&amp;sheet=U0&amp;row=13246&amp;col=7&amp;number=0.0339&amp;sourceID=14","0.0339")</f>
        <v>0.0339</v>
      </c>
    </row>
    <row r="13247" spans="1:7">
      <c r="A13247" s="3"/>
      <c r="B13247" s="3"/>
      <c r="C13247" s="3"/>
      <c r="D13247" s="3"/>
      <c r="E13247" s="3">
        <v>4</v>
      </c>
      <c r="F13247" s="4" t="str">
        <f>HYPERLINK("http://141.218.60.56/~jnz1568/getInfo.php?workbook=10_05.xlsx&amp;sheet=U0&amp;row=13247&amp;col=6&amp;number=3.3&amp;sourceID=14","3.3")</f>
        <v>3.3</v>
      </c>
      <c r="G13247" s="4" t="str">
        <f>HYPERLINK("http://141.218.60.56/~jnz1568/getInfo.php?workbook=10_05.xlsx&amp;sheet=U0&amp;row=13247&amp;col=7&amp;number=0.0336&amp;sourceID=14","0.0336")</f>
        <v>0.0336</v>
      </c>
    </row>
    <row r="13248" spans="1:7">
      <c r="A13248" s="3"/>
      <c r="B13248" s="3"/>
      <c r="C13248" s="3"/>
      <c r="D13248" s="3"/>
      <c r="E13248" s="3">
        <v>5</v>
      </c>
      <c r="F13248" s="4" t="str">
        <f>HYPERLINK("http://141.218.60.56/~jnz1568/getInfo.php?workbook=10_05.xlsx&amp;sheet=U0&amp;row=13248&amp;col=6&amp;number=3.4&amp;sourceID=14","3.4")</f>
        <v>3.4</v>
      </c>
      <c r="G13248" s="4" t="str">
        <f>HYPERLINK("http://141.218.60.56/~jnz1568/getInfo.php?workbook=10_05.xlsx&amp;sheet=U0&amp;row=13248&amp;col=7&amp;number=0.0332&amp;sourceID=14","0.0332")</f>
        <v>0.0332</v>
      </c>
    </row>
    <row r="13249" spans="1:7">
      <c r="A13249" s="3"/>
      <c r="B13249" s="3"/>
      <c r="C13249" s="3"/>
      <c r="D13249" s="3"/>
      <c r="E13249" s="3">
        <v>6</v>
      </c>
      <c r="F13249" s="4" t="str">
        <f>HYPERLINK("http://141.218.60.56/~jnz1568/getInfo.php?workbook=10_05.xlsx&amp;sheet=U0&amp;row=13249&amp;col=6&amp;number=3.5&amp;sourceID=14","3.5")</f>
        <v>3.5</v>
      </c>
      <c r="G13249" s="4" t="str">
        <f>HYPERLINK("http://141.218.60.56/~jnz1568/getInfo.php?workbook=10_05.xlsx&amp;sheet=U0&amp;row=13249&amp;col=7&amp;number=0.0328&amp;sourceID=14","0.0328")</f>
        <v>0.0328</v>
      </c>
    </row>
    <row r="13250" spans="1:7">
      <c r="A13250" s="3"/>
      <c r="B13250" s="3"/>
      <c r="C13250" s="3"/>
      <c r="D13250" s="3"/>
      <c r="E13250" s="3">
        <v>7</v>
      </c>
      <c r="F13250" s="4" t="str">
        <f>HYPERLINK("http://141.218.60.56/~jnz1568/getInfo.php?workbook=10_05.xlsx&amp;sheet=U0&amp;row=13250&amp;col=6&amp;number=3.6&amp;sourceID=14","3.6")</f>
        <v>3.6</v>
      </c>
      <c r="G13250" s="4" t="str">
        <f>HYPERLINK("http://141.218.60.56/~jnz1568/getInfo.php?workbook=10_05.xlsx&amp;sheet=U0&amp;row=13250&amp;col=7&amp;number=0.0322&amp;sourceID=14","0.0322")</f>
        <v>0.0322</v>
      </c>
    </row>
    <row r="13251" spans="1:7">
      <c r="A13251" s="3"/>
      <c r="B13251" s="3"/>
      <c r="C13251" s="3"/>
      <c r="D13251" s="3"/>
      <c r="E13251" s="3">
        <v>8</v>
      </c>
      <c r="F13251" s="4" t="str">
        <f>HYPERLINK("http://141.218.60.56/~jnz1568/getInfo.php?workbook=10_05.xlsx&amp;sheet=U0&amp;row=13251&amp;col=6&amp;number=3.7&amp;sourceID=14","3.7")</f>
        <v>3.7</v>
      </c>
      <c r="G13251" s="4" t="str">
        <f>HYPERLINK("http://141.218.60.56/~jnz1568/getInfo.php?workbook=10_05.xlsx&amp;sheet=U0&amp;row=13251&amp;col=7&amp;number=0.0315&amp;sourceID=14","0.0315")</f>
        <v>0.0315</v>
      </c>
    </row>
    <row r="13252" spans="1:7">
      <c r="A13252" s="3"/>
      <c r="B13252" s="3"/>
      <c r="C13252" s="3"/>
      <c r="D13252" s="3"/>
      <c r="E13252" s="3">
        <v>9</v>
      </c>
      <c r="F13252" s="4" t="str">
        <f>HYPERLINK("http://141.218.60.56/~jnz1568/getInfo.php?workbook=10_05.xlsx&amp;sheet=U0&amp;row=13252&amp;col=6&amp;number=3.8&amp;sourceID=14","3.8")</f>
        <v>3.8</v>
      </c>
      <c r="G13252" s="4" t="str">
        <f>HYPERLINK("http://141.218.60.56/~jnz1568/getInfo.php?workbook=10_05.xlsx&amp;sheet=U0&amp;row=13252&amp;col=7&amp;number=0.0307&amp;sourceID=14","0.0307")</f>
        <v>0.0307</v>
      </c>
    </row>
    <row r="13253" spans="1:7">
      <c r="A13253" s="3"/>
      <c r="B13253" s="3"/>
      <c r="C13253" s="3"/>
      <c r="D13253" s="3"/>
      <c r="E13253" s="3">
        <v>10</v>
      </c>
      <c r="F13253" s="4" t="str">
        <f>HYPERLINK("http://141.218.60.56/~jnz1568/getInfo.php?workbook=10_05.xlsx&amp;sheet=U0&amp;row=13253&amp;col=6&amp;number=3.9&amp;sourceID=14","3.9")</f>
        <v>3.9</v>
      </c>
      <c r="G13253" s="4" t="str">
        <f>HYPERLINK("http://141.218.60.56/~jnz1568/getInfo.php?workbook=10_05.xlsx&amp;sheet=U0&amp;row=13253&amp;col=7&amp;number=0.0297&amp;sourceID=14","0.0297")</f>
        <v>0.0297</v>
      </c>
    </row>
    <row r="13254" spans="1:7">
      <c r="A13254" s="3"/>
      <c r="B13254" s="3"/>
      <c r="C13254" s="3"/>
      <c r="D13254" s="3"/>
      <c r="E13254" s="3">
        <v>11</v>
      </c>
      <c r="F13254" s="4" t="str">
        <f>HYPERLINK("http://141.218.60.56/~jnz1568/getInfo.php?workbook=10_05.xlsx&amp;sheet=U0&amp;row=13254&amp;col=6&amp;number=4&amp;sourceID=14","4")</f>
        <v>4</v>
      </c>
      <c r="G13254" s="4" t="str">
        <f>HYPERLINK("http://141.218.60.56/~jnz1568/getInfo.php?workbook=10_05.xlsx&amp;sheet=U0&amp;row=13254&amp;col=7&amp;number=0.0285&amp;sourceID=14","0.0285")</f>
        <v>0.0285</v>
      </c>
    </row>
    <row r="13255" spans="1:7">
      <c r="A13255" s="3"/>
      <c r="B13255" s="3"/>
      <c r="C13255" s="3"/>
      <c r="D13255" s="3"/>
      <c r="E13255" s="3">
        <v>12</v>
      </c>
      <c r="F13255" s="4" t="str">
        <f>HYPERLINK("http://141.218.60.56/~jnz1568/getInfo.php?workbook=10_05.xlsx&amp;sheet=U0&amp;row=13255&amp;col=6&amp;number=4.1&amp;sourceID=14","4.1")</f>
        <v>4.1</v>
      </c>
      <c r="G13255" s="4" t="str">
        <f>HYPERLINK("http://141.218.60.56/~jnz1568/getInfo.php?workbook=10_05.xlsx&amp;sheet=U0&amp;row=13255&amp;col=7&amp;number=0.0271&amp;sourceID=14","0.0271")</f>
        <v>0.0271</v>
      </c>
    </row>
    <row r="13256" spans="1:7">
      <c r="A13256" s="3"/>
      <c r="B13256" s="3"/>
      <c r="C13256" s="3"/>
      <c r="D13256" s="3"/>
      <c r="E13256" s="3">
        <v>13</v>
      </c>
      <c r="F13256" s="4" t="str">
        <f>HYPERLINK("http://141.218.60.56/~jnz1568/getInfo.php?workbook=10_05.xlsx&amp;sheet=U0&amp;row=13256&amp;col=6&amp;number=4.2&amp;sourceID=14","4.2")</f>
        <v>4.2</v>
      </c>
      <c r="G13256" s="4" t="str">
        <f>HYPERLINK("http://141.218.60.56/~jnz1568/getInfo.php?workbook=10_05.xlsx&amp;sheet=U0&amp;row=13256&amp;col=7&amp;number=0.0255&amp;sourceID=14","0.0255")</f>
        <v>0.0255</v>
      </c>
    </row>
    <row r="13257" spans="1:7">
      <c r="A13257" s="3"/>
      <c r="B13257" s="3"/>
      <c r="C13257" s="3"/>
      <c r="D13257" s="3"/>
      <c r="E13257" s="3">
        <v>14</v>
      </c>
      <c r="F13257" s="4" t="str">
        <f>HYPERLINK("http://141.218.60.56/~jnz1568/getInfo.php?workbook=10_05.xlsx&amp;sheet=U0&amp;row=13257&amp;col=6&amp;number=4.3&amp;sourceID=14","4.3")</f>
        <v>4.3</v>
      </c>
      <c r="G13257" s="4" t="str">
        <f>HYPERLINK("http://141.218.60.56/~jnz1568/getInfo.php?workbook=10_05.xlsx&amp;sheet=U0&amp;row=13257&amp;col=7&amp;number=0.0239&amp;sourceID=14","0.0239")</f>
        <v>0.0239</v>
      </c>
    </row>
    <row r="13258" spans="1:7">
      <c r="A13258" s="3"/>
      <c r="B13258" s="3"/>
      <c r="C13258" s="3"/>
      <c r="D13258" s="3"/>
      <c r="E13258" s="3">
        <v>15</v>
      </c>
      <c r="F13258" s="4" t="str">
        <f>HYPERLINK("http://141.218.60.56/~jnz1568/getInfo.php?workbook=10_05.xlsx&amp;sheet=U0&amp;row=13258&amp;col=6&amp;number=4.4&amp;sourceID=14","4.4")</f>
        <v>4.4</v>
      </c>
      <c r="G13258" s="4" t="str">
        <f>HYPERLINK("http://141.218.60.56/~jnz1568/getInfo.php?workbook=10_05.xlsx&amp;sheet=U0&amp;row=13258&amp;col=7&amp;number=0.0224&amp;sourceID=14","0.0224")</f>
        <v>0.0224</v>
      </c>
    </row>
    <row r="13259" spans="1:7">
      <c r="A13259" s="3"/>
      <c r="B13259" s="3"/>
      <c r="C13259" s="3"/>
      <c r="D13259" s="3"/>
      <c r="E13259" s="3">
        <v>16</v>
      </c>
      <c r="F13259" s="4" t="str">
        <f>HYPERLINK("http://141.218.60.56/~jnz1568/getInfo.php?workbook=10_05.xlsx&amp;sheet=U0&amp;row=13259&amp;col=6&amp;number=4.5&amp;sourceID=14","4.5")</f>
        <v>4.5</v>
      </c>
      <c r="G13259" s="4" t="str">
        <f>HYPERLINK("http://141.218.60.56/~jnz1568/getInfo.php?workbook=10_05.xlsx&amp;sheet=U0&amp;row=13259&amp;col=7&amp;number=0.0211&amp;sourceID=14","0.0211")</f>
        <v>0.0211</v>
      </c>
    </row>
    <row r="13260" spans="1:7">
      <c r="A13260" s="3"/>
      <c r="B13260" s="3"/>
      <c r="C13260" s="3"/>
      <c r="D13260" s="3"/>
      <c r="E13260" s="3">
        <v>17</v>
      </c>
      <c r="F13260" s="4" t="str">
        <f>HYPERLINK("http://141.218.60.56/~jnz1568/getInfo.php?workbook=10_05.xlsx&amp;sheet=U0&amp;row=13260&amp;col=6&amp;number=4.6&amp;sourceID=14","4.6")</f>
        <v>4.6</v>
      </c>
      <c r="G13260" s="4" t="str">
        <f>HYPERLINK("http://141.218.60.56/~jnz1568/getInfo.php?workbook=10_05.xlsx&amp;sheet=U0&amp;row=13260&amp;col=7&amp;number=0.0201&amp;sourceID=14","0.0201")</f>
        <v>0.0201</v>
      </c>
    </row>
    <row r="13261" spans="1:7">
      <c r="A13261" s="3"/>
      <c r="B13261" s="3"/>
      <c r="C13261" s="3"/>
      <c r="D13261" s="3"/>
      <c r="E13261" s="3">
        <v>18</v>
      </c>
      <c r="F13261" s="4" t="str">
        <f>HYPERLINK("http://141.218.60.56/~jnz1568/getInfo.php?workbook=10_05.xlsx&amp;sheet=U0&amp;row=13261&amp;col=6&amp;number=4.7&amp;sourceID=14","4.7")</f>
        <v>4.7</v>
      </c>
      <c r="G13261" s="4" t="str">
        <f>HYPERLINK("http://141.218.60.56/~jnz1568/getInfo.php?workbook=10_05.xlsx&amp;sheet=U0&amp;row=13261&amp;col=7&amp;number=0.0193&amp;sourceID=14","0.0193")</f>
        <v>0.0193</v>
      </c>
    </row>
    <row r="13262" spans="1:7">
      <c r="A13262" s="3"/>
      <c r="B13262" s="3"/>
      <c r="C13262" s="3"/>
      <c r="D13262" s="3"/>
      <c r="E13262" s="3">
        <v>19</v>
      </c>
      <c r="F13262" s="4" t="str">
        <f>HYPERLINK("http://141.218.60.56/~jnz1568/getInfo.php?workbook=10_05.xlsx&amp;sheet=U0&amp;row=13262&amp;col=6&amp;number=4.8&amp;sourceID=14","4.8")</f>
        <v>4.8</v>
      </c>
      <c r="G13262" s="4" t="str">
        <f>HYPERLINK("http://141.218.60.56/~jnz1568/getInfo.php?workbook=10_05.xlsx&amp;sheet=U0&amp;row=13262&amp;col=7&amp;number=0.0184&amp;sourceID=14","0.0184")</f>
        <v>0.0184</v>
      </c>
    </row>
    <row r="13263" spans="1:7">
      <c r="A13263" s="3"/>
      <c r="B13263" s="3"/>
      <c r="C13263" s="3"/>
      <c r="D13263" s="3"/>
      <c r="E13263" s="3">
        <v>20</v>
      </c>
      <c r="F13263" s="4" t="str">
        <f>HYPERLINK("http://141.218.60.56/~jnz1568/getInfo.php?workbook=10_05.xlsx&amp;sheet=U0&amp;row=13263&amp;col=6&amp;number=4.9&amp;sourceID=14","4.9")</f>
        <v>4.9</v>
      </c>
      <c r="G13263" s="4" t="str">
        <f>HYPERLINK("http://141.218.60.56/~jnz1568/getInfo.php?workbook=10_05.xlsx&amp;sheet=U0&amp;row=13263&amp;col=7&amp;number=0.0176&amp;sourceID=14","0.0176")</f>
        <v>0.0176</v>
      </c>
    </row>
    <row r="13264" spans="1:7">
      <c r="A13264" s="3">
        <v>10</v>
      </c>
      <c r="B13264" s="3">
        <v>5</v>
      </c>
      <c r="C13264" s="3">
        <v>4</v>
      </c>
      <c r="D13264" s="3">
        <v>134</v>
      </c>
      <c r="E13264" s="3">
        <v>1</v>
      </c>
      <c r="F13264" s="4" t="str">
        <f>HYPERLINK("http://141.218.60.56/~jnz1568/getInfo.php?workbook=10_05.xlsx&amp;sheet=U0&amp;row=13264&amp;col=6&amp;number=3&amp;sourceID=14","3")</f>
        <v>3</v>
      </c>
      <c r="G13264" s="4" t="str">
        <f>HYPERLINK("http://141.218.60.56/~jnz1568/getInfo.php?workbook=10_05.xlsx&amp;sheet=U0&amp;row=13264&amp;col=7&amp;number=0.0151&amp;sourceID=14","0.0151")</f>
        <v>0.0151</v>
      </c>
    </row>
    <row r="13265" spans="1:7">
      <c r="A13265" s="3"/>
      <c r="B13265" s="3"/>
      <c r="C13265" s="3"/>
      <c r="D13265" s="3"/>
      <c r="E13265" s="3">
        <v>2</v>
      </c>
      <c r="F13265" s="4" t="str">
        <f>HYPERLINK("http://141.218.60.56/~jnz1568/getInfo.php?workbook=10_05.xlsx&amp;sheet=U0&amp;row=13265&amp;col=6&amp;number=3.1&amp;sourceID=14","3.1")</f>
        <v>3.1</v>
      </c>
      <c r="G13265" s="4" t="str">
        <f>HYPERLINK("http://141.218.60.56/~jnz1568/getInfo.php?workbook=10_05.xlsx&amp;sheet=U0&amp;row=13265&amp;col=7&amp;number=0.0151&amp;sourceID=14","0.0151")</f>
        <v>0.0151</v>
      </c>
    </row>
    <row r="13266" spans="1:7">
      <c r="A13266" s="3"/>
      <c r="B13266" s="3"/>
      <c r="C13266" s="3"/>
      <c r="D13266" s="3"/>
      <c r="E13266" s="3">
        <v>3</v>
      </c>
      <c r="F13266" s="4" t="str">
        <f>HYPERLINK("http://141.218.60.56/~jnz1568/getInfo.php?workbook=10_05.xlsx&amp;sheet=U0&amp;row=13266&amp;col=6&amp;number=3.2&amp;sourceID=14","3.2")</f>
        <v>3.2</v>
      </c>
      <c r="G13266" s="4" t="str">
        <f>HYPERLINK("http://141.218.60.56/~jnz1568/getInfo.php?workbook=10_05.xlsx&amp;sheet=U0&amp;row=13266&amp;col=7&amp;number=0.015&amp;sourceID=14","0.015")</f>
        <v>0.015</v>
      </c>
    </row>
    <row r="13267" spans="1:7">
      <c r="A13267" s="3"/>
      <c r="B13267" s="3"/>
      <c r="C13267" s="3"/>
      <c r="D13267" s="3"/>
      <c r="E13267" s="3">
        <v>4</v>
      </c>
      <c r="F13267" s="4" t="str">
        <f>HYPERLINK("http://141.218.60.56/~jnz1568/getInfo.php?workbook=10_05.xlsx&amp;sheet=U0&amp;row=13267&amp;col=6&amp;number=3.3&amp;sourceID=14","3.3")</f>
        <v>3.3</v>
      </c>
      <c r="G13267" s="4" t="str">
        <f>HYPERLINK("http://141.218.60.56/~jnz1568/getInfo.php?workbook=10_05.xlsx&amp;sheet=U0&amp;row=13267&amp;col=7&amp;number=0.0149&amp;sourceID=14","0.0149")</f>
        <v>0.0149</v>
      </c>
    </row>
    <row r="13268" spans="1:7">
      <c r="A13268" s="3"/>
      <c r="B13268" s="3"/>
      <c r="C13268" s="3"/>
      <c r="D13268" s="3"/>
      <c r="E13268" s="3">
        <v>5</v>
      </c>
      <c r="F13268" s="4" t="str">
        <f>HYPERLINK("http://141.218.60.56/~jnz1568/getInfo.php?workbook=10_05.xlsx&amp;sheet=U0&amp;row=13268&amp;col=6&amp;number=3.4&amp;sourceID=14","3.4")</f>
        <v>3.4</v>
      </c>
      <c r="G13268" s="4" t="str">
        <f>HYPERLINK("http://141.218.60.56/~jnz1568/getInfo.php?workbook=10_05.xlsx&amp;sheet=U0&amp;row=13268&amp;col=7&amp;number=0.0148&amp;sourceID=14","0.0148")</f>
        <v>0.0148</v>
      </c>
    </row>
    <row r="13269" spans="1:7">
      <c r="A13269" s="3"/>
      <c r="B13269" s="3"/>
      <c r="C13269" s="3"/>
      <c r="D13269" s="3"/>
      <c r="E13269" s="3">
        <v>6</v>
      </c>
      <c r="F13269" s="4" t="str">
        <f>HYPERLINK("http://141.218.60.56/~jnz1568/getInfo.php?workbook=10_05.xlsx&amp;sheet=U0&amp;row=13269&amp;col=6&amp;number=3.5&amp;sourceID=14","3.5")</f>
        <v>3.5</v>
      </c>
      <c r="G13269" s="4" t="str">
        <f>HYPERLINK("http://141.218.60.56/~jnz1568/getInfo.php?workbook=10_05.xlsx&amp;sheet=U0&amp;row=13269&amp;col=7&amp;number=0.0147&amp;sourceID=14","0.0147")</f>
        <v>0.0147</v>
      </c>
    </row>
    <row r="13270" spans="1:7">
      <c r="A13270" s="3"/>
      <c r="B13270" s="3"/>
      <c r="C13270" s="3"/>
      <c r="D13270" s="3"/>
      <c r="E13270" s="3">
        <v>7</v>
      </c>
      <c r="F13270" s="4" t="str">
        <f>HYPERLINK("http://141.218.60.56/~jnz1568/getInfo.php?workbook=10_05.xlsx&amp;sheet=U0&amp;row=13270&amp;col=6&amp;number=3.6&amp;sourceID=14","3.6")</f>
        <v>3.6</v>
      </c>
      <c r="G13270" s="4" t="str">
        <f>HYPERLINK("http://141.218.60.56/~jnz1568/getInfo.php?workbook=10_05.xlsx&amp;sheet=U0&amp;row=13270&amp;col=7&amp;number=0.0146&amp;sourceID=14","0.0146")</f>
        <v>0.0146</v>
      </c>
    </row>
    <row r="13271" spans="1:7">
      <c r="A13271" s="3"/>
      <c r="B13271" s="3"/>
      <c r="C13271" s="3"/>
      <c r="D13271" s="3"/>
      <c r="E13271" s="3">
        <v>8</v>
      </c>
      <c r="F13271" s="4" t="str">
        <f>HYPERLINK("http://141.218.60.56/~jnz1568/getInfo.php?workbook=10_05.xlsx&amp;sheet=U0&amp;row=13271&amp;col=6&amp;number=3.7&amp;sourceID=14","3.7")</f>
        <v>3.7</v>
      </c>
      <c r="G13271" s="4" t="str">
        <f>HYPERLINK("http://141.218.60.56/~jnz1568/getInfo.php?workbook=10_05.xlsx&amp;sheet=U0&amp;row=13271&amp;col=7&amp;number=0.0144&amp;sourceID=14","0.0144")</f>
        <v>0.0144</v>
      </c>
    </row>
    <row r="13272" spans="1:7">
      <c r="A13272" s="3"/>
      <c r="B13272" s="3"/>
      <c r="C13272" s="3"/>
      <c r="D13272" s="3"/>
      <c r="E13272" s="3">
        <v>9</v>
      </c>
      <c r="F13272" s="4" t="str">
        <f>HYPERLINK("http://141.218.60.56/~jnz1568/getInfo.php?workbook=10_05.xlsx&amp;sheet=U0&amp;row=13272&amp;col=6&amp;number=3.8&amp;sourceID=14","3.8")</f>
        <v>3.8</v>
      </c>
      <c r="G13272" s="4" t="str">
        <f>HYPERLINK("http://141.218.60.56/~jnz1568/getInfo.php?workbook=10_05.xlsx&amp;sheet=U0&amp;row=13272&amp;col=7&amp;number=0.0142&amp;sourceID=14","0.0142")</f>
        <v>0.0142</v>
      </c>
    </row>
    <row r="13273" spans="1:7">
      <c r="A13273" s="3"/>
      <c r="B13273" s="3"/>
      <c r="C13273" s="3"/>
      <c r="D13273" s="3"/>
      <c r="E13273" s="3">
        <v>10</v>
      </c>
      <c r="F13273" s="4" t="str">
        <f>HYPERLINK("http://141.218.60.56/~jnz1568/getInfo.php?workbook=10_05.xlsx&amp;sheet=U0&amp;row=13273&amp;col=6&amp;number=3.9&amp;sourceID=14","3.9")</f>
        <v>3.9</v>
      </c>
      <c r="G13273" s="4" t="str">
        <f>HYPERLINK("http://141.218.60.56/~jnz1568/getInfo.php?workbook=10_05.xlsx&amp;sheet=U0&amp;row=13273&amp;col=7&amp;number=0.0139&amp;sourceID=14","0.0139")</f>
        <v>0.0139</v>
      </c>
    </row>
    <row r="13274" spans="1:7">
      <c r="A13274" s="3"/>
      <c r="B13274" s="3"/>
      <c r="C13274" s="3"/>
      <c r="D13274" s="3"/>
      <c r="E13274" s="3">
        <v>11</v>
      </c>
      <c r="F13274" s="4" t="str">
        <f>HYPERLINK("http://141.218.60.56/~jnz1568/getInfo.php?workbook=10_05.xlsx&amp;sheet=U0&amp;row=13274&amp;col=6&amp;number=4&amp;sourceID=14","4")</f>
        <v>4</v>
      </c>
      <c r="G13274" s="4" t="str">
        <f>HYPERLINK("http://141.218.60.56/~jnz1568/getInfo.php?workbook=10_05.xlsx&amp;sheet=U0&amp;row=13274&amp;col=7&amp;number=0.0136&amp;sourceID=14","0.0136")</f>
        <v>0.0136</v>
      </c>
    </row>
    <row r="13275" spans="1:7">
      <c r="A13275" s="3"/>
      <c r="B13275" s="3"/>
      <c r="C13275" s="3"/>
      <c r="D13275" s="3"/>
      <c r="E13275" s="3">
        <v>12</v>
      </c>
      <c r="F13275" s="4" t="str">
        <f>HYPERLINK("http://141.218.60.56/~jnz1568/getInfo.php?workbook=10_05.xlsx&amp;sheet=U0&amp;row=13275&amp;col=6&amp;number=4.1&amp;sourceID=14","4.1")</f>
        <v>4.1</v>
      </c>
      <c r="G13275" s="4" t="str">
        <f>HYPERLINK("http://141.218.60.56/~jnz1568/getInfo.php?workbook=10_05.xlsx&amp;sheet=U0&amp;row=13275&amp;col=7&amp;number=0.0132&amp;sourceID=14","0.0132")</f>
        <v>0.0132</v>
      </c>
    </row>
    <row r="13276" spans="1:7">
      <c r="A13276" s="3"/>
      <c r="B13276" s="3"/>
      <c r="C13276" s="3"/>
      <c r="D13276" s="3"/>
      <c r="E13276" s="3">
        <v>13</v>
      </c>
      <c r="F13276" s="4" t="str">
        <f>HYPERLINK("http://141.218.60.56/~jnz1568/getInfo.php?workbook=10_05.xlsx&amp;sheet=U0&amp;row=13276&amp;col=6&amp;number=4.2&amp;sourceID=14","4.2")</f>
        <v>4.2</v>
      </c>
      <c r="G13276" s="4" t="str">
        <f>HYPERLINK("http://141.218.60.56/~jnz1568/getInfo.php?workbook=10_05.xlsx&amp;sheet=U0&amp;row=13276&amp;col=7&amp;number=0.0128&amp;sourceID=14","0.0128")</f>
        <v>0.0128</v>
      </c>
    </row>
    <row r="13277" spans="1:7">
      <c r="A13277" s="3"/>
      <c r="B13277" s="3"/>
      <c r="C13277" s="3"/>
      <c r="D13277" s="3"/>
      <c r="E13277" s="3">
        <v>14</v>
      </c>
      <c r="F13277" s="4" t="str">
        <f>HYPERLINK("http://141.218.60.56/~jnz1568/getInfo.php?workbook=10_05.xlsx&amp;sheet=U0&amp;row=13277&amp;col=6&amp;number=4.3&amp;sourceID=14","4.3")</f>
        <v>4.3</v>
      </c>
      <c r="G13277" s="4" t="str">
        <f>HYPERLINK("http://141.218.60.56/~jnz1568/getInfo.php?workbook=10_05.xlsx&amp;sheet=U0&amp;row=13277&amp;col=7&amp;number=0.0124&amp;sourceID=14","0.0124")</f>
        <v>0.0124</v>
      </c>
    </row>
    <row r="13278" spans="1:7">
      <c r="A13278" s="3"/>
      <c r="B13278" s="3"/>
      <c r="C13278" s="3"/>
      <c r="D13278" s="3"/>
      <c r="E13278" s="3">
        <v>15</v>
      </c>
      <c r="F13278" s="4" t="str">
        <f>HYPERLINK("http://141.218.60.56/~jnz1568/getInfo.php?workbook=10_05.xlsx&amp;sheet=U0&amp;row=13278&amp;col=6&amp;number=4.4&amp;sourceID=14","4.4")</f>
        <v>4.4</v>
      </c>
      <c r="G13278" s="4" t="str">
        <f>HYPERLINK("http://141.218.60.56/~jnz1568/getInfo.php?workbook=10_05.xlsx&amp;sheet=U0&amp;row=13278&amp;col=7&amp;number=0.012&amp;sourceID=14","0.012")</f>
        <v>0.012</v>
      </c>
    </row>
    <row r="13279" spans="1:7">
      <c r="A13279" s="3"/>
      <c r="B13279" s="3"/>
      <c r="C13279" s="3"/>
      <c r="D13279" s="3"/>
      <c r="E13279" s="3">
        <v>16</v>
      </c>
      <c r="F13279" s="4" t="str">
        <f>HYPERLINK("http://141.218.60.56/~jnz1568/getInfo.php?workbook=10_05.xlsx&amp;sheet=U0&amp;row=13279&amp;col=6&amp;number=4.5&amp;sourceID=14","4.5")</f>
        <v>4.5</v>
      </c>
      <c r="G13279" s="4" t="str">
        <f>HYPERLINK("http://141.218.60.56/~jnz1568/getInfo.php?workbook=10_05.xlsx&amp;sheet=U0&amp;row=13279&amp;col=7&amp;number=0.0117&amp;sourceID=14","0.0117")</f>
        <v>0.0117</v>
      </c>
    </row>
    <row r="13280" spans="1:7">
      <c r="A13280" s="3"/>
      <c r="B13280" s="3"/>
      <c r="C13280" s="3"/>
      <c r="D13280" s="3"/>
      <c r="E13280" s="3">
        <v>17</v>
      </c>
      <c r="F13280" s="4" t="str">
        <f>HYPERLINK("http://141.218.60.56/~jnz1568/getInfo.php?workbook=10_05.xlsx&amp;sheet=U0&amp;row=13280&amp;col=6&amp;number=4.6&amp;sourceID=14","4.6")</f>
        <v>4.6</v>
      </c>
      <c r="G13280" s="4" t="str">
        <f>HYPERLINK("http://141.218.60.56/~jnz1568/getInfo.php?workbook=10_05.xlsx&amp;sheet=U0&amp;row=13280&amp;col=7&amp;number=0.0115&amp;sourceID=14","0.0115")</f>
        <v>0.0115</v>
      </c>
    </row>
    <row r="13281" spans="1:7">
      <c r="A13281" s="3"/>
      <c r="B13281" s="3"/>
      <c r="C13281" s="3"/>
      <c r="D13281" s="3"/>
      <c r="E13281" s="3">
        <v>18</v>
      </c>
      <c r="F13281" s="4" t="str">
        <f>HYPERLINK("http://141.218.60.56/~jnz1568/getInfo.php?workbook=10_05.xlsx&amp;sheet=U0&amp;row=13281&amp;col=6&amp;number=4.7&amp;sourceID=14","4.7")</f>
        <v>4.7</v>
      </c>
      <c r="G13281" s="4" t="str">
        <f>HYPERLINK("http://141.218.60.56/~jnz1568/getInfo.php?workbook=10_05.xlsx&amp;sheet=U0&amp;row=13281&amp;col=7&amp;number=0.0113&amp;sourceID=14","0.0113")</f>
        <v>0.0113</v>
      </c>
    </row>
    <row r="13282" spans="1:7">
      <c r="A13282" s="3"/>
      <c r="B13282" s="3"/>
      <c r="C13282" s="3"/>
      <c r="D13282" s="3"/>
      <c r="E13282" s="3">
        <v>19</v>
      </c>
      <c r="F13282" s="4" t="str">
        <f>HYPERLINK("http://141.218.60.56/~jnz1568/getInfo.php?workbook=10_05.xlsx&amp;sheet=U0&amp;row=13282&amp;col=6&amp;number=4.8&amp;sourceID=14","4.8")</f>
        <v>4.8</v>
      </c>
      <c r="G13282" s="4" t="str">
        <f>HYPERLINK("http://141.218.60.56/~jnz1568/getInfo.php?workbook=10_05.xlsx&amp;sheet=U0&amp;row=13282&amp;col=7&amp;number=0.0111&amp;sourceID=14","0.0111")</f>
        <v>0.0111</v>
      </c>
    </row>
    <row r="13283" spans="1:7">
      <c r="A13283" s="3"/>
      <c r="B13283" s="3"/>
      <c r="C13283" s="3"/>
      <c r="D13283" s="3"/>
      <c r="E13283" s="3">
        <v>20</v>
      </c>
      <c r="F13283" s="4" t="str">
        <f>HYPERLINK("http://141.218.60.56/~jnz1568/getInfo.php?workbook=10_05.xlsx&amp;sheet=U0&amp;row=13283&amp;col=6&amp;number=4.9&amp;sourceID=14","4.9")</f>
        <v>4.9</v>
      </c>
      <c r="G13283" s="4" t="str">
        <f>HYPERLINK("http://141.218.60.56/~jnz1568/getInfo.php?workbook=10_05.xlsx&amp;sheet=U0&amp;row=13283&amp;col=7&amp;number=0.0109&amp;sourceID=14","0.0109")</f>
        <v>0.0109</v>
      </c>
    </row>
    <row r="13284" spans="1:7">
      <c r="A13284" s="3">
        <v>10</v>
      </c>
      <c r="B13284" s="3">
        <v>5</v>
      </c>
      <c r="C13284" s="3">
        <v>4</v>
      </c>
      <c r="D13284" s="3">
        <v>135</v>
      </c>
      <c r="E13284" s="3">
        <v>1</v>
      </c>
      <c r="F13284" s="4" t="str">
        <f>HYPERLINK("http://141.218.60.56/~jnz1568/getInfo.php?workbook=10_05.xlsx&amp;sheet=U0&amp;row=13284&amp;col=6&amp;number=3&amp;sourceID=14","3")</f>
        <v>3</v>
      </c>
      <c r="G13284" s="4" t="str">
        <f>HYPERLINK("http://141.218.60.56/~jnz1568/getInfo.php?workbook=10_05.xlsx&amp;sheet=U0&amp;row=13284&amp;col=7&amp;number=0.0213&amp;sourceID=14","0.0213")</f>
        <v>0.0213</v>
      </c>
    </row>
    <row r="13285" spans="1:7">
      <c r="A13285" s="3"/>
      <c r="B13285" s="3"/>
      <c r="C13285" s="3"/>
      <c r="D13285" s="3"/>
      <c r="E13285" s="3">
        <v>2</v>
      </c>
      <c r="F13285" s="4" t="str">
        <f>HYPERLINK("http://141.218.60.56/~jnz1568/getInfo.php?workbook=10_05.xlsx&amp;sheet=U0&amp;row=13285&amp;col=6&amp;number=3.1&amp;sourceID=14","3.1")</f>
        <v>3.1</v>
      </c>
      <c r="G13285" s="4" t="str">
        <f>HYPERLINK("http://141.218.60.56/~jnz1568/getInfo.php?workbook=10_05.xlsx&amp;sheet=U0&amp;row=13285&amp;col=7&amp;number=0.0212&amp;sourceID=14","0.0212")</f>
        <v>0.0212</v>
      </c>
    </row>
    <row r="13286" spans="1:7">
      <c r="A13286" s="3"/>
      <c r="B13286" s="3"/>
      <c r="C13286" s="3"/>
      <c r="D13286" s="3"/>
      <c r="E13286" s="3">
        <v>3</v>
      </c>
      <c r="F13286" s="4" t="str">
        <f>HYPERLINK("http://141.218.60.56/~jnz1568/getInfo.php?workbook=10_05.xlsx&amp;sheet=U0&amp;row=13286&amp;col=6&amp;number=3.2&amp;sourceID=14","3.2")</f>
        <v>3.2</v>
      </c>
      <c r="G13286" s="4" t="str">
        <f>HYPERLINK("http://141.218.60.56/~jnz1568/getInfo.php?workbook=10_05.xlsx&amp;sheet=U0&amp;row=13286&amp;col=7&amp;number=0.0211&amp;sourceID=14","0.0211")</f>
        <v>0.0211</v>
      </c>
    </row>
    <row r="13287" spans="1:7">
      <c r="A13287" s="3"/>
      <c r="B13287" s="3"/>
      <c r="C13287" s="3"/>
      <c r="D13287" s="3"/>
      <c r="E13287" s="3">
        <v>4</v>
      </c>
      <c r="F13287" s="4" t="str">
        <f>HYPERLINK("http://141.218.60.56/~jnz1568/getInfo.php?workbook=10_05.xlsx&amp;sheet=U0&amp;row=13287&amp;col=6&amp;number=3.3&amp;sourceID=14","3.3")</f>
        <v>3.3</v>
      </c>
      <c r="G13287" s="4" t="str">
        <f>HYPERLINK("http://141.218.60.56/~jnz1568/getInfo.php?workbook=10_05.xlsx&amp;sheet=U0&amp;row=13287&amp;col=7&amp;number=0.0209&amp;sourceID=14","0.0209")</f>
        <v>0.0209</v>
      </c>
    </row>
    <row r="13288" spans="1:7">
      <c r="A13288" s="3"/>
      <c r="B13288" s="3"/>
      <c r="C13288" s="3"/>
      <c r="D13288" s="3"/>
      <c r="E13288" s="3">
        <v>5</v>
      </c>
      <c r="F13288" s="4" t="str">
        <f>HYPERLINK("http://141.218.60.56/~jnz1568/getInfo.php?workbook=10_05.xlsx&amp;sheet=U0&amp;row=13288&amp;col=6&amp;number=3.4&amp;sourceID=14","3.4")</f>
        <v>3.4</v>
      </c>
      <c r="G13288" s="4" t="str">
        <f>HYPERLINK("http://141.218.60.56/~jnz1568/getInfo.php?workbook=10_05.xlsx&amp;sheet=U0&amp;row=13288&amp;col=7&amp;number=0.0207&amp;sourceID=14","0.0207")</f>
        <v>0.0207</v>
      </c>
    </row>
    <row r="13289" spans="1:7">
      <c r="A13289" s="3"/>
      <c r="B13289" s="3"/>
      <c r="C13289" s="3"/>
      <c r="D13289" s="3"/>
      <c r="E13289" s="3">
        <v>6</v>
      </c>
      <c r="F13289" s="4" t="str">
        <f>HYPERLINK("http://141.218.60.56/~jnz1568/getInfo.php?workbook=10_05.xlsx&amp;sheet=U0&amp;row=13289&amp;col=6&amp;number=3.5&amp;sourceID=14","3.5")</f>
        <v>3.5</v>
      </c>
      <c r="G13289" s="4" t="str">
        <f>HYPERLINK("http://141.218.60.56/~jnz1568/getInfo.php?workbook=10_05.xlsx&amp;sheet=U0&amp;row=13289&amp;col=7&amp;number=0.0205&amp;sourceID=14","0.0205")</f>
        <v>0.0205</v>
      </c>
    </row>
    <row r="13290" spans="1:7">
      <c r="A13290" s="3"/>
      <c r="B13290" s="3"/>
      <c r="C13290" s="3"/>
      <c r="D13290" s="3"/>
      <c r="E13290" s="3">
        <v>7</v>
      </c>
      <c r="F13290" s="4" t="str">
        <f>HYPERLINK("http://141.218.60.56/~jnz1568/getInfo.php?workbook=10_05.xlsx&amp;sheet=U0&amp;row=13290&amp;col=6&amp;number=3.6&amp;sourceID=14","3.6")</f>
        <v>3.6</v>
      </c>
      <c r="G13290" s="4" t="str">
        <f>HYPERLINK("http://141.218.60.56/~jnz1568/getInfo.php?workbook=10_05.xlsx&amp;sheet=U0&amp;row=13290&amp;col=7&amp;number=0.0202&amp;sourceID=14","0.0202")</f>
        <v>0.0202</v>
      </c>
    </row>
    <row r="13291" spans="1:7">
      <c r="A13291" s="3"/>
      <c r="B13291" s="3"/>
      <c r="C13291" s="3"/>
      <c r="D13291" s="3"/>
      <c r="E13291" s="3">
        <v>8</v>
      </c>
      <c r="F13291" s="4" t="str">
        <f>HYPERLINK("http://141.218.60.56/~jnz1568/getInfo.php?workbook=10_05.xlsx&amp;sheet=U0&amp;row=13291&amp;col=6&amp;number=3.7&amp;sourceID=14","3.7")</f>
        <v>3.7</v>
      </c>
      <c r="G13291" s="4" t="str">
        <f>HYPERLINK("http://141.218.60.56/~jnz1568/getInfo.php?workbook=10_05.xlsx&amp;sheet=U0&amp;row=13291&amp;col=7&amp;number=0.0198&amp;sourceID=14","0.0198")</f>
        <v>0.0198</v>
      </c>
    </row>
    <row r="13292" spans="1:7">
      <c r="A13292" s="3"/>
      <c r="B13292" s="3"/>
      <c r="C13292" s="3"/>
      <c r="D13292" s="3"/>
      <c r="E13292" s="3">
        <v>9</v>
      </c>
      <c r="F13292" s="4" t="str">
        <f>HYPERLINK("http://141.218.60.56/~jnz1568/getInfo.php?workbook=10_05.xlsx&amp;sheet=U0&amp;row=13292&amp;col=6&amp;number=3.8&amp;sourceID=14","3.8")</f>
        <v>3.8</v>
      </c>
      <c r="G13292" s="4" t="str">
        <f>HYPERLINK("http://141.218.60.56/~jnz1568/getInfo.php?workbook=10_05.xlsx&amp;sheet=U0&amp;row=13292&amp;col=7&amp;number=0.0193&amp;sourceID=14","0.0193")</f>
        <v>0.0193</v>
      </c>
    </row>
    <row r="13293" spans="1:7">
      <c r="A13293" s="3"/>
      <c r="B13293" s="3"/>
      <c r="C13293" s="3"/>
      <c r="D13293" s="3"/>
      <c r="E13293" s="3">
        <v>10</v>
      </c>
      <c r="F13293" s="4" t="str">
        <f>HYPERLINK("http://141.218.60.56/~jnz1568/getInfo.php?workbook=10_05.xlsx&amp;sheet=U0&amp;row=13293&amp;col=6&amp;number=3.9&amp;sourceID=14","3.9")</f>
        <v>3.9</v>
      </c>
      <c r="G13293" s="4" t="str">
        <f>HYPERLINK("http://141.218.60.56/~jnz1568/getInfo.php?workbook=10_05.xlsx&amp;sheet=U0&amp;row=13293&amp;col=7&amp;number=0.0188&amp;sourceID=14","0.0188")</f>
        <v>0.0188</v>
      </c>
    </row>
    <row r="13294" spans="1:7">
      <c r="A13294" s="3"/>
      <c r="B13294" s="3"/>
      <c r="C13294" s="3"/>
      <c r="D13294" s="3"/>
      <c r="E13294" s="3">
        <v>11</v>
      </c>
      <c r="F13294" s="4" t="str">
        <f>HYPERLINK("http://141.218.60.56/~jnz1568/getInfo.php?workbook=10_05.xlsx&amp;sheet=U0&amp;row=13294&amp;col=6&amp;number=4&amp;sourceID=14","4")</f>
        <v>4</v>
      </c>
      <c r="G13294" s="4" t="str">
        <f>HYPERLINK("http://141.218.60.56/~jnz1568/getInfo.php?workbook=10_05.xlsx&amp;sheet=U0&amp;row=13294&amp;col=7&amp;number=0.0181&amp;sourceID=14","0.0181")</f>
        <v>0.0181</v>
      </c>
    </row>
    <row r="13295" spans="1:7">
      <c r="A13295" s="3"/>
      <c r="B13295" s="3"/>
      <c r="C13295" s="3"/>
      <c r="D13295" s="3"/>
      <c r="E13295" s="3">
        <v>12</v>
      </c>
      <c r="F13295" s="4" t="str">
        <f>HYPERLINK("http://141.218.60.56/~jnz1568/getInfo.php?workbook=10_05.xlsx&amp;sheet=U0&amp;row=13295&amp;col=6&amp;number=4.1&amp;sourceID=14","4.1")</f>
        <v>4.1</v>
      </c>
      <c r="G13295" s="4" t="str">
        <f>HYPERLINK("http://141.218.60.56/~jnz1568/getInfo.php?workbook=10_05.xlsx&amp;sheet=U0&amp;row=13295&amp;col=7&amp;number=0.0174&amp;sourceID=14","0.0174")</f>
        <v>0.0174</v>
      </c>
    </row>
    <row r="13296" spans="1:7">
      <c r="A13296" s="3"/>
      <c r="B13296" s="3"/>
      <c r="C13296" s="3"/>
      <c r="D13296" s="3"/>
      <c r="E13296" s="3">
        <v>13</v>
      </c>
      <c r="F13296" s="4" t="str">
        <f>HYPERLINK("http://141.218.60.56/~jnz1568/getInfo.php?workbook=10_05.xlsx&amp;sheet=U0&amp;row=13296&amp;col=6&amp;number=4.2&amp;sourceID=14","4.2")</f>
        <v>4.2</v>
      </c>
      <c r="G13296" s="4" t="str">
        <f>HYPERLINK("http://141.218.60.56/~jnz1568/getInfo.php?workbook=10_05.xlsx&amp;sheet=U0&amp;row=13296&amp;col=7&amp;number=0.0167&amp;sourceID=14","0.0167")</f>
        <v>0.0167</v>
      </c>
    </row>
    <row r="13297" spans="1:7">
      <c r="A13297" s="3"/>
      <c r="B13297" s="3"/>
      <c r="C13297" s="3"/>
      <c r="D13297" s="3"/>
      <c r="E13297" s="3">
        <v>14</v>
      </c>
      <c r="F13297" s="4" t="str">
        <f>HYPERLINK("http://141.218.60.56/~jnz1568/getInfo.php?workbook=10_05.xlsx&amp;sheet=U0&amp;row=13297&amp;col=6&amp;number=4.3&amp;sourceID=14","4.3")</f>
        <v>4.3</v>
      </c>
      <c r="G13297" s="4" t="str">
        <f>HYPERLINK("http://141.218.60.56/~jnz1568/getInfo.php?workbook=10_05.xlsx&amp;sheet=U0&amp;row=13297&amp;col=7&amp;number=0.016&amp;sourceID=14","0.016")</f>
        <v>0.016</v>
      </c>
    </row>
    <row r="13298" spans="1:7">
      <c r="A13298" s="3"/>
      <c r="B13298" s="3"/>
      <c r="C13298" s="3"/>
      <c r="D13298" s="3"/>
      <c r="E13298" s="3">
        <v>15</v>
      </c>
      <c r="F13298" s="4" t="str">
        <f>HYPERLINK("http://141.218.60.56/~jnz1568/getInfo.php?workbook=10_05.xlsx&amp;sheet=U0&amp;row=13298&amp;col=6&amp;number=4.4&amp;sourceID=14","4.4")</f>
        <v>4.4</v>
      </c>
      <c r="G13298" s="4" t="str">
        <f>HYPERLINK("http://141.218.60.56/~jnz1568/getInfo.php?workbook=10_05.xlsx&amp;sheet=U0&amp;row=13298&amp;col=7&amp;number=0.0155&amp;sourceID=14","0.0155")</f>
        <v>0.0155</v>
      </c>
    </row>
    <row r="13299" spans="1:7">
      <c r="A13299" s="3"/>
      <c r="B13299" s="3"/>
      <c r="C13299" s="3"/>
      <c r="D13299" s="3"/>
      <c r="E13299" s="3">
        <v>16</v>
      </c>
      <c r="F13299" s="4" t="str">
        <f>HYPERLINK("http://141.218.60.56/~jnz1568/getInfo.php?workbook=10_05.xlsx&amp;sheet=U0&amp;row=13299&amp;col=6&amp;number=4.5&amp;sourceID=14","4.5")</f>
        <v>4.5</v>
      </c>
      <c r="G13299" s="4" t="str">
        <f>HYPERLINK("http://141.218.60.56/~jnz1568/getInfo.php?workbook=10_05.xlsx&amp;sheet=U0&amp;row=13299&amp;col=7&amp;number=0.0152&amp;sourceID=14","0.0152")</f>
        <v>0.0152</v>
      </c>
    </row>
    <row r="13300" spans="1:7">
      <c r="A13300" s="3"/>
      <c r="B13300" s="3"/>
      <c r="C13300" s="3"/>
      <c r="D13300" s="3"/>
      <c r="E13300" s="3">
        <v>17</v>
      </c>
      <c r="F13300" s="4" t="str">
        <f>HYPERLINK("http://141.218.60.56/~jnz1568/getInfo.php?workbook=10_05.xlsx&amp;sheet=U0&amp;row=13300&amp;col=6&amp;number=4.6&amp;sourceID=14","4.6")</f>
        <v>4.6</v>
      </c>
      <c r="G13300" s="4" t="str">
        <f>HYPERLINK("http://141.218.60.56/~jnz1568/getInfo.php?workbook=10_05.xlsx&amp;sheet=U0&amp;row=13300&amp;col=7&amp;number=0.0149&amp;sourceID=14","0.0149")</f>
        <v>0.0149</v>
      </c>
    </row>
    <row r="13301" spans="1:7">
      <c r="A13301" s="3"/>
      <c r="B13301" s="3"/>
      <c r="C13301" s="3"/>
      <c r="D13301" s="3"/>
      <c r="E13301" s="3">
        <v>18</v>
      </c>
      <c r="F13301" s="4" t="str">
        <f>HYPERLINK("http://141.218.60.56/~jnz1568/getInfo.php?workbook=10_05.xlsx&amp;sheet=U0&amp;row=13301&amp;col=6&amp;number=4.7&amp;sourceID=14","4.7")</f>
        <v>4.7</v>
      </c>
      <c r="G13301" s="4" t="str">
        <f>HYPERLINK("http://141.218.60.56/~jnz1568/getInfo.php?workbook=10_05.xlsx&amp;sheet=U0&amp;row=13301&amp;col=7&amp;number=0.0146&amp;sourceID=14","0.0146")</f>
        <v>0.0146</v>
      </c>
    </row>
    <row r="13302" spans="1:7">
      <c r="A13302" s="3"/>
      <c r="B13302" s="3"/>
      <c r="C13302" s="3"/>
      <c r="D13302" s="3"/>
      <c r="E13302" s="3">
        <v>19</v>
      </c>
      <c r="F13302" s="4" t="str">
        <f>HYPERLINK("http://141.218.60.56/~jnz1568/getInfo.php?workbook=10_05.xlsx&amp;sheet=U0&amp;row=13302&amp;col=6&amp;number=4.8&amp;sourceID=14","4.8")</f>
        <v>4.8</v>
      </c>
      <c r="G13302" s="4" t="str">
        <f>HYPERLINK("http://141.218.60.56/~jnz1568/getInfo.php?workbook=10_05.xlsx&amp;sheet=U0&amp;row=13302&amp;col=7&amp;number=0.0142&amp;sourceID=14","0.0142")</f>
        <v>0.0142</v>
      </c>
    </row>
    <row r="13303" spans="1:7">
      <c r="A13303" s="3"/>
      <c r="B13303" s="3"/>
      <c r="C13303" s="3"/>
      <c r="D13303" s="3"/>
      <c r="E13303" s="3">
        <v>20</v>
      </c>
      <c r="F13303" s="4" t="str">
        <f>HYPERLINK("http://141.218.60.56/~jnz1568/getInfo.php?workbook=10_05.xlsx&amp;sheet=U0&amp;row=13303&amp;col=6&amp;number=4.9&amp;sourceID=14","4.9")</f>
        <v>4.9</v>
      </c>
      <c r="G13303" s="4" t="str">
        <f>HYPERLINK("http://141.218.60.56/~jnz1568/getInfo.php?workbook=10_05.xlsx&amp;sheet=U0&amp;row=13303&amp;col=7&amp;number=0.0138&amp;sourceID=14","0.0138")</f>
        <v>0.0138</v>
      </c>
    </row>
    <row r="13304" spans="1:7">
      <c r="A13304" s="3">
        <v>10</v>
      </c>
      <c r="B13304" s="3">
        <v>5</v>
      </c>
      <c r="C13304" s="3">
        <v>4</v>
      </c>
      <c r="D13304" s="3">
        <v>136</v>
      </c>
      <c r="E13304" s="3">
        <v>1</v>
      </c>
      <c r="F13304" s="4" t="str">
        <f>HYPERLINK("http://141.218.60.56/~jnz1568/getInfo.php?workbook=10_05.xlsx&amp;sheet=U0&amp;row=13304&amp;col=6&amp;number=3&amp;sourceID=14","3")</f>
        <v>3</v>
      </c>
      <c r="G13304" s="4" t="str">
        <f>HYPERLINK("http://141.218.60.56/~jnz1568/getInfo.php?workbook=10_05.xlsx&amp;sheet=U0&amp;row=13304&amp;col=7&amp;number=0.0219&amp;sourceID=14","0.0219")</f>
        <v>0.0219</v>
      </c>
    </row>
    <row r="13305" spans="1:7">
      <c r="A13305" s="3"/>
      <c r="B13305" s="3"/>
      <c r="C13305" s="3"/>
      <c r="D13305" s="3"/>
      <c r="E13305" s="3">
        <v>2</v>
      </c>
      <c r="F13305" s="4" t="str">
        <f>HYPERLINK("http://141.218.60.56/~jnz1568/getInfo.php?workbook=10_05.xlsx&amp;sheet=U0&amp;row=13305&amp;col=6&amp;number=3.1&amp;sourceID=14","3.1")</f>
        <v>3.1</v>
      </c>
      <c r="G13305" s="4" t="str">
        <f>HYPERLINK("http://141.218.60.56/~jnz1568/getInfo.php?workbook=10_05.xlsx&amp;sheet=U0&amp;row=13305&amp;col=7&amp;number=0.0218&amp;sourceID=14","0.0218")</f>
        <v>0.0218</v>
      </c>
    </row>
    <row r="13306" spans="1:7">
      <c r="A13306" s="3"/>
      <c r="B13306" s="3"/>
      <c r="C13306" s="3"/>
      <c r="D13306" s="3"/>
      <c r="E13306" s="3">
        <v>3</v>
      </c>
      <c r="F13306" s="4" t="str">
        <f>HYPERLINK("http://141.218.60.56/~jnz1568/getInfo.php?workbook=10_05.xlsx&amp;sheet=U0&amp;row=13306&amp;col=6&amp;number=3.2&amp;sourceID=14","3.2")</f>
        <v>3.2</v>
      </c>
      <c r="G13306" s="4" t="str">
        <f>HYPERLINK("http://141.218.60.56/~jnz1568/getInfo.php?workbook=10_05.xlsx&amp;sheet=U0&amp;row=13306&amp;col=7&amp;number=0.0216&amp;sourceID=14","0.0216")</f>
        <v>0.0216</v>
      </c>
    </row>
    <row r="13307" spans="1:7">
      <c r="A13307" s="3"/>
      <c r="B13307" s="3"/>
      <c r="C13307" s="3"/>
      <c r="D13307" s="3"/>
      <c r="E13307" s="3">
        <v>4</v>
      </c>
      <c r="F13307" s="4" t="str">
        <f>HYPERLINK("http://141.218.60.56/~jnz1568/getInfo.php?workbook=10_05.xlsx&amp;sheet=U0&amp;row=13307&amp;col=6&amp;number=3.3&amp;sourceID=14","3.3")</f>
        <v>3.3</v>
      </c>
      <c r="G13307" s="4" t="str">
        <f>HYPERLINK("http://141.218.60.56/~jnz1568/getInfo.php?workbook=10_05.xlsx&amp;sheet=U0&amp;row=13307&amp;col=7&amp;number=0.0214&amp;sourceID=14","0.0214")</f>
        <v>0.0214</v>
      </c>
    </row>
    <row r="13308" spans="1:7">
      <c r="A13308" s="3"/>
      <c r="B13308" s="3"/>
      <c r="C13308" s="3"/>
      <c r="D13308" s="3"/>
      <c r="E13308" s="3">
        <v>5</v>
      </c>
      <c r="F13308" s="4" t="str">
        <f>HYPERLINK("http://141.218.60.56/~jnz1568/getInfo.php?workbook=10_05.xlsx&amp;sheet=U0&amp;row=13308&amp;col=6&amp;number=3.4&amp;sourceID=14","3.4")</f>
        <v>3.4</v>
      </c>
      <c r="G13308" s="4" t="str">
        <f>HYPERLINK("http://141.218.60.56/~jnz1568/getInfo.php?workbook=10_05.xlsx&amp;sheet=U0&amp;row=13308&amp;col=7&amp;number=0.0211&amp;sourceID=14","0.0211")</f>
        <v>0.0211</v>
      </c>
    </row>
    <row r="13309" spans="1:7">
      <c r="A13309" s="3"/>
      <c r="B13309" s="3"/>
      <c r="C13309" s="3"/>
      <c r="D13309" s="3"/>
      <c r="E13309" s="3">
        <v>6</v>
      </c>
      <c r="F13309" s="4" t="str">
        <f>HYPERLINK("http://141.218.60.56/~jnz1568/getInfo.php?workbook=10_05.xlsx&amp;sheet=U0&amp;row=13309&amp;col=6&amp;number=3.5&amp;sourceID=14","3.5")</f>
        <v>3.5</v>
      </c>
      <c r="G13309" s="4" t="str">
        <f>HYPERLINK("http://141.218.60.56/~jnz1568/getInfo.php?workbook=10_05.xlsx&amp;sheet=U0&amp;row=13309&amp;col=7&amp;number=0.0208&amp;sourceID=14","0.0208")</f>
        <v>0.0208</v>
      </c>
    </row>
    <row r="13310" spans="1:7">
      <c r="A13310" s="3"/>
      <c r="B13310" s="3"/>
      <c r="C13310" s="3"/>
      <c r="D13310" s="3"/>
      <c r="E13310" s="3">
        <v>7</v>
      </c>
      <c r="F13310" s="4" t="str">
        <f>HYPERLINK("http://141.218.60.56/~jnz1568/getInfo.php?workbook=10_05.xlsx&amp;sheet=U0&amp;row=13310&amp;col=6&amp;number=3.6&amp;sourceID=14","3.6")</f>
        <v>3.6</v>
      </c>
      <c r="G13310" s="4" t="str">
        <f>HYPERLINK("http://141.218.60.56/~jnz1568/getInfo.php?workbook=10_05.xlsx&amp;sheet=U0&amp;row=13310&amp;col=7&amp;number=0.0204&amp;sourceID=14","0.0204")</f>
        <v>0.0204</v>
      </c>
    </row>
    <row r="13311" spans="1:7">
      <c r="A13311" s="3"/>
      <c r="B13311" s="3"/>
      <c r="C13311" s="3"/>
      <c r="D13311" s="3"/>
      <c r="E13311" s="3">
        <v>8</v>
      </c>
      <c r="F13311" s="4" t="str">
        <f>HYPERLINK("http://141.218.60.56/~jnz1568/getInfo.php?workbook=10_05.xlsx&amp;sheet=U0&amp;row=13311&amp;col=6&amp;number=3.7&amp;sourceID=14","3.7")</f>
        <v>3.7</v>
      </c>
      <c r="G13311" s="4" t="str">
        <f>HYPERLINK("http://141.218.60.56/~jnz1568/getInfo.php?workbook=10_05.xlsx&amp;sheet=U0&amp;row=13311&amp;col=7&amp;number=0.0199&amp;sourceID=14","0.0199")</f>
        <v>0.0199</v>
      </c>
    </row>
    <row r="13312" spans="1:7">
      <c r="A13312" s="3"/>
      <c r="B13312" s="3"/>
      <c r="C13312" s="3"/>
      <c r="D13312" s="3"/>
      <c r="E13312" s="3">
        <v>9</v>
      </c>
      <c r="F13312" s="4" t="str">
        <f>HYPERLINK("http://141.218.60.56/~jnz1568/getInfo.php?workbook=10_05.xlsx&amp;sheet=U0&amp;row=13312&amp;col=6&amp;number=3.8&amp;sourceID=14","3.8")</f>
        <v>3.8</v>
      </c>
      <c r="G13312" s="4" t="str">
        <f>HYPERLINK("http://141.218.60.56/~jnz1568/getInfo.php?workbook=10_05.xlsx&amp;sheet=U0&amp;row=13312&amp;col=7&amp;number=0.0194&amp;sourceID=14","0.0194")</f>
        <v>0.0194</v>
      </c>
    </row>
    <row r="13313" spans="1:7">
      <c r="A13313" s="3"/>
      <c r="B13313" s="3"/>
      <c r="C13313" s="3"/>
      <c r="D13313" s="3"/>
      <c r="E13313" s="3">
        <v>10</v>
      </c>
      <c r="F13313" s="4" t="str">
        <f>HYPERLINK("http://141.218.60.56/~jnz1568/getInfo.php?workbook=10_05.xlsx&amp;sheet=U0&amp;row=13313&amp;col=6&amp;number=3.9&amp;sourceID=14","3.9")</f>
        <v>3.9</v>
      </c>
      <c r="G13313" s="4" t="str">
        <f>HYPERLINK("http://141.218.60.56/~jnz1568/getInfo.php?workbook=10_05.xlsx&amp;sheet=U0&amp;row=13313&amp;col=7&amp;number=0.0187&amp;sourceID=14","0.0187")</f>
        <v>0.0187</v>
      </c>
    </row>
    <row r="13314" spans="1:7">
      <c r="A13314" s="3"/>
      <c r="B13314" s="3"/>
      <c r="C13314" s="3"/>
      <c r="D13314" s="3"/>
      <c r="E13314" s="3">
        <v>11</v>
      </c>
      <c r="F13314" s="4" t="str">
        <f>HYPERLINK("http://141.218.60.56/~jnz1568/getInfo.php?workbook=10_05.xlsx&amp;sheet=U0&amp;row=13314&amp;col=6&amp;number=4&amp;sourceID=14","4")</f>
        <v>4</v>
      </c>
      <c r="G13314" s="4" t="str">
        <f>HYPERLINK("http://141.218.60.56/~jnz1568/getInfo.php?workbook=10_05.xlsx&amp;sheet=U0&amp;row=13314&amp;col=7&amp;number=0.0179&amp;sourceID=14","0.0179")</f>
        <v>0.0179</v>
      </c>
    </row>
    <row r="13315" spans="1:7">
      <c r="A13315" s="3"/>
      <c r="B13315" s="3"/>
      <c r="C13315" s="3"/>
      <c r="D13315" s="3"/>
      <c r="E13315" s="3">
        <v>12</v>
      </c>
      <c r="F13315" s="4" t="str">
        <f>HYPERLINK("http://141.218.60.56/~jnz1568/getInfo.php?workbook=10_05.xlsx&amp;sheet=U0&amp;row=13315&amp;col=6&amp;number=4.1&amp;sourceID=14","4.1")</f>
        <v>4.1</v>
      </c>
      <c r="G13315" s="4" t="str">
        <f>HYPERLINK("http://141.218.60.56/~jnz1568/getInfo.php?workbook=10_05.xlsx&amp;sheet=U0&amp;row=13315&amp;col=7&amp;number=0.017&amp;sourceID=14","0.017")</f>
        <v>0.017</v>
      </c>
    </row>
    <row r="13316" spans="1:7">
      <c r="A13316" s="3"/>
      <c r="B13316" s="3"/>
      <c r="C13316" s="3"/>
      <c r="D13316" s="3"/>
      <c r="E13316" s="3">
        <v>13</v>
      </c>
      <c r="F13316" s="4" t="str">
        <f>HYPERLINK("http://141.218.60.56/~jnz1568/getInfo.php?workbook=10_05.xlsx&amp;sheet=U0&amp;row=13316&amp;col=6&amp;number=4.2&amp;sourceID=14","4.2")</f>
        <v>4.2</v>
      </c>
      <c r="G13316" s="4" t="str">
        <f>HYPERLINK("http://141.218.60.56/~jnz1568/getInfo.php?workbook=10_05.xlsx&amp;sheet=U0&amp;row=13316&amp;col=7&amp;number=0.0161&amp;sourceID=14","0.0161")</f>
        <v>0.0161</v>
      </c>
    </row>
    <row r="13317" spans="1:7">
      <c r="A13317" s="3"/>
      <c r="B13317" s="3"/>
      <c r="C13317" s="3"/>
      <c r="D13317" s="3"/>
      <c r="E13317" s="3">
        <v>14</v>
      </c>
      <c r="F13317" s="4" t="str">
        <f>HYPERLINK("http://141.218.60.56/~jnz1568/getInfo.php?workbook=10_05.xlsx&amp;sheet=U0&amp;row=13317&amp;col=6&amp;number=4.3&amp;sourceID=14","4.3")</f>
        <v>4.3</v>
      </c>
      <c r="G13317" s="4" t="str">
        <f>HYPERLINK("http://141.218.60.56/~jnz1568/getInfo.php?workbook=10_05.xlsx&amp;sheet=U0&amp;row=13317&amp;col=7&amp;number=0.0153&amp;sourceID=14","0.0153")</f>
        <v>0.0153</v>
      </c>
    </row>
    <row r="13318" spans="1:7">
      <c r="A13318" s="3"/>
      <c r="B13318" s="3"/>
      <c r="C13318" s="3"/>
      <c r="D13318" s="3"/>
      <c r="E13318" s="3">
        <v>15</v>
      </c>
      <c r="F13318" s="4" t="str">
        <f>HYPERLINK("http://141.218.60.56/~jnz1568/getInfo.php?workbook=10_05.xlsx&amp;sheet=U0&amp;row=13318&amp;col=6&amp;number=4.4&amp;sourceID=14","4.4")</f>
        <v>4.4</v>
      </c>
      <c r="G13318" s="4" t="str">
        <f>HYPERLINK("http://141.218.60.56/~jnz1568/getInfo.php?workbook=10_05.xlsx&amp;sheet=U0&amp;row=13318&amp;col=7&amp;number=0.0147&amp;sourceID=14","0.0147")</f>
        <v>0.0147</v>
      </c>
    </row>
    <row r="13319" spans="1:7">
      <c r="A13319" s="3"/>
      <c r="B13319" s="3"/>
      <c r="C13319" s="3"/>
      <c r="D13319" s="3"/>
      <c r="E13319" s="3">
        <v>16</v>
      </c>
      <c r="F13319" s="4" t="str">
        <f>HYPERLINK("http://141.218.60.56/~jnz1568/getInfo.php?workbook=10_05.xlsx&amp;sheet=U0&amp;row=13319&amp;col=6&amp;number=4.5&amp;sourceID=14","4.5")</f>
        <v>4.5</v>
      </c>
      <c r="G13319" s="4" t="str">
        <f>HYPERLINK("http://141.218.60.56/~jnz1568/getInfo.php?workbook=10_05.xlsx&amp;sheet=U0&amp;row=13319&amp;col=7&amp;number=0.0143&amp;sourceID=14","0.0143")</f>
        <v>0.0143</v>
      </c>
    </row>
    <row r="13320" spans="1:7">
      <c r="A13320" s="3"/>
      <c r="B13320" s="3"/>
      <c r="C13320" s="3"/>
      <c r="D13320" s="3"/>
      <c r="E13320" s="3">
        <v>17</v>
      </c>
      <c r="F13320" s="4" t="str">
        <f>HYPERLINK("http://141.218.60.56/~jnz1568/getInfo.php?workbook=10_05.xlsx&amp;sheet=U0&amp;row=13320&amp;col=6&amp;number=4.6&amp;sourceID=14","4.6")</f>
        <v>4.6</v>
      </c>
      <c r="G13320" s="4" t="str">
        <f>HYPERLINK("http://141.218.60.56/~jnz1568/getInfo.php?workbook=10_05.xlsx&amp;sheet=U0&amp;row=13320&amp;col=7&amp;number=0.014&amp;sourceID=14","0.014")</f>
        <v>0.014</v>
      </c>
    </row>
    <row r="13321" spans="1:7">
      <c r="A13321" s="3"/>
      <c r="B13321" s="3"/>
      <c r="C13321" s="3"/>
      <c r="D13321" s="3"/>
      <c r="E13321" s="3">
        <v>18</v>
      </c>
      <c r="F13321" s="4" t="str">
        <f>HYPERLINK("http://141.218.60.56/~jnz1568/getInfo.php?workbook=10_05.xlsx&amp;sheet=U0&amp;row=13321&amp;col=6&amp;number=4.7&amp;sourceID=14","4.7")</f>
        <v>4.7</v>
      </c>
      <c r="G13321" s="4" t="str">
        <f>HYPERLINK("http://141.218.60.56/~jnz1568/getInfo.php?workbook=10_05.xlsx&amp;sheet=U0&amp;row=13321&amp;col=7&amp;number=0.0135&amp;sourceID=14","0.0135")</f>
        <v>0.0135</v>
      </c>
    </row>
    <row r="13322" spans="1:7">
      <c r="A13322" s="3"/>
      <c r="B13322" s="3"/>
      <c r="C13322" s="3"/>
      <c r="D13322" s="3"/>
      <c r="E13322" s="3">
        <v>19</v>
      </c>
      <c r="F13322" s="4" t="str">
        <f>HYPERLINK("http://141.218.60.56/~jnz1568/getInfo.php?workbook=10_05.xlsx&amp;sheet=U0&amp;row=13322&amp;col=6&amp;number=4.8&amp;sourceID=14","4.8")</f>
        <v>4.8</v>
      </c>
      <c r="G13322" s="4" t="str">
        <f>HYPERLINK("http://141.218.60.56/~jnz1568/getInfo.php?workbook=10_05.xlsx&amp;sheet=U0&amp;row=13322&amp;col=7&amp;number=0.013&amp;sourceID=14","0.013")</f>
        <v>0.013</v>
      </c>
    </row>
    <row r="13323" spans="1:7">
      <c r="A13323" s="3"/>
      <c r="B13323" s="3"/>
      <c r="C13323" s="3"/>
      <c r="D13323" s="3"/>
      <c r="E13323" s="3">
        <v>20</v>
      </c>
      <c r="F13323" s="4" t="str">
        <f>HYPERLINK("http://141.218.60.56/~jnz1568/getInfo.php?workbook=10_05.xlsx&amp;sheet=U0&amp;row=13323&amp;col=6&amp;number=4.9&amp;sourceID=14","4.9")</f>
        <v>4.9</v>
      </c>
      <c r="G13323" s="4" t="str">
        <f>HYPERLINK("http://141.218.60.56/~jnz1568/getInfo.php?workbook=10_05.xlsx&amp;sheet=U0&amp;row=13323&amp;col=7&amp;number=0.0125&amp;sourceID=14","0.0125")</f>
        <v>0.0125</v>
      </c>
    </row>
    <row r="13324" spans="1:7">
      <c r="A13324" s="3">
        <v>10</v>
      </c>
      <c r="B13324" s="3">
        <v>5</v>
      </c>
      <c r="C13324" s="3">
        <v>4</v>
      </c>
      <c r="D13324" s="3">
        <v>137</v>
      </c>
      <c r="E13324" s="3">
        <v>1</v>
      </c>
      <c r="F13324" s="4" t="str">
        <f>HYPERLINK("http://141.218.60.56/~jnz1568/getInfo.php?workbook=10_05.xlsx&amp;sheet=U0&amp;row=13324&amp;col=6&amp;number=3&amp;sourceID=14","3")</f>
        <v>3</v>
      </c>
      <c r="G13324" s="4" t="str">
        <f>HYPERLINK("http://141.218.60.56/~jnz1568/getInfo.php?workbook=10_05.xlsx&amp;sheet=U0&amp;row=13324&amp;col=7&amp;number=0.0212&amp;sourceID=14","0.0212")</f>
        <v>0.0212</v>
      </c>
    </row>
    <row r="13325" spans="1:7">
      <c r="A13325" s="3"/>
      <c r="B13325" s="3"/>
      <c r="C13325" s="3"/>
      <c r="D13325" s="3"/>
      <c r="E13325" s="3">
        <v>2</v>
      </c>
      <c r="F13325" s="4" t="str">
        <f>HYPERLINK("http://141.218.60.56/~jnz1568/getInfo.php?workbook=10_05.xlsx&amp;sheet=U0&amp;row=13325&amp;col=6&amp;number=3.1&amp;sourceID=14","3.1")</f>
        <v>3.1</v>
      </c>
      <c r="G13325" s="4" t="str">
        <f>HYPERLINK("http://141.218.60.56/~jnz1568/getInfo.php?workbook=10_05.xlsx&amp;sheet=U0&amp;row=13325&amp;col=7&amp;number=0.021&amp;sourceID=14","0.021")</f>
        <v>0.021</v>
      </c>
    </row>
    <row r="13326" spans="1:7">
      <c r="A13326" s="3"/>
      <c r="B13326" s="3"/>
      <c r="C13326" s="3"/>
      <c r="D13326" s="3"/>
      <c r="E13326" s="3">
        <v>3</v>
      </c>
      <c r="F13326" s="4" t="str">
        <f>HYPERLINK("http://141.218.60.56/~jnz1568/getInfo.php?workbook=10_05.xlsx&amp;sheet=U0&amp;row=13326&amp;col=6&amp;number=3.2&amp;sourceID=14","3.2")</f>
        <v>3.2</v>
      </c>
      <c r="G13326" s="4" t="str">
        <f>HYPERLINK("http://141.218.60.56/~jnz1568/getInfo.php?workbook=10_05.xlsx&amp;sheet=U0&amp;row=13326&amp;col=7&amp;number=0.0209&amp;sourceID=14","0.0209")</f>
        <v>0.0209</v>
      </c>
    </row>
    <row r="13327" spans="1:7">
      <c r="A13327" s="3"/>
      <c r="B13327" s="3"/>
      <c r="C13327" s="3"/>
      <c r="D13327" s="3"/>
      <c r="E13327" s="3">
        <v>4</v>
      </c>
      <c r="F13327" s="4" t="str">
        <f>HYPERLINK("http://141.218.60.56/~jnz1568/getInfo.php?workbook=10_05.xlsx&amp;sheet=U0&amp;row=13327&amp;col=6&amp;number=3.3&amp;sourceID=14","3.3")</f>
        <v>3.3</v>
      </c>
      <c r="G13327" s="4" t="str">
        <f>HYPERLINK("http://141.218.60.56/~jnz1568/getInfo.php?workbook=10_05.xlsx&amp;sheet=U0&amp;row=13327&amp;col=7&amp;number=0.0207&amp;sourceID=14","0.0207")</f>
        <v>0.0207</v>
      </c>
    </row>
    <row r="13328" spans="1:7">
      <c r="A13328" s="3"/>
      <c r="B13328" s="3"/>
      <c r="C13328" s="3"/>
      <c r="D13328" s="3"/>
      <c r="E13328" s="3">
        <v>5</v>
      </c>
      <c r="F13328" s="4" t="str">
        <f>HYPERLINK("http://141.218.60.56/~jnz1568/getInfo.php?workbook=10_05.xlsx&amp;sheet=U0&amp;row=13328&amp;col=6&amp;number=3.4&amp;sourceID=14","3.4")</f>
        <v>3.4</v>
      </c>
      <c r="G13328" s="4" t="str">
        <f>HYPERLINK("http://141.218.60.56/~jnz1568/getInfo.php?workbook=10_05.xlsx&amp;sheet=U0&amp;row=13328&amp;col=7&amp;number=0.0205&amp;sourceID=14","0.0205")</f>
        <v>0.0205</v>
      </c>
    </row>
    <row r="13329" spans="1:7">
      <c r="A13329" s="3"/>
      <c r="B13329" s="3"/>
      <c r="C13329" s="3"/>
      <c r="D13329" s="3"/>
      <c r="E13329" s="3">
        <v>6</v>
      </c>
      <c r="F13329" s="4" t="str">
        <f>HYPERLINK("http://141.218.60.56/~jnz1568/getInfo.php?workbook=10_05.xlsx&amp;sheet=U0&amp;row=13329&amp;col=6&amp;number=3.5&amp;sourceID=14","3.5")</f>
        <v>3.5</v>
      </c>
      <c r="G13329" s="4" t="str">
        <f>HYPERLINK("http://141.218.60.56/~jnz1568/getInfo.php?workbook=10_05.xlsx&amp;sheet=U0&amp;row=13329&amp;col=7&amp;number=0.0202&amp;sourceID=14","0.0202")</f>
        <v>0.0202</v>
      </c>
    </row>
    <row r="13330" spans="1:7">
      <c r="A13330" s="3"/>
      <c r="B13330" s="3"/>
      <c r="C13330" s="3"/>
      <c r="D13330" s="3"/>
      <c r="E13330" s="3">
        <v>7</v>
      </c>
      <c r="F13330" s="4" t="str">
        <f>HYPERLINK("http://141.218.60.56/~jnz1568/getInfo.php?workbook=10_05.xlsx&amp;sheet=U0&amp;row=13330&amp;col=6&amp;number=3.6&amp;sourceID=14","3.6")</f>
        <v>3.6</v>
      </c>
      <c r="G13330" s="4" t="str">
        <f>HYPERLINK("http://141.218.60.56/~jnz1568/getInfo.php?workbook=10_05.xlsx&amp;sheet=U0&amp;row=13330&amp;col=7&amp;number=0.0198&amp;sourceID=14","0.0198")</f>
        <v>0.0198</v>
      </c>
    </row>
    <row r="13331" spans="1:7">
      <c r="A13331" s="3"/>
      <c r="B13331" s="3"/>
      <c r="C13331" s="3"/>
      <c r="D13331" s="3"/>
      <c r="E13331" s="3">
        <v>8</v>
      </c>
      <c r="F13331" s="4" t="str">
        <f>HYPERLINK("http://141.218.60.56/~jnz1568/getInfo.php?workbook=10_05.xlsx&amp;sheet=U0&amp;row=13331&amp;col=6&amp;number=3.7&amp;sourceID=14","3.7")</f>
        <v>3.7</v>
      </c>
      <c r="G13331" s="4" t="str">
        <f>HYPERLINK("http://141.218.60.56/~jnz1568/getInfo.php?workbook=10_05.xlsx&amp;sheet=U0&amp;row=13331&amp;col=7&amp;number=0.0194&amp;sourceID=14","0.0194")</f>
        <v>0.0194</v>
      </c>
    </row>
    <row r="13332" spans="1:7">
      <c r="A13332" s="3"/>
      <c r="B13332" s="3"/>
      <c r="C13332" s="3"/>
      <c r="D13332" s="3"/>
      <c r="E13332" s="3">
        <v>9</v>
      </c>
      <c r="F13332" s="4" t="str">
        <f>HYPERLINK("http://141.218.60.56/~jnz1568/getInfo.php?workbook=10_05.xlsx&amp;sheet=U0&amp;row=13332&amp;col=6&amp;number=3.8&amp;sourceID=14","3.8")</f>
        <v>3.8</v>
      </c>
      <c r="G13332" s="4" t="str">
        <f>HYPERLINK("http://141.218.60.56/~jnz1568/getInfo.php?workbook=10_05.xlsx&amp;sheet=U0&amp;row=13332&amp;col=7&amp;number=0.0188&amp;sourceID=14","0.0188")</f>
        <v>0.0188</v>
      </c>
    </row>
    <row r="13333" spans="1:7">
      <c r="A13333" s="3"/>
      <c r="B13333" s="3"/>
      <c r="C13333" s="3"/>
      <c r="D13333" s="3"/>
      <c r="E13333" s="3">
        <v>10</v>
      </c>
      <c r="F13333" s="4" t="str">
        <f>HYPERLINK("http://141.218.60.56/~jnz1568/getInfo.php?workbook=10_05.xlsx&amp;sheet=U0&amp;row=13333&amp;col=6&amp;number=3.9&amp;sourceID=14","3.9")</f>
        <v>3.9</v>
      </c>
      <c r="G13333" s="4" t="str">
        <f>HYPERLINK("http://141.218.60.56/~jnz1568/getInfo.php?workbook=10_05.xlsx&amp;sheet=U0&amp;row=13333&amp;col=7&amp;number=0.0182&amp;sourceID=14","0.0182")</f>
        <v>0.0182</v>
      </c>
    </row>
    <row r="13334" spans="1:7">
      <c r="A13334" s="3"/>
      <c r="B13334" s="3"/>
      <c r="C13334" s="3"/>
      <c r="D13334" s="3"/>
      <c r="E13334" s="3">
        <v>11</v>
      </c>
      <c r="F13334" s="4" t="str">
        <f>HYPERLINK("http://141.218.60.56/~jnz1568/getInfo.php?workbook=10_05.xlsx&amp;sheet=U0&amp;row=13334&amp;col=6&amp;number=4&amp;sourceID=14","4")</f>
        <v>4</v>
      </c>
      <c r="G13334" s="4" t="str">
        <f>HYPERLINK("http://141.218.60.56/~jnz1568/getInfo.php?workbook=10_05.xlsx&amp;sheet=U0&amp;row=13334&amp;col=7&amp;number=0.0175&amp;sourceID=14","0.0175")</f>
        <v>0.0175</v>
      </c>
    </row>
    <row r="13335" spans="1:7">
      <c r="A13335" s="3"/>
      <c r="B13335" s="3"/>
      <c r="C13335" s="3"/>
      <c r="D13335" s="3"/>
      <c r="E13335" s="3">
        <v>12</v>
      </c>
      <c r="F13335" s="4" t="str">
        <f>HYPERLINK("http://141.218.60.56/~jnz1568/getInfo.php?workbook=10_05.xlsx&amp;sheet=U0&amp;row=13335&amp;col=6&amp;number=4.1&amp;sourceID=14","4.1")</f>
        <v>4.1</v>
      </c>
      <c r="G13335" s="4" t="str">
        <f>HYPERLINK("http://141.218.60.56/~jnz1568/getInfo.php?workbook=10_05.xlsx&amp;sheet=U0&amp;row=13335&amp;col=7&amp;number=0.0168&amp;sourceID=14","0.0168")</f>
        <v>0.0168</v>
      </c>
    </row>
    <row r="13336" spans="1:7">
      <c r="A13336" s="3"/>
      <c r="B13336" s="3"/>
      <c r="C13336" s="3"/>
      <c r="D13336" s="3"/>
      <c r="E13336" s="3">
        <v>13</v>
      </c>
      <c r="F13336" s="4" t="str">
        <f>HYPERLINK("http://141.218.60.56/~jnz1568/getInfo.php?workbook=10_05.xlsx&amp;sheet=U0&amp;row=13336&amp;col=6&amp;number=4.2&amp;sourceID=14","4.2")</f>
        <v>4.2</v>
      </c>
      <c r="G13336" s="4" t="str">
        <f>HYPERLINK("http://141.218.60.56/~jnz1568/getInfo.php?workbook=10_05.xlsx&amp;sheet=U0&amp;row=13336&amp;col=7&amp;number=0.0161&amp;sourceID=14","0.0161")</f>
        <v>0.0161</v>
      </c>
    </row>
    <row r="13337" spans="1:7">
      <c r="A13337" s="3"/>
      <c r="B13337" s="3"/>
      <c r="C13337" s="3"/>
      <c r="D13337" s="3"/>
      <c r="E13337" s="3">
        <v>14</v>
      </c>
      <c r="F13337" s="4" t="str">
        <f>HYPERLINK("http://141.218.60.56/~jnz1568/getInfo.php?workbook=10_05.xlsx&amp;sheet=U0&amp;row=13337&amp;col=6&amp;number=4.3&amp;sourceID=14","4.3")</f>
        <v>4.3</v>
      </c>
      <c r="G13337" s="4" t="str">
        <f>HYPERLINK("http://141.218.60.56/~jnz1568/getInfo.php?workbook=10_05.xlsx&amp;sheet=U0&amp;row=13337&amp;col=7&amp;number=0.0155&amp;sourceID=14","0.0155")</f>
        <v>0.0155</v>
      </c>
    </row>
    <row r="13338" spans="1:7">
      <c r="A13338" s="3"/>
      <c r="B13338" s="3"/>
      <c r="C13338" s="3"/>
      <c r="D13338" s="3"/>
      <c r="E13338" s="3">
        <v>15</v>
      </c>
      <c r="F13338" s="4" t="str">
        <f>HYPERLINK("http://141.218.60.56/~jnz1568/getInfo.php?workbook=10_05.xlsx&amp;sheet=U0&amp;row=13338&amp;col=6&amp;number=4.4&amp;sourceID=14","4.4")</f>
        <v>4.4</v>
      </c>
      <c r="G13338" s="4" t="str">
        <f>HYPERLINK("http://141.218.60.56/~jnz1568/getInfo.php?workbook=10_05.xlsx&amp;sheet=U0&amp;row=13338&amp;col=7&amp;number=0.0151&amp;sourceID=14","0.0151")</f>
        <v>0.0151</v>
      </c>
    </row>
    <row r="13339" spans="1:7">
      <c r="A13339" s="3"/>
      <c r="B13339" s="3"/>
      <c r="C13339" s="3"/>
      <c r="D13339" s="3"/>
      <c r="E13339" s="3">
        <v>16</v>
      </c>
      <c r="F13339" s="4" t="str">
        <f>HYPERLINK("http://141.218.60.56/~jnz1568/getInfo.php?workbook=10_05.xlsx&amp;sheet=U0&amp;row=13339&amp;col=6&amp;number=4.5&amp;sourceID=14","4.5")</f>
        <v>4.5</v>
      </c>
      <c r="G13339" s="4" t="str">
        <f>HYPERLINK("http://141.218.60.56/~jnz1568/getInfo.php?workbook=10_05.xlsx&amp;sheet=U0&amp;row=13339&amp;col=7&amp;number=0.0148&amp;sourceID=14","0.0148")</f>
        <v>0.0148</v>
      </c>
    </row>
    <row r="13340" spans="1:7">
      <c r="A13340" s="3"/>
      <c r="B13340" s="3"/>
      <c r="C13340" s="3"/>
      <c r="D13340" s="3"/>
      <c r="E13340" s="3">
        <v>17</v>
      </c>
      <c r="F13340" s="4" t="str">
        <f>HYPERLINK("http://141.218.60.56/~jnz1568/getInfo.php?workbook=10_05.xlsx&amp;sheet=U0&amp;row=13340&amp;col=6&amp;number=4.6&amp;sourceID=14","4.6")</f>
        <v>4.6</v>
      </c>
      <c r="G13340" s="4" t="str">
        <f>HYPERLINK("http://141.218.60.56/~jnz1568/getInfo.php?workbook=10_05.xlsx&amp;sheet=U0&amp;row=13340&amp;col=7&amp;number=0.0145&amp;sourceID=14","0.0145")</f>
        <v>0.0145</v>
      </c>
    </row>
    <row r="13341" spans="1:7">
      <c r="A13341" s="3"/>
      <c r="B13341" s="3"/>
      <c r="C13341" s="3"/>
      <c r="D13341" s="3"/>
      <c r="E13341" s="3">
        <v>18</v>
      </c>
      <c r="F13341" s="4" t="str">
        <f>HYPERLINK("http://141.218.60.56/~jnz1568/getInfo.php?workbook=10_05.xlsx&amp;sheet=U0&amp;row=13341&amp;col=6&amp;number=4.7&amp;sourceID=14","4.7")</f>
        <v>4.7</v>
      </c>
      <c r="G13341" s="4" t="str">
        <f>HYPERLINK("http://141.218.60.56/~jnz1568/getInfo.php?workbook=10_05.xlsx&amp;sheet=U0&amp;row=13341&amp;col=7&amp;number=0.0141&amp;sourceID=14","0.0141")</f>
        <v>0.0141</v>
      </c>
    </row>
    <row r="13342" spans="1:7">
      <c r="A13342" s="3"/>
      <c r="B13342" s="3"/>
      <c r="C13342" s="3"/>
      <c r="D13342" s="3"/>
      <c r="E13342" s="3">
        <v>19</v>
      </c>
      <c r="F13342" s="4" t="str">
        <f>HYPERLINK("http://141.218.60.56/~jnz1568/getInfo.php?workbook=10_05.xlsx&amp;sheet=U0&amp;row=13342&amp;col=6&amp;number=4.8&amp;sourceID=14","4.8")</f>
        <v>4.8</v>
      </c>
      <c r="G13342" s="4" t="str">
        <f>HYPERLINK("http://141.218.60.56/~jnz1568/getInfo.php?workbook=10_05.xlsx&amp;sheet=U0&amp;row=13342&amp;col=7&amp;number=0.0138&amp;sourceID=14","0.0138")</f>
        <v>0.0138</v>
      </c>
    </row>
    <row r="13343" spans="1:7">
      <c r="A13343" s="3"/>
      <c r="B13343" s="3"/>
      <c r="C13343" s="3"/>
      <c r="D13343" s="3"/>
      <c r="E13343" s="3">
        <v>20</v>
      </c>
      <c r="F13343" s="4" t="str">
        <f>HYPERLINK("http://141.218.60.56/~jnz1568/getInfo.php?workbook=10_05.xlsx&amp;sheet=U0&amp;row=13343&amp;col=6&amp;number=4.9&amp;sourceID=14","4.9")</f>
        <v>4.9</v>
      </c>
      <c r="G13343" s="4" t="str">
        <f>HYPERLINK("http://141.218.60.56/~jnz1568/getInfo.php?workbook=10_05.xlsx&amp;sheet=U0&amp;row=13343&amp;col=7&amp;number=0.0135&amp;sourceID=14","0.0135")</f>
        <v>0.0135</v>
      </c>
    </row>
    <row r="13344" spans="1:7">
      <c r="A13344" s="3">
        <v>10</v>
      </c>
      <c r="B13344" s="3">
        <v>5</v>
      </c>
      <c r="C13344" s="3">
        <v>4</v>
      </c>
      <c r="D13344" s="3">
        <v>138</v>
      </c>
      <c r="E13344" s="3">
        <v>1</v>
      </c>
      <c r="F13344" s="4" t="str">
        <f>HYPERLINK("http://141.218.60.56/~jnz1568/getInfo.php?workbook=10_05.xlsx&amp;sheet=U0&amp;row=13344&amp;col=6&amp;number=3&amp;sourceID=14","3")</f>
        <v>3</v>
      </c>
      <c r="G13344" s="4" t="str">
        <f>HYPERLINK("http://141.218.60.56/~jnz1568/getInfo.php?workbook=10_05.xlsx&amp;sheet=U0&amp;row=13344&amp;col=7&amp;number=0.000882&amp;sourceID=14","0.000882")</f>
        <v>0.000882</v>
      </c>
    </row>
    <row r="13345" spans="1:7">
      <c r="A13345" s="3"/>
      <c r="B13345" s="3"/>
      <c r="C13345" s="3"/>
      <c r="D13345" s="3"/>
      <c r="E13345" s="3">
        <v>2</v>
      </c>
      <c r="F13345" s="4" t="str">
        <f>HYPERLINK("http://141.218.60.56/~jnz1568/getInfo.php?workbook=10_05.xlsx&amp;sheet=U0&amp;row=13345&amp;col=6&amp;number=3.1&amp;sourceID=14","3.1")</f>
        <v>3.1</v>
      </c>
      <c r="G13345" s="4" t="str">
        <f>HYPERLINK("http://141.218.60.56/~jnz1568/getInfo.php?workbook=10_05.xlsx&amp;sheet=U0&amp;row=13345&amp;col=7&amp;number=0.000879&amp;sourceID=14","0.000879")</f>
        <v>0.000879</v>
      </c>
    </row>
    <row r="13346" spans="1:7">
      <c r="A13346" s="3"/>
      <c r="B13346" s="3"/>
      <c r="C13346" s="3"/>
      <c r="D13346" s="3"/>
      <c r="E13346" s="3">
        <v>3</v>
      </c>
      <c r="F13346" s="4" t="str">
        <f>HYPERLINK("http://141.218.60.56/~jnz1568/getInfo.php?workbook=10_05.xlsx&amp;sheet=U0&amp;row=13346&amp;col=6&amp;number=3.2&amp;sourceID=14","3.2")</f>
        <v>3.2</v>
      </c>
      <c r="G13346" s="4" t="str">
        <f>HYPERLINK("http://141.218.60.56/~jnz1568/getInfo.php?workbook=10_05.xlsx&amp;sheet=U0&amp;row=13346&amp;col=7&amp;number=0.000874&amp;sourceID=14","0.000874")</f>
        <v>0.000874</v>
      </c>
    </row>
    <row r="13347" spans="1:7">
      <c r="A13347" s="3"/>
      <c r="B13347" s="3"/>
      <c r="C13347" s="3"/>
      <c r="D13347" s="3"/>
      <c r="E13347" s="3">
        <v>4</v>
      </c>
      <c r="F13347" s="4" t="str">
        <f>HYPERLINK("http://141.218.60.56/~jnz1568/getInfo.php?workbook=10_05.xlsx&amp;sheet=U0&amp;row=13347&amp;col=6&amp;number=3.3&amp;sourceID=14","3.3")</f>
        <v>3.3</v>
      </c>
      <c r="G13347" s="4" t="str">
        <f>HYPERLINK("http://141.218.60.56/~jnz1568/getInfo.php?workbook=10_05.xlsx&amp;sheet=U0&amp;row=13347&amp;col=7&amp;number=0.000868&amp;sourceID=14","0.000868")</f>
        <v>0.000868</v>
      </c>
    </row>
    <row r="13348" spans="1:7">
      <c r="A13348" s="3"/>
      <c r="B13348" s="3"/>
      <c r="C13348" s="3"/>
      <c r="D13348" s="3"/>
      <c r="E13348" s="3">
        <v>5</v>
      </c>
      <c r="F13348" s="4" t="str">
        <f>HYPERLINK("http://141.218.60.56/~jnz1568/getInfo.php?workbook=10_05.xlsx&amp;sheet=U0&amp;row=13348&amp;col=6&amp;number=3.4&amp;sourceID=14","3.4")</f>
        <v>3.4</v>
      </c>
      <c r="G13348" s="4" t="str">
        <f>HYPERLINK("http://141.218.60.56/~jnz1568/getInfo.php?workbook=10_05.xlsx&amp;sheet=U0&amp;row=13348&amp;col=7&amp;number=0.000861&amp;sourceID=14","0.000861")</f>
        <v>0.000861</v>
      </c>
    </row>
    <row r="13349" spans="1:7">
      <c r="A13349" s="3"/>
      <c r="B13349" s="3"/>
      <c r="C13349" s="3"/>
      <c r="D13349" s="3"/>
      <c r="E13349" s="3">
        <v>6</v>
      </c>
      <c r="F13349" s="4" t="str">
        <f>HYPERLINK("http://141.218.60.56/~jnz1568/getInfo.php?workbook=10_05.xlsx&amp;sheet=U0&amp;row=13349&amp;col=6&amp;number=3.5&amp;sourceID=14","3.5")</f>
        <v>3.5</v>
      </c>
      <c r="G13349" s="4" t="str">
        <f>HYPERLINK("http://141.218.60.56/~jnz1568/getInfo.php?workbook=10_05.xlsx&amp;sheet=U0&amp;row=13349&amp;col=7&amp;number=0.000852&amp;sourceID=14","0.000852")</f>
        <v>0.000852</v>
      </c>
    </row>
    <row r="13350" spans="1:7">
      <c r="A13350" s="3"/>
      <c r="B13350" s="3"/>
      <c r="C13350" s="3"/>
      <c r="D13350" s="3"/>
      <c r="E13350" s="3">
        <v>7</v>
      </c>
      <c r="F13350" s="4" t="str">
        <f>HYPERLINK("http://141.218.60.56/~jnz1568/getInfo.php?workbook=10_05.xlsx&amp;sheet=U0&amp;row=13350&amp;col=6&amp;number=3.6&amp;sourceID=14","3.6")</f>
        <v>3.6</v>
      </c>
      <c r="G13350" s="4" t="str">
        <f>HYPERLINK("http://141.218.60.56/~jnz1568/getInfo.php?workbook=10_05.xlsx&amp;sheet=U0&amp;row=13350&amp;col=7&amp;number=0.00084&amp;sourceID=14","0.00084")</f>
        <v>0.00084</v>
      </c>
    </row>
    <row r="13351" spans="1:7">
      <c r="A13351" s="3"/>
      <c r="B13351" s="3"/>
      <c r="C13351" s="3"/>
      <c r="D13351" s="3"/>
      <c r="E13351" s="3">
        <v>8</v>
      </c>
      <c r="F13351" s="4" t="str">
        <f>HYPERLINK("http://141.218.60.56/~jnz1568/getInfo.php?workbook=10_05.xlsx&amp;sheet=U0&amp;row=13351&amp;col=6&amp;number=3.7&amp;sourceID=14","3.7")</f>
        <v>3.7</v>
      </c>
      <c r="G13351" s="4" t="str">
        <f>HYPERLINK("http://141.218.60.56/~jnz1568/getInfo.php?workbook=10_05.xlsx&amp;sheet=U0&amp;row=13351&amp;col=7&amp;number=0.000826&amp;sourceID=14","0.000826")</f>
        <v>0.000826</v>
      </c>
    </row>
    <row r="13352" spans="1:7">
      <c r="A13352" s="3"/>
      <c r="B13352" s="3"/>
      <c r="C13352" s="3"/>
      <c r="D13352" s="3"/>
      <c r="E13352" s="3">
        <v>9</v>
      </c>
      <c r="F13352" s="4" t="str">
        <f>HYPERLINK("http://141.218.60.56/~jnz1568/getInfo.php?workbook=10_05.xlsx&amp;sheet=U0&amp;row=13352&amp;col=6&amp;number=3.8&amp;sourceID=14","3.8")</f>
        <v>3.8</v>
      </c>
      <c r="G13352" s="4" t="str">
        <f>HYPERLINK("http://141.218.60.56/~jnz1568/getInfo.php?workbook=10_05.xlsx&amp;sheet=U0&amp;row=13352&amp;col=7&amp;number=0.000809&amp;sourceID=14","0.000809")</f>
        <v>0.000809</v>
      </c>
    </row>
    <row r="13353" spans="1:7">
      <c r="A13353" s="3"/>
      <c r="B13353" s="3"/>
      <c r="C13353" s="3"/>
      <c r="D13353" s="3"/>
      <c r="E13353" s="3">
        <v>10</v>
      </c>
      <c r="F13353" s="4" t="str">
        <f>HYPERLINK("http://141.218.60.56/~jnz1568/getInfo.php?workbook=10_05.xlsx&amp;sheet=U0&amp;row=13353&amp;col=6&amp;number=3.9&amp;sourceID=14","3.9")</f>
        <v>3.9</v>
      </c>
      <c r="G13353" s="4" t="str">
        <f>HYPERLINK("http://141.218.60.56/~jnz1568/getInfo.php?workbook=10_05.xlsx&amp;sheet=U0&amp;row=13353&amp;col=7&amp;number=0.000788&amp;sourceID=14","0.000788")</f>
        <v>0.000788</v>
      </c>
    </row>
    <row r="13354" spans="1:7">
      <c r="A13354" s="3"/>
      <c r="B13354" s="3"/>
      <c r="C13354" s="3"/>
      <c r="D13354" s="3"/>
      <c r="E13354" s="3">
        <v>11</v>
      </c>
      <c r="F13354" s="4" t="str">
        <f>HYPERLINK("http://141.218.60.56/~jnz1568/getInfo.php?workbook=10_05.xlsx&amp;sheet=U0&amp;row=13354&amp;col=6&amp;number=4&amp;sourceID=14","4")</f>
        <v>4</v>
      </c>
      <c r="G13354" s="4" t="str">
        <f>HYPERLINK("http://141.218.60.56/~jnz1568/getInfo.php?workbook=10_05.xlsx&amp;sheet=U0&amp;row=13354&amp;col=7&amp;number=0.000763&amp;sourceID=14","0.000763")</f>
        <v>0.000763</v>
      </c>
    </row>
    <row r="13355" spans="1:7">
      <c r="A13355" s="3"/>
      <c r="B13355" s="3"/>
      <c r="C13355" s="3"/>
      <c r="D13355" s="3"/>
      <c r="E13355" s="3">
        <v>12</v>
      </c>
      <c r="F13355" s="4" t="str">
        <f>HYPERLINK("http://141.218.60.56/~jnz1568/getInfo.php?workbook=10_05.xlsx&amp;sheet=U0&amp;row=13355&amp;col=6&amp;number=4.1&amp;sourceID=14","4.1")</f>
        <v>4.1</v>
      </c>
      <c r="G13355" s="4" t="str">
        <f>HYPERLINK("http://141.218.60.56/~jnz1568/getInfo.php?workbook=10_05.xlsx&amp;sheet=U0&amp;row=13355&amp;col=7&amp;number=0.000734&amp;sourceID=14","0.000734")</f>
        <v>0.000734</v>
      </c>
    </row>
    <row r="13356" spans="1:7">
      <c r="A13356" s="3"/>
      <c r="B13356" s="3"/>
      <c r="C13356" s="3"/>
      <c r="D13356" s="3"/>
      <c r="E13356" s="3">
        <v>13</v>
      </c>
      <c r="F13356" s="4" t="str">
        <f>HYPERLINK("http://141.218.60.56/~jnz1568/getInfo.php?workbook=10_05.xlsx&amp;sheet=U0&amp;row=13356&amp;col=6&amp;number=4.2&amp;sourceID=14","4.2")</f>
        <v>4.2</v>
      </c>
      <c r="G13356" s="4" t="str">
        <f>HYPERLINK("http://141.218.60.56/~jnz1568/getInfo.php?workbook=10_05.xlsx&amp;sheet=U0&amp;row=13356&amp;col=7&amp;number=0.000701&amp;sourceID=14","0.000701")</f>
        <v>0.000701</v>
      </c>
    </row>
    <row r="13357" spans="1:7">
      <c r="A13357" s="3"/>
      <c r="B13357" s="3"/>
      <c r="C13357" s="3"/>
      <c r="D13357" s="3"/>
      <c r="E13357" s="3">
        <v>14</v>
      </c>
      <c r="F13357" s="4" t="str">
        <f>HYPERLINK("http://141.218.60.56/~jnz1568/getInfo.php?workbook=10_05.xlsx&amp;sheet=U0&amp;row=13357&amp;col=6&amp;number=4.3&amp;sourceID=14","4.3")</f>
        <v>4.3</v>
      </c>
      <c r="G13357" s="4" t="str">
        <f>HYPERLINK("http://141.218.60.56/~jnz1568/getInfo.php?workbook=10_05.xlsx&amp;sheet=U0&amp;row=13357&amp;col=7&amp;number=0.000665&amp;sourceID=14","0.000665")</f>
        <v>0.000665</v>
      </c>
    </row>
    <row r="13358" spans="1:7">
      <c r="A13358" s="3"/>
      <c r="B13358" s="3"/>
      <c r="C13358" s="3"/>
      <c r="D13358" s="3"/>
      <c r="E13358" s="3">
        <v>15</v>
      </c>
      <c r="F13358" s="4" t="str">
        <f>HYPERLINK("http://141.218.60.56/~jnz1568/getInfo.php?workbook=10_05.xlsx&amp;sheet=U0&amp;row=13358&amp;col=6&amp;number=4.4&amp;sourceID=14","4.4")</f>
        <v>4.4</v>
      </c>
      <c r="G13358" s="4" t="str">
        <f>HYPERLINK("http://141.218.60.56/~jnz1568/getInfo.php?workbook=10_05.xlsx&amp;sheet=U0&amp;row=13358&amp;col=7&amp;number=0.00063&amp;sourceID=14","0.00063")</f>
        <v>0.00063</v>
      </c>
    </row>
    <row r="13359" spans="1:7">
      <c r="A13359" s="3"/>
      <c r="B13359" s="3"/>
      <c r="C13359" s="3"/>
      <c r="D13359" s="3"/>
      <c r="E13359" s="3">
        <v>16</v>
      </c>
      <c r="F13359" s="4" t="str">
        <f>HYPERLINK("http://141.218.60.56/~jnz1568/getInfo.php?workbook=10_05.xlsx&amp;sheet=U0&amp;row=13359&amp;col=6&amp;number=4.5&amp;sourceID=14","4.5")</f>
        <v>4.5</v>
      </c>
      <c r="G13359" s="4" t="str">
        <f>HYPERLINK("http://141.218.60.56/~jnz1568/getInfo.php?workbook=10_05.xlsx&amp;sheet=U0&amp;row=13359&amp;col=7&amp;number=0.000598&amp;sourceID=14","0.000598")</f>
        <v>0.000598</v>
      </c>
    </row>
    <row r="13360" spans="1:7">
      <c r="A13360" s="3"/>
      <c r="B13360" s="3"/>
      <c r="C13360" s="3"/>
      <c r="D13360" s="3"/>
      <c r="E13360" s="3">
        <v>17</v>
      </c>
      <c r="F13360" s="4" t="str">
        <f>HYPERLINK("http://141.218.60.56/~jnz1568/getInfo.php?workbook=10_05.xlsx&amp;sheet=U0&amp;row=13360&amp;col=6&amp;number=4.6&amp;sourceID=14","4.6")</f>
        <v>4.6</v>
      </c>
      <c r="G13360" s="4" t="str">
        <f>HYPERLINK("http://141.218.60.56/~jnz1568/getInfo.php?workbook=10_05.xlsx&amp;sheet=U0&amp;row=13360&amp;col=7&amp;number=0.000569&amp;sourceID=14","0.000569")</f>
        <v>0.000569</v>
      </c>
    </row>
    <row r="13361" spans="1:7">
      <c r="A13361" s="3"/>
      <c r="B13361" s="3"/>
      <c r="C13361" s="3"/>
      <c r="D13361" s="3"/>
      <c r="E13361" s="3">
        <v>18</v>
      </c>
      <c r="F13361" s="4" t="str">
        <f>HYPERLINK("http://141.218.60.56/~jnz1568/getInfo.php?workbook=10_05.xlsx&amp;sheet=U0&amp;row=13361&amp;col=6&amp;number=4.7&amp;sourceID=14","4.7")</f>
        <v>4.7</v>
      </c>
      <c r="G13361" s="4" t="str">
        <f>HYPERLINK("http://141.218.60.56/~jnz1568/getInfo.php?workbook=10_05.xlsx&amp;sheet=U0&amp;row=13361&amp;col=7&amp;number=0.000543&amp;sourceID=14","0.000543")</f>
        <v>0.000543</v>
      </c>
    </row>
    <row r="13362" spans="1:7">
      <c r="A13362" s="3"/>
      <c r="B13362" s="3"/>
      <c r="C13362" s="3"/>
      <c r="D13362" s="3"/>
      <c r="E13362" s="3">
        <v>19</v>
      </c>
      <c r="F13362" s="4" t="str">
        <f>HYPERLINK("http://141.218.60.56/~jnz1568/getInfo.php?workbook=10_05.xlsx&amp;sheet=U0&amp;row=13362&amp;col=6&amp;number=4.8&amp;sourceID=14","4.8")</f>
        <v>4.8</v>
      </c>
      <c r="G13362" s="4" t="str">
        <f>HYPERLINK("http://141.218.60.56/~jnz1568/getInfo.php?workbook=10_05.xlsx&amp;sheet=U0&amp;row=13362&amp;col=7&amp;number=0.000516&amp;sourceID=14","0.000516")</f>
        <v>0.000516</v>
      </c>
    </row>
    <row r="13363" spans="1:7">
      <c r="A13363" s="3"/>
      <c r="B13363" s="3"/>
      <c r="C13363" s="3"/>
      <c r="D13363" s="3"/>
      <c r="E13363" s="3">
        <v>20</v>
      </c>
      <c r="F13363" s="4" t="str">
        <f>HYPERLINK("http://141.218.60.56/~jnz1568/getInfo.php?workbook=10_05.xlsx&amp;sheet=U0&amp;row=13363&amp;col=6&amp;number=4.9&amp;sourceID=14","4.9")</f>
        <v>4.9</v>
      </c>
      <c r="G13363" s="4" t="str">
        <f>HYPERLINK("http://141.218.60.56/~jnz1568/getInfo.php?workbook=10_05.xlsx&amp;sheet=U0&amp;row=13363&amp;col=7&amp;number=0.00049&amp;sourceID=14","0.00049")</f>
        <v>0.00049</v>
      </c>
    </row>
    <row r="13364" spans="1:7">
      <c r="A13364" s="3">
        <v>10</v>
      </c>
      <c r="B13364" s="3">
        <v>5</v>
      </c>
      <c r="C13364" s="3">
        <v>4</v>
      </c>
      <c r="D13364" s="3">
        <v>139</v>
      </c>
      <c r="E13364" s="3">
        <v>1</v>
      </c>
      <c r="F13364" s="4" t="str">
        <f>HYPERLINK("http://141.218.60.56/~jnz1568/getInfo.php?workbook=10_05.xlsx&amp;sheet=U0&amp;row=13364&amp;col=6&amp;number=3&amp;sourceID=14","3")</f>
        <v>3</v>
      </c>
      <c r="G13364" s="4" t="str">
        <f>HYPERLINK("http://141.218.60.56/~jnz1568/getInfo.php?workbook=10_05.xlsx&amp;sheet=U0&amp;row=13364&amp;col=7&amp;number=0.00111&amp;sourceID=14","0.00111")</f>
        <v>0.00111</v>
      </c>
    </row>
    <row r="13365" spans="1:7">
      <c r="A13365" s="3"/>
      <c r="B13365" s="3"/>
      <c r="C13365" s="3"/>
      <c r="D13365" s="3"/>
      <c r="E13365" s="3">
        <v>2</v>
      </c>
      <c r="F13365" s="4" t="str">
        <f>HYPERLINK("http://141.218.60.56/~jnz1568/getInfo.php?workbook=10_05.xlsx&amp;sheet=U0&amp;row=13365&amp;col=6&amp;number=3.1&amp;sourceID=14","3.1")</f>
        <v>3.1</v>
      </c>
      <c r="G13365" s="4" t="str">
        <f>HYPERLINK("http://141.218.60.56/~jnz1568/getInfo.php?workbook=10_05.xlsx&amp;sheet=U0&amp;row=13365&amp;col=7&amp;number=0.00111&amp;sourceID=14","0.00111")</f>
        <v>0.00111</v>
      </c>
    </row>
    <row r="13366" spans="1:7">
      <c r="A13366" s="3"/>
      <c r="B13366" s="3"/>
      <c r="C13366" s="3"/>
      <c r="D13366" s="3"/>
      <c r="E13366" s="3">
        <v>3</v>
      </c>
      <c r="F13366" s="4" t="str">
        <f>HYPERLINK("http://141.218.60.56/~jnz1568/getInfo.php?workbook=10_05.xlsx&amp;sheet=U0&amp;row=13366&amp;col=6&amp;number=3.2&amp;sourceID=14","3.2")</f>
        <v>3.2</v>
      </c>
      <c r="G13366" s="4" t="str">
        <f>HYPERLINK("http://141.218.60.56/~jnz1568/getInfo.php?workbook=10_05.xlsx&amp;sheet=U0&amp;row=13366&amp;col=7&amp;number=0.0011&amp;sourceID=14","0.0011")</f>
        <v>0.0011</v>
      </c>
    </row>
    <row r="13367" spans="1:7">
      <c r="A13367" s="3"/>
      <c r="B13367" s="3"/>
      <c r="C13367" s="3"/>
      <c r="D13367" s="3"/>
      <c r="E13367" s="3">
        <v>4</v>
      </c>
      <c r="F13367" s="4" t="str">
        <f>HYPERLINK("http://141.218.60.56/~jnz1568/getInfo.php?workbook=10_05.xlsx&amp;sheet=U0&amp;row=13367&amp;col=6&amp;number=3.3&amp;sourceID=14","3.3")</f>
        <v>3.3</v>
      </c>
      <c r="G13367" s="4" t="str">
        <f>HYPERLINK("http://141.218.60.56/~jnz1568/getInfo.php?workbook=10_05.xlsx&amp;sheet=U0&amp;row=13367&amp;col=7&amp;number=0.00109&amp;sourceID=14","0.00109")</f>
        <v>0.00109</v>
      </c>
    </row>
    <row r="13368" spans="1:7">
      <c r="A13368" s="3"/>
      <c r="B13368" s="3"/>
      <c r="C13368" s="3"/>
      <c r="D13368" s="3"/>
      <c r="E13368" s="3">
        <v>5</v>
      </c>
      <c r="F13368" s="4" t="str">
        <f>HYPERLINK("http://141.218.60.56/~jnz1568/getInfo.php?workbook=10_05.xlsx&amp;sheet=U0&amp;row=13368&amp;col=6&amp;number=3.4&amp;sourceID=14","3.4")</f>
        <v>3.4</v>
      </c>
      <c r="G13368" s="4" t="str">
        <f>HYPERLINK("http://141.218.60.56/~jnz1568/getInfo.php?workbook=10_05.xlsx&amp;sheet=U0&amp;row=13368&amp;col=7&amp;number=0.00107&amp;sourceID=14","0.00107")</f>
        <v>0.00107</v>
      </c>
    </row>
    <row r="13369" spans="1:7">
      <c r="A13369" s="3"/>
      <c r="B13369" s="3"/>
      <c r="C13369" s="3"/>
      <c r="D13369" s="3"/>
      <c r="E13369" s="3">
        <v>6</v>
      </c>
      <c r="F13369" s="4" t="str">
        <f>HYPERLINK("http://141.218.60.56/~jnz1568/getInfo.php?workbook=10_05.xlsx&amp;sheet=U0&amp;row=13369&amp;col=6&amp;number=3.5&amp;sourceID=14","3.5")</f>
        <v>3.5</v>
      </c>
      <c r="G13369" s="4" t="str">
        <f>HYPERLINK("http://141.218.60.56/~jnz1568/getInfo.php?workbook=10_05.xlsx&amp;sheet=U0&amp;row=13369&amp;col=7&amp;number=0.00105&amp;sourceID=14","0.00105")</f>
        <v>0.00105</v>
      </c>
    </row>
    <row r="13370" spans="1:7">
      <c r="A13370" s="3"/>
      <c r="B13370" s="3"/>
      <c r="C13370" s="3"/>
      <c r="D13370" s="3"/>
      <c r="E13370" s="3">
        <v>7</v>
      </c>
      <c r="F13370" s="4" t="str">
        <f>HYPERLINK("http://141.218.60.56/~jnz1568/getInfo.php?workbook=10_05.xlsx&amp;sheet=U0&amp;row=13370&amp;col=6&amp;number=3.6&amp;sourceID=14","3.6")</f>
        <v>3.6</v>
      </c>
      <c r="G13370" s="4" t="str">
        <f>HYPERLINK("http://141.218.60.56/~jnz1568/getInfo.php?workbook=10_05.xlsx&amp;sheet=U0&amp;row=13370&amp;col=7&amp;number=0.00103&amp;sourceID=14","0.00103")</f>
        <v>0.00103</v>
      </c>
    </row>
    <row r="13371" spans="1:7">
      <c r="A13371" s="3"/>
      <c r="B13371" s="3"/>
      <c r="C13371" s="3"/>
      <c r="D13371" s="3"/>
      <c r="E13371" s="3">
        <v>8</v>
      </c>
      <c r="F13371" s="4" t="str">
        <f>HYPERLINK("http://141.218.60.56/~jnz1568/getInfo.php?workbook=10_05.xlsx&amp;sheet=U0&amp;row=13371&amp;col=6&amp;number=3.7&amp;sourceID=14","3.7")</f>
        <v>3.7</v>
      </c>
      <c r="G13371" s="4" t="str">
        <f>HYPERLINK("http://141.218.60.56/~jnz1568/getInfo.php?workbook=10_05.xlsx&amp;sheet=U0&amp;row=13371&amp;col=7&amp;number=0.001&amp;sourceID=14","0.001")</f>
        <v>0.001</v>
      </c>
    </row>
    <row r="13372" spans="1:7">
      <c r="A13372" s="3"/>
      <c r="B13372" s="3"/>
      <c r="C13372" s="3"/>
      <c r="D13372" s="3"/>
      <c r="E13372" s="3">
        <v>9</v>
      </c>
      <c r="F13372" s="4" t="str">
        <f>HYPERLINK("http://141.218.60.56/~jnz1568/getInfo.php?workbook=10_05.xlsx&amp;sheet=U0&amp;row=13372&amp;col=6&amp;number=3.8&amp;sourceID=14","3.8")</f>
        <v>3.8</v>
      </c>
      <c r="G13372" s="4" t="str">
        <f>HYPERLINK("http://141.218.60.56/~jnz1568/getInfo.php?workbook=10_05.xlsx&amp;sheet=U0&amp;row=13372&amp;col=7&amp;number=0.000968&amp;sourceID=14","0.000968")</f>
        <v>0.000968</v>
      </c>
    </row>
    <row r="13373" spans="1:7">
      <c r="A13373" s="3"/>
      <c r="B13373" s="3"/>
      <c r="C13373" s="3"/>
      <c r="D13373" s="3"/>
      <c r="E13373" s="3">
        <v>10</v>
      </c>
      <c r="F13373" s="4" t="str">
        <f>HYPERLINK("http://141.218.60.56/~jnz1568/getInfo.php?workbook=10_05.xlsx&amp;sheet=U0&amp;row=13373&amp;col=6&amp;number=3.9&amp;sourceID=14","3.9")</f>
        <v>3.9</v>
      </c>
      <c r="G13373" s="4" t="str">
        <f>HYPERLINK("http://141.218.60.56/~jnz1568/getInfo.php?workbook=10_05.xlsx&amp;sheet=U0&amp;row=13373&amp;col=7&amp;number=0.000928&amp;sourceID=14","0.000928")</f>
        <v>0.000928</v>
      </c>
    </row>
    <row r="13374" spans="1:7">
      <c r="A13374" s="3"/>
      <c r="B13374" s="3"/>
      <c r="C13374" s="3"/>
      <c r="D13374" s="3"/>
      <c r="E13374" s="3">
        <v>11</v>
      </c>
      <c r="F13374" s="4" t="str">
        <f>HYPERLINK("http://141.218.60.56/~jnz1568/getInfo.php?workbook=10_05.xlsx&amp;sheet=U0&amp;row=13374&amp;col=6&amp;number=4&amp;sourceID=14","4")</f>
        <v>4</v>
      </c>
      <c r="G13374" s="4" t="str">
        <f>HYPERLINK("http://141.218.60.56/~jnz1568/getInfo.php?workbook=10_05.xlsx&amp;sheet=U0&amp;row=13374&amp;col=7&amp;number=0.000881&amp;sourceID=14","0.000881")</f>
        <v>0.000881</v>
      </c>
    </row>
    <row r="13375" spans="1:7">
      <c r="A13375" s="3"/>
      <c r="B13375" s="3"/>
      <c r="C13375" s="3"/>
      <c r="D13375" s="3"/>
      <c r="E13375" s="3">
        <v>12</v>
      </c>
      <c r="F13375" s="4" t="str">
        <f>HYPERLINK("http://141.218.60.56/~jnz1568/getInfo.php?workbook=10_05.xlsx&amp;sheet=U0&amp;row=13375&amp;col=6&amp;number=4.1&amp;sourceID=14","4.1")</f>
        <v>4.1</v>
      </c>
      <c r="G13375" s="4" t="str">
        <f>HYPERLINK("http://141.218.60.56/~jnz1568/getInfo.php?workbook=10_05.xlsx&amp;sheet=U0&amp;row=13375&amp;col=7&amp;number=0.000828&amp;sourceID=14","0.000828")</f>
        <v>0.000828</v>
      </c>
    </row>
    <row r="13376" spans="1:7">
      <c r="A13376" s="3"/>
      <c r="B13376" s="3"/>
      <c r="C13376" s="3"/>
      <c r="D13376" s="3"/>
      <c r="E13376" s="3">
        <v>13</v>
      </c>
      <c r="F13376" s="4" t="str">
        <f>HYPERLINK("http://141.218.60.56/~jnz1568/getInfo.php?workbook=10_05.xlsx&amp;sheet=U0&amp;row=13376&amp;col=6&amp;number=4.2&amp;sourceID=14","4.2")</f>
        <v>4.2</v>
      </c>
      <c r="G13376" s="4" t="str">
        <f>HYPERLINK("http://141.218.60.56/~jnz1568/getInfo.php?workbook=10_05.xlsx&amp;sheet=U0&amp;row=13376&amp;col=7&amp;number=0.000771&amp;sourceID=14","0.000771")</f>
        <v>0.000771</v>
      </c>
    </row>
    <row r="13377" spans="1:7">
      <c r="A13377" s="3"/>
      <c r="B13377" s="3"/>
      <c r="C13377" s="3"/>
      <c r="D13377" s="3"/>
      <c r="E13377" s="3">
        <v>14</v>
      </c>
      <c r="F13377" s="4" t="str">
        <f>HYPERLINK("http://141.218.60.56/~jnz1568/getInfo.php?workbook=10_05.xlsx&amp;sheet=U0&amp;row=13377&amp;col=6&amp;number=4.3&amp;sourceID=14","4.3")</f>
        <v>4.3</v>
      </c>
      <c r="G13377" s="4" t="str">
        <f>HYPERLINK("http://141.218.60.56/~jnz1568/getInfo.php?workbook=10_05.xlsx&amp;sheet=U0&amp;row=13377&amp;col=7&amp;number=0.000715&amp;sourceID=14","0.000715")</f>
        <v>0.000715</v>
      </c>
    </row>
    <row r="13378" spans="1:7">
      <c r="A13378" s="3"/>
      <c r="B13378" s="3"/>
      <c r="C13378" s="3"/>
      <c r="D13378" s="3"/>
      <c r="E13378" s="3">
        <v>15</v>
      </c>
      <c r="F13378" s="4" t="str">
        <f>HYPERLINK("http://141.218.60.56/~jnz1568/getInfo.php?workbook=10_05.xlsx&amp;sheet=U0&amp;row=13378&amp;col=6&amp;number=4.4&amp;sourceID=14","4.4")</f>
        <v>4.4</v>
      </c>
      <c r="G13378" s="4" t="str">
        <f>HYPERLINK("http://141.218.60.56/~jnz1568/getInfo.php?workbook=10_05.xlsx&amp;sheet=U0&amp;row=13378&amp;col=7&amp;number=0.000665&amp;sourceID=14","0.000665")</f>
        <v>0.000665</v>
      </c>
    </row>
    <row r="13379" spans="1:7">
      <c r="A13379" s="3"/>
      <c r="B13379" s="3"/>
      <c r="C13379" s="3"/>
      <c r="D13379" s="3"/>
      <c r="E13379" s="3">
        <v>16</v>
      </c>
      <c r="F13379" s="4" t="str">
        <f>HYPERLINK("http://141.218.60.56/~jnz1568/getInfo.php?workbook=10_05.xlsx&amp;sheet=U0&amp;row=13379&amp;col=6&amp;number=4.5&amp;sourceID=14","4.5")</f>
        <v>4.5</v>
      </c>
      <c r="G13379" s="4" t="str">
        <f>HYPERLINK("http://141.218.60.56/~jnz1568/getInfo.php?workbook=10_05.xlsx&amp;sheet=U0&amp;row=13379&amp;col=7&amp;number=0.000622&amp;sourceID=14","0.000622")</f>
        <v>0.000622</v>
      </c>
    </row>
    <row r="13380" spans="1:7">
      <c r="A13380" s="3"/>
      <c r="B13380" s="3"/>
      <c r="C13380" s="3"/>
      <c r="D13380" s="3"/>
      <c r="E13380" s="3">
        <v>17</v>
      </c>
      <c r="F13380" s="4" t="str">
        <f>HYPERLINK("http://141.218.60.56/~jnz1568/getInfo.php?workbook=10_05.xlsx&amp;sheet=U0&amp;row=13380&amp;col=6&amp;number=4.6&amp;sourceID=14","4.6")</f>
        <v>4.6</v>
      </c>
      <c r="G13380" s="4" t="str">
        <f>HYPERLINK("http://141.218.60.56/~jnz1568/getInfo.php?workbook=10_05.xlsx&amp;sheet=U0&amp;row=13380&amp;col=7&amp;number=0.000583&amp;sourceID=14","0.000583")</f>
        <v>0.000583</v>
      </c>
    </row>
    <row r="13381" spans="1:7">
      <c r="A13381" s="3"/>
      <c r="B13381" s="3"/>
      <c r="C13381" s="3"/>
      <c r="D13381" s="3"/>
      <c r="E13381" s="3">
        <v>18</v>
      </c>
      <c r="F13381" s="4" t="str">
        <f>HYPERLINK("http://141.218.60.56/~jnz1568/getInfo.php?workbook=10_05.xlsx&amp;sheet=U0&amp;row=13381&amp;col=6&amp;number=4.7&amp;sourceID=14","4.7")</f>
        <v>4.7</v>
      </c>
      <c r="G13381" s="4" t="str">
        <f>HYPERLINK("http://141.218.60.56/~jnz1568/getInfo.php?workbook=10_05.xlsx&amp;sheet=U0&amp;row=13381&amp;col=7&amp;number=0.000545&amp;sourceID=14","0.000545")</f>
        <v>0.000545</v>
      </c>
    </row>
    <row r="13382" spans="1:7">
      <c r="A13382" s="3"/>
      <c r="B13382" s="3"/>
      <c r="C13382" s="3"/>
      <c r="D13382" s="3"/>
      <c r="E13382" s="3">
        <v>19</v>
      </c>
      <c r="F13382" s="4" t="str">
        <f>HYPERLINK("http://141.218.60.56/~jnz1568/getInfo.php?workbook=10_05.xlsx&amp;sheet=U0&amp;row=13382&amp;col=6&amp;number=4.8&amp;sourceID=14","4.8")</f>
        <v>4.8</v>
      </c>
      <c r="G13382" s="4" t="str">
        <f>HYPERLINK("http://141.218.60.56/~jnz1568/getInfo.php?workbook=10_05.xlsx&amp;sheet=U0&amp;row=13382&amp;col=7&amp;number=0.000508&amp;sourceID=14","0.000508")</f>
        <v>0.000508</v>
      </c>
    </row>
    <row r="13383" spans="1:7">
      <c r="A13383" s="3"/>
      <c r="B13383" s="3"/>
      <c r="C13383" s="3"/>
      <c r="D13383" s="3"/>
      <c r="E13383" s="3">
        <v>20</v>
      </c>
      <c r="F13383" s="4" t="str">
        <f>HYPERLINK("http://141.218.60.56/~jnz1568/getInfo.php?workbook=10_05.xlsx&amp;sheet=U0&amp;row=13383&amp;col=6&amp;number=4.9&amp;sourceID=14","4.9")</f>
        <v>4.9</v>
      </c>
      <c r="G13383" s="4" t="str">
        <f>HYPERLINK("http://141.218.60.56/~jnz1568/getInfo.php?workbook=10_05.xlsx&amp;sheet=U0&amp;row=13383&amp;col=7&amp;number=0.000474&amp;sourceID=14","0.000474")</f>
        <v>0.000474</v>
      </c>
    </row>
    <row r="13384" spans="1:7">
      <c r="A13384" s="3">
        <v>10</v>
      </c>
      <c r="B13384" s="3">
        <v>5</v>
      </c>
      <c r="C13384" s="3">
        <v>4</v>
      </c>
      <c r="D13384" s="3">
        <v>140</v>
      </c>
      <c r="E13384" s="3">
        <v>1</v>
      </c>
      <c r="F13384" s="4" t="str">
        <f>HYPERLINK("http://141.218.60.56/~jnz1568/getInfo.php?workbook=10_05.xlsx&amp;sheet=U0&amp;row=13384&amp;col=6&amp;number=3&amp;sourceID=14","3")</f>
        <v>3</v>
      </c>
      <c r="G13384" s="4" t="str">
        <f>HYPERLINK("http://141.218.60.56/~jnz1568/getInfo.php?workbook=10_05.xlsx&amp;sheet=U0&amp;row=13384&amp;col=7&amp;number=0.00772&amp;sourceID=14","0.00772")</f>
        <v>0.00772</v>
      </c>
    </row>
    <row r="13385" spans="1:7">
      <c r="A13385" s="3"/>
      <c r="B13385" s="3"/>
      <c r="C13385" s="3"/>
      <c r="D13385" s="3"/>
      <c r="E13385" s="3">
        <v>2</v>
      </c>
      <c r="F13385" s="4" t="str">
        <f>HYPERLINK("http://141.218.60.56/~jnz1568/getInfo.php?workbook=10_05.xlsx&amp;sheet=U0&amp;row=13385&amp;col=6&amp;number=3.1&amp;sourceID=14","3.1")</f>
        <v>3.1</v>
      </c>
      <c r="G13385" s="4" t="str">
        <f>HYPERLINK("http://141.218.60.56/~jnz1568/getInfo.php?workbook=10_05.xlsx&amp;sheet=U0&amp;row=13385&amp;col=7&amp;number=0.00767&amp;sourceID=14","0.00767")</f>
        <v>0.00767</v>
      </c>
    </row>
    <row r="13386" spans="1:7">
      <c r="A13386" s="3"/>
      <c r="B13386" s="3"/>
      <c r="C13386" s="3"/>
      <c r="D13386" s="3"/>
      <c r="E13386" s="3">
        <v>3</v>
      </c>
      <c r="F13386" s="4" t="str">
        <f>HYPERLINK("http://141.218.60.56/~jnz1568/getInfo.php?workbook=10_05.xlsx&amp;sheet=U0&amp;row=13386&amp;col=6&amp;number=3.2&amp;sourceID=14","3.2")</f>
        <v>3.2</v>
      </c>
      <c r="G13386" s="4" t="str">
        <f>HYPERLINK("http://141.218.60.56/~jnz1568/getInfo.php?workbook=10_05.xlsx&amp;sheet=U0&amp;row=13386&amp;col=7&amp;number=0.00761&amp;sourceID=14","0.00761")</f>
        <v>0.00761</v>
      </c>
    </row>
    <row r="13387" spans="1:7">
      <c r="A13387" s="3"/>
      <c r="B13387" s="3"/>
      <c r="C13387" s="3"/>
      <c r="D13387" s="3"/>
      <c r="E13387" s="3">
        <v>4</v>
      </c>
      <c r="F13387" s="4" t="str">
        <f>HYPERLINK("http://141.218.60.56/~jnz1568/getInfo.php?workbook=10_05.xlsx&amp;sheet=U0&amp;row=13387&amp;col=6&amp;number=3.3&amp;sourceID=14","3.3")</f>
        <v>3.3</v>
      </c>
      <c r="G13387" s="4" t="str">
        <f>HYPERLINK("http://141.218.60.56/~jnz1568/getInfo.php?workbook=10_05.xlsx&amp;sheet=U0&amp;row=13387&amp;col=7&amp;number=0.00753&amp;sourceID=14","0.00753")</f>
        <v>0.00753</v>
      </c>
    </row>
    <row r="13388" spans="1:7">
      <c r="A13388" s="3"/>
      <c r="B13388" s="3"/>
      <c r="C13388" s="3"/>
      <c r="D13388" s="3"/>
      <c r="E13388" s="3">
        <v>5</v>
      </c>
      <c r="F13388" s="4" t="str">
        <f>HYPERLINK("http://141.218.60.56/~jnz1568/getInfo.php?workbook=10_05.xlsx&amp;sheet=U0&amp;row=13388&amp;col=6&amp;number=3.4&amp;sourceID=14","3.4")</f>
        <v>3.4</v>
      </c>
      <c r="G13388" s="4" t="str">
        <f>HYPERLINK("http://141.218.60.56/~jnz1568/getInfo.php?workbook=10_05.xlsx&amp;sheet=U0&amp;row=13388&amp;col=7&amp;number=0.00743&amp;sourceID=14","0.00743")</f>
        <v>0.00743</v>
      </c>
    </row>
    <row r="13389" spans="1:7">
      <c r="A13389" s="3"/>
      <c r="B13389" s="3"/>
      <c r="C13389" s="3"/>
      <c r="D13389" s="3"/>
      <c r="E13389" s="3">
        <v>6</v>
      </c>
      <c r="F13389" s="4" t="str">
        <f>HYPERLINK("http://141.218.60.56/~jnz1568/getInfo.php?workbook=10_05.xlsx&amp;sheet=U0&amp;row=13389&amp;col=6&amp;number=3.5&amp;sourceID=14","3.5")</f>
        <v>3.5</v>
      </c>
      <c r="G13389" s="4" t="str">
        <f>HYPERLINK("http://141.218.60.56/~jnz1568/getInfo.php?workbook=10_05.xlsx&amp;sheet=U0&amp;row=13389&amp;col=7&amp;number=0.0073&amp;sourceID=14","0.0073")</f>
        <v>0.0073</v>
      </c>
    </row>
    <row r="13390" spans="1:7">
      <c r="A13390" s="3"/>
      <c r="B13390" s="3"/>
      <c r="C13390" s="3"/>
      <c r="D13390" s="3"/>
      <c r="E13390" s="3">
        <v>7</v>
      </c>
      <c r="F13390" s="4" t="str">
        <f>HYPERLINK("http://141.218.60.56/~jnz1568/getInfo.php?workbook=10_05.xlsx&amp;sheet=U0&amp;row=13390&amp;col=6&amp;number=3.6&amp;sourceID=14","3.6")</f>
        <v>3.6</v>
      </c>
      <c r="G13390" s="4" t="str">
        <f>HYPERLINK("http://141.218.60.56/~jnz1568/getInfo.php?workbook=10_05.xlsx&amp;sheet=U0&amp;row=13390&amp;col=7&amp;number=0.00715&amp;sourceID=14","0.00715")</f>
        <v>0.00715</v>
      </c>
    </row>
    <row r="13391" spans="1:7">
      <c r="A13391" s="3"/>
      <c r="B13391" s="3"/>
      <c r="C13391" s="3"/>
      <c r="D13391" s="3"/>
      <c r="E13391" s="3">
        <v>8</v>
      </c>
      <c r="F13391" s="4" t="str">
        <f>HYPERLINK("http://141.218.60.56/~jnz1568/getInfo.php?workbook=10_05.xlsx&amp;sheet=U0&amp;row=13391&amp;col=6&amp;number=3.7&amp;sourceID=14","3.7")</f>
        <v>3.7</v>
      </c>
      <c r="G13391" s="4" t="str">
        <f>HYPERLINK("http://141.218.60.56/~jnz1568/getInfo.php?workbook=10_05.xlsx&amp;sheet=U0&amp;row=13391&amp;col=7&amp;number=0.00696&amp;sourceID=14","0.00696")</f>
        <v>0.00696</v>
      </c>
    </row>
    <row r="13392" spans="1:7">
      <c r="A13392" s="3"/>
      <c r="B13392" s="3"/>
      <c r="C13392" s="3"/>
      <c r="D13392" s="3"/>
      <c r="E13392" s="3">
        <v>9</v>
      </c>
      <c r="F13392" s="4" t="str">
        <f>HYPERLINK("http://141.218.60.56/~jnz1568/getInfo.php?workbook=10_05.xlsx&amp;sheet=U0&amp;row=13392&amp;col=6&amp;number=3.8&amp;sourceID=14","3.8")</f>
        <v>3.8</v>
      </c>
      <c r="G13392" s="4" t="str">
        <f>HYPERLINK("http://141.218.60.56/~jnz1568/getInfo.php?workbook=10_05.xlsx&amp;sheet=U0&amp;row=13392&amp;col=7&amp;number=0.00674&amp;sourceID=14","0.00674")</f>
        <v>0.00674</v>
      </c>
    </row>
    <row r="13393" spans="1:7">
      <c r="A13393" s="3"/>
      <c r="B13393" s="3"/>
      <c r="C13393" s="3"/>
      <c r="D13393" s="3"/>
      <c r="E13393" s="3">
        <v>10</v>
      </c>
      <c r="F13393" s="4" t="str">
        <f>HYPERLINK("http://141.218.60.56/~jnz1568/getInfo.php?workbook=10_05.xlsx&amp;sheet=U0&amp;row=13393&amp;col=6&amp;number=3.9&amp;sourceID=14","3.9")</f>
        <v>3.9</v>
      </c>
      <c r="G13393" s="4" t="str">
        <f>HYPERLINK("http://141.218.60.56/~jnz1568/getInfo.php?workbook=10_05.xlsx&amp;sheet=U0&amp;row=13393&amp;col=7&amp;number=0.00647&amp;sourceID=14","0.00647")</f>
        <v>0.00647</v>
      </c>
    </row>
    <row r="13394" spans="1:7">
      <c r="A13394" s="3"/>
      <c r="B13394" s="3"/>
      <c r="C13394" s="3"/>
      <c r="D13394" s="3"/>
      <c r="E13394" s="3">
        <v>11</v>
      </c>
      <c r="F13394" s="4" t="str">
        <f>HYPERLINK("http://141.218.60.56/~jnz1568/getInfo.php?workbook=10_05.xlsx&amp;sheet=U0&amp;row=13394&amp;col=6&amp;number=4&amp;sourceID=14","4")</f>
        <v>4</v>
      </c>
      <c r="G13394" s="4" t="str">
        <f>HYPERLINK("http://141.218.60.56/~jnz1568/getInfo.php?workbook=10_05.xlsx&amp;sheet=U0&amp;row=13394&amp;col=7&amp;number=0.00615&amp;sourceID=14","0.00615")</f>
        <v>0.00615</v>
      </c>
    </row>
    <row r="13395" spans="1:7">
      <c r="A13395" s="3"/>
      <c r="B13395" s="3"/>
      <c r="C13395" s="3"/>
      <c r="D13395" s="3"/>
      <c r="E13395" s="3">
        <v>12</v>
      </c>
      <c r="F13395" s="4" t="str">
        <f>HYPERLINK("http://141.218.60.56/~jnz1568/getInfo.php?workbook=10_05.xlsx&amp;sheet=U0&amp;row=13395&amp;col=6&amp;number=4.1&amp;sourceID=14","4.1")</f>
        <v>4.1</v>
      </c>
      <c r="G13395" s="4" t="str">
        <f>HYPERLINK("http://141.218.60.56/~jnz1568/getInfo.php?workbook=10_05.xlsx&amp;sheet=U0&amp;row=13395&amp;col=7&amp;number=0.0058&amp;sourceID=14","0.0058")</f>
        <v>0.0058</v>
      </c>
    </row>
    <row r="13396" spans="1:7">
      <c r="A13396" s="3"/>
      <c r="B13396" s="3"/>
      <c r="C13396" s="3"/>
      <c r="D13396" s="3"/>
      <c r="E13396" s="3">
        <v>13</v>
      </c>
      <c r="F13396" s="4" t="str">
        <f>HYPERLINK("http://141.218.60.56/~jnz1568/getInfo.php?workbook=10_05.xlsx&amp;sheet=U0&amp;row=13396&amp;col=6&amp;number=4.2&amp;sourceID=14","4.2")</f>
        <v>4.2</v>
      </c>
      <c r="G13396" s="4" t="str">
        <f>HYPERLINK("http://141.218.60.56/~jnz1568/getInfo.php?workbook=10_05.xlsx&amp;sheet=U0&amp;row=13396&amp;col=7&amp;number=0.00542&amp;sourceID=14","0.00542")</f>
        <v>0.00542</v>
      </c>
    </row>
    <row r="13397" spans="1:7">
      <c r="A13397" s="3"/>
      <c r="B13397" s="3"/>
      <c r="C13397" s="3"/>
      <c r="D13397" s="3"/>
      <c r="E13397" s="3">
        <v>14</v>
      </c>
      <c r="F13397" s="4" t="str">
        <f>HYPERLINK("http://141.218.60.56/~jnz1568/getInfo.php?workbook=10_05.xlsx&amp;sheet=U0&amp;row=13397&amp;col=6&amp;number=4.3&amp;sourceID=14","4.3")</f>
        <v>4.3</v>
      </c>
      <c r="G13397" s="4" t="str">
        <f>HYPERLINK("http://141.218.60.56/~jnz1568/getInfo.php?workbook=10_05.xlsx&amp;sheet=U0&amp;row=13397&amp;col=7&amp;number=0.00505&amp;sourceID=14","0.00505")</f>
        <v>0.00505</v>
      </c>
    </row>
    <row r="13398" spans="1:7">
      <c r="A13398" s="3"/>
      <c r="B13398" s="3"/>
      <c r="C13398" s="3"/>
      <c r="D13398" s="3"/>
      <c r="E13398" s="3">
        <v>15</v>
      </c>
      <c r="F13398" s="4" t="str">
        <f>HYPERLINK("http://141.218.60.56/~jnz1568/getInfo.php?workbook=10_05.xlsx&amp;sheet=U0&amp;row=13398&amp;col=6&amp;number=4.4&amp;sourceID=14","4.4")</f>
        <v>4.4</v>
      </c>
      <c r="G13398" s="4" t="str">
        <f>HYPERLINK("http://141.218.60.56/~jnz1568/getInfo.php?workbook=10_05.xlsx&amp;sheet=U0&amp;row=13398&amp;col=7&amp;number=0.00472&amp;sourceID=14","0.00472")</f>
        <v>0.00472</v>
      </c>
    </row>
    <row r="13399" spans="1:7">
      <c r="A13399" s="3"/>
      <c r="B13399" s="3"/>
      <c r="C13399" s="3"/>
      <c r="D13399" s="3"/>
      <c r="E13399" s="3">
        <v>16</v>
      </c>
      <c r="F13399" s="4" t="str">
        <f>HYPERLINK("http://141.218.60.56/~jnz1568/getInfo.php?workbook=10_05.xlsx&amp;sheet=U0&amp;row=13399&amp;col=6&amp;number=4.5&amp;sourceID=14","4.5")</f>
        <v>4.5</v>
      </c>
      <c r="G13399" s="4" t="str">
        <f>HYPERLINK("http://141.218.60.56/~jnz1568/getInfo.php?workbook=10_05.xlsx&amp;sheet=U0&amp;row=13399&amp;col=7&amp;number=0.00444&amp;sourceID=14","0.00444")</f>
        <v>0.00444</v>
      </c>
    </row>
    <row r="13400" spans="1:7">
      <c r="A13400" s="3"/>
      <c r="B13400" s="3"/>
      <c r="C13400" s="3"/>
      <c r="D13400" s="3"/>
      <c r="E13400" s="3">
        <v>17</v>
      </c>
      <c r="F13400" s="4" t="str">
        <f>HYPERLINK("http://141.218.60.56/~jnz1568/getInfo.php?workbook=10_05.xlsx&amp;sheet=U0&amp;row=13400&amp;col=6&amp;number=4.6&amp;sourceID=14","4.6")</f>
        <v>4.6</v>
      </c>
      <c r="G13400" s="4" t="str">
        <f>HYPERLINK("http://141.218.60.56/~jnz1568/getInfo.php?workbook=10_05.xlsx&amp;sheet=U0&amp;row=13400&amp;col=7&amp;number=0.00419&amp;sourceID=14","0.00419")</f>
        <v>0.00419</v>
      </c>
    </row>
    <row r="13401" spans="1:7">
      <c r="A13401" s="3"/>
      <c r="B13401" s="3"/>
      <c r="C13401" s="3"/>
      <c r="D13401" s="3"/>
      <c r="E13401" s="3">
        <v>18</v>
      </c>
      <c r="F13401" s="4" t="str">
        <f>HYPERLINK("http://141.218.60.56/~jnz1568/getInfo.php?workbook=10_05.xlsx&amp;sheet=U0&amp;row=13401&amp;col=6&amp;number=4.7&amp;sourceID=14","4.7")</f>
        <v>4.7</v>
      </c>
      <c r="G13401" s="4" t="str">
        <f>HYPERLINK("http://141.218.60.56/~jnz1568/getInfo.php?workbook=10_05.xlsx&amp;sheet=U0&amp;row=13401&amp;col=7&amp;number=0.00393&amp;sourceID=14","0.00393")</f>
        <v>0.00393</v>
      </c>
    </row>
    <row r="13402" spans="1:7">
      <c r="A13402" s="3"/>
      <c r="B13402" s="3"/>
      <c r="C13402" s="3"/>
      <c r="D13402" s="3"/>
      <c r="E13402" s="3">
        <v>19</v>
      </c>
      <c r="F13402" s="4" t="str">
        <f>HYPERLINK("http://141.218.60.56/~jnz1568/getInfo.php?workbook=10_05.xlsx&amp;sheet=U0&amp;row=13402&amp;col=6&amp;number=4.8&amp;sourceID=14","4.8")</f>
        <v>4.8</v>
      </c>
      <c r="G13402" s="4" t="str">
        <f>HYPERLINK("http://141.218.60.56/~jnz1568/getInfo.php?workbook=10_05.xlsx&amp;sheet=U0&amp;row=13402&amp;col=7&amp;number=0.00367&amp;sourceID=14","0.00367")</f>
        <v>0.00367</v>
      </c>
    </row>
    <row r="13403" spans="1:7">
      <c r="A13403" s="3"/>
      <c r="B13403" s="3"/>
      <c r="C13403" s="3"/>
      <c r="D13403" s="3"/>
      <c r="E13403" s="3">
        <v>20</v>
      </c>
      <c r="F13403" s="4" t="str">
        <f>HYPERLINK("http://141.218.60.56/~jnz1568/getInfo.php?workbook=10_05.xlsx&amp;sheet=U0&amp;row=13403&amp;col=6&amp;number=4.9&amp;sourceID=14","4.9")</f>
        <v>4.9</v>
      </c>
      <c r="G13403" s="4" t="str">
        <f>HYPERLINK("http://141.218.60.56/~jnz1568/getInfo.php?workbook=10_05.xlsx&amp;sheet=U0&amp;row=13403&amp;col=7&amp;number=0.00345&amp;sourceID=14","0.00345")</f>
        <v>0.00345</v>
      </c>
    </row>
    <row r="13404" spans="1:7">
      <c r="A13404" s="3">
        <v>10</v>
      </c>
      <c r="B13404" s="3">
        <v>5</v>
      </c>
      <c r="C13404" s="3">
        <v>4</v>
      </c>
      <c r="D13404" s="3">
        <v>141</v>
      </c>
      <c r="E13404" s="3">
        <v>1</v>
      </c>
      <c r="F13404" s="4" t="str">
        <f>HYPERLINK("http://141.218.60.56/~jnz1568/getInfo.php?workbook=10_05.xlsx&amp;sheet=U0&amp;row=13404&amp;col=6&amp;number=3&amp;sourceID=14","3")</f>
        <v>3</v>
      </c>
      <c r="G13404" s="4" t="str">
        <f>HYPERLINK("http://141.218.60.56/~jnz1568/getInfo.php?workbook=10_05.xlsx&amp;sheet=U0&amp;row=13404&amp;col=7&amp;number=0.0116&amp;sourceID=14","0.0116")</f>
        <v>0.0116</v>
      </c>
    </row>
    <row r="13405" spans="1:7">
      <c r="A13405" s="3"/>
      <c r="B13405" s="3"/>
      <c r="C13405" s="3"/>
      <c r="D13405" s="3"/>
      <c r="E13405" s="3">
        <v>2</v>
      </c>
      <c r="F13405" s="4" t="str">
        <f>HYPERLINK("http://141.218.60.56/~jnz1568/getInfo.php?workbook=10_05.xlsx&amp;sheet=U0&amp;row=13405&amp;col=6&amp;number=3.1&amp;sourceID=14","3.1")</f>
        <v>3.1</v>
      </c>
      <c r="G13405" s="4" t="str">
        <f>HYPERLINK("http://141.218.60.56/~jnz1568/getInfo.php?workbook=10_05.xlsx&amp;sheet=U0&amp;row=13405&amp;col=7&amp;number=0.0116&amp;sourceID=14","0.0116")</f>
        <v>0.0116</v>
      </c>
    </row>
    <row r="13406" spans="1:7">
      <c r="A13406" s="3"/>
      <c r="B13406" s="3"/>
      <c r="C13406" s="3"/>
      <c r="D13406" s="3"/>
      <c r="E13406" s="3">
        <v>3</v>
      </c>
      <c r="F13406" s="4" t="str">
        <f>HYPERLINK("http://141.218.60.56/~jnz1568/getInfo.php?workbook=10_05.xlsx&amp;sheet=U0&amp;row=13406&amp;col=6&amp;number=3.2&amp;sourceID=14","3.2")</f>
        <v>3.2</v>
      </c>
      <c r="G13406" s="4" t="str">
        <f>HYPERLINK("http://141.218.60.56/~jnz1568/getInfo.php?workbook=10_05.xlsx&amp;sheet=U0&amp;row=13406&amp;col=7&amp;number=0.0116&amp;sourceID=14","0.0116")</f>
        <v>0.0116</v>
      </c>
    </row>
    <row r="13407" spans="1:7">
      <c r="A13407" s="3"/>
      <c r="B13407" s="3"/>
      <c r="C13407" s="3"/>
      <c r="D13407" s="3"/>
      <c r="E13407" s="3">
        <v>4</v>
      </c>
      <c r="F13407" s="4" t="str">
        <f>HYPERLINK("http://141.218.60.56/~jnz1568/getInfo.php?workbook=10_05.xlsx&amp;sheet=U0&amp;row=13407&amp;col=6&amp;number=3.3&amp;sourceID=14","3.3")</f>
        <v>3.3</v>
      </c>
      <c r="G13407" s="4" t="str">
        <f>HYPERLINK("http://141.218.60.56/~jnz1568/getInfo.php?workbook=10_05.xlsx&amp;sheet=U0&amp;row=13407&amp;col=7&amp;number=0.0116&amp;sourceID=14","0.0116")</f>
        <v>0.0116</v>
      </c>
    </row>
    <row r="13408" spans="1:7">
      <c r="A13408" s="3"/>
      <c r="B13408" s="3"/>
      <c r="C13408" s="3"/>
      <c r="D13408" s="3"/>
      <c r="E13408" s="3">
        <v>5</v>
      </c>
      <c r="F13408" s="4" t="str">
        <f>HYPERLINK("http://141.218.60.56/~jnz1568/getInfo.php?workbook=10_05.xlsx&amp;sheet=U0&amp;row=13408&amp;col=6&amp;number=3.4&amp;sourceID=14","3.4")</f>
        <v>3.4</v>
      </c>
      <c r="G13408" s="4" t="str">
        <f>HYPERLINK("http://141.218.60.56/~jnz1568/getInfo.php?workbook=10_05.xlsx&amp;sheet=U0&amp;row=13408&amp;col=7&amp;number=0.0116&amp;sourceID=14","0.0116")</f>
        <v>0.0116</v>
      </c>
    </row>
    <row r="13409" spans="1:7">
      <c r="A13409" s="3"/>
      <c r="B13409" s="3"/>
      <c r="C13409" s="3"/>
      <c r="D13409" s="3"/>
      <c r="E13409" s="3">
        <v>6</v>
      </c>
      <c r="F13409" s="4" t="str">
        <f>HYPERLINK("http://141.218.60.56/~jnz1568/getInfo.php?workbook=10_05.xlsx&amp;sheet=U0&amp;row=13409&amp;col=6&amp;number=3.5&amp;sourceID=14","3.5")</f>
        <v>3.5</v>
      </c>
      <c r="G13409" s="4" t="str">
        <f>HYPERLINK("http://141.218.60.56/~jnz1568/getInfo.php?workbook=10_05.xlsx&amp;sheet=U0&amp;row=13409&amp;col=7&amp;number=0.0116&amp;sourceID=14","0.0116")</f>
        <v>0.0116</v>
      </c>
    </row>
    <row r="13410" spans="1:7">
      <c r="A13410" s="3"/>
      <c r="B13410" s="3"/>
      <c r="C13410" s="3"/>
      <c r="D13410" s="3"/>
      <c r="E13410" s="3">
        <v>7</v>
      </c>
      <c r="F13410" s="4" t="str">
        <f>HYPERLINK("http://141.218.60.56/~jnz1568/getInfo.php?workbook=10_05.xlsx&amp;sheet=U0&amp;row=13410&amp;col=6&amp;number=3.6&amp;sourceID=14","3.6")</f>
        <v>3.6</v>
      </c>
      <c r="G13410" s="4" t="str">
        <f>HYPERLINK("http://141.218.60.56/~jnz1568/getInfo.php?workbook=10_05.xlsx&amp;sheet=U0&amp;row=13410&amp;col=7&amp;number=0.0116&amp;sourceID=14","0.0116")</f>
        <v>0.0116</v>
      </c>
    </row>
    <row r="13411" spans="1:7">
      <c r="A13411" s="3"/>
      <c r="B13411" s="3"/>
      <c r="C13411" s="3"/>
      <c r="D13411" s="3"/>
      <c r="E13411" s="3">
        <v>8</v>
      </c>
      <c r="F13411" s="4" t="str">
        <f>HYPERLINK("http://141.218.60.56/~jnz1568/getInfo.php?workbook=10_05.xlsx&amp;sheet=U0&amp;row=13411&amp;col=6&amp;number=3.7&amp;sourceID=14","3.7")</f>
        <v>3.7</v>
      </c>
      <c r="G13411" s="4" t="str">
        <f>HYPERLINK("http://141.218.60.56/~jnz1568/getInfo.php?workbook=10_05.xlsx&amp;sheet=U0&amp;row=13411&amp;col=7&amp;number=0.0115&amp;sourceID=14","0.0115")</f>
        <v>0.0115</v>
      </c>
    </row>
    <row r="13412" spans="1:7">
      <c r="A13412" s="3"/>
      <c r="B13412" s="3"/>
      <c r="C13412" s="3"/>
      <c r="D13412" s="3"/>
      <c r="E13412" s="3">
        <v>9</v>
      </c>
      <c r="F13412" s="4" t="str">
        <f>HYPERLINK("http://141.218.60.56/~jnz1568/getInfo.php?workbook=10_05.xlsx&amp;sheet=U0&amp;row=13412&amp;col=6&amp;number=3.8&amp;sourceID=14","3.8")</f>
        <v>3.8</v>
      </c>
      <c r="G13412" s="4" t="str">
        <f>HYPERLINK("http://141.218.60.56/~jnz1568/getInfo.php?workbook=10_05.xlsx&amp;sheet=U0&amp;row=13412&amp;col=7&amp;number=0.0115&amp;sourceID=14","0.0115")</f>
        <v>0.0115</v>
      </c>
    </row>
    <row r="13413" spans="1:7">
      <c r="A13413" s="3"/>
      <c r="B13413" s="3"/>
      <c r="C13413" s="3"/>
      <c r="D13413" s="3"/>
      <c r="E13413" s="3">
        <v>10</v>
      </c>
      <c r="F13413" s="4" t="str">
        <f>HYPERLINK("http://141.218.60.56/~jnz1568/getInfo.php?workbook=10_05.xlsx&amp;sheet=U0&amp;row=13413&amp;col=6&amp;number=3.9&amp;sourceID=14","3.9")</f>
        <v>3.9</v>
      </c>
      <c r="G13413" s="4" t="str">
        <f>HYPERLINK("http://141.218.60.56/~jnz1568/getInfo.php?workbook=10_05.xlsx&amp;sheet=U0&amp;row=13413&amp;col=7&amp;number=0.0115&amp;sourceID=14","0.0115")</f>
        <v>0.0115</v>
      </c>
    </row>
    <row r="13414" spans="1:7">
      <c r="A13414" s="3"/>
      <c r="B13414" s="3"/>
      <c r="C13414" s="3"/>
      <c r="D13414" s="3"/>
      <c r="E13414" s="3">
        <v>11</v>
      </c>
      <c r="F13414" s="4" t="str">
        <f>HYPERLINK("http://141.218.60.56/~jnz1568/getInfo.php?workbook=10_05.xlsx&amp;sheet=U0&amp;row=13414&amp;col=6&amp;number=4&amp;sourceID=14","4")</f>
        <v>4</v>
      </c>
      <c r="G13414" s="4" t="str">
        <f>HYPERLINK("http://141.218.60.56/~jnz1568/getInfo.php?workbook=10_05.xlsx&amp;sheet=U0&amp;row=13414&amp;col=7&amp;number=0.0115&amp;sourceID=14","0.0115")</f>
        <v>0.0115</v>
      </c>
    </row>
    <row r="13415" spans="1:7">
      <c r="A13415" s="3"/>
      <c r="B13415" s="3"/>
      <c r="C13415" s="3"/>
      <c r="D13415" s="3"/>
      <c r="E13415" s="3">
        <v>12</v>
      </c>
      <c r="F13415" s="4" t="str">
        <f>HYPERLINK("http://141.218.60.56/~jnz1568/getInfo.php?workbook=10_05.xlsx&amp;sheet=U0&amp;row=13415&amp;col=6&amp;number=4.1&amp;sourceID=14","4.1")</f>
        <v>4.1</v>
      </c>
      <c r="G13415" s="4" t="str">
        <f>HYPERLINK("http://141.218.60.56/~jnz1568/getInfo.php?workbook=10_05.xlsx&amp;sheet=U0&amp;row=13415&amp;col=7&amp;number=0.0114&amp;sourceID=14","0.0114")</f>
        <v>0.0114</v>
      </c>
    </row>
    <row r="13416" spans="1:7">
      <c r="A13416" s="3"/>
      <c r="B13416" s="3"/>
      <c r="C13416" s="3"/>
      <c r="D13416" s="3"/>
      <c r="E13416" s="3">
        <v>13</v>
      </c>
      <c r="F13416" s="4" t="str">
        <f>HYPERLINK("http://141.218.60.56/~jnz1568/getInfo.php?workbook=10_05.xlsx&amp;sheet=U0&amp;row=13416&amp;col=6&amp;number=4.2&amp;sourceID=14","4.2")</f>
        <v>4.2</v>
      </c>
      <c r="G13416" s="4" t="str">
        <f>HYPERLINK("http://141.218.60.56/~jnz1568/getInfo.php?workbook=10_05.xlsx&amp;sheet=U0&amp;row=13416&amp;col=7&amp;number=0.0114&amp;sourceID=14","0.0114")</f>
        <v>0.0114</v>
      </c>
    </row>
    <row r="13417" spans="1:7">
      <c r="A13417" s="3"/>
      <c r="B13417" s="3"/>
      <c r="C13417" s="3"/>
      <c r="D13417" s="3"/>
      <c r="E13417" s="3">
        <v>14</v>
      </c>
      <c r="F13417" s="4" t="str">
        <f>HYPERLINK("http://141.218.60.56/~jnz1568/getInfo.php?workbook=10_05.xlsx&amp;sheet=U0&amp;row=13417&amp;col=6&amp;number=4.3&amp;sourceID=14","4.3")</f>
        <v>4.3</v>
      </c>
      <c r="G13417" s="4" t="str">
        <f>HYPERLINK("http://141.218.60.56/~jnz1568/getInfo.php?workbook=10_05.xlsx&amp;sheet=U0&amp;row=13417&amp;col=7&amp;number=0.0113&amp;sourceID=14","0.0113")</f>
        <v>0.0113</v>
      </c>
    </row>
    <row r="13418" spans="1:7">
      <c r="A13418" s="3"/>
      <c r="B13418" s="3"/>
      <c r="C13418" s="3"/>
      <c r="D13418" s="3"/>
      <c r="E13418" s="3">
        <v>15</v>
      </c>
      <c r="F13418" s="4" t="str">
        <f>HYPERLINK("http://141.218.60.56/~jnz1568/getInfo.php?workbook=10_05.xlsx&amp;sheet=U0&amp;row=13418&amp;col=6&amp;number=4.4&amp;sourceID=14","4.4")</f>
        <v>4.4</v>
      </c>
      <c r="G13418" s="4" t="str">
        <f>HYPERLINK("http://141.218.60.56/~jnz1568/getInfo.php?workbook=10_05.xlsx&amp;sheet=U0&amp;row=13418&amp;col=7&amp;number=0.0113&amp;sourceID=14","0.0113")</f>
        <v>0.0113</v>
      </c>
    </row>
    <row r="13419" spans="1:7">
      <c r="A13419" s="3"/>
      <c r="B13419" s="3"/>
      <c r="C13419" s="3"/>
      <c r="D13419" s="3"/>
      <c r="E13419" s="3">
        <v>16</v>
      </c>
      <c r="F13419" s="4" t="str">
        <f>HYPERLINK("http://141.218.60.56/~jnz1568/getInfo.php?workbook=10_05.xlsx&amp;sheet=U0&amp;row=13419&amp;col=6&amp;number=4.5&amp;sourceID=14","4.5")</f>
        <v>4.5</v>
      </c>
      <c r="G13419" s="4" t="str">
        <f>HYPERLINK("http://141.218.60.56/~jnz1568/getInfo.php?workbook=10_05.xlsx&amp;sheet=U0&amp;row=13419&amp;col=7&amp;number=0.0112&amp;sourceID=14","0.0112")</f>
        <v>0.0112</v>
      </c>
    </row>
    <row r="13420" spans="1:7">
      <c r="A13420" s="3"/>
      <c r="B13420" s="3"/>
      <c r="C13420" s="3"/>
      <c r="D13420" s="3"/>
      <c r="E13420" s="3">
        <v>17</v>
      </c>
      <c r="F13420" s="4" t="str">
        <f>HYPERLINK("http://141.218.60.56/~jnz1568/getInfo.php?workbook=10_05.xlsx&amp;sheet=U0&amp;row=13420&amp;col=6&amp;number=4.6&amp;sourceID=14","4.6")</f>
        <v>4.6</v>
      </c>
      <c r="G13420" s="4" t="str">
        <f>HYPERLINK("http://141.218.60.56/~jnz1568/getInfo.php?workbook=10_05.xlsx&amp;sheet=U0&amp;row=13420&amp;col=7&amp;number=0.0112&amp;sourceID=14","0.0112")</f>
        <v>0.0112</v>
      </c>
    </row>
    <row r="13421" spans="1:7">
      <c r="A13421" s="3"/>
      <c r="B13421" s="3"/>
      <c r="C13421" s="3"/>
      <c r="D13421" s="3"/>
      <c r="E13421" s="3">
        <v>18</v>
      </c>
      <c r="F13421" s="4" t="str">
        <f>HYPERLINK("http://141.218.60.56/~jnz1568/getInfo.php?workbook=10_05.xlsx&amp;sheet=U0&amp;row=13421&amp;col=6&amp;number=4.7&amp;sourceID=14","4.7")</f>
        <v>4.7</v>
      </c>
      <c r="G13421" s="4" t="str">
        <f>HYPERLINK("http://141.218.60.56/~jnz1568/getInfo.php?workbook=10_05.xlsx&amp;sheet=U0&amp;row=13421&amp;col=7&amp;number=0.0112&amp;sourceID=14","0.0112")</f>
        <v>0.0112</v>
      </c>
    </row>
    <row r="13422" spans="1:7">
      <c r="A13422" s="3"/>
      <c r="B13422" s="3"/>
      <c r="C13422" s="3"/>
      <c r="D13422" s="3"/>
      <c r="E13422" s="3">
        <v>19</v>
      </c>
      <c r="F13422" s="4" t="str">
        <f>HYPERLINK("http://141.218.60.56/~jnz1568/getInfo.php?workbook=10_05.xlsx&amp;sheet=U0&amp;row=13422&amp;col=6&amp;number=4.8&amp;sourceID=14","4.8")</f>
        <v>4.8</v>
      </c>
      <c r="G13422" s="4" t="str">
        <f>HYPERLINK("http://141.218.60.56/~jnz1568/getInfo.php?workbook=10_05.xlsx&amp;sheet=U0&amp;row=13422&amp;col=7&amp;number=0.0112&amp;sourceID=14","0.0112")</f>
        <v>0.0112</v>
      </c>
    </row>
    <row r="13423" spans="1:7">
      <c r="A13423" s="3"/>
      <c r="B13423" s="3"/>
      <c r="C13423" s="3"/>
      <c r="D13423" s="3"/>
      <c r="E13423" s="3">
        <v>20</v>
      </c>
      <c r="F13423" s="4" t="str">
        <f>HYPERLINK("http://141.218.60.56/~jnz1568/getInfo.php?workbook=10_05.xlsx&amp;sheet=U0&amp;row=13423&amp;col=6&amp;number=4.9&amp;sourceID=14","4.9")</f>
        <v>4.9</v>
      </c>
      <c r="G13423" s="4" t="str">
        <f>HYPERLINK("http://141.218.60.56/~jnz1568/getInfo.php?workbook=10_05.xlsx&amp;sheet=U0&amp;row=13423&amp;col=7&amp;number=0.0112&amp;sourceID=14","0.0112")</f>
        <v>0.0112</v>
      </c>
    </row>
    <row r="13424" spans="1:7">
      <c r="A13424" s="3">
        <v>10</v>
      </c>
      <c r="B13424" s="3">
        <v>5</v>
      </c>
      <c r="C13424" s="3">
        <v>4</v>
      </c>
      <c r="D13424" s="3">
        <v>142</v>
      </c>
      <c r="E13424" s="3">
        <v>1</v>
      </c>
      <c r="F13424" s="4" t="str">
        <f>HYPERLINK("http://141.218.60.56/~jnz1568/getInfo.php?workbook=10_05.xlsx&amp;sheet=U0&amp;row=13424&amp;col=6&amp;number=3&amp;sourceID=14","3")</f>
        <v>3</v>
      </c>
      <c r="G13424" s="4" t="str">
        <f>HYPERLINK("http://141.218.60.56/~jnz1568/getInfo.php?workbook=10_05.xlsx&amp;sheet=U0&amp;row=13424&amp;col=7&amp;number=0.0562&amp;sourceID=14","0.0562")</f>
        <v>0.0562</v>
      </c>
    </row>
    <row r="13425" spans="1:7">
      <c r="A13425" s="3"/>
      <c r="B13425" s="3"/>
      <c r="C13425" s="3"/>
      <c r="D13425" s="3"/>
      <c r="E13425" s="3">
        <v>2</v>
      </c>
      <c r="F13425" s="4" t="str">
        <f>HYPERLINK("http://141.218.60.56/~jnz1568/getInfo.php?workbook=10_05.xlsx&amp;sheet=U0&amp;row=13425&amp;col=6&amp;number=3.1&amp;sourceID=14","3.1")</f>
        <v>3.1</v>
      </c>
      <c r="G13425" s="4" t="str">
        <f>HYPERLINK("http://141.218.60.56/~jnz1568/getInfo.php?workbook=10_05.xlsx&amp;sheet=U0&amp;row=13425&amp;col=7&amp;number=0.0562&amp;sourceID=14","0.0562")</f>
        <v>0.0562</v>
      </c>
    </row>
    <row r="13426" spans="1:7">
      <c r="A13426" s="3"/>
      <c r="B13426" s="3"/>
      <c r="C13426" s="3"/>
      <c r="D13426" s="3"/>
      <c r="E13426" s="3">
        <v>3</v>
      </c>
      <c r="F13426" s="4" t="str">
        <f>HYPERLINK("http://141.218.60.56/~jnz1568/getInfo.php?workbook=10_05.xlsx&amp;sheet=U0&amp;row=13426&amp;col=6&amp;number=3.2&amp;sourceID=14","3.2")</f>
        <v>3.2</v>
      </c>
      <c r="G13426" s="4" t="str">
        <f>HYPERLINK("http://141.218.60.56/~jnz1568/getInfo.php?workbook=10_05.xlsx&amp;sheet=U0&amp;row=13426&amp;col=7&amp;number=0.0562&amp;sourceID=14","0.0562")</f>
        <v>0.0562</v>
      </c>
    </row>
    <row r="13427" spans="1:7">
      <c r="A13427" s="3"/>
      <c r="B13427" s="3"/>
      <c r="C13427" s="3"/>
      <c r="D13427" s="3"/>
      <c r="E13427" s="3">
        <v>4</v>
      </c>
      <c r="F13427" s="4" t="str">
        <f>HYPERLINK("http://141.218.60.56/~jnz1568/getInfo.php?workbook=10_05.xlsx&amp;sheet=U0&amp;row=13427&amp;col=6&amp;number=3.3&amp;sourceID=14","3.3")</f>
        <v>3.3</v>
      </c>
      <c r="G13427" s="4" t="str">
        <f>HYPERLINK("http://141.218.60.56/~jnz1568/getInfo.php?workbook=10_05.xlsx&amp;sheet=U0&amp;row=13427&amp;col=7&amp;number=0.0562&amp;sourceID=14","0.0562")</f>
        <v>0.0562</v>
      </c>
    </row>
    <row r="13428" spans="1:7">
      <c r="A13428" s="3"/>
      <c r="B13428" s="3"/>
      <c r="C13428" s="3"/>
      <c r="D13428" s="3"/>
      <c r="E13428" s="3">
        <v>5</v>
      </c>
      <c r="F13428" s="4" t="str">
        <f>HYPERLINK("http://141.218.60.56/~jnz1568/getInfo.php?workbook=10_05.xlsx&amp;sheet=U0&amp;row=13428&amp;col=6&amp;number=3.4&amp;sourceID=14","3.4")</f>
        <v>3.4</v>
      </c>
      <c r="G13428" s="4" t="str">
        <f>HYPERLINK("http://141.218.60.56/~jnz1568/getInfo.php?workbook=10_05.xlsx&amp;sheet=U0&amp;row=13428&amp;col=7&amp;number=0.0562&amp;sourceID=14","0.0562")</f>
        <v>0.0562</v>
      </c>
    </row>
    <row r="13429" spans="1:7">
      <c r="A13429" s="3"/>
      <c r="B13429" s="3"/>
      <c r="C13429" s="3"/>
      <c r="D13429" s="3"/>
      <c r="E13429" s="3">
        <v>6</v>
      </c>
      <c r="F13429" s="4" t="str">
        <f>HYPERLINK("http://141.218.60.56/~jnz1568/getInfo.php?workbook=10_05.xlsx&amp;sheet=U0&amp;row=13429&amp;col=6&amp;number=3.5&amp;sourceID=14","3.5")</f>
        <v>3.5</v>
      </c>
      <c r="G13429" s="4" t="str">
        <f>HYPERLINK("http://141.218.60.56/~jnz1568/getInfo.php?workbook=10_05.xlsx&amp;sheet=U0&amp;row=13429&amp;col=7&amp;number=0.0561&amp;sourceID=14","0.0561")</f>
        <v>0.0561</v>
      </c>
    </row>
    <row r="13430" spans="1:7">
      <c r="A13430" s="3"/>
      <c r="B13430" s="3"/>
      <c r="C13430" s="3"/>
      <c r="D13430" s="3"/>
      <c r="E13430" s="3">
        <v>7</v>
      </c>
      <c r="F13430" s="4" t="str">
        <f>HYPERLINK("http://141.218.60.56/~jnz1568/getInfo.php?workbook=10_05.xlsx&amp;sheet=U0&amp;row=13430&amp;col=6&amp;number=3.6&amp;sourceID=14","3.6")</f>
        <v>3.6</v>
      </c>
      <c r="G13430" s="4" t="str">
        <f>HYPERLINK("http://141.218.60.56/~jnz1568/getInfo.php?workbook=10_05.xlsx&amp;sheet=U0&amp;row=13430&amp;col=7&amp;number=0.0561&amp;sourceID=14","0.0561")</f>
        <v>0.0561</v>
      </c>
    </row>
    <row r="13431" spans="1:7">
      <c r="A13431" s="3"/>
      <c r="B13431" s="3"/>
      <c r="C13431" s="3"/>
      <c r="D13431" s="3"/>
      <c r="E13431" s="3">
        <v>8</v>
      </c>
      <c r="F13431" s="4" t="str">
        <f>HYPERLINK("http://141.218.60.56/~jnz1568/getInfo.php?workbook=10_05.xlsx&amp;sheet=U0&amp;row=13431&amp;col=6&amp;number=3.7&amp;sourceID=14","3.7")</f>
        <v>3.7</v>
      </c>
      <c r="G13431" s="4" t="str">
        <f>HYPERLINK("http://141.218.60.56/~jnz1568/getInfo.php?workbook=10_05.xlsx&amp;sheet=U0&amp;row=13431&amp;col=7&amp;number=0.0561&amp;sourceID=14","0.0561")</f>
        <v>0.0561</v>
      </c>
    </row>
    <row r="13432" spans="1:7">
      <c r="A13432" s="3"/>
      <c r="B13432" s="3"/>
      <c r="C13432" s="3"/>
      <c r="D13432" s="3"/>
      <c r="E13432" s="3">
        <v>9</v>
      </c>
      <c r="F13432" s="4" t="str">
        <f>HYPERLINK("http://141.218.60.56/~jnz1568/getInfo.php?workbook=10_05.xlsx&amp;sheet=U0&amp;row=13432&amp;col=6&amp;number=3.8&amp;sourceID=14","3.8")</f>
        <v>3.8</v>
      </c>
      <c r="G13432" s="4" t="str">
        <f>HYPERLINK("http://141.218.60.56/~jnz1568/getInfo.php?workbook=10_05.xlsx&amp;sheet=U0&amp;row=13432&amp;col=7&amp;number=0.0561&amp;sourceID=14","0.0561")</f>
        <v>0.0561</v>
      </c>
    </row>
    <row r="13433" spans="1:7">
      <c r="A13433" s="3"/>
      <c r="B13433" s="3"/>
      <c r="C13433" s="3"/>
      <c r="D13433" s="3"/>
      <c r="E13433" s="3">
        <v>10</v>
      </c>
      <c r="F13433" s="4" t="str">
        <f>HYPERLINK("http://141.218.60.56/~jnz1568/getInfo.php?workbook=10_05.xlsx&amp;sheet=U0&amp;row=13433&amp;col=6&amp;number=3.9&amp;sourceID=14","3.9")</f>
        <v>3.9</v>
      </c>
      <c r="G13433" s="4" t="str">
        <f>HYPERLINK("http://141.218.60.56/~jnz1568/getInfo.php?workbook=10_05.xlsx&amp;sheet=U0&amp;row=13433&amp;col=7&amp;number=0.0561&amp;sourceID=14","0.0561")</f>
        <v>0.0561</v>
      </c>
    </row>
    <row r="13434" spans="1:7">
      <c r="A13434" s="3"/>
      <c r="B13434" s="3"/>
      <c r="C13434" s="3"/>
      <c r="D13434" s="3"/>
      <c r="E13434" s="3">
        <v>11</v>
      </c>
      <c r="F13434" s="4" t="str">
        <f>HYPERLINK("http://141.218.60.56/~jnz1568/getInfo.php?workbook=10_05.xlsx&amp;sheet=U0&amp;row=13434&amp;col=6&amp;number=4&amp;sourceID=14","4")</f>
        <v>4</v>
      </c>
      <c r="G13434" s="4" t="str">
        <f>HYPERLINK("http://141.218.60.56/~jnz1568/getInfo.php?workbook=10_05.xlsx&amp;sheet=U0&amp;row=13434&amp;col=7&amp;number=0.056&amp;sourceID=14","0.056")</f>
        <v>0.056</v>
      </c>
    </row>
    <row r="13435" spans="1:7">
      <c r="A13435" s="3"/>
      <c r="B13435" s="3"/>
      <c r="C13435" s="3"/>
      <c r="D13435" s="3"/>
      <c r="E13435" s="3">
        <v>12</v>
      </c>
      <c r="F13435" s="4" t="str">
        <f>HYPERLINK("http://141.218.60.56/~jnz1568/getInfo.php?workbook=10_05.xlsx&amp;sheet=U0&amp;row=13435&amp;col=6&amp;number=4.1&amp;sourceID=14","4.1")</f>
        <v>4.1</v>
      </c>
      <c r="G13435" s="4" t="str">
        <f>HYPERLINK("http://141.218.60.56/~jnz1568/getInfo.php?workbook=10_05.xlsx&amp;sheet=U0&amp;row=13435&amp;col=7&amp;number=0.056&amp;sourceID=14","0.056")</f>
        <v>0.056</v>
      </c>
    </row>
    <row r="13436" spans="1:7">
      <c r="A13436" s="3"/>
      <c r="B13436" s="3"/>
      <c r="C13436" s="3"/>
      <c r="D13436" s="3"/>
      <c r="E13436" s="3">
        <v>13</v>
      </c>
      <c r="F13436" s="4" t="str">
        <f>HYPERLINK("http://141.218.60.56/~jnz1568/getInfo.php?workbook=10_05.xlsx&amp;sheet=U0&amp;row=13436&amp;col=6&amp;number=4.2&amp;sourceID=14","4.2")</f>
        <v>4.2</v>
      </c>
      <c r="G13436" s="4" t="str">
        <f>HYPERLINK("http://141.218.60.56/~jnz1568/getInfo.php?workbook=10_05.xlsx&amp;sheet=U0&amp;row=13436&amp;col=7&amp;number=0.056&amp;sourceID=14","0.056")</f>
        <v>0.056</v>
      </c>
    </row>
    <row r="13437" spans="1:7">
      <c r="A13437" s="3"/>
      <c r="B13437" s="3"/>
      <c r="C13437" s="3"/>
      <c r="D13437" s="3"/>
      <c r="E13437" s="3">
        <v>14</v>
      </c>
      <c r="F13437" s="4" t="str">
        <f>HYPERLINK("http://141.218.60.56/~jnz1568/getInfo.php?workbook=10_05.xlsx&amp;sheet=U0&amp;row=13437&amp;col=6&amp;number=4.3&amp;sourceID=14","4.3")</f>
        <v>4.3</v>
      </c>
      <c r="G13437" s="4" t="str">
        <f>HYPERLINK("http://141.218.60.56/~jnz1568/getInfo.php?workbook=10_05.xlsx&amp;sheet=U0&amp;row=13437&amp;col=7&amp;number=0.0561&amp;sourceID=14","0.0561")</f>
        <v>0.0561</v>
      </c>
    </row>
    <row r="13438" spans="1:7">
      <c r="A13438" s="3"/>
      <c r="B13438" s="3"/>
      <c r="C13438" s="3"/>
      <c r="D13438" s="3"/>
      <c r="E13438" s="3">
        <v>15</v>
      </c>
      <c r="F13438" s="4" t="str">
        <f>HYPERLINK("http://141.218.60.56/~jnz1568/getInfo.php?workbook=10_05.xlsx&amp;sheet=U0&amp;row=13438&amp;col=6&amp;number=4.4&amp;sourceID=14","4.4")</f>
        <v>4.4</v>
      </c>
      <c r="G13438" s="4" t="str">
        <f>HYPERLINK("http://141.218.60.56/~jnz1568/getInfo.php?workbook=10_05.xlsx&amp;sheet=U0&amp;row=13438&amp;col=7&amp;number=0.0562&amp;sourceID=14","0.0562")</f>
        <v>0.0562</v>
      </c>
    </row>
    <row r="13439" spans="1:7">
      <c r="A13439" s="3"/>
      <c r="B13439" s="3"/>
      <c r="C13439" s="3"/>
      <c r="D13439" s="3"/>
      <c r="E13439" s="3">
        <v>16</v>
      </c>
      <c r="F13439" s="4" t="str">
        <f>HYPERLINK("http://141.218.60.56/~jnz1568/getInfo.php?workbook=10_05.xlsx&amp;sheet=U0&amp;row=13439&amp;col=6&amp;number=4.5&amp;sourceID=14","4.5")</f>
        <v>4.5</v>
      </c>
      <c r="G13439" s="4" t="str">
        <f>HYPERLINK("http://141.218.60.56/~jnz1568/getInfo.php?workbook=10_05.xlsx&amp;sheet=U0&amp;row=13439&amp;col=7&amp;number=0.0564&amp;sourceID=14","0.0564")</f>
        <v>0.0564</v>
      </c>
    </row>
    <row r="13440" spans="1:7">
      <c r="A13440" s="3"/>
      <c r="B13440" s="3"/>
      <c r="C13440" s="3"/>
      <c r="D13440" s="3"/>
      <c r="E13440" s="3">
        <v>17</v>
      </c>
      <c r="F13440" s="4" t="str">
        <f>HYPERLINK("http://141.218.60.56/~jnz1568/getInfo.php?workbook=10_05.xlsx&amp;sheet=U0&amp;row=13440&amp;col=6&amp;number=4.6&amp;sourceID=14","4.6")</f>
        <v>4.6</v>
      </c>
      <c r="G13440" s="4" t="str">
        <f>HYPERLINK("http://141.218.60.56/~jnz1568/getInfo.php?workbook=10_05.xlsx&amp;sheet=U0&amp;row=13440&amp;col=7&amp;number=0.0568&amp;sourceID=14","0.0568")</f>
        <v>0.0568</v>
      </c>
    </row>
    <row r="13441" spans="1:7">
      <c r="A13441" s="3"/>
      <c r="B13441" s="3"/>
      <c r="C13441" s="3"/>
      <c r="D13441" s="3"/>
      <c r="E13441" s="3">
        <v>18</v>
      </c>
      <c r="F13441" s="4" t="str">
        <f>HYPERLINK("http://141.218.60.56/~jnz1568/getInfo.php?workbook=10_05.xlsx&amp;sheet=U0&amp;row=13441&amp;col=6&amp;number=4.7&amp;sourceID=14","4.7")</f>
        <v>4.7</v>
      </c>
      <c r="G13441" s="4" t="str">
        <f>HYPERLINK("http://141.218.60.56/~jnz1568/getInfo.php?workbook=10_05.xlsx&amp;sheet=U0&amp;row=13441&amp;col=7&amp;number=0.0572&amp;sourceID=14","0.0572")</f>
        <v>0.0572</v>
      </c>
    </row>
    <row r="13442" spans="1:7">
      <c r="A13442" s="3"/>
      <c r="B13442" s="3"/>
      <c r="C13442" s="3"/>
      <c r="D13442" s="3"/>
      <c r="E13442" s="3">
        <v>19</v>
      </c>
      <c r="F13442" s="4" t="str">
        <f>HYPERLINK("http://141.218.60.56/~jnz1568/getInfo.php?workbook=10_05.xlsx&amp;sheet=U0&amp;row=13442&amp;col=6&amp;number=4.8&amp;sourceID=14","4.8")</f>
        <v>4.8</v>
      </c>
      <c r="G13442" s="4" t="str">
        <f>HYPERLINK("http://141.218.60.56/~jnz1568/getInfo.php?workbook=10_05.xlsx&amp;sheet=U0&amp;row=13442&amp;col=7&amp;number=0.0578&amp;sourceID=14","0.0578")</f>
        <v>0.0578</v>
      </c>
    </row>
    <row r="13443" spans="1:7">
      <c r="A13443" s="3"/>
      <c r="B13443" s="3"/>
      <c r="C13443" s="3"/>
      <c r="D13443" s="3"/>
      <c r="E13443" s="3">
        <v>20</v>
      </c>
      <c r="F13443" s="4" t="str">
        <f>HYPERLINK("http://141.218.60.56/~jnz1568/getInfo.php?workbook=10_05.xlsx&amp;sheet=U0&amp;row=13443&amp;col=6&amp;number=4.9&amp;sourceID=14","4.9")</f>
        <v>4.9</v>
      </c>
      <c r="G13443" s="4" t="str">
        <f>HYPERLINK("http://141.218.60.56/~jnz1568/getInfo.php?workbook=10_05.xlsx&amp;sheet=U0&amp;row=13443&amp;col=7&amp;number=0.0584&amp;sourceID=14","0.0584")</f>
        <v>0.0584</v>
      </c>
    </row>
    <row r="13444" spans="1:7">
      <c r="A13444" s="3">
        <v>10</v>
      </c>
      <c r="B13444" s="3">
        <v>5</v>
      </c>
      <c r="C13444" s="3">
        <v>4</v>
      </c>
      <c r="D13444" s="3">
        <v>143</v>
      </c>
      <c r="E13444" s="3">
        <v>1</v>
      </c>
      <c r="F13444" s="4" t="str">
        <f>HYPERLINK("http://141.218.60.56/~jnz1568/getInfo.php?workbook=10_05.xlsx&amp;sheet=U0&amp;row=13444&amp;col=6&amp;number=3&amp;sourceID=14","3")</f>
        <v>3</v>
      </c>
      <c r="G13444" s="4" t="str">
        <f>HYPERLINK("http://141.218.60.56/~jnz1568/getInfo.php?workbook=10_05.xlsx&amp;sheet=U0&amp;row=13444&amp;col=7&amp;number=0.156&amp;sourceID=14","0.156")</f>
        <v>0.156</v>
      </c>
    </row>
    <row r="13445" spans="1:7">
      <c r="A13445" s="3"/>
      <c r="B13445" s="3"/>
      <c r="C13445" s="3"/>
      <c r="D13445" s="3"/>
      <c r="E13445" s="3">
        <v>2</v>
      </c>
      <c r="F13445" s="4" t="str">
        <f>HYPERLINK("http://141.218.60.56/~jnz1568/getInfo.php?workbook=10_05.xlsx&amp;sheet=U0&amp;row=13445&amp;col=6&amp;number=3.1&amp;sourceID=14","3.1")</f>
        <v>3.1</v>
      </c>
      <c r="G13445" s="4" t="str">
        <f>HYPERLINK("http://141.218.60.56/~jnz1568/getInfo.php?workbook=10_05.xlsx&amp;sheet=U0&amp;row=13445&amp;col=7&amp;number=0.156&amp;sourceID=14","0.156")</f>
        <v>0.156</v>
      </c>
    </row>
    <row r="13446" spans="1:7">
      <c r="A13446" s="3"/>
      <c r="B13446" s="3"/>
      <c r="C13446" s="3"/>
      <c r="D13446" s="3"/>
      <c r="E13446" s="3">
        <v>3</v>
      </c>
      <c r="F13446" s="4" t="str">
        <f>HYPERLINK("http://141.218.60.56/~jnz1568/getInfo.php?workbook=10_05.xlsx&amp;sheet=U0&amp;row=13446&amp;col=6&amp;number=3.2&amp;sourceID=14","3.2")</f>
        <v>3.2</v>
      </c>
      <c r="G13446" s="4" t="str">
        <f>HYPERLINK("http://141.218.60.56/~jnz1568/getInfo.php?workbook=10_05.xlsx&amp;sheet=U0&amp;row=13446&amp;col=7&amp;number=0.157&amp;sourceID=14","0.157")</f>
        <v>0.157</v>
      </c>
    </row>
    <row r="13447" spans="1:7">
      <c r="A13447" s="3"/>
      <c r="B13447" s="3"/>
      <c r="C13447" s="3"/>
      <c r="D13447" s="3"/>
      <c r="E13447" s="3">
        <v>4</v>
      </c>
      <c r="F13447" s="4" t="str">
        <f>HYPERLINK("http://141.218.60.56/~jnz1568/getInfo.php?workbook=10_05.xlsx&amp;sheet=U0&amp;row=13447&amp;col=6&amp;number=3.3&amp;sourceID=14","3.3")</f>
        <v>3.3</v>
      </c>
      <c r="G13447" s="4" t="str">
        <f>HYPERLINK("http://141.218.60.56/~jnz1568/getInfo.php?workbook=10_05.xlsx&amp;sheet=U0&amp;row=13447&amp;col=7&amp;number=0.157&amp;sourceID=14","0.157")</f>
        <v>0.157</v>
      </c>
    </row>
    <row r="13448" spans="1:7">
      <c r="A13448" s="3"/>
      <c r="B13448" s="3"/>
      <c r="C13448" s="3"/>
      <c r="D13448" s="3"/>
      <c r="E13448" s="3">
        <v>5</v>
      </c>
      <c r="F13448" s="4" t="str">
        <f>HYPERLINK("http://141.218.60.56/~jnz1568/getInfo.php?workbook=10_05.xlsx&amp;sheet=U0&amp;row=13448&amp;col=6&amp;number=3.4&amp;sourceID=14","3.4")</f>
        <v>3.4</v>
      </c>
      <c r="G13448" s="4" t="str">
        <f>HYPERLINK("http://141.218.60.56/~jnz1568/getInfo.php?workbook=10_05.xlsx&amp;sheet=U0&amp;row=13448&amp;col=7&amp;number=0.157&amp;sourceID=14","0.157")</f>
        <v>0.157</v>
      </c>
    </row>
    <row r="13449" spans="1:7">
      <c r="A13449" s="3"/>
      <c r="B13449" s="3"/>
      <c r="C13449" s="3"/>
      <c r="D13449" s="3"/>
      <c r="E13449" s="3">
        <v>6</v>
      </c>
      <c r="F13449" s="4" t="str">
        <f>HYPERLINK("http://141.218.60.56/~jnz1568/getInfo.php?workbook=10_05.xlsx&amp;sheet=U0&amp;row=13449&amp;col=6&amp;number=3.5&amp;sourceID=14","3.5")</f>
        <v>3.5</v>
      </c>
      <c r="G13449" s="4" t="str">
        <f>HYPERLINK("http://141.218.60.56/~jnz1568/getInfo.php?workbook=10_05.xlsx&amp;sheet=U0&amp;row=13449&amp;col=7&amp;number=0.157&amp;sourceID=14","0.157")</f>
        <v>0.157</v>
      </c>
    </row>
    <row r="13450" spans="1:7">
      <c r="A13450" s="3"/>
      <c r="B13450" s="3"/>
      <c r="C13450" s="3"/>
      <c r="D13450" s="3"/>
      <c r="E13450" s="3">
        <v>7</v>
      </c>
      <c r="F13450" s="4" t="str">
        <f>HYPERLINK("http://141.218.60.56/~jnz1568/getInfo.php?workbook=10_05.xlsx&amp;sheet=U0&amp;row=13450&amp;col=6&amp;number=3.6&amp;sourceID=14","3.6")</f>
        <v>3.6</v>
      </c>
      <c r="G13450" s="4" t="str">
        <f>HYPERLINK("http://141.218.60.56/~jnz1568/getInfo.php?workbook=10_05.xlsx&amp;sheet=U0&amp;row=13450&amp;col=7&amp;number=0.157&amp;sourceID=14","0.157")</f>
        <v>0.157</v>
      </c>
    </row>
    <row r="13451" spans="1:7">
      <c r="A13451" s="3"/>
      <c r="B13451" s="3"/>
      <c r="C13451" s="3"/>
      <c r="D13451" s="3"/>
      <c r="E13451" s="3">
        <v>8</v>
      </c>
      <c r="F13451" s="4" t="str">
        <f>HYPERLINK("http://141.218.60.56/~jnz1568/getInfo.php?workbook=10_05.xlsx&amp;sheet=U0&amp;row=13451&amp;col=6&amp;number=3.7&amp;sourceID=14","3.7")</f>
        <v>3.7</v>
      </c>
      <c r="G13451" s="4" t="str">
        <f>HYPERLINK("http://141.218.60.56/~jnz1568/getInfo.php?workbook=10_05.xlsx&amp;sheet=U0&amp;row=13451&amp;col=7&amp;number=0.157&amp;sourceID=14","0.157")</f>
        <v>0.157</v>
      </c>
    </row>
    <row r="13452" spans="1:7">
      <c r="A13452" s="3"/>
      <c r="B13452" s="3"/>
      <c r="C13452" s="3"/>
      <c r="D13452" s="3"/>
      <c r="E13452" s="3">
        <v>9</v>
      </c>
      <c r="F13452" s="4" t="str">
        <f>HYPERLINK("http://141.218.60.56/~jnz1568/getInfo.php?workbook=10_05.xlsx&amp;sheet=U0&amp;row=13452&amp;col=6&amp;number=3.8&amp;sourceID=14","3.8")</f>
        <v>3.8</v>
      </c>
      <c r="G13452" s="4" t="str">
        <f>HYPERLINK("http://141.218.60.56/~jnz1568/getInfo.php?workbook=10_05.xlsx&amp;sheet=U0&amp;row=13452&amp;col=7&amp;number=0.157&amp;sourceID=14","0.157")</f>
        <v>0.157</v>
      </c>
    </row>
    <row r="13453" spans="1:7">
      <c r="A13453" s="3"/>
      <c r="B13453" s="3"/>
      <c r="C13453" s="3"/>
      <c r="D13453" s="3"/>
      <c r="E13453" s="3">
        <v>10</v>
      </c>
      <c r="F13453" s="4" t="str">
        <f>HYPERLINK("http://141.218.60.56/~jnz1568/getInfo.php?workbook=10_05.xlsx&amp;sheet=U0&amp;row=13453&amp;col=6&amp;number=3.9&amp;sourceID=14","3.9")</f>
        <v>3.9</v>
      </c>
      <c r="G13453" s="4" t="str">
        <f>HYPERLINK("http://141.218.60.56/~jnz1568/getInfo.php?workbook=10_05.xlsx&amp;sheet=U0&amp;row=13453&amp;col=7&amp;number=0.157&amp;sourceID=14","0.157")</f>
        <v>0.157</v>
      </c>
    </row>
    <row r="13454" spans="1:7">
      <c r="A13454" s="3"/>
      <c r="B13454" s="3"/>
      <c r="C13454" s="3"/>
      <c r="D13454" s="3"/>
      <c r="E13454" s="3">
        <v>11</v>
      </c>
      <c r="F13454" s="4" t="str">
        <f>HYPERLINK("http://141.218.60.56/~jnz1568/getInfo.php?workbook=10_05.xlsx&amp;sheet=U0&amp;row=13454&amp;col=6&amp;number=4&amp;sourceID=14","4")</f>
        <v>4</v>
      </c>
      <c r="G13454" s="4" t="str">
        <f>HYPERLINK("http://141.218.60.56/~jnz1568/getInfo.php?workbook=10_05.xlsx&amp;sheet=U0&amp;row=13454&amp;col=7&amp;number=0.158&amp;sourceID=14","0.158")</f>
        <v>0.158</v>
      </c>
    </row>
    <row r="13455" spans="1:7">
      <c r="A13455" s="3"/>
      <c r="B13455" s="3"/>
      <c r="C13455" s="3"/>
      <c r="D13455" s="3"/>
      <c r="E13455" s="3">
        <v>12</v>
      </c>
      <c r="F13455" s="4" t="str">
        <f>HYPERLINK("http://141.218.60.56/~jnz1568/getInfo.php?workbook=10_05.xlsx&amp;sheet=U0&amp;row=13455&amp;col=6&amp;number=4.1&amp;sourceID=14","4.1")</f>
        <v>4.1</v>
      </c>
      <c r="G13455" s="4" t="str">
        <f>HYPERLINK("http://141.218.60.56/~jnz1568/getInfo.php?workbook=10_05.xlsx&amp;sheet=U0&amp;row=13455&amp;col=7&amp;number=0.158&amp;sourceID=14","0.158")</f>
        <v>0.158</v>
      </c>
    </row>
    <row r="13456" spans="1:7">
      <c r="A13456" s="3"/>
      <c r="B13456" s="3"/>
      <c r="C13456" s="3"/>
      <c r="D13456" s="3"/>
      <c r="E13456" s="3">
        <v>13</v>
      </c>
      <c r="F13456" s="4" t="str">
        <f>HYPERLINK("http://141.218.60.56/~jnz1568/getInfo.php?workbook=10_05.xlsx&amp;sheet=U0&amp;row=13456&amp;col=6&amp;number=4.2&amp;sourceID=14","4.2")</f>
        <v>4.2</v>
      </c>
      <c r="G13456" s="4" t="str">
        <f>HYPERLINK("http://141.218.60.56/~jnz1568/getInfo.php?workbook=10_05.xlsx&amp;sheet=U0&amp;row=13456&amp;col=7&amp;number=0.158&amp;sourceID=14","0.158")</f>
        <v>0.158</v>
      </c>
    </row>
    <row r="13457" spans="1:7">
      <c r="A13457" s="3"/>
      <c r="B13457" s="3"/>
      <c r="C13457" s="3"/>
      <c r="D13457" s="3"/>
      <c r="E13457" s="3">
        <v>14</v>
      </c>
      <c r="F13457" s="4" t="str">
        <f>HYPERLINK("http://141.218.60.56/~jnz1568/getInfo.php?workbook=10_05.xlsx&amp;sheet=U0&amp;row=13457&amp;col=6&amp;number=4.3&amp;sourceID=14","4.3")</f>
        <v>4.3</v>
      </c>
      <c r="G13457" s="4" t="str">
        <f>HYPERLINK("http://141.218.60.56/~jnz1568/getInfo.php?workbook=10_05.xlsx&amp;sheet=U0&amp;row=13457&amp;col=7&amp;number=0.159&amp;sourceID=14","0.159")</f>
        <v>0.159</v>
      </c>
    </row>
    <row r="13458" spans="1:7">
      <c r="A13458" s="3"/>
      <c r="B13458" s="3"/>
      <c r="C13458" s="3"/>
      <c r="D13458" s="3"/>
      <c r="E13458" s="3">
        <v>15</v>
      </c>
      <c r="F13458" s="4" t="str">
        <f>HYPERLINK("http://141.218.60.56/~jnz1568/getInfo.php?workbook=10_05.xlsx&amp;sheet=U0&amp;row=13458&amp;col=6&amp;number=4.4&amp;sourceID=14","4.4")</f>
        <v>4.4</v>
      </c>
      <c r="G13458" s="4" t="str">
        <f>HYPERLINK("http://141.218.60.56/~jnz1568/getInfo.php?workbook=10_05.xlsx&amp;sheet=U0&amp;row=13458&amp;col=7&amp;number=0.159&amp;sourceID=14","0.159")</f>
        <v>0.159</v>
      </c>
    </row>
    <row r="13459" spans="1:7">
      <c r="A13459" s="3"/>
      <c r="B13459" s="3"/>
      <c r="C13459" s="3"/>
      <c r="D13459" s="3"/>
      <c r="E13459" s="3">
        <v>16</v>
      </c>
      <c r="F13459" s="4" t="str">
        <f>HYPERLINK("http://141.218.60.56/~jnz1568/getInfo.php?workbook=10_05.xlsx&amp;sheet=U0&amp;row=13459&amp;col=6&amp;number=4.5&amp;sourceID=14","4.5")</f>
        <v>4.5</v>
      </c>
      <c r="G13459" s="4" t="str">
        <f>HYPERLINK("http://141.218.60.56/~jnz1568/getInfo.php?workbook=10_05.xlsx&amp;sheet=U0&amp;row=13459&amp;col=7&amp;number=0.16&amp;sourceID=14","0.16")</f>
        <v>0.16</v>
      </c>
    </row>
    <row r="13460" spans="1:7">
      <c r="A13460" s="3"/>
      <c r="B13460" s="3"/>
      <c r="C13460" s="3"/>
      <c r="D13460" s="3"/>
      <c r="E13460" s="3">
        <v>17</v>
      </c>
      <c r="F13460" s="4" t="str">
        <f>HYPERLINK("http://141.218.60.56/~jnz1568/getInfo.php?workbook=10_05.xlsx&amp;sheet=U0&amp;row=13460&amp;col=6&amp;number=4.6&amp;sourceID=14","4.6")</f>
        <v>4.6</v>
      </c>
      <c r="G13460" s="4" t="str">
        <f>HYPERLINK("http://141.218.60.56/~jnz1568/getInfo.php?workbook=10_05.xlsx&amp;sheet=U0&amp;row=13460&amp;col=7&amp;number=0.161&amp;sourceID=14","0.161")</f>
        <v>0.161</v>
      </c>
    </row>
    <row r="13461" spans="1:7">
      <c r="A13461" s="3"/>
      <c r="B13461" s="3"/>
      <c r="C13461" s="3"/>
      <c r="D13461" s="3"/>
      <c r="E13461" s="3">
        <v>18</v>
      </c>
      <c r="F13461" s="4" t="str">
        <f>HYPERLINK("http://141.218.60.56/~jnz1568/getInfo.php?workbook=10_05.xlsx&amp;sheet=U0&amp;row=13461&amp;col=6&amp;number=4.7&amp;sourceID=14","4.7")</f>
        <v>4.7</v>
      </c>
      <c r="G13461" s="4" t="str">
        <f>HYPERLINK("http://141.218.60.56/~jnz1568/getInfo.php?workbook=10_05.xlsx&amp;sheet=U0&amp;row=13461&amp;col=7&amp;number=0.163&amp;sourceID=14","0.163")</f>
        <v>0.163</v>
      </c>
    </row>
    <row r="13462" spans="1:7">
      <c r="A13462" s="3"/>
      <c r="B13462" s="3"/>
      <c r="C13462" s="3"/>
      <c r="D13462" s="3"/>
      <c r="E13462" s="3">
        <v>19</v>
      </c>
      <c r="F13462" s="4" t="str">
        <f>HYPERLINK("http://141.218.60.56/~jnz1568/getInfo.php?workbook=10_05.xlsx&amp;sheet=U0&amp;row=13462&amp;col=6&amp;number=4.8&amp;sourceID=14","4.8")</f>
        <v>4.8</v>
      </c>
      <c r="G13462" s="4" t="str">
        <f>HYPERLINK("http://141.218.60.56/~jnz1568/getInfo.php?workbook=10_05.xlsx&amp;sheet=U0&amp;row=13462&amp;col=7&amp;number=0.165&amp;sourceID=14","0.165")</f>
        <v>0.165</v>
      </c>
    </row>
    <row r="13463" spans="1:7">
      <c r="A13463" s="3"/>
      <c r="B13463" s="3"/>
      <c r="C13463" s="3"/>
      <c r="D13463" s="3"/>
      <c r="E13463" s="3">
        <v>20</v>
      </c>
      <c r="F13463" s="4" t="str">
        <f>HYPERLINK("http://141.218.60.56/~jnz1568/getInfo.php?workbook=10_05.xlsx&amp;sheet=U0&amp;row=13463&amp;col=6&amp;number=4.9&amp;sourceID=14","4.9")</f>
        <v>4.9</v>
      </c>
      <c r="G13463" s="4" t="str">
        <f>HYPERLINK("http://141.218.60.56/~jnz1568/getInfo.php?workbook=10_05.xlsx&amp;sheet=U0&amp;row=13463&amp;col=7&amp;number=0.167&amp;sourceID=14","0.167")</f>
        <v>0.167</v>
      </c>
    </row>
    <row r="13464" spans="1:7">
      <c r="A13464" s="3">
        <v>10</v>
      </c>
      <c r="B13464" s="3">
        <v>5</v>
      </c>
      <c r="C13464" s="3">
        <v>4</v>
      </c>
      <c r="D13464" s="3">
        <v>144</v>
      </c>
      <c r="E13464" s="3">
        <v>1</v>
      </c>
      <c r="F13464" s="4" t="str">
        <f>HYPERLINK("http://141.218.60.56/~jnz1568/getInfo.php?workbook=10_05.xlsx&amp;sheet=U0&amp;row=13464&amp;col=6&amp;number=3&amp;sourceID=14","3")</f>
        <v>3</v>
      </c>
      <c r="G13464" s="4" t="str">
        <f>HYPERLINK("http://141.218.60.56/~jnz1568/getInfo.php?workbook=10_05.xlsx&amp;sheet=U0&amp;row=13464&amp;col=7&amp;number=0.0182&amp;sourceID=14","0.0182")</f>
        <v>0.0182</v>
      </c>
    </row>
    <row r="13465" spans="1:7">
      <c r="A13465" s="3"/>
      <c r="B13465" s="3"/>
      <c r="C13465" s="3"/>
      <c r="D13465" s="3"/>
      <c r="E13465" s="3">
        <v>2</v>
      </c>
      <c r="F13465" s="4" t="str">
        <f>HYPERLINK("http://141.218.60.56/~jnz1568/getInfo.php?workbook=10_05.xlsx&amp;sheet=U0&amp;row=13465&amp;col=6&amp;number=3.1&amp;sourceID=14","3.1")</f>
        <v>3.1</v>
      </c>
      <c r="G13465" s="4" t="str">
        <f>HYPERLINK("http://141.218.60.56/~jnz1568/getInfo.php?workbook=10_05.xlsx&amp;sheet=U0&amp;row=13465&amp;col=7&amp;number=0.0182&amp;sourceID=14","0.0182")</f>
        <v>0.0182</v>
      </c>
    </row>
    <row r="13466" spans="1:7">
      <c r="A13466" s="3"/>
      <c r="B13466" s="3"/>
      <c r="C13466" s="3"/>
      <c r="D13466" s="3"/>
      <c r="E13466" s="3">
        <v>3</v>
      </c>
      <c r="F13466" s="4" t="str">
        <f>HYPERLINK("http://141.218.60.56/~jnz1568/getInfo.php?workbook=10_05.xlsx&amp;sheet=U0&amp;row=13466&amp;col=6&amp;number=3.2&amp;sourceID=14","3.2")</f>
        <v>3.2</v>
      </c>
      <c r="G13466" s="4" t="str">
        <f>HYPERLINK("http://141.218.60.56/~jnz1568/getInfo.php?workbook=10_05.xlsx&amp;sheet=U0&amp;row=13466&amp;col=7&amp;number=0.0182&amp;sourceID=14","0.0182")</f>
        <v>0.0182</v>
      </c>
    </row>
    <row r="13467" spans="1:7">
      <c r="A13467" s="3"/>
      <c r="B13467" s="3"/>
      <c r="C13467" s="3"/>
      <c r="D13467" s="3"/>
      <c r="E13467" s="3">
        <v>4</v>
      </c>
      <c r="F13467" s="4" t="str">
        <f>HYPERLINK("http://141.218.60.56/~jnz1568/getInfo.php?workbook=10_05.xlsx&amp;sheet=U0&amp;row=13467&amp;col=6&amp;number=3.3&amp;sourceID=14","3.3")</f>
        <v>3.3</v>
      </c>
      <c r="G13467" s="4" t="str">
        <f>HYPERLINK("http://141.218.60.56/~jnz1568/getInfo.php?workbook=10_05.xlsx&amp;sheet=U0&amp;row=13467&amp;col=7&amp;number=0.0181&amp;sourceID=14","0.0181")</f>
        <v>0.0181</v>
      </c>
    </row>
    <row r="13468" spans="1:7">
      <c r="A13468" s="3"/>
      <c r="B13468" s="3"/>
      <c r="C13468" s="3"/>
      <c r="D13468" s="3"/>
      <c r="E13468" s="3">
        <v>5</v>
      </c>
      <c r="F13468" s="4" t="str">
        <f>HYPERLINK("http://141.218.60.56/~jnz1568/getInfo.php?workbook=10_05.xlsx&amp;sheet=U0&amp;row=13468&amp;col=6&amp;number=3.4&amp;sourceID=14","3.4")</f>
        <v>3.4</v>
      </c>
      <c r="G13468" s="4" t="str">
        <f>HYPERLINK("http://141.218.60.56/~jnz1568/getInfo.php?workbook=10_05.xlsx&amp;sheet=U0&amp;row=13468&amp;col=7&amp;number=0.0181&amp;sourceID=14","0.0181")</f>
        <v>0.0181</v>
      </c>
    </row>
    <row r="13469" spans="1:7">
      <c r="A13469" s="3"/>
      <c r="B13469" s="3"/>
      <c r="C13469" s="3"/>
      <c r="D13469" s="3"/>
      <c r="E13469" s="3">
        <v>6</v>
      </c>
      <c r="F13469" s="4" t="str">
        <f>HYPERLINK("http://141.218.60.56/~jnz1568/getInfo.php?workbook=10_05.xlsx&amp;sheet=U0&amp;row=13469&amp;col=6&amp;number=3.5&amp;sourceID=14","3.5")</f>
        <v>3.5</v>
      </c>
      <c r="G13469" s="4" t="str">
        <f>HYPERLINK("http://141.218.60.56/~jnz1568/getInfo.php?workbook=10_05.xlsx&amp;sheet=U0&amp;row=13469&amp;col=7&amp;number=0.018&amp;sourceID=14","0.018")</f>
        <v>0.018</v>
      </c>
    </row>
    <row r="13470" spans="1:7">
      <c r="A13470" s="3"/>
      <c r="B13470" s="3"/>
      <c r="C13470" s="3"/>
      <c r="D13470" s="3"/>
      <c r="E13470" s="3">
        <v>7</v>
      </c>
      <c r="F13470" s="4" t="str">
        <f>HYPERLINK("http://141.218.60.56/~jnz1568/getInfo.php?workbook=10_05.xlsx&amp;sheet=U0&amp;row=13470&amp;col=6&amp;number=3.6&amp;sourceID=14","3.6")</f>
        <v>3.6</v>
      </c>
      <c r="G13470" s="4" t="str">
        <f>HYPERLINK("http://141.218.60.56/~jnz1568/getInfo.php?workbook=10_05.xlsx&amp;sheet=U0&amp;row=13470&amp;col=7&amp;number=0.018&amp;sourceID=14","0.018")</f>
        <v>0.018</v>
      </c>
    </row>
    <row r="13471" spans="1:7">
      <c r="A13471" s="3"/>
      <c r="B13471" s="3"/>
      <c r="C13471" s="3"/>
      <c r="D13471" s="3"/>
      <c r="E13471" s="3">
        <v>8</v>
      </c>
      <c r="F13471" s="4" t="str">
        <f>HYPERLINK("http://141.218.60.56/~jnz1568/getInfo.php?workbook=10_05.xlsx&amp;sheet=U0&amp;row=13471&amp;col=6&amp;number=3.7&amp;sourceID=14","3.7")</f>
        <v>3.7</v>
      </c>
      <c r="G13471" s="4" t="str">
        <f>HYPERLINK("http://141.218.60.56/~jnz1568/getInfo.php?workbook=10_05.xlsx&amp;sheet=U0&amp;row=13471&amp;col=7&amp;number=0.0179&amp;sourceID=14","0.0179")</f>
        <v>0.0179</v>
      </c>
    </row>
    <row r="13472" spans="1:7">
      <c r="A13472" s="3"/>
      <c r="B13472" s="3"/>
      <c r="C13472" s="3"/>
      <c r="D13472" s="3"/>
      <c r="E13472" s="3">
        <v>9</v>
      </c>
      <c r="F13472" s="4" t="str">
        <f>HYPERLINK("http://141.218.60.56/~jnz1568/getInfo.php?workbook=10_05.xlsx&amp;sheet=U0&amp;row=13472&amp;col=6&amp;number=3.8&amp;sourceID=14","3.8")</f>
        <v>3.8</v>
      </c>
      <c r="G13472" s="4" t="str">
        <f>HYPERLINK("http://141.218.60.56/~jnz1568/getInfo.php?workbook=10_05.xlsx&amp;sheet=U0&amp;row=13472&amp;col=7&amp;number=0.0178&amp;sourceID=14","0.0178")</f>
        <v>0.0178</v>
      </c>
    </row>
    <row r="13473" spans="1:7">
      <c r="A13473" s="3"/>
      <c r="B13473" s="3"/>
      <c r="C13473" s="3"/>
      <c r="D13473" s="3"/>
      <c r="E13473" s="3">
        <v>10</v>
      </c>
      <c r="F13473" s="4" t="str">
        <f>HYPERLINK("http://141.218.60.56/~jnz1568/getInfo.php?workbook=10_05.xlsx&amp;sheet=U0&amp;row=13473&amp;col=6&amp;number=3.9&amp;sourceID=14","3.9")</f>
        <v>3.9</v>
      </c>
      <c r="G13473" s="4" t="str">
        <f>HYPERLINK("http://141.218.60.56/~jnz1568/getInfo.php?workbook=10_05.xlsx&amp;sheet=U0&amp;row=13473&amp;col=7&amp;number=0.0177&amp;sourceID=14","0.0177")</f>
        <v>0.0177</v>
      </c>
    </row>
    <row r="13474" spans="1:7">
      <c r="A13474" s="3"/>
      <c r="B13474" s="3"/>
      <c r="C13474" s="3"/>
      <c r="D13474" s="3"/>
      <c r="E13474" s="3">
        <v>11</v>
      </c>
      <c r="F13474" s="4" t="str">
        <f>HYPERLINK("http://141.218.60.56/~jnz1568/getInfo.php?workbook=10_05.xlsx&amp;sheet=U0&amp;row=13474&amp;col=6&amp;number=4&amp;sourceID=14","4")</f>
        <v>4</v>
      </c>
      <c r="G13474" s="4" t="str">
        <f>HYPERLINK("http://141.218.60.56/~jnz1568/getInfo.php?workbook=10_05.xlsx&amp;sheet=U0&amp;row=13474&amp;col=7&amp;number=0.0176&amp;sourceID=14","0.0176")</f>
        <v>0.0176</v>
      </c>
    </row>
    <row r="13475" spans="1:7">
      <c r="A13475" s="3"/>
      <c r="B13475" s="3"/>
      <c r="C13475" s="3"/>
      <c r="D13475" s="3"/>
      <c r="E13475" s="3">
        <v>12</v>
      </c>
      <c r="F13475" s="4" t="str">
        <f>HYPERLINK("http://141.218.60.56/~jnz1568/getInfo.php?workbook=10_05.xlsx&amp;sheet=U0&amp;row=13475&amp;col=6&amp;number=4.1&amp;sourceID=14","4.1")</f>
        <v>4.1</v>
      </c>
      <c r="G13475" s="4" t="str">
        <f>HYPERLINK("http://141.218.60.56/~jnz1568/getInfo.php?workbook=10_05.xlsx&amp;sheet=U0&amp;row=13475&amp;col=7&amp;number=0.0174&amp;sourceID=14","0.0174")</f>
        <v>0.0174</v>
      </c>
    </row>
    <row r="13476" spans="1:7">
      <c r="A13476" s="3"/>
      <c r="B13476" s="3"/>
      <c r="C13476" s="3"/>
      <c r="D13476" s="3"/>
      <c r="E13476" s="3">
        <v>13</v>
      </c>
      <c r="F13476" s="4" t="str">
        <f>HYPERLINK("http://141.218.60.56/~jnz1568/getInfo.php?workbook=10_05.xlsx&amp;sheet=U0&amp;row=13476&amp;col=6&amp;number=4.2&amp;sourceID=14","4.2")</f>
        <v>4.2</v>
      </c>
      <c r="G13476" s="4" t="str">
        <f>HYPERLINK("http://141.218.60.56/~jnz1568/getInfo.php?workbook=10_05.xlsx&amp;sheet=U0&amp;row=13476&amp;col=7&amp;number=0.0173&amp;sourceID=14","0.0173")</f>
        <v>0.0173</v>
      </c>
    </row>
    <row r="13477" spans="1:7">
      <c r="A13477" s="3"/>
      <c r="B13477" s="3"/>
      <c r="C13477" s="3"/>
      <c r="D13477" s="3"/>
      <c r="E13477" s="3">
        <v>14</v>
      </c>
      <c r="F13477" s="4" t="str">
        <f>HYPERLINK("http://141.218.60.56/~jnz1568/getInfo.php?workbook=10_05.xlsx&amp;sheet=U0&amp;row=13477&amp;col=6&amp;number=4.3&amp;sourceID=14","4.3")</f>
        <v>4.3</v>
      </c>
      <c r="G13477" s="4" t="str">
        <f>HYPERLINK("http://141.218.60.56/~jnz1568/getInfo.php?workbook=10_05.xlsx&amp;sheet=U0&amp;row=13477&amp;col=7&amp;number=0.0171&amp;sourceID=14","0.0171")</f>
        <v>0.0171</v>
      </c>
    </row>
    <row r="13478" spans="1:7">
      <c r="A13478" s="3"/>
      <c r="B13478" s="3"/>
      <c r="C13478" s="3"/>
      <c r="D13478" s="3"/>
      <c r="E13478" s="3">
        <v>15</v>
      </c>
      <c r="F13478" s="4" t="str">
        <f>HYPERLINK("http://141.218.60.56/~jnz1568/getInfo.php?workbook=10_05.xlsx&amp;sheet=U0&amp;row=13478&amp;col=6&amp;number=4.4&amp;sourceID=14","4.4")</f>
        <v>4.4</v>
      </c>
      <c r="G13478" s="4" t="str">
        <f>HYPERLINK("http://141.218.60.56/~jnz1568/getInfo.php?workbook=10_05.xlsx&amp;sheet=U0&amp;row=13478&amp;col=7&amp;number=0.0169&amp;sourceID=14","0.0169")</f>
        <v>0.0169</v>
      </c>
    </row>
    <row r="13479" spans="1:7">
      <c r="A13479" s="3"/>
      <c r="B13479" s="3"/>
      <c r="C13479" s="3"/>
      <c r="D13479" s="3"/>
      <c r="E13479" s="3">
        <v>16</v>
      </c>
      <c r="F13479" s="4" t="str">
        <f>HYPERLINK("http://141.218.60.56/~jnz1568/getInfo.php?workbook=10_05.xlsx&amp;sheet=U0&amp;row=13479&amp;col=6&amp;number=4.5&amp;sourceID=14","4.5")</f>
        <v>4.5</v>
      </c>
      <c r="G13479" s="4" t="str">
        <f>HYPERLINK("http://141.218.60.56/~jnz1568/getInfo.php?workbook=10_05.xlsx&amp;sheet=U0&amp;row=13479&amp;col=7&amp;number=0.0168&amp;sourceID=14","0.0168")</f>
        <v>0.0168</v>
      </c>
    </row>
    <row r="13480" spans="1:7">
      <c r="A13480" s="3"/>
      <c r="B13480" s="3"/>
      <c r="C13480" s="3"/>
      <c r="D13480" s="3"/>
      <c r="E13480" s="3">
        <v>17</v>
      </c>
      <c r="F13480" s="4" t="str">
        <f>HYPERLINK("http://141.218.60.56/~jnz1568/getInfo.php?workbook=10_05.xlsx&amp;sheet=U0&amp;row=13480&amp;col=6&amp;number=4.6&amp;sourceID=14","4.6")</f>
        <v>4.6</v>
      </c>
      <c r="G13480" s="4" t="str">
        <f>HYPERLINK("http://141.218.60.56/~jnz1568/getInfo.php?workbook=10_05.xlsx&amp;sheet=U0&amp;row=13480&amp;col=7&amp;number=0.0167&amp;sourceID=14","0.0167")</f>
        <v>0.0167</v>
      </c>
    </row>
    <row r="13481" spans="1:7">
      <c r="A13481" s="3"/>
      <c r="B13481" s="3"/>
      <c r="C13481" s="3"/>
      <c r="D13481" s="3"/>
      <c r="E13481" s="3">
        <v>18</v>
      </c>
      <c r="F13481" s="4" t="str">
        <f>HYPERLINK("http://141.218.60.56/~jnz1568/getInfo.php?workbook=10_05.xlsx&amp;sheet=U0&amp;row=13481&amp;col=6&amp;number=4.7&amp;sourceID=14","4.7")</f>
        <v>4.7</v>
      </c>
      <c r="G13481" s="4" t="str">
        <f>HYPERLINK("http://141.218.60.56/~jnz1568/getInfo.php?workbook=10_05.xlsx&amp;sheet=U0&amp;row=13481&amp;col=7&amp;number=0.0165&amp;sourceID=14","0.0165")</f>
        <v>0.0165</v>
      </c>
    </row>
    <row r="13482" spans="1:7">
      <c r="A13482" s="3"/>
      <c r="B13482" s="3"/>
      <c r="C13482" s="3"/>
      <c r="D13482" s="3"/>
      <c r="E13482" s="3">
        <v>19</v>
      </c>
      <c r="F13482" s="4" t="str">
        <f>HYPERLINK("http://141.218.60.56/~jnz1568/getInfo.php?workbook=10_05.xlsx&amp;sheet=U0&amp;row=13482&amp;col=6&amp;number=4.8&amp;sourceID=14","4.8")</f>
        <v>4.8</v>
      </c>
      <c r="G13482" s="4" t="str">
        <f>HYPERLINK("http://141.218.60.56/~jnz1568/getInfo.php?workbook=10_05.xlsx&amp;sheet=U0&amp;row=13482&amp;col=7&amp;number=0.0163&amp;sourceID=14","0.0163")</f>
        <v>0.0163</v>
      </c>
    </row>
    <row r="13483" spans="1:7">
      <c r="A13483" s="3"/>
      <c r="B13483" s="3"/>
      <c r="C13483" s="3"/>
      <c r="D13483" s="3"/>
      <c r="E13483" s="3">
        <v>20</v>
      </c>
      <c r="F13483" s="4" t="str">
        <f>HYPERLINK("http://141.218.60.56/~jnz1568/getInfo.php?workbook=10_05.xlsx&amp;sheet=U0&amp;row=13483&amp;col=6&amp;number=4.9&amp;sourceID=14","4.9")</f>
        <v>4.9</v>
      </c>
      <c r="G13483" s="4" t="str">
        <f>HYPERLINK("http://141.218.60.56/~jnz1568/getInfo.php?workbook=10_05.xlsx&amp;sheet=U0&amp;row=13483&amp;col=7&amp;number=0.016&amp;sourceID=14","0.016")</f>
        <v>0.016</v>
      </c>
    </row>
    <row r="13484" spans="1:7">
      <c r="A13484" s="3">
        <v>10</v>
      </c>
      <c r="B13484" s="3">
        <v>5</v>
      </c>
      <c r="C13484" s="3">
        <v>4</v>
      </c>
      <c r="D13484" s="3">
        <v>145</v>
      </c>
      <c r="E13484" s="3">
        <v>1</v>
      </c>
      <c r="F13484" s="4" t="str">
        <f>HYPERLINK("http://141.218.60.56/~jnz1568/getInfo.php?workbook=10_05.xlsx&amp;sheet=U0&amp;row=13484&amp;col=6&amp;number=3&amp;sourceID=14","3")</f>
        <v>3</v>
      </c>
      <c r="G13484" s="4" t="str">
        <f>HYPERLINK("http://141.218.60.56/~jnz1568/getInfo.php?workbook=10_05.xlsx&amp;sheet=U0&amp;row=13484&amp;col=7&amp;number=0.0228&amp;sourceID=14","0.0228")</f>
        <v>0.0228</v>
      </c>
    </row>
    <row r="13485" spans="1:7">
      <c r="A13485" s="3"/>
      <c r="B13485" s="3"/>
      <c r="C13485" s="3"/>
      <c r="D13485" s="3"/>
      <c r="E13485" s="3">
        <v>2</v>
      </c>
      <c r="F13485" s="4" t="str">
        <f>HYPERLINK("http://141.218.60.56/~jnz1568/getInfo.php?workbook=10_05.xlsx&amp;sheet=U0&amp;row=13485&amp;col=6&amp;number=3.1&amp;sourceID=14","3.1")</f>
        <v>3.1</v>
      </c>
      <c r="G13485" s="4" t="str">
        <f>HYPERLINK("http://141.218.60.56/~jnz1568/getInfo.php?workbook=10_05.xlsx&amp;sheet=U0&amp;row=13485&amp;col=7&amp;number=0.0228&amp;sourceID=14","0.0228")</f>
        <v>0.0228</v>
      </c>
    </row>
    <row r="13486" spans="1:7">
      <c r="A13486" s="3"/>
      <c r="B13486" s="3"/>
      <c r="C13486" s="3"/>
      <c r="D13486" s="3"/>
      <c r="E13486" s="3">
        <v>3</v>
      </c>
      <c r="F13486" s="4" t="str">
        <f>HYPERLINK("http://141.218.60.56/~jnz1568/getInfo.php?workbook=10_05.xlsx&amp;sheet=U0&amp;row=13486&amp;col=6&amp;number=3.2&amp;sourceID=14","3.2")</f>
        <v>3.2</v>
      </c>
      <c r="G13486" s="4" t="str">
        <f>HYPERLINK("http://141.218.60.56/~jnz1568/getInfo.php?workbook=10_05.xlsx&amp;sheet=U0&amp;row=13486&amp;col=7&amp;number=0.0227&amp;sourceID=14","0.0227")</f>
        <v>0.0227</v>
      </c>
    </row>
    <row r="13487" spans="1:7">
      <c r="A13487" s="3"/>
      <c r="B13487" s="3"/>
      <c r="C13487" s="3"/>
      <c r="D13487" s="3"/>
      <c r="E13487" s="3">
        <v>4</v>
      </c>
      <c r="F13487" s="4" t="str">
        <f>HYPERLINK("http://141.218.60.56/~jnz1568/getInfo.php?workbook=10_05.xlsx&amp;sheet=U0&amp;row=13487&amp;col=6&amp;number=3.3&amp;sourceID=14","3.3")</f>
        <v>3.3</v>
      </c>
      <c r="G13487" s="4" t="str">
        <f>HYPERLINK("http://141.218.60.56/~jnz1568/getInfo.php?workbook=10_05.xlsx&amp;sheet=U0&amp;row=13487&amp;col=7&amp;number=0.0227&amp;sourceID=14","0.0227")</f>
        <v>0.0227</v>
      </c>
    </row>
    <row r="13488" spans="1:7">
      <c r="A13488" s="3"/>
      <c r="B13488" s="3"/>
      <c r="C13488" s="3"/>
      <c r="D13488" s="3"/>
      <c r="E13488" s="3">
        <v>5</v>
      </c>
      <c r="F13488" s="4" t="str">
        <f>HYPERLINK("http://141.218.60.56/~jnz1568/getInfo.php?workbook=10_05.xlsx&amp;sheet=U0&amp;row=13488&amp;col=6&amp;number=3.4&amp;sourceID=14","3.4")</f>
        <v>3.4</v>
      </c>
      <c r="G13488" s="4" t="str">
        <f>HYPERLINK("http://141.218.60.56/~jnz1568/getInfo.php?workbook=10_05.xlsx&amp;sheet=U0&amp;row=13488&amp;col=7&amp;number=0.0226&amp;sourceID=14","0.0226")</f>
        <v>0.0226</v>
      </c>
    </row>
    <row r="13489" spans="1:7">
      <c r="A13489" s="3"/>
      <c r="B13489" s="3"/>
      <c r="C13489" s="3"/>
      <c r="D13489" s="3"/>
      <c r="E13489" s="3">
        <v>6</v>
      </c>
      <c r="F13489" s="4" t="str">
        <f>HYPERLINK("http://141.218.60.56/~jnz1568/getInfo.php?workbook=10_05.xlsx&amp;sheet=U0&amp;row=13489&amp;col=6&amp;number=3.5&amp;sourceID=14","3.5")</f>
        <v>3.5</v>
      </c>
      <c r="G13489" s="4" t="str">
        <f>HYPERLINK("http://141.218.60.56/~jnz1568/getInfo.php?workbook=10_05.xlsx&amp;sheet=U0&amp;row=13489&amp;col=7&amp;number=0.0226&amp;sourceID=14","0.0226")</f>
        <v>0.0226</v>
      </c>
    </row>
    <row r="13490" spans="1:7">
      <c r="A13490" s="3"/>
      <c r="B13490" s="3"/>
      <c r="C13490" s="3"/>
      <c r="D13490" s="3"/>
      <c r="E13490" s="3">
        <v>7</v>
      </c>
      <c r="F13490" s="4" t="str">
        <f>HYPERLINK("http://141.218.60.56/~jnz1568/getInfo.php?workbook=10_05.xlsx&amp;sheet=U0&amp;row=13490&amp;col=6&amp;number=3.6&amp;sourceID=14","3.6")</f>
        <v>3.6</v>
      </c>
      <c r="G13490" s="4" t="str">
        <f>HYPERLINK("http://141.218.60.56/~jnz1568/getInfo.php?workbook=10_05.xlsx&amp;sheet=U0&amp;row=13490&amp;col=7&amp;number=0.0225&amp;sourceID=14","0.0225")</f>
        <v>0.0225</v>
      </c>
    </row>
    <row r="13491" spans="1:7">
      <c r="A13491" s="3"/>
      <c r="B13491" s="3"/>
      <c r="C13491" s="3"/>
      <c r="D13491" s="3"/>
      <c r="E13491" s="3">
        <v>8</v>
      </c>
      <c r="F13491" s="4" t="str">
        <f>HYPERLINK("http://141.218.60.56/~jnz1568/getInfo.php?workbook=10_05.xlsx&amp;sheet=U0&amp;row=13491&amp;col=6&amp;number=3.7&amp;sourceID=14","3.7")</f>
        <v>3.7</v>
      </c>
      <c r="G13491" s="4" t="str">
        <f>HYPERLINK("http://141.218.60.56/~jnz1568/getInfo.php?workbook=10_05.xlsx&amp;sheet=U0&amp;row=13491&amp;col=7&amp;number=0.0224&amp;sourceID=14","0.0224")</f>
        <v>0.0224</v>
      </c>
    </row>
    <row r="13492" spans="1:7">
      <c r="A13492" s="3"/>
      <c r="B13492" s="3"/>
      <c r="C13492" s="3"/>
      <c r="D13492" s="3"/>
      <c r="E13492" s="3">
        <v>9</v>
      </c>
      <c r="F13492" s="4" t="str">
        <f>HYPERLINK("http://141.218.60.56/~jnz1568/getInfo.php?workbook=10_05.xlsx&amp;sheet=U0&amp;row=13492&amp;col=6&amp;number=3.8&amp;sourceID=14","3.8")</f>
        <v>3.8</v>
      </c>
      <c r="G13492" s="4" t="str">
        <f>HYPERLINK("http://141.218.60.56/~jnz1568/getInfo.php?workbook=10_05.xlsx&amp;sheet=U0&amp;row=13492&amp;col=7&amp;number=0.0223&amp;sourceID=14","0.0223")</f>
        <v>0.0223</v>
      </c>
    </row>
    <row r="13493" spans="1:7">
      <c r="A13493" s="3"/>
      <c r="B13493" s="3"/>
      <c r="C13493" s="3"/>
      <c r="D13493" s="3"/>
      <c r="E13493" s="3">
        <v>10</v>
      </c>
      <c r="F13493" s="4" t="str">
        <f>HYPERLINK("http://141.218.60.56/~jnz1568/getInfo.php?workbook=10_05.xlsx&amp;sheet=U0&amp;row=13493&amp;col=6&amp;number=3.9&amp;sourceID=14","3.9")</f>
        <v>3.9</v>
      </c>
      <c r="G13493" s="4" t="str">
        <f>HYPERLINK("http://141.218.60.56/~jnz1568/getInfo.php?workbook=10_05.xlsx&amp;sheet=U0&amp;row=13493&amp;col=7&amp;number=0.0222&amp;sourceID=14","0.0222")</f>
        <v>0.0222</v>
      </c>
    </row>
    <row r="13494" spans="1:7">
      <c r="A13494" s="3"/>
      <c r="B13494" s="3"/>
      <c r="C13494" s="3"/>
      <c r="D13494" s="3"/>
      <c r="E13494" s="3">
        <v>11</v>
      </c>
      <c r="F13494" s="4" t="str">
        <f>HYPERLINK("http://141.218.60.56/~jnz1568/getInfo.php?workbook=10_05.xlsx&amp;sheet=U0&amp;row=13494&amp;col=6&amp;number=4&amp;sourceID=14","4")</f>
        <v>4</v>
      </c>
      <c r="G13494" s="4" t="str">
        <f>HYPERLINK("http://141.218.60.56/~jnz1568/getInfo.php?workbook=10_05.xlsx&amp;sheet=U0&amp;row=13494&amp;col=7&amp;number=0.022&amp;sourceID=14","0.022")</f>
        <v>0.022</v>
      </c>
    </row>
    <row r="13495" spans="1:7">
      <c r="A13495" s="3"/>
      <c r="B13495" s="3"/>
      <c r="C13495" s="3"/>
      <c r="D13495" s="3"/>
      <c r="E13495" s="3">
        <v>12</v>
      </c>
      <c r="F13495" s="4" t="str">
        <f>HYPERLINK("http://141.218.60.56/~jnz1568/getInfo.php?workbook=10_05.xlsx&amp;sheet=U0&amp;row=13495&amp;col=6&amp;number=4.1&amp;sourceID=14","4.1")</f>
        <v>4.1</v>
      </c>
      <c r="G13495" s="4" t="str">
        <f>HYPERLINK("http://141.218.60.56/~jnz1568/getInfo.php?workbook=10_05.xlsx&amp;sheet=U0&amp;row=13495&amp;col=7&amp;number=0.0219&amp;sourceID=14","0.0219")</f>
        <v>0.0219</v>
      </c>
    </row>
    <row r="13496" spans="1:7">
      <c r="A13496" s="3"/>
      <c r="B13496" s="3"/>
      <c r="C13496" s="3"/>
      <c r="D13496" s="3"/>
      <c r="E13496" s="3">
        <v>13</v>
      </c>
      <c r="F13496" s="4" t="str">
        <f>HYPERLINK("http://141.218.60.56/~jnz1568/getInfo.php?workbook=10_05.xlsx&amp;sheet=U0&amp;row=13496&amp;col=6&amp;number=4.2&amp;sourceID=14","4.2")</f>
        <v>4.2</v>
      </c>
      <c r="G13496" s="4" t="str">
        <f>HYPERLINK("http://141.218.60.56/~jnz1568/getInfo.php?workbook=10_05.xlsx&amp;sheet=U0&amp;row=13496&amp;col=7&amp;number=0.0217&amp;sourceID=14","0.0217")</f>
        <v>0.0217</v>
      </c>
    </row>
    <row r="13497" spans="1:7">
      <c r="A13497" s="3"/>
      <c r="B13497" s="3"/>
      <c r="C13497" s="3"/>
      <c r="D13497" s="3"/>
      <c r="E13497" s="3">
        <v>14</v>
      </c>
      <c r="F13497" s="4" t="str">
        <f>HYPERLINK("http://141.218.60.56/~jnz1568/getInfo.php?workbook=10_05.xlsx&amp;sheet=U0&amp;row=13497&amp;col=6&amp;number=4.3&amp;sourceID=14","4.3")</f>
        <v>4.3</v>
      </c>
      <c r="G13497" s="4" t="str">
        <f>HYPERLINK("http://141.218.60.56/~jnz1568/getInfo.php?workbook=10_05.xlsx&amp;sheet=U0&amp;row=13497&amp;col=7&amp;number=0.0215&amp;sourceID=14","0.0215")</f>
        <v>0.0215</v>
      </c>
    </row>
    <row r="13498" spans="1:7">
      <c r="A13498" s="3"/>
      <c r="B13498" s="3"/>
      <c r="C13498" s="3"/>
      <c r="D13498" s="3"/>
      <c r="E13498" s="3">
        <v>15</v>
      </c>
      <c r="F13498" s="4" t="str">
        <f>HYPERLINK("http://141.218.60.56/~jnz1568/getInfo.php?workbook=10_05.xlsx&amp;sheet=U0&amp;row=13498&amp;col=6&amp;number=4.4&amp;sourceID=14","4.4")</f>
        <v>4.4</v>
      </c>
      <c r="G13498" s="4" t="str">
        <f>HYPERLINK("http://141.218.60.56/~jnz1568/getInfo.php?workbook=10_05.xlsx&amp;sheet=U0&amp;row=13498&amp;col=7&amp;number=0.0214&amp;sourceID=14","0.0214")</f>
        <v>0.0214</v>
      </c>
    </row>
    <row r="13499" spans="1:7">
      <c r="A13499" s="3"/>
      <c r="B13499" s="3"/>
      <c r="C13499" s="3"/>
      <c r="D13499" s="3"/>
      <c r="E13499" s="3">
        <v>16</v>
      </c>
      <c r="F13499" s="4" t="str">
        <f>HYPERLINK("http://141.218.60.56/~jnz1568/getInfo.php?workbook=10_05.xlsx&amp;sheet=U0&amp;row=13499&amp;col=6&amp;number=4.5&amp;sourceID=14","4.5")</f>
        <v>4.5</v>
      </c>
      <c r="G13499" s="4" t="str">
        <f>HYPERLINK("http://141.218.60.56/~jnz1568/getInfo.php?workbook=10_05.xlsx&amp;sheet=U0&amp;row=13499&amp;col=7&amp;number=0.0213&amp;sourceID=14","0.0213")</f>
        <v>0.0213</v>
      </c>
    </row>
    <row r="13500" spans="1:7">
      <c r="A13500" s="3"/>
      <c r="B13500" s="3"/>
      <c r="C13500" s="3"/>
      <c r="D13500" s="3"/>
      <c r="E13500" s="3">
        <v>17</v>
      </c>
      <c r="F13500" s="4" t="str">
        <f>HYPERLINK("http://141.218.60.56/~jnz1568/getInfo.php?workbook=10_05.xlsx&amp;sheet=U0&amp;row=13500&amp;col=6&amp;number=4.6&amp;sourceID=14","4.6")</f>
        <v>4.6</v>
      </c>
      <c r="G13500" s="4" t="str">
        <f>HYPERLINK("http://141.218.60.56/~jnz1568/getInfo.php?workbook=10_05.xlsx&amp;sheet=U0&amp;row=13500&amp;col=7&amp;number=0.0214&amp;sourceID=14","0.0214")</f>
        <v>0.0214</v>
      </c>
    </row>
    <row r="13501" spans="1:7">
      <c r="A13501" s="3"/>
      <c r="B13501" s="3"/>
      <c r="C13501" s="3"/>
      <c r="D13501" s="3"/>
      <c r="E13501" s="3">
        <v>18</v>
      </c>
      <c r="F13501" s="4" t="str">
        <f>HYPERLINK("http://141.218.60.56/~jnz1568/getInfo.php?workbook=10_05.xlsx&amp;sheet=U0&amp;row=13501&amp;col=6&amp;number=4.7&amp;sourceID=14","4.7")</f>
        <v>4.7</v>
      </c>
      <c r="G13501" s="4" t="str">
        <f>HYPERLINK("http://141.218.60.56/~jnz1568/getInfo.php?workbook=10_05.xlsx&amp;sheet=U0&amp;row=13501&amp;col=7&amp;number=0.0214&amp;sourceID=14","0.0214")</f>
        <v>0.0214</v>
      </c>
    </row>
    <row r="13502" spans="1:7">
      <c r="A13502" s="3"/>
      <c r="B13502" s="3"/>
      <c r="C13502" s="3"/>
      <c r="D13502" s="3"/>
      <c r="E13502" s="3">
        <v>19</v>
      </c>
      <c r="F13502" s="4" t="str">
        <f>HYPERLINK("http://141.218.60.56/~jnz1568/getInfo.php?workbook=10_05.xlsx&amp;sheet=U0&amp;row=13502&amp;col=6&amp;number=4.8&amp;sourceID=14","4.8")</f>
        <v>4.8</v>
      </c>
      <c r="G13502" s="4" t="str">
        <f>HYPERLINK("http://141.218.60.56/~jnz1568/getInfo.php?workbook=10_05.xlsx&amp;sheet=U0&amp;row=13502&amp;col=7&amp;number=0.0213&amp;sourceID=14","0.0213")</f>
        <v>0.0213</v>
      </c>
    </row>
    <row r="13503" spans="1:7">
      <c r="A13503" s="3"/>
      <c r="B13503" s="3"/>
      <c r="C13503" s="3"/>
      <c r="D13503" s="3"/>
      <c r="E13503" s="3">
        <v>20</v>
      </c>
      <c r="F13503" s="4" t="str">
        <f>HYPERLINK("http://141.218.60.56/~jnz1568/getInfo.php?workbook=10_05.xlsx&amp;sheet=U0&amp;row=13503&amp;col=6&amp;number=4.9&amp;sourceID=14","4.9")</f>
        <v>4.9</v>
      </c>
      <c r="G13503" s="4" t="str">
        <f>HYPERLINK("http://141.218.60.56/~jnz1568/getInfo.php?workbook=10_05.xlsx&amp;sheet=U0&amp;row=13503&amp;col=7&amp;number=0.0212&amp;sourceID=14","0.0212")</f>
        <v>0.0212</v>
      </c>
    </row>
    <row r="13504" spans="1:7">
      <c r="A13504" s="3">
        <v>10</v>
      </c>
      <c r="B13504" s="3">
        <v>5</v>
      </c>
      <c r="C13504" s="3">
        <v>4</v>
      </c>
      <c r="D13504" s="3">
        <v>146</v>
      </c>
      <c r="E13504" s="3">
        <v>1</v>
      </c>
      <c r="F13504" s="4" t="str">
        <f>HYPERLINK("http://141.218.60.56/~jnz1568/getInfo.php?workbook=10_05.xlsx&amp;sheet=U0&amp;row=13504&amp;col=6&amp;number=3&amp;sourceID=14","3")</f>
        <v>3</v>
      </c>
      <c r="G13504" s="4" t="str">
        <f>HYPERLINK("http://141.218.60.56/~jnz1568/getInfo.php?workbook=10_05.xlsx&amp;sheet=U0&amp;row=13504&amp;col=7&amp;number=0.0177&amp;sourceID=14","0.0177")</f>
        <v>0.0177</v>
      </c>
    </row>
    <row r="13505" spans="1:7">
      <c r="A13505" s="3"/>
      <c r="B13505" s="3"/>
      <c r="C13505" s="3"/>
      <c r="D13505" s="3"/>
      <c r="E13505" s="3">
        <v>2</v>
      </c>
      <c r="F13505" s="4" t="str">
        <f>HYPERLINK("http://141.218.60.56/~jnz1568/getInfo.php?workbook=10_05.xlsx&amp;sheet=U0&amp;row=13505&amp;col=6&amp;number=3.1&amp;sourceID=14","3.1")</f>
        <v>3.1</v>
      </c>
      <c r="G13505" s="4" t="str">
        <f>HYPERLINK("http://141.218.60.56/~jnz1568/getInfo.php?workbook=10_05.xlsx&amp;sheet=U0&amp;row=13505&amp;col=7&amp;number=0.0177&amp;sourceID=14","0.0177")</f>
        <v>0.0177</v>
      </c>
    </row>
    <row r="13506" spans="1:7">
      <c r="A13506" s="3"/>
      <c r="B13506" s="3"/>
      <c r="C13506" s="3"/>
      <c r="D13506" s="3"/>
      <c r="E13506" s="3">
        <v>3</v>
      </c>
      <c r="F13506" s="4" t="str">
        <f>HYPERLINK("http://141.218.60.56/~jnz1568/getInfo.php?workbook=10_05.xlsx&amp;sheet=U0&amp;row=13506&amp;col=6&amp;number=3.2&amp;sourceID=14","3.2")</f>
        <v>3.2</v>
      </c>
      <c r="G13506" s="4" t="str">
        <f>HYPERLINK("http://141.218.60.56/~jnz1568/getInfo.php?workbook=10_05.xlsx&amp;sheet=U0&amp;row=13506&amp;col=7&amp;number=0.0177&amp;sourceID=14","0.0177")</f>
        <v>0.0177</v>
      </c>
    </row>
    <row r="13507" spans="1:7">
      <c r="A13507" s="3"/>
      <c r="B13507" s="3"/>
      <c r="C13507" s="3"/>
      <c r="D13507" s="3"/>
      <c r="E13507" s="3">
        <v>4</v>
      </c>
      <c r="F13507" s="4" t="str">
        <f>HYPERLINK("http://141.218.60.56/~jnz1568/getInfo.php?workbook=10_05.xlsx&amp;sheet=U0&amp;row=13507&amp;col=6&amp;number=3.3&amp;sourceID=14","3.3")</f>
        <v>3.3</v>
      </c>
      <c r="G13507" s="4" t="str">
        <f>HYPERLINK("http://141.218.60.56/~jnz1568/getInfo.php?workbook=10_05.xlsx&amp;sheet=U0&amp;row=13507&amp;col=7&amp;number=0.0176&amp;sourceID=14","0.0176")</f>
        <v>0.0176</v>
      </c>
    </row>
    <row r="13508" spans="1:7">
      <c r="A13508" s="3"/>
      <c r="B13508" s="3"/>
      <c r="C13508" s="3"/>
      <c r="D13508" s="3"/>
      <c r="E13508" s="3">
        <v>5</v>
      </c>
      <c r="F13508" s="4" t="str">
        <f>HYPERLINK("http://141.218.60.56/~jnz1568/getInfo.php?workbook=10_05.xlsx&amp;sheet=U0&amp;row=13508&amp;col=6&amp;number=3.4&amp;sourceID=14","3.4")</f>
        <v>3.4</v>
      </c>
      <c r="G13508" s="4" t="str">
        <f>HYPERLINK("http://141.218.60.56/~jnz1568/getInfo.php?workbook=10_05.xlsx&amp;sheet=U0&amp;row=13508&amp;col=7&amp;number=0.0176&amp;sourceID=14","0.0176")</f>
        <v>0.0176</v>
      </c>
    </row>
    <row r="13509" spans="1:7">
      <c r="A13509" s="3"/>
      <c r="B13509" s="3"/>
      <c r="C13509" s="3"/>
      <c r="D13509" s="3"/>
      <c r="E13509" s="3">
        <v>6</v>
      </c>
      <c r="F13509" s="4" t="str">
        <f>HYPERLINK("http://141.218.60.56/~jnz1568/getInfo.php?workbook=10_05.xlsx&amp;sheet=U0&amp;row=13509&amp;col=6&amp;number=3.5&amp;sourceID=14","3.5")</f>
        <v>3.5</v>
      </c>
      <c r="G13509" s="4" t="str">
        <f>HYPERLINK("http://141.218.60.56/~jnz1568/getInfo.php?workbook=10_05.xlsx&amp;sheet=U0&amp;row=13509&amp;col=7&amp;number=0.0176&amp;sourceID=14","0.0176")</f>
        <v>0.0176</v>
      </c>
    </row>
    <row r="13510" spans="1:7">
      <c r="A13510" s="3"/>
      <c r="B13510" s="3"/>
      <c r="C13510" s="3"/>
      <c r="D13510" s="3"/>
      <c r="E13510" s="3">
        <v>7</v>
      </c>
      <c r="F13510" s="4" t="str">
        <f>HYPERLINK("http://141.218.60.56/~jnz1568/getInfo.php?workbook=10_05.xlsx&amp;sheet=U0&amp;row=13510&amp;col=6&amp;number=3.6&amp;sourceID=14","3.6")</f>
        <v>3.6</v>
      </c>
      <c r="G13510" s="4" t="str">
        <f>HYPERLINK("http://141.218.60.56/~jnz1568/getInfo.php?workbook=10_05.xlsx&amp;sheet=U0&amp;row=13510&amp;col=7&amp;number=0.0176&amp;sourceID=14","0.0176")</f>
        <v>0.0176</v>
      </c>
    </row>
    <row r="13511" spans="1:7">
      <c r="A13511" s="3"/>
      <c r="B13511" s="3"/>
      <c r="C13511" s="3"/>
      <c r="D13511" s="3"/>
      <c r="E13511" s="3">
        <v>8</v>
      </c>
      <c r="F13511" s="4" t="str">
        <f>HYPERLINK("http://141.218.60.56/~jnz1568/getInfo.php?workbook=10_05.xlsx&amp;sheet=U0&amp;row=13511&amp;col=6&amp;number=3.7&amp;sourceID=14","3.7")</f>
        <v>3.7</v>
      </c>
      <c r="G13511" s="4" t="str">
        <f>HYPERLINK("http://141.218.60.56/~jnz1568/getInfo.php?workbook=10_05.xlsx&amp;sheet=U0&amp;row=13511&amp;col=7&amp;number=0.0176&amp;sourceID=14","0.0176")</f>
        <v>0.0176</v>
      </c>
    </row>
    <row r="13512" spans="1:7">
      <c r="A13512" s="3"/>
      <c r="B13512" s="3"/>
      <c r="C13512" s="3"/>
      <c r="D13512" s="3"/>
      <c r="E13512" s="3">
        <v>9</v>
      </c>
      <c r="F13512" s="4" t="str">
        <f>HYPERLINK("http://141.218.60.56/~jnz1568/getInfo.php?workbook=10_05.xlsx&amp;sheet=U0&amp;row=13512&amp;col=6&amp;number=3.8&amp;sourceID=14","3.8")</f>
        <v>3.8</v>
      </c>
      <c r="G13512" s="4" t="str">
        <f>HYPERLINK("http://141.218.60.56/~jnz1568/getInfo.php?workbook=10_05.xlsx&amp;sheet=U0&amp;row=13512&amp;col=7&amp;number=0.0175&amp;sourceID=14","0.0175")</f>
        <v>0.0175</v>
      </c>
    </row>
    <row r="13513" spans="1:7">
      <c r="A13513" s="3"/>
      <c r="B13513" s="3"/>
      <c r="C13513" s="3"/>
      <c r="D13513" s="3"/>
      <c r="E13513" s="3">
        <v>10</v>
      </c>
      <c r="F13513" s="4" t="str">
        <f>HYPERLINK("http://141.218.60.56/~jnz1568/getInfo.php?workbook=10_05.xlsx&amp;sheet=U0&amp;row=13513&amp;col=6&amp;number=3.9&amp;sourceID=14","3.9")</f>
        <v>3.9</v>
      </c>
      <c r="G13513" s="4" t="str">
        <f>HYPERLINK("http://141.218.60.56/~jnz1568/getInfo.php?workbook=10_05.xlsx&amp;sheet=U0&amp;row=13513&amp;col=7&amp;number=0.0175&amp;sourceID=14","0.0175")</f>
        <v>0.0175</v>
      </c>
    </row>
    <row r="13514" spans="1:7">
      <c r="A13514" s="3"/>
      <c r="B13514" s="3"/>
      <c r="C13514" s="3"/>
      <c r="D13514" s="3"/>
      <c r="E13514" s="3">
        <v>11</v>
      </c>
      <c r="F13514" s="4" t="str">
        <f>HYPERLINK("http://141.218.60.56/~jnz1568/getInfo.php?workbook=10_05.xlsx&amp;sheet=U0&amp;row=13514&amp;col=6&amp;number=4&amp;sourceID=14","4")</f>
        <v>4</v>
      </c>
      <c r="G13514" s="4" t="str">
        <f>HYPERLINK("http://141.218.60.56/~jnz1568/getInfo.php?workbook=10_05.xlsx&amp;sheet=U0&amp;row=13514&amp;col=7&amp;number=0.0175&amp;sourceID=14","0.0175")</f>
        <v>0.0175</v>
      </c>
    </row>
    <row r="13515" spans="1:7">
      <c r="A13515" s="3"/>
      <c r="B13515" s="3"/>
      <c r="C13515" s="3"/>
      <c r="D13515" s="3"/>
      <c r="E13515" s="3">
        <v>12</v>
      </c>
      <c r="F13515" s="4" t="str">
        <f>HYPERLINK("http://141.218.60.56/~jnz1568/getInfo.php?workbook=10_05.xlsx&amp;sheet=U0&amp;row=13515&amp;col=6&amp;number=4.1&amp;sourceID=14","4.1")</f>
        <v>4.1</v>
      </c>
      <c r="G13515" s="4" t="str">
        <f>HYPERLINK("http://141.218.60.56/~jnz1568/getInfo.php?workbook=10_05.xlsx&amp;sheet=U0&amp;row=13515&amp;col=7&amp;number=0.0174&amp;sourceID=14","0.0174")</f>
        <v>0.0174</v>
      </c>
    </row>
    <row r="13516" spans="1:7">
      <c r="A13516" s="3"/>
      <c r="B13516" s="3"/>
      <c r="C13516" s="3"/>
      <c r="D13516" s="3"/>
      <c r="E13516" s="3">
        <v>13</v>
      </c>
      <c r="F13516" s="4" t="str">
        <f>HYPERLINK("http://141.218.60.56/~jnz1568/getInfo.php?workbook=10_05.xlsx&amp;sheet=U0&amp;row=13516&amp;col=6&amp;number=4.2&amp;sourceID=14","4.2")</f>
        <v>4.2</v>
      </c>
      <c r="G13516" s="4" t="str">
        <f>HYPERLINK("http://141.218.60.56/~jnz1568/getInfo.php?workbook=10_05.xlsx&amp;sheet=U0&amp;row=13516&amp;col=7&amp;number=0.0173&amp;sourceID=14","0.0173")</f>
        <v>0.0173</v>
      </c>
    </row>
    <row r="13517" spans="1:7">
      <c r="A13517" s="3"/>
      <c r="B13517" s="3"/>
      <c r="C13517" s="3"/>
      <c r="D13517" s="3"/>
      <c r="E13517" s="3">
        <v>14</v>
      </c>
      <c r="F13517" s="4" t="str">
        <f>HYPERLINK("http://141.218.60.56/~jnz1568/getInfo.php?workbook=10_05.xlsx&amp;sheet=U0&amp;row=13517&amp;col=6&amp;number=4.3&amp;sourceID=14","4.3")</f>
        <v>4.3</v>
      </c>
      <c r="G13517" s="4" t="str">
        <f>HYPERLINK("http://141.218.60.56/~jnz1568/getInfo.php?workbook=10_05.xlsx&amp;sheet=U0&amp;row=13517&amp;col=7&amp;number=0.0172&amp;sourceID=14","0.0172")</f>
        <v>0.0172</v>
      </c>
    </row>
    <row r="13518" spans="1:7">
      <c r="A13518" s="3"/>
      <c r="B13518" s="3"/>
      <c r="C13518" s="3"/>
      <c r="D13518" s="3"/>
      <c r="E13518" s="3">
        <v>15</v>
      </c>
      <c r="F13518" s="4" t="str">
        <f>HYPERLINK("http://141.218.60.56/~jnz1568/getInfo.php?workbook=10_05.xlsx&amp;sheet=U0&amp;row=13518&amp;col=6&amp;number=4.4&amp;sourceID=14","4.4")</f>
        <v>4.4</v>
      </c>
      <c r="G13518" s="4" t="str">
        <f>HYPERLINK("http://141.218.60.56/~jnz1568/getInfo.php?workbook=10_05.xlsx&amp;sheet=U0&amp;row=13518&amp;col=7&amp;number=0.0171&amp;sourceID=14","0.0171")</f>
        <v>0.0171</v>
      </c>
    </row>
    <row r="13519" spans="1:7">
      <c r="A13519" s="3"/>
      <c r="B13519" s="3"/>
      <c r="C13519" s="3"/>
      <c r="D13519" s="3"/>
      <c r="E13519" s="3">
        <v>16</v>
      </c>
      <c r="F13519" s="4" t="str">
        <f>HYPERLINK("http://141.218.60.56/~jnz1568/getInfo.php?workbook=10_05.xlsx&amp;sheet=U0&amp;row=13519&amp;col=6&amp;number=4.5&amp;sourceID=14","4.5")</f>
        <v>4.5</v>
      </c>
      <c r="G13519" s="4" t="str">
        <f>HYPERLINK("http://141.218.60.56/~jnz1568/getInfo.php?workbook=10_05.xlsx&amp;sheet=U0&amp;row=13519&amp;col=7&amp;number=0.017&amp;sourceID=14","0.017")</f>
        <v>0.017</v>
      </c>
    </row>
    <row r="13520" spans="1:7">
      <c r="A13520" s="3"/>
      <c r="B13520" s="3"/>
      <c r="C13520" s="3"/>
      <c r="D13520" s="3"/>
      <c r="E13520" s="3">
        <v>17</v>
      </c>
      <c r="F13520" s="4" t="str">
        <f>HYPERLINK("http://141.218.60.56/~jnz1568/getInfo.php?workbook=10_05.xlsx&amp;sheet=U0&amp;row=13520&amp;col=6&amp;number=4.6&amp;sourceID=14","4.6")</f>
        <v>4.6</v>
      </c>
      <c r="G13520" s="4" t="str">
        <f>HYPERLINK("http://141.218.60.56/~jnz1568/getInfo.php?workbook=10_05.xlsx&amp;sheet=U0&amp;row=13520&amp;col=7&amp;number=0.0169&amp;sourceID=14","0.0169")</f>
        <v>0.0169</v>
      </c>
    </row>
    <row r="13521" spans="1:7">
      <c r="A13521" s="3"/>
      <c r="B13521" s="3"/>
      <c r="C13521" s="3"/>
      <c r="D13521" s="3"/>
      <c r="E13521" s="3">
        <v>18</v>
      </c>
      <c r="F13521" s="4" t="str">
        <f>HYPERLINK("http://141.218.60.56/~jnz1568/getInfo.php?workbook=10_05.xlsx&amp;sheet=U0&amp;row=13521&amp;col=6&amp;number=4.7&amp;sourceID=14","4.7")</f>
        <v>4.7</v>
      </c>
      <c r="G13521" s="4" t="str">
        <f>HYPERLINK("http://141.218.60.56/~jnz1568/getInfo.php?workbook=10_05.xlsx&amp;sheet=U0&amp;row=13521&amp;col=7&amp;number=0.0168&amp;sourceID=14","0.0168")</f>
        <v>0.0168</v>
      </c>
    </row>
    <row r="13522" spans="1:7">
      <c r="A13522" s="3"/>
      <c r="B13522" s="3"/>
      <c r="C13522" s="3"/>
      <c r="D13522" s="3"/>
      <c r="E13522" s="3">
        <v>19</v>
      </c>
      <c r="F13522" s="4" t="str">
        <f>HYPERLINK("http://141.218.60.56/~jnz1568/getInfo.php?workbook=10_05.xlsx&amp;sheet=U0&amp;row=13522&amp;col=6&amp;number=4.8&amp;sourceID=14","4.8")</f>
        <v>4.8</v>
      </c>
      <c r="G13522" s="4" t="str">
        <f>HYPERLINK("http://141.218.60.56/~jnz1568/getInfo.php?workbook=10_05.xlsx&amp;sheet=U0&amp;row=13522&amp;col=7&amp;number=0.0167&amp;sourceID=14","0.0167")</f>
        <v>0.0167</v>
      </c>
    </row>
    <row r="13523" spans="1:7">
      <c r="A13523" s="3"/>
      <c r="B13523" s="3"/>
      <c r="C13523" s="3"/>
      <c r="D13523" s="3"/>
      <c r="E13523" s="3">
        <v>20</v>
      </c>
      <c r="F13523" s="4" t="str">
        <f>HYPERLINK("http://141.218.60.56/~jnz1568/getInfo.php?workbook=10_05.xlsx&amp;sheet=U0&amp;row=13523&amp;col=6&amp;number=4.9&amp;sourceID=14","4.9")</f>
        <v>4.9</v>
      </c>
      <c r="G13523" s="4" t="str">
        <f>HYPERLINK("http://141.218.60.56/~jnz1568/getInfo.php?workbook=10_05.xlsx&amp;sheet=U0&amp;row=13523&amp;col=7&amp;number=0.0166&amp;sourceID=14","0.0166")</f>
        <v>0.0166</v>
      </c>
    </row>
    <row r="13524" spans="1:7">
      <c r="A13524" s="3">
        <v>10</v>
      </c>
      <c r="B13524" s="3">
        <v>5</v>
      </c>
      <c r="C13524" s="3">
        <v>4</v>
      </c>
      <c r="D13524" s="3">
        <v>147</v>
      </c>
      <c r="E13524" s="3">
        <v>1</v>
      </c>
      <c r="F13524" s="4" t="str">
        <f>HYPERLINK("http://141.218.60.56/~jnz1568/getInfo.php?workbook=10_05.xlsx&amp;sheet=U0&amp;row=13524&amp;col=6&amp;number=3&amp;sourceID=14","3")</f>
        <v>3</v>
      </c>
      <c r="G13524" s="4" t="str">
        <f>HYPERLINK("http://141.218.60.56/~jnz1568/getInfo.php?workbook=10_05.xlsx&amp;sheet=U0&amp;row=13524&amp;col=7&amp;number=0.0142&amp;sourceID=14","0.0142")</f>
        <v>0.0142</v>
      </c>
    </row>
    <row r="13525" spans="1:7">
      <c r="A13525" s="3"/>
      <c r="B13525" s="3"/>
      <c r="C13525" s="3"/>
      <c r="D13525" s="3"/>
      <c r="E13525" s="3">
        <v>2</v>
      </c>
      <c r="F13525" s="4" t="str">
        <f>HYPERLINK("http://141.218.60.56/~jnz1568/getInfo.php?workbook=10_05.xlsx&amp;sheet=U0&amp;row=13525&amp;col=6&amp;number=3.1&amp;sourceID=14","3.1")</f>
        <v>3.1</v>
      </c>
      <c r="G13525" s="4" t="str">
        <f>HYPERLINK("http://141.218.60.56/~jnz1568/getInfo.php?workbook=10_05.xlsx&amp;sheet=U0&amp;row=13525&amp;col=7&amp;number=0.0142&amp;sourceID=14","0.0142")</f>
        <v>0.0142</v>
      </c>
    </row>
    <row r="13526" spans="1:7">
      <c r="A13526" s="3"/>
      <c r="B13526" s="3"/>
      <c r="C13526" s="3"/>
      <c r="D13526" s="3"/>
      <c r="E13526" s="3">
        <v>3</v>
      </c>
      <c r="F13526" s="4" t="str">
        <f>HYPERLINK("http://141.218.60.56/~jnz1568/getInfo.php?workbook=10_05.xlsx&amp;sheet=U0&amp;row=13526&amp;col=6&amp;number=3.2&amp;sourceID=14","3.2")</f>
        <v>3.2</v>
      </c>
      <c r="G13526" s="4" t="str">
        <f>HYPERLINK("http://141.218.60.56/~jnz1568/getInfo.php?workbook=10_05.xlsx&amp;sheet=U0&amp;row=13526&amp;col=7&amp;number=0.0142&amp;sourceID=14","0.0142")</f>
        <v>0.0142</v>
      </c>
    </row>
    <row r="13527" spans="1:7">
      <c r="A13527" s="3"/>
      <c r="B13527" s="3"/>
      <c r="C13527" s="3"/>
      <c r="D13527" s="3"/>
      <c r="E13527" s="3">
        <v>4</v>
      </c>
      <c r="F13527" s="4" t="str">
        <f>HYPERLINK("http://141.218.60.56/~jnz1568/getInfo.php?workbook=10_05.xlsx&amp;sheet=U0&amp;row=13527&amp;col=6&amp;number=3.3&amp;sourceID=14","3.3")</f>
        <v>3.3</v>
      </c>
      <c r="G13527" s="4" t="str">
        <f>HYPERLINK("http://141.218.60.56/~jnz1568/getInfo.php?workbook=10_05.xlsx&amp;sheet=U0&amp;row=13527&amp;col=7&amp;number=0.0142&amp;sourceID=14","0.0142")</f>
        <v>0.0142</v>
      </c>
    </row>
    <row r="13528" spans="1:7">
      <c r="A13528" s="3"/>
      <c r="B13528" s="3"/>
      <c r="C13528" s="3"/>
      <c r="D13528" s="3"/>
      <c r="E13528" s="3">
        <v>5</v>
      </c>
      <c r="F13528" s="4" t="str">
        <f>HYPERLINK("http://141.218.60.56/~jnz1568/getInfo.php?workbook=10_05.xlsx&amp;sheet=U0&amp;row=13528&amp;col=6&amp;number=3.4&amp;sourceID=14","3.4")</f>
        <v>3.4</v>
      </c>
      <c r="G13528" s="4" t="str">
        <f>HYPERLINK("http://141.218.60.56/~jnz1568/getInfo.php?workbook=10_05.xlsx&amp;sheet=U0&amp;row=13528&amp;col=7&amp;number=0.0142&amp;sourceID=14","0.0142")</f>
        <v>0.0142</v>
      </c>
    </row>
    <row r="13529" spans="1:7">
      <c r="A13529" s="3"/>
      <c r="B13529" s="3"/>
      <c r="C13529" s="3"/>
      <c r="D13529" s="3"/>
      <c r="E13529" s="3">
        <v>6</v>
      </c>
      <c r="F13529" s="4" t="str">
        <f>HYPERLINK("http://141.218.60.56/~jnz1568/getInfo.php?workbook=10_05.xlsx&amp;sheet=U0&amp;row=13529&amp;col=6&amp;number=3.5&amp;sourceID=14","3.5")</f>
        <v>3.5</v>
      </c>
      <c r="G13529" s="4" t="str">
        <f>HYPERLINK("http://141.218.60.56/~jnz1568/getInfo.php?workbook=10_05.xlsx&amp;sheet=U0&amp;row=13529&amp;col=7&amp;number=0.0142&amp;sourceID=14","0.0142")</f>
        <v>0.0142</v>
      </c>
    </row>
    <row r="13530" spans="1:7">
      <c r="A13530" s="3"/>
      <c r="B13530" s="3"/>
      <c r="C13530" s="3"/>
      <c r="D13530" s="3"/>
      <c r="E13530" s="3">
        <v>7</v>
      </c>
      <c r="F13530" s="4" t="str">
        <f>HYPERLINK("http://141.218.60.56/~jnz1568/getInfo.php?workbook=10_05.xlsx&amp;sheet=U0&amp;row=13530&amp;col=6&amp;number=3.6&amp;sourceID=14","3.6")</f>
        <v>3.6</v>
      </c>
      <c r="G13530" s="4" t="str">
        <f>HYPERLINK("http://141.218.60.56/~jnz1568/getInfo.php?workbook=10_05.xlsx&amp;sheet=U0&amp;row=13530&amp;col=7&amp;number=0.0142&amp;sourceID=14","0.0142")</f>
        <v>0.0142</v>
      </c>
    </row>
    <row r="13531" spans="1:7">
      <c r="A13531" s="3"/>
      <c r="B13531" s="3"/>
      <c r="C13531" s="3"/>
      <c r="D13531" s="3"/>
      <c r="E13531" s="3">
        <v>8</v>
      </c>
      <c r="F13531" s="4" t="str">
        <f>HYPERLINK("http://141.218.60.56/~jnz1568/getInfo.php?workbook=10_05.xlsx&amp;sheet=U0&amp;row=13531&amp;col=6&amp;number=3.7&amp;sourceID=14","3.7")</f>
        <v>3.7</v>
      </c>
      <c r="G13531" s="4" t="str">
        <f>HYPERLINK("http://141.218.60.56/~jnz1568/getInfo.php?workbook=10_05.xlsx&amp;sheet=U0&amp;row=13531&amp;col=7&amp;number=0.0142&amp;sourceID=14","0.0142")</f>
        <v>0.0142</v>
      </c>
    </row>
    <row r="13532" spans="1:7">
      <c r="A13532" s="3"/>
      <c r="B13532" s="3"/>
      <c r="C13532" s="3"/>
      <c r="D13532" s="3"/>
      <c r="E13532" s="3">
        <v>9</v>
      </c>
      <c r="F13532" s="4" t="str">
        <f>HYPERLINK("http://141.218.60.56/~jnz1568/getInfo.php?workbook=10_05.xlsx&amp;sheet=U0&amp;row=13532&amp;col=6&amp;number=3.8&amp;sourceID=14","3.8")</f>
        <v>3.8</v>
      </c>
      <c r="G13532" s="4" t="str">
        <f>HYPERLINK("http://141.218.60.56/~jnz1568/getInfo.php?workbook=10_05.xlsx&amp;sheet=U0&amp;row=13532&amp;col=7&amp;number=0.0142&amp;sourceID=14","0.0142")</f>
        <v>0.0142</v>
      </c>
    </row>
    <row r="13533" spans="1:7">
      <c r="A13533" s="3"/>
      <c r="B13533" s="3"/>
      <c r="C13533" s="3"/>
      <c r="D13533" s="3"/>
      <c r="E13533" s="3">
        <v>10</v>
      </c>
      <c r="F13533" s="4" t="str">
        <f>HYPERLINK("http://141.218.60.56/~jnz1568/getInfo.php?workbook=10_05.xlsx&amp;sheet=U0&amp;row=13533&amp;col=6&amp;number=3.9&amp;sourceID=14","3.9")</f>
        <v>3.9</v>
      </c>
      <c r="G13533" s="4" t="str">
        <f>HYPERLINK("http://141.218.60.56/~jnz1568/getInfo.php?workbook=10_05.xlsx&amp;sheet=U0&amp;row=13533&amp;col=7&amp;number=0.0142&amp;sourceID=14","0.0142")</f>
        <v>0.0142</v>
      </c>
    </row>
    <row r="13534" spans="1:7">
      <c r="A13534" s="3"/>
      <c r="B13534" s="3"/>
      <c r="C13534" s="3"/>
      <c r="D13534" s="3"/>
      <c r="E13534" s="3">
        <v>11</v>
      </c>
      <c r="F13534" s="4" t="str">
        <f>HYPERLINK("http://141.218.60.56/~jnz1568/getInfo.php?workbook=10_05.xlsx&amp;sheet=U0&amp;row=13534&amp;col=6&amp;number=4&amp;sourceID=14","4")</f>
        <v>4</v>
      </c>
      <c r="G13534" s="4" t="str">
        <f>HYPERLINK("http://141.218.60.56/~jnz1568/getInfo.php?workbook=10_05.xlsx&amp;sheet=U0&amp;row=13534&amp;col=7&amp;number=0.0142&amp;sourceID=14","0.0142")</f>
        <v>0.0142</v>
      </c>
    </row>
    <row r="13535" spans="1:7">
      <c r="A13535" s="3"/>
      <c r="B13535" s="3"/>
      <c r="C13535" s="3"/>
      <c r="D13535" s="3"/>
      <c r="E13535" s="3">
        <v>12</v>
      </c>
      <c r="F13535" s="4" t="str">
        <f>HYPERLINK("http://141.218.60.56/~jnz1568/getInfo.php?workbook=10_05.xlsx&amp;sheet=U0&amp;row=13535&amp;col=6&amp;number=4.1&amp;sourceID=14","4.1")</f>
        <v>4.1</v>
      </c>
      <c r="G13535" s="4" t="str">
        <f>HYPERLINK("http://141.218.60.56/~jnz1568/getInfo.php?workbook=10_05.xlsx&amp;sheet=U0&amp;row=13535&amp;col=7&amp;number=0.0142&amp;sourceID=14","0.0142")</f>
        <v>0.0142</v>
      </c>
    </row>
    <row r="13536" spans="1:7">
      <c r="A13536" s="3"/>
      <c r="B13536" s="3"/>
      <c r="C13536" s="3"/>
      <c r="D13536" s="3"/>
      <c r="E13536" s="3">
        <v>13</v>
      </c>
      <c r="F13536" s="4" t="str">
        <f>HYPERLINK("http://141.218.60.56/~jnz1568/getInfo.php?workbook=10_05.xlsx&amp;sheet=U0&amp;row=13536&amp;col=6&amp;number=4.2&amp;sourceID=14","4.2")</f>
        <v>4.2</v>
      </c>
      <c r="G13536" s="4" t="str">
        <f>HYPERLINK("http://141.218.60.56/~jnz1568/getInfo.php?workbook=10_05.xlsx&amp;sheet=U0&amp;row=13536&amp;col=7&amp;number=0.0142&amp;sourceID=14","0.0142")</f>
        <v>0.0142</v>
      </c>
    </row>
    <row r="13537" spans="1:7">
      <c r="A13537" s="3"/>
      <c r="B13537" s="3"/>
      <c r="C13537" s="3"/>
      <c r="D13537" s="3"/>
      <c r="E13537" s="3">
        <v>14</v>
      </c>
      <c r="F13537" s="4" t="str">
        <f>HYPERLINK("http://141.218.60.56/~jnz1568/getInfo.php?workbook=10_05.xlsx&amp;sheet=U0&amp;row=13537&amp;col=6&amp;number=4.3&amp;sourceID=14","4.3")</f>
        <v>4.3</v>
      </c>
      <c r="G13537" s="4" t="str">
        <f>HYPERLINK("http://141.218.60.56/~jnz1568/getInfo.php?workbook=10_05.xlsx&amp;sheet=U0&amp;row=13537&amp;col=7&amp;number=0.0142&amp;sourceID=14","0.0142")</f>
        <v>0.0142</v>
      </c>
    </row>
    <row r="13538" spans="1:7">
      <c r="A13538" s="3"/>
      <c r="B13538" s="3"/>
      <c r="C13538" s="3"/>
      <c r="D13538" s="3"/>
      <c r="E13538" s="3">
        <v>15</v>
      </c>
      <c r="F13538" s="4" t="str">
        <f>HYPERLINK("http://141.218.60.56/~jnz1568/getInfo.php?workbook=10_05.xlsx&amp;sheet=U0&amp;row=13538&amp;col=6&amp;number=4.4&amp;sourceID=14","4.4")</f>
        <v>4.4</v>
      </c>
      <c r="G13538" s="4" t="str">
        <f>HYPERLINK("http://141.218.60.56/~jnz1568/getInfo.php?workbook=10_05.xlsx&amp;sheet=U0&amp;row=13538&amp;col=7&amp;number=0.0141&amp;sourceID=14","0.0141")</f>
        <v>0.0141</v>
      </c>
    </row>
    <row r="13539" spans="1:7">
      <c r="A13539" s="3"/>
      <c r="B13539" s="3"/>
      <c r="C13539" s="3"/>
      <c r="D13539" s="3"/>
      <c r="E13539" s="3">
        <v>16</v>
      </c>
      <c r="F13539" s="4" t="str">
        <f>HYPERLINK("http://141.218.60.56/~jnz1568/getInfo.php?workbook=10_05.xlsx&amp;sheet=U0&amp;row=13539&amp;col=6&amp;number=4.5&amp;sourceID=14","4.5")</f>
        <v>4.5</v>
      </c>
      <c r="G13539" s="4" t="str">
        <f>HYPERLINK("http://141.218.60.56/~jnz1568/getInfo.php?workbook=10_05.xlsx&amp;sheet=U0&amp;row=13539&amp;col=7&amp;number=0.014&amp;sourceID=14","0.014")</f>
        <v>0.014</v>
      </c>
    </row>
    <row r="13540" spans="1:7">
      <c r="A13540" s="3"/>
      <c r="B13540" s="3"/>
      <c r="C13540" s="3"/>
      <c r="D13540" s="3"/>
      <c r="E13540" s="3">
        <v>17</v>
      </c>
      <c r="F13540" s="4" t="str">
        <f>HYPERLINK("http://141.218.60.56/~jnz1568/getInfo.php?workbook=10_05.xlsx&amp;sheet=U0&amp;row=13540&amp;col=6&amp;number=4.6&amp;sourceID=14","4.6")</f>
        <v>4.6</v>
      </c>
      <c r="G13540" s="4" t="str">
        <f>HYPERLINK("http://141.218.60.56/~jnz1568/getInfo.php?workbook=10_05.xlsx&amp;sheet=U0&amp;row=13540&amp;col=7&amp;number=0.0139&amp;sourceID=14","0.0139")</f>
        <v>0.0139</v>
      </c>
    </row>
    <row r="13541" spans="1:7">
      <c r="A13541" s="3"/>
      <c r="B13541" s="3"/>
      <c r="C13541" s="3"/>
      <c r="D13541" s="3"/>
      <c r="E13541" s="3">
        <v>18</v>
      </c>
      <c r="F13541" s="4" t="str">
        <f>HYPERLINK("http://141.218.60.56/~jnz1568/getInfo.php?workbook=10_05.xlsx&amp;sheet=U0&amp;row=13541&amp;col=6&amp;number=4.7&amp;sourceID=14","4.7")</f>
        <v>4.7</v>
      </c>
      <c r="G13541" s="4" t="str">
        <f>HYPERLINK("http://141.218.60.56/~jnz1568/getInfo.php?workbook=10_05.xlsx&amp;sheet=U0&amp;row=13541&amp;col=7&amp;number=0.0138&amp;sourceID=14","0.0138")</f>
        <v>0.0138</v>
      </c>
    </row>
    <row r="13542" spans="1:7">
      <c r="A13542" s="3"/>
      <c r="B13542" s="3"/>
      <c r="C13542" s="3"/>
      <c r="D13542" s="3"/>
      <c r="E13542" s="3">
        <v>19</v>
      </c>
      <c r="F13542" s="4" t="str">
        <f>HYPERLINK("http://141.218.60.56/~jnz1568/getInfo.php?workbook=10_05.xlsx&amp;sheet=U0&amp;row=13542&amp;col=6&amp;number=4.8&amp;sourceID=14","4.8")</f>
        <v>4.8</v>
      </c>
      <c r="G13542" s="4" t="str">
        <f>HYPERLINK("http://141.218.60.56/~jnz1568/getInfo.php?workbook=10_05.xlsx&amp;sheet=U0&amp;row=13542&amp;col=7&amp;number=0.0136&amp;sourceID=14","0.0136")</f>
        <v>0.0136</v>
      </c>
    </row>
    <row r="13543" spans="1:7">
      <c r="A13543" s="3"/>
      <c r="B13543" s="3"/>
      <c r="C13543" s="3"/>
      <c r="D13543" s="3"/>
      <c r="E13543" s="3">
        <v>20</v>
      </c>
      <c r="F13543" s="4" t="str">
        <f>HYPERLINK("http://141.218.60.56/~jnz1568/getInfo.php?workbook=10_05.xlsx&amp;sheet=U0&amp;row=13543&amp;col=6&amp;number=4.9&amp;sourceID=14","4.9")</f>
        <v>4.9</v>
      </c>
      <c r="G13543" s="4" t="str">
        <f>HYPERLINK("http://141.218.60.56/~jnz1568/getInfo.php?workbook=10_05.xlsx&amp;sheet=U0&amp;row=13543&amp;col=7&amp;number=0.0134&amp;sourceID=14","0.0134")</f>
        <v>0.0134</v>
      </c>
    </row>
    <row r="13544" spans="1:7">
      <c r="A13544" s="3">
        <v>10</v>
      </c>
      <c r="B13544" s="3">
        <v>5</v>
      </c>
      <c r="C13544" s="3">
        <v>4</v>
      </c>
      <c r="D13544" s="3">
        <v>148</v>
      </c>
      <c r="E13544" s="3">
        <v>1</v>
      </c>
      <c r="F13544" s="4" t="str">
        <f>HYPERLINK("http://141.218.60.56/~jnz1568/getInfo.php?workbook=10_05.xlsx&amp;sheet=U0&amp;row=13544&amp;col=6&amp;number=3&amp;sourceID=14","3")</f>
        <v>3</v>
      </c>
      <c r="G13544" s="4" t="str">
        <f>HYPERLINK("http://141.218.60.56/~jnz1568/getInfo.php?workbook=10_05.xlsx&amp;sheet=U0&amp;row=13544&amp;col=7&amp;number=0.0233&amp;sourceID=14","0.0233")</f>
        <v>0.0233</v>
      </c>
    </row>
    <row r="13545" spans="1:7">
      <c r="A13545" s="3"/>
      <c r="B13545" s="3"/>
      <c r="C13545" s="3"/>
      <c r="D13545" s="3"/>
      <c r="E13545" s="3">
        <v>2</v>
      </c>
      <c r="F13545" s="4" t="str">
        <f>HYPERLINK("http://141.218.60.56/~jnz1568/getInfo.php?workbook=10_05.xlsx&amp;sheet=U0&amp;row=13545&amp;col=6&amp;number=3.1&amp;sourceID=14","3.1")</f>
        <v>3.1</v>
      </c>
      <c r="G13545" s="4" t="str">
        <f>HYPERLINK("http://141.218.60.56/~jnz1568/getInfo.php?workbook=10_05.xlsx&amp;sheet=U0&amp;row=13545&amp;col=7&amp;number=0.0233&amp;sourceID=14","0.0233")</f>
        <v>0.0233</v>
      </c>
    </row>
    <row r="13546" spans="1:7">
      <c r="A13546" s="3"/>
      <c r="B13546" s="3"/>
      <c r="C13546" s="3"/>
      <c r="D13546" s="3"/>
      <c r="E13546" s="3">
        <v>3</v>
      </c>
      <c r="F13546" s="4" t="str">
        <f>HYPERLINK("http://141.218.60.56/~jnz1568/getInfo.php?workbook=10_05.xlsx&amp;sheet=U0&amp;row=13546&amp;col=6&amp;number=3.2&amp;sourceID=14","3.2")</f>
        <v>3.2</v>
      </c>
      <c r="G13546" s="4" t="str">
        <f>HYPERLINK("http://141.218.60.56/~jnz1568/getInfo.php?workbook=10_05.xlsx&amp;sheet=U0&amp;row=13546&amp;col=7&amp;number=0.0233&amp;sourceID=14","0.0233")</f>
        <v>0.0233</v>
      </c>
    </row>
    <row r="13547" spans="1:7">
      <c r="A13547" s="3"/>
      <c r="B13547" s="3"/>
      <c r="C13547" s="3"/>
      <c r="D13547" s="3"/>
      <c r="E13547" s="3">
        <v>4</v>
      </c>
      <c r="F13547" s="4" t="str">
        <f>HYPERLINK("http://141.218.60.56/~jnz1568/getInfo.php?workbook=10_05.xlsx&amp;sheet=U0&amp;row=13547&amp;col=6&amp;number=3.3&amp;sourceID=14","3.3")</f>
        <v>3.3</v>
      </c>
      <c r="G13547" s="4" t="str">
        <f>HYPERLINK("http://141.218.60.56/~jnz1568/getInfo.php?workbook=10_05.xlsx&amp;sheet=U0&amp;row=13547&amp;col=7&amp;number=0.0234&amp;sourceID=14","0.0234")</f>
        <v>0.0234</v>
      </c>
    </row>
    <row r="13548" spans="1:7">
      <c r="A13548" s="3"/>
      <c r="B13548" s="3"/>
      <c r="C13548" s="3"/>
      <c r="D13548" s="3"/>
      <c r="E13548" s="3">
        <v>5</v>
      </c>
      <c r="F13548" s="4" t="str">
        <f>HYPERLINK("http://141.218.60.56/~jnz1568/getInfo.php?workbook=10_05.xlsx&amp;sheet=U0&amp;row=13548&amp;col=6&amp;number=3.4&amp;sourceID=14","3.4")</f>
        <v>3.4</v>
      </c>
      <c r="G13548" s="4" t="str">
        <f>HYPERLINK("http://141.218.60.56/~jnz1568/getInfo.php?workbook=10_05.xlsx&amp;sheet=U0&amp;row=13548&amp;col=7&amp;number=0.0234&amp;sourceID=14","0.0234")</f>
        <v>0.0234</v>
      </c>
    </row>
    <row r="13549" spans="1:7">
      <c r="A13549" s="3"/>
      <c r="B13549" s="3"/>
      <c r="C13549" s="3"/>
      <c r="D13549" s="3"/>
      <c r="E13549" s="3">
        <v>6</v>
      </c>
      <c r="F13549" s="4" t="str">
        <f>HYPERLINK("http://141.218.60.56/~jnz1568/getInfo.php?workbook=10_05.xlsx&amp;sheet=U0&amp;row=13549&amp;col=6&amp;number=3.5&amp;sourceID=14","3.5")</f>
        <v>3.5</v>
      </c>
      <c r="G13549" s="4" t="str">
        <f>HYPERLINK("http://141.218.60.56/~jnz1568/getInfo.php?workbook=10_05.xlsx&amp;sheet=U0&amp;row=13549&amp;col=7&amp;number=0.0234&amp;sourceID=14","0.0234")</f>
        <v>0.0234</v>
      </c>
    </row>
    <row r="13550" spans="1:7">
      <c r="A13550" s="3"/>
      <c r="B13550" s="3"/>
      <c r="C13550" s="3"/>
      <c r="D13550" s="3"/>
      <c r="E13550" s="3">
        <v>7</v>
      </c>
      <c r="F13550" s="4" t="str">
        <f>HYPERLINK("http://141.218.60.56/~jnz1568/getInfo.php?workbook=10_05.xlsx&amp;sheet=U0&amp;row=13550&amp;col=6&amp;number=3.6&amp;sourceID=14","3.6")</f>
        <v>3.6</v>
      </c>
      <c r="G13550" s="4" t="str">
        <f>HYPERLINK("http://141.218.60.56/~jnz1568/getInfo.php?workbook=10_05.xlsx&amp;sheet=U0&amp;row=13550&amp;col=7&amp;number=0.0234&amp;sourceID=14","0.0234")</f>
        <v>0.0234</v>
      </c>
    </row>
    <row r="13551" spans="1:7">
      <c r="A13551" s="3"/>
      <c r="B13551" s="3"/>
      <c r="C13551" s="3"/>
      <c r="D13551" s="3"/>
      <c r="E13551" s="3">
        <v>8</v>
      </c>
      <c r="F13551" s="4" t="str">
        <f>HYPERLINK("http://141.218.60.56/~jnz1568/getInfo.php?workbook=10_05.xlsx&amp;sheet=U0&amp;row=13551&amp;col=6&amp;number=3.7&amp;sourceID=14","3.7")</f>
        <v>3.7</v>
      </c>
      <c r="G13551" s="4" t="str">
        <f>HYPERLINK("http://141.218.60.56/~jnz1568/getInfo.php?workbook=10_05.xlsx&amp;sheet=U0&amp;row=13551&amp;col=7&amp;number=0.0235&amp;sourceID=14","0.0235")</f>
        <v>0.0235</v>
      </c>
    </row>
    <row r="13552" spans="1:7">
      <c r="A13552" s="3"/>
      <c r="B13552" s="3"/>
      <c r="C13552" s="3"/>
      <c r="D13552" s="3"/>
      <c r="E13552" s="3">
        <v>9</v>
      </c>
      <c r="F13552" s="4" t="str">
        <f>HYPERLINK("http://141.218.60.56/~jnz1568/getInfo.php?workbook=10_05.xlsx&amp;sheet=U0&amp;row=13552&amp;col=6&amp;number=3.8&amp;sourceID=14","3.8")</f>
        <v>3.8</v>
      </c>
      <c r="G13552" s="4" t="str">
        <f>HYPERLINK("http://141.218.60.56/~jnz1568/getInfo.php?workbook=10_05.xlsx&amp;sheet=U0&amp;row=13552&amp;col=7&amp;number=0.0235&amp;sourceID=14","0.0235")</f>
        <v>0.0235</v>
      </c>
    </row>
    <row r="13553" spans="1:7">
      <c r="A13553" s="3"/>
      <c r="B13553" s="3"/>
      <c r="C13553" s="3"/>
      <c r="D13553" s="3"/>
      <c r="E13553" s="3">
        <v>10</v>
      </c>
      <c r="F13553" s="4" t="str">
        <f>HYPERLINK("http://141.218.60.56/~jnz1568/getInfo.php?workbook=10_05.xlsx&amp;sheet=U0&amp;row=13553&amp;col=6&amp;number=3.9&amp;sourceID=14","3.9")</f>
        <v>3.9</v>
      </c>
      <c r="G13553" s="4" t="str">
        <f>HYPERLINK("http://141.218.60.56/~jnz1568/getInfo.php?workbook=10_05.xlsx&amp;sheet=U0&amp;row=13553&amp;col=7&amp;number=0.0236&amp;sourceID=14","0.0236")</f>
        <v>0.0236</v>
      </c>
    </row>
    <row r="13554" spans="1:7">
      <c r="A13554" s="3"/>
      <c r="B13554" s="3"/>
      <c r="C13554" s="3"/>
      <c r="D13554" s="3"/>
      <c r="E13554" s="3">
        <v>11</v>
      </c>
      <c r="F13554" s="4" t="str">
        <f>HYPERLINK("http://141.218.60.56/~jnz1568/getInfo.php?workbook=10_05.xlsx&amp;sheet=U0&amp;row=13554&amp;col=6&amp;number=4&amp;sourceID=14","4")</f>
        <v>4</v>
      </c>
      <c r="G13554" s="4" t="str">
        <f>HYPERLINK("http://141.218.60.56/~jnz1568/getInfo.php?workbook=10_05.xlsx&amp;sheet=U0&amp;row=13554&amp;col=7&amp;number=0.0236&amp;sourceID=14","0.0236")</f>
        <v>0.0236</v>
      </c>
    </row>
    <row r="13555" spans="1:7">
      <c r="A13555" s="3"/>
      <c r="B13555" s="3"/>
      <c r="C13555" s="3"/>
      <c r="D13555" s="3"/>
      <c r="E13555" s="3">
        <v>12</v>
      </c>
      <c r="F13555" s="4" t="str">
        <f>HYPERLINK("http://141.218.60.56/~jnz1568/getInfo.php?workbook=10_05.xlsx&amp;sheet=U0&amp;row=13555&amp;col=6&amp;number=4.1&amp;sourceID=14","4.1")</f>
        <v>4.1</v>
      </c>
      <c r="G13555" s="4" t="str">
        <f>HYPERLINK("http://141.218.60.56/~jnz1568/getInfo.php?workbook=10_05.xlsx&amp;sheet=U0&amp;row=13555&amp;col=7&amp;number=0.0237&amp;sourceID=14","0.0237")</f>
        <v>0.0237</v>
      </c>
    </row>
    <row r="13556" spans="1:7">
      <c r="A13556" s="3"/>
      <c r="B13556" s="3"/>
      <c r="C13556" s="3"/>
      <c r="D13556" s="3"/>
      <c r="E13556" s="3">
        <v>13</v>
      </c>
      <c r="F13556" s="4" t="str">
        <f>HYPERLINK("http://141.218.60.56/~jnz1568/getInfo.php?workbook=10_05.xlsx&amp;sheet=U0&amp;row=13556&amp;col=6&amp;number=4.2&amp;sourceID=14","4.2")</f>
        <v>4.2</v>
      </c>
      <c r="G13556" s="4" t="str">
        <f>HYPERLINK("http://141.218.60.56/~jnz1568/getInfo.php?workbook=10_05.xlsx&amp;sheet=U0&amp;row=13556&amp;col=7&amp;number=0.0238&amp;sourceID=14","0.0238")</f>
        <v>0.0238</v>
      </c>
    </row>
    <row r="13557" spans="1:7">
      <c r="A13557" s="3"/>
      <c r="B13557" s="3"/>
      <c r="C13557" s="3"/>
      <c r="D13557" s="3"/>
      <c r="E13557" s="3">
        <v>14</v>
      </c>
      <c r="F13557" s="4" t="str">
        <f>HYPERLINK("http://141.218.60.56/~jnz1568/getInfo.php?workbook=10_05.xlsx&amp;sheet=U0&amp;row=13557&amp;col=6&amp;number=4.3&amp;sourceID=14","4.3")</f>
        <v>4.3</v>
      </c>
      <c r="G13557" s="4" t="str">
        <f>HYPERLINK("http://141.218.60.56/~jnz1568/getInfo.php?workbook=10_05.xlsx&amp;sheet=U0&amp;row=13557&amp;col=7&amp;number=0.0239&amp;sourceID=14","0.0239")</f>
        <v>0.0239</v>
      </c>
    </row>
    <row r="13558" spans="1:7">
      <c r="A13558" s="3"/>
      <c r="B13558" s="3"/>
      <c r="C13558" s="3"/>
      <c r="D13558" s="3"/>
      <c r="E13558" s="3">
        <v>15</v>
      </c>
      <c r="F13558" s="4" t="str">
        <f>HYPERLINK("http://141.218.60.56/~jnz1568/getInfo.php?workbook=10_05.xlsx&amp;sheet=U0&amp;row=13558&amp;col=6&amp;number=4.4&amp;sourceID=14","4.4")</f>
        <v>4.4</v>
      </c>
      <c r="G13558" s="4" t="str">
        <f>HYPERLINK("http://141.218.60.56/~jnz1568/getInfo.php?workbook=10_05.xlsx&amp;sheet=U0&amp;row=13558&amp;col=7&amp;number=0.024&amp;sourceID=14","0.024")</f>
        <v>0.024</v>
      </c>
    </row>
    <row r="13559" spans="1:7">
      <c r="A13559" s="3"/>
      <c r="B13559" s="3"/>
      <c r="C13559" s="3"/>
      <c r="D13559" s="3"/>
      <c r="E13559" s="3">
        <v>16</v>
      </c>
      <c r="F13559" s="4" t="str">
        <f>HYPERLINK("http://141.218.60.56/~jnz1568/getInfo.php?workbook=10_05.xlsx&amp;sheet=U0&amp;row=13559&amp;col=6&amp;number=4.5&amp;sourceID=14","4.5")</f>
        <v>4.5</v>
      </c>
      <c r="G13559" s="4" t="str">
        <f>HYPERLINK("http://141.218.60.56/~jnz1568/getInfo.php?workbook=10_05.xlsx&amp;sheet=U0&amp;row=13559&amp;col=7&amp;number=0.024&amp;sourceID=14","0.024")</f>
        <v>0.024</v>
      </c>
    </row>
    <row r="13560" spans="1:7">
      <c r="A13560" s="3"/>
      <c r="B13560" s="3"/>
      <c r="C13560" s="3"/>
      <c r="D13560" s="3"/>
      <c r="E13560" s="3">
        <v>17</v>
      </c>
      <c r="F13560" s="4" t="str">
        <f>HYPERLINK("http://141.218.60.56/~jnz1568/getInfo.php?workbook=10_05.xlsx&amp;sheet=U0&amp;row=13560&amp;col=6&amp;number=4.6&amp;sourceID=14","4.6")</f>
        <v>4.6</v>
      </c>
      <c r="G13560" s="4" t="str">
        <f>HYPERLINK("http://141.218.60.56/~jnz1568/getInfo.php?workbook=10_05.xlsx&amp;sheet=U0&amp;row=13560&amp;col=7&amp;number=0.0241&amp;sourceID=14","0.0241")</f>
        <v>0.0241</v>
      </c>
    </row>
    <row r="13561" spans="1:7">
      <c r="A13561" s="3"/>
      <c r="B13561" s="3"/>
      <c r="C13561" s="3"/>
      <c r="D13561" s="3"/>
      <c r="E13561" s="3">
        <v>18</v>
      </c>
      <c r="F13561" s="4" t="str">
        <f>HYPERLINK("http://141.218.60.56/~jnz1568/getInfo.php?workbook=10_05.xlsx&amp;sheet=U0&amp;row=13561&amp;col=6&amp;number=4.7&amp;sourceID=14","4.7")</f>
        <v>4.7</v>
      </c>
      <c r="G13561" s="4" t="str">
        <f>HYPERLINK("http://141.218.60.56/~jnz1568/getInfo.php?workbook=10_05.xlsx&amp;sheet=U0&amp;row=13561&amp;col=7&amp;number=0.0242&amp;sourceID=14","0.0242")</f>
        <v>0.0242</v>
      </c>
    </row>
    <row r="13562" spans="1:7">
      <c r="A13562" s="3"/>
      <c r="B13562" s="3"/>
      <c r="C13562" s="3"/>
      <c r="D13562" s="3"/>
      <c r="E13562" s="3">
        <v>19</v>
      </c>
      <c r="F13562" s="4" t="str">
        <f>HYPERLINK("http://141.218.60.56/~jnz1568/getInfo.php?workbook=10_05.xlsx&amp;sheet=U0&amp;row=13562&amp;col=6&amp;number=4.8&amp;sourceID=14","4.8")</f>
        <v>4.8</v>
      </c>
      <c r="G13562" s="4" t="str">
        <f>HYPERLINK("http://141.218.60.56/~jnz1568/getInfo.php?workbook=10_05.xlsx&amp;sheet=U0&amp;row=13562&amp;col=7&amp;number=0.0243&amp;sourceID=14","0.0243")</f>
        <v>0.0243</v>
      </c>
    </row>
    <row r="13563" spans="1:7">
      <c r="A13563" s="3"/>
      <c r="B13563" s="3"/>
      <c r="C13563" s="3"/>
      <c r="D13563" s="3"/>
      <c r="E13563" s="3">
        <v>20</v>
      </c>
      <c r="F13563" s="4" t="str">
        <f>HYPERLINK("http://141.218.60.56/~jnz1568/getInfo.php?workbook=10_05.xlsx&amp;sheet=U0&amp;row=13563&amp;col=6&amp;number=4.9&amp;sourceID=14","4.9")</f>
        <v>4.9</v>
      </c>
      <c r="G13563" s="4" t="str">
        <f>HYPERLINK("http://141.218.60.56/~jnz1568/getInfo.php?workbook=10_05.xlsx&amp;sheet=U0&amp;row=13563&amp;col=7&amp;number=0.0245&amp;sourceID=14","0.0245")</f>
        <v>0.0245</v>
      </c>
    </row>
    <row r="13564" spans="1:7">
      <c r="A13564" s="3">
        <v>10</v>
      </c>
      <c r="B13564" s="3">
        <v>5</v>
      </c>
      <c r="C13564" s="3">
        <v>4</v>
      </c>
      <c r="D13564" s="3">
        <v>149</v>
      </c>
      <c r="E13564" s="3">
        <v>1</v>
      </c>
      <c r="F13564" s="4" t="str">
        <f>HYPERLINK("http://141.218.60.56/~jnz1568/getInfo.php?workbook=10_05.xlsx&amp;sheet=U0&amp;row=13564&amp;col=6&amp;number=3&amp;sourceID=14","3")</f>
        <v>3</v>
      </c>
      <c r="G13564" s="4" t="str">
        <f>HYPERLINK("http://141.218.60.56/~jnz1568/getInfo.php?workbook=10_05.xlsx&amp;sheet=U0&amp;row=13564&amp;col=7&amp;number=0.0322&amp;sourceID=14","0.0322")</f>
        <v>0.0322</v>
      </c>
    </row>
    <row r="13565" spans="1:7">
      <c r="A13565" s="3"/>
      <c r="B13565" s="3"/>
      <c r="C13565" s="3"/>
      <c r="D13565" s="3"/>
      <c r="E13565" s="3">
        <v>2</v>
      </c>
      <c r="F13565" s="4" t="str">
        <f>HYPERLINK("http://141.218.60.56/~jnz1568/getInfo.php?workbook=10_05.xlsx&amp;sheet=U0&amp;row=13565&amp;col=6&amp;number=3.1&amp;sourceID=14","3.1")</f>
        <v>3.1</v>
      </c>
      <c r="G13565" s="4" t="str">
        <f>HYPERLINK("http://141.218.60.56/~jnz1568/getInfo.php?workbook=10_05.xlsx&amp;sheet=U0&amp;row=13565&amp;col=7&amp;number=0.0322&amp;sourceID=14","0.0322")</f>
        <v>0.0322</v>
      </c>
    </row>
    <row r="13566" spans="1:7">
      <c r="A13566" s="3"/>
      <c r="B13566" s="3"/>
      <c r="C13566" s="3"/>
      <c r="D13566" s="3"/>
      <c r="E13566" s="3">
        <v>3</v>
      </c>
      <c r="F13566" s="4" t="str">
        <f>HYPERLINK("http://141.218.60.56/~jnz1568/getInfo.php?workbook=10_05.xlsx&amp;sheet=U0&amp;row=13566&amp;col=6&amp;number=3.2&amp;sourceID=14","3.2")</f>
        <v>3.2</v>
      </c>
      <c r="G13566" s="4" t="str">
        <f>HYPERLINK("http://141.218.60.56/~jnz1568/getInfo.php?workbook=10_05.xlsx&amp;sheet=U0&amp;row=13566&amp;col=7&amp;number=0.0323&amp;sourceID=14","0.0323")</f>
        <v>0.0323</v>
      </c>
    </row>
    <row r="13567" spans="1:7">
      <c r="A13567" s="3"/>
      <c r="B13567" s="3"/>
      <c r="C13567" s="3"/>
      <c r="D13567" s="3"/>
      <c r="E13567" s="3">
        <v>4</v>
      </c>
      <c r="F13567" s="4" t="str">
        <f>HYPERLINK("http://141.218.60.56/~jnz1568/getInfo.php?workbook=10_05.xlsx&amp;sheet=U0&amp;row=13567&amp;col=6&amp;number=3.3&amp;sourceID=14","3.3")</f>
        <v>3.3</v>
      </c>
      <c r="G13567" s="4" t="str">
        <f>HYPERLINK("http://141.218.60.56/~jnz1568/getInfo.php?workbook=10_05.xlsx&amp;sheet=U0&amp;row=13567&amp;col=7&amp;number=0.0323&amp;sourceID=14","0.0323")</f>
        <v>0.0323</v>
      </c>
    </row>
    <row r="13568" spans="1:7">
      <c r="A13568" s="3"/>
      <c r="B13568" s="3"/>
      <c r="C13568" s="3"/>
      <c r="D13568" s="3"/>
      <c r="E13568" s="3">
        <v>5</v>
      </c>
      <c r="F13568" s="4" t="str">
        <f>HYPERLINK("http://141.218.60.56/~jnz1568/getInfo.php?workbook=10_05.xlsx&amp;sheet=U0&amp;row=13568&amp;col=6&amp;number=3.4&amp;sourceID=14","3.4")</f>
        <v>3.4</v>
      </c>
      <c r="G13568" s="4" t="str">
        <f>HYPERLINK("http://141.218.60.56/~jnz1568/getInfo.php?workbook=10_05.xlsx&amp;sheet=U0&amp;row=13568&amp;col=7&amp;number=0.0324&amp;sourceID=14","0.0324")</f>
        <v>0.0324</v>
      </c>
    </row>
    <row r="13569" spans="1:7">
      <c r="A13569" s="3"/>
      <c r="B13569" s="3"/>
      <c r="C13569" s="3"/>
      <c r="D13569" s="3"/>
      <c r="E13569" s="3">
        <v>6</v>
      </c>
      <c r="F13569" s="4" t="str">
        <f>HYPERLINK("http://141.218.60.56/~jnz1568/getInfo.php?workbook=10_05.xlsx&amp;sheet=U0&amp;row=13569&amp;col=6&amp;number=3.5&amp;sourceID=14","3.5")</f>
        <v>3.5</v>
      </c>
      <c r="G13569" s="4" t="str">
        <f>HYPERLINK("http://141.218.60.56/~jnz1568/getInfo.php?workbook=10_05.xlsx&amp;sheet=U0&amp;row=13569&amp;col=7&amp;number=0.0324&amp;sourceID=14","0.0324")</f>
        <v>0.0324</v>
      </c>
    </row>
    <row r="13570" spans="1:7">
      <c r="A13570" s="3"/>
      <c r="B13570" s="3"/>
      <c r="C13570" s="3"/>
      <c r="D13570" s="3"/>
      <c r="E13570" s="3">
        <v>7</v>
      </c>
      <c r="F13570" s="4" t="str">
        <f>HYPERLINK("http://141.218.60.56/~jnz1568/getInfo.php?workbook=10_05.xlsx&amp;sheet=U0&amp;row=13570&amp;col=6&amp;number=3.6&amp;sourceID=14","3.6")</f>
        <v>3.6</v>
      </c>
      <c r="G13570" s="4" t="str">
        <f>HYPERLINK("http://141.218.60.56/~jnz1568/getInfo.php?workbook=10_05.xlsx&amp;sheet=U0&amp;row=13570&amp;col=7&amp;number=0.0325&amp;sourceID=14","0.0325")</f>
        <v>0.0325</v>
      </c>
    </row>
    <row r="13571" spans="1:7">
      <c r="A13571" s="3"/>
      <c r="B13571" s="3"/>
      <c r="C13571" s="3"/>
      <c r="D13571" s="3"/>
      <c r="E13571" s="3">
        <v>8</v>
      </c>
      <c r="F13571" s="4" t="str">
        <f>HYPERLINK("http://141.218.60.56/~jnz1568/getInfo.php?workbook=10_05.xlsx&amp;sheet=U0&amp;row=13571&amp;col=6&amp;number=3.7&amp;sourceID=14","3.7")</f>
        <v>3.7</v>
      </c>
      <c r="G13571" s="4" t="str">
        <f>HYPERLINK("http://141.218.60.56/~jnz1568/getInfo.php?workbook=10_05.xlsx&amp;sheet=U0&amp;row=13571&amp;col=7&amp;number=0.0327&amp;sourceID=14","0.0327")</f>
        <v>0.0327</v>
      </c>
    </row>
    <row r="13572" spans="1:7">
      <c r="A13572" s="3"/>
      <c r="B13572" s="3"/>
      <c r="C13572" s="3"/>
      <c r="D13572" s="3"/>
      <c r="E13572" s="3">
        <v>9</v>
      </c>
      <c r="F13572" s="4" t="str">
        <f>HYPERLINK("http://141.218.60.56/~jnz1568/getInfo.php?workbook=10_05.xlsx&amp;sheet=U0&amp;row=13572&amp;col=6&amp;number=3.8&amp;sourceID=14","3.8")</f>
        <v>3.8</v>
      </c>
      <c r="G13572" s="4" t="str">
        <f>HYPERLINK("http://141.218.60.56/~jnz1568/getInfo.php?workbook=10_05.xlsx&amp;sheet=U0&amp;row=13572&amp;col=7&amp;number=0.0328&amp;sourceID=14","0.0328")</f>
        <v>0.0328</v>
      </c>
    </row>
    <row r="13573" spans="1:7">
      <c r="A13573" s="3"/>
      <c r="B13573" s="3"/>
      <c r="C13573" s="3"/>
      <c r="D13573" s="3"/>
      <c r="E13573" s="3">
        <v>10</v>
      </c>
      <c r="F13573" s="4" t="str">
        <f>HYPERLINK("http://141.218.60.56/~jnz1568/getInfo.php?workbook=10_05.xlsx&amp;sheet=U0&amp;row=13573&amp;col=6&amp;number=3.9&amp;sourceID=14","3.9")</f>
        <v>3.9</v>
      </c>
      <c r="G13573" s="4" t="str">
        <f>HYPERLINK("http://141.218.60.56/~jnz1568/getInfo.php?workbook=10_05.xlsx&amp;sheet=U0&amp;row=13573&amp;col=7&amp;number=0.033&amp;sourceID=14","0.033")</f>
        <v>0.033</v>
      </c>
    </row>
    <row r="13574" spans="1:7">
      <c r="A13574" s="3"/>
      <c r="B13574" s="3"/>
      <c r="C13574" s="3"/>
      <c r="D13574" s="3"/>
      <c r="E13574" s="3">
        <v>11</v>
      </c>
      <c r="F13574" s="4" t="str">
        <f>HYPERLINK("http://141.218.60.56/~jnz1568/getInfo.php?workbook=10_05.xlsx&amp;sheet=U0&amp;row=13574&amp;col=6&amp;number=4&amp;sourceID=14","4")</f>
        <v>4</v>
      </c>
      <c r="G13574" s="4" t="str">
        <f>HYPERLINK("http://141.218.60.56/~jnz1568/getInfo.php?workbook=10_05.xlsx&amp;sheet=U0&amp;row=13574&amp;col=7&amp;number=0.0332&amp;sourceID=14","0.0332")</f>
        <v>0.0332</v>
      </c>
    </row>
    <row r="13575" spans="1:7">
      <c r="A13575" s="3"/>
      <c r="B13575" s="3"/>
      <c r="C13575" s="3"/>
      <c r="D13575" s="3"/>
      <c r="E13575" s="3">
        <v>12</v>
      </c>
      <c r="F13575" s="4" t="str">
        <f>HYPERLINK("http://141.218.60.56/~jnz1568/getInfo.php?workbook=10_05.xlsx&amp;sheet=U0&amp;row=13575&amp;col=6&amp;number=4.1&amp;sourceID=14","4.1")</f>
        <v>4.1</v>
      </c>
      <c r="G13575" s="4" t="str">
        <f>HYPERLINK("http://141.218.60.56/~jnz1568/getInfo.php?workbook=10_05.xlsx&amp;sheet=U0&amp;row=13575&amp;col=7&amp;number=0.0334&amp;sourceID=14","0.0334")</f>
        <v>0.0334</v>
      </c>
    </row>
    <row r="13576" spans="1:7">
      <c r="A13576" s="3"/>
      <c r="B13576" s="3"/>
      <c r="C13576" s="3"/>
      <c r="D13576" s="3"/>
      <c r="E13576" s="3">
        <v>13</v>
      </c>
      <c r="F13576" s="4" t="str">
        <f>HYPERLINK("http://141.218.60.56/~jnz1568/getInfo.php?workbook=10_05.xlsx&amp;sheet=U0&amp;row=13576&amp;col=6&amp;number=4.2&amp;sourceID=14","4.2")</f>
        <v>4.2</v>
      </c>
      <c r="G13576" s="4" t="str">
        <f>HYPERLINK("http://141.218.60.56/~jnz1568/getInfo.php?workbook=10_05.xlsx&amp;sheet=U0&amp;row=13576&amp;col=7&amp;number=0.0337&amp;sourceID=14","0.0337")</f>
        <v>0.0337</v>
      </c>
    </row>
    <row r="13577" spans="1:7">
      <c r="A13577" s="3"/>
      <c r="B13577" s="3"/>
      <c r="C13577" s="3"/>
      <c r="D13577" s="3"/>
      <c r="E13577" s="3">
        <v>14</v>
      </c>
      <c r="F13577" s="4" t="str">
        <f>HYPERLINK("http://141.218.60.56/~jnz1568/getInfo.php?workbook=10_05.xlsx&amp;sheet=U0&amp;row=13577&amp;col=6&amp;number=4.3&amp;sourceID=14","4.3")</f>
        <v>4.3</v>
      </c>
      <c r="G13577" s="4" t="str">
        <f>HYPERLINK("http://141.218.60.56/~jnz1568/getInfo.php?workbook=10_05.xlsx&amp;sheet=U0&amp;row=13577&amp;col=7&amp;number=0.034&amp;sourceID=14","0.034")</f>
        <v>0.034</v>
      </c>
    </row>
    <row r="13578" spans="1:7">
      <c r="A13578" s="3"/>
      <c r="B13578" s="3"/>
      <c r="C13578" s="3"/>
      <c r="D13578" s="3"/>
      <c r="E13578" s="3">
        <v>15</v>
      </c>
      <c r="F13578" s="4" t="str">
        <f>HYPERLINK("http://141.218.60.56/~jnz1568/getInfo.php?workbook=10_05.xlsx&amp;sheet=U0&amp;row=13578&amp;col=6&amp;number=4.4&amp;sourceID=14","4.4")</f>
        <v>4.4</v>
      </c>
      <c r="G13578" s="4" t="str">
        <f>HYPERLINK("http://141.218.60.56/~jnz1568/getInfo.php?workbook=10_05.xlsx&amp;sheet=U0&amp;row=13578&amp;col=7&amp;number=0.0342&amp;sourceID=14","0.0342")</f>
        <v>0.0342</v>
      </c>
    </row>
    <row r="13579" spans="1:7">
      <c r="A13579" s="3"/>
      <c r="B13579" s="3"/>
      <c r="C13579" s="3"/>
      <c r="D13579" s="3"/>
      <c r="E13579" s="3">
        <v>16</v>
      </c>
      <c r="F13579" s="4" t="str">
        <f>HYPERLINK("http://141.218.60.56/~jnz1568/getInfo.php?workbook=10_05.xlsx&amp;sheet=U0&amp;row=13579&amp;col=6&amp;number=4.5&amp;sourceID=14","4.5")</f>
        <v>4.5</v>
      </c>
      <c r="G13579" s="4" t="str">
        <f>HYPERLINK("http://141.218.60.56/~jnz1568/getInfo.php?workbook=10_05.xlsx&amp;sheet=U0&amp;row=13579&amp;col=7&amp;number=0.0344&amp;sourceID=14","0.0344")</f>
        <v>0.0344</v>
      </c>
    </row>
    <row r="13580" spans="1:7">
      <c r="A13580" s="3"/>
      <c r="B13580" s="3"/>
      <c r="C13580" s="3"/>
      <c r="D13580" s="3"/>
      <c r="E13580" s="3">
        <v>17</v>
      </c>
      <c r="F13580" s="4" t="str">
        <f>HYPERLINK("http://141.218.60.56/~jnz1568/getInfo.php?workbook=10_05.xlsx&amp;sheet=U0&amp;row=13580&amp;col=6&amp;number=4.6&amp;sourceID=14","4.6")</f>
        <v>4.6</v>
      </c>
      <c r="G13580" s="4" t="str">
        <f>HYPERLINK("http://141.218.60.56/~jnz1568/getInfo.php?workbook=10_05.xlsx&amp;sheet=U0&amp;row=13580&amp;col=7&amp;number=0.0346&amp;sourceID=14","0.0346")</f>
        <v>0.0346</v>
      </c>
    </row>
    <row r="13581" spans="1:7">
      <c r="A13581" s="3"/>
      <c r="B13581" s="3"/>
      <c r="C13581" s="3"/>
      <c r="D13581" s="3"/>
      <c r="E13581" s="3">
        <v>18</v>
      </c>
      <c r="F13581" s="4" t="str">
        <f>HYPERLINK("http://141.218.60.56/~jnz1568/getInfo.php?workbook=10_05.xlsx&amp;sheet=U0&amp;row=13581&amp;col=6&amp;number=4.7&amp;sourceID=14","4.7")</f>
        <v>4.7</v>
      </c>
      <c r="G13581" s="4" t="str">
        <f>HYPERLINK("http://141.218.60.56/~jnz1568/getInfo.php?workbook=10_05.xlsx&amp;sheet=U0&amp;row=13581&amp;col=7&amp;number=0.0348&amp;sourceID=14","0.0348")</f>
        <v>0.0348</v>
      </c>
    </row>
    <row r="13582" spans="1:7">
      <c r="A13582" s="3"/>
      <c r="B13582" s="3"/>
      <c r="C13582" s="3"/>
      <c r="D13582" s="3"/>
      <c r="E13582" s="3">
        <v>19</v>
      </c>
      <c r="F13582" s="4" t="str">
        <f>HYPERLINK("http://141.218.60.56/~jnz1568/getInfo.php?workbook=10_05.xlsx&amp;sheet=U0&amp;row=13582&amp;col=6&amp;number=4.8&amp;sourceID=14","4.8")</f>
        <v>4.8</v>
      </c>
      <c r="G13582" s="4" t="str">
        <f>HYPERLINK("http://141.218.60.56/~jnz1568/getInfo.php?workbook=10_05.xlsx&amp;sheet=U0&amp;row=13582&amp;col=7&amp;number=0.0352&amp;sourceID=14","0.0352")</f>
        <v>0.0352</v>
      </c>
    </row>
    <row r="13583" spans="1:7">
      <c r="A13583" s="3"/>
      <c r="B13583" s="3"/>
      <c r="C13583" s="3"/>
      <c r="D13583" s="3"/>
      <c r="E13583" s="3">
        <v>20</v>
      </c>
      <c r="F13583" s="4" t="str">
        <f>HYPERLINK("http://141.218.60.56/~jnz1568/getInfo.php?workbook=10_05.xlsx&amp;sheet=U0&amp;row=13583&amp;col=6&amp;number=4.9&amp;sourceID=14","4.9")</f>
        <v>4.9</v>
      </c>
      <c r="G13583" s="4" t="str">
        <f>HYPERLINK("http://141.218.60.56/~jnz1568/getInfo.php?workbook=10_05.xlsx&amp;sheet=U0&amp;row=13583&amp;col=7&amp;number=0.0358&amp;sourceID=14","0.0358")</f>
        <v>0.0358</v>
      </c>
    </row>
    <row r="13584" spans="1:7">
      <c r="A13584" s="3">
        <v>10</v>
      </c>
      <c r="B13584" s="3">
        <v>5</v>
      </c>
      <c r="C13584" s="3">
        <v>4</v>
      </c>
      <c r="D13584" s="3">
        <v>150</v>
      </c>
      <c r="E13584" s="3">
        <v>1</v>
      </c>
      <c r="F13584" s="4" t="str">
        <f>HYPERLINK("http://141.218.60.56/~jnz1568/getInfo.php?workbook=10_05.xlsx&amp;sheet=U0&amp;row=13584&amp;col=6&amp;number=3&amp;sourceID=14","3")</f>
        <v>3</v>
      </c>
      <c r="G13584" s="4" t="str">
        <f>HYPERLINK("http://141.218.60.56/~jnz1568/getInfo.php?workbook=10_05.xlsx&amp;sheet=U0&amp;row=13584&amp;col=7&amp;number=0.000975&amp;sourceID=14","0.000975")</f>
        <v>0.000975</v>
      </c>
    </row>
    <row r="13585" spans="1:7">
      <c r="A13585" s="3"/>
      <c r="B13585" s="3"/>
      <c r="C13585" s="3"/>
      <c r="D13585" s="3"/>
      <c r="E13585" s="3">
        <v>2</v>
      </c>
      <c r="F13585" s="4" t="str">
        <f>HYPERLINK("http://141.218.60.56/~jnz1568/getInfo.php?workbook=10_05.xlsx&amp;sheet=U0&amp;row=13585&amp;col=6&amp;number=3.1&amp;sourceID=14","3.1")</f>
        <v>3.1</v>
      </c>
      <c r="G13585" s="4" t="str">
        <f>HYPERLINK("http://141.218.60.56/~jnz1568/getInfo.php?workbook=10_05.xlsx&amp;sheet=U0&amp;row=13585&amp;col=7&amp;number=0.000969&amp;sourceID=14","0.000969")</f>
        <v>0.000969</v>
      </c>
    </row>
    <row r="13586" spans="1:7">
      <c r="A13586" s="3"/>
      <c r="B13586" s="3"/>
      <c r="C13586" s="3"/>
      <c r="D13586" s="3"/>
      <c r="E13586" s="3">
        <v>3</v>
      </c>
      <c r="F13586" s="4" t="str">
        <f>HYPERLINK("http://141.218.60.56/~jnz1568/getInfo.php?workbook=10_05.xlsx&amp;sheet=U0&amp;row=13586&amp;col=6&amp;number=3.2&amp;sourceID=14","3.2")</f>
        <v>3.2</v>
      </c>
      <c r="G13586" s="4" t="str">
        <f>HYPERLINK("http://141.218.60.56/~jnz1568/getInfo.php?workbook=10_05.xlsx&amp;sheet=U0&amp;row=13586&amp;col=7&amp;number=0.000962&amp;sourceID=14","0.000962")</f>
        <v>0.000962</v>
      </c>
    </row>
    <row r="13587" spans="1:7">
      <c r="A13587" s="3"/>
      <c r="B13587" s="3"/>
      <c r="C13587" s="3"/>
      <c r="D13587" s="3"/>
      <c r="E13587" s="3">
        <v>4</v>
      </c>
      <c r="F13587" s="4" t="str">
        <f>HYPERLINK("http://141.218.60.56/~jnz1568/getInfo.php?workbook=10_05.xlsx&amp;sheet=U0&amp;row=13587&amp;col=6&amp;number=3.3&amp;sourceID=14","3.3")</f>
        <v>3.3</v>
      </c>
      <c r="G13587" s="4" t="str">
        <f>HYPERLINK("http://141.218.60.56/~jnz1568/getInfo.php?workbook=10_05.xlsx&amp;sheet=U0&amp;row=13587&amp;col=7&amp;number=0.000953&amp;sourceID=14","0.000953")</f>
        <v>0.000953</v>
      </c>
    </row>
    <row r="13588" spans="1:7">
      <c r="A13588" s="3"/>
      <c r="B13588" s="3"/>
      <c r="C13588" s="3"/>
      <c r="D13588" s="3"/>
      <c r="E13588" s="3">
        <v>5</v>
      </c>
      <c r="F13588" s="4" t="str">
        <f>HYPERLINK("http://141.218.60.56/~jnz1568/getInfo.php?workbook=10_05.xlsx&amp;sheet=U0&amp;row=13588&amp;col=6&amp;number=3.4&amp;sourceID=14","3.4")</f>
        <v>3.4</v>
      </c>
      <c r="G13588" s="4" t="str">
        <f>HYPERLINK("http://141.218.60.56/~jnz1568/getInfo.php?workbook=10_05.xlsx&amp;sheet=U0&amp;row=13588&amp;col=7&amp;number=0.000943&amp;sourceID=14","0.000943")</f>
        <v>0.000943</v>
      </c>
    </row>
    <row r="13589" spans="1:7">
      <c r="A13589" s="3"/>
      <c r="B13589" s="3"/>
      <c r="C13589" s="3"/>
      <c r="D13589" s="3"/>
      <c r="E13589" s="3">
        <v>6</v>
      </c>
      <c r="F13589" s="4" t="str">
        <f>HYPERLINK("http://141.218.60.56/~jnz1568/getInfo.php?workbook=10_05.xlsx&amp;sheet=U0&amp;row=13589&amp;col=6&amp;number=3.5&amp;sourceID=14","3.5")</f>
        <v>3.5</v>
      </c>
      <c r="G13589" s="4" t="str">
        <f>HYPERLINK("http://141.218.60.56/~jnz1568/getInfo.php?workbook=10_05.xlsx&amp;sheet=U0&amp;row=13589&amp;col=7&amp;number=0.000929&amp;sourceID=14","0.000929")</f>
        <v>0.000929</v>
      </c>
    </row>
    <row r="13590" spans="1:7">
      <c r="A13590" s="3"/>
      <c r="B13590" s="3"/>
      <c r="C13590" s="3"/>
      <c r="D13590" s="3"/>
      <c r="E13590" s="3">
        <v>7</v>
      </c>
      <c r="F13590" s="4" t="str">
        <f>HYPERLINK("http://141.218.60.56/~jnz1568/getInfo.php?workbook=10_05.xlsx&amp;sheet=U0&amp;row=13590&amp;col=6&amp;number=3.6&amp;sourceID=14","3.6")</f>
        <v>3.6</v>
      </c>
      <c r="G13590" s="4" t="str">
        <f>HYPERLINK("http://141.218.60.56/~jnz1568/getInfo.php?workbook=10_05.xlsx&amp;sheet=U0&amp;row=13590&amp;col=7&amp;number=0.000913&amp;sourceID=14","0.000913")</f>
        <v>0.000913</v>
      </c>
    </row>
    <row r="13591" spans="1:7">
      <c r="A13591" s="3"/>
      <c r="B13591" s="3"/>
      <c r="C13591" s="3"/>
      <c r="D13591" s="3"/>
      <c r="E13591" s="3">
        <v>8</v>
      </c>
      <c r="F13591" s="4" t="str">
        <f>HYPERLINK("http://141.218.60.56/~jnz1568/getInfo.php?workbook=10_05.xlsx&amp;sheet=U0&amp;row=13591&amp;col=6&amp;number=3.7&amp;sourceID=14","3.7")</f>
        <v>3.7</v>
      </c>
      <c r="G13591" s="4" t="str">
        <f>HYPERLINK("http://141.218.60.56/~jnz1568/getInfo.php?workbook=10_05.xlsx&amp;sheet=U0&amp;row=13591&amp;col=7&amp;number=0.000893&amp;sourceID=14","0.000893")</f>
        <v>0.000893</v>
      </c>
    </row>
    <row r="13592" spans="1:7">
      <c r="A13592" s="3"/>
      <c r="B13592" s="3"/>
      <c r="C13592" s="3"/>
      <c r="D13592" s="3"/>
      <c r="E13592" s="3">
        <v>9</v>
      </c>
      <c r="F13592" s="4" t="str">
        <f>HYPERLINK("http://141.218.60.56/~jnz1568/getInfo.php?workbook=10_05.xlsx&amp;sheet=U0&amp;row=13592&amp;col=6&amp;number=3.8&amp;sourceID=14","3.8")</f>
        <v>3.8</v>
      </c>
      <c r="G13592" s="4" t="str">
        <f>HYPERLINK("http://141.218.60.56/~jnz1568/getInfo.php?workbook=10_05.xlsx&amp;sheet=U0&amp;row=13592&amp;col=7&amp;number=0.000869&amp;sourceID=14","0.000869")</f>
        <v>0.000869</v>
      </c>
    </row>
    <row r="13593" spans="1:7">
      <c r="A13593" s="3"/>
      <c r="B13593" s="3"/>
      <c r="C13593" s="3"/>
      <c r="D13593" s="3"/>
      <c r="E13593" s="3">
        <v>10</v>
      </c>
      <c r="F13593" s="4" t="str">
        <f>HYPERLINK("http://141.218.60.56/~jnz1568/getInfo.php?workbook=10_05.xlsx&amp;sheet=U0&amp;row=13593&amp;col=6&amp;number=3.9&amp;sourceID=14","3.9")</f>
        <v>3.9</v>
      </c>
      <c r="G13593" s="4" t="str">
        <f>HYPERLINK("http://141.218.60.56/~jnz1568/getInfo.php?workbook=10_05.xlsx&amp;sheet=U0&amp;row=13593&amp;col=7&amp;number=0.000841&amp;sourceID=14","0.000841")</f>
        <v>0.000841</v>
      </c>
    </row>
    <row r="13594" spans="1:7">
      <c r="A13594" s="3"/>
      <c r="B13594" s="3"/>
      <c r="C13594" s="3"/>
      <c r="D13594" s="3"/>
      <c r="E13594" s="3">
        <v>11</v>
      </c>
      <c r="F13594" s="4" t="str">
        <f>HYPERLINK("http://141.218.60.56/~jnz1568/getInfo.php?workbook=10_05.xlsx&amp;sheet=U0&amp;row=13594&amp;col=6&amp;number=4&amp;sourceID=14","4")</f>
        <v>4</v>
      </c>
      <c r="G13594" s="4" t="str">
        <f>HYPERLINK("http://141.218.60.56/~jnz1568/getInfo.php?workbook=10_05.xlsx&amp;sheet=U0&amp;row=13594&amp;col=7&amp;number=0.00081&amp;sourceID=14","0.00081")</f>
        <v>0.00081</v>
      </c>
    </row>
    <row r="13595" spans="1:7">
      <c r="A13595" s="3"/>
      <c r="B13595" s="3"/>
      <c r="C13595" s="3"/>
      <c r="D13595" s="3"/>
      <c r="E13595" s="3">
        <v>12</v>
      </c>
      <c r="F13595" s="4" t="str">
        <f>HYPERLINK("http://141.218.60.56/~jnz1568/getInfo.php?workbook=10_05.xlsx&amp;sheet=U0&amp;row=13595&amp;col=6&amp;number=4.1&amp;sourceID=14","4.1")</f>
        <v>4.1</v>
      </c>
      <c r="G13595" s="4" t="str">
        <f>HYPERLINK("http://141.218.60.56/~jnz1568/getInfo.php?workbook=10_05.xlsx&amp;sheet=U0&amp;row=13595&amp;col=7&amp;number=0.000776&amp;sourceID=14","0.000776")</f>
        <v>0.000776</v>
      </c>
    </row>
    <row r="13596" spans="1:7">
      <c r="A13596" s="3"/>
      <c r="B13596" s="3"/>
      <c r="C13596" s="3"/>
      <c r="D13596" s="3"/>
      <c r="E13596" s="3">
        <v>13</v>
      </c>
      <c r="F13596" s="4" t="str">
        <f>HYPERLINK("http://141.218.60.56/~jnz1568/getInfo.php?workbook=10_05.xlsx&amp;sheet=U0&amp;row=13596&amp;col=6&amp;number=4.2&amp;sourceID=14","4.2")</f>
        <v>4.2</v>
      </c>
      <c r="G13596" s="4" t="str">
        <f>HYPERLINK("http://141.218.60.56/~jnz1568/getInfo.php?workbook=10_05.xlsx&amp;sheet=U0&amp;row=13596&amp;col=7&amp;number=0.000744&amp;sourceID=14","0.000744")</f>
        <v>0.000744</v>
      </c>
    </row>
    <row r="13597" spans="1:7">
      <c r="A13597" s="3"/>
      <c r="B13597" s="3"/>
      <c r="C13597" s="3"/>
      <c r="D13597" s="3"/>
      <c r="E13597" s="3">
        <v>14</v>
      </c>
      <c r="F13597" s="4" t="str">
        <f>HYPERLINK("http://141.218.60.56/~jnz1568/getInfo.php?workbook=10_05.xlsx&amp;sheet=U0&amp;row=13597&amp;col=6&amp;number=4.3&amp;sourceID=14","4.3")</f>
        <v>4.3</v>
      </c>
      <c r="G13597" s="4" t="str">
        <f>HYPERLINK("http://141.218.60.56/~jnz1568/getInfo.php?workbook=10_05.xlsx&amp;sheet=U0&amp;row=13597&amp;col=7&amp;number=0.000718&amp;sourceID=14","0.000718")</f>
        <v>0.000718</v>
      </c>
    </row>
    <row r="13598" spans="1:7">
      <c r="A13598" s="3"/>
      <c r="B13598" s="3"/>
      <c r="C13598" s="3"/>
      <c r="D13598" s="3"/>
      <c r="E13598" s="3">
        <v>15</v>
      </c>
      <c r="F13598" s="4" t="str">
        <f>HYPERLINK("http://141.218.60.56/~jnz1568/getInfo.php?workbook=10_05.xlsx&amp;sheet=U0&amp;row=13598&amp;col=6&amp;number=4.4&amp;sourceID=14","4.4")</f>
        <v>4.4</v>
      </c>
      <c r="G13598" s="4" t="str">
        <f>HYPERLINK("http://141.218.60.56/~jnz1568/getInfo.php?workbook=10_05.xlsx&amp;sheet=U0&amp;row=13598&amp;col=7&amp;number=0.000699&amp;sourceID=14","0.000699")</f>
        <v>0.000699</v>
      </c>
    </row>
    <row r="13599" spans="1:7">
      <c r="A13599" s="3"/>
      <c r="B13599" s="3"/>
      <c r="C13599" s="3"/>
      <c r="D13599" s="3"/>
      <c r="E13599" s="3">
        <v>16</v>
      </c>
      <c r="F13599" s="4" t="str">
        <f>HYPERLINK("http://141.218.60.56/~jnz1568/getInfo.php?workbook=10_05.xlsx&amp;sheet=U0&amp;row=13599&amp;col=6&amp;number=4.5&amp;sourceID=14","4.5")</f>
        <v>4.5</v>
      </c>
      <c r="G13599" s="4" t="str">
        <f>HYPERLINK("http://141.218.60.56/~jnz1568/getInfo.php?workbook=10_05.xlsx&amp;sheet=U0&amp;row=13599&amp;col=7&amp;number=0.000685&amp;sourceID=14","0.000685")</f>
        <v>0.000685</v>
      </c>
    </row>
    <row r="13600" spans="1:7">
      <c r="A13600" s="3"/>
      <c r="B13600" s="3"/>
      <c r="C13600" s="3"/>
      <c r="D13600" s="3"/>
      <c r="E13600" s="3">
        <v>17</v>
      </c>
      <c r="F13600" s="4" t="str">
        <f>HYPERLINK("http://141.218.60.56/~jnz1568/getInfo.php?workbook=10_05.xlsx&amp;sheet=U0&amp;row=13600&amp;col=6&amp;number=4.6&amp;sourceID=14","4.6")</f>
        <v>4.6</v>
      </c>
      <c r="G13600" s="4" t="str">
        <f>HYPERLINK("http://141.218.60.56/~jnz1568/getInfo.php?workbook=10_05.xlsx&amp;sheet=U0&amp;row=13600&amp;col=7&amp;number=0.00067&amp;sourceID=14","0.00067")</f>
        <v>0.00067</v>
      </c>
    </row>
    <row r="13601" spans="1:7">
      <c r="A13601" s="3"/>
      <c r="B13601" s="3"/>
      <c r="C13601" s="3"/>
      <c r="D13601" s="3"/>
      <c r="E13601" s="3">
        <v>18</v>
      </c>
      <c r="F13601" s="4" t="str">
        <f>HYPERLINK("http://141.218.60.56/~jnz1568/getInfo.php?workbook=10_05.xlsx&amp;sheet=U0&amp;row=13601&amp;col=6&amp;number=4.7&amp;sourceID=14","4.7")</f>
        <v>4.7</v>
      </c>
      <c r="G13601" s="4" t="str">
        <f>HYPERLINK("http://141.218.60.56/~jnz1568/getInfo.php?workbook=10_05.xlsx&amp;sheet=U0&amp;row=13601&amp;col=7&amp;number=0.000652&amp;sourceID=14","0.000652")</f>
        <v>0.000652</v>
      </c>
    </row>
    <row r="13602" spans="1:7">
      <c r="A13602" s="3"/>
      <c r="B13602" s="3"/>
      <c r="C13602" s="3"/>
      <c r="D13602" s="3"/>
      <c r="E13602" s="3">
        <v>19</v>
      </c>
      <c r="F13602" s="4" t="str">
        <f>HYPERLINK("http://141.218.60.56/~jnz1568/getInfo.php?workbook=10_05.xlsx&amp;sheet=U0&amp;row=13602&amp;col=6&amp;number=4.8&amp;sourceID=14","4.8")</f>
        <v>4.8</v>
      </c>
      <c r="G13602" s="4" t="str">
        <f>HYPERLINK("http://141.218.60.56/~jnz1568/getInfo.php?workbook=10_05.xlsx&amp;sheet=U0&amp;row=13602&amp;col=7&amp;number=0.000632&amp;sourceID=14","0.000632")</f>
        <v>0.000632</v>
      </c>
    </row>
    <row r="13603" spans="1:7">
      <c r="A13603" s="3"/>
      <c r="B13603" s="3"/>
      <c r="C13603" s="3"/>
      <c r="D13603" s="3"/>
      <c r="E13603" s="3">
        <v>20</v>
      </c>
      <c r="F13603" s="4" t="str">
        <f>HYPERLINK("http://141.218.60.56/~jnz1568/getInfo.php?workbook=10_05.xlsx&amp;sheet=U0&amp;row=13603&amp;col=6&amp;number=4.9&amp;sourceID=14","4.9")</f>
        <v>4.9</v>
      </c>
      <c r="G13603" s="4" t="str">
        <f>HYPERLINK("http://141.218.60.56/~jnz1568/getInfo.php?workbook=10_05.xlsx&amp;sheet=U0&amp;row=13603&amp;col=7&amp;number=0.000615&amp;sourceID=14","0.000615")</f>
        <v>0.000615</v>
      </c>
    </row>
    <row r="13604" spans="1:7">
      <c r="A13604" s="3">
        <v>10</v>
      </c>
      <c r="B13604" s="3">
        <v>5</v>
      </c>
      <c r="C13604" s="3">
        <v>4</v>
      </c>
      <c r="D13604" s="3">
        <v>151</v>
      </c>
      <c r="E13604" s="3">
        <v>1</v>
      </c>
      <c r="F13604" s="4" t="str">
        <f>HYPERLINK("http://141.218.60.56/~jnz1568/getInfo.php?workbook=10_05.xlsx&amp;sheet=U0&amp;row=13604&amp;col=6&amp;number=3&amp;sourceID=14","3")</f>
        <v>3</v>
      </c>
      <c r="G13604" s="4" t="str">
        <f>HYPERLINK("http://141.218.60.56/~jnz1568/getInfo.php?workbook=10_05.xlsx&amp;sheet=U0&amp;row=13604&amp;col=7&amp;number=0.00309&amp;sourceID=14","0.00309")</f>
        <v>0.00309</v>
      </c>
    </row>
    <row r="13605" spans="1:7">
      <c r="A13605" s="3"/>
      <c r="B13605" s="3"/>
      <c r="C13605" s="3"/>
      <c r="D13605" s="3"/>
      <c r="E13605" s="3">
        <v>2</v>
      </c>
      <c r="F13605" s="4" t="str">
        <f>HYPERLINK("http://141.218.60.56/~jnz1568/getInfo.php?workbook=10_05.xlsx&amp;sheet=U0&amp;row=13605&amp;col=6&amp;number=3.1&amp;sourceID=14","3.1")</f>
        <v>3.1</v>
      </c>
      <c r="G13605" s="4" t="str">
        <f>HYPERLINK("http://141.218.60.56/~jnz1568/getInfo.php?workbook=10_05.xlsx&amp;sheet=U0&amp;row=13605&amp;col=7&amp;number=0.00308&amp;sourceID=14","0.00308")</f>
        <v>0.00308</v>
      </c>
    </row>
    <row r="13606" spans="1:7">
      <c r="A13606" s="3"/>
      <c r="B13606" s="3"/>
      <c r="C13606" s="3"/>
      <c r="D13606" s="3"/>
      <c r="E13606" s="3">
        <v>3</v>
      </c>
      <c r="F13606" s="4" t="str">
        <f>HYPERLINK("http://141.218.60.56/~jnz1568/getInfo.php?workbook=10_05.xlsx&amp;sheet=U0&amp;row=13606&amp;col=6&amp;number=3.2&amp;sourceID=14","3.2")</f>
        <v>3.2</v>
      </c>
      <c r="G13606" s="4" t="str">
        <f>HYPERLINK("http://141.218.60.56/~jnz1568/getInfo.php?workbook=10_05.xlsx&amp;sheet=U0&amp;row=13606&amp;col=7&amp;number=0.00307&amp;sourceID=14","0.00307")</f>
        <v>0.00307</v>
      </c>
    </row>
    <row r="13607" spans="1:7">
      <c r="A13607" s="3"/>
      <c r="B13607" s="3"/>
      <c r="C13607" s="3"/>
      <c r="D13607" s="3"/>
      <c r="E13607" s="3">
        <v>4</v>
      </c>
      <c r="F13607" s="4" t="str">
        <f>HYPERLINK("http://141.218.60.56/~jnz1568/getInfo.php?workbook=10_05.xlsx&amp;sheet=U0&amp;row=13607&amp;col=6&amp;number=3.3&amp;sourceID=14","3.3")</f>
        <v>3.3</v>
      </c>
      <c r="G13607" s="4" t="str">
        <f>HYPERLINK("http://141.218.60.56/~jnz1568/getInfo.php?workbook=10_05.xlsx&amp;sheet=U0&amp;row=13607&amp;col=7&amp;number=0.00307&amp;sourceID=14","0.00307")</f>
        <v>0.00307</v>
      </c>
    </row>
    <row r="13608" spans="1:7">
      <c r="A13608" s="3"/>
      <c r="B13608" s="3"/>
      <c r="C13608" s="3"/>
      <c r="D13608" s="3"/>
      <c r="E13608" s="3">
        <v>5</v>
      </c>
      <c r="F13608" s="4" t="str">
        <f>HYPERLINK("http://141.218.60.56/~jnz1568/getInfo.php?workbook=10_05.xlsx&amp;sheet=U0&amp;row=13608&amp;col=6&amp;number=3.4&amp;sourceID=14","3.4")</f>
        <v>3.4</v>
      </c>
      <c r="G13608" s="4" t="str">
        <f>HYPERLINK("http://141.218.60.56/~jnz1568/getInfo.php?workbook=10_05.xlsx&amp;sheet=U0&amp;row=13608&amp;col=7&amp;number=0.00306&amp;sourceID=14","0.00306")</f>
        <v>0.00306</v>
      </c>
    </row>
    <row r="13609" spans="1:7">
      <c r="A13609" s="3"/>
      <c r="B13609" s="3"/>
      <c r="C13609" s="3"/>
      <c r="D13609" s="3"/>
      <c r="E13609" s="3">
        <v>6</v>
      </c>
      <c r="F13609" s="4" t="str">
        <f>HYPERLINK("http://141.218.60.56/~jnz1568/getInfo.php?workbook=10_05.xlsx&amp;sheet=U0&amp;row=13609&amp;col=6&amp;number=3.5&amp;sourceID=14","3.5")</f>
        <v>3.5</v>
      </c>
      <c r="G13609" s="4" t="str">
        <f>HYPERLINK("http://141.218.60.56/~jnz1568/getInfo.php?workbook=10_05.xlsx&amp;sheet=U0&amp;row=13609&amp;col=7&amp;number=0.00305&amp;sourceID=14","0.00305")</f>
        <v>0.00305</v>
      </c>
    </row>
    <row r="13610" spans="1:7">
      <c r="A13610" s="3"/>
      <c r="B13610" s="3"/>
      <c r="C13610" s="3"/>
      <c r="D13610" s="3"/>
      <c r="E13610" s="3">
        <v>7</v>
      </c>
      <c r="F13610" s="4" t="str">
        <f>HYPERLINK("http://141.218.60.56/~jnz1568/getInfo.php?workbook=10_05.xlsx&amp;sheet=U0&amp;row=13610&amp;col=6&amp;number=3.6&amp;sourceID=14","3.6")</f>
        <v>3.6</v>
      </c>
      <c r="G13610" s="4" t="str">
        <f>HYPERLINK("http://141.218.60.56/~jnz1568/getInfo.php?workbook=10_05.xlsx&amp;sheet=U0&amp;row=13610&amp;col=7&amp;number=0.00303&amp;sourceID=14","0.00303")</f>
        <v>0.00303</v>
      </c>
    </row>
    <row r="13611" spans="1:7">
      <c r="A13611" s="3"/>
      <c r="B13611" s="3"/>
      <c r="C13611" s="3"/>
      <c r="D13611" s="3"/>
      <c r="E13611" s="3">
        <v>8</v>
      </c>
      <c r="F13611" s="4" t="str">
        <f>HYPERLINK("http://141.218.60.56/~jnz1568/getInfo.php?workbook=10_05.xlsx&amp;sheet=U0&amp;row=13611&amp;col=6&amp;number=3.7&amp;sourceID=14","3.7")</f>
        <v>3.7</v>
      </c>
      <c r="G13611" s="4" t="str">
        <f>HYPERLINK("http://141.218.60.56/~jnz1568/getInfo.php?workbook=10_05.xlsx&amp;sheet=U0&amp;row=13611&amp;col=7&amp;number=0.00302&amp;sourceID=14","0.00302")</f>
        <v>0.00302</v>
      </c>
    </row>
    <row r="13612" spans="1:7">
      <c r="A13612" s="3"/>
      <c r="B13612" s="3"/>
      <c r="C13612" s="3"/>
      <c r="D13612" s="3"/>
      <c r="E13612" s="3">
        <v>9</v>
      </c>
      <c r="F13612" s="4" t="str">
        <f>HYPERLINK("http://141.218.60.56/~jnz1568/getInfo.php?workbook=10_05.xlsx&amp;sheet=U0&amp;row=13612&amp;col=6&amp;number=3.8&amp;sourceID=14","3.8")</f>
        <v>3.8</v>
      </c>
      <c r="G13612" s="4" t="str">
        <f>HYPERLINK("http://141.218.60.56/~jnz1568/getInfo.php?workbook=10_05.xlsx&amp;sheet=U0&amp;row=13612&amp;col=7&amp;number=0.003&amp;sourceID=14","0.003")</f>
        <v>0.003</v>
      </c>
    </row>
    <row r="13613" spans="1:7">
      <c r="A13613" s="3"/>
      <c r="B13613" s="3"/>
      <c r="C13613" s="3"/>
      <c r="D13613" s="3"/>
      <c r="E13613" s="3">
        <v>10</v>
      </c>
      <c r="F13613" s="4" t="str">
        <f>HYPERLINK("http://141.218.60.56/~jnz1568/getInfo.php?workbook=10_05.xlsx&amp;sheet=U0&amp;row=13613&amp;col=6&amp;number=3.9&amp;sourceID=14","3.9")</f>
        <v>3.9</v>
      </c>
      <c r="G13613" s="4" t="str">
        <f>HYPERLINK("http://141.218.60.56/~jnz1568/getInfo.php?workbook=10_05.xlsx&amp;sheet=U0&amp;row=13613&amp;col=7&amp;number=0.00297&amp;sourceID=14","0.00297")</f>
        <v>0.00297</v>
      </c>
    </row>
    <row r="13614" spans="1:7">
      <c r="A13614" s="3"/>
      <c r="B13614" s="3"/>
      <c r="C13614" s="3"/>
      <c r="D13614" s="3"/>
      <c r="E13614" s="3">
        <v>11</v>
      </c>
      <c r="F13614" s="4" t="str">
        <f>HYPERLINK("http://141.218.60.56/~jnz1568/getInfo.php?workbook=10_05.xlsx&amp;sheet=U0&amp;row=13614&amp;col=6&amp;number=4&amp;sourceID=14","4")</f>
        <v>4</v>
      </c>
      <c r="G13614" s="4" t="str">
        <f>HYPERLINK("http://141.218.60.56/~jnz1568/getInfo.php?workbook=10_05.xlsx&amp;sheet=U0&amp;row=13614&amp;col=7&amp;number=0.00294&amp;sourceID=14","0.00294")</f>
        <v>0.00294</v>
      </c>
    </row>
    <row r="13615" spans="1:7">
      <c r="A13615" s="3"/>
      <c r="B13615" s="3"/>
      <c r="C13615" s="3"/>
      <c r="D13615" s="3"/>
      <c r="E13615" s="3">
        <v>12</v>
      </c>
      <c r="F13615" s="4" t="str">
        <f>HYPERLINK("http://141.218.60.56/~jnz1568/getInfo.php?workbook=10_05.xlsx&amp;sheet=U0&amp;row=13615&amp;col=6&amp;number=4.1&amp;sourceID=14","4.1")</f>
        <v>4.1</v>
      </c>
      <c r="G13615" s="4" t="str">
        <f>HYPERLINK("http://141.218.60.56/~jnz1568/getInfo.php?workbook=10_05.xlsx&amp;sheet=U0&amp;row=13615&amp;col=7&amp;number=0.00291&amp;sourceID=14","0.00291")</f>
        <v>0.00291</v>
      </c>
    </row>
    <row r="13616" spans="1:7">
      <c r="A13616" s="3"/>
      <c r="B13616" s="3"/>
      <c r="C13616" s="3"/>
      <c r="D13616" s="3"/>
      <c r="E13616" s="3">
        <v>13</v>
      </c>
      <c r="F13616" s="4" t="str">
        <f>HYPERLINK("http://141.218.60.56/~jnz1568/getInfo.php?workbook=10_05.xlsx&amp;sheet=U0&amp;row=13616&amp;col=6&amp;number=4.2&amp;sourceID=14","4.2")</f>
        <v>4.2</v>
      </c>
      <c r="G13616" s="4" t="str">
        <f>HYPERLINK("http://141.218.60.56/~jnz1568/getInfo.php?workbook=10_05.xlsx&amp;sheet=U0&amp;row=13616&amp;col=7&amp;number=0.00287&amp;sourceID=14","0.00287")</f>
        <v>0.00287</v>
      </c>
    </row>
    <row r="13617" spans="1:7">
      <c r="A13617" s="3"/>
      <c r="B13617" s="3"/>
      <c r="C13617" s="3"/>
      <c r="D13617" s="3"/>
      <c r="E13617" s="3">
        <v>14</v>
      </c>
      <c r="F13617" s="4" t="str">
        <f>HYPERLINK("http://141.218.60.56/~jnz1568/getInfo.php?workbook=10_05.xlsx&amp;sheet=U0&amp;row=13617&amp;col=6&amp;number=4.3&amp;sourceID=14","4.3")</f>
        <v>4.3</v>
      </c>
      <c r="G13617" s="4" t="str">
        <f>HYPERLINK("http://141.218.60.56/~jnz1568/getInfo.php?workbook=10_05.xlsx&amp;sheet=U0&amp;row=13617&amp;col=7&amp;number=0.00283&amp;sourceID=14","0.00283")</f>
        <v>0.00283</v>
      </c>
    </row>
    <row r="13618" spans="1:7">
      <c r="A13618" s="3"/>
      <c r="B13618" s="3"/>
      <c r="C13618" s="3"/>
      <c r="D13618" s="3"/>
      <c r="E13618" s="3">
        <v>15</v>
      </c>
      <c r="F13618" s="4" t="str">
        <f>HYPERLINK("http://141.218.60.56/~jnz1568/getInfo.php?workbook=10_05.xlsx&amp;sheet=U0&amp;row=13618&amp;col=6&amp;number=4.4&amp;sourceID=14","4.4")</f>
        <v>4.4</v>
      </c>
      <c r="G13618" s="4" t="str">
        <f>HYPERLINK("http://141.218.60.56/~jnz1568/getInfo.php?workbook=10_05.xlsx&amp;sheet=U0&amp;row=13618&amp;col=7&amp;number=0.00279&amp;sourceID=14","0.00279")</f>
        <v>0.00279</v>
      </c>
    </row>
    <row r="13619" spans="1:7">
      <c r="A13619" s="3"/>
      <c r="B13619" s="3"/>
      <c r="C13619" s="3"/>
      <c r="D13619" s="3"/>
      <c r="E13619" s="3">
        <v>16</v>
      </c>
      <c r="F13619" s="4" t="str">
        <f>HYPERLINK("http://141.218.60.56/~jnz1568/getInfo.php?workbook=10_05.xlsx&amp;sheet=U0&amp;row=13619&amp;col=6&amp;number=4.5&amp;sourceID=14","4.5")</f>
        <v>4.5</v>
      </c>
      <c r="G13619" s="4" t="str">
        <f>HYPERLINK("http://141.218.60.56/~jnz1568/getInfo.php?workbook=10_05.xlsx&amp;sheet=U0&amp;row=13619&amp;col=7&amp;number=0.00276&amp;sourceID=14","0.00276")</f>
        <v>0.00276</v>
      </c>
    </row>
    <row r="13620" spans="1:7">
      <c r="A13620" s="3"/>
      <c r="B13620" s="3"/>
      <c r="C13620" s="3"/>
      <c r="D13620" s="3"/>
      <c r="E13620" s="3">
        <v>17</v>
      </c>
      <c r="F13620" s="4" t="str">
        <f>HYPERLINK("http://141.218.60.56/~jnz1568/getInfo.php?workbook=10_05.xlsx&amp;sheet=U0&amp;row=13620&amp;col=6&amp;number=4.6&amp;sourceID=14","4.6")</f>
        <v>4.6</v>
      </c>
      <c r="G13620" s="4" t="str">
        <f>HYPERLINK("http://141.218.60.56/~jnz1568/getInfo.php?workbook=10_05.xlsx&amp;sheet=U0&amp;row=13620&amp;col=7&amp;number=0.00274&amp;sourceID=14","0.00274")</f>
        <v>0.00274</v>
      </c>
    </row>
    <row r="13621" spans="1:7">
      <c r="A13621" s="3"/>
      <c r="B13621" s="3"/>
      <c r="C13621" s="3"/>
      <c r="D13621" s="3"/>
      <c r="E13621" s="3">
        <v>18</v>
      </c>
      <c r="F13621" s="4" t="str">
        <f>HYPERLINK("http://141.218.60.56/~jnz1568/getInfo.php?workbook=10_05.xlsx&amp;sheet=U0&amp;row=13621&amp;col=6&amp;number=4.7&amp;sourceID=14","4.7")</f>
        <v>4.7</v>
      </c>
      <c r="G13621" s="4" t="str">
        <f>HYPERLINK("http://141.218.60.56/~jnz1568/getInfo.php?workbook=10_05.xlsx&amp;sheet=U0&amp;row=13621&amp;col=7&amp;number=0.00272&amp;sourceID=14","0.00272")</f>
        <v>0.00272</v>
      </c>
    </row>
    <row r="13622" spans="1:7">
      <c r="A13622" s="3"/>
      <c r="B13622" s="3"/>
      <c r="C13622" s="3"/>
      <c r="D13622" s="3"/>
      <c r="E13622" s="3">
        <v>19</v>
      </c>
      <c r="F13622" s="4" t="str">
        <f>HYPERLINK("http://141.218.60.56/~jnz1568/getInfo.php?workbook=10_05.xlsx&amp;sheet=U0&amp;row=13622&amp;col=6&amp;number=4.8&amp;sourceID=14","4.8")</f>
        <v>4.8</v>
      </c>
      <c r="G13622" s="4" t="str">
        <f>HYPERLINK("http://141.218.60.56/~jnz1568/getInfo.php?workbook=10_05.xlsx&amp;sheet=U0&amp;row=13622&amp;col=7&amp;number=0.00268&amp;sourceID=14","0.00268")</f>
        <v>0.00268</v>
      </c>
    </row>
    <row r="13623" spans="1:7">
      <c r="A13623" s="3"/>
      <c r="B13623" s="3"/>
      <c r="C13623" s="3"/>
      <c r="D13623" s="3"/>
      <c r="E13623" s="3">
        <v>20</v>
      </c>
      <c r="F13623" s="4" t="str">
        <f>HYPERLINK("http://141.218.60.56/~jnz1568/getInfo.php?workbook=10_05.xlsx&amp;sheet=U0&amp;row=13623&amp;col=6&amp;number=4.9&amp;sourceID=14","4.9")</f>
        <v>4.9</v>
      </c>
      <c r="G13623" s="4" t="str">
        <f>HYPERLINK("http://141.218.60.56/~jnz1568/getInfo.php?workbook=10_05.xlsx&amp;sheet=U0&amp;row=13623&amp;col=7&amp;number=0.00264&amp;sourceID=14","0.00264")</f>
        <v>0.00264</v>
      </c>
    </row>
    <row r="13624" spans="1:7">
      <c r="A13624" s="3">
        <v>10</v>
      </c>
      <c r="B13624" s="3">
        <v>5</v>
      </c>
      <c r="C13624" s="3">
        <v>4</v>
      </c>
      <c r="D13624" s="3">
        <v>152</v>
      </c>
      <c r="E13624" s="3">
        <v>1</v>
      </c>
      <c r="F13624" s="4" t="str">
        <f>HYPERLINK("http://141.218.60.56/~jnz1568/getInfo.php?workbook=10_05.xlsx&amp;sheet=U0&amp;row=13624&amp;col=6&amp;number=3&amp;sourceID=14","3")</f>
        <v>3</v>
      </c>
      <c r="G13624" s="4" t="str">
        <f>HYPERLINK("http://141.218.60.56/~jnz1568/getInfo.php?workbook=10_05.xlsx&amp;sheet=U0&amp;row=13624&amp;col=7&amp;number=0.0185&amp;sourceID=14","0.0185")</f>
        <v>0.0185</v>
      </c>
    </row>
    <row r="13625" spans="1:7">
      <c r="A13625" s="3"/>
      <c r="B13625" s="3"/>
      <c r="C13625" s="3"/>
      <c r="D13625" s="3"/>
      <c r="E13625" s="3">
        <v>2</v>
      </c>
      <c r="F13625" s="4" t="str">
        <f>HYPERLINK("http://141.218.60.56/~jnz1568/getInfo.php?workbook=10_05.xlsx&amp;sheet=U0&amp;row=13625&amp;col=6&amp;number=3.1&amp;sourceID=14","3.1")</f>
        <v>3.1</v>
      </c>
      <c r="G13625" s="4" t="str">
        <f>HYPERLINK("http://141.218.60.56/~jnz1568/getInfo.php?workbook=10_05.xlsx&amp;sheet=U0&amp;row=13625&amp;col=7&amp;number=0.0184&amp;sourceID=14","0.0184")</f>
        <v>0.0184</v>
      </c>
    </row>
    <row r="13626" spans="1:7">
      <c r="A13626" s="3"/>
      <c r="B13626" s="3"/>
      <c r="C13626" s="3"/>
      <c r="D13626" s="3"/>
      <c r="E13626" s="3">
        <v>3</v>
      </c>
      <c r="F13626" s="4" t="str">
        <f>HYPERLINK("http://141.218.60.56/~jnz1568/getInfo.php?workbook=10_05.xlsx&amp;sheet=U0&amp;row=13626&amp;col=6&amp;number=3.2&amp;sourceID=14","3.2")</f>
        <v>3.2</v>
      </c>
      <c r="G13626" s="4" t="str">
        <f>HYPERLINK("http://141.218.60.56/~jnz1568/getInfo.php?workbook=10_05.xlsx&amp;sheet=U0&amp;row=13626&amp;col=7&amp;number=0.0184&amp;sourceID=14","0.0184")</f>
        <v>0.0184</v>
      </c>
    </row>
    <row r="13627" spans="1:7">
      <c r="A13627" s="3"/>
      <c r="B13627" s="3"/>
      <c r="C13627" s="3"/>
      <c r="D13627" s="3"/>
      <c r="E13627" s="3">
        <v>4</v>
      </c>
      <c r="F13627" s="4" t="str">
        <f>HYPERLINK("http://141.218.60.56/~jnz1568/getInfo.php?workbook=10_05.xlsx&amp;sheet=U0&amp;row=13627&amp;col=6&amp;number=3.3&amp;sourceID=14","3.3")</f>
        <v>3.3</v>
      </c>
      <c r="G13627" s="4" t="str">
        <f>HYPERLINK("http://141.218.60.56/~jnz1568/getInfo.php?workbook=10_05.xlsx&amp;sheet=U0&amp;row=13627&amp;col=7&amp;number=0.0184&amp;sourceID=14","0.0184")</f>
        <v>0.0184</v>
      </c>
    </row>
    <row r="13628" spans="1:7">
      <c r="A13628" s="3"/>
      <c r="B13628" s="3"/>
      <c r="C13628" s="3"/>
      <c r="D13628" s="3"/>
      <c r="E13628" s="3">
        <v>5</v>
      </c>
      <c r="F13628" s="4" t="str">
        <f>HYPERLINK("http://141.218.60.56/~jnz1568/getInfo.php?workbook=10_05.xlsx&amp;sheet=U0&amp;row=13628&amp;col=6&amp;number=3.4&amp;sourceID=14","3.4")</f>
        <v>3.4</v>
      </c>
      <c r="G13628" s="4" t="str">
        <f>HYPERLINK("http://141.218.60.56/~jnz1568/getInfo.php?workbook=10_05.xlsx&amp;sheet=U0&amp;row=13628&amp;col=7&amp;number=0.0183&amp;sourceID=14","0.0183")</f>
        <v>0.0183</v>
      </c>
    </row>
    <row r="13629" spans="1:7">
      <c r="A13629" s="3"/>
      <c r="B13629" s="3"/>
      <c r="C13629" s="3"/>
      <c r="D13629" s="3"/>
      <c r="E13629" s="3">
        <v>6</v>
      </c>
      <c r="F13629" s="4" t="str">
        <f>HYPERLINK("http://141.218.60.56/~jnz1568/getInfo.php?workbook=10_05.xlsx&amp;sheet=U0&amp;row=13629&amp;col=6&amp;number=3.5&amp;sourceID=14","3.5")</f>
        <v>3.5</v>
      </c>
      <c r="G13629" s="4" t="str">
        <f>HYPERLINK("http://141.218.60.56/~jnz1568/getInfo.php?workbook=10_05.xlsx&amp;sheet=U0&amp;row=13629&amp;col=7&amp;number=0.0183&amp;sourceID=14","0.0183")</f>
        <v>0.0183</v>
      </c>
    </row>
    <row r="13630" spans="1:7">
      <c r="A13630" s="3"/>
      <c r="B13630" s="3"/>
      <c r="C13630" s="3"/>
      <c r="D13630" s="3"/>
      <c r="E13630" s="3">
        <v>7</v>
      </c>
      <c r="F13630" s="4" t="str">
        <f>HYPERLINK("http://141.218.60.56/~jnz1568/getInfo.php?workbook=10_05.xlsx&amp;sheet=U0&amp;row=13630&amp;col=6&amp;number=3.6&amp;sourceID=14","3.6")</f>
        <v>3.6</v>
      </c>
      <c r="G13630" s="4" t="str">
        <f>HYPERLINK("http://141.218.60.56/~jnz1568/getInfo.php?workbook=10_05.xlsx&amp;sheet=U0&amp;row=13630&amp;col=7&amp;number=0.0182&amp;sourceID=14","0.0182")</f>
        <v>0.0182</v>
      </c>
    </row>
    <row r="13631" spans="1:7">
      <c r="A13631" s="3"/>
      <c r="B13631" s="3"/>
      <c r="C13631" s="3"/>
      <c r="D13631" s="3"/>
      <c r="E13631" s="3">
        <v>8</v>
      </c>
      <c r="F13631" s="4" t="str">
        <f>HYPERLINK("http://141.218.60.56/~jnz1568/getInfo.php?workbook=10_05.xlsx&amp;sheet=U0&amp;row=13631&amp;col=6&amp;number=3.7&amp;sourceID=14","3.7")</f>
        <v>3.7</v>
      </c>
      <c r="G13631" s="4" t="str">
        <f>HYPERLINK("http://141.218.60.56/~jnz1568/getInfo.php?workbook=10_05.xlsx&amp;sheet=U0&amp;row=13631&amp;col=7&amp;number=0.0181&amp;sourceID=14","0.0181")</f>
        <v>0.0181</v>
      </c>
    </row>
    <row r="13632" spans="1:7">
      <c r="A13632" s="3"/>
      <c r="B13632" s="3"/>
      <c r="C13632" s="3"/>
      <c r="D13632" s="3"/>
      <c r="E13632" s="3">
        <v>9</v>
      </c>
      <c r="F13632" s="4" t="str">
        <f>HYPERLINK("http://141.218.60.56/~jnz1568/getInfo.php?workbook=10_05.xlsx&amp;sheet=U0&amp;row=13632&amp;col=6&amp;number=3.8&amp;sourceID=14","3.8")</f>
        <v>3.8</v>
      </c>
      <c r="G13632" s="4" t="str">
        <f>HYPERLINK("http://141.218.60.56/~jnz1568/getInfo.php?workbook=10_05.xlsx&amp;sheet=U0&amp;row=13632&amp;col=7&amp;number=0.018&amp;sourceID=14","0.018")</f>
        <v>0.018</v>
      </c>
    </row>
    <row r="13633" spans="1:7">
      <c r="A13633" s="3"/>
      <c r="B13633" s="3"/>
      <c r="C13633" s="3"/>
      <c r="D13633" s="3"/>
      <c r="E13633" s="3">
        <v>10</v>
      </c>
      <c r="F13633" s="4" t="str">
        <f>HYPERLINK("http://141.218.60.56/~jnz1568/getInfo.php?workbook=10_05.xlsx&amp;sheet=U0&amp;row=13633&amp;col=6&amp;number=3.9&amp;sourceID=14","3.9")</f>
        <v>3.9</v>
      </c>
      <c r="G13633" s="4" t="str">
        <f>HYPERLINK("http://141.218.60.56/~jnz1568/getInfo.php?workbook=10_05.xlsx&amp;sheet=U0&amp;row=13633&amp;col=7&amp;number=0.0179&amp;sourceID=14","0.0179")</f>
        <v>0.0179</v>
      </c>
    </row>
    <row r="13634" spans="1:7">
      <c r="A13634" s="3"/>
      <c r="B13634" s="3"/>
      <c r="C13634" s="3"/>
      <c r="D13634" s="3"/>
      <c r="E13634" s="3">
        <v>11</v>
      </c>
      <c r="F13634" s="4" t="str">
        <f>HYPERLINK("http://141.218.60.56/~jnz1568/getInfo.php?workbook=10_05.xlsx&amp;sheet=U0&amp;row=13634&amp;col=6&amp;number=4&amp;sourceID=14","4")</f>
        <v>4</v>
      </c>
      <c r="G13634" s="4" t="str">
        <f>HYPERLINK("http://141.218.60.56/~jnz1568/getInfo.php?workbook=10_05.xlsx&amp;sheet=U0&amp;row=13634&amp;col=7&amp;number=0.0177&amp;sourceID=14","0.0177")</f>
        <v>0.0177</v>
      </c>
    </row>
    <row r="13635" spans="1:7">
      <c r="A13635" s="3"/>
      <c r="B13635" s="3"/>
      <c r="C13635" s="3"/>
      <c r="D13635" s="3"/>
      <c r="E13635" s="3">
        <v>12</v>
      </c>
      <c r="F13635" s="4" t="str">
        <f>HYPERLINK("http://141.218.60.56/~jnz1568/getInfo.php?workbook=10_05.xlsx&amp;sheet=U0&amp;row=13635&amp;col=6&amp;number=4.1&amp;sourceID=14","4.1")</f>
        <v>4.1</v>
      </c>
      <c r="G13635" s="4" t="str">
        <f>HYPERLINK("http://141.218.60.56/~jnz1568/getInfo.php?workbook=10_05.xlsx&amp;sheet=U0&amp;row=13635&amp;col=7&amp;number=0.0176&amp;sourceID=14","0.0176")</f>
        <v>0.0176</v>
      </c>
    </row>
    <row r="13636" spans="1:7">
      <c r="A13636" s="3"/>
      <c r="B13636" s="3"/>
      <c r="C13636" s="3"/>
      <c r="D13636" s="3"/>
      <c r="E13636" s="3">
        <v>13</v>
      </c>
      <c r="F13636" s="4" t="str">
        <f>HYPERLINK("http://141.218.60.56/~jnz1568/getInfo.php?workbook=10_05.xlsx&amp;sheet=U0&amp;row=13636&amp;col=6&amp;number=4.2&amp;sourceID=14","4.2")</f>
        <v>4.2</v>
      </c>
      <c r="G13636" s="4" t="str">
        <f>HYPERLINK("http://141.218.60.56/~jnz1568/getInfo.php?workbook=10_05.xlsx&amp;sheet=U0&amp;row=13636&amp;col=7&amp;number=0.0174&amp;sourceID=14","0.0174")</f>
        <v>0.0174</v>
      </c>
    </row>
    <row r="13637" spans="1:7">
      <c r="A13637" s="3"/>
      <c r="B13637" s="3"/>
      <c r="C13637" s="3"/>
      <c r="D13637" s="3"/>
      <c r="E13637" s="3">
        <v>14</v>
      </c>
      <c r="F13637" s="4" t="str">
        <f>HYPERLINK("http://141.218.60.56/~jnz1568/getInfo.php?workbook=10_05.xlsx&amp;sheet=U0&amp;row=13637&amp;col=6&amp;number=4.3&amp;sourceID=14","4.3")</f>
        <v>4.3</v>
      </c>
      <c r="G13637" s="4" t="str">
        <f>HYPERLINK("http://141.218.60.56/~jnz1568/getInfo.php?workbook=10_05.xlsx&amp;sheet=U0&amp;row=13637&amp;col=7&amp;number=0.0172&amp;sourceID=14","0.0172")</f>
        <v>0.0172</v>
      </c>
    </row>
    <row r="13638" spans="1:7">
      <c r="A13638" s="3"/>
      <c r="B13638" s="3"/>
      <c r="C13638" s="3"/>
      <c r="D13638" s="3"/>
      <c r="E13638" s="3">
        <v>15</v>
      </c>
      <c r="F13638" s="4" t="str">
        <f>HYPERLINK("http://141.218.60.56/~jnz1568/getInfo.php?workbook=10_05.xlsx&amp;sheet=U0&amp;row=13638&amp;col=6&amp;number=4.4&amp;sourceID=14","4.4")</f>
        <v>4.4</v>
      </c>
      <c r="G13638" s="4" t="str">
        <f>HYPERLINK("http://141.218.60.56/~jnz1568/getInfo.php?workbook=10_05.xlsx&amp;sheet=U0&amp;row=13638&amp;col=7&amp;number=0.017&amp;sourceID=14","0.017")</f>
        <v>0.017</v>
      </c>
    </row>
    <row r="13639" spans="1:7">
      <c r="A13639" s="3"/>
      <c r="B13639" s="3"/>
      <c r="C13639" s="3"/>
      <c r="D13639" s="3"/>
      <c r="E13639" s="3">
        <v>16</v>
      </c>
      <c r="F13639" s="4" t="str">
        <f>HYPERLINK("http://141.218.60.56/~jnz1568/getInfo.php?workbook=10_05.xlsx&amp;sheet=U0&amp;row=13639&amp;col=6&amp;number=4.5&amp;sourceID=14","4.5")</f>
        <v>4.5</v>
      </c>
      <c r="G13639" s="4" t="str">
        <f>HYPERLINK("http://141.218.60.56/~jnz1568/getInfo.php?workbook=10_05.xlsx&amp;sheet=U0&amp;row=13639&amp;col=7&amp;number=0.0168&amp;sourceID=14","0.0168")</f>
        <v>0.0168</v>
      </c>
    </row>
    <row r="13640" spans="1:7">
      <c r="A13640" s="3"/>
      <c r="B13640" s="3"/>
      <c r="C13640" s="3"/>
      <c r="D13640" s="3"/>
      <c r="E13640" s="3">
        <v>17</v>
      </c>
      <c r="F13640" s="4" t="str">
        <f>HYPERLINK("http://141.218.60.56/~jnz1568/getInfo.php?workbook=10_05.xlsx&amp;sheet=U0&amp;row=13640&amp;col=6&amp;number=4.6&amp;sourceID=14","4.6")</f>
        <v>4.6</v>
      </c>
      <c r="G13640" s="4" t="str">
        <f>HYPERLINK("http://141.218.60.56/~jnz1568/getInfo.php?workbook=10_05.xlsx&amp;sheet=U0&amp;row=13640&amp;col=7&amp;number=0.0166&amp;sourceID=14","0.0166")</f>
        <v>0.0166</v>
      </c>
    </row>
    <row r="13641" spans="1:7">
      <c r="A13641" s="3"/>
      <c r="B13641" s="3"/>
      <c r="C13641" s="3"/>
      <c r="D13641" s="3"/>
      <c r="E13641" s="3">
        <v>18</v>
      </c>
      <c r="F13641" s="4" t="str">
        <f>HYPERLINK("http://141.218.60.56/~jnz1568/getInfo.php?workbook=10_05.xlsx&amp;sheet=U0&amp;row=13641&amp;col=6&amp;number=4.7&amp;sourceID=14","4.7")</f>
        <v>4.7</v>
      </c>
      <c r="G13641" s="4" t="str">
        <f>HYPERLINK("http://141.218.60.56/~jnz1568/getInfo.php?workbook=10_05.xlsx&amp;sheet=U0&amp;row=13641&amp;col=7&amp;number=0.0165&amp;sourceID=14","0.0165")</f>
        <v>0.0165</v>
      </c>
    </row>
    <row r="13642" spans="1:7">
      <c r="A13642" s="3"/>
      <c r="B13642" s="3"/>
      <c r="C13642" s="3"/>
      <c r="D13642" s="3"/>
      <c r="E13642" s="3">
        <v>19</v>
      </c>
      <c r="F13642" s="4" t="str">
        <f>HYPERLINK("http://141.218.60.56/~jnz1568/getInfo.php?workbook=10_05.xlsx&amp;sheet=U0&amp;row=13642&amp;col=6&amp;number=4.8&amp;sourceID=14","4.8")</f>
        <v>4.8</v>
      </c>
      <c r="G13642" s="4" t="str">
        <f>HYPERLINK("http://141.218.60.56/~jnz1568/getInfo.php?workbook=10_05.xlsx&amp;sheet=U0&amp;row=13642&amp;col=7&amp;number=0.0164&amp;sourceID=14","0.0164")</f>
        <v>0.0164</v>
      </c>
    </row>
    <row r="13643" spans="1:7">
      <c r="A13643" s="3"/>
      <c r="B13643" s="3"/>
      <c r="C13643" s="3"/>
      <c r="D13643" s="3"/>
      <c r="E13643" s="3">
        <v>20</v>
      </c>
      <c r="F13643" s="4" t="str">
        <f>HYPERLINK("http://141.218.60.56/~jnz1568/getInfo.php?workbook=10_05.xlsx&amp;sheet=U0&amp;row=13643&amp;col=6&amp;number=4.9&amp;sourceID=14","4.9")</f>
        <v>4.9</v>
      </c>
      <c r="G13643" s="4" t="str">
        <f>HYPERLINK("http://141.218.60.56/~jnz1568/getInfo.php?workbook=10_05.xlsx&amp;sheet=U0&amp;row=13643&amp;col=7&amp;number=0.0161&amp;sourceID=14","0.0161")</f>
        <v>0.0161</v>
      </c>
    </row>
    <row r="13644" spans="1:7">
      <c r="A13644" s="3">
        <v>10</v>
      </c>
      <c r="B13644" s="3">
        <v>5</v>
      </c>
      <c r="C13644" s="3">
        <v>4</v>
      </c>
      <c r="D13644" s="3">
        <v>153</v>
      </c>
      <c r="E13644" s="3">
        <v>1</v>
      </c>
      <c r="F13644" s="4" t="str">
        <f>HYPERLINK("http://141.218.60.56/~jnz1568/getInfo.php?workbook=10_05.xlsx&amp;sheet=U0&amp;row=13644&amp;col=6&amp;number=3&amp;sourceID=14","3")</f>
        <v>3</v>
      </c>
      <c r="G13644" s="4" t="str">
        <f>HYPERLINK("http://141.218.60.56/~jnz1568/getInfo.php?workbook=10_05.xlsx&amp;sheet=U0&amp;row=13644&amp;col=7&amp;number=0.0177&amp;sourceID=14","0.0177")</f>
        <v>0.0177</v>
      </c>
    </row>
    <row r="13645" spans="1:7">
      <c r="A13645" s="3"/>
      <c r="B13645" s="3"/>
      <c r="C13645" s="3"/>
      <c r="D13645" s="3"/>
      <c r="E13645" s="3">
        <v>2</v>
      </c>
      <c r="F13645" s="4" t="str">
        <f>HYPERLINK("http://141.218.60.56/~jnz1568/getInfo.php?workbook=10_05.xlsx&amp;sheet=U0&amp;row=13645&amp;col=6&amp;number=3.1&amp;sourceID=14","3.1")</f>
        <v>3.1</v>
      </c>
      <c r="G13645" s="4" t="str">
        <f>HYPERLINK("http://141.218.60.56/~jnz1568/getInfo.php?workbook=10_05.xlsx&amp;sheet=U0&amp;row=13645&amp;col=7&amp;number=0.0177&amp;sourceID=14","0.0177")</f>
        <v>0.0177</v>
      </c>
    </row>
    <row r="13646" spans="1:7">
      <c r="A13646" s="3"/>
      <c r="B13646" s="3"/>
      <c r="C13646" s="3"/>
      <c r="D13646" s="3"/>
      <c r="E13646" s="3">
        <v>3</v>
      </c>
      <c r="F13646" s="4" t="str">
        <f>HYPERLINK("http://141.218.60.56/~jnz1568/getInfo.php?workbook=10_05.xlsx&amp;sheet=U0&amp;row=13646&amp;col=6&amp;number=3.2&amp;sourceID=14","3.2")</f>
        <v>3.2</v>
      </c>
      <c r="G13646" s="4" t="str">
        <f>HYPERLINK("http://141.218.60.56/~jnz1568/getInfo.php?workbook=10_05.xlsx&amp;sheet=U0&amp;row=13646&amp;col=7&amp;number=0.0177&amp;sourceID=14","0.0177")</f>
        <v>0.0177</v>
      </c>
    </row>
    <row r="13647" spans="1:7">
      <c r="A13647" s="3"/>
      <c r="B13647" s="3"/>
      <c r="C13647" s="3"/>
      <c r="D13647" s="3"/>
      <c r="E13647" s="3">
        <v>4</v>
      </c>
      <c r="F13647" s="4" t="str">
        <f>HYPERLINK("http://141.218.60.56/~jnz1568/getInfo.php?workbook=10_05.xlsx&amp;sheet=U0&amp;row=13647&amp;col=6&amp;number=3.3&amp;sourceID=14","3.3")</f>
        <v>3.3</v>
      </c>
      <c r="G13647" s="4" t="str">
        <f>HYPERLINK("http://141.218.60.56/~jnz1568/getInfo.php?workbook=10_05.xlsx&amp;sheet=U0&amp;row=13647&amp;col=7&amp;number=0.0177&amp;sourceID=14","0.0177")</f>
        <v>0.0177</v>
      </c>
    </row>
    <row r="13648" spans="1:7">
      <c r="A13648" s="3"/>
      <c r="B13648" s="3"/>
      <c r="C13648" s="3"/>
      <c r="D13648" s="3"/>
      <c r="E13648" s="3">
        <v>5</v>
      </c>
      <c r="F13648" s="4" t="str">
        <f>HYPERLINK("http://141.218.60.56/~jnz1568/getInfo.php?workbook=10_05.xlsx&amp;sheet=U0&amp;row=13648&amp;col=6&amp;number=3.4&amp;sourceID=14","3.4")</f>
        <v>3.4</v>
      </c>
      <c r="G13648" s="4" t="str">
        <f>HYPERLINK("http://141.218.60.56/~jnz1568/getInfo.php?workbook=10_05.xlsx&amp;sheet=U0&amp;row=13648&amp;col=7&amp;number=0.0176&amp;sourceID=14","0.0176")</f>
        <v>0.0176</v>
      </c>
    </row>
    <row r="13649" spans="1:7">
      <c r="A13649" s="3"/>
      <c r="B13649" s="3"/>
      <c r="C13649" s="3"/>
      <c r="D13649" s="3"/>
      <c r="E13649" s="3">
        <v>6</v>
      </c>
      <c r="F13649" s="4" t="str">
        <f>HYPERLINK("http://141.218.60.56/~jnz1568/getInfo.php?workbook=10_05.xlsx&amp;sheet=U0&amp;row=13649&amp;col=6&amp;number=3.5&amp;sourceID=14","3.5")</f>
        <v>3.5</v>
      </c>
      <c r="G13649" s="4" t="str">
        <f>HYPERLINK("http://141.218.60.56/~jnz1568/getInfo.php?workbook=10_05.xlsx&amp;sheet=U0&amp;row=13649&amp;col=7&amp;number=0.0176&amp;sourceID=14","0.0176")</f>
        <v>0.0176</v>
      </c>
    </row>
    <row r="13650" spans="1:7">
      <c r="A13650" s="3"/>
      <c r="B13650" s="3"/>
      <c r="C13650" s="3"/>
      <c r="D13650" s="3"/>
      <c r="E13650" s="3">
        <v>7</v>
      </c>
      <c r="F13650" s="4" t="str">
        <f>HYPERLINK("http://141.218.60.56/~jnz1568/getInfo.php?workbook=10_05.xlsx&amp;sheet=U0&amp;row=13650&amp;col=6&amp;number=3.6&amp;sourceID=14","3.6")</f>
        <v>3.6</v>
      </c>
      <c r="G13650" s="4" t="str">
        <f>HYPERLINK("http://141.218.60.56/~jnz1568/getInfo.php?workbook=10_05.xlsx&amp;sheet=U0&amp;row=13650&amp;col=7&amp;number=0.0176&amp;sourceID=14","0.0176")</f>
        <v>0.0176</v>
      </c>
    </row>
    <row r="13651" spans="1:7">
      <c r="A13651" s="3"/>
      <c r="B13651" s="3"/>
      <c r="C13651" s="3"/>
      <c r="D13651" s="3"/>
      <c r="E13651" s="3">
        <v>8</v>
      </c>
      <c r="F13651" s="4" t="str">
        <f>HYPERLINK("http://141.218.60.56/~jnz1568/getInfo.php?workbook=10_05.xlsx&amp;sheet=U0&amp;row=13651&amp;col=6&amp;number=3.7&amp;sourceID=14","3.7")</f>
        <v>3.7</v>
      </c>
      <c r="G13651" s="4" t="str">
        <f>HYPERLINK("http://141.218.60.56/~jnz1568/getInfo.php?workbook=10_05.xlsx&amp;sheet=U0&amp;row=13651&amp;col=7&amp;number=0.0176&amp;sourceID=14","0.0176")</f>
        <v>0.0176</v>
      </c>
    </row>
    <row r="13652" spans="1:7">
      <c r="A13652" s="3"/>
      <c r="B13652" s="3"/>
      <c r="C13652" s="3"/>
      <c r="D13652" s="3"/>
      <c r="E13652" s="3">
        <v>9</v>
      </c>
      <c r="F13652" s="4" t="str">
        <f>HYPERLINK("http://141.218.60.56/~jnz1568/getInfo.php?workbook=10_05.xlsx&amp;sheet=U0&amp;row=13652&amp;col=6&amp;number=3.8&amp;sourceID=14","3.8")</f>
        <v>3.8</v>
      </c>
      <c r="G13652" s="4" t="str">
        <f>HYPERLINK("http://141.218.60.56/~jnz1568/getInfo.php?workbook=10_05.xlsx&amp;sheet=U0&amp;row=13652&amp;col=7&amp;number=0.0175&amp;sourceID=14","0.0175")</f>
        <v>0.0175</v>
      </c>
    </row>
    <row r="13653" spans="1:7">
      <c r="A13653" s="3"/>
      <c r="B13653" s="3"/>
      <c r="C13653" s="3"/>
      <c r="D13653" s="3"/>
      <c r="E13653" s="3">
        <v>10</v>
      </c>
      <c r="F13653" s="4" t="str">
        <f>HYPERLINK("http://141.218.60.56/~jnz1568/getInfo.php?workbook=10_05.xlsx&amp;sheet=U0&amp;row=13653&amp;col=6&amp;number=3.9&amp;sourceID=14","3.9")</f>
        <v>3.9</v>
      </c>
      <c r="G13653" s="4" t="str">
        <f>HYPERLINK("http://141.218.60.56/~jnz1568/getInfo.php?workbook=10_05.xlsx&amp;sheet=U0&amp;row=13653&amp;col=7&amp;number=0.0175&amp;sourceID=14","0.0175")</f>
        <v>0.0175</v>
      </c>
    </row>
    <row r="13654" spans="1:7">
      <c r="A13654" s="3"/>
      <c r="B13654" s="3"/>
      <c r="C13654" s="3"/>
      <c r="D13654" s="3"/>
      <c r="E13654" s="3">
        <v>11</v>
      </c>
      <c r="F13654" s="4" t="str">
        <f>HYPERLINK("http://141.218.60.56/~jnz1568/getInfo.php?workbook=10_05.xlsx&amp;sheet=U0&amp;row=13654&amp;col=6&amp;number=4&amp;sourceID=14","4")</f>
        <v>4</v>
      </c>
      <c r="G13654" s="4" t="str">
        <f>HYPERLINK("http://141.218.60.56/~jnz1568/getInfo.php?workbook=10_05.xlsx&amp;sheet=U0&amp;row=13654&amp;col=7&amp;number=0.0174&amp;sourceID=14","0.0174")</f>
        <v>0.0174</v>
      </c>
    </row>
    <row r="13655" spans="1:7">
      <c r="A13655" s="3"/>
      <c r="B13655" s="3"/>
      <c r="C13655" s="3"/>
      <c r="D13655" s="3"/>
      <c r="E13655" s="3">
        <v>12</v>
      </c>
      <c r="F13655" s="4" t="str">
        <f>HYPERLINK("http://141.218.60.56/~jnz1568/getInfo.php?workbook=10_05.xlsx&amp;sheet=U0&amp;row=13655&amp;col=6&amp;number=4.1&amp;sourceID=14","4.1")</f>
        <v>4.1</v>
      </c>
      <c r="G13655" s="4" t="str">
        <f>HYPERLINK("http://141.218.60.56/~jnz1568/getInfo.php?workbook=10_05.xlsx&amp;sheet=U0&amp;row=13655&amp;col=7&amp;number=0.0173&amp;sourceID=14","0.0173")</f>
        <v>0.0173</v>
      </c>
    </row>
    <row r="13656" spans="1:7">
      <c r="A13656" s="3"/>
      <c r="B13656" s="3"/>
      <c r="C13656" s="3"/>
      <c r="D13656" s="3"/>
      <c r="E13656" s="3">
        <v>13</v>
      </c>
      <c r="F13656" s="4" t="str">
        <f>HYPERLINK("http://141.218.60.56/~jnz1568/getInfo.php?workbook=10_05.xlsx&amp;sheet=U0&amp;row=13656&amp;col=6&amp;number=4.2&amp;sourceID=14","4.2")</f>
        <v>4.2</v>
      </c>
      <c r="G13656" s="4" t="str">
        <f>HYPERLINK("http://141.218.60.56/~jnz1568/getInfo.php?workbook=10_05.xlsx&amp;sheet=U0&amp;row=13656&amp;col=7&amp;number=0.0172&amp;sourceID=14","0.0172")</f>
        <v>0.0172</v>
      </c>
    </row>
    <row r="13657" spans="1:7">
      <c r="A13657" s="3"/>
      <c r="B13657" s="3"/>
      <c r="C13657" s="3"/>
      <c r="D13657" s="3"/>
      <c r="E13657" s="3">
        <v>14</v>
      </c>
      <c r="F13657" s="4" t="str">
        <f>HYPERLINK("http://141.218.60.56/~jnz1568/getInfo.php?workbook=10_05.xlsx&amp;sheet=U0&amp;row=13657&amp;col=6&amp;number=4.3&amp;sourceID=14","4.3")</f>
        <v>4.3</v>
      </c>
      <c r="G13657" s="4" t="str">
        <f>HYPERLINK("http://141.218.60.56/~jnz1568/getInfo.php?workbook=10_05.xlsx&amp;sheet=U0&amp;row=13657&amp;col=7&amp;number=0.0171&amp;sourceID=14","0.0171")</f>
        <v>0.0171</v>
      </c>
    </row>
    <row r="13658" spans="1:7">
      <c r="A13658" s="3"/>
      <c r="B13658" s="3"/>
      <c r="C13658" s="3"/>
      <c r="D13658" s="3"/>
      <c r="E13658" s="3">
        <v>15</v>
      </c>
      <c r="F13658" s="4" t="str">
        <f>HYPERLINK("http://141.218.60.56/~jnz1568/getInfo.php?workbook=10_05.xlsx&amp;sheet=U0&amp;row=13658&amp;col=6&amp;number=4.4&amp;sourceID=14","4.4")</f>
        <v>4.4</v>
      </c>
      <c r="G13658" s="4" t="str">
        <f>HYPERLINK("http://141.218.60.56/~jnz1568/getInfo.php?workbook=10_05.xlsx&amp;sheet=U0&amp;row=13658&amp;col=7&amp;number=0.017&amp;sourceID=14","0.017")</f>
        <v>0.017</v>
      </c>
    </row>
    <row r="13659" spans="1:7">
      <c r="A13659" s="3"/>
      <c r="B13659" s="3"/>
      <c r="C13659" s="3"/>
      <c r="D13659" s="3"/>
      <c r="E13659" s="3">
        <v>16</v>
      </c>
      <c r="F13659" s="4" t="str">
        <f>HYPERLINK("http://141.218.60.56/~jnz1568/getInfo.php?workbook=10_05.xlsx&amp;sheet=U0&amp;row=13659&amp;col=6&amp;number=4.5&amp;sourceID=14","4.5")</f>
        <v>4.5</v>
      </c>
      <c r="G13659" s="4" t="str">
        <f>HYPERLINK("http://141.218.60.56/~jnz1568/getInfo.php?workbook=10_05.xlsx&amp;sheet=U0&amp;row=13659&amp;col=7&amp;number=0.0169&amp;sourceID=14","0.0169")</f>
        <v>0.0169</v>
      </c>
    </row>
    <row r="13660" spans="1:7">
      <c r="A13660" s="3"/>
      <c r="B13660" s="3"/>
      <c r="C13660" s="3"/>
      <c r="D13660" s="3"/>
      <c r="E13660" s="3">
        <v>17</v>
      </c>
      <c r="F13660" s="4" t="str">
        <f>HYPERLINK("http://141.218.60.56/~jnz1568/getInfo.php?workbook=10_05.xlsx&amp;sheet=U0&amp;row=13660&amp;col=6&amp;number=4.6&amp;sourceID=14","4.6")</f>
        <v>4.6</v>
      </c>
      <c r="G13660" s="4" t="str">
        <f>HYPERLINK("http://141.218.60.56/~jnz1568/getInfo.php?workbook=10_05.xlsx&amp;sheet=U0&amp;row=13660&amp;col=7&amp;number=0.0167&amp;sourceID=14","0.0167")</f>
        <v>0.0167</v>
      </c>
    </row>
    <row r="13661" spans="1:7">
      <c r="A13661" s="3"/>
      <c r="B13661" s="3"/>
      <c r="C13661" s="3"/>
      <c r="D13661" s="3"/>
      <c r="E13661" s="3">
        <v>18</v>
      </c>
      <c r="F13661" s="4" t="str">
        <f>HYPERLINK("http://141.218.60.56/~jnz1568/getInfo.php?workbook=10_05.xlsx&amp;sheet=U0&amp;row=13661&amp;col=6&amp;number=4.7&amp;sourceID=14","4.7")</f>
        <v>4.7</v>
      </c>
      <c r="G13661" s="4" t="str">
        <f>HYPERLINK("http://141.218.60.56/~jnz1568/getInfo.php?workbook=10_05.xlsx&amp;sheet=U0&amp;row=13661&amp;col=7&amp;number=0.0166&amp;sourceID=14","0.0166")</f>
        <v>0.0166</v>
      </c>
    </row>
    <row r="13662" spans="1:7">
      <c r="A13662" s="3"/>
      <c r="B13662" s="3"/>
      <c r="C13662" s="3"/>
      <c r="D13662" s="3"/>
      <c r="E13662" s="3">
        <v>19</v>
      </c>
      <c r="F13662" s="4" t="str">
        <f>HYPERLINK("http://141.218.60.56/~jnz1568/getInfo.php?workbook=10_05.xlsx&amp;sheet=U0&amp;row=13662&amp;col=6&amp;number=4.8&amp;sourceID=14","4.8")</f>
        <v>4.8</v>
      </c>
      <c r="G13662" s="4" t="str">
        <f>HYPERLINK("http://141.218.60.56/~jnz1568/getInfo.php?workbook=10_05.xlsx&amp;sheet=U0&amp;row=13662&amp;col=7&amp;number=0.0165&amp;sourceID=14","0.0165")</f>
        <v>0.0165</v>
      </c>
    </row>
    <row r="13663" spans="1:7">
      <c r="A13663" s="3"/>
      <c r="B13663" s="3"/>
      <c r="C13663" s="3"/>
      <c r="D13663" s="3"/>
      <c r="E13663" s="3">
        <v>20</v>
      </c>
      <c r="F13663" s="4" t="str">
        <f>HYPERLINK("http://141.218.60.56/~jnz1568/getInfo.php?workbook=10_05.xlsx&amp;sheet=U0&amp;row=13663&amp;col=6&amp;number=4.9&amp;sourceID=14","4.9")</f>
        <v>4.9</v>
      </c>
      <c r="G13663" s="4" t="str">
        <f>HYPERLINK("http://141.218.60.56/~jnz1568/getInfo.php?workbook=10_05.xlsx&amp;sheet=U0&amp;row=13663&amp;col=7&amp;number=0.0163&amp;sourceID=14","0.0163")</f>
        <v>0.0163</v>
      </c>
    </row>
    <row r="13664" spans="1:7">
      <c r="A13664" s="3">
        <v>10</v>
      </c>
      <c r="B13664" s="3">
        <v>5</v>
      </c>
      <c r="C13664" s="3">
        <v>4</v>
      </c>
      <c r="D13664" s="3">
        <v>154</v>
      </c>
      <c r="E13664" s="3">
        <v>1</v>
      </c>
      <c r="F13664" s="4" t="str">
        <f>HYPERLINK("http://141.218.60.56/~jnz1568/getInfo.php?workbook=10_05.xlsx&amp;sheet=U0&amp;row=13664&amp;col=6&amp;number=3&amp;sourceID=14","3")</f>
        <v>3</v>
      </c>
      <c r="G13664" s="4" t="str">
        <f>HYPERLINK("http://141.218.60.56/~jnz1568/getInfo.php?workbook=10_05.xlsx&amp;sheet=U0&amp;row=13664&amp;col=7&amp;number=0.00257&amp;sourceID=14","0.00257")</f>
        <v>0.00257</v>
      </c>
    </row>
    <row r="13665" spans="1:7">
      <c r="A13665" s="3"/>
      <c r="B13665" s="3"/>
      <c r="C13665" s="3"/>
      <c r="D13665" s="3"/>
      <c r="E13665" s="3">
        <v>2</v>
      </c>
      <c r="F13665" s="4" t="str">
        <f>HYPERLINK("http://141.218.60.56/~jnz1568/getInfo.php?workbook=10_05.xlsx&amp;sheet=U0&amp;row=13665&amp;col=6&amp;number=3.1&amp;sourceID=14","3.1")</f>
        <v>3.1</v>
      </c>
      <c r="G13665" s="4" t="str">
        <f>HYPERLINK("http://141.218.60.56/~jnz1568/getInfo.php?workbook=10_05.xlsx&amp;sheet=U0&amp;row=13665&amp;col=7&amp;number=0.00257&amp;sourceID=14","0.00257")</f>
        <v>0.00257</v>
      </c>
    </row>
    <row r="13666" spans="1:7">
      <c r="A13666" s="3"/>
      <c r="B13666" s="3"/>
      <c r="C13666" s="3"/>
      <c r="D13666" s="3"/>
      <c r="E13666" s="3">
        <v>3</v>
      </c>
      <c r="F13666" s="4" t="str">
        <f>HYPERLINK("http://141.218.60.56/~jnz1568/getInfo.php?workbook=10_05.xlsx&amp;sheet=U0&amp;row=13666&amp;col=6&amp;number=3.2&amp;sourceID=14","3.2")</f>
        <v>3.2</v>
      </c>
      <c r="G13666" s="4" t="str">
        <f>HYPERLINK("http://141.218.60.56/~jnz1568/getInfo.php?workbook=10_05.xlsx&amp;sheet=U0&amp;row=13666&amp;col=7&amp;number=0.00258&amp;sourceID=14","0.00258")</f>
        <v>0.00258</v>
      </c>
    </row>
    <row r="13667" spans="1:7">
      <c r="A13667" s="3"/>
      <c r="B13667" s="3"/>
      <c r="C13667" s="3"/>
      <c r="D13667" s="3"/>
      <c r="E13667" s="3">
        <v>4</v>
      </c>
      <c r="F13667" s="4" t="str">
        <f>HYPERLINK("http://141.218.60.56/~jnz1568/getInfo.php?workbook=10_05.xlsx&amp;sheet=U0&amp;row=13667&amp;col=6&amp;number=3.3&amp;sourceID=14","3.3")</f>
        <v>3.3</v>
      </c>
      <c r="G13667" s="4" t="str">
        <f>HYPERLINK("http://141.218.60.56/~jnz1568/getInfo.php?workbook=10_05.xlsx&amp;sheet=U0&amp;row=13667&amp;col=7&amp;number=0.00258&amp;sourceID=14","0.00258")</f>
        <v>0.00258</v>
      </c>
    </row>
    <row r="13668" spans="1:7">
      <c r="A13668" s="3"/>
      <c r="B13668" s="3"/>
      <c r="C13668" s="3"/>
      <c r="D13668" s="3"/>
      <c r="E13668" s="3">
        <v>5</v>
      </c>
      <c r="F13668" s="4" t="str">
        <f>HYPERLINK("http://141.218.60.56/~jnz1568/getInfo.php?workbook=10_05.xlsx&amp;sheet=U0&amp;row=13668&amp;col=6&amp;number=3.4&amp;sourceID=14","3.4")</f>
        <v>3.4</v>
      </c>
      <c r="G13668" s="4" t="str">
        <f>HYPERLINK("http://141.218.60.56/~jnz1568/getInfo.php?workbook=10_05.xlsx&amp;sheet=U0&amp;row=13668&amp;col=7&amp;number=0.00258&amp;sourceID=14","0.00258")</f>
        <v>0.00258</v>
      </c>
    </row>
    <row r="13669" spans="1:7">
      <c r="A13669" s="3"/>
      <c r="B13669" s="3"/>
      <c r="C13669" s="3"/>
      <c r="D13669" s="3"/>
      <c r="E13669" s="3">
        <v>6</v>
      </c>
      <c r="F13669" s="4" t="str">
        <f>HYPERLINK("http://141.218.60.56/~jnz1568/getInfo.php?workbook=10_05.xlsx&amp;sheet=U0&amp;row=13669&amp;col=6&amp;number=3.5&amp;sourceID=14","3.5")</f>
        <v>3.5</v>
      </c>
      <c r="G13669" s="4" t="str">
        <f>HYPERLINK("http://141.218.60.56/~jnz1568/getInfo.php?workbook=10_05.xlsx&amp;sheet=U0&amp;row=13669&amp;col=7&amp;number=0.00258&amp;sourceID=14","0.00258")</f>
        <v>0.00258</v>
      </c>
    </row>
    <row r="13670" spans="1:7">
      <c r="A13670" s="3"/>
      <c r="B13670" s="3"/>
      <c r="C13670" s="3"/>
      <c r="D13670" s="3"/>
      <c r="E13670" s="3">
        <v>7</v>
      </c>
      <c r="F13670" s="4" t="str">
        <f>HYPERLINK("http://141.218.60.56/~jnz1568/getInfo.php?workbook=10_05.xlsx&amp;sheet=U0&amp;row=13670&amp;col=6&amp;number=3.6&amp;sourceID=14","3.6")</f>
        <v>3.6</v>
      </c>
      <c r="G13670" s="4" t="str">
        <f>HYPERLINK("http://141.218.60.56/~jnz1568/getInfo.php?workbook=10_05.xlsx&amp;sheet=U0&amp;row=13670&amp;col=7&amp;number=0.00259&amp;sourceID=14","0.00259")</f>
        <v>0.00259</v>
      </c>
    </row>
    <row r="13671" spans="1:7">
      <c r="A13671" s="3"/>
      <c r="B13671" s="3"/>
      <c r="C13671" s="3"/>
      <c r="D13671" s="3"/>
      <c r="E13671" s="3">
        <v>8</v>
      </c>
      <c r="F13671" s="4" t="str">
        <f>HYPERLINK("http://141.218.60.56/~jnz1568/getInfo.php?workbook=10_05.xlsx&amp;sheet=U0&amp;row=13671&amp;col=6&amp;number=3.7&amp;sourceID=14","3.7")</f>
        <v>3.7</v>
      </c>
      <c r="G13671" s="4" t="str">
        <f>HYPERLINK("http://141.218.60.56/~jnz1568/getInfo.php?workbook=10_05.xlsx&amp;sheet=U0&amp;row=13671&amp;col=7&amp;number=0.00259&amp;sourceID=14","0.00259")</f>
        <v>0.00259</v>
      </c>
    </row>
    <row r="13672" spans="1:7">
      <c r="A13672" s="3"/>
      <c r="B13672" s="3"/>
      <c r="C13672" s="3"/>
      <c r="D13672" s="3"/>
      <c r="E13672" s="3">
        <v>9</v>
      </c>
      <c r="F13672" s="4" t="str">
        <f>HYPERLINK("http://141.218.60.56/~jnz1568/getInfo.php?workbook=10_05.xlsx&amp;sheet=U0&amp;row=13672&amp;col=6&amp;number=3.8&amp;sourceID=14","3.8")</f>
        <v>3.8</v>
      </c>
      <c r="G13672" s="4" t="str">
        <f>HYPERLINK("http://141.218.60.56/~jnz1568/getInfo.php?workbook=10_05.xlsx&amp;sheet=U0&amp;row=13672&amp;col=7&amp;number=0.00259&amp;sourceID=14","0.00259")</f>
        <v>0.00259</v>
      </c>
    </row>
    <row r="13673" spans="1:7">
      <c r="A13673" s="3"/>
      <c r="B13673" s="3"/>
      <c r="C13673" s="3"/>
      <c r="D13673" s="3"/>
      <c r="E13673" s="3">
        <v>10</v>
      </c>
      <c r="F13673" s="4" t="str">
        <f>HYPERLINK("http://141.218.60.56/~jnz1568/getInfo.php?workbook=10_05.xlsx&amp;sheet=U0&amp;row=13673&amp;col=6&amp;number=3.9&amp;sourceID=14","3.9")</f>
        <v>3.9</v>
      </c>
      <c r="G13673" s="4" t="str">
        <f>HYPERLINK("http://141.218.60.56/~jnz1568/getInfo.php?workbook=10_05.xlsx&amp;sheet=U0&amp;row=13673&amp;col=7&amp;number=0.0026&amp;sourceID=14","0.0026")</f>
        <v>0.0026</v>
      </c>
    </row>
    <row r="13674" spans="1:7">
      <c r="A13674" s="3"/>
      <c r="B13674" s="3"/>
      <c r="C13674" s="3"/>
      <c r="D13674" s="3"/>
      <c r="E13674" s="3">
        <v>11</v>
      </c>
      <c r="F13674" s="4" t="str">
        <f>HYPERLINK("http://141.218.60.56/~jnz1568/getInfo.php?workbook=10_05.xlsx&amp;sheet=U0&amp;row=13674&amp;col=6&amp;number=4&amp;sourceID=14","4")</f>
        <v>4</v>
      </c>
      <c r="G13674" s="4" t="str">
        <f>HYPERLINK("http://141.218.60.56/~jnz1568/getInfo.php?workbook=10_05.xlsx&amp;sheet=U0&amp;row=13674&amp;col=7&amp;number=0.00261&amp;sourceID=14","0.00261")</f>
        <v>0.00261</v>
      </c>
    </row>
    <row r="13675" spans="1:7">
      <c r="A13675" s="3"/>
      <c r="B13675" s="3"/>
      <c r="C13675" s="3"/>
      <c r="D13675" s="3"/>
      <c r="E13675" s="3">
        <v>12</v>
      </c>
      <c r="F13675" s="4" t="str">
        <f>HYPERLINK("http://141.218.60.56/~jnz1568/getInfo.php?workbook=10_05.xlsx&amp;sheet=U0&amp;row=13675&amp;col=6&amp;number=4.1&amp;sourceID=14","4.1")</f>
        <v>4.1</v>
      </c>
      <c r="G13675" s="4" t="str">
        <f>HYPERLINK("http://141.218.60.56/~jnz1568/getInfo.php?workbook=10_05.xlsx&amp;sheet=U0&amp;row=13675&amp;col=7&amp;number=0.00261&amp;sourceID=14","0.00261")</f>
        <v>0.00261</v>
      </c>
    </row>
    <row r="13676" spans="1:7">
      <c r="A13676" s="3"/>
      <c r="B13676" s="3"/>
      <c r="C13676" s="3"/>
      <c r="D13676" s="3"/>
      <c r="E13676" s="3">
        <v>13</v>
      </c>
      <c r="F13676" s="4" t="str">
        <f>HYPERLINK("http://141.218.60.56/~jnz1568/getInfo.php?workbook=10_05.xlsx&amp;sheet=U0&amp;row=13676&amp;col=6&amp;number=4.2&amp;sourceID=14","4.2")</f>
        <v>4.2</v>
      </c>
      <c r="G13676" s="4" t="str">
        <f>HYPERLINK("http://141.218.60.56/~jnz1568/getInfo.php?workbook=10_05.xlsx&amp;sheet=U0&amp;row=13676&amp;col=7&amp;number=0.00261&amp;sourceID=14","0.00261")</f>
        <v>0.00261</v>
      </c>
    </row>
    <row r="13677" spans="1:7">
      <c r="A13677" s="3"/>
      <c r="B13677" s="3"/>
      <c r="C13677" s="3"/>
      <c r="D13677" s="3"/>
      <c r="E13677" s="3">
        <v>14</v>
      </c>
      <c r="F13677" s="4" t="str">
        <f>HYPERLINK("http://141.218.60.56/~jnz1568/getInfo.php?workbook=10_05.xlsx&amp;sheet=U0&amp;row=13677&amp;col=6&amp;number=4.3&amp;sourceID=14","4.3")</f>
        <v>4.3</v>
      </c>
      <c r="G13677" s="4" t="str">
        <f>HYPERLINK("http://141.218.60.56/~jnz1568/getInfo.php?workbook=10_05.xlsx&amp;sheet=U0&amp;row=13677&amp;col=7&amp;number=0.00261&amp;sourceID=14","0.00261")</f>
        <v>0.00261</v>
      </c>
    </row>
    <row r="13678" spans="1:7">
      <c r="A13678" s="3"/>
      <c r="B13678" s="3"/>
      <c r="C13678" s="3"/>
      <c r="D13678" s="3"/>
      <c r="E13678" s="3">
        <v>15</v>
      </c>
      <c r="F13678" s="4" t="str">
        <f>HYPERLINK("http://141.218.60.56/~jnz1568/getInfo.php?workbook=10_05.xlsx&amp;sheet=U0&amp;row=13678&amp;col=6&amp;number=4.4&amp;sourceID=14","4.4")</f>
        <v>4.4</v>
      </c>
      <c r="G13678" s="4" t="str">
        <f>HYPERLINK("http://141.218.60.56/~jnz1568/getInfo.php?workbook=10_05.xlsx&amp;sheet=U0&amp;row=13678&amp;col=7&amp;number=0.0026&amp;sourceID=14","0.0026")</f>
        <v>0.0026</v>
      </c>
    </row>
    <row r="13679" spans="1:7">
      <c r="A13679" s="3"/>
      <c r="B13679" s="3"/>
      <c r="C13679" s="3"/>
      <c r="D13679" s="3"/>
      <c r="E13679" s="3">
        <v>16</v>
      </c>
      <c r="F13679" s="4" t="str">
        <f>HYPERLINK("http://141.218.60.56/~jnz1568/getInfo.php?workbook=10_05.xlsx&amp;sheet=U0&amp;row=13679&amp;col=6&amp;number=4.5&amp;sourceID=14","4.5")</f>
        <v>4.5</v>
      </c>
      <c r="G13679" s="4" t="str">
        <f>HYPERLINK("http://141.218.60.56/~jnz1568/getInfo.php?workbook=10_05.xlsx&amp;sheet=U0&amp;row=13679&amp;col=7&amp;number=0.00258&amp;sourceID=14","0.00258")</f>
        <v>0.00258</v>
      </c>
    </row>
    <row r="13680" spans="1:7">
      <c r="A13680" s="3"/>
      <c r="B13680" s="3"/>
      <c r="C13680" s="3"/>
      <c r="D13680" s="3"/>
      <c r="E13680" s="3">
        <v>17</v>
      </c>
      <c r="F13680" s="4" t="str">
        <f>HYPERLINK("http://141.218.60.56/~jnz1568/getInfo.php?workbook=10_05.xlsx&amp;sheet=U0&amp;row=13680&amp;col=6&amp;number=4.6&amp;sourceID=14","4.6")</f>
        <v>4.6</v>
      </c>
      <c r="G13680" s="4" t="str">
        <f>HYPERLINK("http://141.218.60.56/~jnz1568/getInfo.php?workbook=10_05.xlsx&amp;sheet=U0&amp;row=13680&amp;col=7&amp;number=0.00255&amp;sourceID=14","0.00255")</f>
        <v>0.00255</v>
      </c>
    </row>
    <row r="13681" spans="1:7">
      <c r="A13681" s="3"/>
      <c r="B13681" s="3"/>
      <c r="C13681" s="3"/>
      <c r="D13681" s="3"/>
      <c r="E13681" s="3">
        <v>18</v>
      </c>
      <c r="F13681" s="4" t="str">
        <f>HYPERLINK("http://141.218.60.56/~jnz1568/getInfo.php?workbook=10_05.xlsx&amp;sheet=U0&amp;row=13681&amp;col=6&amp;number=4.7&amp;sourceID=14","4.7")</f>
        <v>4.7</v>
      </c>
      <c r="G13681" s="4" t="str">
        <f>HYPERLINK("http://141.218.60.56/~jnz1568/getInfo.php?workbook=10_05.xlsx&amp;sheet=U0&amp;row=13681&amp;col=7&amp;number=0.00251&amp;sourceID=14","0.00251")</f>
        <v>0.00251</v>
      </c>
    </row>
    <row r="13682" spans="1:7">
      <c r="A13682" s="3"/>
      <c r="B13682" s="3"/>
      <c r="C13682" s="3"/>
      <c r="D13682" s="3"/>
      <c r="E13682" s="3">
        <v>19</v>
      </c>
      <c r="F13682" s="4" t="str">
        <f>HYPERLINK("http://141.218.60.56/~jnz1568/getInfo.php?workbook=10_05.xlsx&amp;sheet=U0&amp;row=13682&amp;col=6&amp;number=4.8&amp;sourceID=14","4.8")</f>
        <v>4.8</v>
      </c>
      <c r="G13682" s="4" t="str">
        <f>HYPERLINK("http://141.218.60.56/~jnz1568/getInfo.php?workbook=10_05.xlsx&amp;sheet=U0&amp;row=13682&amp;col=7&amp;number=0.00248&amp;sourceID=14","0.00248")</f>
        <v>0.00248</v>
      </c>
    </row>
    <row r="13683" spans="1:7">
      <c r="A13683" s="3"/>
      <c r="B13683" s="3"/>
      <c r="C13683" s="3"/>
      <c r="D13683" s="3"/>
      <c r="E13683" s="3">
        <v>20</v>
      </c>
      <c r="F13683" s="4" t="str">
        <f>HYPERLINK("http://141.218.60.56/~jnz1568/getInfo.php?workbook=10_05.xlsx&amp;sheet=U0&amp;row=13683&amp;col=6&amp;number=4.9&amp;sourceID=14","4.9")</f>
        <v>4.9</v>
      </c>
      <c r="G13683" s="4" t="str">
        <f>HYPERLINK("http://141.218.60.56/~jnz1568/getInfo.php?workbook=10_05.xlsx&amp;sheet=U0&amp;row=13683&amp;col=7&amp;number=0.00246&amp;sourceID=14","0.00246")</f>
        <v>0.00246</v>
      </c>
    </row>
    <row r="13684" spans="1:7">
      <c r="A13684" s="3">
        <v>10</v>
      </c>
      <c r="B13684" s="3">
        <v>5</v>
      </c>
      <c r="C13684" s="3">
        <v>4</v>
      </c>
      <c r="D13684" s="3">
        <v>155</v>
      </c>
      <c r="E13684" s="3">
        <v>1</v>
      </c>
      <c r="F13684" s="4" t="str">
        <f>HYPERLINK("http://141.218.60.56/~jnz1568/getInfo.php?workbook=10_05.xlsx&amp;sheet=U0&amp;row=13684&amp;col=6&amp;number=3&amp;sourceID=14","3")</f>
        <v>3</v>
      </c>
      <c r="G13684" s="4" t="str">
        <f>HYPERLINK("http://141.218.60.56/~jnz1568/getInfo.php?workbook=10_05.xlsx&amp;sheet=U0&amp;row=13684&amp;col=7&amp;number=0.00171&amp;sourceID=14","0.00171")</f>
        <v>0.00171</v>
      </c>
    </row>
    <row r="13685" spans="1:7">
      <c r="A13685" s="3"/>
      <c r="B13685" s="3"/>
      <c r="C13685" s="3"/>
      <c r="D13685" s="3"/>
      <c r="E13685" s="3">
        <v>2</v>
      </c>
      <c r="F13685" s="4" t="str">
        <f>HYPERLINK("http://141.218.60.56/~jnz1568/getInfo.php?workbook=10_05.xlsx&amp;sheet=U0&amp;row=13685&amp;col=6&amp;number=3.1&amp;sourceID=14","3.1")</f>
        <v>3.1</v>
      </c>
      <c r="G13685" s="4" t="str">
        <f>HYPERLINK("http://141.218.60.56/~jnz1568/getInfo.php?workbook=10_05.xlsx&amp;sheet=U0&amp;row=13685&amp;col=7&amp;number=0.00171&amp;sourceID=14","0.00171")</f>
        <v>0.00171</v>
      </c>
    </row>
    <row r="13686" spans="1:7">
      <c r="A13686" s="3"/>
      <c r="B13686" s="3"/>
      <c r="C13686" s="3"/>
      <c r="D13686" s="3"/>
      <c r="E13686" s="3">
        <v>3</v>
      </c>
      <c r="F13686" s="4" t="str">
        <f>HYPERLINK("http://141.218.60.56/~jnz1568/getInfo.php?workbook=10_05.xlsx&amp;sheet=U0&amp;row=13686&amp;col=6&amp;number=3.2&amp;sourceID=14","3.2")</f>
        <v>3.2</v>
      </c>
      <c r="G13686" s="4" t="str">
        <f>HYPERLINK("http://141.218.60.56/~jnz1568/getInfo.php?workbook=10_05.xlsx&amp;sheet=U0&amp;row=13686&amp;col=7&amp;number=0.00171&amp;sourceID=14","0.00171")</f>
        <v>0.00171</v>
      </c>
    </row>
    <row r="13687" spans="1:7">
      <c r="A13687" s="3"/>
      <c r="B13687" s="3"/>
      <c r="C13687" s="3"/>
      <c r="D13687" s="3"/>
      <c r="E13687" s="3">
        <v>4</v>
      </c>
      <c r="F13687" s="4" t="str">
        <f>HYPERLINK("http://141.218.60.56/~jnz1568/getInfo.php?workbook=10_05.xlsx&amp;sheet=U0&amp;row=13687&amp;col=6&amp;number=3.3&amp;sourceID=14","3.3")</f>
        <v>3.3</v>
      </c>
      <c r="G13687" s="4" t="str">
        <f>HYPERLINK("http://141.218.60.56/~jnz1568/getInfo.php?workbook=10_05.xlsx&amp;sheet=U0&amp;row=13687&amp;col=7&amp;number=0.00171&amp;sourceID=14","0.00171")</f>
        <v>0.00171</v>
      </c>
    </row>
    <row r="13688" spans="1:7">
      <c r="A13688" s="3"/>
      <c r="B13688" s="3"/>
      <c r="C13688" s="3"/>
      <c r="D13688" s="3"/>
      <c r="E13688" s="3">
        <v>5</v>
      </c>
      <c r="F13688" s="4" t="str">
        <f>HYPERLINK("http://141.218.60.56/~jnz1568/getInfo.php?workbook=10_05.xlsx&amp;sheet=U0&amp;row=13688&amp;col=6&amp;number=3.4&amp;sourceID=14","3.4")</f>
        <v>3.4</v>
      </c>
      <c r="G13688" s="4" t="str">
        <f>HYPERLINK("http://141.218.60.56/~jnz1568/getInfo.php?workbook=10_05.xlsx&amp;sheet=U0&amp;row=13688&amp;col=7&amp;number=0.00171&amp;sourceID=14","0.00171")</f>
        <v>0.00171</v>
      </c>
    </row>
    <row r="13689" spans="1:7">
      <c r="A13689" s="3"/>
      <c r="B13689" s="3"/>
      <c r="C13689" s="3"/>
      <c r="D13689" s="3"/>
      <c r="E13689" s="3">
        <v>6</v>
      </c>
      <c r="F13689" s="4" t="str">
        <f>HYPERLINK("http://141.218.60.56/~jnz1568/getInfo.php?workbook=10_05.xlsx&amp;sheet=U0&amp;row=13689&amp;col=6&amp;number=3.5&amp;sourceID=14","3.5")</f>
        <v>3.5</v>
      </c>
      <c r="G13689" s="4" t="str">
        <f>HYPERLINK("http://141.218.60.56/~jnz1568/getInfo.php?workbook=10_05.xlsx&amp;sheet=U0&amp;row=13689&amp;col=7&amp;number=0.00171&amp;sourceID=14","0.00171")</f>
        <v>0.00171</v>
      </c>
    </row>
    <row r="13690" spans="1:7">
      <c r="A13690" s="3"/>
      <c r="B13690" s="3"/>
      <c r="C13690" s="3"/>
      <c r="D13690" s="3"/>
      <c r="E13690" s="3">
        <v>7</v>
      </c>
      <c r="F13690" s="4" t="str">
        <f>HYPERLINK("http://141.218.60.56/~jnz1568/getInfo.php?workbook=10_05.xlsx&amp;sheet=U0&amp;row=13690&amp;col=6&amp;number=3.6&amp;sourceID=14","3.6")</f>
        <v>3.6</v>
      </c>
      <c r="G13690" s="4" t="str">
        <f>HYPERLINK("http://141.218.60.56/~jnz1568/getInfo.php?workbook=10_05.xlsx&amp;sheet=U0&amp;row=13690&amp;col=7&amp;number=0.00171&amp;sourceID=14","0.00171")</f>
        <v>0.00171</v>
      </c>
    </row>
    <row r="13691" spans="1:7">
      <c r="A13691" s="3"/>
      <c r="B13691" s="3"/>
      <c r="C13691" s="3"/>
      <c r="D13691" s="3"/>
      <c r="E13691" s="3">
        <v>8</v>
      </c>
      <c r="F13691" s="4" t="str">
        <f>HYPERLINK("http://141.218.60.56/~jnz1568/getInfo.php?workbook=10_05.xlsx&amp;sheet=U0&amp;row=13691&amp;col=6&amp;number=3.7&amp;sourceID=14","3.7")</f>
        <v>3.7</v>
      </c>
      <c r="G13691" s="4" t="str">
        <f>HYPERLINK("http://141.218.60.56/~jnz1568/getInfo.php?workbook=10_05.xlsx&amp;sheet=U0&amp;row=13691&amp;col=7&amp;number=0.0017&amp;sourceID=14","0.0017")</f>
        <v>0.0017</v>
      </c>
    </row>
    <row r="13692" spans="1:7">
      <c r="A13692" s="3"/>
      <c r="B13692" s="3"/>
      <c r="C13692" s="3"/>
      <c r="D13692" s="3"/>
      <c r="E13692" s="3">
        <v>9</v>
      </c>
      <c r="F13692" s="4" t="str">
        <f>HYPERLINK("http://141.218.60.56/~jnz1568/getInfo.php?workbook=10_05.xlsx&amp;sheet=U0&amp;row=13692&amp;col=6&amp;number=3.8&amp;sourceID=14","3.8")</f>
        <v>3.8</v>
      </c>
      <c r="G13692" s="4" t="str">
        <f>HYPERLINK("http://141.218.60.56/~jnz1568/getInfo.php?workbook=10_05.xlsx&amp;sheet=U0&amp;row=13692&amp;col=7&amp;number=0.0017&amp;sourceID=14","0.0017")</f>
        <v>0.0017</v>
      </c>
    </row>
    <row r="13693" spans="1:7">
      <c r="A13693" s="3"/>
      <c r="B13693" s="3"/>
      <c r="C13693" s="3"/>
      <c r="D13693" s="3"/>
      <c r="E13693" s="3">
        <v>10</v>
      </c>
      <c r="F13693" s="4" t="str">
        <f>HYPERLINK("http://141.218.60.56/~jnz1568/getInfo.php?workbook=10_05.xlsx&amp;sheet=U0&amp;row=13693&amp;col=6&amp;number=3.9&amp;sourceID=14","3.9")</f>
        <v>3.9</v>
      </c>
      <c r="G13693" s="4" t="str">
        <f>HYPERLINK("http://141.218.60.56/~jnz1568/getInfo.php?workbook=10_05.xlsx&amp;sheet=U0&amp;row=13693&amp;col=7&amp;number=0.0017&amp;sourceID=14","0.0017")</f>
        <v>0.0017</v>
      </c>
    </row>
    <row r="13694" spans="1:7">
      <c r="A13694" s="3"/>
      <c r="B13694" s="3"/>
      <c r="C13694" s="3"/>
      <c r="D13694" s="3"/>
      <c r="E13694" s="3">
        <v>11</v>
      </c>
      <c r="F13694" s="4" t="str">
        <f>HYPERLINK("http://141.218.60.56/~jnz1568/getInfo.php?workbook=10_05.xlsx&amp;sheet=U0&amp;row=13694&amp;col=6&amp;number=4&amp;sourceID=14","4")</f>
        <v>4</v>
      </c>
      <c r="G13694" s="4" t="str">
        <f>HYPERLINK("http://141.218.60.56/~jnz1568/getInfo.php?workbook=10_05.xlsx&amp;sheet=U0&amp;row=13694&amp;col=7&amp;number=0.0017&amp;sourceID=14","0.0017")</f>
        <v>0.0017</v>
      </c>
    </row>
    <row r="13695" spans="1:7">
      <c r="A13695" s="3"/>
      <c r="B13695" s="3"/>
      <c r="C13695" s="3"/>
      <c r="D13695" s="3"/>
      <c r="E13695" s="3">
        <v>12</v>
      </c>
      <c r="F13695" s="4" t="str">
        <f>HYPERLINK("http://141.218.60.56/~jnz1568/getInfo.php?workbook=10_05.xlsx&amp;sheet=U0&amp;row=13695&amp;col=6&amp;number=4.1&amp;sourceID=14","4.1")</f>
        <v>4.1</v>
      </c>
      <c r="G13695" s="4" t="str">
        <f>HYPERLINK("http://141.218.60.56/~jnz1568/getInfo.php?workbook=10_05.xlsx&amp;sheet=U0&amp;row=13695&amp;col=7&amp;number=0.0017&amp;sourceID=14","0.0017")</f>
        <v>0.0017</v>
      </c>
    </row>
    <row r="13696" spans="1:7">
      <c r="A13696" s="3"/>
      <c r="B13696" s="3"/>
      <c r="C13696" s="3"/>
      <c r="D13696" s="3"/>
      <c r="E13696" s="3">
        <v>13</v>
      </c>
      <c r="F13696" s="4" t="str">
        <f>HYPERLINK("http://141.218.60.56/~jnz1568/getInfo.php?workbook=10_05.xlsx&amp;sheet=U0&amp;row=13696&amp;col=6&amp;number=4.2&amp;sourceID=14","4.2")</f>
        <v>4.2</v>
      </c>
      <c r="G13696" s="4" t="str">
        <f>HYPERLINK("http://141.218.60.56/~jnz1568/getInfo.php?workbook=10_05.xlsx&amp;sheet=U0&amp;row=13696&amp;col=7&amp;number=0.00169&amp;sourceID=14","0.00169")</f>
        <v>0.00169</v>
      </c>
    </row>
    <row r="13697" spans="1:7">
      <c r="A13697" s="3"/>
      <c r="B13697" s="3"/>
      <c r="C13697" s="3"/>
      <c r="D13697" s="3"/>
      <c r="E13697" s="3">
        <v>14</v>
      </c>
      <c r="F13697" s="4" t="str">
        <f>HYPERLINK("http://141.218.60.56/~jnz1568/getInfo.php?workbook=10_05.xlsx&amp;sheet=U0&amp;row=13697&amp;col=6&amp;number=4.3&amp;sourceID=14","4.3")</f>
        <v>4.3</v>
      </c>
      <c r="G13697" s="4" t="str">
        <f>HYPERLINK("http://141.218.60.56/~jnz1568/getInfo.php?workbook=10_05.xlsx&amp;sheet=U0&amp;row=13697&amp;col=7&amp;number=0.00169&amp;sourceID=14","0.00169")</f>
        <v>0.00169</v>
      </c>
    </row>
    <row r="13698" spans="1:7">
      <c r="A13698" s="3"/>
      <c r="B13698" s="3"/>
      <c r="C13698" s="3"/>
      <c r="D13698" s="3"/>
      <c r="E13698" s="3">
        <v>15</v>
      </c>
      <c r="F13698" s="4" t="str">
        <f>HYPERLINK("http://141.218.60.56/~jnz1568/getInfo.php?workbook=10_05.xlsx&amp;sheet=U0&amp;row=13698&amp;col=6&amp;number=4.4&amp;sourceID=14","4.4")</f>
        <v>4.4</v>
      </c>
      <c r="G13698" s="4" t="str">
        <f>HYPERLINK("http://141.218.60.56/~jnz1568/getInfo.php?workbook=10_05.xlsx&amp;sheet=U0&amp;row=13698&amp;col=7&amp;number=0.00168&amp;sourceID=14","0.00168")</f>
        <v>0.00168</v>
      </c>
    </row>
    <row r="13699" spans="1:7">
      <c r="A13699" s="3"/>
      <c r="B13699" s="3"/>
      <c r="C13699" s="3"/>
      <c r="D13699" s="3"/>
      <c r="E13699" s="3">
        <v>16</v>
      </c>
      <c r="F13699" s="4" t="str">
        <f>HYPERLINK("http://141.218.60.56/~jnz1568/getInfo.php?workbook=10_05.xlsx&amp;sheet=U0&amp;row=13699&amp;col=6&amp;number=4.5&amp;sourceID=14","4.5")</f>
        <v>4.5</v>
      </c>
      <c r="G13699" s="4" t="str">
        <f>HYPERLINK("http://141.218.60.56/~jnz1568/getInfo.php?workbook=10_05.xlsx&amp;sheet=U0&amp;row=13699&amp;col=7&amp;number=0.00166&amp;sourceID=14","0.00166")</f>
        <v>0.00166</v>
      </c>
    </row>
    <row r="13700" spans="1:7">
      <c r="A13700" s="3"/>
      <c r="B13700" s="3"/>
      <c r="C13700" s="3"/>
      <c r="D13700" s="3"/>
      <c r="E13700" s="3">
        <v>17</v>
      </c>
      <c r="F13700" s="4" t="str">
        <f>HYPERLINK("http://141.218.60.56/~jnz1568/getInfo.php?workbook=10_05.xlsx&amp;sheet=U0&amp;row=13700&amp;col=6&amp;number=4.6&amp;sourceID=14","4.6")</f>
        <v>4.6</v>
      </c>
      <c r="G13700" s="4" t="str">
        <f>HYPERLINK("http://141.218.60.56/~jnz1568/getInfo.php?workbook=10_05.xlsx&amp;sheet=U0&amp;row=13700&amp;col=7&amp;number=0.00164&amp;sourceID=14","0.00164")</f>
        <v>0.00164</v>
      </c>
    </row>
    <row r="13701" spans="1:7">
      <c r="A13701" s="3"/>
      <c r="B13701" s="3"/>
      <c r="C13701" s="3"/>
      <c r="D13701" s="3"/>
      <c r="E13701" s="3">
        <v>18</v>
      </c>
      <c r="F13701" s="4" t="str">
        <f>HYPERLINK("http://141.218.60.56/~jnz1568/getInfo.php?workbook=10_05.xlsx&amp;sheet=U0&amp;row=13701&amp;col=6&amp;number=4.7&amp;sourceID=14","4.7")</f>
        <v>4.7</v>
      </c>
      <c r="G13701" s="4" t="str">
        <f>HYPERLINK("http://141.218.60.56/~jnz1568/getInfo.php?workbook=10_05.xlsx&amp;sheet=U0&amp;row=13701&amp;col=7&amp;number=0.00162&amp;sourceID=14","0.00162")</f>
        <v>0.00162</v>
      </c>
    </row>
    <row r="13702" spans="1:7">
      <c r="A13702" s="3"/>
      <c r="B13702" s="3"/>
      <c r="C13702" s="3"/>
      <c r="D13702" s="3"/>
      <c r="E13702" s="3">
        <v>19</v>
      </c>
      <c r="F13702" s="4" t="str">
        <f>HYPERLINK("http://141.218.60.56/~jnz1568/getInfo.php?workbook=10_05.xlsx&amp;sheet=U0&amp;row=13702&amp;col=6&amp;number=4.8&amp;sourceID=14","4.8")</f>
        <v>4.8</v>
      </c>
      <c r="G13702" s="4" t="str">
        <f>HYPERLINK("http://141.218.60.56/~jnz1568/getInfo.php?workbook=10_05.xlsx&amp;sheet=U0&amp;row=13702&amp;col=7&amp;number=0.00159&amp;sourceID=14","0.00159")</f>
        <v>0.00159</v>
      </c>
    </row>
    <row r="13703" spans="1:7">
      <c r="A13703" s="3"/>
      <c r="B13703" s="3"/>
      <c r="C13703" s="3"/>
      <c r="D13703" s="3"/>
      <c r="E13703" s="3">
        <v>20</v>
      </c>
      <c r="F13703" s="4" t="str">
        <f>HYPERLINK("http://141.218.60.56/~jnz1568/getInfo.php?workbook=10_05.xlsx&amp;sheet=U0&amp;row=13703&amp;col=6&amp;number=4.9&amp;sourceID=14","4.9")</f>
        <v>4.9</v>
      </c>
      <c r="G13703" s="4" t="str">
        <f>HYPERLINK("http://141.218.60.56/~jnz1568/getInfo.php?workbook=10_05.xlsx&amp;sheet=U0&amp;row=13703&amp;col=7&amp;number=0.00157&amp;sourceID=14","0.00157")</f>
        <v>0.00157</v>
      </c>
    </row>
    <row r="13704" spans="1:7">
      <c r="A13704" s="3">
        <v>10</v>
      </c>
      <c r="B13704" s="3">
        <v>5</v>
      </c>
      <c r="C13704" s="3">
        <v>4</v>
      </c>
      <c r="D13704" s="3">
        <v>156</v>
      </c>
      <c r="E13704" s="3">
        <v>1</v>
      </c>
      <c r="F13704" s="4" t="str">
        <f>HYPERLINK("http://141.218.60.56/~jnz1568/getInfo.php?workbook=10_05.xlsx&amp;sheet=U0&amp;row=13704&amp;col=6&amp;number=3&amp;sourceID=14","3")</f>
        <v>3</v>
      </c>
      <c r="G13704" s="4" t="str">
        <f>HYPERLINK("http://141.218.60.56/~jnz1568/getInfo.php?workbook=10_05.xlsx&amp;sheet=U0&amp;row=13704&amp;col=7&amp;number=0.00716&amp;sourceID=14","0.00716")</f>
        <v>0.00716</v>
      </c>
    </row>
    <row r="13705" spans="1:7">
      <c r="A13705" s="3"/>
      <c r="B13705" s="3"/>
      <c r="C13705" s="3"/>
      <c r="D13705" s="3"/>
      <c r="E13705" s="3">
        <v>2</v>
      </c>
      <c r="F13705" s="4" t="str">
        <f>HYPERLINK("http://141.218.60.56/~jnz1568/getInfo.php?workbook=10_05.xlsx&amp;sheet=U0&amp;row=13705&amp;col=6&amp;number=3.1&amp;sourceID=14","3.1")</f>
        <v>3.1</v>
      </c>
      <c r="G13705" s="4" t="str">
        <f>HYPERLINK("http://141.218.60.56/~jnz1568/getInfo.php?workbook=10_05.xlsx&amp;sheet=U0&amp;row=13705&amp;col=7&amp;number=0.00717&amp;sourceID=14","0.00717")</f>
        <v>0.00717</v>
      </c>
    </row>
    <row r="13706" spans="1:7">
      <c r="A13706" s="3"/>
      <c r="B13706" s="3"/>
      <c r="C13706" s="3"/>
      <c r="D13706" s="3"/>
      <c r="E13706" s="3">
        <v>3</v>
      </c>
      <c r="F13706" s="4" t="str">
        <f>HYPERLINK("http://141.218.60.56/~jnz1568/getInfo.php?workbook=10_05.xlsx&amp;sheet=U0&amp;row=13706&amp;col=6&amp;number=3.2&amp;sourceID=14","3.2")</f>
        <v>3.2</v>
      </c>
      <c r="G13706" s="4" t="str">
        <f>HYPERLINK("http://141.218.60.56/~jnz1568/getInfo.php?workbook=10_05.xlsx&amp;sheet=U0&amp;row=13706&amp;col=7&amp;number=0.00717&amp;sourceID=14","0.00717")</f>
        <v>0.00717</v>
      </c>
    </row>
    <row r="13707" spans="1:7">
      <c r="A13707" s="3"/>
      <c r="B13707" s="3"/>
      <c r="C13707" s="3"/>
      <c r="D13707" s="3"/>
      <c r="E13707" s="3">
        <v>4</v>
      </c>
      <c r="F13707" s="4" t="str">
        <f>HYPERLINK("http://141.218.60.56/~jnz1568/getInfo.php?workbook=10_05.xlsx&amp;sheet=U0&amp;row=13707&amp;col=6&amp;number=3.3&amp;sourceID=14","3.3")</f>
        <v>3.3</v>
      </c>
      <c r="G13707" s="4" t="str">
        <f>HYPERLINK("http://141.218.60.56/~jnz1568/getInfo.php?workbook=10_05.xlsx&amp;sheet=U0&amp;row=13707&amp;col=7&amp;number=0.00717&amp;sourceID=14","0.00717")</f>
        <v>0.00717</v>
      </c>
    </row>
    <row r="13708" spans="1:7">
      <c r="A13708" s="3"/>
      <c r="B13708" s="3"/>
      <c r="C13708" s="3"/>
      <c r="D13708" s="3"/>
      <c r="E13708" s="3">
        <v>5</v>
      </c>
      <c r="F13708" s="4" t="str">
        <f>HYPERLINK("http://141.218.60.56/~jnz1568/getInfo.php?workbook=10_05.xlsx&amp;sheet=U0&amp;row=13708&amp;col=6&amp;number=3.4&amp;sourceID=14","3.4")</f>
        <v>3.4</v>
      </c>
      <c r="G13708" s="4" t="str">
        <f>HYPERLINK("http://141.218.60.56/~jnz1568/getInfo.php?workbook=10_05.xlsx&amp;sheet=U0&amp;row=13708&amp;col=7&amp;number=0.00718&amp;sourceID=14","0.00718")</f>
        <v>0.00718</v>
      </c>
    </row>
    <row r="13709" spans="1:7">
      <c r="A13709" s="3"/>
      <c r="B13709" s="3"/>
      <c r="C13709" s="3"/>
      <c r="D13709" s="3"/>
      <c r="E13709" s="3">
        <v>6</v>
      </c>
      <c r="F13709" s="4" t="str">
        <f>HYPERLINK("http://141.218.60.56/~jnz1568/getInfo.php?workbook=10_05.xlsx&amp;sheet=U0&amp;row=13709&amp;col=6&amp;number=3.5&amp;sourceID=14","3.5")</f>
        <v>3.5</v>
      </c>
      <c r="G13709" s="4" t="str">
        <f>HYPERLINK("http://141.218.60.56/~jnz1568/getInfo.php?workbook=10_05.xlsx&amp;sheet=U0&amp;row=13709&amp;col=7&amp;number=0.00719&amp;sourceID=14","0.00719")</f>
        <v>0.00719</v>
      </c>
    </row>
    <row r="13710" spans="1:7">
      <c r="A13710" s="3"/>
      <c r="B13710" s="3"/>
      <c r="C13710" s="3"/>
      <c r="D13710" s="3"/>
      <c r="E13710" s="3">
        <v>7</v>
      </c>
      <c r="F13710" s="4" t="str">
        <f>HYPERLINK("http://141.218.60.56/~jnz1568/getInfo.php?workbook=10_05.xlsx&amp;sheet=U0&amp;row=13710&amp;col=6&amp;number=3.6&amp;sourceID=14","3.6")</f>
        <v>3.6</v>
      </c>
      <c r="G13710" s="4" t="str">
        <f>HYPERLINK("http://141.218.60.56/~jnz1568/getInfo.php?workbook=10_05.xlsx&amp;sheet=U0&amp;row=13710&amp;col=7&amp;number=0.00719&amp;sourceID=14","0.00719")</f>
        <v>0.00719</v>
      </c>
    </row>
    <row r="13711" spans="1:7">
      <c r="A13711" s="3"/>
      <c r="B13711" s="3"/>
      <c r="C13711" s="3"/>
      <c r="D13711" s="3"/>
      <c r="E13711" s="3">
        <v>8</v>
      </c>
      <c r="F13711" s="4" t="str">
        <f>HYPERLINK("http://141.218.60.56/~jnz1568/getInfo.php?workbook=10_05.xlsx&amp;sheet=U0&amp;row=13711&amp;col=6&amp;number=3.7&amp;sourceID=14","3.7")</f>
        <v>3.7</v>
      </c>
      <c r="G13711" s="4" t="str">
        <f>HYPERLINK("http://141.218.60.56/~jnz1568/getInfo.php?workbook=10_05.xlsx&amp;sheet=U0&amp;row=13711&amp;col=7&amp;number=0.0072&amp;sourceID=14","0.0072")</f>
        <v>0.0072</v>
      </c>
    </row>
    <row r="13712" spans="1:7">
      <c r="A13712" s="3"/>
      <c r="B13712" s="3"/>
      <c r="C13712" s="3"/>
      <c r="D13712" s="3"/>
      <c r="E13712" s="3">
        <v>9</v>
      </c>
      <c r="F13712" s="4" t="str">
        <f>HYPERLINK("http://141.218.60.56/~jnz1568/getInfo.php?workbook=10_05.xlsx&amp;sheet=U0&amp;row=13712&amp;col=6&amp;number=3.8&amp;sourceID=14","3.8")</f>
        <v>3.8</v>
      </c>
      <c r="G13712" s="4" t="str">
        <f>HYPERLINK("http://141.218.60.56/~jnz1568/getInfo.php?workbook=10_05.xlsx&amp;sheet=U0&amp;row=13712&amp;col=7&amp;number=0.00721&amp;sourceID=14","0.00721")</f>
        <v>0.00721</v>
      </c>
    </row>
    <row r="13713" spans="1:7">
      <c r="A13713" s="3"/>
      <c r="B13713" s="3"/>
      <c r="C13713" s="3"/>
      <c r="D13713" s="3"/>
      <c r="E13713" s="3">
        <v>10</v>
      </c>
      <c r="F13713" s="4" t="str">
        <f>HYPERLINK("http://141.218.60.56/~jnz1568/getInfo.php?workbook=10_05.xlsx&amp;sheet=U0&amp;row=13713&amp;col=6&amp;number=3.9&amp;sourceID=14","3.9")</f>
        <v>3.9</v>
      </c>
      <c r="G13713" s="4" t="str">
        <f>HYPERLINK("http://141.218.60.56/~jnz1568/getInfo.php?workbook=10_05.xlsx&amp;sheet=U0&amp;row=13713&amp;col=7&amp;number=0.00723&amp;sourceID=14","0.00723")</f>
        <v>0.00723</v>
      </c>
    </row>
    <row r="13714" spans="1:7">
      <c r="A13714" s="3"/>
      <c r="B13714" s="3"/>
      <c r="C13714" s="3"/>
      <c r="D13714" s="3"/>
      <c r="E13714" s="3">
        <v>11</v>
      </c>
      <c r="F13714" s="4" t="str">
        <f>HYPERLINK("http://141.218.60.56/~jnz1568/getInfo.php?workbook=10_05.xlsx&amp;sheet=U0&amp;row=13714&amp;col=6&amp;number=4&amp;sourceID=14","4")</f>
        <v>4</v>
      </c>
      <c r="G13714" s="4" t="str">
        <f>HYPERLINK("http://141.218.60.56/~jnz1568/getInfo.php?workbook=10_05.xlsx&amp;sheet=U0&amp;row=13714&amp;col=7&amp;number=0.00724&amp;sourceID=14","0.00724")</f>
        <v>0.00724</v>
      </c>
    </row>
    <row r="13715" spans="1:7">
      <c r="A13715" s="3"/>
      <c r="B13715" s="3"/>
      <c r="C13715" s="3"/>
      <c r="D13715" s="3"/>
      <c r="E13715" s="3">
        <v>12</v>
      </c>
      <c r="F13715" s="4" t="str">
        <f>HYPERLINK("http://141.218.60.56/~jnz1568/getInfo.php?workbook=10_05.xlsx&amp;sheet=U0&amp;row=13715&amp;col=6&amp;number=4.1&amp;sourceID=14","4.1")</f>
        <v>4.1</v>
      </c>
      <c r="G13715" s="4" t="str">
        <f>HYPERLINK("http://141.218.60.56/~jnz1568/getInfo.php?workbook=10_05.xlsx&amp;sheet=U0&amp;row=13715&amp;col=7&amp;number=0.00725&amp;sourceID=14","0.00725")</f>
        <v>0.00725</v>
      </c>
    </row>
    <row r="13716" spans="1:7">
      <c r="A13716" s="3"/>
      <c r="B13716" s="3"/>
      <c r="C13716" s="3"/>
      <c r="D13716" s="3"/>
      <c r="E13716" s="3">
        <v>13</v>
      </c>
      <c r="F13716" s="4" t="str">
        <f>HYPERLINK("http://141.218.60.56/~jnz1568/getInfo.php?workbook=10_05.xlsx&amp;sheet=U0&amp;row=13716&amp;col=6&amp;number=4.2&amp;sourceID=14","4.2")</f>
        <v>4.2</v>
      </c>
      <c r="G13716" s="4" t="str">
        <f>HYPERLINK("http://141.218.60.56/~jnz1568/getInfo.php?workbook=10_05.xlsx&amp;sheet=U0&amp;row=13716&amp;col=7&amp;number=0.00726&amp;sourceID=14","0.00726")</f>
        <v>0.00726</v>
      </c>
    </row>
    <row r="13717" spans="1:7">
      <c r="A13717" s="3"/>
      <c r="B13717" s="3"/>
      <c r="C13717" s="3"/>
      <c r="D13717" s="3"/>
      <c r="E13717" s="3">
        <v>14</v>
      </c>
      <c r="F13717" s="4" t="str">
        <f>HYPERLINK("http://141.218.60.56/~jnz1568/getInfo.php?workbook=10_05.xlsx&amp;sheet=U0&amp;row=13717&amp;col=6&amp;number=4.3&amp;sourceID=14","4.3")</f>
        <v>4.3</v>
      </c>
      <c r="G13717" s="4" t="str">
        <f>HYPERLINK("http://141.218.60.56/~jnz1568/getInfo.php?workbook=10_05.xlsx&amp;sheet=U0&amp;row=13717&amp;col=7&amp;number=0.00726&amp;sourceID=14","0.00726")</f>
        <v>0.00726</v>
      </c>
    </row>
    <row r="13718" spans="1:7">
      <c r="A13718" s="3"/>
      <c r="B13718" s="3"/>
      <c r="C13718" s="3"/>
      <c r="D13718" s="3"/>
      <c r="E13718" s="3">
        <v>15</v>
      </c>
      <c r="F13718" s="4" t="str">
        <f>HYPERLINK("http://141.218.60.56/~jnz1568/getInfo.php?workbook=10_05.xlsx&amp;sheet=U0&amp;row=13718&amp;col=6&amp;number=4.4&amp;sourceID=14","4.4")</f>
        <v>4.4</v>
      </c>
      <c r="G13718" s="4" t="str">
        <f>HYPERLINK("http://141.218.60.56/~jnz1568/getInfo.php?workbook=10_05.xlsx&amp;sheet=U0&amp;row=13718&amp;col=7&amp;number=0.00723&amp;sourceID=14","0.00723")</f>
        <v>0.00723</v>
      </c>
    </row>
    <row r="13719" spans="1:7">
      <c r="A13719" s="3"/>
      <c r="B13719" s="3"/>
      <c r="C13719" s="3"/>
      <c r="D13719" s="3"/>
      <c r="E13719" s="3">
        <v>16</v>
      </c>
      <c r="F13719" s="4" t="str">
        <f>HYPERLINK("http://141.218.60.56/~jnz1568/getInfo.php?workbook=10_05.xlsx&amp;sheet=U0&amp;row=13719&amp;col=6&amp;number=4.5&amp;sourceID=14","4.5")</f>
        <v>4.5</v>
      </c>
      <c r="G13719" s="4" t="str">
        <f>HYPERLINK("http://141.218.60.56/~jnz1568/getInfo.php?workbook=10_05.xlsx&amp;sheet=U0&amp;row=13719&amp;col=7&amp;number=0.00718&amp;sourceID=14","0.00718")</f>
        <v>0.00718</v>
      </c>
    </row>
    <row r="13720" spans="1:7">
      <c r="A13720" s="3"/>
      <c r="B13720" s="3"/>
      <c r="C13720" s="3"/>
      <c r="D13720" s="3"/>
      <c r="E13720" s="3">
        <v>17</v>
      </c>
      <c r="F13720" s="4" t="str">
        <f>HYPERLINK("http://141.218.60.56/~jnz1568/getInfo.php?workbook=10_05.xlsx&amp;sheet=U0&amp;row=13720&amp;col=6&amp;number=4.6&amp;sourceID=14","4.6")</f>
        <v>4.6</v>
      </c>
      <c r="G13720" s="4" t="str">
        <f>HYPERLINK("http://141.218.60.56/~jnz1568/getInfo.php?workbook=10_05.xlsx&amp;sheet=U0&amp;row=13720&amp;col=7&amp;number=0.00709&amp;sourceID=14","0.00709")</f>
        <v>0.00709</v>
      </c>
    </row>
    <row r="13721" spans="1:7">
      <c r="A13721" s="3"/>
      <c r="B13721" s="3"/>
      <c r="C13721" s="3"/>
      <c r="D13721" s="3"/>
      <c r="E13721" s="3">
        <v>18</v>
      </c>
      <c r="F13721" s="4" t="str">
        <f>HYPERLINK("http://141.218.60.56/~jnz1568/getInfo.php?workbook=10_05.xlsx&amp;sheet=U0&amp;row=13721&amp;col=6&amp;number=4.7&amp;sourceID=14","4.7")</f>
        <v>4.7</v>
      </c>
      <c r="G13721" s="4" t="str">
        <f>HYPERLINK("http://141.218.60.56/~jnz1568/getInfo.php?workbook=10_05.xlsx&amp;sheet=U0&amp;row=13721&amp;col=7&amp;number=0.007&amp;sourceID=14","0.007")</f>
        <v>0.007</v>
      </c>
    </row>
    <row r="13722" spans="1:7">
      <c r="A13722" s="3"/>
      <c r="B13722" s="3"/>
      <c r="C13722" s="3"/>
      <c r="D13722" s="3"/>
      <c r="E13722" s="3">
        <v>19</v>
      </c>
      <c r="F13722" s="4" t="str">
        <f>HYPERLINK("http://141.218.60.56/~jnz1568/getInfo.php?workbook=10_05.xlsx&amp;sheet=U0&amp;row=13722&amp;col=6&amp;number=4.8&amp;sourceID=14","4.8")</f>
        <v>4.8</v>
      </c>
      <c r="G13722" s="4" t="str">
        <f>HYPERLINK("http://141.218.60.56/~jnz1568/getInfo.php?workbook=10_05.xlsx&amp;sheet=U0&amp;row=13722&amp;col=7&amp;number=0.00691&amp;sourceID=14","0.00691")</f>
        <v>0.00691</v>
      </c>
    </row>
    <row r="13723" spans="1:7">
      <c r="A13723" s="3"/>
      <c r="B13723" s="3"/>
      <c r="C13723" s="3"/>
      <c r="D13723" s="3"/>
      <c r="E13723" s="3">
        <v>20</v>
      </c>
      <c r="F13723" s="4" t="str">
        <f>HYPERLINK("http://141.218.60.56/~jnz1568/getInfo.php?workbook=10_05.xlsx&amp;sheet=U0&amp;row=13723&amp;col=6&amp;number=4.9&amp;sourceID=14","4.9")</f>
        <v>4.9</v>
      </c>
      <c r="G13723" s="4" t="str">
        <f>HYPERLINK("http://141.218.60.56/~jnz1568/getInfo.php?workbook=10_05.xlsx&amp;sheet=U0&amp;row=13723&amp;col=7&amp;number=0.00683&amp;sourceID=14","0.00683")</f>
        <v>0.00683</v>
      </c>
    </row>
    <row r="13724" spans="1:7">
      <c r="A13724" s="3">
        <v>10</v>
      </c>
      <c r="B13724" s="3">
        <v>5</v>
      </c>
      <c r="C13724" s="3">
        <v>4</v>
      </c>
      <c r="D13724" s="3">
        <v>157</v>
      </c>
      <c r="E13724" s="3">
        <v>1</v>
      </c>
      <c r="F13724" s="4" t="str">
        <f>HYPERLINK("http://141.218.60.56/~jnz1568/getInfo.php?workbook=10_05.xlsx&amp;sheet=U0&amp;row=13724&amp;col=6&amp;number=3&amp;sourceID=14","3")</f>
        <v>3</v>
      </c>
      <c r="G13724" s="4" t="str">
        <f>HYPERLINK("http://141.218.60.56/~jnz1568/getInfo.php?workbook=10_05.xlsx&amp;sheet=U0&amp;row=13724&amp;col=7&amp;number=0.00803&amp;sourceID=14","0.00803")</f>
        <v>0.00803</v>
      </c>
    </row>
    <row r="13725" spans="1:7">
      <c r="A13725" s="3"/>
      <c r="B13725" s="3"/>
      <c r="C13725" s="3"/>
      <c r="D13725" s="3"/>
      <c r="E13725" s="3">
        <v>2</v>
      </c>
      <c r="F13725" s="4" t="str">
        <f>HYPERLINK("http://141.218.60.56/~jnz1568/getInfo.php?workbook=10_05.xlsx&amp;sheet=U0&amp;row=13725&amp;col=6&amp;number=3.1&amp;sourceID=14","3.1")</f>
        <v>3.1</v>
      </c>
      <c r="G13725" s="4" t="str">
        <f>HYPERLINK("http://141.218.60.56/~jnz1568/getInfo.php?workbook=10_05.xlsx&amp;sheet=U0&amp;row=13725&amp;col=7&amp;number=0.00803&amp;sourceID=14","0.00803")</f>
        <v>0.00803</v>
      </c>
    </row>
    <row r="13726" spans="1:7">
      <c r="A13726" s="3"/>
      <c r="B13726" s="3"/>
      <c r="C13726" s="3"/>
      <c r="D13726" s="3"/>
      <c r="E13726" s="3">
        <v>3</v>
      </c>
      <c r="F13726" s="4" t="str">
        <f>HYPERLINK("http://141.218.60.56/~jnz1568/getInfo.php?workbook=10_05.xlsx&amp;sheet=U0&amp;row=13726&amp;col=6&amp;number=3.2&amp;sourceID=14","3.2")</f>
        <v>3.2</v>
      </c>
      <c r="G13726" s="4" t="str">
        <f>HYPERLINK("http://141.218.60.56/~jnz1568/getInfo.php?workbook=10_05.xlsx&amp;sheet=U0&amp;row=13726&amp;col=7&amp;number=0.00804&amp;sourceID=14","0.00804")</f>
        <v>0.00804</v>
      </c>
    </row>
    <row r="13727" spans="1:7">
      <c r="A13727" s="3"/>
      <c r="B13727" s="3"/>
      <c r="C13727" s="3"/>
      <c r="D13727" s="3"/>
      <c r="E13727" s="3">
        <v>4</v>
      </c>
      <c r="F13727" s="4" t="str">
        <f>HYPERLINK("http://141.218.60.56/~jnz1568/getInfo.php?workbook=10_05.xlsx&amp;sheet=U0&amp;row=13727&amp;col=6&amp;number=3.3&amp;sourceID=14","3.3")</f>
        <v>3.3</v>
      </c>
      <c r="G13727" s="4" t="str">
        <f>HYPERLINK("http://141.218.60.56/~jnz1568/getInfo.php?workbook=10_05.xlsx&amp;sheet=U0&amp;row=13727&amp;col=7&amp;number=0.00805&amp;sourceID=14","0.00805")</f>
        <v>0.00805</v>
      </c>
    </row>
    <row r="13728" spans="1:7">
      <c r="A13728" s="3"/>
      <c r="B13728" s="3"/>
      <c r="C13728" s="3"/>
      <c r="D13728" s="3"/>
      <c r="E13728" s="3">
        <v>5</v>
      </c>
      <c r="F13728" s="4" t="str">
        <f>HYPERLINK("http://141.218.60.56/~jnz1568/getInfo.php?workbook=10_05.xlsx&amp;sheet=U0&amp;row=13728&amp;col=6&amp;number=3.4&amp;sourceID=14","3.4")</f>
        <v>3.4</v>
      </c>
      <c r="G13728" s="4" t="str">
        <f>HYPERLINK("http://141.218.60.56/~jnz1568/getInfo.php?workbook=10_05.xlsx&amp;sheet=U0&amp;row=13728&amp;col=7&amp;number=0.00807&amp;sourceID=14","0.00807")</f>
        <v>0.00807</v>
      </c>
    </row>
    <row r="13729" spans="1:7">
      <c r="A13729" s="3"/>
      <c r="B13729" s="3"/>
      <c r="C13729" s="3"/>
      <c r="D13729" s="3"/>
      <c r="E13729" s="3">
        <v>6</v>
      </c>
      <c r="F13729" s="4" t="str">
        <f>HYPERLINK("http://141.218.60.56/~jnz1568/getInfo.php?workbook=10_05.xlsx&amp;sheet=U0&amp;row=13729&amp;col=6&amp;number=3.5&amp;sourceID=14","3.5")</f>
        <v>3.5</v>
      </c>
      <c r="G13729" s="4" t="str">
        <f>HYPERLINK("http://141.218.60.56/~jnz1568/getInfo.php?workbook=10_05.xlsx&amp;sheet=U0&amp;row=13729&amp;col=7&amp;number=0.00808&amp;sourceID=14","0.00808")</f>
        <v>0.00808</v>
      </c>
    </row>
    <row r="13730" spans="1:7">
      <c r="A13730" s="3"/>
      <c r="B13730" s="3"/>
      <c r="C13730" s="3"/>
      <c r="D13730" s="3"/>
      <c r="E13730" s="3">
        <v>7</v>
      </c>
      <c r="F13730" s="4" t="str">
        <f>HYPERLINK("http://141.218.60.56/~jnz1568/getInfo.php?workbook=10_05.xlsx&amp;sheet=U0&amp;row=13730&amp;col=6&amp;number=3.6&amp;sourceID=14","3.6")</f>
        <v>3.6</v>
      </c>
      <c r="G13730" s="4" t="str">
        <f>HYPERLINK("http://141.218.60.56/~jnz1568/getInfo.php?workbook=10_05.xlsx&amp;sheet=U0&amp;row=13730&amp;col=7&amp;number=0.00811&amp;sourceID=14","0.00811")</f>
        <v>0.00811</v>
      </c>
    </row>
    <row r="13731" spans="1:7">
      <c r="A13731" s="3"/>
      <c r="B13731" s="3"/>
      <c r="C13731" s="3"/>
      <c r="D13731" s="3"/>
      <c r="E13731" s="3">
        <v>8</v>
      </c>
      <c r="F13731" s="4" t="str">
        <f>HYPERLINK("http://141.218.60.56/~jnz1568/getInfo.php?workbook=10_05.xlsx&amp;sheet=U0&amp;row=13731&amp;col=6&amp;number=3.7&amp;sourceID=14","3.7")</f>
        <v>3.7</v>
      </c>
      <c r="G13731" s="4" t="str">
        <f>HYPERLINK("http://141.218.60.56/~jnz1568/getInfo.php?workbook=10_05.xlsx&amp;sheet=U0&amp;row=13731&amp;col=7&amp;number=0.00813&amp;sourceID=14","0.00813")</f>
        <v>0.00813</v>
      </c>
    </row>
    <row r="13732" spans="1:7">
      <c r="A13732" s="3"/>
      <c r="B13732" s="3"/>
      <c r="C13732" s="3"/>
      <c r="D13732" s="3"/>
      <c r="E13732" s="3">
        <v>9</v>
      </c>
      <c r="F13732" s="4" t="str">
        <f>HYPERLINK("http://141.218.60.56/~jnz1568/getInfo.php?workbook=10_05.xlsx&amp;sheet=U0&amp;row=13732&amp;col=6&amp;number=3.8&amp;sourceID=14","3.8")</f>
        <v>3.8</v>
      </c>
      <c r="G13732" s="4" t="str">
        <f>HYPERLINK("http://141.218.60.56/~jnz1568/getInfo.php?workbook=10_05.xlsx&amp;sheet=U0&amp;row=13732&amp;col=7&amp;number=0.00816&amp;sourceID=14","0.00816")</f>
        <v>0.00816</v>
      </c>
    </row>
    <row r="13733" spans="1:7">
      <c r="A13733" s="3"/>
      <c r="B13733" s="3"/>
      <c r="C13733" s="3"/>
      <c r="D13733" s="3"/>
      <c r="E13733" s="3">
        <v>10</v>
      </c>
      <c r="F13733" s="4" t="str">
        <f>HYPERLINK("http://141.218.60.56/~jnz1568/getInfo.php?workbook=10_05.xlsx&amp;sheet=U0&amp;row=13733&amp;col=6&amp;number=3.9&amp;sourceID=14","3.9")</f>
        <v>3.9</v>
      </c>
      <c r="G13733" s="4" t="str">
        <f>HYPERLINK("http://141.218.60.56/~jnz1568/getInfo.php?workbook=10_05.xlsx&amp;sheet=U0&amp;row=13733&amp;col=7&amp;number=0.0082&amp;sourceID=14","0.0082")</f>
        <v>0.0082</v>
      </c>
    </row>
    <row r="13734" spans="1:7">
      <c r="A13734" s="3"/>
      <c r="B13734" s="3"/>
      <c r="C13734" s="3"/>
      <c r="D13734" s="3"/>
      <c r="E13734" s="3">
        <v>11</v>
      </c>
      <c r="F13734" s="4" t="str">
        <f>HYPERLINK("http://141.218.60.56/~jnz1568/getInfo.php?workbook=10_05.xlsx&amp;sheet=U0&amp;row=13734&amp;col=6&amp;number=4&amp;sourceID=14","4")</f>
        <v>4</v>
      </c>
      <c r="G13734" s="4" t="str">
        <f>HYPERLINK("http://141.218.60.56/~jnz1568/getInfo.php?workbook=10_05.xlsx&amp;sheet=U0&amp;row=13734&amp;col=7&amp;number=0.00824&amp;sourceID=14","0.00824")</f>
        <v>0.00824</v>
      </c>
    </row>
    <row r="13735" spans="1:7">
      <c r="A13735" s="3"/>
      <c r="B13735" s="3"/>
      <c r="C13735" s="3"/>
      <c r="D13735" s="3"/>
      <c r="E13735" s="3">
        <v>12</v>
      </c>
      <c r="F13735" s="4" t="str">
        <f>HYPERLINK("http://141.218.60.56/~jnz1568/getInfo.php?workbook=10_05.xlsx&amp;sheet=U0&amp;row=13735&amp;col=6&amp;number=4.1&amp;sourceID=14","4.1")</f>
        <v>4.1</v>
      </c>
      <c r="G13735" s="4" t="str">
        <f>HYPERLINK("http://141.218.60.56/~jnz1568/getInfo.php?workbook=10_05.xlsx&amp;sheet=U0&amp;row=13735&amp;col=7&amp;number=0.00828&amp;sourceID=14","0.00828")</f>
        <v>0.00828</v>
      </c>
    </row>
    <row r="13736" spans="1:7">
      <c r="A13736" s="3"/>
      <c r="B13736" s="3"/>
      <c r="C13736" s="3"/>
      <c r="D13736" s="3"/>
      <c r="E13736" s="3">
        <v>13</v>
      </c>
      <c r="F13736" s="4" t="str">
        <f>HYPERLINK("http://141.218.60.56/~jnz1568/getInfo.php?workbook=10_05.xlsx&amp;sheet=U0&amp;row=13736&amp;col=6&amp;number=4.2&amp;sourceID=14","4.2")</f>
        <v>4.2</v>
      </c>
      <c r="G13736" s="4" t="str">
        <f>HYPERLINK("http://141.218.60.56/~jnz1568/getInfo.php?workbook=10_05.xlsx&amp;sheet=U0&amp;row=13736&amp;col=7&amp;number=0.00831&amp;sourceID=14","0.00831")</f>
        <v>0.00831</v>
      </c>
    </row>
    <row r="13737" spans="1:7">
      <c r="A13737" s="3"/>
      <c r="B13737" s="3"/>
      <c r="C13737" s="3"/>
      <c r="D13737" s="3"/>
      <c r="E13737" s="3">
        <v>14</v>
      </c>
      <c r="F13737" s="4" t="str">
        <f>HYPERLINK("http://141.218.60.56/~jnz1568/getInfo.php?workbook=10_05.xlsx&amp;sheet=U0&amp;row=13737&amp;col=6&amp;number=4.3&amp;sourceID=14","4.3")</f>
        <v>4.3</v>
      </c>
      <c r="G13737" s="4" t="str">
        <f>HYPERLINK("http://141.218.60.56/~jnz1568/getInfo.php?workbook=10_05.xlsx&amp;sheet=U0&amp;row=13737&amp;col=7&amp;number=0.00831&amp;sourceID=14","0.00831")</f>
        <v>0.00831</v>
      </c>
    </row>
    <row r="13738" spans="1:7">
      <c r="A13738" s="3"/>
      <c r="B13738" s="3"/>
      <c r="C13738" s="3"/>
      <c r="D13738" s="3"/>
      <c r="E13738" s="3">
        <v>15</v>
      </c>
      <c r="F13738" s="4" t="str">
        <f>HYPERLINK("http://141.218.60.56/~jnz1568/getInfo.php?workbook=10_05.xlsx&amp;sheet=U0&amp;row=13738&amp;col=6&amp;number=4.4&amp;sourceID=14","4.4")</f>
        <v>4.4</v>
      </c>
      <c r="G13738" s="4" t="str">
        <f>HYPERLINK("http://141.218.60.56/~jnz1568/getInfo.php?workbook=10_05.xlsx&amp;sheet=U0&amp;row=13738&amp;col=7&amp;number=0.00828&amp;sourceID=14","0.00828")</f>
        <v>0.00828</v>
      </c>
    </row>
    <row r="13739" spans="1:7">
      <c r="A13739" s="3"/>
      <c r="B13739" s="3"/>
      <c r="C13739" s="3"/>
      <c r="D13739" s="3"/>
      <c r="E13739" s="3">
        <v>16</v>
      </c>
      <c r="F13739" s="4" t="str">
        <f>HYPERLINK("http://141.218.60.56/~jnz1568/getInfo.php?workbook=10_05.xlsx&amp;sheet=U0&amp;row=13739&amp;col=6&amp;number=4.5&amp;sourceID=14","4.5")</f>
        <v>4.5</v>
      </c>
      <c r="G13739" s="4" t="str">
        <f>HYPERLINK("http://141.218.60.56/~jnz1568/getInfo.php?workbook=10_05.xlsx&amp;sheet=U0&amp;row=13739&amp;col=7&amp;number=0.0082&amp;sourceID=14","0.0082")</f>
        <v>0.0082</v>
      </c>
    </row>
    <row r="13740" spans="1:7">
      <c r="A13740" s="3"/>
      <c r="B13740" s="3"/>
      <c r="C13740" s="3"/>
      <c r="D13740" s="3"/>
      <c r="E13740" s="3">
        <v>17</v>
      </c>
      <c r="F13740" s="4" t="str">
        <f>HYPERLINK("http://141.218.60.56/~jnz1568/getInfo.php?workbook=10_05.xlsx&amp;sheet=U0&amp;row=13740&amp;col=6&amp;number=4.6&amp;sourceID=14","4.6")</f>
        <v>4.6</v>
      </c>
      <c r="G13740" s="4" t="str">
        <f>HYPERLINK("http://141.218.60.56/~jnz1568/getInfo.php?workbook=10_05.xlsx&amp;sheet=U0&amp;row=13740&amp;col=7&amp;number=0.0081&amp;sourceID=14","0.0081")</f>
        <v>0.0081</v>
      </c>
    </row>
    <row r="13741" spans="1:7">
      <c r="A13741" s="3"/>
      <c r="B13741" s="3"/>
      <c r="C13741" s="3"/>
      <c r="D13741" s="3"/>
      <c r="E13741" s="3">
        <v>18</v>
      </c>
      <c r="F13741" s="4" t="str">
        <f>HYPERLINK("http://141.218.60.56/~jnz1568/getInfo.php?workbook=10_05.xlsx&amp;sheet=U0&amp;row=13741&amp;col=6&amp;number=4.7&amp;sourceID=14","4.7")</f>
        <v>4.7</v>
      </c>
      <c r="G13741" s="4" t="str">
        <f>HYPERLINK("http://141.218.60.56/~jnz1568/getInfo.php?workbook=10_05.xlsx&amp;sheet=U0&amp;row=13741&amp;col=7&amp;number=0.00799&amp;sourceID=14","0.00799")</f>
        <v>0.00799</v>
      </c>
    </row>
    <row r="13742" spans="1:7">
      <c r="A13742" s="3"/>
      <c r="B13742" s="3"/>
      <c r="C13742" s="3"/>
      <c r="D13742" s="3"/>
      <c r="E13742" s="3">
        <v>19</v>
      </c>
      <c r="F13742" s="4" t="str">
        <f>HYPERLINK("http://141.218.60.56/~jnz1568/getInfo.php?workbook=10_05.xlsx&amp;sheet=U0&amp;row=13742&amp;col=6&amp;number=4.8&amp;sourceID=14","4.8")</f>
        <v>4.8</v>
      </c>
      <c r="G13742" s="4" t="str">
        <f>HYPERLINK("http://141.218.60.56/~jnz1568/getInfo.php?workbook=10_05.xlsx&amp;sheet=U0&amp;row=13742&amp;col=7&amp;number=0.00791&amp;sourceID=14","0.00791")</f>
        <v>0.00791</v>
      </c>
    </row>
    <row r="13743" spans="1:7">
      <c r="A13743" s="3"/>
      <c r="B13743" s="3"/>
      <c r="C13743" s="3"/>
      <c r="D13743" s="3"/>
      <c r="E13743" s="3">
        <v>20</v>
      </c>
      <c r="F13743" s="4" t="str">
        <f>HYPERLINK("http://141.218.60.56/~jnz1568/getInfo.php?workbook=10_05.xlsx&amp;sheet=U0&amp;row=13743&amp;col=6&amp;number=4.9&amp;sourceID=14","4.9")</f>
        <v>4.9</v>
      </c>
      <c r="G13743" s="4" t="str">
        <f>HYPERLINK("http://141.218.60.56/~jnz1568/getInfo.php?workbook=10_05.xlsx&amp;sheet=U0&amp;row=13743&amp;col=7&amp;number=0.00782&amp;sourceID=14","0.00782")</f>
        <v>0.00782</v>
      </c>
    </row>
    <row r="13744" spans="1:7">
      <c r="A13744" s="3">
        <v>10</v>
      </c>
      <c r="B13744" s="3">
        <v>5</v>
      </c>
      <c r="C13744" s="3">
        <v>4</v>
      </c>
      <c r="D13744" s="3">
        <v>158</v>
      </c>
      <c r="E13744" s="3">
        <v>1</v>
      </c>
      <c r="F13744" s="4" t="str">
        <f>HYPERLINK("http://141.218.60.56/~jnz1568/getInfo.php?workbook=10_05.xlsx&amp;sheet=U0&amp;row=13744&amp;col=6&amp;number=3&amp;sourceID=14","3")</f>
        <v>3</v>
      </c>
      <c r="G13744" s="4" t="str">
        <f>HYPERLINK("http://141.218.60.56/~jnz1568/getInfo.php?workbook=10_05.xlsx&amp;sheet=U0&amp;row=13744&amp;col=7&amp;number=0.00902&amp;sourceID=14","0.00902")</f>
        <v>0.00902</v>
      </c>
    </row>
    <row r="13745" spans="1:7">
      <c r="A13745" s="3"/>
      <c r="B13745" s="3"/>
      <c r="C13745" s="3"/>
      <c r="D13745" s="3"/>
      <c r="E13745" s="3">
        <v>2</v>
      </c>
      <c r="F13745" s="4" t="str">
        <f>HYPERLINK("http://141.218.60.56/~jnz1568/getInfo.php?workbook=10_05.xlsx&amp;sheet=U0&amp;row=13745&amp;col=6&amp;number=3.1&amp;sourceID=14","3.1")</f>
        <v>3.1</v>
      </c>
      <c r="G13745" s="4" t="str">
        <f>HYPERLINK("http://141.218.60.56/~jnz1568/getInfo.php?workbook=10_05.xlsx&amp;sheet=U0&amp;row=13745&amp;col=7&amp;number=0.00902&amp;sourceID=14","0.00902")</f>
        <v>0.00902</v>
      </c>
    </row>
    <row r="13746" spans="1:7">
      <c r="A13746" s="3"/>
      <c r="B13746" s="3"/>
      <c r="C13746" s="3"/>
      <c r="D13746" s="3"/>
      <c r="E13746" s="3">
        <v>3</v>
      </c>
      <c r="F13746" s="4" t="str">
        <f>HYPERLINK("http://141.218.60.56/~jnz1568/getInfo.php?workbook=10_05.xlsx&amp;sheet=U0&amp;row=13746&amp;col=6&amp;number=3.2&amp;sourceID=14","3.2")</f>
        <v>3.2</v>
      </c>
      <c r="G13746" s="4" t="str">
        <f>HYPERLINK("http://141.218.60.56/~jnz1568/getInfo.php?workbook=10_05.xlsx&amp;sheet=U0&amp;row=13746&amp;col=7&amp;number=0.00902&amp;sourceID=14","0.00902")</f>
        <v>0.00902</v>
      </c>
    </row>
    <row r="13747" spans="1:7">
      <c r="A13747" s="3"/>
      <c r="B13747" s="3"/>
      <c r="C13747" s="3"/>
      <c r="D13747" s="3"/>
      <c r="E13747" s="3">
        <v>4</v>
      </c>
      <c r="F13747" s="4" t="str">
        <f>HYPERLINK("http://141.218.60.56/~jnz1568/getInfo.php?workbook=10_05.xlsx&amp;sheet=U0&amp;row=13747&amp;col=6&amp;number=3.3&amp;sourceID=14","3.3")</f>
        <v>3.3</v>
      </c>
      <c r="G13747" s="4" t="str">
        <f>HYPERLINK("http://141.218.60.56/~jnz1568/getInfo.php?workbook=10_05.xlsx&amp;sheet=U0&amp;row=13747&amp;col=7&amp;number=0.00903&amp;sourceID=14","0.00903")</f>
        <v>0.00903</v>
      </c>
    </row>
    <row r="13748" spans="1:7">
      <c r="A13748" s="3"/>
      <c r="B13748" s="3"/>
      <c r="C13748" s="3"/>
      <c r="D13748" s="3"/>
      <c r="E13748" s="3">
        <v>5</v>
      </c>
      <c r="F13748" s="4" t="str">
        <f>HYPERLINK("http://141.218.60.56/~jnz1568/getInfo.php?workbook=10_05.xlsx&amp;sheet=U0&amp;row=13748&amp;col=6&amp;number=3.4&amp;sourceID=14","3.4")</f>
        <v>3.4</v>
      </c>
      <c r="G13748" s="4" t="str">
        <f>HYPERLINK("http://141.218.60.56/~jnz1568/getInfo.php?workbook=10_05.xlsx&amp;sheet=U0&amp;row=13748&amp;col=7&amp;number=0.00903&amp;sourceID=14","0.00903")</f>
        <v>0.00903</v>
      </c>
    </row>
    <row r="13749" spans="1:7">
      <c r="A13749" s="3"/>
      <c r="B13749" s="3"/>
      <c r="C13749" s="3"/>
      <c r="D13749" s="3"/>
      <c r="E13749" s="3">
        <v>6</v>
      </c>
      <c r="F13749" s="4" t="str">
        <f>HYPERLINK("http://141.218.60.56/~jnz1568/getInfo.php?workbook=10_05.xlsx&amp;sheet=U0&amp;row=13749&amp;col=6&amp;number=3.5&amp;sourceID=14","3.5")</f>
        <v>3.5</v>
      </c>
      <c r="G13749" s="4" t="str">
        <f>HYPERLINK("http://141.218.60.56/~jnz1568/getInfo.php?workbook=10_05.xlsx&amp;sheet=U0&amp;row=13749&amp;col=7&amp;number=0.00903&amp;sourceID=14","0.00903")</f>
        <v>0.00903</v>
      </c>
    </row>
    <row r="13750" spans="1:7">
      <c r="A13750" s="3"/>
      <c r="B13750" s="3"/>
      <c r="C13750" s="3"/>
      <c r="D13750" s="3"/>
      <c r="E13750" s="3">
        <v>7</v>
      </c>
      <c r="F13750" s="4" t="str">
        <f>HYPERLINK("http://141.218.60.56/~jnz1568/getInfo.php?workbook=10_05.xlsx&amp;sheet=U0&amp;row=13750&amp;col=6&amp;number=3.6&amp;sourceID=14","3.6")</f>
        <v>3.6</v>
      </c>
      <c r="G13750" s="4" t="str">
        <f>HYPERLINK("http://141.218.60.56/~jnz1568/getInfo.php?workbook=10_05.xlsx&amp;sheet=U0&amp;row=13750&amp;col=7&amp;number=0.00904&amp;sourceID=14","0.00904")</f>
        <v>0.00904</v>
      </c>
    </row>
    <row r="13751" spans="1:7">
      <c r="A13751" s="3"/>
      <c r="B13751" s="3"/>
      <c r="C13751" s="3"/>
      <c r="D13751" s="3"/>
      <c r="E13751" s="3">
        <v>8</v>
      </c>
      <c r="F13751" s="4" t="str">
        <f>HYPERLINK("http://141.218.60.56/~jnz1568/getInfo.php?workbook=10_05.xlsx&amp;sheet=U0&amp;row=13751&amp;col=6&amp;number=3.7&amp;sourceID=14","3.7")</f>
        <v>3.7</v>
      </c>
      <c r="G13751" s="4" t="str">
        <f>HYPERLINK("http://141.218.60.56/~jnz1568/getInfo.php?workbook=10_05.xlsx&amp;sheet=U0&amp;row=13751&amp;col=7&amp;number=0.00905&amp;sourceID=14","0.00905")</f>
        <v>0.00905</v>
      </c>
    </row>
    <row r="13752" spans="1:7">
      <c r="A13752" s="3"/>
      <c r="B13752" s="3"/>
      <c r="C13752" s="3"/>
      <c r="D13752" s="3"/>
      <c r="E13752" s="3">
        <v>9</v>
      </c>
      <c r="F13752" s="4" t="str">
        <f>HYPERLINK("http://141.218.60.56/~jnz1568/getInfo.php?workbook=10_05.xlsx&amp;sheet=U0&amp;row=13752&amp;col=6&amp;number=3.8&amp;sourceID=14","3.8")</f>
        <v>3.8</v>
      </c>
      <c r="G13752" s="4" t="str">
        <f>HYPERLINK("http://141.218.60.56/~jnz1568/getInfo.php?workbook=10_05.xlsx&amp;sheet=U0&amp;row=13752&amp;col=7&amp;number=0.00906&amp;sourceID=14","0.00906")</f>
        <v>0.00906</v>
      </c>
    </row>
    <row r="13753" spans="1:7">
      <c r="A13753" s="3"/>
      <c r="B13753" s="3"/>
      <c r="C13753" s="3"/>
      <c r="D13753" s="3"/>
      <c r="E13753" s="3">
        <v>10</v>
      </c>
      <c r="F13753" s="4" t="str">
        <f>HYPERLINK("http://141.218.60.56/~jnz1568/getInfo.php?workbook=10_05.xlsx&amp;sheet=U0&amp;row=13753&amp;col=6&amp;number=3.9&amp;sourceID=14","3.9")</f>
        <v>3.9</v>
      </c>
      <c r="G13753" s="4" t="str">
        <f>HYPERLINK("http://141.218.60.56/~jnz1568/getInfo.php?workbook=10_05.xlsx&amp;sheet=U0&amp;row=13753&amp;col=7&amp;number=0.00907&amp;sourceID=14","0.00907")</f>
        <v>0.00907</v>
      </c>
    </row>
    <row r="13754" spans="1:7">
      <c r="A13754" s="3"/>
      <c r="B13754" s="3"/>
      <c r="C13754" s="3"/>
      <c r="D13754" s="3"/>
      <c r="E13754" s="3">
        <v>11</v>
      </c>
      <c r="F13754" s="4" t="str">
        <f>HYPERLINK("http://141.218.60.56/~jnz1568/getInfo.php?workbook=10_05.xlsx&amp;sheet=U0&amp;row=13754&amp;col=6&amp;number=4&amp;sourceID=14","4")</f>
        <v>4</v>
      </c>
      <c r="G13754" s="4" t="str">
        <f>HYPERLINK("http://141.218.60.56/~jnz1568/getInfo.php?workbook=10_05.xlsx&amp;sheet=U0&amp;row=13754&amp;col=7&amp;number=0.00908&amp;sourceID=14","0.00908")</f>
        <v>0.00908</v>
      </c>
    </row>
    <row r="13755" spans="1:7">
      <c r="A13755" s="3"/>
      <c r="B13755" s="3"/>
      <c r="C13755" s="3"/>
      <c r="D13755" s="3"/>
      <c r="E13755" s="3">
        <v>12</v>
      </c>
      <c r="F13755" s="4" t="str">
        <f>HYPERLINK("http://141.218.60.56/~jnz1568/getInfo.php?workbook=10_05.xlsx&amp;sheet=U0&amp;row=13755&amp;col=6&amp;number=4.1&amp;sourceID=14","4.1")</f>
        <v>4.1</v>
      </c>
      <c r="G13755" s="4" t="str">
        <f>HYPERLINK("http://141.218.60.56/~jnz1568/getInfo.php?workbook=10_05.xlsx&amp;sheet=U0&amp;row=13755&amp;col=7&amp;number=0.00909&amp;sourceID=14","0.00909")</f>
        <v>0.00909</v>
      </c>
    </row>
    <row r="13756" spans="1:7">
      <c r="A13756" s="3"/>
      <c r="B13756" s="3"/>
      <c r="C13756" s="3"/>
      <c r="D13756" s="3"/>
      <c r="E13756" s="3">
        <v>13</v>
      </c>
      <c r="F13756" s="4" t="str">
        <f>HYPERLINK("http://141.218.60.56/~jnz1568/getInfo.php?workbook=10_05.xlsx&amp;sheet=U0&amp;row=13756&amp;col=6&amp;number=4.2&amp;sourceID=14","4.2")</f>
        <v>4.2</v>
      </c>
      <c r="G13756" s="4" t="str">
        <f>HYPERLINK("http://141.218.60.56/~jnz1568/getInfo.php?workbook=10_05.xlsx&amp;sheet=U0&amp;row=13756&amp;col=7&amp;number=0.00911&amp;sourceID=14","0.00911")</f>
        <v>0.00911</v>
      </c>
    </row>
    <row r="13757" spans="1:7">
      <c r="A13757" s="3"/>
      <c r="B13757" s="3"/>
      <c r="C13757" s="3"/>
      <c r="D13757" s="3"/>
      <c r="E13757" s="3">
        <v>14</v>
      </c>
      <c r="F13757" s="4" t="str">
        <f>HYPERLINK("http://141.218.60.56/~jnz1568/getInfo.php?workbook=10_05.xlsx&amp;sheet=U0&amp;row=13757&amp;col=6&amp;number=4.3&amp;sourceID=14","4.3")</f>
        <v>4.3</v>
      </c>
      <c r="G13757" s="4" t="str">
        <f>HYPERLINK("http://141.218.60.56/~jnz1568/getInfo.php?workbook=10_05.xlsx&amp;sheet=U0&amp;row=13757&amp;col=7&amp;number=0.00912&amp;sourceID=14","0.00912")</f>
        <v>0.00912</v>
      </c>
    </row>
    <row r="13758" spans="1:7">
      <c r="A13758" s="3"/>
      <c r="B13758" s="3"/>
      <c r="C13758" s="3"/>
      <c r="D13758" s="3"/>
      <c r="E13758" s="3">
        <v>15</v>
      </c>
      <c r="F13758" s="4" t="str">
        <f>HYPERLINK("http://141.218.60.56/~jnz1568/getInfo.php?workbook=10_05.xlsx&amp;sheet=U0&amp;row=13758&amp;col=6&amp;number=4.4&amp;sourceID=14","4.4")</f>
        <v>4.4</v>
      </c>
      <c r="G13758" s="4" t="str">
        <f>HYPERLINK("http://141.218.60.56/~jnz1568/getInfo.php?workbook=10_05.xlsx&amp;sheet=U0&amp;row=13758&amp;col=7&amp;number=0.00913&amp;sourceID=14","0.00913")</f>
        <v>0.00913</v>
      </c>
    </row>
    <row r="13759" spans="1:7">
      <c r="A13759" s="3"/>
      <c r="B13759" s="3"/>
      <c r="C13759" s="3"/>
      <c r="D13759" s="3"/>
      <c r="E13759" s="3">
        <v>16</v>
      </c>
      <c r="F13759" s="4" t="str">
        <f>HYPERLINK("http://141.218.60.56/~jnz1568/getInfo.php?workbook=10_05.xlsx&amp;sheet=U0&amp;row=13759&amp;col=6&amp;number=4.5&amp;sourceID=14","4.5")</f>
        <v>4.5</v>
      </c>
      <c r="G13759" s="4" t="str">
        <f>HYPERLINK("http://141.218.60.56/~jnz1568/getInfo.php?workbook=10_05.xlsx&amp;sheet=U0&amp;row=13759&amp;col=7&amp;number=0.00913&amp;sourceID=14","0.00913")</f>
        <v>0.00913</v>
      </c>
    </row>
    <row r="13760" spans="1:7">
      <c r="A13760" s="3"/>
      <c r="B13760" s="3"/>
      <c r="C13760" s="3"/>
      <c r="D13760" s="3"/>
      <c r="E13760" s="3">
        <v>17</v>
      </c>
      <c r="F13760" s="4" t="str">
        <f>HYPERLINK("http://141.218.60.56/~jnz1568/getInfo.php?workbook=10_05.xlsx&amp;sheet=U0&amp;row=13760&amp;col=6&amp;number=4.6&amp;sourceID=14","4.6")</f>
        <v>4.6</v>
      </c>
      <c r="G13760" s="4" t="str">
        <f>HYPERLINK("http://141.218.60.56/~jnz1568/getInfo.php?workbook=10_05.xlsx&amp;sheet=U0&amp;row=13760&amp;col=7&amp;number=0.00912&amp;sourceID=14","0.00912")</f>
        <v>0.00912</v>
      </c>
    </row>
    <row r="13761" spans="1:7">
      <c r="A13761" s="3"/>
      <c r="B13761" s="3"/>
      <c r="C13761" s="3"/>
      <c r="D13761" s="3"/>
      <c r="E13761" s="3">
        <v>18</v>
      </c>
      <c r="F13761" s="4" t="str">
        <f>HYPERLINK("http://141.218.60.56/~jnz1568/getInfo.php?workbook=10_05.xlsx&amp;sheet=U0&amp;row=13761&amp;col=6&amp;number=4.7&amp;sourceID=14","4.7")</f>
        <v>4.7</v>
      </c>
      <c r="G13761" s="4" t="str">
        <f>HYPERLINK("http://141.218.60.56/~jnz1568/getInfo.php?workbook=10_05.xlsx&amp;sheet=U0&amp;row=13761&amp;col=7&amp;number=0.0091&amp;sourceID=14","0.0091")</f>
        <v>0.0091</v>
      </c>
    </row>
    <row r="13762" spans="1:7">
      <c r="A13762" s="3"/>
      <c r="B13762" s="3"/>
      <c r="C13762" s="3"/>
      <c r="D13762" s="3"/>
      <c r="E13762" s="3">
        <v>19</v>
      </c>
      <c r="F13762" s="4" t="str">
        <f>HYPERLINK("http://141.218.60.56/~jnz1568/getInfo.php?workbook=10_05.xlsx&amp;sheet=U0&amp;row=13762&amp;col=6&amp;number=4.8&amp;sourceID=14","4.8")</f>
        <v>4.8</v>
      </c>
      <c r="G13762" s="4" t="str">
        <f>HYPERLINK("http://141.218.60.56/~jnz1568/getInfo.php?workbook=10_05.xlsx&amp;sheet=U0&amp;row=13762&amp;col=7&amp;number=0.00905&amp;sourceID=14","0.00905")</f>
        <v>0.00905</v>
      </c>
    </row>
    <row r="13763" spans="1:7">
      <c r="A13763" s="3"/>
      <c r="B13763" s="3"/>
      <c r="C13763" s="3"/>
      <c r="D13763" s="3"/>
      <c r="E13763" s="3">
        <v>20</v>
      </c>
      <c r="F13763" s="4" t="str">
        <f>HYPERLINK("http://141.218.60.56/~jnz1568/getInfo.php?workbook=10_05.xlsx&amp;sheet=U0&amp;row=13763&amp;col=6&amp;number=4.9&amp;sourceID=14","4.9")</f>
        <v>4.9</v>
      </c>
      <c r="G13763" s="4" t="str">
        <f>HYPERLINK("http://141.218.60.56/~jnz1568/getInfo.php?workbook=10_05.xlsx&amp;sheet=U0&amp;row=13763&amp;col=7&amp;number=0.00897&amp;sourceID=14","0.00897")</f>
        <v>0.00897</v>
      </c>
    </row>
    <row r="13764" spans="1:7">
      <c r="A13764" s="3">
        <v>10</v>
      </c>
      <c r="B13764" s="3">
        <v>5</v>
      </c>
      <c r="C13764" s="3">
        <v>4</v>
      </c>
      <c r="D13764" s="3">
        <v>159</v>
      </c>
      <c r="E13764" s="3">
        <v>1</v>
      </c>
      <c r="F13764" s="4" t="str">
        <f>HYPERLINK("http://141.218.60.56/~jnz1568/getInfo.php?workbook=10_05.xlsx&amp;sheet=U0&amp;row=13764&amp;col=6&amp;number=3&amp;sourceID=14","3")</f>
        <v>3</v>
      </c>
      <c r="G13764" s="4" t="str">
        <f>HYPERLINK("http://141.218.60.56/~jnz1568/getInfo.php?workbook=10_05.xlsx&amp;sheet=U0&amp;row=13764&amp;col=7&amp;number=0.00489&amp;sourceID=14","0.00489")</f>
        <v>0.00489</v>
      </c>
    </row>
    <row r="13765" spans="1:7">
      <c r="A13765" s="3"/>
      <c r="B13765" s="3"/>
      <c r="C13765" s="3"/>
      <c r="D13765" s="3"/>
      <c r="E13765" s="3">
        <v>2</v>
      </c>
      <c r="F13765" s="4" t="str">
        <f>HYPERLINK("http://141.218.60.56/~jnz1568/getInfo.php?workbook=10_05.xlsx&amp;sheet=U0&amp;row=13765&amp;col=6&amp;number=3.1&amp;sourceID=14","3.1")</f>
        <v>3.1</v>
      </c>
      <c r="G13765" s="4" t="str">
        <f>HYPERLINK("http://141.218.60.56/~jnz1568/getInfo.php?workbook=10_05.xlsx&amp;sheet=U0&amp;row=13765&amp;col=7&amp;number=0.0049&amp;sourceID=14","0.0049")</f>
        <v>0.0049</v>
      </c>
    </row>
    <row r="13766" spans="1:7">
      <c r="A13766" s="3"/>
      <c r="B13766" s="3"/>
      <c r="C13766" s="3"/>
      <c r="D13766" s="3"/>
      <c r="E13766" s="3">
        <v>3</v>
      </c>
      <c r="F13766" s="4" t="str">
        <f>HYPERLINK("http://141.218.60.56/~jnz1568/getInfo.php?workbook=10_05.xlsx&amp;sheet=U0&amp;row=13766&amp;col=6&amp;number=3.2&amp;sourceID=14","3.2")</f>
        <v>3.2</v>
      </c>
      <c r="G13766" s="4" t="str">
        <f>HYPERLINK("http://141.218.60.56/~jnz1568/getInfo.php?workbook=10_05.xlsx&amp;sheet=U0&amp;row=13766&amp;col=7&amp;number=0.0049&amp;sourceID=14","0.0049")</f>
        <v>0.0049</v>
      </c>
    </row>
    <row r="13767" spans="1:7">
      <c r="A13767" s="3"/>
      <c r="B13767" s="3"/>
      <c r="C13767" s="3"/>
      <c r="D13767" s="3"/>
      <c r="E13767" s="3">
        <v>4</v>
      </c>
      <c r="F13767" s="4" t="str">
        <f>HYPERLINK("http://141.218.60.56/~jnz1568/getInfo.php?workbook=10_05.xlsx&amp;sheet=U0&amp;row=13767&amp;col=6&amp;number=3.3&amp;sourceID=14","3.3")</f>
        <v>3.3</v>
      </c>
      <c r="G13767" s="4" t="str">
        <f>HYPERLINK("http://141.218.60.56/~jnz1568/getInfo.php?workbook=10_05.xlsx&amp;sheet=U0&amp;row=13767&amp;col=7&amp;number=0.0049&amp;sourceID=14","0.0049")</f>
        <v>0.0049</v>
      </c>
    </row>
    <row r="13768" spans="1:7">
      <c r="A13768" s="3"/>
      <c r="B13768" s="3"/>
      <c r="C13768" s="3"/>
      <c r="D13768" s="3"/>
      <c r="E13768" s="3">
        <v>5</v>
      </c>
      <c r="F13768" s="4" t="str">
        <f>HYPERLINK("http://141.218.60.56/~jnz1568/getInfo.php?workbook=10_05.xlsx&amp;sheet=U0&amp;row=13768&amp;col=6&amp;number=3.4&amp;sourceID=14","3.4")</f>
        <v>3.4</v>
      </c>
      <c r="G13768" s="4" t="str">
        <f>HYPERLINK("http://141.218.60.56/~jnz1568/getInfo.php?workbook=10_05.xlsx&amp;sheet=U0&amp;row=13768&amp;col=7&amp;number=0.0049&amp;sourceID=14","0.0049")</f>
        <v>0.0049</v>
      </c>
    </row>
    <row r="13769" spans="1:7">
      <c r="A13769" s="3"/>
      <c r="B13769" s="3"/>
      <c r="C13769" s="3"/>
      <c r="D13769" s="3"/>
      <c r="E13769" s="3">
        <v>6</v>
      </c>
      <c r="F13769" s="4" t="str">
        <f>HYPERLINK("http://141.218.60.56/~jnz1568/getInfo.php?workbook=10_05.xlsx&amp;sheet=U0&amp;row=13769&amp;col=6&amp;number=3.5&amp;sourceID=14","3.5")</f>
        <v>3.5</v>
      </c>
      <c r="G13769" s="4" t="str">
        <f>HYPERLINK("http://141.218.60.56/~jnz1568/getInfo.php?workbook=10_05.xlsx&amp;sheet=U0&amp;row=13769&amp;col=7&amp;number=0.00491&amp;sourceID=14","0.00491")</f>
        <v>0.00491</v>
      </c>
    </row>
    <row r="13770" spans="1:7">
      <c r="A13770" s="3"/>
      <c r="B13770" s="3"/>
      <c r="C13770" s="3"/>
      <c r="D13770" s="3"/>
      <c r="E13770" s="3">
        <v>7</v>
      </c>
      <c r="F13770" s="4" t="str">
        <f>HYPERLINK("http://141.218.60.56/~jnz1568/getInfo.php?workbook=10_05.xlsx&amp;sheet=U0&amp;row=13770&amp;col=6&amp;number=3.6&amp;sourceID=14","3.6")</f>
        <v>3.6</v>
      </c>
      <c r="G13770" s="4" t="str">
        <f>HYPERLINK("http://141.218.60.56/~jnz1568/getInfo.php?workbook=10_05.xlsx&amp;sheet=U0&amp;row=13770&amp;col=7&amp;number=0.00491&amp;sourceID=14","0.00491")</f>
        <v>0.00491</v>
      </c>
    </row>
    <row r="13771" spans="1:7">
      <c r="A13771" s="3"/>
      <c r="B13771" s="3"/>
      <c r="C13771" s="3"/>
      <c r="D13771" s="3"/>
      <c r="E13771" s="3">
        <v>8</v>
      </c>
      <c r="F13771" s="4" t="str">
        <f>HYPERLINK("http://141.218.60.56/~jnz1568/getInfo.php?workbook=10_05.xlsx&amp;sheet=U0&amp;row=13771&amp;col=6&amp;number=3.7&amp;sourceID=14","3.7")</f>
        <v>3.7</v>
      </c>
      <c r="G13771" s="4" t="str">
        <f>HYPERLINK("http://141.218.60.56/~jnz1568/getInfo.php?workbook=10_05.xlsx&amp;sheet=U0&amp;row=13771&amp;col=7&amp;number=0.00492&amp;sourceID=14","0.00492")</f>
        <v>0.00492</v>
      </c>
    </row>
    <row r="13772" spans="1:7">
      <c r="A13772" s="3"/>
      <c r="B13772" s="3"/>
      <c r="C13772" s="3"/>
      <c r="D13772" s="3"/>
      <c r="E13772" s="3">
        <v>9</v>
      </c>
      <c r="F13772" s="4" t="str">
        <f>HYPERLINK("http://141.218.60.56/~jnz1568/getInfo.php?workbook=10_05.xlsx&amp;sheet=U0&amp;row=13772&amp;col=6&amp;number=3.8&amp;sourceID=14","3.8")</f>
        <v>3.8</v>
      </c>
      <c r="G13772" s="4" t="str">
        <f>HYPERLINK("http://141.218.60.56/~jnz1568/getInfo.php?workbook=10_05.xlsx&amp;sheet=U0&amp;row=13772&amp;col=7&amp;number=0.00492&amp;sourceID=14","0.00492")</f>
        <v>0.00492</v>
      </c>
    </row>
    <row r="13773" spans="1:7">
      <c r="A13773" s="3"/>
      <c r="B13773" s="3"/>
      <c r="C13773" s="3"/>
      <c r="D13773" s="3"/>
      <c r="E13773" s="3">
        <v>10</v>
      </c>
      <c r="F13773" s="4" t="str">
        <f>HYPERLINK("http://141.218.60.56/~jnz1568/getInfo.php?workbook=10_05.xlsx&amp;sheet=U0&amp;row=13773&amp;col=6&amp;number=3.9&amp;sourceID=14","3.9")</f>
        <v>3.9</v>
      </c>
      <c r="G13773" s="4" t="str">
        <f>HYPERLINK("http://141.218.60.56/~jnz1568/getInfo.php?workbook=10_05.xlsx&amp;sheet=U0&amp;row=13773&amp;col=7&amp;number=0.00493&amp;sourceID=14","0.00493")</f>
        <v>0.00493</v>
      </c>
    </row>
    <row r="13774" spans="1:7">
      <c r="A13774" s="3"/>
      <c r="B13774" s="3"/>
      <c r="C13774" s="3"/>
      <c r="D13774" s="3"/>
      <c r="E13774" s="3">
        <v>11</v>
      </c>
      <c r="F13774" s="4" t="str">
        <f>HYPERLINK("http://141.218.60.56/~jnz1568/getInfo.php?workbook=10_05.xlsx&amp;sheet=U0&amp;row=13774&amp;col=6&amp;number=4&amp;sourceID=14","4")</f>
        <v>4</v>
      </c>
      <c r="G13774" s="4" t="str">
        <f>HYPERLINK("http://141.218.60.56/~jnz1568/getInfo.php?workbook=10_05.xlsx&amp;sheet=U0&amp;row=13774&amp;col=7&amp;number=0.00494&amp;sourceID=14","0.00494")</f>
        <v>0.00494</v>
      </c>
    </row>
    <row r="13775" spans="1:7">
      <c r="A13775" s="3"/>
      <c r="B13775" s="3"/>
      <c r="C13775" s="3"/>
      <c r="D13775" s="3"/>
      <c r="E13775" s="3">
        <v>12</v>
      </c>
      <c r="F13775" s="4" t="str">
        <f>HYPERLINK("http://141.218.60.56/~jnz1568/getInfo.php?workbook=10_05.xlsx&amp;sheet=U0&amp;row=13775&amp;col=6&amp;number=4.1&amp;sourceID=14","4.1")</f>
        <v>4.1</v>
      </c>
      <c r="G13775" s="4" t="str">
        <f>HYPERLINK("http://141.218.60.56/~jnz1568/getInfo.php?workbook=10_05.xlsx&amp;sheet=U0&amp;row=13775&amp;col=7&amp;number=0.00495&amp;sourceID=14","0.00495")</f>
        <v>0.00495</v>
      </c>
    </row>
    <row r="13776" spans="1:7">
      <c r="A13776" s="3"/>
      <c r="B13776" s="3"/>
      <c r="C13776" s="3"/>
      <c r="D13776" s="3"/>
      <c r="E13776" s="3">
        <v>13</v>
      </c>
      <c r="F13776" s="4" t="str">
        <f>HYPERLINK("http://141.218.60.56/~jnz1568/getInfo.php?workbook=10_05.xlsx&amp;sheet=U0&amp;row=13776&amp;col=6&amp;number=4.2&amp;sourceID=14","4.2")</f>
        <v>4.2</v>
      </c>
      <c r="G13776" s="4" t="str">
        <f>HYPERLINK("http://141.218.60.56/~jnz1568/getInfo.php?workbook=10_05.xlsx&amp;sheet=U0&amp;row=13776&amp;col=7&amp;number=0.00496&amp;sourceID=14","0.00496")</f>
        <v>0.00496</v>
      </c>
    </row>
    <row r="13777" spans="1:7">
      <c r="A13777" s="3"/>
      <c r="B13777" s="3"/>
      <c r="C13777" s="3"/>
      <c r="D13777" s="3"/>
      <c r="E13777" s="3">
        <v>14</v>
      </c>
      <c r="F13777" s="4" t="str">
        <f>HYPERLINK("http://141.218.60.56/~jnz1568/getInfo.php?workbook=10_05.xlsx&amp;sheet=U0&amp;row=13777&amp;col=6&amp;number=4.3&amp;sourceID=14","4.3")</f>
        <v>4.3</v>
      </c>
      <c r="G13777" s="4" t="str">
        <f>HYPERLINK("http://141.218.60.56/~jnz1568/getInfo.php?workbook=10_05.xlsx&amp;sheet=U0&amp;row=13777&amp;col=7&amp;number=0.00497&amp;sourceID=14","0.00497")</f>
        <v>0.00497</v>
      </c>
    </row>
    <row r="13778" spans="1:7">
      <c r="A13778" s="3"/>
      <c r="B13778" s="3"/>
      <c r="C13778" s="3"/>
      <c r="D13778" s="3"/>
      <c r="E13778" s="3">
        <v>15</v>
      </c>
      <c r="F13778" s="4" t="str">
        <f>HYPERLINK("http://141.218.60.56/~jnz1568/getInfo.php?workbook=10_05.xlsx&amp;sheet=U0&amp;row=13778&amp;col=6&amp;number=4.4&amp;sourceID=14","4.4")</f>
        <v>4.4</v>
      </c>
      <c r="G13778" s="4" t="str">
        <f>HYPERLINK("http://141.218.60.56/~jnz1568/getInfo.php?workbook=10_05.xlsx&amp;sheet=U0&amp;row=13778&amp;col=7&amp;number=0.00497&amp;sourceID=14","0.00497")</f>
        <v>0.00497</v>
      </c>
    </row>
    <row r="13779" spans="1:7">
      <c r="A13779" s="3"/>
      <c r="B13779" s="3"/>
      <c r="C13779" s="3"/>
      <c r="D13779" s="3"/>
      <c r="E13779" s="3">
        <v>16</v>
      </c>
      <c r="F13779" s="4" t="str">
        <f>HYPERLINK("http://141.218.60.56/~jnz1568/getInfo.php?workbook=10_05.xlsx&amp;sheet=U0&amp;row=13779&amp;col=6&amp;number=4.5&amp;sourceID=14","4.5")</f>
        <v>4.5</v>
      </c>
      <c r="G13779" s="4" t="str">
        <f>HYPERLINK("http://141.218.60.56/~jnz1568/getInfo.php?workbook=10_05.xlsx&amp;sheet=U0&amp;row=13779&amp;col=7&amp;number=0.00497&amp;sourceID=14","0.00497")</f>
        <v>0.00497</v>
      </c>
    </row>
    <row r="13780" spans="1:7">
      <c r="A13780" s="3"/>
      <c r="B13780" s="3"/>
      <c r="C13780" s="3"/>
      <c r="D13780" s="3"/>
      <c r="E13780" s="3">
        <v>17</v>
      </c>
      <c r="F13780" s="4" t="str">
        <f>HYPERLINK("http://141.218.60.56/~jnz1568/getInfo.php?workbook=10_05.xlsx&amp;sheet=U0&amp;row=13780&amp;col=6&amp;number=4.6&amp;sourceID=14","4.6")</f>
        <v>4.6</v>
      </c>
      <c r="G13780" s="4" t="str">
        <f>HYPERLINK("http://141.218.60.56/~jnz1568/getInfo.php?workbook=10_05.xlsx&amp;sheet=U0&amp;row=13780&amp;col=7&amp;number=0.00495&amp;sourceID=14","0.00495")</f>
        <v>0.00495</v>
      </c>
    </row>
    <row r="13781" spans="1:7">
      <c r="A13781" s="3"/>
      <c r="B13781" s="3"/>
      <c r="C13781" s="3"/>
      <c r="D13781" s="3"/>
      <c r="E13781" s="3">
        <v>18</v>
      </c>
      <c r="F13781" s="4" t="str">
        <f>HYPERLINK("http://141.218.60.56/~jnz1568/getInfo.php?workbook=10_05.xlsx&amp;sheet=U0&amp;row=13781&amp;col=6&amp;number=4.7&amp;sourceID=14","4.7")</f>
        <v>4.7</v>
      </c>
      <c r="G13781" s="4" t="str">
        <f>HYPERLINK("http://141.218.60.56/~jnz1568/getInfo.php?workbook=10_05.xlsx&amp;sheet=U0&amp;row=13781&amp;col=7&amp;number=0.00493&amp;sourceID=14","0.00493")</f>
        <v>0.00493</v>
      </c>
    </row>
    <row r="13782" spans="1:7">
      <c r="A13782" s="3"/>
      <c r="B13782" s="3"/>
      <c r="C13782" s="3"/>
      <c r="D13782" s="3"/>
      <c r="E13782" s="3">
        <v>19</v>
      </c>
      <c r="F13782" s="4" t="str">
        <f>HYPERLINK("http://141.218.60.56/~jnz1568/getInfo.php?workbook=10_05.xlsx&amp;sheet=U0&amp;row=13782&amp;col=6&amp;number=4.8&amp;sourceID=14","4.8")</f>
        <v>4.8</v>
      </c>
      <c r="G13782" s="4" t="str">
        <f>HYPERLINK("http://141.218.60.56/~jnz1568/getInfo.php?workbook=10_05.xlsx&amp;sheet=U0&amp;row=13782&amp;col=7&amp;number=0.00491&amp;sourceID=14","0.00491")</f>
        <v>0.00491</v>
      </c>
    </row>
    <row r="13783" spans="1:7">
      <c r="A13783" s="3"/>
      <c r="B13783" s="3"/>
      <c r="C13783" s="3"/>
      <c r="D13783" s="3"/>
      <c r="E13783" s="3">
        <v>20</v>
      </c>
      <c r="F13783" s="4" t="str">
        <f>HYPERLINK("http://141.218.60.56/~jnz1568/getInfo.php?workbook=10_05.xlsx&amp;sheet=U0&amp;row=13783&amp;col=6&amp;number=4.9&amp;sourceID=14","4.9")</f>
        <v>4.9</v>
      </c>
      <c r="G13783" s="4" t="str">
        <f>HYPERLINK("http://141.218.60.56/~jnz1568/getInfo.php?workbook=10_05.xlsx&amp;sheet=U0&amp;row=13783&amp;col=7&amp;number=0.00488&amp;sourceID=14","0.00488")</f>
        <v>0.00488</v>
      </c>
    </row>
    <row r="13784" spans="1:7">
      <c r="A13784" s="3">
        <v>10</v>
      </c>
      <c r="B13784" s="3">
        <v>5</v>
      </c>
      <c r="C13784" s="3">
        <v>4</v>
      </c>
      <c r="D13784" s="3">
        <v>160</v>
      </c>
      <c r="E13784" s="3">
        <v>1</v>
      </c>
      <c r="F13784" s="4" t="str">
        <f>HYPERLINK("http://141.218.60.56/~jnz1568/getInfo.php?workbook=10_05.xlsx&amp;sheet=U0&amp;row=13784&amp;col=6&amp;number=3&amp;sourceID=14","3")</f>
        <v>3</v>
      </c>
      <c r="G13784" s="4" t="str">
        <f>HYPERLINK("http://141.218.60.56/~jnz1568/getInfo.php?workbook=10_05.xlsx&amp;sheet=U0&amp;row=13784&amp;col=7&amp;number=0.00128&amp;sourceID=14","0.00128")</f>
        <v>0.00128</v>
      </c>
    </row>
    <row r="13785" spans="1:7">
      <c r="A13785" s="3"/>
      <c r="B13785" s="3"/>
      <c r="C13785" s="3"/>
      <c r="D13785" s="3"/>
      <c r="E13785" s="3">
        <v>2</v>
      </c>
      <c r="F13785" s="4" t="str">
        <f>HYPERLINK("http://141.218.60.56/~jnz1568/getInfo.php?workbook=10_05.xlsx&amp;sheet=U0&amp;row=13785&amp;col=6&amp;number=3.1&amp;sourceID=14","3.1")</f>
        <v>3.1</v>
      </c>
      <c r="G13785" s="4" t="str">
        <f>HYPERLINK("http://141.218.60.56/~jnz1568/getInfo.php?workbook=10_05.xlsx&amp;sheet=U0&amp;row=13785&amp;col=7&amp;number=0.00128&amp;sourceID=14","0.00128")</f>
        <v>0.00128</v>
      </c>
    </row>
    <row r="13786" spans="1:7">
      <c r="A13786" s="3"/>
      <c r="B13786" s="3"/>
      <c r="C13786" s="3"/>
      <c r="D13786" s="3"/>
      <c r="E13786" s="3">
        <v>3</v>
      </c>
      <c r="F13786" s="4" t="str">
        <f>HYPERLINK("http://141.218.60.56/~jnz1568/getInfo.php?workbook=10_05.xlsx&amp;sheet=U0&amp;row=13786&amp;col=6&amp;number=3.2&amp;sourceID=14","3.2")</f>
        <v>3.2</v>
      </c>
      <c r="G13786" s="4" t="str">
        <f>HYPERLINK("http://141.218.60.56/~jnz1568/getInfo.php?workbook=10_05.xlsx&amp;sheet=U0&amp;row=13786&amp;col=7&amp;number=0.00128&amp;sourceID=14","0.00128")</f>
        <v>0.00128</v>
      </c>
    </row>
    <row r="13787" spans="1:7">
      <c r="A13787" s="3"/>
      <c r="B13787" s="3"/>
      <c r="C13787" s="3"/>
      <c r="D13787" s="3"/>
      <c r="E13787" s="3">
        <v>4</v>
      </c>
      <c r="F13787" s="4" t="str">
        <f>HYPERLINK("http://141.218.60.56/~jnz1568/getInfo.php?workbook=10_05.xlsx&amp;sheet=U0&amp;row=13787&amp;col=6&amp;number=3.3&amp;sourceID=14","3.3")</f>
        <v>3.3</v>
      </c>
      <c r="G13787" s="4" t="str">
        <f>HYPERLINK("http://141.218.60.56/~jnz1568/getInfo.php?workbook=10_05.xlsx&amp;sheet=U0&amp;row=13787&amp;col=7&amp;number=0.00129&amp;sourceID=14","0.00129")</f>
        <v>0.00129</v>
      </c>
    </row>
    <row r="13788" spans="1:7">
      <c r="A13788" s="3"/>
      <c r="B13788" s="3"/>
      <c r="C13788" s="3"/>
      <c r="D13788" s="3"/>
      <c r="E13788" s="3">
        <v>5</v>
      </c>
      <c r="F13788" s="4" t="str">
        <f>HYPERLINK("http://141.218.60.56/~jnz1568/getInfo.php?workbook=10_05.xlsx&amp;sheet=U0&amp;row=13788&amp;col=6&amp;number=3.4&amp;sourceID=14","3.4")</f>
        <v>3.4</v>
      </c>
      <c r="G13788" s="4" t="str">
        <f>HYPERLINK("http://141.218.60.56/~jnz1568/getInfo.php?workbook=10_05.xlsx&amp;sheet=U0&amp;row=13788&amp;col=7&amp;number=0.00129&amp;sourceID=14","0.00129")</f>
        <v>0.00129</v>
      </c>
    </row>
    <row r="13789" spans="1:7">
      <c r="A13789" s="3"/>
      <c r="B13789" s="3"/>
      <c r="C13789" s="3"/>
      <c r="D13789" s="3"/>
      <c r="E13789" s="3">
        <v>6</v>
      </c>
      <c r="F13789" s="4" t="str">
        <f>HYPERLINK("http://141.218.60.56/~jnz1568/getInfo.php?workbook=10_05.xlsx&amp;sheet=U0&amp;row=13789&amp;col=6&amp;number=3.5&amp;sourceID=14","3.5")</f>
        <v>3.5</v>
      </c>
      <c r="G13789" s="4" t="str">
        <f>HYPERLINK("http://141.218.60.56/~jnz1568/getInfo.php?workbook=10_05.xlsx&amp;sheet=U0&amp;row=13789&amp;col=7&amp;number=0.0013&amp;sourceID=14","0.0013")</f>
        <v>0.0013</v>
      </c>
    </row>
    <row r="13790" spans="1:7">
      <c r="A13790" s="3"/>
      <c r="B13790" s="3"/>
      <c r="C13790" s="3"/>
      <c r="D13790" s="3"/>
      <c r="E13790" s="3">
        <v>7</v>
      </c>
      <c r="F13790" s="4" t="str">
        <f>HYPERLINK("http://141.218.60.56/~jnz1568/getInfo.php?workbook=10_05.xlsx&amp;sheet=U0&amp;row=13790&amp;col=6&amp;number=3.6&amp;sourceID=14","3.6")</f>
        <v>3.6</v>
      </c>
      <c r="G13790" s="4" t="str">
        <f>HYPERLINK("http://141.218.60.56/~jnz1568/getInfo.php?workbook=10_05.xlsx&amp;sheet=U0&amp;row=13790&amp;col=7&amp;number=0.00131&amp;sourceID=14","0.00131")</f>
        <v>0.00131</v>
      </c>
    </row>
    <row r="13791" spans="1:7">
      <c r="A13791" s="3"/>
      <c r="B13791" s="3"/>
      <c r="C13791" s="3"/>
      <c r="D13791" s="3"/>
      <c r="E13791" s="3">
        <v>8</v>
      </c>
      <c r="F13791" s="4" t="str">
        <f>HYPERLINK("http://141.218.60.56/~jnz1568/getInfo.php?workbook=10_05.xlsx&amp;sheet=U0&amp;row=13791&amp;col=6&amp;number=3.7&amp;sourceID=14","3.7")</f>
        <v>3.7</v>
      </c>
      <c r="G13791" s="4" t="str">
        <f>HYPERLINK("http://141.218.60.56/~jnz1568/getInfo.php?workbook=10_05.xlsx&amp;sheet=U0&amp;row=13791&amp;col=7&amp;number=0.00132&amp;sourceID=14","0.00132")</f>
        <v>0.00132</v>
      </c>
    </row>
    <row r="13792" spans="1:7">
      <c r="A13792" s="3"/>
      <c r="B13792" s="3"/>
      <c r="C13792" s="3"/>
      <c r="D13792" s="3"/>
      <c r="E13792" s="3">
        <v>9</v>
      </c>
      <c r="F13792" s="4" t="str">
        <f>HYPERLINK("http://141.218.60.56/~jnz1568/getInfo.php?workbook=10_05.xlsx&amp;sheet=U0&amp;row=13792&amp;col=6&amp;number=3.8&amp;sourceID=14","3.8")</f>
        <v>3.8</v>
      </c>
      <c r="G13792" s="4" t="str">
        <f>HYPERLINK("http://141.218.60.56/~jnz1568/getInfo.php?workbook=10_05.xlsx&amp;sheet=U0&amp;row=13792&amp;col=7&amp;number=0.00133&amp;sourceID=14","0.00133")</f>
        <v>0.00133</v>
      </c>
    </row>
    <row r="13793" spans="1:7">
      <c r="A13793" s="3"/>
      <c r="B13793" s="3"/>
      <c r="C13793" s="3"/>
      <c r="D13793" s="3"/>
      <c r="E13793" s="3">
        <v>10</v>
      </c>
      <c r="F13793" s="4" t="str">
        <f>HYPERLINK("http://141.218.60.56/~jnz1568/getInfo.php?workbook=10_05.xlsx&amp;sheet=U0&amp;row=13793&amp;col=6&amp;number=3.9&amp;sourceID=14","3.9")</f>
        <v>3.9</v>
      </c>
      <c r="G13793" s="4" t="str">
        <f>HYPERLINK("http://141.218.60.56/~jnz1568/getInfo.php?workbook=10_05.xlsx&amp;sheet=U0&amp;row=13793&amp;col=7&amp;number=0.00134&amp;sourceID=14","0.00134")</f>
        <v>0.00134</v>
      </c>
    </row>
    <row r="13794" spans="1:7">
      <c r="A13794" s="3"/>
      <c r="B13794" s="3"/>
      <c r="C13794" s="3"/>
      <c r="D13794" s="3"/>
      <c r="E13794" s="3">
        <v>11</v>
      </c>
      <c r="F13794" s="4" t="str">
        <f>HYPERLINK("http://141.218.60.56/~jnz1568/getInfo.php?workbook=10_05.xlsx&amp;sheet=U0&amp;row=13794&amp;col=6&amp;number=4&amp;sourceID=14","4")</f>
        <v>4</v>
      </c>
      <c r="G13794" s="4" t="str">
        <f>HYPERLINK("http://141.218.60.56/~jnz1568/getInfo.php?workbook=10_05.xlsx&amp;sheet=U0&amp;row=13794&amp;col=7&amp;number=0.00135&amp;sourceID=14","0.00135")</f>
        <v>0.00135</v>
      </c>
    </row>
    <row r="13795" spans="1:7">
      <c r="A13795" s="3"/>
      <c r="B13795" s="3"/>
      <c r="C13795" s="3"/>
      <c r="D13795" s="3"/>
      <c r="E13795" s="3">
        <v>12</v>
      </c>
      <c r="F13795" s="4" t="str">
        <f>HYPERLINK("http://141.218.60.56/~jnz1568/getInfo.php?workbook=10_05.xlsx&amp;sheet=U0&amp;row=13795&amp;col=6&amp;number=4.1&amp;sourceID=14","4.1")</f>
        <v>4.1</v>
      </c>
      <c r="G13795" s="4" t="str">
        <f>HYPERLINK("http://141.218.60.56/~jnz1568/getInfo.php?workbook=10_05.xlsx&amp;sheet=U0&amp;row=13795&amp;col=7&amp;number=0.00136&amp;sourceID=14","0.00136")</f>
        <v>0.00136</v>
      </c>
    </row>
    <row r="13796" spans="1:7">
      <c r="A13796" s="3"/>
      <c r="B13796" s="3"/>
      <c r="C13796" s="3"/>
      <c r="D13796" s="3"/>
      <c r="E13796" s="3">
        <v>13</v>
      </c>
      <c r="F13796" s="4" t="str">
        <f>HYPERLINK("http://141.218.60.56/~jnz1568/getInfo.php?workbook=10_05.xlsx&amp;sheet=U0&amp;row=13796&amp;col=6&amp;number=4.2&amp;sourceID=14","4.2")</f>
        <v>4.2</v>
      </c>
      <c r="G13796" s="4" t="str">
        <f>HYPERLINK("http://141.218.60.56/~jnz1568/getInfo.php?workbook=10_05.xlsx&amp;sheet=U0&amp;row=13796&amp;col=7&amp;number=0.00137&amp;sourceID=14","0.00137")</f>
        <v>0.00137</v>
      </c>
    </row>
    <row r="13797" spans="1:7">
      <c r="A13797" s="3"/>
      <c r="B13797" s="3"/>
      <c r="C13797" s="3"/>
      <c r="D13797" s="3"/>
      <c r="E13797" s="3">
        <v>14</v>
      </c>
      <c r="F13797" s="4" t="str">
        <f>HYPERLINK("http://141.218.60.56/~jnz1568/getInfo.php?workbook=10_05.xlsx&amp;sheet=U0&amp;row=13797&amp;col=6&amp;number=4.3&amp;sourceID=14","4.3")</f>
        <v>4.3</v>
      </c>
      <c r="G13797" s="4" t="str">
        <f>HYPERLINK("http://141.218.60.56/~jnz1568/getInfo.php?workbook=10_05.xlsx&amp;sheet=U0&amp;row=13797&amp;col=7&amp;number=0.00136&amp;sourceID=14","0.00136")</f>
        <v>0.00136</v>
      </c>
    </row>
    <row r="13798" spans="1:7">
      <c r="A13798" s="3"/>
      <c r="B13798" s="3"/>
      <c r="C13798" s="3"/>
      <c r="D13798" s="3"/>
      <c r="E13798" s="3">
        <v>15</v>
      </c>
      <c r="F13798" s="4" t="str">
        <f>HYPERLINK("http://141.218.60.56/~jnz1568/getInfo.php?workbook=10_05.xlsx&amp;sheet=U0&amp;row=13798&amp;col=6&amp;number=4.4&amp;sourceID=14","4.4")</f>
        <v>4.4</v>
      </c>
      <c r="G13798" s="4" t="str">
        <f>HYPERLINK("http://141.218.60.56/~jnz1568/getInfo.php?workbook=10_05.xlsx&amp;sheet=U0&amp;row=13798&amp;col=7&amp;number=0.00135&amp;sourceID=14","0.00135")</f>
        <v>0.00135</v>
      </c>
    </row>
    <row r="13799" spans="1:7">
      <c r="A13799" s="3"/>
      <c r="B13799" s="3"/>
      <c r="C13799" s="3"/>
      <c r="D13799" s="3"/>
      <c r="E13799" s="3">
        <v>16</v>
      </c>
      <c r="F13799" s="4" t="str">
        <f>HYPERLINK("http://141.218.60.56/~jnz1568/getInfo.php?workbook=10_05.xlsx&amp;sheet=U0&amp;row=13799&amp;col=6&amp;number=4.5&amp;sourceID=14","4.5")</f>
        <v>4.5</v>
      </c>
      <c r="G13799" s="4" t="str">
        <f>HYPERLINK("http://141.218.60.56/~jnz1568/getInfo.php?workbook=10_05.xlsx&amp;sheet=U0&amp;row=13799&amp;col=7&amp;number=0.00132&amp;sourceID=14","0.00132")</f>
        <v>0.00132</v>
      </c>
    </row>
    <row r="13800" spans="1:7">
      <c r="A13800" s="3"/>
      <c r="B13800" s="3"/>
      <c r="C13800" s="3"/>
      <c r="D13800" s="3"/>
      <c r="E13800" s="3">
        <v>17</v>
      </c>
      <c r="F13800" s="4" t="str">
        <f>HYPERLINK("http://141.218.60.56/~jnz1568/getInfo.php?workbook=10_05.xlsx&amp;sheet=U0&amp;row=13800&amp;col=6&amp;number=4.6&amp;sourceID=14","4.6")</f>
        <v>4.6</v>
      </c>
      <c r="G13800" s="4" t="str">
        <f>HYPERLINK("http://141.218.60.56/~jnz1568/getInfo.php?workbook=10_05.xlsx&amp;sheet=U0&amp;row=13800&amp;col=7&amp;number=0.0013&amp;sourceID=14","0.0013")</f>
        <v>0.0013</v>
      </c>
    </row>
    <row r="13801" spans="1:7">
      <c r="A13801" s="3"/>
      <c r="B13801" s="3"/>
      <c r="C13801" s="3"/>
      <c r="D13801" s="3"/>
      <c r="E13801" s="3">
        <v>18</v>
      </c>
      <c r="F13801" s="4" t="str">
        <f>HYPERLINK("http://141.218.60.56/~jnz1568/getInfo.php?workbook=10_05.xlsx&amp;sheet=U0&amp;row=13801&amp;col=6&amp;number=4.7&amp;sourceID=14","4.7")</f>
        <v>4.7</v>
      </c>
      <c r="G13801" s="4" t="str">
        <f>HYPERLINK("http://141.218.60.56/~jnz1568/getInfo.php?workbook=10_05.xlsx&amp;sheet=U0&amp;row=13801&amp;col=7&amp;number=0.00129&amp;sourceID=14","0.00129")</f>
        <v>0.00129</v>
      </c>
    </row>
    <row r="13802" spans="1:7">
      <c r="A13802" s="3"/>
      <c r="B13802" s="3"/>
      <c r="C13802" s="3"/>
      <c r="D13802" s="3"/>
      <c r="E13802" s="3">
        <v>19</v>
      </c>
      <c r="F13802" s="4" t="str">
        <f>HYPERLINK("http://141.218.60.56/~jnz1568/getInfo.php?workbook=10_05.xlsx&amp;sheet=U0&amp;row=13802&amp;col=6&amp;number=4.8&amp;sourceID=14","4.8")</f>
        <v>4.8</v>
      </c>
      <c r="G13802" s="4" t="str">
        <f>HYPERLINK("http://141.218.60.56/~jnz1568/getInfo.php?workbook=10_05.xlsx&amp;sheet=U0&amp;row=13802&amp;col=7&amp;number=0.00127&amp;sourceID=14","0.00127")</f>
        <v>0.00127</v>
      </c>
    </row>
    <row r="13803" spans="1:7">
      <c r="A13803" s="3"/>
      <c r="B13803" s="3"/>
      <c r="C13803" s="3"/>
      <c r="D13803" s="3"/>
      <c r="E13803" s="3">
        <v>20</v>
      </c>
      <c r="F13803" s="4" t="str">
        <f>HYPERLINK("http://141.218.60.56/~jnz1568/getInfo.php?workbook=10_05.xlsx&amp;sheet=U0&amp;row=13803&amp;col=6&amp;number=4.9&amp;sourceID=14","4.9")</f>
        <v>4.9</v>
      </c>
      <c r="G13803" s="4" t="str">
        <f>HYPERLINK("http://141.218.60.56/~jnz1568/getInfo.php?workbook=10_05.xlsx&amp;sheet=U0&amp;row=13803&amp;col=7&amp;number=0.00124&amp;sourceID=14","0.00124")</f>
        <v>0.00124</v>
      </c>
    </row>
    <row r="13804" spans="1:7">
      <c r="A13804" s="3">
        <v>10</v>
      </c>
      <c r="B13804" s="3">
        <v>5</v>
      </c>
      <c r="C13804" s="3">
        <v>4</v>
      </c>
      <c r="D13804" s="3">
        <v>161</v>
      </c>
      <c r="E13804" s="3">
        <v>1</v>
      </c>
      <c r="F13804" s="4" t="str">
        <f>HYPERLINK("http://141.218.60.56/~jnz1568/getInfo.php?workbook=10_05.xlsx&amp;sheet=U0&amp;row=13804&amp;col=6&amp;number=3&amp;sourceID=14","3")</f>
        <v>3</v>
      </c>
      <c r="G13804" s="4" t="str">
        <f>HYPERLINK("http://141.218.60.56/~jnz1568/getInfo.php?workbook=10_05.xlsx&amp;sheet=U0&amp;row=13804&amp;col=7&amp;number=0.000398&amp;sourceID=14","0.000398")</f>
        <v>0.000398</v>
      </c>
    </row>
    <row r="13805" spans="1:7">
      <c r="A13805" s="3"/>
      <c r="B13805" s="3"/>
      <c r="C13805" s="3"/>
      <c r="D13805" s="3"/>
      <c r="E13805" s="3">
        <v>2</v>
      </c>
      <c r="F13805" s="4" t="str">
        <f>HYPERLINK("http://141.218.60.56/~jnz1568/getInfo.php?workbook=10_05.xlsx&amp;sheet=U0&amp;row=13805&amp;col=6&amp;number=3.1&amp;sourceID=14","3.1")</f>
        <v>3.1</v>
      </c>
      <c r="G13805" s="4" t="str">
        <f>HYPERLINK("http://141.218.60.56/~jnz1568/getInfo.php?workbook=10_05.xlsx&amp;sheet=U0&amp;row=13805&amp;col=7&amp;number=0.000397&amp;sourceID=14","0.000397")</f>
        <v>0.000397</v>
      </c>
    </row>
    <row r="13806" spans="1:7">
      <c r="A13806" s="3"/>
      <c r="B13806" s="3"/>
      <c r="C13806" s="3"/>
      <c r="D13806" s="3"/>
      <c r="E13806" s="3">
        <v>3</v>
      </c>
      <c r="F13806" s="4" t="str">
        <f>HYPERLINK("http://141.218.60.56/~jnz1568/getInfo.php?workbook=10_05.xlsx&amp;sheet=U0&amp;row=13806&amp;col=6&amp;number=3.2&amp;sourceID=14","3.2")</f>
        <v>3.2</v>
      </c>
      <c r="G13806" s="4" t="str">
        <f>HYPERLINK("http://141.218.60.56/~jnz1568/getInfo.php?workbook=10_05.xlsx&amp;sheet=U0&amp;row=13806&amp;col=7&amp;number=0.000395&amp;sourceID=14","0.000395")</f>
        <v>0.000395</v>
      </c>
    </row>
    <row r="13807" spans="1:7">
      <c r="A13807" s="3"/>
      <c r="B13807" s="3"/>
      <c r="C13807" s="3"/>
      <c r="D13807" s="3"/>
      <c r="E13807" s="3">
        <v>4</v>
      </c>
      <c r="F13807" s="4" t="str">
        <f>HYPERLINK("http://141.218.60.56/~jnz1568/getInfo.php?workbook=10_05.xlsx&amp;sheet=U0&amp;row=13807&amp;col=6&amp;number=3.3&amp;sourceID=14","3.3")</f>
        <v>3.3</v>
      </c>
      <c r="G13807" s="4" t="str">
        <f>HYPERLINK("http://141.218.60.56/~jnz1568/getInfo.php?workbook=10_05.xlsx&amp;sheet=U0&amp;row=13807&amp;col=7&amp;number=0.000393&amp;sourceID=14","0.000393")</f>
        <v>0.000393</v>
      </c>
    </row>
    <row r="13808" spans="1:7">
      <c r="A13808" s="3"/>
      <c r="B13808" s="3"/>
      <c r="C13808" s="3"/>
      <c r="D13808" s="3"/>
      <c r="E13808" s="3">
        <v>5</v>
      </c>
      <c r="F13808" s="4" t="str">
        <f>HYPERLINK("http://141.218.60.56/~jnz1568/getInfo.php?workbook=10_05.xlsx&amp;sheet=U0&amp;row=13808&amp;col=6&amp;number=3.4&amp;sourceID=14","3.4")</f>
        <v>3.4</v>
      </c>
      <c r="G13808" s="4" t="str">
        <f>HYPERLINK("http://141.218.60.56/~jnz1568/getInfo.php?workbook=10_05.xlsx&amp;sheet=U0&amp;row=13808&amp;col=7&amp;number=0.000391&amp;sourceID=14","0.000391")</f>
        <v>0.000391</v>
      </c>
    </row>
    <row r="13809" spans="1:7">
      <c r="A13809" s="3"/>
      <c r="B13809" s="3"/>
      <c r="C13809" s="3"/>
      <c r="D13809" s="3"/>
      <c r="E13809" s="3">
        <v>6</v>
      </c>
      <c r="F13809" s="4" t="str">
        <f>HYPERLINK("http://141.218.60.56/~jnz1568/getInfo.php?workbook=10_05.xlsx&amp;sheet=U0&amp;row=13809&amp;col=6&amp;number=3.5&amp;sourceID=14","3.5")</f>
        <v>3.5</v>
      </c>
      <c r="G13809" s="4" t="str">
        <f>HYPERLINK("http://141.218.60.56/~jnz1568/getInfo.php?workbook=10_05.xlsx&amp;sheet=U0&amp;row=13809&amp;col=7&amp;number=0.000387&amp;sourceID=14","0.000387")</f>
        <v>0.000387</v>
      </c>
    </row>
    <row r="13810" spans="1:7">
      <c r="A13810" s="3"/>
      <c r="B13810" s="3"/>
      <c r="C13810" s="3"/>
      <c r="D13810" s="3"/>
      <c r="E13810" s="3">
        <v>7</v>
      </c>
      <c r="F13810" s="4" t="str">
        <f>HYPERLINK("http://141.218.60.56/~jnz1568/getInfo.php?workbook=10_05.xlsx&amp;sheet=U0&amp;row=13810&amp;col=6&amp;number=3.6&amp;sourceID=14","3.6")</f>
        <v>3.6</v>
      </c>
      <c r="G13810" s="4" t="str">
        <f>HYPERLINK("http://141.218.60.56/~jnz1568/getInfo.php?workbook=10_05.xlsx&amp;sheet=U0&amp;row=13810&amp;col=7&amp;number=0.000383&amp;sourceID=14","0.000383")</f>
        <v>0.000383</v>
      </c>
    </row>
    <row r="13811" spans="1:7">
      <c r="A13811" s="3"/>
      <c r="B13811" s="3"/>
      <c r="C13811" s="3"/>
      <c r="D13811" s="3"/>
      <c r="E13811" s="3">
        <v>8</v>
      </c>
      <c r="F13811" s="4" t="str">
        <f>HYPERLINK("http://141.218.60.56/~jnz1568/getInfo.php?workbook=10_05.xlsx&amp;sheet=U0&amp;row=13811&amp;col=6&amp;number=3.7&amp;sourceID=14","3.7")</f>
        <v>3.7</v>
      </c>
      <c r="G13811" s="4" t="str">
        <f>HYPERLINK("http://141.218.60.56/~jnz1568/getInfo.php?workbook=10_05.xlsx&amp;sheet=U0&amp;row=13811&amp;col=7&amp;number=0.000378&amp;sourceID=14","0.000378")</f>
        <v>0.000378</v>
      </c>
    </row>
    <row r="13812" spans="1:7">
      <c r="A13812" s="3"/>
      <c r="B13812" s="3"/>
      <c r="C13812" s="3"/>
      <c r="D13812" s="3"/>
      <c r="E13812" s="3">
        <v>9</v>
      </c>
      <c r="F13812" s="4" t="str">
        <f>HYPERLINK("http://141.218.60.56/~jnz1568/getInfo.php?workbook=10_05.xlsx&amp;sheet=U0&amp;row=13812&amp;col=6&amp;number=3.8&amp;sourceID=14","3.8")</f>
        <v>3.8</v>
      </c>
      <c r="G13812" s="4" t="str">
        <f>HYPERLINK("http://141.218.60.56/~jnz1568/getInfo.php?workbook=10_05.xlsx&amp;sheet=U0&amp;row=13812&amp;col=7&amp;number=0.000372&amp;sourceID=14","0.000372")</f>
        <v>0.000372</v>
      </c>
    </row>
    <row r="13813" spans="1:7">
      <c r="A13813" s="3"/>
      <c r="B13813" s="3"/>
      <c r="C13813" s="3"/>
      <c r="D13813" s="3"/>
      <c r="E13813" s="3">
        <v>10</v>
      </c>
      <c r="F13813" s="4" t="str">
        <f>HYPERLINK("http://141.218.60.56/~jnz1568/getInfo.php?workbook=10_05.xlsx&amp;sheet=U0&amp;row=13813&amp;col=6&amp;number=3.9&amp;sourceID=14","3.9")</f>
        <v>3.9</v>
      </c>
      <c r="G13813" s="4" t="str">
        <f>HYPERLINK("http://141.218.60.56/~jnz1568/getInfo.php?workbook=10_05.xlsx&amp;sheet=U0&amp;row=13813&amp;col=7&amp;number=0.000365&amp;sourceID=14","0.000365")</f>
        <v>0.000365</v>
      </c>
    </row>
    <row r="13814" spans="1:7">
      <c r="A13814" s="3"/>
      <c r="B13814" s="3"/>
      <c r="C13814" s="3"/>
      <c r="D13814" s="3"/>
      <c r="E13814" s="3">
        <v>11</v>
      </c>
      <c r="F13814" s="4" t="str">
        <f>HYPERLINK("http://141.218.60.56/~jnz1568/getInfo.php?workbook=10_05.xlsx&amp;sheet=U0&amp;row=13814&amp;col=6&amp;number=4&amp;sourceID=14","4")</f>
        <v>4</v>
      </c>
      <c r="G13814" s="4" t="str">
        <f>HYPERLINK("http://141.218.60.56/~jnz1568/getInfo.php?workbook=10_05.xlsx&amp;sheet=U0&amp;row=13814&amp;col=7&amp;number=0.000356&amp;sourceID=14","0.000356")</f>
        <v>0.000356</v>
      </c>
    </row>
    <row r="13815" spans="1:7">
      <c r="A13815" s="3"/>
      <c r="B13815" s="3"/>
      <c r="C13815" s="3"/>
      <c r="D13815" s="3"/>
      <c r="E13815" s="3">
        <v>12</v>
      </c>
      <c r="F13815" s="4" t="str">
        <f>HYPERLINK("http://141.218.60.56/~jnz1568/getInfo.php?workbook=10_05.xlsx&amp;sheet=U0&amp;row=13815&amp;col=6&amp;number=4.1&amp;sourceID=14","4.1")</f>
        <v>4.1</v>
      </c>
      <c r="G13815" s="4" t="str">
        <f>HYPERLINK("http://141.218.60.56/~jnz1568/getInfo.php?workbook=10_05.xlsx&amp;sheet=U0&amp;row=13815&amp;col=7&amp;number=0.000345&amp;sourceID=14","0.000345")</f>
        <v>0.000345</v>
      </c>
    </row>
    <row r="13816" spans="1:7">
      <c r="A13816" s="3"/>
      <c r="B13816" s="3"/>
      <c r="C13816" s="3"/>
      <c r="D13816" s="3"/>
      <c r="E13816" s="3">
        <v>13</v>
      </c>
      <c r="F13816" s="4" t="str">
        <f>HYPERLINK("http://141.218.60.56/~jnz1568/getInfo.php?workbook=10_05.xlsx&amp;sheet=U0&amp;row=13816&amp;col=6&amp;number=4.2&amp;sourceID=14","4.2")</f>
        <v>4.2</v>
      </c>
      <c r="G13816" s="4" t="str">
        <f>HYPERLINK("http://141.218.60.56/~jnz1568/getInfo.php?workbook=10_05.xlsx&amp;sheet=U0&amp;row=13816&amp;col=7&amp;number=0.000332&amp;sourceID=14","0.000332")</f>
        <v>0.000332</v>
      </c>
    </row>
    <row r="13817" spans="1:7">
      <c r="A13817" s="3"/>
      <c r="B13817" s="3"/>
      <c r="C13817" s="3"/>
      <c r="D13817" s="3"/>
      <c r="E13817" s="3">
        <v>14</v>
      </c>
      <c r="F13817" s="4" t="str">
        <f>HYPERLINK("http://141.218.60.56/~jnz1568/getInfo.php?workbook=10_05.xlsx&amp;sheet=U0&amp;row=13817&amp;col=6&amp;number=4.3&amp;sourceID=14","4.3")</f>
        <v>4.3</v>
      </c>
      <c r="G13817" s="4" t="str">
        <f>HYPERLINK("http://141.218.60.56/~jnz1568/getInfo.php?workbook=10_05.xlsx&amp;sheet=U0&amp;row=13817&amp;col=7&amp;number=0.000318&amp;sourceID=14","0.000318")</f>
        <v>0.000318</v>
      </c>
    </row>
    <row r="13818" spans="1:7">
      <c r="A13818" s="3"/>
      <c r="B13818" s="3"/>
      <c r="C13818" s="3"/>
      <c r="D13818" s="3"/>
      <c r="E13818" s="3">
        <v>15</v>
      </c>
      <c r="F13818" s="4" t="str">
        <f>HYPERLINK("http://141.218.60.56/~jnz1568/getInfo.php?workbook=10_05.xlsx&amp;sheet=U0&amp;row=13818&amp;col=6&amp;number=4.4&amp;sourceID=14","4.4")</f>
        <v>4.4</v>
      </c>
      <c r="G13818" s="4" t="str">
        <f>HYPERLINK("http://141.218.60.56/~jnz1568/getInfo.php?workbook=10_05.xlsx&amp;sheet=U0&amp;row=13818&amp;col=7&amp;number=0.000302&amp;sourceID=14","0.000302")</f>
        <v>0.000302</v>
      </c>
    </row>
    <row r="13819" spans="1:7">
      <c r="A13819" s="3"/>
      <c r="B13819" s="3"/>
      <c r="C13819" s="3"/>
      <c r="D13819" s="3"/>
      <c r="E13819" s="3">
        <v>16</v>
      </c>
      <c r="F13819" s="4" t="str">
        <f>HYPERLINK("http://141.218.60.56/~jnz1568/getInfo.php?workbook=10_05.xlsx&amp;sheet=U0&amp;row=13819&amp;col=6&amp;number=4.5&amp;sourceID=14","4.5")</f>
        <v>4.5</v>
      </c>
      <c r="G13819" s="4" t="str">
        <f>HYPERLINK("http://141.218.60.56/~jnz1568/getInfo.php?workbook=10_05.xlsx&amp;sheet=U0&amp;row=13819&amp;col=7&amp;number=0.000287&amp;sourceID=14","0.000287")</f>
        <v>0.000287</v>
      </c>
    </row>
    <row r="13820" spans="1:7">
      <c r="A13820" s="3"/>
      <c r="B13820" s="3"/>
      <c r="C13820" s="3"/>
      <c r="D13820" s="3"/>
      <c r="E13820" s="3">
        <v>17</v>
      </c>
      <c r="F13820" s="4" t="str">
        <f>HYPERLINK("http://141.218.60.56/~jnz1568/getInfo.php?workbook=10_05.xlsx&amp;sheet=U0&amp;row=13820&amp;col=6&amp;number=4.6&amp;sourceID=14","4.6")</f>
        <v>4.6</v>
      </c>
      <c r="G13820" s="4" t="str">
        <f>HYPERLINK("http://141.218.60.56/~jnz1568/getInfo.php?workbook=10_05.xlsx&amp;sheet=U0&amp;row=13820&amp;col=7&amp;number=0.000271&amp;sourceID=14","0.000271")</f>
        <v>0.000271</v>
      </c>
    </row>
    <row r="13821" spans="1:7">
      <c r="A13821" s="3"/>
      <c r="B13821" s="3"/>
      <c r="C13821" s="3"/>
      <c r="D13821" s="3"/>
      <c r="E13821" s="3">
        <v>18</v>
      </c>
      <c r="F13821" s="4" t="str">
        <f>HYPERLINK("http://141.218.60.56/~jnz1568/getInfo.php?workbook=10_05.xlsx&amp;sheet=U0&amp;row=13821&amp;col=6&amp;number=4.7&amp;sourceID=14","4.7")</f>
        <v>4.7</v>
      </c>
      <c r="G13821" s="4" t="str">
        <f>HYPERLINK("http://141.218.60.56/~jnz1568/getInfo.php?workbook=10_05.xlsx&amp;sheet=U0&amp;row=13821&amp;col=7&amp;number=0.000257&amp;sourceID=14","0.000257")</f>
        <v>0.000257</v>
      </c>
    </row>
    <row r="13822" spans="1:7">
      <c r="A13822" s="3"/>
      <c r="B13822" s="3"/>
      <c r="C13822" s="3"/>
      <c r="D13822" s="3"/>
      <c r="E13822" s="3">
        <v>19</v>
      </c>
      <c r="F13822" s="4" t="str">
        <f>HYPERLINK("http://141.218.60.56/~jnz1568/getInfo.php?workbook=10_05.xlsx&amp;sheet=U0&amp;row=13822&amp;col=6&amp;number=4.8&amp;sourceID=14","4.8")</f>
        <v>4.8</v>
      </c>
      <c r="G13822" s="4" t="str">
        <f>HYPERLINK("http://141.218.60.56/~jnz1568/getInfo.php?workbook=10_05.xlsx&amp;sheet=U0&amp;row=13822&amp;col=7&amp;number=0.000245&amp;sourceID=14","0.000245")</f>
        <v>0.000245</v>
      </c>
    </row>
    <row r="13823" spans="1:7">
      <c r="A13823" s="3"/>
      <c r="B13823" s="3"/>
      <c r="C13823" s="3"/>
      <c r="D13823" s="3"/>
      <c r="E13823" s="3">
        <v>20</v>
      </c>
      <c r="F13823" s="4" t="str">
        <f>HYPERLINK("http://141.218.60.56/~jnz1568/getInfo.php?workbook=10_05.xlsx&amp;sheet=U0&amp;row=13823&amp;col=6&amp;number=4.9&amp;sourceID=14","4.9")</f>
        <v>4.9</v>
      </c>
      <c r="G13823" s="4" t="str">
        <f>HYPERLINK("http://141.218.60.56/~jnz1568/getInfo.php?workbook=10_05.xlsx&amp;sheet=U0&amp;row=13823&amp;col=7&amp;number=0.000235&amp;sourceID=14","0.000235")</f>
        <v>0.000235</v>
      </c>
    </row>
    <row r="13824" spans="1:7">
      <c r="A13824" s="3">
        <v>10</v>
      </c>
      <c r="B13824" s="3">
        <v>5</v>
      </c>
      <c r="C13824" s="3">
        <v>4</v>
      </c>
      <c r="D13824" s="3">
        <v>162</v>
      </c>
      <c r="E13824" s="3">
        <v>1</v>
      </c>
      <c r="F13824" s="4" t="str">
        <f>HYPERLINK("http://141.218.60.56/~jnz1568/getInfo.php?workbook=10_05.xlsx&amp;sheet=U0&amp;row=13824&amp;col=6&amp;number=3&amp;sourceID=14","3")</f>
        <v>3</v>
      </c>
      <c r="G13824" s="4" t="str">
        <f>HYPERLINK("http://141.218.60.56/~jnz1568/getInfo.php?workbook=10_05.xlsx&amp;sheet=U0&amp;row=13824&amp;col=7&amp;number=0.000708&amp;sourceID=14","0.000708")</f>
        <v>0.000708</v>
      </c>
    </row>
    <row r="13825" spans="1:7">
      <c r="A13825" s="3"/>
      <c r="B13825" s="3"/>
      <c r="C13825" s="3"/>
      <c r="D13825" s="3"/>
      <c r="E13825" s="3">
        <v>2</v>
      </c>
      <c r="F13825" s="4" t="str">
        <f>HYPERLINK("http://141.218.60.56/~jnz1568/getInfo.php?workbook=10_05.xlsx&amp;sheet=U0&amp;row=13825&amp;col=6&amp;number=3.1&amp;sourceID=14","3.1")</f>
        <v>3.1</v>
      </c>
      <c r="G13825" s="4" t="str">
        <f>HYPERLINK("http://141.218.60.56/~jnz1568/getInfo.php?workbook=10_05.xlsx&amp;sheet=U0&amp;row=13825&amp;col=7&amp;number=0.000706&amp;sourceID=14","0.000706")</f>
        <v>0.000706</v>
      </c>
    </row>
    <row r="13826" spans="1:7">
      <c r="A13826" s="3"/>
      <c r="B13826" s="3"/>
      <c r="C13826" s="3"/>
      <c r="D13826" s="3"/>
      <c r="E13826" s="3">
        <v>3</v>
      </c>
      <c r="F13826" s="4" t="str">
        <f>HYPERLINK("http://141.218.60.56/~jnz1568/getInfo.php?workbook=10_05.xlsx&amp;sheet=U0&amp;row=13826&amp;col=6&amp;number=3.2&amp;sourceID=14","3.2")</f>
        <v>3.2</v>
      </c>
      <c r="G13826" s="4" t="str">
        <f>HYPERLINK("http://141.218.60.56/~jnz1568/getInfo.php?workbook=10_05.xlsx&amp;sheet=U0&amp;row=13826&amp;col=7&amp;number=0.000703&amp;sourceID=14","0.000703")</f>
        <v>0.000703</v>
      </c>
    </row>
    <row r="13827" spans="1:7">
      <c r="A13827" s="3"/>
      <c r="B13827" s="3"/>
      <c r="C13827" s="3"/>
      <c r="D13827" s="3"/>
      <c r="E13827" s="3">
        <v>4</v>
      </c>
      <c r="F13827" s="4" t="str">
        <f>HYPERLINK("http://141.218.60.56/~jnz1568/getInfo.php?workbook=10_05.xlsx&amp;sheet=U0&amp;row=13827&amp;col=6&amp;number=3.3&amp;sourceID=14","3.3")</f>
        <v>3.3</v>
      </c>
      <c r="G13827" s="4" t="str">
        <f>HYPERLINK("http://141.218.60.56/~jnz1568/getInfo.php?workbook=10_05.xlsx&amp;sheet=U0&amp;row=13827&amp;col=7&amp;number=0.0007&amp;sourceID=14","0.0007")</f>
        <v>0.0007</v>
      </c>
    </row>
    <row r="13828" spans="1:7">
      <c r="A13828" s="3"/>
      <c r="B13828" s="3"/>
      <c r="C13828" s="3"/>
      <c r="D13828" s="3"/>
      <c r="E13828" s="3">
        <v>5</v>
      </c>
      <c r="F13828" s="4" t="str">
        <f>HYPERLINK("http://141.218.60.56/~jnz1568/getInfo.php?workbook=10_05.xlsx&amp;sheet=U0&amp;row=13828&amp;col=6&amp;number=3.4&amp;sourceID=14","3.4")</f>
        <v>3.4</v>
      </c>
      <c r="G13828" s="4" t="str">
        <f>HYPERLINK("http://141.218.60.56/~jnz1568/getInfo.php?workbook=10_05.xlsx&amp;sheet=U0&amp;row=13828&amp;col=7&amp;number=0.000695&amp;sourceID=14","0.000695")</f>
        <v>0.000695</v>
      </c>
    </row>
    <row r="13829" spans="1:7">
      <c r="A13829" s="3"/>
      <c r="B13829" s="3"/>
      <c r="C13829" s="3"/>
      <c r="D13829" s="3"/>
      <c r="E13829" s="3">
        <v>6</v>
      </c>
      <c r="F13829" s="4" t="str">
        <f>HYPERLINK("http://141.218.60.56/~jnz1568/getInfo.php?workbook=10_05.xlsx&amp;sheet=U0&amp;row=13829&amp;col=6&amp;number=3.5&amp;sourceID=14","3.5")</f>
        <v>3.5</v>
      </c>
      <c r="G13829" s="4" t="str">
        <f>HYPERLINK("http://141.218.60.56/~jnz1568/getInfo.php?workbook=10_05.xlsx&amp;sheet=U0&amp;row=13829&amp;col=7&amp;number=0.000689&amp;sourceID=14","0.000689")</f>
        <v>0.000689</v>
      </c>
    </row>
    <row r="13830" spans="1:7">
      <c r="A13830" s="3"/>
      <c r="B13830" s="3"/>
      <c r="C13830" s="3"/>
      <c r="D13830" s="3"/>
      <c r="E13830" s="3">
        <v>7</v>
      </c>
      <c r="F13830" s="4" t="str">
        <f>HYPERLINK("http://141.218.60.56/~jnz1568/getInfo.php?workbook=10_05.xlsx&amp;sheet=U0&amp;row=13830&amp;col=6&amp;number=3.6&amp;sourceID=14","3.6")</f>
        <v>3.6</v>
      </c>
      <c r="G13830" s="4" t="str">
        <f>HYPERLINK("http://141.218.60.56/~jnz1568/getInfo.php?workbook=10_05.xlsx&amp;sheet=U0&amp;row=13830&amp;col=7&amp;number=0.000682&amp;sourceID=14","0.000682")</f>
        <v>0.000682</v>
      </c>
    </row>
    <row r="13831" spans="1:7">
      <c r="A13831" s="3"/>
      <c r="B13831" s="3"/>
      <c r="C13831" s="3"/>
      <c r="D13831" s="3"/>
      <c r="E13831" s="3">
        <v>8</v>
      </c>
      <c r="F13831" s="4" t="str">
        <f>HYPERLINK("http://141.218.60.56/~jnz1568/getInfo.php?workbook=10_05.xlsx&amp;sheet=U0&amp;row=13831&amp;col=6&amp;number=3.7&amp;sourceID=14","3.7")</f>
        <v>3.7</v>
      </c>
      <c r="G13831" s="4" t="str">
        <f>HYPERLINK("http://141.218.60.56/~jnz1568/getInfo.php?workbook=10_05.xlsx&amp;sheet=U0&amp;row=13831&amp;col=7&amp;number=0.000674&amp;sourceID=14","0.000674")</f>
        <v>0.000674</v>
      </c>
    </row>
    <row r="13832" spans="1:7">
      <c r="A13832" s="3"/>
      <c r="B13832" s="3"/>
      <c r="C13832" s="3"/>
      <c r="D13832" s="3"/>
      <c r="E13832" s="3">
        <v>9</v>
      </c>
      <c r="F13832" s="4" t="str">
        <f>HYPERLINK("http://141.218.60.56/~jnz1568/getInfo.php?workbook=10_05.xlsx&amp;sheet=U0&amp;row=13832&amp;col=6&amp;number=3.8&amp;sourceID=14","3.8")</f>
        <v>3.8</v>
      </c>
      <c r="G13832" s="4" t="str">
        <f>HYPERLINK("http://141.218.60.56/~jnz1568/getInfo.php?workbook=10_05.xlsx&amp;sheet=U0&amp;row=13832&amp;col=7&amp;number=0.000663&amp;sourceID=14","0.000663")</f>
        <v>0.000663</v>
      </c>
    </row>
    <row r="13833" spans="1:7">
      <c r="A13833" s="3"/>
      <c r="B13833" s="3"/>
      <c r="C13833" s="3"/>
      <c r="D13833" s="3"/>
      <c r="E13833" s="3">
        <v>10</v>
      </c>
      <c r="F13833" s="4" t="str">
        <f>HYPERLINK("http://141.218.60.56/~jnz1568/getInfo.php?workbook=10_05.xlsx&amp;sheet=U0&amp;row=13833&amp;col=6&amp;number=3.9&amp;sourceID=14","3.9")</f>
        <v>3.9</v>
      </c>
      <c r="G13833" s="4" t="str">
        <f>HYPERLINK("http://141.218.60.56/~jnz1568/getInfo.php?workbook=10_05.xlsx&amp;sheet=U0&amp;row=13833&amp;col=7&amp;number=0.00065&amp;sourceID=14","0.00065")</f>
        <v>0.00065</v>
      </c>
    </row>
    <row r="13834" spans="1:7">
      <c r="A13834" s="3"/>
      <c r="B13834" s="3"/>
      <c r="C13834" s="3"/>
      <c r="D13834" s="3"/>
      <c r="E13834" s="3">
        <v>11</v>
      </c>
      <c r="F13834" s="4" t="str">
        <f>HYPERLINK("http://141.218.60.56/~jnz1568/getInfo.php?workbook=10_05.xlsx&amp;sheet=U0&amp;row=13834&amp;col=6&amp;number=4&amp;sourceID=14","4")</f>
        <v>4</v>
      </c>
      <c r="G13834" s="4" t="str">
        <f>HYPERLINK("http://141.218.60.56/~jnz1568/getInfo.php?workbook=10_05.xlsx&amp;sheet=U0&amp;row=13834&amp;col=7&amp;number=0.000634&amp;sourceID=14","0.000634")</f>
        <v>0.000634</v>
      </c>
    </row>
    <row r="13835" spans="1:7">
      <c r="A13835" s="3"/>
      <c r="B13835" s="3"/>
      <c r="C13835" s="3"/>
      <c r="D13835" s="3"/>
      <c r="E13835" s="3">
        <v>12</v>
      </c>
      <c r="F13835" s="4" t="str">
        <f>HYPERLINK("http://141.218.60.56/~jnz1568/getInfo.php?workbook=10_05.xlsx&amp;sheet=U0&amp;row=13835&amp;col=6&amp;number=4.1&amp;sourceID=14","4.1")</f>
        <v>4.1</v>
      </c>
      <c r="G13835" s="4" t="str">
        <f>HYPERLINK("http://141.218.60.56/~jnz1568/getInfo.php?workbook=10_05.xlsx&amp;sheet=U0&amp;row=13835&amp;col=7&amp;number=0.000616&amp;sourceID=14","0.000616")</f>
        <v>0.000616</v>
      </c>
    </row>
    <row r="13836" spans="1:7">
      <c r="A13836" s="3"/>
      <c r="B13836" s="3"/>
      <c r="C13836" s="3"/>
      <c r="D13836" s="3"/>
      <c r="E13836" s="3">
        <v>13</v>
      </c>
      <c r="F13836" s="4" t="str">
        <f>HYPERLINK("http://141.218.60.56/~jnz1568/getInfo.php?workbook=10_05.xlsx&amp;sheet=U0&amp;row=13836&amp;col=6&amp;number=4.2&amp;sourceID=14","4.2")</f>
        <v>4.2</v>
      </c>
      <c r="G13836" s="4" t="str">
        <f>HYPERLINK("http://141.218.60.56/~jnz1568/getInfo.php?workbook=10_05.xlsx&amp;sheet=U0&amp;row=13836&amp;col=7&amp;number=0.000595&amp;sourceID=14","0.000595")</f>
        <v>0.000595</v>
      </c>
    </row>
    <row r="13837" spans="1:7">
      <c r="A13837" s="3"/>
      <c r="B13837" s="3"/>
      <c r="C13837" s="3"/>
      <c r="D13837" s="3"/>
      <c r="E13837" s="3">
        <v>14</v>
      </c>
      <c r="F13837" s="4" t="str">
        <f>HYPERLINK("http://141.218.60.56/~jnz1568/getInfo.php?workbook=10_05.xlsx&amp;sheet=U0&amp;row=13837&amp;col=6&amp;number=4.3&amp;sourceID=14","4.3")</f>
        <v>4.3</v>
      </c>
      <c r="G13837" s="4" t="str">
        <f>HYPERLINK("http://141.218.60.56/~jnz1568/getInfo.php?workbook=10_05.xlsx&amp;sheet=U0&amp;row=13837&amp;col=7&amp;number=0.000573&amp;sourceID=14","0.000573")</f>
        <v>0.000573</v>
      </c>
    </row>
    <row r="13838" spans="1:7">
      <c r="A13838" s="3"/>
      <c r="B13838" s="3"/>
      <c r="C13838" s="3"/>
      <c r="D13838" s="3"/>
      <c r="E13838" s="3">
        <v>15</v>
      </c>
      <c r="F13838" s="4" t="str">
        <f>HYPERLINK("http://141.218.60.56/~jnz1568/getInfo.php?workbook=10_05.xlsx&amp;sheet=U0&amp;row=13838&amp;col=6&amp;number=4.4&amp;sourceID=14","4.4")</f>
        <v>4.4</v>
      </c>
      <c r="G13838" s="4" t="str">
        <f>HYPERLINK("http://141.218.60.56/~jnz1568/getInfo.php?workbook=10_05.xlsx&amp;sheet=U0&amp;row=13838&amp;col=7&amp;number=0.00055&amp;sourceID=14","0.00055")</f>
        <v>0.00055</v>
      </c>
    </row>
    <row r="13839" spans="1:7">
      <c r="A13839" s="3"/>
      <c r="B13839" s="3"/>
      <c r="C13839" s="3"/>
      <c r="D13839" s="3"/>
      <c r="E13839" s="3">
        <v>16</v>
      </c>
      <c r="F13839" s="4" t="str">
        <f>HYPERLINK("http://141.218.60.56/~jnz1568/getInfo.php?workbook=10_05.xlsx&amp;sheet=U0&amp;row=13839&amp;col=6&amp;number=4.5&amp;sourceID=14","4.5")</f>
        <v>4.5</v>
      </c>
      <c r="G13839" s="4" t="str">
        <f>HYPERLINK("http://141.218.60.56/~jnz1568/getInfo.php?workbook=10_05.xlsx&amp;sheet=U0&amp;row=13839&amp;col=7&amp;number=0.000529&amp;sourceID=14","0.000529")</f>
        <v>0.000529</v>
      </c>
    </row>
    <row r="13840" spans="1:7">
      <c r="A13840" s="3"/>
      <c r="B13840" s="3"/>
      <c r="C13840" s="3"/>
      <c r="D13840" s="3"/>
      <c r="E13840" s="3">
        <v>17</v>
      </c>
      <c r="F13840" s="4" t="str">
        <f>HYPERLINK("http://141.218.60.56/~jnz1568/getInfo.php?workbook=10_05.xlsx&amp;sheet=U0&amp;row=13840&amp;col=6&amp;number=4.6&amp;sourceID=14","4.6")</f>
        <v>4.6</v>
      </c>
      <c r="G13840" s="4" t="str">
        <f>HYPERLINK("http://141.218.60.56/~jnz1568/getInfo.php?workbook=10_05.xlsx&amp;sheet=U0&amp;row=13840&amp;col=7&amp;number=0.00051&amp;sourceID=14","0.00051")</f>
        <v>0.00051</v>
      </c>
    </row>
    <row r="13841" spans="1:7">
      <c r="A13841" s="3"/>
      <c r="B13841" s="3"/>
      <c r="C13841" s="3"/>
      <c r="D13841" s="3"/>
      <c r="E13841" s="3">
        <v>18</v>
      </c>
      <c r="F13841" s="4" t="str">
        <f>HYPERLINK("http://141.218.60.56/~jnz1568/getInfo.php?workbook=10_05.xlsx&amp;sheet=U0&amp;row=13841&amp;col=6&amp;number=4.7&amp;sourceID=14","4.7")</f>
        <v>4.7</v>
      </c>
      <c r="G13841" s="4" t="str">
        <f>HYPERLINK("http://141.218.60.56/~jnz1568/getInfo.php?workbook=10_05.xlsx&amp;sheet=U0&amp;row=13841&amp;col=7&amp;number=0.000492&amp;sourceID=14","0.000492")</f>
        <v>0.000492</v>
      </c>
    </row>
    <row r="13842" spans="1:7">
      <c r="A13842" s="3"/>
      <c r="B13842" s="3"/>
      <c r="C13842" s="3"/>
      <c r="D13842" s="3"/>
      <c r="E13842" s="3">
        <v>19</v>
      </c>
      <c r="F13842" s="4" t="str">
        <f>HYPERLINK("http://141.218.60.56/~jnz1568/getInfo.php?workbook=10_05.xlsx&amp;sheet=U0&amp;row=13842&amp;col=6&amp;number=4.8&amp;sourceID=14","4.8")</f>
        <v>4.8</v>
      </c>
      <c r="G13842" s="4" t="str">
        <f>HYPERLINK("http://141.218.60.56/~jnz1568/getInfo.php?workbook=10_05.xlsx&amp;sheet=U0&amp;row=13842&amp;col=7&amp;number=0.000475&amp;sourceID=14","0.000475")</f>
        <v>0.000475</v>
      </c>
    </row>
    <row r="13843" spans="1:7">
      <c r="A13843" s="3"/>
      <c r="B13843" s="3"/>
      <c r="C13843" s="3"/>
      <c r="D13843" s="3"/>
      <c r="E13843" s="3">
        <v>20</v>
      </c>
      <c r="F13843" s="4" t="str">
        <f>HYPERLINK("http://141.218.60.56/~jnz1568/getInfo.php?workbook=10_05.xlsx&amp;sheet=U0&amp;row=13843&amp;col=6&amp;number=4.9&amp;sourceID=14","4.9")</f>
        <v>4.9</v>
      </c>
      <c r="G13843" s="4" t="str">
        <f>HYPERLINK("http://141.218.60.56/~jnz1568/getInfo.php?workbook=10_05.xlsx&amp;sheet=U0&amp;row=13843&amp;col=7&amp;number=0.000459&amp;sourceID=14","0.000459")</f>
        <v>0.000459</v>
      </c>
    </row>
    <row r="13844" spans="1:7">
      <c r="A13844" s="3">
        <v>10</v>
      </c>
      <c r="B13844" s="3">
        <v>5</v>
      </c>
      <c r="C13844" s="3">
        <v>4</v>
      </c>
      <c r="D13844" s="3">
        <v>163</v>
      </c>
      <c r="E13844" s="3">
        <v>1</v>
      </c>
      <c r="F13844" s="4" t="str">
        <f>HYPERLINK("http://141.218.60.56/~jnz1568/getInfo.php?workbook=10_05.xlsx&amp;sheet=U0&amp;row=13844&amp;col=6&amp;number=3&amp;sourceID=14","3")</f>
        <v>3</v>
      </c>
      <c r="G13844" s="4" t="str">
        <f>HYPERLINK("http://141.218.60.56/~jnz1568/getInfo.php?workbook=10_05.xlsx&amp;sheet=U0&amp;row=13844&amp;col=7&amp;number=0.000165&amp;sourceID=14","0.000165")</f>
        <v>0.000165</v>
      </c>
    </row>
    <row r="13845" spans="1:7">
      <c r="A13845" s="3"/>
      <c r="B13845" s="3"/>
      <c r="C13845" s="3"/>
      <c r="D13845" s="3"/>
      <c r="E13845" s="3">
        <v>2</v>
      </c>
      <c r="F13845" s="4" t="str">
        <f>HYPERLINK("http://141.218.60.56/~jnz1568/getInfo.php?workbook=10_05.xlsx&amp;sheet=U0&amp;row=13845&amp;col=6&amp;number=3.1&amp;sourceID=14","3.1")</f>
        <v>3.1</v>
      </c>
      <c r="G13845" s="4" t="str">
        <f>HYPERLINK("http://141.218.60.56/~jnz1568/getInfo.php?workbook=10_05.xlsx&amp;sheet=U0&amp;row=13845&amp;col=7&amp;number=0.000165&amp;sourceID=14","0.000165")</f>
        <v>0.000165</v>
      </c>
    </row>
    <row r="13846" spans="1:7">
      <c r="A13846" s="3"/>
      <c r="B13846" s="3"/>
      <c r="C13846" s="3"/>
      <c r="D13846" s="3"/>
      <c r="E13846" s="3">
        <v>3</v>
      </c>
      <c r="F13846" s="4" t="str">
        <f>HYPERLINK("http://141.218.60.56/~jnz1568/getInfo.php?workbook=10_05.xlsx&amp;sheet=U0&amp;row=13846&amp;col=6&amp;number=3.2&amp;sourceID=14","3.2")</f>
        <v>3.2</v>
      </c>
      <c r="G13846" s="4" t="str">
        <f>HYPERLINK("http://141.218.60.56/~jnz1568/getInfo.php?workbook=10_05.xlsx&amp;sheet=U0&amp;row=13846&amp;col=7&amp;number=0.000165&amp;sourceID=14","0.000165")</f>
        <v>0.000165</v>
      </c>
    </row>
    <row r="13847" spans="1:7">
      <c r="A13847" s="3"/>
      <c r="B13847" s="3"/>
      <c r="C13847" s="3"/>
      <c r="D13847" s="3"/>
      <c r="E13847" s="3">
        <v>4</v>
      </c>
      <c r="F13847" s="4" t="str">
        <f>HYPERLINK("http://141.218.60.56/~jnz1568/getInfo.php?workbook=10_05.xlsx&amp;sheet=U0&amp;row=13847&amp;col=6&amp;number=3.3&amp;sourceID=14","3.3")</f>
        <v>3.3</v>
      </c>
      <c r="G13847" s="4" t="str">
        <f>HYPERLINK("http://141.218.60.56/~jnz1568/getInfo.php?workbook=10_05.xlsx&amp;sheet=U0&amp;row=13847&amp;col=7&amp;number=0.000165&amp;sourceID=14","0.000165")</f>
        <v>0.000165</v>
      </c>
    </row>
    <row r="13848" spans="1:7">
      <c r="A13848" s="3"/>
      <c r="B13848" s="3"/>
      <c r="C13848" s="3"/>
      <c r="D13848" s="3"/>
      <c r="E13848" s="3">
        <v>5</v>
      </c>
      <c r="F13848" s="4" t="str">
        <f>HYPERLINK("http://141.218.60.56/~jnz1568/getInfo.php?workbook=10_05.xlsx&amp;sheet=U0&amp;row=13848&amp;col=6&amp;number=3.4&amp;sourceID=14","3.4")</f>
        <v>3.4</v>
      </c>
      <c r="G13848" s="4" t="str">
        <f>HYPERLINK("http://141.218.60.56/~jnz1568/getInfo.php?workbook=10_05.xlsx&amp;sheet=U0&amp;row=13848&amp;col=7&amp;number=0.000164&amp;sourceID=14","0.000164")</f>
        <v>0.000164</v>
      </c>
    </row>
    <row r="13849" spans="1:7">
      <c r="A13849" s="3"/>
      <c r="B13849" s="3"/>
      <c r="C13849" s="3"/>
      <c r="D13849" s="3"/>
      <c r="E13849" s="3">
        <v>6</v>
      </c>
      <c r="F13849" s="4" t="str">
        <f>HYPERLINK("http://141.218.60.56/~jnz1568/getInfo.php?workbook=10_05.xlsx&amp;sheet=U0&amp;row=13849&amp;col=6&amp;number=3.5&amp;sourceID=14","3.5")</f>
        <v>3.5</v>
      </c>
      <c r="G13849" s="4" t="str">
        <f>HYPERLINK("http://141.218.60.56/~jnz1568/getInfo.php?workbook=10_05.xlsx&amp;sheet=U0&amp;row=13849&amp;col=7&amp;number=0.000164&amp;sourceID=14","0.000164")</f>
        <v>0.000164</v>
      </c>
    </row>
    <row r="13850" spans="1:7">
      <c r="A13850" s="3"/>
      <c r="B13850" s="3"/>
      <c r="C13850" s="3"/>
      <c r="D13850" s="3"/>
      <c r="E13850" s="3">
        <v>7</v>
      </c>
      <c r="F13850" s="4" t="str">
        <f>HYPERLINK("http://141.218.60.56/~jnz1568/getInfo.php?workbook=10_05.xlsx&amp;sheet=U0&amp;row=13850&amp;col=6&amp;number=3.6&amp;sourceID=14","3.6")</f>
        <v>3.6</v>
      </c>
      <c r="G13850" s="4" t="str">
        <f>HYPERLINK("http://141.218.60.56/~jnz1568/getInfo.php?workbook=10_05.xlsx&amp;sheet=U0&amp;row=13850&amp;col=7&amp;number=0.000164&amp;sourceID=14","0.000164")</f>
        <v>0.000164</v>
      </c>
    </row>
    <row r="13851" spans="1:7">
      <c r="A13851" s="3"/>
      <c r="B13851" s="3"/>
      <c r="C13851" s="3"/>
      <c r="D13851" s="3"/>
      <c r="E13851" s="3">
        <v>8</v>
      </c>
      <c r="F13851" s="4" t="str">
        <f>HYPERLINK("http://141.218.60.56/~jnz1568/getInfo.php?workbook=10_05.xlsx&amp;sheet=U0&amp;row=13851&amp;col=6&amp;number=3.7&amp;sourceID=14","3.7")</f>
        <v>3.7</v>
      </c>
      <c r="G13851" s="4" t="str">
        <f>HYPERLINK("http://141.218.60.56/~jnz1568/getInfo.php?workbook=10_05.xlsx&amp;sheet=U0&amp;row=13851&amp;col=7&amp;number=0.000163&amp;sourceID=14","0.000163")</f>
        <v>0.000163</v>
      </c>
    </row>
    <row r="13852" spans="1:7">
      <c r="A13852" s="3"/>
      <c r="B13852" s="3"/>
      <c r="C13852" s="3"/>
      <c r="D13852" s="3"/>
      <c r="E13852" s="3">
        <v>9</v>
      </c>
      <c r="F13852" s="4" t="str">
        <f>HYPERLINK("http://141.218.60.56/~jnz1568/getInfo.php?workbook=10_05.xlsx&amp;sheet=U0&amp;row=13852&amp;col=6&amp;number=3.8&amp;sourceID=14","3.8")</f>
        <v>3.8</v>
      </c>
      <c r="G13852" s="4" t="str">
        <f>HYPERLINK("http://141.218.60.56/~jnz1568/getInfo.php?workbook=10_05.xlsx&amp;sheet=U0&amp;row=13852&amp;col=7&amp;number=0.000163&amp;sourceID=14","0.000163")</f>
        <v>0.000163</v>
      </c>
    </row>
    <row r="13853" spans="1:7">
      <c r="A13853" s="3"/>
      <c r="B13853" s="3"/>
      <c r="C13853" s="3"/>
      <c r="D13853" s="3"/>
      <c r="E13853" s="3">
        <v>10</v>
      </c>
      <c r="F13853" s="4" t="str">
        <f>HYPERLINK("http://141.218.60.56/~jnz1568/getInfo.php?workbook=10_05.xlsx&amp;sheet=U0&amp;row=13853&amp;col=6&amp;number=3.9&amp;sourceID=14","3.9")</f>
        <v>3.9</v>
      </c>
      <c r="G13853" s="4" t="str">
        <f>HYPERLINK("http://141.218.60.56/~jnz1568/getInfo.php?workbook=10_05.xlsx&amp;sheet=U0&amp;row=13853&amp;col=7&amp;number=0.000162&amp;sourceID=14","0.000162")</f>
        <v>0.000162</v>
      </c>
    </row>
    <row r="13854" spans="1:7">
      <c r="A13854" s="3"/>
      <c r="B13854" s="3"/>
      <c r="C13854" s="3"/>
      <c r="D13854" s="3"/>
      <c r="E13854" s="3">
        <v>11</v>
      </c>
      <c r="F13854" s="4" t="str">
        <f>HYPERLINK("http://141.218.60.56/~jnz1568/getInfo.php?workbook=10_05.xlsx&amp;sheet=U0&amp;row=13854&amp;col=6&amp;number=4&amp;sourceID=14","4")</f>
        <v>4</v>
      </c>
      <c r="G13854" s="4" t="str">
        <f>HYPERLINK("http://141.218.60.56/~jnz1568/getInfo.php?workbook=10_05.xlsx&amp;sheet=U0&amp;row=13854&amp;col=7&amp;number=0.000161&amp;sourceID=14","0.000161")</f>
        <v>0.000161</v>
      </c>
    </row>
    <row r="13855" spans="1:7">
      <c r="A13855" s="3"/>
      <c r="B13855" s="3"/>
      <c r="C13855" s="3"/>
      <c r="D13855" s="3"/>
      <c r="E13855" s="3">
        <v>12</v>
      </c>
      <c r="F13855" s="4" t="str">
        <f>HYPERLINK("http://141.218.60.56/~jnz1568/getInfo.php?workbook=10_05.xlsx&amp;sheet=U0&amp;row=13855&amp;col=6&amp;number=4.1&amp;sourceID=14","4.1")</f>
        <v>4.1</v>
      </c>
      <c r="G13855" s="4" t="str">
        <f>HYPERLINK("http://141.218.60.56/~jnz1568/getInfo.php?workbook=10_05.xlsx&amp;sheet=U0&amp;row=13855&amp;col=7&amp;number=0.000159&amp;sourceID=14","0.000159")</f>
        <v>0.000159</v>
      </c>
    </row>
    <row r="13856" spans="1:7">
      <c r="A13856" s="3"/>
      <c r="B13856" s="3"/>
      <c r="C13856" s="3"/>
      <c r="D13856" s="3"/>
      <c r="E13856" s="3">
        <v>13</v>
      </c>
      <c r="F13856" s="4" t="str">
        <f>HYPERLINK("http://141.218.60.56/~jnz1568/getInfo.php?workbook=10_05.xlsx&amp;sheet=U0&amp;row=13856&amp;col=6&amp;number=4.2&amp;sourceID=14","4.2")</f>
        <v>4.2</v>
      </c>
      <c r="G13856" s="4" t="str">
        <f>HYPERLINK("http://141.218.60.56/~jnz1568/getInfo.php?workbook=10_05.xlsx&amp;sheet=U0&amp;row=13856&amp;col=7&amp;number=0.000157&amp;sourceID=14","0.000157")</f>
        <v>0.000157</v>
      </c>
    </row>
    <row r="13857" spans="1:7">
      <c r="A13857" s="3"/>
      <c r="B13857" s="3"/>
      <c r="C13857" s="3"/>
      <c r="D13857" s="3"/>
      <c r="E13857" s="3">
        <v>14</v>
      </c>
      <c r="F13857" s="4" t="str">
        <f>HYPERLINK("http://141.218.60.56/~jnz1568/getInfo.php?workbook=10_05.xlsx&amp;sheet=U0&amp;row=13857&amp;col=6&amp;number=4.3&amp;sourceID=14","4.3")</f>
        <v>4.3</v>
      </c>
      <c r="G13857" s="4" t="str">
        <f>HYPERLINK("http://141.218.60.56/~jnz1568/getInfo.php?workbook=10_05.xlsx&amp;sheet=U0&amp;row=13857&amp;col=7&amp;number=0.000155&amp;sourceID=14","0.000155")</f>
        <v>0.000155</v>
      </c>
    </row>
    <row r="13858" spans="1:7">
      <c r="A13858" s="3"/>
      <c r="B13858" s="3"/>
      <c r="C13858" s="3"/>
      <c r="D13858" s="3"/>
      <c r="E13858" s="3">
        <v>15</v>
      </c>
      <c r="F13858" s="4" t="str">
        <f>HYPERLINK("http://141.218.60.56/~jnz1568/getInfo.php?workbook=10_05.xlsx&amp;sheet=U0&amp;row=13858&amp;col=6&amp;number=4.4&amp;sourceID=14","4.4")</f>
        <v>4.4</v>
      </c>
      <c r="G13858" s="4" t="str">
        <f>HYPERLINK("http://141.218.60.56/~jnz1568/getInfo.php?workbook=10_05.xlsx&amp;sheet=U0&amp;row=13858&amp;col=7&amp;number=0.000151&amp;sourceID=14","0.000151")</f>
        <v>0.000151</v>
      </c>
    </row>
    <row r="13859" spans="1:7">
      <c r="A13859" s="3"/>
      <c r="B13859" s="3"/>
      <c r="C13859" s="3"/>
      <c r="D13859" s="3"/>
      <c r="E13859" s="3">
        <v>16</v>
      </c>
      <c r="F13859" s="4" t="str">
        <f>HYPERLINK("http://141.218.60.56/~jnz1568/getInfo.php?workbook=10_05.xlsx&amp;sheet=U0&amp;row=13859&amp;col=6&amp;number=4.5&amp;sourceID=14","4.5")</f>
        <v>4.5</v>
      </c>
      <c r="G13859" s="4" t="str">
        <f>HYPERLINK("http://141.218.60.56/~jnz1568/getInfo.php?workbook=10_05.xlsx&amp;sheet=U0&amp;row=13859&amp;col=7&amp;number=0.000145&amp;sourceID=14","0.000145")</f>
        <v>0.000145</v>
      </c>
    </row>
    <row r="13860" spans="1:7">
      <c r="A13860" s="3"/>
      <c r="B13860" s="3"/>
      <c r="C13860" s="3"/>
      <c r="D13860" s="3"/>
      <c r="E13860" s="3">
        <v>17</v>
      </c>
      <c r="F13860" s="4" t="str">
        <f>HYPERLINK("http://141.218.60.56/~jnz1568/getInfo.php?workbook=10_05.xlsx&amp;sheet=U0&amp;row=13860&amp;col=6&amp;number=4.6&amp;sourceID=14","4.6")</f>
        <v>4.6</v>
      </c>
      <c r="G13860" s="4" t="str">
        <f>HYPERLINK("http://141.218.60.56/~jnz1568/getInfo.php?workbook=10_05.xlsx&amp;sheet=U0&amp;row=13860&amp;col=7&amp;number=0.000138&amp;sourceID=14","0.000138")</f>
        <v>0.000138</v>
      </c>
    </row>
    <row r="13861" spans="1:7">
      <c r="A13861" s="3"/>
      <c r="B13861" s="3"/>
      <c r="C13861" s="3"/>
      <c r="D13861" s="3"/>
      <c r="E13861" s="3">
        <v>18</v>
      </c>
      <c r="F13861" s="4" t="str">
        <f>HYPERLINK("http://141.218.60.56/~jnz1568/getInfo.php?workbook=10_05.xlsx&amp;sheet=U0&amp;row=13861&amp;col=6&amp;number=4.7&amp;sourceID=14","4.7")</f>
        <v>4.7</v>
      </c>
      <c r="G13861" s="4" t="str">
        <f>HYPERLINK("http://141.218.60.56/~jnz1568/getInfo.php?workbook=10_05.xlsx&amp;sheet=U0&amp;row=13861&amp;col=7&amp;number=0.000131&amp;sourceID=14","0.000131")</f>
        <v>0.000131</v>
      </c>
    </row>
    <row r="13862" spans="1:7">
      <c r="A13862" s="3"/>
      <c r="B13862" s="3"/>
      <c r="C13862" s="3"/>
      <c r="D13862" s="3"/>
      <c r="E13862" s="3">
        <v>19</v>
      </c>
      <c r="F13862" s="4" t="str">
        <f>HYPERLINK("http://141.218.60.56/~jnz1568/getInfo.php?workbook=10_05.xlsx&amp;sheet=U0&amp;row=13862&amp;col=6&amp;number=4.8&amp;sourceID=14","4.8")</f>
        <v>4.8</v>
      </c>
      <c r="G13862" s="4" t="str">
        <f>HYPERLINK("http://141.218.60.56/~jnz1568/getInfo.php?workbook=10_05.xlsx&amp;sheet=U0&amp;row=13862&amp;col=7&amp;number=0.000123&amp;sourceID=14","0.000123")</f>
        <v>0.000123</v>
      </c>
    </row>
    <row r="13863" spans="1:7">
      <c r="A13863" s="3"/>
      <c r="B13863" s="3"/>
      <c r="C13863" s="3"/>
      <c r="D13863" s="3"/>
      <c r="E13863" s="3">
        <v>20</v>
      </c>
      <c r="F13863" s="4" t="str">
        <f>HYPERLINK("http://141.218.60.56/~jnz1568/getInfo.php?workbook=10_05.xlsx&amp;sheet=U0&amp;row=13863&amp;col=6&amp;number=4.9&amp;sourceID=14","4.9")</f>
        <v>4.9</v>
      </c>
      <c r="G13863" s="4" t="str">
        <f>HYPERLINK("http://141.218.60.56/~jnz1568/getInfo.php?workbook=10_05.xlsx&amp;sheet=U0&amp;row=13863&amp;col=7&amp;number=0.000116&amp;sourceID=14","0.000116")</f>
        <v>0.000116</v>
      </c>
    </row>
    <row r="13864" spans="1:7">
      <c r="A13864" s="3">
        <v>10</v>
      </c>
      <c r="B13864" s="3">
        <v>5</v>
      </c>
      <c r="C13864" s="3">
        <v>4</v>
      </c>
      <c r="D13864" s="3">
        <v>164</v>
      </c>
      <c r="E13864" s="3">
        <v>1</v>
      </c>
      <c r="F13864" s="4" t="str">
        <f>HYPERLINK("http://141.218.60.56/~jnz1568/getInfo.php?workbook=10_05.xlsx&amp;sheet=U0&amp;row=13864&amp;col=6&amp;number=3&amp;sourceID=14","3")</f>
        <v>3</v>
      </c>
      <c r="G13864" s="4" t="str">
        <f>HYPERLINK("http://141.218.60.56/~jnz1568/getInfo.php?workbook=10_05.xlsx&amp;sheet=U0&amp;row=13864&amp;col=7&amp;number=0.000201&amp;sourceID=14","0.000201")</f>
        <v>0.000201</v>
      </c>
    </row>
    <row r="13865" spans="1:7">
      <c r="A13865" s="3"/>
      <c r="B13865" s="3"/>
      <c r="C13865" s="3"/>
      <c r="D13865" s="3"/>
      <c r="E13865" s="3">
        <v>2</v>
      </c>
      <c r="F13865" s="4" t="str">
        <f>HYPERLINK("http://141.218.60.56/~jnz1568/getInfo.php?workbook=10_05.xlsx&amp;sheet=U0&amp;row=13865&amp;col=6&amp;number=3.1&amp;sourceID=14","3.1")</f>
        <v>3.1</v>
      </c>
      <c r="G13865" s="4" t="str">
        <f>HYPERLINK("http://141.218.60.56/~jnz1568/getInfo.php?workbook=10_05.xlsx&amp;sheet=U0&amp;row=13865&amp;col=7&amp;number=0.000201&amp;sourceID=14","0.000201")</f>
        <v>0.000201</v>
      </c>
    </row>
    <row r="13866" spans="1:7">
      <c r="A13866" s="3"/>
      <c r="B13866" s="3"/>
      <c r="C13866" s="3"/>
      <c r="D13866" s="3"/>
      <c r="E13866" s="3">
        <v>3</v>
      </c>
      <c r="F13866" s="4" t="str">
        <f>HYPERLINK("http://141.218.60.56/~jnz1568/getInfo.php?workbook=10_05.xlsx&amp;sheet=U0&amp;row=13866&amp;col=6&amp;number=3.2&amp;sourceID=14","3.2")</f>
        <v>3.2</v>
      </c>
      <c r="G13866" s="4" t="str">
        <f>HYPERLINK("http://141.218.60.56/~jnz1568/getInfo.php?workbook=10_05.xlsx&amp;sheet=U0&amp;row=13866&amp;col=7&amp;number=0.0002&amp;sourceID=14","0.0002")</f>
        <v>0.0002</v>
      </c>
    </row>
    <row r="13867" spans="1:7">
      <c r="A13867" s="3"/>
      <c r="B13867" s="3"/>
      <c r="C13867" s="3"/>
      <c r="D13867" s="3"/>
      <c r="E13867" s="3">
        <v>4</v>
      </c>
      <c r="F13867" s="4" t="str">
        <f>HYPERLINK("http://141.218.60.56/~jnz1568/getInfo.php?workbook=10_05.xlsx&amp;sheet=U0&amp;row=13867&amp;col=6&amp;number=3.3&amp;sourceID=14","3.3")</f>
        <v>3.3</v>
      </c>
      <c r="G13867" s="4" t="str">
        <f>HYPERLINK("http://141.218.60.56/~jnz1568/getInfo.php?workbook=10_05.xlsx&amp;sheet=U0&amp;row=13867&amp;col=7&amp;number=0.0002&amp;sourceID=14","0.0002")</f>
        <v>0.0002</v>
      </c>
    </row>
    <row r="13868" spans="1:7">
      <c r="A13868" s="3"/>
      <c r="B13868" s="3"/>
      <c r="C13868" s="3"/>
      <c r="D13868" s="3"/>
      <c r="E13868" s="3">
        <v>5</v>
      </c>
      <c r="F13868" s="4" t="str">
        <f>HYPERLINK("http://141.218.60.56/~jnz1568/getInfo.php?workbook=10_05.xlsx&amp;sheet=U0&amp;row=13868&amp;col=6&amp;number=3.4&amp;sourceID=14","3.4")</f>
        <v>3.4</v>
      </c>
      <c r="G13868" s="4" t="str">
        <f>HYPERLINK("http://141.218.60.56/~jnz1568/getInfo.php?workbook=10_05.xlsx&amp;sheet=U0&amp;row=13868&amp;col=7&amp;number=0.000199&amp;sourceID=14","0.000199")</f>
        <v>0.000199</v>
      </c>
    </row>
    <row r="13869" spans="1:7">
      <c r="A13869" s="3"/>
      <c r="B13869" s="3"/>
      <c r="C13869" s="3"/>
      <c r="D13869" s="3"/>
      <c r="E13869" s="3">
        <v>6</v>
      </c>
      <c r="F13869" s="4" t="str">
        <f>HYPERLINK("http://141.218.60.56/~jnz1568/getInfo.php?workbook=10_05.xlsx&amp;sheet=U0&amp;row=13869&amp;col=6&amp;number=3.5&amp;sourceID=14","3.5")</f>
        <v>3.5</v>
      </c>
      <c r="G13869" s="4" t="str">
        <f>HYPERLINK("http://141.218.60.56/~jnz1568/getInfo.php?workbook=10_05.xlsx&amp;sheet=U0&amp;row=13869&amp;col=7&amp;number=0.000198&amp;sourceID=14","0.000198")</f>
        <v>0.000198</v>
      </c>
    </row>
    <row r="13870" spans="1:7">
      <c r="A13870" s="3"/>
      <c r="B13870" s="3"/>
      <c r="C13870" s="3"/>
      <c r="D13870" s="3"/>
      <c r="E13870" s="3">
        <v>7</v>
      </c>
      <c r="F13870" s="4" t="str">
        <f>HYPERLINK("http://141.218.60.56/~jnz1568/getInfo.php?workbook=10_05.xlsx&amp;sheet=U0&amp;row=13870&amp;col=6&amp;number=3.6&amp;sourceID=14","3.6")</f>
        <v>3.6</v>
      </c>
      <c r="G13870" s="4" t="str">
        <f>HYPERLINK("http://141.218.60.56/~jnz1568/getInfo.php?workbook=10_05.xlsx&amp;sheet=U0&amp;row=13870&amp;col=7&amp;number=0.000197&amp;sourceID=14","0.000197")</f>
        <v>0.000197</v>
      </c>
    </row>
    <row r="13871" spans="1:7">
      <c r="A13871" s="3"/>
      <c r="B13871" s="3"/>
      <c r="C13871" s="3"/>
      <c r="D13871" s="3"/>
      <c r="E13871" s="3">
        <v>8</v>
      </c>
      <c r="F13871" s="4" t="str">
        <f>HYPERLINK("http://141.218.60.56/~jnz1568/getInfo.php?workbook=10_05.xlsx&amp;sheet=U0&amp;row=13871&amp;col=6&amp;number=3.7&amp;sourceID=14","3.7")</f>
        <v>3.7</v>
      </c>
      <c r="G13871" s="4" t="str">
        <f>HYPERLINK("http://141.218.60.56/~jnz1568/getInfo.php?workbook=10_05.xlsx&amp;sheet=U0&amp;row=13871&amp;col=7&amp;number=0.000195&amp;sourceID=14","0.000195")</f>
        <v>0.000195</v>
      </c>
    </row>
    <row r="13872" spans="1:7">
      <c r="A13872" s="3"/>
      <c r="B13872" s="3"/>
      <c r="C13872" s="3"/>
      <c r="D13872" s="3"/>
      <c r="E13872" s="3">
        <v>9</v>
      </c>
      <c r="F13872" s="4" t="str">
        <f>HYPERLINK("http://141.218.60.56/~jnz1568/getInfo.php?workbook=10_05.xlsx&amp;sheet=U0&amp;row=13872&amp;col=6&amp;number=3.8&amp;sourceID=14","3.8")</f>
        <v>3.8</v>
      </c>
      <c r="G13872" s="4" t="str">
        <f>HYPERLINK("http://141.218.60.56/~jnz1568/getInfo.php?workbook=10_05.xlsx&amp;sheet=U0&amp;row=13872&amp;col=7&amp;number=0.000193&amp;sourceID=14","0.000193")</f>
        <v>0.000193</v>
      </c>
    </row>
    <row r="13873" spans="1:7">
      <c r="A13873" s="3"/>
      <c r="B13873" s="3"/>
      <c r="C13873" s="3"/>
      <c r="D13873" s="3"/>
      <c r="E13873" s="3">
        <v>10</v>
      </c>
      <c r="F13873" s="4" t="str">
        <f>HYPERLINK("http://141.218.60.56/~jnz1568/getInfo.php?workbook=10_05.xlsx&amp;sheet=U0&amp;row=13873&amp;col=6&amp;number=3.9&amp;sourceID=14","3.9")</f>
        <v>3.9</v>
      </c>
      <c r="G13873" s="4" t="str">
        <f>HYPERLINK("http://141.218.60.56/~jnz1568/getInfo.php?workbook=10_05.xlsx&amp;sheet=U0&amp;row=13873&amp;col=7&amp;number=0.000191&amp;sourceID=14","0.000191")</f>
        <v>0.000191</v>
      </c>
    </row>
    <row r="13874" spans="1:7">
      <c r="A13874" s="3"/>
      <c r="B13874" s="3"/>
      <c r="C13874" s="3"/>
      <c r="D13874" s="3"/>
      <c r="E13874" s="3">
        <v>11</v>
      </c>
      <c r="F13874" s="4" t="str">
        <f>HYPERLINK("http://141.218.60.56/~jnz1568/getInfo.php?workbook=10_05.xlsx&amp;sheet=U0&amp;row=13874&amp;col=6&amp;number=4&amp;sourceID=14","4")</f>
        <v>4</v>
      </c>
      <c r="G13874" s="4" t="str">
        <f>HYPERLINK("http://141.218.60.56/~jnz1568/getInfo.php?workbook=10_05.xlsx&amp;sheet=U0&amp;row=13874&amp;col=7&amp;number=0.000188&amp;sourceID=14","0.000188")</f>
        <v>0.000188</v>
      </c>
    </row>
    <row r="13875" spans="1:7">
      <c r="A13875" s="3"/>
      <c r="B13875" s="3"/>
      <c r="C13875" s="3"/>
      <c r="D13875" s="3"/>
      <c r="E13875" s="3">
        <v>12</v>
      </c>
      <c r="F13875" s="4" t="str">
        <f>HYPERLINK("http://141.218.60.56/~jnz1568/getInfo.php?workbook=10_05.xlsx&amp;sheet=U0&amp;row=13875&amp;col=6&amp;number=4.1&amp;sourceID=14","4.1")</f>
        <v>4.1</v>
      </c>
      <c r="G13875" s="4" t="str">
        <f>HYPERLINK("http://141.218.60.56/~jnz1568/getInfo.php?workbook=10_05.xlsx&amp;sheet=U0&amp;row=13875&amp;col=7&amp;number=0.000184&amp;sourceID=14","0.000184")</f>
        <v>0.000184</v>
      </c>
    </row>
    <row r="13876" spans="1:7">
      <c r="A13876" s="3"/>
      <c r="B13876" s="3"/>
      <c r="C13876" s="3"/>
      <c r="D13876" s="3"/>
      <c r="E13876" s="3">
        <v>13</v>
      </c>
      <c r="F13876" s="4" t="str">
        <f>HYPERLINK("http://141.218.60.56/~jnz1568/getInfo.php?workbook=10_05.xlsx&amp;sheet=U0&amp;row=13876&amp;col=6&amp;number=4.2&amp;sourceID=14","4.2")</f>
        <v>4.2</v>
      </c>
      <c r="G13876" s="4" t="str">
        <f>HYPERLINK("http://141.218.60.56/~jnz1568/getInfo.php?workbook=10_05.xlsx&amp;sheet=U0&amp;row=13876&amp;col=7&amp;number=0.00018&amp;sourceID=14","0.00018")</f>
        <v>0.00018</v>
      </c>
    </row>
    <row r="13877" spans="1:7">
      <c r="A13877" s="3"/>
      <c r="B13877" s="3"/>
      <c r="C13877" s="3"/>
      <c r="D13877" s="3"/>
      <c r="E13877" s="3">
        <v>14</v>
      </c>
      <c r="F13877" s="4" t="str">
        <f>HYPERLINK("http://141.218.60.56/~jnz1568/getInfo.php?workbook=10_05.xlsx&amp;sheet=U0&amp;row=13877&amp;col=6&amp;number=4.3&amp;sourceID=14","4.3")</f>
        <v>4.3</v>
      </c>
      <c r="G13877" s="4" t="str">
        <f>HYPERLINK("http://141.218.60.56/~jnz1568/getInfo.php?workbook=10_05.xlsx&amp;sheet=U0&amp;row=13877&amp;col=7&amp;number=0.000174&amp;sourceID=14","0.000174")</f>
        <v>0.000174</v>
      </c>
    </row>
    <row r="13878" spans="1:7">
      <c r="A13878" s="3"/>
      <c r="B13878" s="3"/>
      <c r="C13878" s="3"/>
      <c r="D13878" s="3"/>
      <c r="E13878" s="3">
        <v>15</v>
      </c>
      <c r="F13878" s="4" t="str">
        <f>HYPERLINK("http://141.218.60.56/~jnz1568/getInfo.php?workbook=10_05.xlsx&amp;sheet=U0&amp;row=13878&amp;col=6&amp;number=4.4&amp;sourceID=14","4.4")</f>
        <v>4.4</v>
      </c>
      <c r="G13878" s="4" t="str">
        <f>HYPERLINK("http://141.218.60.56/~jnz1568/getInfo.php?workbook=10_05.xlsx&amp;sheet=U0&amp;row=13878&amp;col=7&amp;number=0.000168&amp;sourceID=14","0.000168")</f>
        <v>0.000168</v>
      </c>
    </row>
    <row r="13879" spans="1:7">
      <c r="A13879" s="3"/>
      <c r="B13879" s="3"/>
      <c r="C13879" s="3"/>
      <c r="D13879" s="3"/>
      <c r="E13879" s="3">
        <v>16</v>
      </c>
      <c r="F13879" s="4" t="str">
        <f>HYPERLINK("http://141.218.60.56/~jnz1568/getInfo.php?workbook=10_05.xlsx&amp;sheet=U0&amp;row=13879&amp;col=6&amp;number=4.5&amp;sourceID=14","4.5")</f>
        <v>4.5</v>
      </c>
      <c r="G13879" s="4" t="str">
        <f>HYPERLINK("http://141.218.60.56/~jnz1568/getInfo.php?workbook=10_05.xlsx&amp;sheet=U0&amp;row=13879&amp;col=7&amp;number=0.00016&amp;sourceID=14","0.00016")</f>
        <v>0.00016</v>
      </c>
    </row>
    <row r="13880" spans="1:7">
      <c r="A13880" s="3"/>
      <c r="B13880" s="3"/>
      <c r="C13880" s="3"/>
      <c r="D13880" s="3"/>
      <c r="E13880" s="3">
        <v>17</v>
      </c>
      <c r="F13880" s="4" t="str">
        <f>HYPERLINK("http://141.218.60.56/~jnz1568/getInfo.php?workbook=10_05.xlsx&amp;sheet=U0&amp;row=13880&amp;col=6&amp;number=4.6&amp;sourceID=14","4.6")</f>
        <v>4.6</v>
      </c>
      <c r="G13880" s="4" t="str">
        <f>HYPERLINK("http://141.218.60.56/~jnz1568/getInfo.php?workbook=10_05.xlsx&amp;sheet=U0&amp;row=13880&amp;col=7&amp;number=0.000152&amp;sourceID=14","0.000152")</f>
        <v>0.000152</v>
      </c>
    </row>
    <row r="13881" spans="1:7">
      <c r="A13881" s="3"/>
      <c r="B13881" s="3"/>
      <c r="C13881" s="3"/>
      <c r="D13881" s="3"/>
      <c r="E13881" s="3">
        <v>18</v>
      </c>
      <c r="F13881" s="4" t="str">
        <f>HYPERLINK("http://141.218.60.56/~jnz1568/getInfo.php?workbook=10_05.xlsx&amp;sheet=U0&amp;row=13881&amp;col=6&amp;number=4.7&amp;sourceID=14","4.7")</f>
        <v>4.7</v>
      </c>
      <c r="G13881" s="4" t="str">
        <f>HYPERLINK("http://141.218.60.56/~jnz1568/getInfo.php?workbook=10_05.xlsx&amp;sheet=U0&amp;row=13881&amp;col=7&amp;number=0.000143&amp;sourceID=14","0.000143")</f>
        <v>0.000143</v>
      </c>
    </row>
    <row r="13882" spans="1:7">
      <c r="A13882" s="3"/>
      <c r="B13882" s="3"/>
      <c r="C13882" s="3"/>
      <c r="D13882" s="3"/>
      <c r="E13882" s="3">
        <v>19</v>
      </c>
      <c r="F13882" s="4" t="str">
        <f>HYPERLINK("http://141.218.60.56/~jnz1568/getInfo.php?workbook=10_05.xlsx&amp;sheet=U0&amp;row=13882&amp;col=6&amp;number=4.8&amp;sourceID=14","4.8")</f>
        <v>4.8</v>
      </c>
      <c r="G13882" s="4" t="str">
        <f>HYPERLINK("http://141.218.60.56/~jnz1568/getInfo.php?workbook=10_05.xlsx&amp;sheet=U0&amp;row=13882&amp;col=7&amp;number=0.000134&amp;sourceID=14","0.000134")</f>
        <v>0.000134</v>
      </c>
    </row>
    <row r="13883" spans="1:7">
      <c r="A13883" s="3"/>
      <c r="B13883" s="3"/>
      <c r="C13883" s="3"/>
      <c r="D13883" s="3"/>
      <c r="E13883" s="3">
        <v>20</v>
      </c>
      <c r="F13883" s="4" t="str">
        <f>HYPERLINK("http://141.218.60.56/~jnz1568/getInfo.php?workbook=10_05.xlsx&amp;sheet=U0&amp;row=13883&amp;col=6&amp;number=4.9&amp;sourceID=14","4.9")</f>
        <v>4.9</v>
      </c>
      <c r="G13883" s="4" t="str">
        <f>HYPERLINK("http://141.218.60.56/~jnz1568/getInfo.php?workbook=10_05.xlsx&amp;sheet=U0&amp;row=13883&amp;col=7&amp;number=0.000125&amp;sourceID=14","0.000125")</f>
        <v>0.000125</v>
      </c>
    </row>
    <row r="13884" spans="1:7">
      <c r="A13884" s="3">
        <v>10</v>
      </c>
      <c r="B13884" s="3">
        <v>5</v>
      </c>
      <c r="C13884" s="3">
        <v>4</v>
      </c>
      <c r="D13884" s="3">
        <v>165</v>
      </c>
      <c r="E13884" s="3">
        <v>1</v>
      </c>
      <c r="F13884" s="4" t="str">
        <f>HYPERLINK("http://141.218.60.56/~jnz1568/getInfo.php?workbook=10_05.xlsx&amp;sheet=U0&amp;row=13884&amp;col=6&amp;number=3&amp;sourceID=14","3")</f>
        <v>3</v>
      </c>
      <c r="G13884" s="4" t="str">
        <f>HYPERLINK("http://141.218.60.56/~jnz1568/getInfo.php?workbook=10_05.xlsx&amp;sheet=U0&amp;row=13884&amp;col=7&amp;number=0.000362&amp;sourceID=14","0.000362")</f>
        <v>0.000362</v>
      </c>
    </row>
    <row r="13885" spans="1:7">
      <c r="A13885" s="3"/>
      <c r="B13885" s="3"/>
      <c r="C13885" s="3"/>
      <c r="D13885" s="3"/>
      <c r="E13885" s="3">
        <v>2</v>
      </c>
      <c r="F13885" s="4" t="str">
        <f>HYPERLINK("http://141.218.60.56/~jnz1568/getInfo.php?workbook=10_05.xlsx&amp;sheet=U0&amp;row=13885&amp;col=6&amp;number=3.1&amp;sourceID=14","3.1")</f>
        <v>3.1</v>
      </c>
      <c r="G13885" s="4" t="str">
        <f>HYPERLINK("http://141.218.60.56/~jnz1568/getInfo.php?workbook=10_05.xlsx&amp;sheet=U0&amp;row=13885&amp;col=7&amp;number=0.00036&amp;sourceID=14","0.00036")</f>
        <v>0.00036</v>
      </c>
    </row>
    <row r="13886" spans="1:7">
      <c r="A13886" s="3"/>
      <c r="B13886" s="3"/>
      <c r="C13886" s="3"/>
      <c r="D13886" s="3"/>
      <c r="E13886" s="3">
        <v>3</v>
      </c>
      <c r="F13886" s="4" t="str">
        <f>HYPERLINK("http://141.218.60.56/~jnz1568/getInfo.php?workbook=10_05.xlsx&amp;sheet=U0&amp;row=13886&amp;col=6&amp;number=3.2&amp;sourceID=14","3.2")</f>
        <v>3.2</v>
      </c>
      <c r="G13886" s="4" t="str">
        <f>HYPERLINK("http://141.218.60.56/~jnz1568/getInfo.php?workbook=10_05.xlsx&amp;sheet=U0&amp;row=13886&amp;col=7&amp;number=0.000358&amp;sourceID=14","0.000358")</f>
        <v>0.000358</v>
      </c>
    </row>
    <row r="13887" spans="1:7">
      <c r="A13887" s="3"/>
      <c r="B13887" s="3"/>
      <c r="C13887" s="3"/>
      <c r="D13887" s="3"/>
      <c r="E13887" s="3">
        <v>4</v>
      </c>
      <c r="F13887" s="4" t="str">
        <f>HYPERLINK("http://141.218.60.56/~jnz1568/getInfo.php?workbook=10_05.xlsx&amp;sheet=U0&amp;row=13887&amp;col=6&amp;number=3.3&amp;sourceID=14","3.3")</f>
        <v>3.3</v>
      </c>
      <c r="G13887" s="4" t="str">
        <f>HYPERLINK("http://141.218.60.56/~jnz1568/getInfo.php?workbook=10_05.xlsx&amp;sheet=U0&amp;row=13887&amp;col=7&amp;number=0.000354&amp;sourceID=14","0.000354")</f>
        <v>0.000354</v>
      </c>
    </row>
    <row r="13888" spans="1:7">
      <c r="A13888" s="3"/>
      <c r="B13888" s="3"/>
      <c r="C13888" s="3"/>
      <c r="D13888" s="3"/>
      <c r="E13888" s="3">
        <v>5</v>
      </c>
      <c r="F13888" s="4" t="str">
        <f>HYPERLINK("http://141.218.60.56/~jnz1568/getInfo.php?workbook=10_05.xlsx&amp;sheet=U0&amp;row=13888&amp;col=6&amp;number=3.4&amp;sourceID=14","3.4")</f>
        <v>3.4</v>
      </c>
      <c r="G13888" s="4" t="str">
        <f>HYPERLINK("http://141.218.60.56/~jnz1568/getInfo.php?workbook=10_05.xlsx&amp;sheet=U0&amp;row=13888&amp;col=7&amp;number=0.00035&amp;sourceID=14","0.00035")</f>
        <v>0.00035</v>
      </c>
    </row>
    <row r="13889" spans="1:7">
      <c r="A13889" s="3"/>
      <c r="B13889" s="3"/>
      <c r="C13889" s="3"/>
      <c r="D13889" s="3"/>
      <c r="E13889" s="3">
        <v>6</v>
      </c>
      <c r="F13889" s="4" t="str">
        <f>HYPERLINK("http://141.218.60.56/~jnz1568/getInfo.php?workbook=10_05.xlsx&amp;sheet=U0&amp;row=13889&amp;col=6&amp;number=3.5&amp;sourceID=14","3.5")</f>
        <v>3.5</v>
      </c>
      <c r="G13889" s="4" t="str">
        <f>HYPERLINK("http://141.218.60.56/~jnz1568/getInfo.php?workbook=10_05.xlsx&amp;sheet=U0&amp;row=13889&amp;col=7&amp;number=0.000345&amp;sourceID=14","0.000345")</f>
        <v>0.000345</v>
      </c>
    </row>
    <row r="13890" spans="1:7">
      <c r="A13890" s="3"/>
      <c r="B13890" s="3"/>
      <c r="C13890" s="3"/>
      <c r="D13890" s="3"/>
      <c r="E13890" s="3">
        <v>7</v>
      </c>
      <c r="F13890" s="4" t="str">
        <f>HYPERLINK("http://141.218.60.56/~jnz1568/getInfo.php?workbook=10_05.xlsx&amp;sheet=U0&amp;row=13890&amp;col=6&amp;number=3.6&amp;sourceID=14","3.6")</f>
        <v>3.6</v>
      </c>
      <c r="G13890" s="4" t="str">
        <f>HYPERLINK("http://141.218.60.56/~jnz1568/getInfo.php?workbook=10_05.xlsx&amp;sheet=U0&amp;row=13890&amp;col=7&amp;number=0.000339&amp;sourceID=14","0.000339")</f>
        <v>0.000339</v>
      </c>
    </row>
    <row r="13891" spans="1:7">
      <c r="A13891" s="3"/>
      <c r="B13891" s="3"/>
      <c r="C13891" s="3"/>
      <c r="D13891" s="3"/>
      <c r="E13891" s="3">
        <v>8</v>
      </c>
      <c r="F13891" s="4" t="str">
        <f>HYPERLINK("http://141.218.60.56/~jnz1568/getInfo.php?workbook=10_05.xlsx&amp;sheet=U0&amp;row=13891&amp;col=6&amp;number=3.7&amp;sourceID=14","3.7")</f>
        <v>3.7</v>
      </c>
      <c r="G13891" s="4" t="str">
        <f>HYPERLINK("http://141.218.60.56/~jnz1568/getInfo.php?workbook=10_05.xlsx&amp;sheet=U0&amp;row=13891&amp;col=7&amp;number=0.000332&amp;sourceID=14","0.000332")</f>
        <v>0.000332</v>
      </c>
    </row>
    <row r="13892" spans="1:7">
      <c r="A13892" s="3"/>
      <c r="B13892" s="3"/>
      <c r="C13892" s="3"/>
      <c r="D13892" s="3"/>
      <c r="E13892" s="3">
        <v>9</v>
      </c>
      <c r="F13892" s="4" t="str">
        <f>HYPERLINK("http://141.218.60.56/~jnz1568/getInfo.php?workbook=10_05.xlsx&amp;sheet=U0&amp;row=13892&amp;col=6&amp;number=3.8&amp;sourceID=14","3.8")</f>
        <v>3.8</v>
      </c>
      <c r="G13892" s="4" t="str">
        <f>HYPERLINK("http://141.218.60.56/~jnz1568/getInfo.php?workbook=10_05.xlsx&amp;sheet=U0&amp;row=13892&amp;col=7&amp;number=0.000323&amp;sourceID=14","0.000323")</f>
        <v>0.000323</v>
      </c>
    </row>
    <row r="13893" spans="1:7">
      <c r="A13893" s="3"/>
      <c r="B13893" s="3"/>
      <c r="C13893" s="3"/>
      <c r="D13893" s="3"/>
      <c r="E13893" s="3">
        <v>10</v>
      </c>
      <c r="F13893" s="4" t="str">
        <f>HYPERLINK("http://141.218.60.56/~jnz1568/getInfo.php?workbook=10_05.xlsx&amp;sheet=U0&amp;row=13893&amp;col=6&amp;number=3.9&amp;sourceID=14","3.9")</f>
        <v>3.9</v>
      </c>
      <c r="G13893" s="4" t="str">
        <f>HYPERLINK("http://141.218.60.56/~jnz1568/getInfo.php?workbook=10_05.xlsx&amp;sheet=U0&amp;row=13893&amp;col=7&amp;number=0.000314&amp;sourceID=14","0.000314")</f>
        <v>0.000314</v>
      </c>
    </row>
    <row r="13894" spans="1:7">
      <c r="A13894" s="3"/>
      <c r="B13894" s="3"/>
      <c r="C13894" s="3"/>
      <c r="D13894" s="3"/>
      <c r="E13894" s="3">
        <v>11</v>
      </c>
      <c r="F13894" s="4" t="str">
        <f>HYPERLINK("http://141.218.60.56/~jnz1568/getInfo.php?workbook=10_05.xlsx&amp;sheet=U0&amp;row=13894&amp;col=6&amp;number=4&amp;sourceID=14","4")</f>
        <v>4</v>
      </c>
      <c r="G13894" s="4" t="str">
        <f>HYPERLINK("http://141.218.60.56/~jnz1568/getInfo.php?workbook=10_05.xlsx&amp;sheet=U0&amp;row=13894&amp;col=7&amp;number=0.000303&amp;sourceID=14","0.000303")</f>
        <v>0.000303</v>
      </c>
    </row>
    <row r="13895" spans="1:7">
      <c r="A13895" s="3"/>
      <c r="B13895" s="3"/>
      <c r="C13895" s="3"/>
      <c r="D13895" s="3"/>
      <c r="E13895" s="3">
        <v>12</v>
      </c>
      <c r="F13895" s="4" t="str">
        <f>HYPERLINK("http://141.218.60.56/~jnz1568/getInfo.php?workbook=10_05.xlsx&amp;sheet=U0&amp;row=13895&amp;col=6&amp;number=4.1&amp;sourceID=14","4.1")</f>
        <v>4.1</v>
      </c>
      <c r="G13895" s="4" t="str">
        <f>HYPERLINK("http://141.218.60.56/~jnz1568/getInfo.php?workbook=10_05.xlsx&amp;sheet=U0&amp;row=13895&amp;col=7&amp;number=0.000293&amp;sourceID=14","0.000293")</f>
        <v>0.000293</v>
      </c>
    </row>
    <row r="13896" spans="1:7">
      <c r="A13896" s="3"/>
      <c r="B13896" s="3"/>
      <c r="C13896" s="3"/>
      <c r="D13896" s="3"/>
      <c r="E13896" s="3">
        <v>13</v>
      </c>
      <c r="F13896" s="4" t="str">
        <f>HYPERLINK("http://141.218.60.56/~jnz1568/getInfo.php?workbook=10_05.xlsx&amp;sheet=U0&amp;row=13896&amp;col=6&amp;number=4.2&amp;sourceID=14","4.2")</f>
        <v>4.2</v>
      </c>
      <c r="G13896" s="4" t="str">
        <f>HYPERLINK("http://141.218.60.56/~jnz1568/getInfo.php?workbook=10_05.xlsx&amp;sheet=U0&amp;row=13896&amp;col=7&amp;number=0.000285&amp;sourceID=14","0.000285")</f>
        <v>0.000285</v>
      </c>
    </row>
    <row r="13897" spans="1:7">
      <c r="A13897" s="3"/>
      <c r="B13897" s="3"/>
      <c r="C13897" s="3"/>
      <c r="D13897" s="3"/>
      <c r="E13897" s="3">
        <v>14</v>
      </c>
      <c r="F13897" s="4" t="str">
        <f>HYPERLINK("http://141.218.60.56/~jnz1568/getInfo.php?workbook=10_05.xlsx&amp;sheet=U0&amp;row=13897&amp;col=6&amp;number=4.3&amp;sourceID=14","4.3")</f>
        <v>4.3</v>
      </c>
      <c r="G13897" s="4" t="str">
        <f>HYPERLINK("http://141.218.60.56/~jnz1568/getInfo.php?workbook=10_05.xlsx&amp;sheet=U0&amp;row=13897&amp;col=7&amp;number=0.000277&amp;sourceID=14","0.000277")</f>
        <v>0.000277</v>
      </c>
    </row>
    <row r="13898" spans="1:7">
      <c r="A13898" s="3"/>
      <c r="B13898" s="3"/>
      <c r="C13898" s="3"/>
      <c r="D13898" s="3"/>
      <c r="E13898" s="3">
        <v>15</v>
      </c>
      <c r="F13898" s="4" t="str">
        <f>HYPERLINK("http://141.218.60.56/~jnz1568/getInfo.php?workbook=10_05.xlsx&amp;sheet=U0&amp;row=13898&amp;col=6&amp;number=4.4&amp;sourceID=14","4.4")</f>
        <v>4.4</v>
      </c>
      <c r="G13898" s="4" t="str">
        <f>HYPERLINK("http://141.218.60.56/~jnz1568/getInfo.php?workbook=10_05.xlsx&amp;sheet=U0&amp;row=13898&amp;col=7&amp;number=0.000268&amp;sourceID=14","0.000268")</f>
        <v>0.000268</v>
      </c>
    </row>
    <row r="13899" spans="1:7">
      <c r="A13899" s="3"/>
      <c r="B13899" s="3"/>
      <c r="C13899" s="3"/>
      <c r="D13899" s="3"/>
      <c r="E13899" s="3">
        <v>16</v>
      </c>
      <c r="F13899" s="4" t="str">
        <f>HYPERLINK("http://141.218.60.56/~jnz1568/getInfo.php?workbook=10_05.xlsx&amp;sheet=U0&amp;row=13899&amp;col=6&amp;number=4.5&amp;sourceID=14","4.5")</f>
        <v>4.5</v>
      </c>
      <c r="G13899" s="4" t="str">
        <f>HYPERLINK("http://141.218.60.56/~jnz1568/getInfo.php?workbook=10_05.xlsx&amp;sheet=U0&amp;row=13899&amp;col=7&amp;number=0.000255&amp;sourceID=14","0.000255")</f>
        <v>0.000255</v>
      </c>
    </row>
    <row r="13900" spans="1:7">
      <c r="A13900" s="3"/>
      <c r="B13900" s="3"/>
      <c r="C13900" s="3"/>
      <c r="D13900" s="3"/>
      <c r="E13900" s="3">
        <v>17</v>
      </c>
      <c r="F13900" s="4" t="str">
        <f>HYPERLINK("http://141.218.60.56/~jnz1568/getInfo.php?workbook=10_05.xlsx&amp;sheet=U0&amp;row=13900&amp;col=6&amp;number=4.6&amp;sourceID=14","4.6")</f>
        <v>4.6</v>
      </c>
      <c r="G13900" s="4" t="str">
        <f>HYPERLINK("http://141.218.60.56/~jnz1568/getInfo.php?workbook=10_05.xlsx&amp;sheet=U0&amp;row=13900&amp;col=7&amp;number=0.000239&amp;sourceID=14","0.000239")</f>
        <v>0.000239</v>
      </c>
    </row>
    <row r="13901" spans="1:7">
      <c r="A13901" s="3"/>
      <c r="B13901" s="3"/>
      <c r="C13901" s="3"/>
      <c r="D13901" s="3"/>
      <c r="E13901" s="3">
        <v>18</v>
      </c>
      <c r="F13901" s="4" t="str">
        <f>HYPERLINK("http://141.218.60.56/~jnz1568/getInfo.php?workbook=10_05.xlsx&amp;sheet=U0&amp;row=13901&amp;col=6&amp;number=4.7&amp;sourceID=14","4.7")</f>
        <v>4.7</v>
      </c>
      <c r="G13901" s="4" t="str">
        <f>HYPERLINK("http://141.218.60.56/~jnz1568/getInfo.php?workbook=10_05.xlsx&amp;sheet=U0&amp;row=13901&amp;col=7&amp;number=0.000222&amp;sourceID=14","0.000222")</f>
        <v>0.000222</v>
      </c>
    </row>
    <row r="13902" spans="1:7">
      <c r="A13902" s="3"/>
      <c r="B13902" s="3"/>
      <c r="C13902" s="3"/>
      <c r="D13902" s="3"/>
      <c r="E13902" s="3">
        <v>19</v>
      </c>
      <c r="F13902" s="4" t="str">
        <f>HYPERLINK("http://141.218.60.56/~jnz1568/getInfo.php?workbook=10_05.xlsx&amp;sheet=U0&amp;row=13902&amp;col=6&amp;number=4.8&amp;sourceID=14","4.8")</f>
        <v>4.8</v>
      </c>
      <c r="G13902" s="4" t="str">
        <f>HYPERLINK("http://141.218.60.56/~jnz1568/getInfo.php?workbook=10_05.xlsx&amp;sheet=U0&amp;row=13902&amp;col=7&amp;number=0.000206&amp;sourceID=14","0.000206")</f>
        <v>0.000206</v>
      </c>
    </row>
    <row r="13903" spans="1:7">
      <c r="A13903" s="3"/>
      <c r="B13903" s="3"/>
      <c r="C13903" s="3"/>
      <c r="D13903" s="3"/>
      <c r="E13903" s="3">
        <v>20</v>
      </c>
      <c r="F13903" s="4" t="str">
        <f>HYPERLINK("http://141.218.60.56/~jnz1568/getInfo.php?workbook=10_05.xlsx&amp;sheet=U0&amp;row=13903&amp;col=6&amp;number=4.9&amp;sourceID=14","4.9")</f>
        <v>4.9</v>
      </c>
      <c r="G13903" s="4" t="str">
        <f>HYPERLINK("http://141.218.60.56/~jnz1568/getInfo.php?workbook=10_05.xlsx&amp;sheet=U0&amp;row=13903&amp;col=7&amp;number=0.000192&amp;sourceID=14","0.000192")</f>
        <v>0.000192</v>
      </c>
    </row>
    <row r="13904" spans="1:7">
      <c r="A13904" s="3">
        <v>10</v>
      </c>
      <c r="B13904" s="3">
        <v>5</v>
      </c>
      <c r="C13904" s="3">
        <v>4</v>
      </c>
      <c r="D13904" s="3">
        <v>166</v>
      </c>
      <c r="E13904" s="3">
        <v>1</v>
      </c>
      <c r="F13904" s="4" t="str">
        <f>HYPERLINK("http://141.218.60.56/~jnz1568/getInfo.php?workbook=10_05.xlsx&amp;sheet=U0&amp;row=13904&amp;col=6&amp;number=3&amp;sourceID=14","3")</f>
        <v>3</v>
      </c>
      <c r="G13904" s="4" t="str">
        <f>HYPERLINK("http://141.218.60.56/~jnz1568/getInfo.php?workbook=10_05.xlsx&amp;sheet=U0&amp;row=13904&amp;col=7&amp;number=0.00021&amp;sourceID=14","0.00021")</f>
        <v>0.00021</v>
      </c>
    </row>
    <row r="13905" spans="1:7">
      <c r="A13905" s="3"/>
      <c r="B13905" s="3"/>
      <c r="C13905" s="3"/>
      <c r="D13905" s="3"/>
      <c r="E13905" s="3">
        <v>2</v>
      </c>
      <c r="F13905" s="4" t="str">
        <f>HYPERLINK("http://141.218.60.56/~jnz1568/getInfo.php?workbook=10_05.xlsx&amp;sheet=U0&amp;row=13905&amp;col=6&amp;number=3.1&amp;sourceID=14","3.1")</f>
        <v>3.1</v>
      </c>
      <c r="G13905" s="4" t="str">
        <f>HYPERLINK("http://141.218.60.56/~jnz1568/getInfo.php?workbook=10_05.xlsx&amp;sheet=U0&amp;row=13905&amp;col=7&amp;number=0.000209&amp;sourceID=14","0.000209")</f>
        <v>0.000209</v>
      </c>
    </row>
    <row r="13906" spans="1:7">
      <c r="A13906" s="3"/>
      <c r="B13906" s="3"/>
      <c r="C13906" s="3"/>
      <c r="D13906" s="3"/>
      <c r="E13906" s="3">
        <v>3</v>
      </c>
      <c r="F13906" s="4" t="str">
        <f>HYPERLINK("http://141.218.60.56/~jnz1568/getInfo.php?workbook=10_05.xlsx&amp;sheet=U0&amp;row=13906&amp;col=6&amp;number=3.2&amp;sourceID=14","3.2")</f>
        <v>3.2</v>
      </c>
      <c r="G13906" s="4" t="str">
        <f>HYPERLINK("http://141.218.60.56/~jnz1568/getInfo.php?workbook=10_05.xlsx&amp;sheet=U0&amp;row=13906&amp;col=7&amp;number=0.000208&amp;sourceID=14","0.000208")</f>
        <v>0.000208</v>
      </c>
    </row>
    <row r="13907" spans="1:7">
      <c r="A13907" s="3"/>
      <c r="B13907" s="3"/>
      <c r="C13907" s="3"/>
      <c r="D13907" s="3"/>
      <c r="E13907" s="3">
        <v>4</v>
      </c>
      <c r="F13907" s="4" t="str">
        <f>HYPERLINK("http://141.218.60.56/~jnz1568/getInfo.php?workbook=10_05.xlsx&amp;sheet=U0&amp;row=13907&amp;col=6&amp;number=3.3&amp;sourceID=14","3.3")</f>
        <v>3.3</v>
      </c>
      <c r="G13907" s="4" t="str">
        <f>HYPERLINK("http://141.218.60.56/~jnz1568/getInfo.php?workbook=10_05.xlsx&amp;sheet=U0&amp;row=13907&amp;col=7&amp;number=0.000206&amp;sourceID=14","0.000206")</f>
        <v>0.000206</v>
      </c>
    </row>
    <row r="13908" spans="1:7">
      <c r="A13908" s="3"/>
      <c r="B13908" s="3"/>
      <c r="C13908" s="3"/>
      <c r="D13908" s="3"/>
      <c r="E13908" s="3">
        <v>5</v>
      </c>
      <c r="F13908" s="4" t="str">
        <f>HYPERLINK("http://141.218.60.56/~jnz1568/getInfo.php?workbook=10_05.xlsx&amp;sheet=U0&amp;row=13908&amp;col=6&amp;number=3.4&amp;sourceID=14","3.4")</f>
        <v>3.4</v>
      </c>
      <c r="G13908" s="4" t="str">
        <f>HYPERLINK("http://141.218.60.56/~jnz1568/getInfo.php?workbook=10_05.xlsx&amp;sheet=U0&amp;row=13908&amp;col=7&amp;number=0.000204&amp;sourceID=14","0.000204")</f>
        <v>0.000204</v>
      </c>
    </row>
    <row r="13909" spans="1:7">
      <c r="A13909" s="3"/>
      <c r="B13909" s="3"/>
      <c r="C13909" s="3"/>
      <c r="D13909" s="3"/>
      <c r="E13909" s="3">
        <v>6</v>
      </c>
      <c r="F13909" s="4" t="str">
        <f>HYPERLINK("http://141.218.60.56/~jnz1568/getInfo.php?workbook=10_05.xlsx&amp;sheet=U0&amp;row=13909&amp;col=6&amp;number=3.5&amp;sourceID=14","3.5")</f>
        <v>3.5</v>
      </c>
      <c r="G13909" s="4" t="str">
        <f>HYPERLINK("http://141.218.60.56/~jnz1568/getInfo.php?workbook=10_05.xlsx&amp;sheet=U0&amp;row=13909&amp;col=7&amp;number=0.000201&amp;sourceID=14","0.000201")</f>
        <v>0.000201</v>
      </c>
    </row>
    <row r="13910" spans="1:7">
      <c r="A13910" s="3"/>
      <c r="B13910" s="3"/>
      <c r="C13910" s="3"/>
      <c r="D13910" s="3"/>
      <c r="E13910" s="3">
        <v>7</v>
      </c>
      <c r="F13910" s="4" t="str">
        <f>HYPERLINK("http://141.218.60.56/~jnz1568/getInfo.php?workbook=10_05.xlsx&amp;sheet=U0&amp;row=13910&amp;col=6&amp;number=3.6&amp;sourceID=14","3.6")</f>
        <v>3.6</v>
      </c>
      <c r="G13910" s="4" t="str">
        <f>HYPERLINK("http://141.218.60.56/~jnz1568/getInfo.php?workbook=10_05.xlsx&amp;sheet=U0&amp;row=13910&amp;col=7&amp;number=0.000197&amp;sourceID=14","0.000197")</f>
        <v>0.000197</v>
      </c>
    </row>
    <row r="13911" spans="1:7">
      <c r="A13911" s="3"/>
      <c r="B13911" s="3"/>
      <c r="C13911" s="3"/>
      <c r="D13911" s="3"/>
      <c r="E13911" s="3">
        <v>8</v>
      </c>
      <c r="F13911" s="4" t="str">
        <f>HYPERLINK("http://141.218.60.56/~jnz1568/getInfo.php?workbook=10_05.xlsx&amp;sheet=U0&amp;row=13911&amp;col=6&amp;number=3.7&amp;sourceID=14","3.7")</f>
        <v>3.7</v>
      </c>
      <c r="G13911" s="4" t="str">
        <f>HYPERLINK("http://141.218.60.56/~jnz1568/getInfo.php?workbook=10_05.xlsx&amp;sheet=U0&amp;row=13911&amp;col=7&amp;number=0.000193&amp;sourceID=14","0.000193")</f>
        <v>0.000193</v>
      </c>
    </row>
    <row r="13912" spans="1:7">
      <c r="A13912" s="3"/>
      <c r="B13912" s="3"/>
      <c r="C13912" s="3"/>
      <c r="D13912" s="3"/>
      <c r="E13912" s="3">
        <v>9</v>
      </c>
      <c r="F13912" s="4" t="str">
        <f>HYPERLINK("http://141.218.60.56/~jnz1568/getInfo.php?workbook=10_05.xlsx&amp;sheet=U0&amp;row=13912&amp;col=6&amp;number=3.8&amp;sourceID=14","3.8")</f>
        <v>3.8</v>
      </c>
      <c r="G13912" s="4" t="str">
        <f>HYPERLINK("http://141.218.60.56/~jnz1568/getInfo.php?workbook=10_05.xlsx&amp;sheet=U0&amp;row=13912&amp;col=7&amp;number=0.000188&amp;sourceID=14","0.000188")</f>
        <v>0.000188</v>
      </c>
    </row>
    <row r="13913" spans="1:7">
      <c r="A13913" s="3"/>
      <c r="B13913" s="3"/>
      <c r="C13913" s="3"/>
      <c r="D13913" s="3"/>
      <c r="E13913" s="3">
        <v>10</v>
      </c>
      <c r="F13913" s="4" t="str">
        <f>HYPERLINK("http://141.218.60.56/~jnz1568/getInfo.php?workbook=10_05.xlsx&amp;sheet=U0&amp;row=13913&amp;col=6&amp;number=3.9&amp;sourceID=14","3.9")</f>
        <v>3.9</v>
      </c>
      <c r="G13913" s="4" t="str">
        <f>HYPERLINK("http://141.218.60.56/~jnz1568/getInfo.php?workbook=10_05.xlsx&amp;sheet=U0&amp;row=13913&amp;col=7&amp;number=0.000181&amp;sourceID=14","0.000181")</f>
        <v>0.000181</v>
      </c>
    </row>
    <row r="13914" spans="1:7">
      <c r="A13914" s="3"/>
      <c r="B13914" s="3"/>
      <c r="C13914" s="3"/>
      <c r="D13914" s="3"/>
      <c r="E13914" s="3">
        <v>11</v>
      </c>
      <c r="F13914" s="4" t="str">
        <f>HYPERLINK("http://141.218.60.56/~jnz1568/getInfo.php?workbook=10_05.xlsx&amp;sheet=U0&amp;row=13914&amp;col=6&amp;number=4&amp;sourceID=14","4")</f>
        <v>4</v>
      </c>
      <c r="G13914" s="4" t="str">
        <f>HYPERLINK("http://141.218.60.56/~jnz1568/getInfo.php?workbook=10_05.xlsx&amp;sheet=U0&amp;row=13914&amp;col=7&amp;number=0.000173&amp;sourceID=14","0.000173")</f>
        <v>0.000173</v>
      </c>
    </row>
    <row r="13915" spans="1:7">
      <c r="A13915" s="3"/>
      <c r="B13915" s="3"/>
      <c r="C13915" s="3"/>
      <c r="D13915" s="3"/>
      <c r="E13915" s="3">
        <v>12</v>
      </c>
      <c r="F13915" s="4" t="str">
        <f>HYPERLINK("http://141.218.60.56/~jnz1568/getInfo.php?workbook=10_05.xlsx&amp;sheet=U0&amp;row=13915&amp;col=6&amp;number=4.1&amp;sourceID=14","4.1")</f>
        <v>4.1</v>
      </c>
      <c r="G13915" s="4" t="str">
        <f>HYPERLINK("http://141.218.60.56/~jnz1568/getInfo.php?workbook=10_05.xlsx&amp;sheet=U0&amp;row=13915&amp;col=7&amp;number=0.000164&amp;sourceID=14","0.000164")</f>
        <v>0.000164</v>
      </c>
    </row>
    <row r="13916" spans="1:7">
      <c r="A13916" s="3"/>
      <c r="B13916" s="3"/>
      <c r="C13916" s="3"/>
      <c r="D13916" s="3"/>
      <c r="E13916" s="3">
        <v>13</v>
      </c>
      <c r="F13916" s="4" t="str">
        <f>HYPERLINK("http://141.218.60.56/~jnz1568/getInfo.php?workbook=10_05.xlsx&amp;sheet=U0&amp;row=13916&amp;col=6&amp;number=4.2&amp;sourceID=14","4.2")</f>
        <v>4.2</v>
      </c>
      <c r="G13916" s="4" t="str">
        <f>HYPERLINK("http://141.218.60.56/~jnz1568/getInfo.php?workbook=10_05.xlsx&amp;sheet=U0&amp;row=13916&amp;col=7&amp;number=0.000153&amp;sourceID=14","0.000153")</f>
        <v>0.000153</v>
      </c>
    </row>
    <row r="13917" spans="1:7">
      <c r="A13917" s="3"/>
      <c r="B13917" s="3"/>
      <c r="C13917" s="3"/>
      <c r="D13917" s="3"/>
      <c r="E13917" s="3">
        <v>14</v>
      </c>
      <c r="F13917" s="4" t="str">
        <f>HYPERLINK("http://141.218.60.56/~jnz1568/getInfo.php?workbook=10_05.xlsx&amp;sheet=U0&amp;row=13917&amp;col=6&amp;number=4.3&amp;sourceID=14","4.3")</f>
        <v>4.3</v>
      </c>
      <c r="G13917" s="4" t="str">
        <f>HYPERLINK("http://141.218.60.56/~jnz1568/getInfo.php?workbook=10_05.xlsx&amp;sheet=U0&amp;row=13917&amp;col=7&amp;number=0.00014&amp;sourceID=14","0.00014")</f>
        <v>0.00014</v>
      </c>
    </row>
    <row r="13918" spans="1:7">
      <c r="A13918" s="3"/>
      <c r="B13918" s="3"/>
      <c r="C13918" s="3"/>
      <c r="D13918" s="3"/>
      <c r="E13918" s="3">
        <v>15</v>
      </c>
      <c r="F13918" s="4" t="str">
        <f>HYPERLINK("http://141.218.60.56/~jnz1568/getInfo.php?workbook=10_05.xlsx&amp;sheet=U0&amp;row=13918&amp;col=6&amp;number=4.4&amp;sourceID=14","4.4")</f>
        <v>4.4</v>
      </c>
      <c r="G13918" s="4" t="str">
        <f>HYPERLINK("http://141.218.60.56/~jnz1568/getInfo.php?workbook=10_05.xlsx&amp;sheet=U0&amp;row=13918&amp;col=7&amp;number=0.000126&amp;sourceID=14","0.000126")</f>
        <v>0.000126</v>
      </c>
    </row>
    <row r="13919" spans="1:7">
      <c r="A13919" s="3"/>
      <c r="B13919" s="3"/>
      <c r="C13919" s="3"/>
      <c r="D13919" s="3"/>
      <c r="E13919" s="3">
        <v>16</v>
      </c>
      <c r="F13919" s="4" t="str">
        <f>HYPERLINK("http://141.218.60.56/~jnz1568/getInfo.php?workbook=10_05.xlsx&amp;sheet=U0&amp;row=13919&amp;col=6&amp;number=4.5&amp;sourceID=14","4.5")</f>
        <v>4.5</v>
      </c>
      <c r="G13919" s="4" t="str">
        <f>HYPERLINK("http://141.218.60.56/~jnz1568/getInfo.php?workbook=10_05.xlsx&amp;sheet=U0&amp;row=13919&amp;col=7&amp;number=0.000112&amp;sourceID=14","0.000112")</f>
        <v>0.000112</v>
      </c>
    </row>
    <row r="13920" spans="1:7">
      <c r="A13920" s="3"/>
      <c r="B13920" s="3"/>
      <c r="C13920" s="3"/>
      <c r="D13920" s="3"/>
      <c r="E13920" s="3">
        <v>17</v>
      </c>
      <c r="F13920" s="4" t="str">
        <f>HYPERLINK("http://141.218.60.56/~jnz1568/getInfo.php?workbook=10_05.xlsx&amp;sheet=U0&amp;row=13920&amp;col=6&amp;number=4.6&amp;sourceID=14","4.6")</f>
        <v>4.6</v>
      </c>
      <c r="G13920" s="4" t="str">
        <f>HYPERLINK("http://141.218.60.56/~jnz1568/getInfo.php?workbook=10_05.xlsx&amp;sheet=U0&amp;row=13920&amp;col=7&amp;number=9.76e-05&amp;sourceID=14","9.76e-05")</f>
        <v>9.76e-05</v>
      </c>
    </row>
    <row r="13921" spans="1:7">
      <c r="A13921" s="3"/>
      <c r="B13921" s="3"/>
      <c r="C13921" s="3"/>
      <c r="D13921" s="3"/>
      <c r="E13921" s="3">
        <v>18</v>
      </c>
      <c r="F13921" s="4" t="str">
        <f>HYPERLINK("http://141.218.60.56/~jnz1568/getInfo.php?workbook=10_05.xlsx&amp;sheet=U0&amp;row=13921&amp;col=6&amp;number=4.7&amp;sourceID=14","4.7")</f>
        <v>4.7</v>
      </c>
      <c r="G13921" s="4" t="str">
        <f>HYPERLINK("http://141.218.60.56/~jnz1568/getInfo.php?workbook=10_05.xlsx&amp;sheet=U0&amp;row=13921&amp;col=7&amp;number=8.42e-05&amp;sourceID=14","8.42e-05")</f>
        <v>8.42e-05</v>
      </c>
    </row>
    <row r="13922" spans="1:7">
      <c r="A13922" s="3"/>
      <c r="B13922" s="3"/>
      <c r="C13922" s="3"/>
      <c r="D13922" s="3"/>
      <c r="E13922" s="3">
        <v>19</v>
      </c>
      <c r="F13922" s="4" t="str">
        <f>HYPERLINK("http://141.218.60.56/~jnz1568/getInfo.php?workbook=10_05.xlsx&amp;sheet=U0&amp;row=13922&amp;col=6&amp;number=4.8&amp;sourceID=14","4.8")</f>
        <v>4.8</v>
      </c>
      <c r="G13922" s="4" t="str">
        <f>HYPERLINK("http://141.218.60.56/~jnz1568/getInfo.php?workbook=10_05.xlsx&amp;sheet=U0&amp;row=13922&amp;col=7&amp;number=7.21e-05&amp;sourceID=14","7.21e-05")</f>
        <v>7.21e-05</v>
      </c>
    </row>
    <row r="13923" spans="1:7">
      <c r="A13923" s="3"/>
      <c r="B13923" s="3"/>
      <c r="C13923" s="3"/>
      <c r="D13923" s="3"/>
      <c r="E13923" s="3">
        <v>20</v>
      </c>
      <c r="F13923" s="4" t="str">
        <f>HYPERLINK("http://141.218.60.56/~jnz1568/getInfo.php?workbook=10_05.xlsx&amp;sheet=U0&amp;row=13923&amp;col=6&amp;number=4.9&amp;sourceID=14","4.9")</f>
        <v>4.9</v>
      </c>
      <c r="G13923" s="4" t="str">
        <f>HYPERLINK("http://141.218.60.56/~jnz1568/getInfo.php?workbook=10_05.xlsx&amp;sheet=U0&amp;row=13923&amp;col=7&amp;number=6.14e-05&amp;sourceID=14","6.14e-05")</f>
        <v>6.14e-05</v>
      </c>
    </row>
    <row r="13924" spans="1:7">
      <c r="A13924" s="3">
        <v>10</v>
      </c>
      <c r="B13924" s="3">
        <v>5</v>
      </c>
      <c r="C13924" s="3">
        <v>4</v>
      </c>
      <c r="D13924" s="3">
        <v>167</v>
      </c>
      <c r="E13924" s="3">
        <v>1</v>
      </c>
      <c r="F13924" s="4" t="str">
        <f>HYPERLINK("http://141.218.60.56/~jnz1568/getInfo.php?workbook=10_05.xlsx&amp;sheet=U0&amp;row=13924&amp;col=6&amp;number=3&amp;sourceID=14","3")</f>
        <v>3</v>
      </c>
      <c r="G13924" s="4" t="str">
        <f>HYPERLINK("http://141.218.60.56/~jnz1568/getInfo.php?workbook=10_05.xlsx&amp;sheet=U0&amp;row=13924&amp;col=7&amp;number=0.000402&amp;sourceID=14","0.000402")</f>
        <v>0.000402</v>
      </c>
    </row>
    <row r="13925" spans="1:7">
      <c r="A13925" s="3"/>
      <c r="B13925" s="3"/>
      <c r="C13925" s="3"/>
      <c r="D13925" s="3"/>
      <c r="E13925" s="3">
        <v>2</v>
      </c>
      <c r="F13925" s="4" t="str">
        <f>HYPERLINK("http://141.218.60.56/~jnz1568/getInfo.php?workbook=10_05.xlsx&amp;sheet=U0&amp;row=13925&amp;col=6&amp;number=3.1&amp;sourceID=14","3.1")</f>
        <v>3.1</v>
      </c>
      <c r="G13925" s="4" t="str">
        <f>HYPERLINK("http://141.218.60.56/~jnz1568/getInfo.php?workbook=10_05.xlsx&amp;sheet=U0&amp;row=13925&amp;col=7&amp;number=0.0004&amp;sourceID=14","0.0004")</f>
        <v>0.0004</v>
      </c>
    </row>
    <row r="13926" spans="1:7">
      <c r="A13926" s="3"/>
      <c r="B13926" s="3"/>
      <c r="C13926" s="3"/>
      <c r="D13926" s="3"/>
      <c r="E13926" s="3">
        <v>3</v>
      </c>
      <c r="F13926" s="4" t="str">
        <f>HYPERLINK("http://141.218.60.56/~jnz1568/getInfo.php?workbook=10_05.xlsx&amp;sheet=U0&amp;row=13926&amp;col=6&amp;number=3.2&amp;sourceID=14","3.2")</f>
        <v>3.2</v>
      </c>
      <c r="G13926" s="4" t="str">
        <f>HYPERLINK("http://141.218.60.56/~jnz1568/getInfo.php?workbook=10_05.xlsx&amp;sheet=U0&amp;row=13926&amp;col=7&amp;number=0.000397&amp;sourceID=14","0.000397")</f>
        <v>0.000397</v>
      </c>
    </row>
    <row r="13927" spans="1:7">
      <c r="A13927" s="3"/>
      <c r="B13927" s="3"/>
      <c r="C13927" s="3"/>
      <c r="D13927" s="3"/>
      <c r="E13927" s="3">
        <v>4</v>
      </c>
      <c r="F13927" s="4" t="str">
        <f>HYPERLINK("http://141.218.60.56/~jnz1568/getInfo.php?workbook=10_05.xlsx&amp;sheet=U0&amp;row=13927&amp;col=6&amp;number=3.3&amp;sourceID=14","3.3")</f>
        <v>3.3</v>
      </c>
      <c r="G13927" s="4" t="str">
        <f>HYPERLINK("http://141.218.60.56/~jnz1568/getInfo.php?workbook=10_05.xlsx&amp;sheet=U0&amp;row=13927&amp;col=7&amp;number=0.000393&amp;sourceID=14","0.000393")</f>
        <v>0.000393</v>
      </c>
    </row>
    <row r="13928" spans="1:7">
      <c r="A13928" s="3"/>
      <c r="B13928" s="3"/>
      <c r="C13928" s="3"/>
      <c r="D13928" s="3"/>
      <c r="E13928" s="3">
        <v>5</v>
      </c>
      <c r="F13928" s="4" t="str">
        <f>HYPERLINK("http://141.218.60.56/~jnz1568/getInfo.php?workbook=10_05.xlsx&amp;sheet=U0&amp;row=13928&amp;col=6&amp;number=3.4&amp;sourceID=14","3.4")</f>
        <v>3.4</v>
      </c>
      <c r="G13928" s="4" t="str">
        <f>HYPERLINK("http://141.218.60.56/~jnz1568/getInfo.php?workbook=10_05.xlsx&amp;sheet=U0&amp;row=13928&amp;col=7&amp;number=0.000388&amp;sourceID=14","0.000388")</f>
        <v>0.000388</v>
      </c>
    </row>
    <row r="13929" spans="1:7">
      <c r="A13929" s="3"/>
      <c r="B13929" s="3"/>
      <c r="C13929" s="3"/>
      <c r="D13929" s="3"/>
      <c r="E13929" s="3">
        <v>6</v>
      </c>
      <c r="F13929" s="4" t="str">
        <f>HYPERLINK("http://141.218.60.56/~jnz1568/getInfo.php?workbook=10_05.xlsx&amp;sheet=U0&amp;row=13929&amp;col=6&amp;number=3.5&amp;sourceID=14","3.5")</f>
        <v>3.5</v>
      </c>
      <c r="G13929" s="4" t="str">
        <f>HYPERLINK("http://141.218.60.56/~jnz1568/getInfo.php?workbook=10_05.xlsx&amp;sheet=U0&amp;row=13929&amp;col=7&amp;number=0.000382&amp;sourceID=14","0.000382")</f>
        <v>0.000382</v>
      </c>
    </row>
    <row r="13930" spans="1:7">
      <c r="A13930" s="3"/>
      <c r="B13930" s="3"/>
      <c r="C13930" s="3"/>
      <c r="D13930" s="3"/>
      <c r="E13930" s="3">
        <v>7</v>
      </c>
      <c r="F13930" s="4" t="str">
        <f>HYPERLINK("http://141.218.60.56/~jnz1568/getInfo.php?workbook=10_05.xlsx&amp;sheet=U0&amp;row=13930&amp;col=6&amp;number=3.6&amp;sourceID=14","3.6")</f>
        <v>3.6</v>
      </c>
      <c r="G13930" s="4" t="str">
        <f>HYPERLINK("http://141.218.60.56/~jnz1568/getInfo.php?workbook=10_05.xlsx&amp;sheet=U0&amp;row=13930&amp;col=7&amp;number=0.000374&amp;sourceID=14","0.000374")</f>
        <v>0.000374</v>
      </c>
    </row>
    <row r="13931" spans="1:7">
      <c r="A13931" s="3"/>
      <c r="B13931" s="3"/>
      <c r="C13931" s="3"/>
      <c r="D13931" s="3"/>
      <c r="E13931" s="3">
        <v>8</v>
      </c>
      <c r="F13931" s="4" t="str">
        <f>HYPERLINK("http://141.218.60.56/~jnz1568/getInfo.php?workbook=10_05.xlsx&amp;sheet=U0&amp;row=13931&amp;col=6&amp;number=3.7&amp;sourceID=14","3.7")</f>
        <v>3.7</v>
      </c>
      <c r="G13931" s="4" t="str">
        <f>HYPERLINK("http://141.218.60.56/~jnz1568/getInfo.php?workbook=10_05.xlsx&amp;sheet=U0&amp;row=13931&amp;col=7&amp;number=0.000365&amp;sourceID=14","0.000365")</f>
        <v>0.000365</v>
      </c>
    </row>
    <row r="13932" spans="1:7">
      <c r="A13932" s="3"/>
      <c r="B13932" s="3"/>
      <c r="C13932" s="3"/>
      <c r="D13932" s="3"/>
      <c r="E13932" s="3">
        <v>9</v>
      </c>
      <c r="F13932" s="4" t="str">
        <f>HYPERLINK("http://141.218.60.56/~jnz1568/getInfo.php?workbook=10_05.xlsx&amp;sheet=U0&amp;row=13932&amp;col=6&amp;number=3.8&amp;sourceID=14","3.8")</f>
        <v>3.8</v>
      </c>
      <c r="G13932" s="4" t="str">
        <f>HYPERLINK("http://141.218.60.56/~jnz1568/getInfo.php?workbook=10_05.xlsx&amp;sheet=U0&amp;row=13932&amp;col=7&amp;number=0.000354&amp;sourceID=14","0.000354")</f>
        <v>0.000354</v>
      </c>
    </row>
    <row r="13933" spans="1:7">
      <c r="A13933" s="3"/>
      <c r="B13933" s="3"/>
      <c r="C13933" s="3"/>
      <c r="D13933" s="3"/>
      <c r="E13933" s="3">
        <v>10</v>
      </c>
      <c r="F13933" s="4" t="str">
        <f>HYPERLINK("http://141.218.60.56/~jnz1568/getInfo.php?workbook=10_05.xlsx&amp;sheet=U0&amp;row=13933&amp;col=6&amp;number=3.9&amp;sourceID=14","3.9")</f>
        <v>3.9</v>
      </c>
      <c r="G13933" s="4" t="str">
        <f>HYPERLINK("http://141.218.60.56/~jnz1568/getInfo.php?workbook=10_05.xlsx&amp;sheet=U0&amp;row=13933&amp;col=7&amp;number=0.00034&amp;sourceID=14","0.00034")</f>
        <v>0.00034</v>
      </c>
    </row>
    <row r="13934" spans="1:7">
      <c r="A13934" s="3"/>
      <c r="B13934" s="3"/>
      <c r="C13934" s="3"/>
      <c r="D13934" s="3"/>
      <c r="E13934" s="3">
        <v>11</v>
      </c>
      <c r="F13934" s="4" t="str">
        <f>HYPERLINK("http://141.218.60.56/~jnz1568/getInfo.php?workbook=10_05.xlsx&amp;sheet=U0&amp;row=13934&amp;col=6&amp;number=4&amp;sourceID=14","4")</f>
        <v>4</v>
      </c>
      <c r="G13934" s="4" t="str">
        <f>HYPERLINK("http://141.218.60.56/~jnz1568/getInfo.php?workbook=10_05.xlsx&amp;sheet=U0&amp;row=13934&amp;col=7&amp;number=0.000323&amp;sourceID=14","0.000323")</f>
        <v>0.000323</v>
      </c>
    </row>
    <row r="13935" spans="1:7">
      <c r="A13935" s="3"/>
      <c r="B13935" s="3"/>
      <c r="C13935" s="3"/>
      <c r="D13935" s="3"/>
      <c r="E13935" s="3">
        <v>12</v>
      </c>
      <c r="F13935" s="4" t="str">
        <f>HYPERLINK("http://141.218.60.56/~jnz1568/getInfo.php?workbook=10_05.xlsx&amp;sheet=U0&amp;row=13935&amp;col=6&amp;number=4.1&amp;sourceID=14","4.1")</f>
        <v>4.1</v>
      </c>
      <c r="G13935" s="4" t="str">
        <f>HYPERLINK("http://141.218.60.56/~jnz1568/getInfo.php?workbook=10_05.xlsx&amp;sheet=U0&amp;row=13935&amp;col=7&amp;number=0.000303&amp;sourceID=14","0.000303")</f>
        <v>0.000303</v>
      </c>
    </row>
    <row r="13936" spans="1:7">
      <c r="A13936" s="3"/>
      <c r="B13936" s="3"/>
      <c r="C13936" s="3"/>
      <c r="D13936" s="3"/>
      <c r="E13936" s="3">
        <v>13</v>
      </c>
      <c r="F13936" s="4" t="str">
        <f>HYPERLINK("http://141.218.60.56/~jnz1568/getInfo.php?workbook=10_05.xlsx&amp;sheet=U0&amp;row=13936&amp;col=6&amp;number=4.2&amp;sourceID=14","4.2")</f>
        <v>4.2</v>
      </c>
      <c r="G13936" s="4" t="str">
        <f>HYPERLINK("http://141.218.60.56/~jnz1568/getInfo.php?workbook=10_05.xlsx&amp;sheet=U0&amp;row=13936&amp;col=7&amp;number=0.00028&amp;sourceID=14","0.00028")</f>
        <v>0.00028</v>
      </c>
    </row>
    <row r="13937" spans="1:7">
      <c r="A13937" s="3"/>
      <c r="B13937" s="3"/>
      <c r="C13937" s="3"/>
      <c r="D13937" s="3"/>
      <c r="E13937" s="3">
        <v>14</v>
      </c>
      <c r="F13937" s="4" t="str">
        <f>HYPERLINK("http://141.218.60.56/~jnz1568/getInfo.php?workbook=10_05.xlsx&amp;sheet=U0&amp;row=13937&amp;col=6&amp;number=4.3&amp;sourceID=14","4.3")</f>
        <v>4.3</v>
      </c>
      <c r="G13937" s="4" t="str">
        <f>HYPERLINK("http://141.218.60.56/~jnz1568/getInfo.php?workbook=10_05.xlsx&amp;sheet=U0&amp;row=13937&amp;col=7&amp;number=0.000254&amp;sourceID=14","0.000254")</f>
        <v>0.000254</v>
      </c>
    </row>
    <row r="13938" spans="1:7">
      <c r="A13938" s="3"/>
      <c r="B13938" s="3"/>
      <c r="C13938" s="3"/>
      <c r="D13938" s="3"/>
      <c r="E13938" s="3">
        <v>15</v>
      </c>
      <c r="F13938" s="4" t="str">
        <f>HYPERLINK("http://141.218.60.56/~jnz1568/getInfo.php?workbook=10_05.xlsx&amp;sheet=U0&amp;row=13938&amp;col=6&amp;number=4.4&amp;sourceID=14","4.4")</f>
        <v>4.4</v>
      </c>
      <c r="G13938" s="4" t="str">
        <f>HYPERLINK("http://141.218.60.56/~jnz1568/getInfo.php?workbook=10_05.xlsx&amp;sheet=U0&amp;row=13938&amp;col=7&amp;number=0.000227&amp;sourceID=14","0.000227")</f>
        <v>0.000227</v>
      </c>
    </row>
    <row r="13939" spans="1:7">
      <c r="A13939" s="3"/>
      <c r="B13939" s="3"/>
      <c r="C13939" s="3"/>
      <c r="D13939" s="3"/>
      <c r="E13939" s="3">
        <v>16</v>
      </c>
      <c r="F13939" s="4" t="str">
        <f>HYPERLINK("http://141.218.60.56/~jnz1568/getInfo.php?workbook=10_05.xlsx&amp;sheet=U0&amp;row=13939&amp;col=6&amp;number=4.5&amp;sourceID=14","4.5")</f>
        <v>4.5</v>
      </c>
      <c r="G13939" s="4" t="str">
        <f>HYPERLINK("http://141.218.60.56/~jnz1568/getInfo.php?workbook=10_05.xlsx&amp;sheet=U0&amp;row=13939&amp;col=7&amp;number=0.0002&amp;sourceID=14","0.0002")</f>
        <v>0.0002</v>
      </c>
    </row>
    <row r="13940" spans="1:7">
      <c r="A13940" s="3"/>
      <c r="B13940" s="3"/>
      <c r="C13940" s="3"/>
      <c r="D13940" s="3"/>
      <c r="E13940" s="3">
        <v>17</v>
      </c>
      <c r="F13940" s="4" t="str">
        <f>HYPERLINK("http://141.218.60.56/~jnz1568/getInfo.php?workbook=10_05.xlsx&amp;sheet=U0&amp;row=13940&amp;col=6&amp;number=4.6&amp;sourceID=14","4.6")</f>
        <v>4.6</v>
      </c>
      <c r="G13940" s="4" t="str">
        <f>HYPERLINK("http://141.218.60.56/~jnz1568/getInfo.php?workbook=10_05.xlsx&amp;sheet=U0&amp;row=13940&amp;col=7&amp;number=0.000175&amp;sourceID=14","0.000175")</f>
        <v>0.000175</v>
      </c>
    </row>
    <row r="13941" spans="1:7">
      <c r="A13941" s="3"/>
      <c r="B13941" s="3"/>
      <c r="C13941" s="3"/>
      <c r="D13941" s="3"/>
      <c r="E13941" s="3">
        <v>18</v>
      </c>
      <c r="F13941" s="4" t="str">
        <f>HYPERLINK("http://141.218.60.56/~jnz1568/getInfo.php?workbook=10_05.xlsx&amp;sheet=U0&amp;row=13941&amp;col=6&amp;number=4.7&amp;sourceID=14","4.7")</f>
        <v>4.7</v>
      </c>
      <c r="G13941" s="4" t="str">
        <f>HYPERLINK("http://141.218.60.56/~jnz1568/getInfo.php?workbook=10_05.xlsx&amp;sheet=U0&amp;row=13941&amp;col=7&amp;number=0.000152&amp;sourceID=14","0.000152")</f>
        <v>0.000152</v>
      </c>
    </row>
    <row r="13942" spans="1:7">
      <c r="A13942" s="3"/>
      <c r="B13942" s="3"/>
      <c r="C13942" s="3"/>
      <c r="D13942" s="3"/>
      <c r="E13942" s="3">
        <v>19</v>
      </c>
      <c r="F13942" s="4" t="str">
        <f>HYPERLINK("http://141.218.60.56/~jnz1568/getInfo.php?workbook=10_05.xlsx&amp;sheet=U0&amp;row=13942&amp;col=6&amp;number=4.8&amp;sourceID=14","4.8")</f>
        <v>4.8</v>
      </c>
      <c r="G13942" s="4" t="str">
        <f>HYPERLINK("http://141.218.60.56/~jnz1568/getInfo.php?workbook=10_05.xlsx&amp;sheet=U0&amp;row=13942&amp;col=7&amp;number=0.00013&amp;sourceID=14","0.00013")</f>
        <v>0.00013</v>
      </c>
    </row>
    <row r="13943" spans="1:7">
      <c r="A13943" s="3"/>
      <c r="B13943" s="3"/>
      <c r="C13943" s="3"/>
      <c r="D13943" s="3"/>
      <c r="E13943" s="3">
        <v>20</v>
      </c>
      <c r="F13943" s="4" t="str">
        <f>HYPERLINK("http://141.218.60.56/~jnz1568/getInfo.php?workbook=10_05.xlsx&amp;sheet=U0&amp;row=13943&amp;col=6&amp;number=4.9&amp;sourceID=14","4.9")</f>
        <v>4.9</v>
      </c>
      <c r="G13943" s="4" t="str">
        <f>HYPERLINK("http://141.218.60.56/~jnz1568/getInfo.php?workbook=10_05.xlsx&amp;sheet=U0&amp;row=13943&amp;col=7&amp;number=0.000111&amp;sourceID=14","0.000111")</f>
        <v>0.000111</v>
      </c>
    </row>
    <row r="13944" spans="1:7">
      <c r="A13944" s="3">
        <v>10</v>
      </c>
      <c r="B13944" s="3">
        <v>5</v>
      </c>
      <c r="C13944" s="3">
        <v>4</v>
      </c>
      <c r="D13944" s="3">
        <v>168</v>
      </c>
      <c r="E13944" s="3">
        <v>1</v>
      </c>
      <c r="F13944" s="4" t="str">
        <f>HYPERLINK("http://141.218.60.56/~jnz1568/getInfo.php?workbook=10_05.xlsx&amp;sheet=U0&amp;row=13944&amp;col=6&amp;number=3&amp;sourceID=14","3")</f>
        <v>3</v>
      </c>
      <c r="G13944" s="4" t="str">
        <f>HYPERLINK("http://141.218.60.56/~jnz1568/getInfo.php?workbook=10_05.xlsx&amp;sheet=U0&amp;row=13944&amp;col=7&amp;number=0.000442&amp;sourceID=14","0.000442")</f>
        <v>0.000442</v>
      </c>
    </row>
    <row r="13945" spans="1:7">
      <c r="A13945" s="3"/>
      <c r="B13945" s="3"/>
      <c r="C13945" s="3"/>
      <c r="D13945" s="3"/>
      <c r="E13945" s="3">
        <v>2</v>
      </c>
      <c r="F13945" s="4" t="str">
        <f>HYPERLINK("http://141.218.60.56/~jnz1568/getInfo.php?workbook=10_05.xlsx&amp;sheet=U0&amp;row=13945&amp;col=6&amp;number=3.1&amp;sourceID=14","3.1")</f>
        <v>3.1</v>
      </c>
      <c r="G13945" s="4" t="str">
        <f>HYPERLINK("http://141.218.60.56/~jnz1568/getInfo.php?workbook=10_05.xlsx&amp;sheet=U0&amp;row=13945&amp;col=7&amp;number=0.000441&amp;sourceID=14","0.000441")</f>
        <v>0.000441</v>
      </c>
    </row>
    <row r="13946" spans="1:7">
      <c r="A13946" s="3"/>
      <c r="B13946" s="3"/>
      <c r="C13946" s="3"/>
      <c r="D13946" s="3"/>
      <c r="E13946" s="3">
        <v>3</v>
      </c>
      <c r="F13946" s="4" t="str">
        <f>HYPERLINK("http://141.218.60.56/~jnz1568/getInfo.php?workbook=10_05.xlsx&amp;sheet=U0&amp;row=13946&amp;col=6&amp;number=3.2&amp;sourceID=14","3.2")</f>
        <v>3.2</v>
      </c>
      <c r="G13946" s="4" t="str">
        <f>HYPERLINK("http://141.218.60.56/~jnz1568/getInfo.php?workbook=10_05.xlsx&amp;sheet=U0&amp;row=13946&amp;col=7&amp;number=0.000439&amp;sourceID=14","0.000439")</f>
        <v>0.000439</v>
      </c>
    </row>
    <row r="13947" spans="1:7">
      <c r="A13947" s="3"/>
      <c r="B13947" s="3"/>
      <c r="C13947" s="3"/>
      <c r="D13947" s="3"/>
      <c r="E13947" s="3">
        <v>4</v>
      </c>
      <c r="F13947" s="4" t="str">
        <f>HYPERLINK("http://141.218.60.56/~jnz1568/getInfo.php?workbook=10_05.xlsx&amp;sheet=U0&amp;row=13947&amp;col=6&amp;number=3.3&amp;sourceID=14","3.3")</f>
        <v>3.3</v>
      </c>
      <c r="G13947" s="4" t="str">
        <f>HYPERLINK("http://141.218.60.56/~jnz1568/getInfo.php?workbook=10_05.xlsx&amp;sheet=U0&amp;row=13947&amp;col=7&amp;number=0.000437&amp;sourceID=14","0.000437")</f>
        <v>0.000437</v>
      </c>
    </row>
    <row r="13948" spans="1:7">
      <c r="A13948" s="3"/>
      <c r="B13948" s="3"/>
      <c r="C13948" s="3"/>
      <c r="D13948" s="3"/>
      <c r="E13948" s="3">
        <v>5</v>
      </c>
      <c r="F13948" s="4" t="str">
        <f>HYPERLINK("http://141.218.60.56/~jnz1568/getInfo.php?workbook=10_05.xlsx&amp;sheet=U0&amp;row=13948&amp;col=6&amp;number=3.4&amp;sourceID=14","3.4")</f>
        <v>3.4</v>
      </c>
      <c r="G13948" s="4" t="str">
        <f>HYPERLINK("http://141.218.60.56/~jnz1568/getInfo.php?workbook=10_05.xlsx&amp;sheet=U0&amp;row=13948&amp;col=7&amp;number=0.000434&amp;sourceID=14","0.000434")</f>
        <v>0.000434</v>
      </c>
    </row>
    <row r="13949" spans="1:7">
      <c r="A13949" s="3"/>
      <c r="B13949" s="3"/>
      <c r="C13949" s="3"/>
      <c r="D13949" s="3"/>
      <c r="E13949" s="3">
        <v>6</v>
      </c>
      <c r="F13949" s="4" t="str">
        <f>HYPERLINK("http://141.218.60.56/~jnz1568/getInfo.php?workbook=10_05.xlsx&amp;sheet=U0&amp;row=13949&amp;col=6&amp;number=3.5&amp;sourceID=14","3.5")</f>
        <v>3.5</v>
      </c>
      <c r="G13949" s="4" t="str">
        <f>HYPERLINK("http://141.218.60.56/~jnz1568/getInfo.php?workbook=10_05.xlsx&amp;sheet=U0&amp;row=13949&amp;col=7&amp;number=0.000431&amp;sourceID=14","0.000431")</f>
        <v>0.000431</v>
      </c>
    </row>
    <row r="13950" spans="1:7">
      <c r="A13950" s="3"/>
      <c r="B13950" s="3"/>
      <c r="C13950" s="3"/>
      <c r="D13950" s="3"/>
      <c r="E13950" s="3">
        <v>7</v>
      </c>
      <c r="F13950" s="4" t="str">
        <f>HYPERLINK("http://141.218.60.56/~jnz1568/getInfo.php?workbook=10_05.xlsx&amp;sheet=U0&amp;row=13950&amp;col=6&amp;number=3.6&amp;sourceID=14","3.6")</f>
        <v>3.6</v>
      </c>
      <c r="G13950" s="4" t="str">
        <f>HYPERLINK("http://141.218.60.56/~jnz1568/getInfo.php?workbook=10_05.xlsx&amp;sheet=U0&amp;row=13950&amp;col=7&amp;number=0.000426&amp;sourceID=14","0.000426")</f>
        <v>0.000426</v>
      </c>
    </row>
    <row r="13951" spans="1:7">
      <c r="A13951" s="3"/>
      <c r="B13951" s="3"/>
      <c r="C13951" s="3"/>
      <c r="D13951" s="3"/>
      <c r="E13951" s="3">
        <v>8</v>
      </c>
      <c r="F13951" s="4" t="str">
        <f>HYPERLINK("http://141.218.60.56/~jnz1568/getInfo.php?workbook=10_05.xlsx&amp;sheet=U0&amp;row=13951&amp;col=6&amp;number=3.7&amp;sourceID=14","3.7")</f>
        <v>3.7</v>
      </c>
      <c r="G13951" s="4" t="str">
        <f>HYPERLINK("http://141.218.60.56/~jnz1568/getInfo.php?workbook=10_05.xlsx&amp;sheet=U0&amp;row=13951&amp;col=7&amp;number=0.000421&amp;sourceID=14","0.000421")</f>
        <v>0.000421</v>
      </c>
    </row>
    <row r="13952" spans="1:7">
      <c r="A13952" s="3"/>
      <c r="B13952" s="3"/>
      <c r="C13952" s="3"/>
      <c r="D13952" s="3"/>
      <c r="E13952" s="3">
        <v>9</v>
      </c>
      <c r="F13952" s="4" t="str">
        <f>HYPERLINK("http://141.218.60.56/~jnz1568/getInfo.php?workbook=10_05.xlsx&amp;sheet=U0&amp;row=13952&amp;col=6&amp;number=3.8&amp;sourceID=14","3.8")</f>
        <v>3.8</v>
      </c>
      <c r="G13952" s="4" t="str">
        <f>HYPERLINK("http://141.218.60.56/~jnz1568/getInfo.php?workbook=10_05.xlsx&amp;sheet=U0&amp;row=13952&amp;col=7&amp;number=0.000415&amp;sourceID=14","0.000415")</f>
        <v>0.000415</v>
      </c>
    </row>
    <row r="13953" spans="1:7">
      <c r="A13953" s="3"/>
      <c r="B13953" s="3"/>
      <c r="C13953" s="3"/>
      <c r="D13953" s="3"/>
      <c r="E13953" s="3">
        <v>10</v>
      </c>
      <c r="F13953" s="4" t="str">
        <f>HYPERLINK("http://141.218.60.56/~jnz1568/getInfo.php?workbook=10_05.xlsx&amp;sheet=U0&amp;row=13953&amp;col=6&amp;number=3.9&amp;sourceID=14","3.9")</f>
        <v>3.9</v>
      </c>
      <c r="G13953" s="4" t="str">
        <f>HYPERLINK("http://141.218.60.56/~jnz1568/getInfo.php?workbook=10_05.xlsx&amp;sheet=U0&amp;row=13953&amp;col=7&amp;number=0.000407&amp;sourceID=14","0.000407")</f>
        <v>0.000407</v>
      </c>
    </row>
    <row r="13954" spans="1:7">
      <c r="A13954" s="3"/>
      <c r="B13954" s="3"/>
      <c r="C13954" s="3"/>
      <c r="D13954" s="3"/>
      <c r="E13954" s="3">
        <v>11</v>
      </c>
      <c r="F13954" s="4" t="str">
        <f>HYPERLINK("http://141.218.60.56/~jnz1568/getInfo.php?workbook=10_05.xlsx&amp;sheet=U0&amp;row=13954&amp;col=6&amp;number=4&amp;sourceID=14","4")</f>
        <v>4</v>
      </c>
      <c r="G13954" s="4" t="str">
        <f>HYPERLINK("http://141.218.60.56/~jnz1568/getInfo.php?workbook=10_05.xlsx&amp;sheet=U0&amp;row=13954&amp;col=7&amp;number=0.000397&amp;sourceID=14","0.000397")</f>
        <v>0.000397</v>
      </c>
    </row>
    <row r="13955" spans="1:7">
      <c r="A13955" s="3"/>
      <c r="B13955" s="3"/>
      <c r="C13955" s="3"/>
      <c r="D13955" s="3"/>
      <c r="E13955" s="3">
        <v>12</v>
      </c>
      <c r="F13955" s="4" t="str">
        <f>HYPERLINK("http://141.218.60.56/~jnz1568/getInfo.php?workbook=10_05.xlsx&amp;sheet=U0&amp;row=13955&amp;col=6&amp;number=4.1&amp;sourceID=14","4.1")</f>
        <v>4.1</v>
      </c>
      <c r="G13955" s="4" t="str">
        <f>HYPERLINK("http://141.218.60.56/~jnz1568/getInfo.php?workbook=10_05.xlsx&amp;sheet=U0&amp;row=13955&amp;col=7&amp;number=0.000385&amp;sourceID=14","0.000385")</f>
        <v>0.000385</v>
      </c>
    </row>
    <row r="13956" spans="1:7">
      <c r="A13956" s="3"/>
      <c r="B13956" s="3"/>
      <c r="C13956" s="3"/>
      <c r="D13956" s="3"/>
      <c r="E13956" s="3">
        <v>13</v>
      </c>
      <c r="F13956" s="4" t="str">
        <f>HYPERLINK("http://141.218.60.56/~jnz1568/getInfo.php?workbook=10_05.xlsx&amp;sheet=U0&amp;row=13956&amp;col=6&amp;number=4.2&amp;sourceID=14","4.2")</f>
        <v>4.2</v>
      </c>
      <c r="G13956" s="4" t="str">
        <f>HYPERLINK("http://141.218.60.56/~jnz1568/getInfo.php?workbook=10_05.xlsx&amp;sheet=U0&amp;row=13956&amp;col=7&amp;number=0.000372&amp;sourceID=14","0.000372")</f>
        <v>0.000372</v>
      </c>
    </row>
    <row r="13957" spans="1:7">
      <c r="A13957" s="3"/>
      <c r="B13957" s="3"/>
      <c r="C13957" s="3"/>
      <c r="D13957" s="3"/>
      <c r="E13957" s="3">
        <v>14</v>
      </c>
      <c r="F13957" s="4" t="str">
        <f>HYPERLINK("http://141.218.60.56/~jnz1568/getInfo.php?workbook=10_05.xlsx&amp;sheet=U0&amp;row=13957&amp;col=6&amp;number=4.3&amp;sourceID=14","4.3")</f>
        <v>4.3</v>
      </c>
      <c r="G13957" s="4" t="str">
        <f>HYPERLINK("http://141.218.60.56/~jnz1568/getInfo.php?workbook=10_05.xlsx&amp;sheet=U0&amp;row=13957&amp;col=7&amp;number=0.000356&amp;sourceID=14","0.000356")</f>
        <v>0.000356</v>
      </c>
    </row>
    <row r="13958" spans="1:7">
      <c r="A13958" s="3"/>
      <c r="B13958" s="3"/>
      <c r="C13958" s="3"/>
      <c r="D13958" s="3"/>
      <c r="E13958" s="3">
        <v>15</v>
      </c>
      <c r="F13958" s="4" t="str">
        <f>HYPERLINK("http://141.218.60.56/~jnz1568/getInfo.php?workbook=10_05.xlsx&amp;sheet=U0&amp;row=13958&amp;col=6&amp;number=4.4&amp;sourceID=14","4.4")</f>
        <v>4.4</v>
      </c>
      <c r="G13958" s="4" t="str">
        <f>HYPERLINK("http://141.218.60.56/~jnz1568/getInfo.php?workbook=10_05.xlsx&amp;sheet=U0&amp;row=13958&amp;col=7&amp;number=0.000339&amp;sourceID=14","0.000339")</f>
        <v>0.000339</v>
      </c>
    </row>
    <row r="13959" spans="1:7">
      <c r="A13959" s="3"/>
      <c r="B13959" s="3"/>
      <c r="C13959" s="3"/>
      <c r="D13959" s="3"/>
      <c r="E13959" s="3">
        <v>16</v>
      </c>
      <c r="F13959" s="4" t="str">
        <f>HYPERLINK("http://141.218.60.56/~jnz1568/getInfo.php?workbook=10_05.xlsx&amp;sheet=U0&amp;row=13959&amp;col=6&amp;number=4.5&amp;sourceID=14","4.5")</f>
        <v>4.5</v>
      </c>
      <c r="G13959" s="4" t="str">
        <f>HYPERLINK("http://141.218.60.56/~jnz1568/getInfo.php?workbook=10_05.xlsx&amp;sheet=U0&amp;row=13959&amp;col=7&amp;number=0.00032&amp;sourceID=14","0.00032")</f>
        <v>0.00032</v>
      </c>
    </row>
    <row r="13960" spans="1:7">
      <c r="A13960" s="3"/>
      <c r="B13960" s="3"/>
      <c r="C13960" s="3"/>
      <c r="D13960" s="3"/>
      <c r="E13960" s="3">
        <v>17</v>
      </c>
      <c r="F13960" s="4" t="str">
        <f>HYPERLINK("http://141.218.60.56/~jnz1568/getInfo.php?workbook=10_05.xlsx&amp;sheet=U0&amp;row=13960&amp;col=6&amp;number=4.6&amp;sourceID=14","4.6")</f>
        <v>4.6</v>
      </c>
      <c r="G13960" s="4" t="str">
        <f>HYPERLINK("http://141.218.60.56/~jnz1568/getInfo.php?workbook=10_05.xlsx&amp;sheet=U0&amp;row=13960&amp;col=7&amp;number=0.000302&amp;sourceID=14","0.000302")</f>
        <v>0.000302</v>
      </c>
    </row>
    <row r="13961" spans="1:7">
      <c r="A13961" s="3"/>
      <c r="B13961" s="3"/>
      <c r="C13961" s="3"/>
      <c r="D13961" s="3"/>
      <c r="E13961" s="3">
        <v>18</v>
      </c>
      <c r="F13961" s="4" t="str">
        <f>HYPERLINK("http://141.218.60.56/~jnz1568/getInfo.php?workbook=10_05.xlsx&amp;sheet=U0&amp;row=13961&amp;col=6&amp;number=4.7&amp;sourceID=14","4.7")</f>
        <v>4.7</v>
      </c>
      <c r="G13961" s="4" t="str">
        <f>HYPERLINK("http://141.218.60.56/~jnz1568/getInfo.php?workbook=10_05.xlsx&amp;sheet=U0&amp;row=13961&amp;col=7&amp;number=0.000284&amp;sourceID=14","0.000284")</f>
        <v>0.000284</v>
      </c>
    </row>
    <row r="13962" spans="1:7">
      <c r="A13962" s="3"/>
      <c r="B13962" s="3"/>
      <c r="C13962" s="3"/>
      <c r="D13962" s="3"/>
      <c r="E13962" s="3">
        <v>19</v>
      </c>
      <c r="F13962" s="4" t="str">
        <f>HYPERLINK("http://141.218.60.56/~jnz1568/getInfo.php?workbook=10_05.xlsx&amp;sheet=U0&amp;row=13962&amp;col=6&amp;number=4.8&amp;sourceID=14","4.8")</f>
        <v>4.8</v>
      </c>
      <c r="G13962" s="4" t="str">
        <f>HYPERLINK("http://141.218.60.56/~jnz1568/getInfo.php?workbook=10_05.xlsx&amp;sheet=U0&amp;row=13962&amp;col=7&amp;number=0.000269&amp;sourceID=14","0.000269")</f>
        <v>0.000269</v>
      </c>
    </row>
    <row r="13963" spans="1:7">
      <c r="A13963" s="3"/>
      <c r="B13963" s="3"/>
      <c r="C13963" s="3"/>
      <c r="D13963" s="3"/>
      <c r="E13963" s="3">
        <v>20</v>
      </c>
      <c r="F13963" s="4" t="str">
        <f>HYPERLINK("http://141.218.60.56/~jnz1568/getInfo.php?workbook=10_05.xlsx&amp;sheet=U0&amp;row=13963&amp;col=6&amp;number=4.9&amp;sourceID=14","4.9")</f>
        <v>4.9</v>
      </c>
      <c r="G13963" s="4" t="str">
        <f>HYPERLINK("http://141.218.60.56/~jnz1568/getInfo.php?workbook=10_05.xlsx&amp;sheet=U0&amp;row=13963&amp;col=7&amp;number=0.000255&amp;sourceID=14","0.000255")</f>
        <v>0.000255</v>
      </c>
    </row>
    <row r="13964" spans="1:7">
      <c r="A13964" s="3">
        <v>10</v>
      </c>
      <c r="B13964" s="3">
        <v>5</v>
      </c>
      <c r="C13964" s="3">
        <v>4</v>
      </c>
      <c r="D13964" s="3">
        <v>169</v>
      </c>
      <c r="E13964" s="3">
        <v>1</v>
      </c>
      <c r="F13964" s="4" t="str">
        <f>HYPERLINK("http://141.218.60.56/~jnz1568/getInfo.php?workbook=10_05.xlsx&amp;sheet=U0&amp;row=13964&amp;col=6&amp;number=3&amp;sourceID=14","3")</f>
        <v>3</v>
      </c>
      <c r="G13964" s="4" t="str">
        <f>HYPERLINK("http://141.218.60.56/~jnz1568/getInfo.php?workbook=10_05.xlsx&amp;sheet=U0&amp;row=13964&amp;col=7&amp;number=0.000372&amp;sourceID=14","0.000372")</f>
        <v>0.000372</v>
      </c>
    </row>
    <row r="13965" spans="1:7">
      <c r="A13965" s="3"/>
      <c r="B13965" s="3"/>
      <c r="C13965" s="3"/>
      <c r="D13965" s="3"/>
      <c r="E13965" s="3">
        <v>2</v>
      </c>
      <c r="F13965" s="4" t="str">
        <f>HYPERLINK("http://141.218.60.56/~jnz1568/getInfo.php?workbook=10_05.xlsx&amp;sheet=U0&amp;row=13965&amp;col=6&amp;number=3.1&amp;sourceID=14","3.1")</f>
        <v>3.1</v>
      </c>
      <c r="G13965" s="4" t="str">
        <f>HYPERLINK("http://141.218.60.56/~jnz1568/getInfo.php?workbook=10_05.xlsx&amp;sheet=U0&amp;row=13965&amp;col=7&amp;number=0.000371&amp;sourceID=14","0.000371")</f>
        <v>0.000371</v>
      </c>
    </row>
    <row r="13966" spans="1:7">
      <c r="A13966" s="3"/>
      <c r="B13966" s="3"/>
      <c r="C13966" s="3"/>
      <c r="D13966" s="3"/>
      <c r="E13966" s="3">
        <v>3</v>
      </c>
      <c r="F13966" s="4" t="str">
        <f>HYPERLINK("http://141.218.60.56/~jnz1568/getInfo.php?workbook=10_05.xlsx&amp;sheet=U0&amp;row=13966&amp;col=6&amp;number=3.2&amp;sourceID=14","3.2")</f>
        <v>3.2</v>
      </c>
      <c r="G13966" s="4" t="str">
        <f>HYPERLINK("http://141.218.60.56/~jnz1568/getInfo.php?workbook=10_05.xlsx&amp;sheet=U0&amp;row=13966&amp;col=7&amp;number=0.000369&amp;sourceID=14","0.000369")</f>
        <v>0.000369</v>
      </c>
    </row>
    <row r="13967" spans="1:7">
      <c r="A13967" s="3"/>
      <c r="B13967" s="3"/>
      <c r="C13967" s="3"/>
      <c r="D13967" s="3"/>
      <c r="E13967" s="3">
        <v>4</v>
      </c>
      <c r="F13967" s="4" t="str">
        <f>HYPERLINK("http://141.218.60.56/~jnz1568/getInfo.php?workbook=10_05.xlsx&amp;sheet=U0&amp;row=13967&amp;col=6&amp;number=3.3&amp;sourceID=14","3.3")</f>
        <v>3.3</v>
      </c>
      <c r="G13967" s="4" t="str">
        <f>HYPERLINK("http://141.218.60.56/~jnz1568/getInfo.php?workbook=10_05.xlsx&amp;sheet=U0&amp;row=13967&amp;col=7&amp;number=0.000368&amp;sourceID=14","0.000368")</f>
        <v>0.000368</v>
      </c>
    </row>
    <row r="13968" spans="1:7">
      <c r="A13968" s="3"/>
      <c r="B13968" s="3"/>
      <c r="C13968" s="3"/>
      <c r="D13968" s="3"/>
      <c r="E13968" s="3">
        <v>5</v>
      </c>
      <c r="F13968" s="4" t="str">
        <f>HYPERLINK("http://141.218.60.56/~jnz1568/getInfo.php?workbook=10_05.xlsx&amp;sheet=U0&amp;row=13968&amp;col=6&amp;number=3.4&amp;sourceID=14","3.4")</f>
        <v>3.4</v>
      </c>
      <c r="G13968" s="4" t="str">
        <f>HYPERLINK("http://141.218.60.56/~jnz1568/getInfo.php?workbook=10_05.xlsx&amp;sheet=U0&amp;row=13968&amp;col=7&amp;number=0.000365&amp;sourceID=14","0.000365")</f>
        <v>0.000365</v>
      </c>
    </row>
    <row r="13969" spans="1:7">
      <c r="A13969" s="3"/>
      <c r="B13969" s="3"/>
      <c r="C13969" s="3"/>
      <c r="D13969" s="3"/>
      <c r="E13969" s="3">
        <v>6</v>
      </c>
      <c r="F13969" s="4" t="str">
        <f>HYPERLINK("http://141.218.60.56/~jnz1568/getInfo.php?workbook=10_05.xlsx&amp;sheet=U0&amp;row=13969&amp;col=6&amp;number=3.5&amp;sourceID=14","3.5")</f>
        <v>3.5</v>
      </c>
      <c r="G13969" s="4" t="str">
        <f>HYPERLINK("http://141.218.60.56/~jnz1568/getInfo.php?workbook=10_05.xlsx&amp;sheet=U0&amp;row=13969&amp;col=7&amp;number=0.000362&amp;sourceID=14","0.000362")</f>
        <v>0.000362</v>
      </c>
    </row>
    <row r="13970" spans="1:7">
      <c r="A13970" s="3"/>
      <c r="B13970" s="3"/>
      <c r="C13970" s="3"/>
      <c r="D13970" s="3"/>
      <c r="E13970" s="3">
        <v>7</v>
      </c>
      <c r="F13970" s="4" t="str">
        <f>HYPERLINK("http://141.218.60.56/~jnz1568/getInfo.php?workbook=10_05.xlsx&amp;sheet=U0&amp;row=13970&amp;col=6&amp;number=3.6&amp;sourceID=14","3.6")</f>
        <v>3.6</v>
      </c>
      <c r="G13970" s="4" t="str">
        <f>HYPERLINK("http://141.218.60.56/~jnz1568/getInfo.php?workbook=10_05.xlsx&amp;sheet=U0&amp;row=13970&amp;col=7&amp;number=0.000358&amp;sourceID=14","0.000358")</f>
        <v>0.000358</v>
      </c>
    </row>
    <row r="13971" spans="1:7">
      <c r="A13971" s="3"/>
      <c r="B13971" s="3"/>
      <c r="C13971" s="3"/>
      <c r="D13971" s="3"/>
      <c r="E13971" s="3">
        <v>8</v>
      </c>
      <c r="F13971" s="4" t="str">
        <f>HYPERLINK("http://141.218.60.56/~jnz1568/getInfo.php?workbook=10_05.xlsx&amp;sheet=U0&amp;row=13971&amp;col=6&amp;number=3.7&amp;sourceID=14","3.7")</f>
        <v>3.7</v>
      </c>
      <c r="G13971" s="4" t="str">
        <f>HYPERLINK("http://141.218.60.56/~jnz1568/getInfo.php?workbook=10_05.xlsx&amp;sheet=U0&amp;row=13971&amp;col=7&amp;number=0.000354&amp;sourceID=14","0.000354")</f>
        <v>0.000354</v>
      </c>
    </row>
    <row r="13972" spans="1:7">
      <c r="A13972" s="3"/>
      <c r="B13972" s="3"/>
      <c r="C13972" s="3"/>
      <c r="D13972" s="3"/>
      <c r="E13972" s="3">
        <v>9</v>
      </c>
      <c r="F13972" s="4" t="str">
        <f>HYPERLINK("http://141.218.60.56/~jnz1568/getInfo.php?workbook=10_05.xlsx&amp;sheet=U0&amp;row=13972&amp;col=6&amp;number=3.8&amp;sourceID=14","3.8")</f>
        <v>3.8</v>
      </c>
      <c r="G13972" s="4" t="str">
        <f>HYPERLINK("http://141.218.60.56/~jnz1568/getInfo.php?workbook=10_05.xlsx&amp;sheet=U0&amp;row=13972&amp;col=7&amp;number=0.000348&amp;sourceID=14","0.000348")</f>
        <v>0.000348</v>
      </c>
    </row>
    <row r="13973" spans="1:7">
      <c r="A13973" s="3"/>
      <c r="B13973" s="3"/>
      <c r="C13973" s="3"/>
      <c r="D13973" s="3"/>
      <c r="E13973" s="3">
        <v>10</v>
      </c>
      <c r="F13973" s="4" t="str">
        <f>HYPERLINK("http://141.218.60.56/~jnz1568/getInfo.php?workbook=10_05.xlsx&amp;sheet=U0&amp;row=13973&amp;col=6&amp;number=3.9&amp;sourceID=14","3.9")</f>
        <v>3.9</v>
      </c>
      <c r="G13973" s="4" t="str">
        <f>HYPERLINK("http://141.218.60.56/~jnz1568/getInfo.php?workbook=10_05.xlsx&amp;sheet=U0&amp;row=13973&amp;col=7&amp;number=0.000341&amp;sourceID=14","0.000341")</f>
        <v>0.000341</v>
      </c>
    </row>
    <row r="13974" spans="1:7">
      <c r="A13974" s="3"/>
      <c r="B13974" s="3"/>
      <c r="C13974" s="3"/>
      <c r="D13974" s="3"/>
      <c r="E13974" s="3">
        <v>11</v>
      </c>
      <c r="F13974" s="4" t="str">
        <f>HYPERLINK("http://141.218.60.56/~jnz1568/getInfo.php?workbook=10_05.xlsx&amp;sheet=U0&amp;row=13974&amp;col=6&amp;number=4&amp;sourceID=14","4")</f>
        <v>4</v>
      </c>
      <c r="G13974" s="4" t="str">
        <f>HYPERLINK("http://141.218.60.56/~jnz1568/getInfo.php?workbook=10_05.xlsx&amp;sheet=U0&amp;row=13974&amp;col=7&amp;number=0.000333&amp;sourceID=14","0.000333")</f>
        <v>0.000333</v>
      </c>
    </row>
    <row r="13975" spans="1:7">
      <c r="A13975" s="3"/>
      <c r="B13975" s="3"/>
      <c r="C13975" s="3"/>
      <c r="D13975" s="3"/>
      <c r="E13975" s="3">
        <v>12</v>
      </c>
      <c r="F13975" s="4" t="str">
        <f>HYPERLINK("http://141.218.60.56/~jnz1568/getInfo.php?workbook=10_05.xlsx&amp;sheet=U0&amp;row=13975&amp;col=6&amp;number=4.1&amp;sourceID=14","4.1")</f>
        <v>4.1</v>
      </c>
      <c r="G13975" s="4" t="str">
        <f>HYPERLINK("http://141.218.60.56/~jnz1568/getInfo.php?workbook=10_05.xlsx&amp;sheet=U0&amp;row=13975&amp;col=7&amp;number=0.000322&amp;sourceID=14","0.000322")</f>
        <v>0.000322</v>
      </c>
    </row>
    <row r="13976" spans="1:7">
      <c r="A13976" s="3"/>
      <c r="B13976" s="3"/>
      <c r="C13976" s="3"/>
      <c r="D13976" s="3"/>
      <c r="E13976" s="3">
        <v>13</v>
      </c>
      <c r="F13976" s="4" t="str">
        <f>HYPERLINK("http://141.218.60.56/~jnz1568/getInfo.php?workbook=10_05.xlsx&amp;sheet=U0&amp;row=13976&amp;col=6&amp;number=4.2&amp;sourceID=14","4.2")</f>
        <v>4.2</v>
      </c>
      <c r="G13976" s="4" t="str">
        <f>HYPERLINK("http://141.218.60.56/~jnz1568/getInfo.php?workbook=10_05.xlsx&amp;sheet=U0&amp;row=13976&amp;col=7&amp;number=0.00031&amp;sourceID=14","0.00031")</f>
        <v>0.00031</v>
      </c>
    </row>
    <row r="13977" spans="1:7">
      <c r="A13977" s="3"/>
      <c r="B13977" s="3"/>
      <c r="C13977" s="3"/>
      <c r="D13977" s="3"/>
      <c r="E13977" s="3">
        <v>14</v>
      </c>
      <c r="F13977" s="4" t="str">
        <f>HYPERLINK("http://141.218.60.56/~jnz1568/getInfo.php?workbook=10_05.xlsx&amp;sheet=U0&amp;row=13977&amp;col=6&amp;number=4.3&amp;sourceID=14","4.3")</f>
        <v>4.3</v>
      </c>
      <c r="G13977" s="4" t="str">
        <f>HYPERLINK("http://141.218.60.56/~jnz1568/getInfo.php?workbook=10_05.xlsx&amp;sheet=U0&amp;row=13977&amp;col=7&amp;number=0.000297&amp;sourceID=14","0.000297")</f>
        <v>0.000297</v>
      </c>
    </row>
    <row r="13978" spans="1:7">
      <c r="A13978" s="3"/>
      <c r="B13978" s="3"/>
      <c r="C13978" s="3"/>
      <c r="D13978" s="3"/>
      <c r="E13978" s="3">
        <v>15</v>
      </c>
      <c r="F13978" s="4" t="str">
        <f>HYPERLINK("http://141.218.60.56/~jnz1568/getInfo.php?workbook=10_05.xlsx&amp;sheet=U0&amp;row=13978&amp;col=6&amp;number=4.4&amp;sourceID=14","4.4")</f>
        <v>4.4</v>
      </c>
      <c r="G13978" s="4" t="str">
        <f>HYPERLINK("http://141.218.60.56/~jnz1568/getInfo.php?workbook=10_05.xlsx&amp;sheet=U0&amp;row=13978&amp;col=7&amp;number=0.000282&amp;sourceID=14","0.000282")</f>
        <v>0.000282</v>
      </c>
    </row>
    <row r="13979" spans="1:7">
      <c r="A13979" s="3"/>
      <c r="B13979" s="3"/>
      <c r="C13979" s="3"/>
      <c r="D13979" s="3"/>
      <c r="E13979" s="3">
        <v>16</v>
      </c>
      <c r="F13979" s="4" t="str">
        <f>HYPERLINK("http://141.218.60.56/~jnz1568/getInfo.php?workbook=10_05.xlsx&amp;sheet=U0&amp;row=13979&amp;col=6&amp;number=4.5&amp;sourceID=14","4.5")</f>
        <v>4.5</v>
      </c>
      <c r="G13979" s="4" t="str">
        <f>HYPERLINK("http://141.218.60.56/~jnz1568/getInfo.php?workbook=10_05.xlsx&amp;sheet=U0&amp;row=13979&amp;col=7&amp;number=0.000266&amp;sourceID=14","0.000266")</f>
        <v>0.000266</v>
      </c>
    </row>
    <row r="13980" spans="1:7">
      <c r="A13980" s="3"/>
      <c r="B13980" s="3"/>
      <c r="C13980" s="3"/>
      <c r="D13980" s="3"/>
      <c r="E13980" s="3">
        <v>17</v>
      </c>
      <c r="F13980" s="4" t="str">
        <f>HYPERLINK("http://141.218.60.56/~jnz1568/getInfo.php?workbook=10_05.xlsx&amp;sheet=U0&amp;row=13980&amp;col=6&amp;number=4.6&amp;sourceID=14","4.6")</f>
        <v>4.6</v>
      </c>
      <c r="G13980" s="4" t="str">
        <f>HYPERLINK("http://141.218.60.56/~jnz1568/getInfo.php?workbook=10_05.xlsx&amp;sheet=U0&amp;row=13980&amp;col=7&amp;number=0.000251&amp;sourceID=14","0.000251")</f>
        <v>0.000251</v>
      </c>
    </row>
    <row r="13981" spans="1:7">
      <c r="A13981" s="3"/>
      <c r="B13981" s="3"/>
      <c r="C13981" s="3"/>
      <c r="D13981" s="3"/>
      <c r="E13981" s="3">
        <v>18</v>
      </c>
      <c r="F13981" s="4" t="str">
        <f>HYPERLINK("http://141.218.60.56/~jnz1568/getInfo.php?workbook=10_05.xlsx&amp;sheet=U0&amp;row=13981&amp;col=6&amp;number=4.7&amp;sourceID=14","4.7")</f>
        <v>4.7</v>
      </c>
      <c r="G13981" s="4" t="str">
        <f>HYPERLINK("http://141.218.60.56/~jnz1568/getInfo.php?workbook=10_05.xlsx&amp;sheet=U0&amp;row=13981&amp;col=7&amp;number=0.000236&amp;sourceID=14","0.000236")</f>
        <v>0.000236</v>
      </c>
    </row>
    <row r="13982" spans="1:7">
      <c r="A13982" s="3"/>
      <c r="B13982" s="3"/>
      <c r="C13982" s="3"/>
      <c r="D13982" s="3"/>
      <c r="E13982" s="3">
        <v>19</v>
      </c>
      <c r="F13982" s="4" t="str">
        <f>HYPERLINK("http://141.218.60.56/~jnz1568/getInfo.php?workbook=10_05.xlsx&amp;sheet=U0&amp;row=13982&amp;col=6&amp;number=4.8&amp;sourceID=14","4.8")</f>
        <v>4.8</v>
      </c>
      <c r="G13982" s="4" t="str">
        <f>HYPERLINK("http://141.218.60.56/~jnz1568/getInfo.php?workbook=10_05.xlsx&amp;sheet=U0&amp;row=13982&amp;col=7&amp;number=0.000222&amp;sourceID=14","0.000222")</f>
        <v>0.000222</v>
      </c>
    </row>
    <row r="13983" spans="1:7">
      <c r="A13983" s="3"/>
      <c r="B13983" s="3"/>
      <c r="C13983" s="3"/>
      <c r="D13983" s="3"/>
      <c r="E13983" s="3">
        <v>20</v>
      </c>
      <c r="F13983" s="4" t="str">
        <f>HYPERLINK("http://141.218.60.56/~jnz1568/getInfo.php?workbook=10_05.xlsx&amp;sheet=U0&amp;row=13983&amp;col=6&amp;number=4.9&amp;sourceID=14","4.9")</f>
        <v>4.9</v>
      </c>
      <c r="G13983" s="4" t="str">
        <f>HYPERLINK("http://141.218.60.56/~jnz1568/getInfo.php?workbook=10_05.xlsx&amp;sheet=U0&amp;row=13983&amp;col=7&amp;number=0.000209&amp;sourceID=14","0.000209")</f>
        <v>0.000209</v>
      </c>
    </row>
    <row r="13984" spans="1:7">
      <c r="A13984" s="3">
        <v>10</v>
      </c>
      <c r="B13984" s="3">
        <v>5</v>
      </c>
      <c r="C13984" s="3">
        <v>4</v>
      </c>
      <c r="D13984" s="3">
        <v>170</v>
      </c>
      <c r="E13984" s="3">
        <v>1</v>
      </c>
      <c r="F13984" s="4" t="str">
        <f>HYPERLINK("http://141.218.60.56/~jnz1568/getInfo.php?workbook=10_05.xlsx&amp;sheet=U0&amp;row=13984&amp;col=6&amp;number=3&amp;sourceID=14","3")</f>
        <v>3</v>
      </c>
      <c r="G13984" s="4" t="str">
        <f>HYPERLINK("http://141.218.60.56/~jnz1568/getInfo.php?workbook=10_05.xlsx&amp;sheet=U0&amp;row=13984&amp;col=7&amp;number=0.000198&amp;sourceID=14","0.000198")</f>
        <v>0.000198</v>
      </c>
    </row>
    <row r="13985" spans="1:7">
      <c r="A13985" s="3"/>
      <c r="B13985" s="3"/>
      <c r="C13985" s="3"/>
      <c r="D13985" s="3"/>
      <c r="E13985" s="3">
        <v>2</v>
      </c>
      <c r="F13985" s="4" t="str">
        <f>HYPERLINK("http://141.218.60.56/~jnz1568/getInfo.php?workbook=10_05.xlsx&amp;sheet=U0&amp;row=13985&amp;col=6&amp;number=3.1&amp;sourceID=14","3.1")</f>
        <v>3.1</v>
      </c>
      <c r="G13985" s="4" t="str">
        <f>HYPERLINK("http://141.218.60.56/~jnz1568/getInfo.php?workbook=10_05.xlsx&amp;sheet=U0&amp;row=13985&amp;col=7&amp;number=0.000197&amp;sourceID=14","0.000197")</f>
        <v>0.000197</v>
      </c>
    </row>
    <row r="13986" spans="1:7">
      <c r="A13986" s="3"/>
      <c r="B13986" s="3"/>
      <c r="C13986" s="3"/>
      <c r="D13986" s="3"/>
      <c r="E13986" s="3">
        <v>3</v>
      </c>
      <c r="F13986" s="4" t="str">
        <f>HYPERLINK("http://141.218.60.56/~jnz1568/getInfo.php?workbook=10_05.xlsx&amp;sheet=U0&amp;row=13986&amp;col=6&amp;number=3.2&amp;sourceID=14","3.2")</f>
        <v>3.2</v>
      </c>
      <c r="G13986" s="4" t="str">
        <f>HYPERLINK("http://141.218.60.56/~jnz1568/getInfo.php?workbook=10_05.xlsx&amp;sheet=U0&amp;row=13986&amp;col=7&amp;number=0.000196&amp;sourceID=14","0.000196")</f>
        <v>0.000196</v>
      </c>
    </row>
    <row r="13987" spans="1:7">
      <c r="A13987" s="3"/>
      <c r="B13987" s="3"/>
      <c r="C13987" s="3"/>
      <c r="D13987" s="3"/>
      <c r="E13987" s="3">
        <v>4</v>
      </c>
      <c r="F13987" s="4" t="str">
        <f>HYPERLINK("http://141.218.60.56/~jnz1568/getInfo.php?workbook=10_05.xlsx&amp;sheet=U0&amp;row=13987&amp;col=6&amp;number=3.3&amp;sourceID=14","3.3")</f>
        <v>3.3</v>
      </c>
      <c r="G13987" s="4" t="str">
        <f>HYPERLINK("http://141.218.60.56/~jnz1568/getInfo.php?workbook=10_05.xlsx&amp;sheet=U0&amp;row=13987&amp;col=7&amp;number=0.000194&amp;sourceID=14","0.000194")</f>
        <v>0.000194</v>
      </c>
    </row>
    <row r="13988" spans="1:7">
      <c r="A13988" s="3"/>
      <c r="B13988" s="3"/>
      <c r="C13988" s="3"/>
      <c r="D13988" s="3"/>
      <c r="E13988" s="3">
        <v>5</v>
      </c>
      <c r="F13988" s="4" t="str">
        <f>HYPERLINK("http://141.218.60.56/~jnz1568/getInfo.php?workbook=10_05.xlsx&amp;sheet=U0&amp;row=13988&amp;col=6&amp;number=3.4&amp;sourceID=14","3.4")</f>
        <v>3.4</v>
      </c>
      <c r="G13988" s="4" t="str">
        <f>HYPERLINK("http://141.218.60.56/~jnz1568/getInfo.php?workbook=10_05.xlsx&amp;sheet=U0&amp;row=13988&amp;col=7&amp;number=0.000193&amp;sourceID=14","0.000193")</f>
        <v>0.000193</v>
      </c>
    </row>
    <row r="13989" spans="1:7">
      <c r="A13989" s="3"/>
      <c r="B13989" s="3"/>
      <c r="C13989" s="3"/>
      <c r="D13989" s="3"/>
      <c r="E13989" s="3">
        <v>6</v>
      </c>
      <c r="F13989" s="4" t="str">
        <f>HYPERLINK("http://141.218.60.56/~jnz1568/getInfo.php?workbook=10_05.xlsx&amp;sheet=U0&amp;row=13989&amp;col=6&amp;number=3.5&amp;sourceID=14","3.5")</f>
        <v>3.5</v>
      </c>
      <c r="G13989" s="4" t="str">
        <f>HYPERLINK("http://141.218.60.56/~jnz1568/getInfo.php?workbook=10_05.xlsx&amp;sheet=U0&amp;row=13989&amp;col=7&amp;number=0.000191&amp;sourceID=14","0.000191")</f>
        <v>0.000191</v>
      </c>
    </row>
    <row r="13990" spans="1:7">
      <c r="A13990" s="3"/>
      <c r="B13990" s="3"/>
      <c r="C13990" s="3"/>
      <c r="D13990" s="3"/>
      <c r="E13990" s="3">
        <v>7</v>
      </c>
      <c r="F13990" s="4" t="str">
        <f>HYPERLINK("http://141.218.60.56/~jnz1568/getInfo.php?workbook=10_05.xlsx&amp;sheet=U0&amp;row=13990&amp;col=6&amp;number=3.6&amp;sourceID=14","3.6")</f>
        <v>3.6</v>
      </c>
      <c r="G13990" s="4" t="str">
        <f>HYPERLINK("http://141.218.60.56/~jnz1568/getInfo.php?workbook=10_05.xlsx&amp;sheet=U0&amp;row=13990&amp;col=7&amp;number=0.000188&amp;sourceID=14","0.000188")</f>
        <v>0.000188</v>
      </c>
    </row>
    <row r="13991" spans="1:7">
      <c r="A13991" s="3"/>
      <c r="B13991" s="3"/>
      <c r="C13991" s="3"/>
      <c r="D13991" s="3"/>
      <c r="E13991" s="3">
        <v>8</v>
      </c>
      <c r="F13991" s="4" t="str">
        <f>HYPERLINK("http://141.218.60.56/~jnz1568/getInfo.php?workbook=10_05.xlsx&amp;sheet=U0&amp;row=13991&amp;col=6&amp;number=3.7&amp;sourceID=14","3.7")</f>
        <v>3.7</v>
      </c>
      <c r="G13991" s="4" t="str">
        <f>HYPERLINK("http://141.218.60.56/~jnz1568/getInfo.php?workbook=10_05.xlsx&amp;sheet=U0&amp;row=13991&amp;col=7&amp;number=0.000185&amp;sourceID=14","0.000185")</f>
        <v>0.000185</v>
      </c>
    </row>
    <row r="13992" spans="1:7">
      <c r="A13992" s="3"/>
      <c r="B13992" s="3"/>
      <c r="C13992" s="3"/>
      <c r="D13992" s="3"/>
      <c r="E13992" s="3">
        <v>9</v>
      </c>
      <c r="F13992" s="4" t="str">
        <f>HYPERLINK("http://141.218.60.56/~jnz1568/getInfo.php?workbook=10_05.xlsx&amp;sheet=U0&amp;row=13992&amp;col=6&amp;number=3.8&amp;sourceID=14","3.8")</f>
        <v>3.8</v>
      </c>
      <c r="G13992" s="4" t="str">
        <f>HYPERLINK("http://141.218.60.56/~jnz1568/getInfo.php?workbook=10_05.xlsx&amp;sheet=U0&amp;row=13992&amp;col=7&amp;number=0.000182&amp;sourceID=14","0.000182")</f>
        <v>0.000182</v>
      </c>
    </row>
    <row r="13993" spans="1:7">
      <c r="A13993" s="3"/>
      <c r="B13993" s="3"/>
      <c r="C13993" s="3"/>
      <c r="D13993" s="3"/>
      <c r="E13993" s="3">
        <v>10</v>
      </c>
      <c r="F13993" s="4" t="str">
        <f>HYPERLINK("http://141.218.60.56/~jnz1568/getInfo.php?workbook=10_05.xlsx&amp;sheet=U0&amp;row=13993&amp;col=6&amp;number=3.9&amp;sourceID=14","3.9")</f>
        <v>3.9</v>
      </c>
      <c r="G13993" s="4" t="str">
        <f>HYPERLINK("http://141.218.60.56/~jnz1568/getInfo.php?workbook=10_05.xlsx&amp;sheet=U0&amp;row=13993&amp;col=7&amp;number=0.000177&amp;sourceID=14","0.000177")</f>
        <v>0.000177</v>
      </c>
    </row>
    <row r="13994" spans="1:7">
      <c r="A13994" s="3"/>
      <c r="B13994" s="3"/>
      <c r="C13994" s="3"/>
      <c r="D13994" s="3"/>
      <c r="E13994" s="3">
        <v>11</v>
      </c>
      <c r="F13994" s="4" t="str">
        <f>HYPERLINK("http://141.218.60.56/~jnz1568/getInfo.php?workbook=10_05.xlsx&amp;sheet=U0&amp;row=13994&amp;col=6&amp;number=4&amp;sourceID=14","4")</f>
        <v>4</v>
      </c>
      <c r="G13994" s="4" t="str">
        <f>HYPERLINK("http://141.218.60.56/~jnz1568/getInfo.php?workbook=10_05.xlsx&amp;sheet=U0&amp;row=13994&amp;col=7&amp;number=0.000171&amp;sourceID=14","0.000171")</f>
        <v>0.000171</v>
      </c>
    </row>
    <row r="13995" spans="1:7">
      <c r="A13995" s="3"/>
      <c r="B13995" s="3"/>
      <c r="C13995" s="3"/>
      <c r="D13995" s="3"/>
      <c r="E13995" s="3">
        <v>12</v>
      </c>
      <c r="F13995" s="4" t="str">
        <f>HYPERLINK("http://141.218.60.56/~jnz1568/getInfo.php?workbook=10_05.xlsx&amp;sheet=U0&amp;row=13995&amp;col=6&amp;number=4.1&amp;sourceID=14","4.1")</f>
        <v>4.1</v>
      </c>
      <c r="G13995" s="4" t="str">
        <f>HYPERLINK("http://141.218.60.56/~jnz1568/getInfo.php?workbook=10_05.xlsx&amp;sheet=U0&amp;row=13995&amp;col=7&amp;number=0.000165&amp;sourceID=14","0.000165")</f>
        <v>0.000165</v>
      </c>
    </row>
    <row r="13996" spans="1:7">
      <c r="A13996" s="3"/>
      <c r="B13996" s="3"/>
      <c r="C13996" s="3"/>
      <c r="D13996" s="3"/>
      <c r="E13996" s="3">
        <v>13</v>
      </c>
      <c r="F13996" s="4" t="str">
        <f>HYPERLINK("http://141.218.60.56/~jnz1568/getInfo.php?workbook=10_05.xlsx&amp;sheet=U0&amp;row=13996&amp;col=6&amp;number=4.2&amp;sourceID=14","4.2")</f>
        <v>4.2</v>
      </c>
      <c r="G13996" s="4" t="str">
        <f>HYPERLINK("http://141.218.60.56/~jnz1568/getInfo.php?workbook=10_05.xlsx&amp;sheet=U0&amp;row=13996&amp;col=7&amp;number=0.000157&amp;sourceID=14","0.000157")</f>
        <v>0.000157</v>
      </c>
    </row>
    <row r="13997" spans="1:7">
      <c r="A13997" s="3"/>
      <c r="B13997" s="3"/>
      <c r="C13997" s="3"/>
      <c r="D13997" s="3"/>
      <c r="E13997" s="3">
        <v>14</v>
      </c>
      <c r="F13997" s="4" t="str">
        <f>HYPERLINK("http://141.218.60.56/~jnz1568/getInfo.php?workbook=10_05.xlsx&amp;sheet=U0&amp;row=13997&amp;col=6&amp;number=4.3&amp;sourceID=14","4.3")</f>
        <v>4.3</v>
      </c>
      <c r="G13997" s="4" t="str">
        <f>HYPERLINK("http://141.218.60.56/~jnz1568/getInfo.php?workbook=10_05.xlsx&amp;sheet=U0&amp;row=13997&amp;col=7&amp;number=0.000149&amp;sourceID=14","0.000149")</f>
        <v>0.000149</v>
      </c>
    </row>
    <row r="13998" spans="1:7">
      <c r="A13998" s="3"/>
      <c r="B13998" s="3"/>
      <c r="C13998" s="3"/>
      <c r="D13998" s="3"/>
      <c r="E13998" s="3">
        <v>15</v>
      </c>
      <c r="F13998" s="4" t="str">
        <f>HYPERLINK("http://141.218.60.56/~jnz1568/getInfo.php?workbook=10_05.xlsx&amp;sheet=U0&amp;row=13998&amp;col=6&amp;number=4.4&amp;sourceID=14","4.4")</f>
        <v>4.4</v>
      </c>
      <c r="G13998" s="4" t="str">
        <f>HYPERLINK("http://141.218.60.56/~jnz1568/getInfo.php?workbook=10_05.xlsx&amp;sheet=U0&amp;row=13998&amp;col=7&amp;number=0.00014&amp;sourceID=14","0.00014")</f>
        <v>0.00014</v>
      </c>
    </row>
    <row r="13999" spans="1:7">
      <c r="A13999" s="3"/>
      <c r="B13999" s="3"/>
      <c r="C13999" s="3"/>
      <c r="D13999" s="3"/>
      <c r="E13999" s="3">
        <v>16</v>
      </c>
      <c r="F13999" s="4" t="str">
        <f>HYPERLINK("http://141.218.60.56/~jnz1568/getInfo.php?workbook=10_05.xlsx&amp;sheet=U0&amp;row=13999&amp;col=6&amp;number=4.5&amp;sourceID=14","4.5")</f>
        <v>4.5</v>
      </c>
      <c r="G13999" s="4" t="str">
        <f>HYPERLINK("http://141.218.60.56/~jnz1568/getInfo.php?workbook=10_05.xlsx&amp;sheet=U0&amp;row=13999&amp;col=7&amp;number=0.000132&amp;sourceID=14","0.000132")</f>
        <v>0.000132</v>
      </c>
    </row>
    <row r="14000" spans="1:7">
      <c r="A14000" s="3"/>
      <c r="B14000" s="3"/>
      <c r="C14000" s="3"/>
      <c r="D14000" s="3"/>
      <c r="E14000" s="3">
        <v>17</v>
      </c>
      <c r="F14000" s="4" t="str">
        <f>HYPERLINK("http://141.218.60.56/~jnz1568/getInfo.php?workbook=10_05.xlsx&amp;sheet=U0&amp;row=14000&amp;col=6&amp;number=4.6&amp;sourceID=14","4.6")</f>
        <v>4.6</v>
      </c>
      <c r="G14000" s="4" t="str">
        <f>HYPERLINK("http://141.218.60.56/~jnz1568/getInfo.php?workbook=10_05.xlsx&amp;sheet=U0&amp;row=14000&amp;col=7&amp;number=0.000124&amp;sourceID=14","0.000124")</f>
        <v>0.000124</v>
      </c>
    </row>
    <row r="14001" spans="1:7">
      <c r="A14001" s="3"/>
      <c r="B14001" s="3"/>
      <c r="C14001" s="3"/>
      <c r="D14001" s="3"/>
      <c r="E14001" s="3">
        <v>18</v>
      </c>
      <c r="F14001" s="4" t="str">
        <f>HYPERLINK("http://141.218.60.56/~jnz1568/getInfo.php?workbook=10_05.xlsx&amp;sheet=U0&amp;row=14001&amp;col=6&amp;number=4.7&amp;sourceID=14","4.7")</f>
        <v>4.7</v>
      </c>
      <c r="G14001" s="4" t="str">
        <f>HYPERLINK("http://141.218.60.56/~jnz1568/getInfo.php?workbook=10_05.xlsx&amp;sheet=U0&amp;row=14001&amp;col=7&amp;number=0.000117&amp;sourceID=14","0.000117")</f>
        <v>0.000117</v>
      </c>
    </row>
    <row r="14002" spans="1:7">
      <c r="A14002" s="3"/>
      <c r="B14002" s="3"/>
      <c r="C14002" s="3"/>
      <c r="D14002" s="3"/>
      <c r="E14002" s="3">
        <v>19</v>
      </c>
      <c r="F14002" s="4" t="str">
        <f>HYPERLINK("http://141.218.60.56/~jnz1568/getInfo.php?workbook=10_05.xlsx&amp;sheet=U0&amp;row=14002&amp;col=6&amp;number=4.8&amp;sourceID=14","4.8")</f>
        <v>4.8</v>
      </c>
      <c r="G14002" s="4" t="str">
        <f>HYPERLINK("http://141.218.60.56/~jnz1568/getInfo.php?workbook=10_05.xlsx&amp;sheet=U0&amp;row=14002&amp;col=7&amp;number=0.00011&amp;sourceID=14","0.00011")</f>
        <v>0.00011</v>
      </c>
    </row>
    <row r="14003" spans="1:7">
      <c r="A14003" s="3"/>
      <c r="B14003" s="3"/>
      <c r="C14003" s="3"/>
      <c r="D14003" s="3"/>
      <c r="E14003" s="3">
        <v>20</v>
      </c>
      <c r="F14003" s="4" t="str">
        <f>HYPERLINK("http://141.218.60.56/~jnz1568/getInfo.php?workbook=10_05.xlsx&amp;sheet=U0&amp;row=14003&amp;col=6&amp;number=4.9&amp;sourceID=14","4.9")</f>
        <v>4.9</v>
      </c>
      <c r="G14003" s="4" t="str">
        <f>HYPERLINK("http://141.218.60.56/~jnz1568/getInfo.php?workbook=10_05.xlsx&amp;sheet=U0&amp;row=14003&amp;col=7&amp;number=0.000104&amp;sourceID=14","0.000104")</f>
        <v>0.000104</v>
      </c>
    </row>
    <row r="14004" spans="1:7">
      <c r="A14004" s="3">
        <v>10</v>
      </c>
      <c r="B14004" s="3">
        <v>5</v>
      </c>
      <c r="C14004" s="3">
        <v>4</v>
      </c>
      <c r="D14004" s="3">
        <v>171</v>
      </c>
      <c r="E14004" s="3">
        <v>1</v>
      </c>
      <c r="F14004" s="4" t="str">
        <f>HYPERLINK("http://141.218.60.56/~jnz1568/getInfo.php?workbook=10_05.xlsx&amp;sheet=U0&amp;row=14004&amp;col=6&amp;number=3&amp;sourceID=14","3")</f>
        <v>3</v>
      </c>
      <c r="G14004" s="4" t="str">
        <f>HYPERLINK("http://141.218.60.56/~jnz1568/getInfo.php?workbook=10_05.xlsx&amp;sheet=U0&amp;row=14004&amp;col=7&amp;number=0.000387&amp;sourceID=14","0.000387")</f>
        <v>0.000387</v>
      </c>
    </row>
    <row r="14005" spans="1:7">
      <c r="A14005" s="3"/>
      <c r="B14005" s="3"/>
      <c r="C14005" s="3"/>
      <c r="D14005" s="3"/>
      <c r="E14005" s="3">
        <v>2</v>
      </c>
      <c r="F14005" s="4" t="str">
        <f>HYPERLINK("http://141.218.60.56/~jnz1568/getInfo.php?workbook=10_05.xlsx&amp;sheet=U0&amp;row=14005&amp;col=6&amp;number=3.1&amp;sourceID=14","3.1")</f>
        <v>3.1</v>
      </c>
      <c r="G14005" s="4" t="str">
        <f>HYPERLINK("http://141.218.60.56/~jnz1568/getInfo.php?workbook=10_05.xlsx&amp;sheet=U0&amp;row=14005&amp;col=7&amp;number=0.000385&amp;sourceID=14","0.000385")</f>
        <v>0.000385</v>
      </c>
    </row>
    <row r="14006" spans="1:7">
      <c r="A14006" s="3"/>
      <c r="B14006" s="3"/>
      <c r="C14006" s="3"/>
      <c r="D14006" s="3"/>
      <c r="E14006" s="3">
        <v>3</v>
      </c>
      <c r="F14006" s="4" t="str">
        <f>HYPERLINK("http://141.218.60.56/~jnz1568/getInfo.php?workbook=10_05.xlsx&amp;sheet=U0&amp;row=14006&amp;col=6&amp;number=3.2&amp;sourceID=14","3.2")</f>
        <v>3.2</v>
      </c>
      <c r="G14006" s="4" t="str">
        <f>HYPERLINK("http://141.218.60.56/~jnz1568/getInfo.php?workbook=10_05.xlsx&amp;sheet=U0&amp;row=14006&amp;col=7&amp;number=0.000383&amp;sourceID=14","0.000383")</f>
        <v>0.000383</v>
      </c>
    </row>
    <row r="14007" spans="1:7">
      <c r="A14007" s="3"/>
      <c r="B14007" s="3"/>
      <c r="C14007" s="3"/>
      <c r="D14007" s="3"/>
      <c r="E14007" s="3">
        <v>4</v>
      </c>
      <c r="F14007" s="4" t="str">
        <f>HYPERLINK("http://141.218.60.56/~jnz1568/getInfo.php?workbook=10_05.xlsx&amp;sheet=U0&amp;row=14007&amp;col=6&amp;number=3.3&amp;sourceID=14","3.3")</f>
        <v>3.3</v>
      </c>
      <c r="G14007" s="4" t="str">
        <f>HYPERLINK("http://141.218.60.56/~jnz1568/getInfo.php?workbook=10_05.xlsx&amp;sheet=U0&amp;row=14007&amp;col=7&amp;number=0.00038&amp;sourceID=14","0.00038")</f>
        <v>0.00038</v>
      </c>
    </row>
    <row r="14008" spans="1:7">
      <c r="A14008" s="3"/>
      <c r="B14008" s="3"/>
      <c r="C14008" s="3"/>
      <c r="D14008" s="3"/>
      <c r="E14008" s="3">
        <v>5</v>
      </c>
      <c r="F14008" s="4" t="str">
        <f>HYPERLINK("http://141.218.60.56/~jnz1568/getInfo.php?workbook=10_05.xlsx&amp;sheet=U0&amp;row=14008&amp;col=6&amp;number=3.4&amp;sourceID=14","3.4")</f>
        <v>3.4</v>
      </c>
      <c r="G14008" s="4" t="str">
        <f>HYPERLINK("http://141.218.60.56/~jnz1568/getInfo.php?workbook=10_05.xlsx&amp;sheet=U0&amp;row=14008&amp;col=7&amp;number=0.000376&amp;sourceID=14","0.000376")</f>
        <v>0.000376</v>
      </c>
    </row>
    <row r="14009" spans="1:7">
      <c r="A14009" s="3"/>
      <c r="B14009" s="3"/>
      <c r="C14009" s="3"/>
      <c r="D14009" s="3"/>
      <c r="E14009" s="3">
        <v>6</v>
      </c>
      <c r="F14009" s="4" t="str">
        <f>HYPERLINK("http://141.218.60.56/~jnz1568/getInfo.php?workbook=10_05.xlsx&amp;sheet=U0&amp;row=14009&amp;col=6&amp;number=3.5&amp;sourceID=14","3.5")</f>
        <v>3.5</v>
      </c>
      <c r="G14009" s="4" t="str">
        <f>HYPERLINK("http://141.218.60.56/~jnz1568/getInfo.php?workbook=10_05.xlsx&amp;sheet=U0&amp;row=14009&amp;col=7&amp;number=0.000371&amp;sourceID=14","0.000371")</f>
        <v>0.000371</v>
      </c>
    </row>
    <row r="14010" spans="1:7">
      <c r="A14010" s="3"/>
      <c r="B14010" s="3"/>
      <c r="C14010" s="3"/>
      <c r="D14010" s="3"/>
      <c r="E14010" s="3">
        <v>7</v>
      </c>
      <c r="F14010" s="4" t="str">
        <f>HYPERLINK("http://141.218.60.56/~jnz1568/getInfo.php?workbook=10_05.xlsx&amp;sheet=U0&amp;row=14010&amp;col=6&amp;number=3.6&amp;sourceID=14","3.6")</f>
        <v>3.6</v>
      </c>
      <c r="G14010" s="4" t="str">
        <f>HYPERLINK("http://141.218.60.56/~jnz1568/getInfo.php?workbook=10_05.xlsx&amp;sheet=U0&amp;row=14010&amp;col=7&amp;number=0.000365&amp;sourceID=14","0.000365")</f>
        <v>0.000365</v>
      </c>
    </row>
    <row r="14011" spans="1:7">
      <c r="A14011" s="3"/>
      <c r="B14011" s="3"/>
      <c r="C14011" s="3"/>
      <c r="D14011" s="3"/>
      <c r="E14011" s="3">
        <v>8</v>
      </c>
      <c r="F14011" s="4" t="str">
        <f>HYPERLINK("http://141.218.60.56/~jnz1568/getInfo.php?workbook=10_05.xlsx&amp;sheet=U0&amp;row=14011&amp;col=6&amp;number=3.7&amp;sourceID=14","3.7")</f>
        <v>3.7</v>
      </c>
      <c r="G14011" s="4" t="str">
        <f>HYPERLINK("http://141.218.60.56/~jnz1568/getInfo.php?workbook=10_05.xlsx&amp;sheet=U0&amp;row=14011&amp;col=7&amp;number=0.000358&amp;sourceID=14","0.000358")</f>
        <v>0.000358</v>
      </c>
    </row>
    <row r="14012" spans="1:7">
      <c r="A14012" s="3"/>
      <c r="B14012" s="3"/>
      <c r="C14012" s="3"/>
      <c r="D14012" s="3"/>
      <c r="E14012" s="3">
        <v>9</v>
      </c>
      <c r="F14012" s="4" t="str">
        <f>HYPERLINK("http://141.218.60.56/~jnz1568/getInfo.php?workbook=10_05.xlsx&amp;sheet=U0&amp;row=14012&amp;col=6&amp;number=3.8&amp;sourceID=14","3.8")</f>
        <v>3.8</v>
      </c>
      <c r="G14012" s="4" t="str">
        <f>HYPERLINK("http://141.218.60.56/~jnz1568/getInfo.php?workbook=10_05.xlsx&amp;sheet=U0&amp;row=14012&amp;col=7&amp;number=0.000349&amp;sourceID=14","0.000349")</f>
        <v>0.000349</v>
      </c>
    </row>
    <row r="14013" spans="1:7">
      <c r="A14013" s="3"/>
      <c r="B14013" s="3"/>
      <c r="C14013" s="3"/>
      <c r="D14013" s="3"/>
      <c r="E14013" s="3">
        <v>10</v>
      </c>
      <c r="F14013" s="4" t="str">
        <f>HYPERLINK("http://141.218.60.56/~jnz1568/getInfo.php?workbook=10_05.xlsx&amp;sheet=U0&amp;row=14013&amp;col=6&amp;number=3.9&amp;sourceID=14","3.9")</f>
        <v>3.9</v>
      </c>
      <c r="G14013" s="4" t="str">
        <f>HYPERLINK("http://141.218.60.56/~jnz1568/getInfo.php?workbook=10_05.xlsx&amp;sheet=U0&amp;row=14013&amp;col=7&amp;number=0.000338&amp;sourceID=14","0.000338")</f>
        <v>0.000338</v>
      </c>
    </row>
    <row r="14014" spans="1:7">
      <c r="A14014" s="3"/>
      <c r="B14014" s="3"/>
      <c r="C14014" s="3"/>
      <c r="D14014" s="3"/>
      <c r="E14014" s="3">
        <v>11</v>
      </c>
      <c r="F14014" s="4" t="str">
        <f>HYPERLINK("http://141.218.60.56/~jnz1568/getInfo.php?workbook=10_05.xlsx&amp;sheet=U0&amp;row=14014&amp;col=6&amp;number=4&amp;sourceID=14","4")</f>
        <v>4</v>
      </c>
      <c r="G14014" s="4" t="str">
        <f>HYPERLINK("http://141.218.60.56/~jnz1568/getInfo.php?workbook=10_05.xlsx&amp;sheet=U0&amp;row=14014&amp;col=7&amp;number=0.000325&amp;sourceID=14","0.000325")</f>
        <v>0.000325</v>
      </c>
    </row>
    <row r="14015" spans="1:7">
      <c r="A14015" s="3"/>
      <c r="B14015" s="3"/>
      <c r="C14015" s="3"/>
      <c r="D14015" s="3"/>
      <c r="E14015" s="3">
        <v>12</v>
      </c>
      <c r="F14015" s="4" t="str">
        <f>HYPERLINK("http://141.218.60.56/~jnz1568/getInfo.php?workbook=10_05.xlsx&amp;sheet=U0&amp;row=14015&amp;col=6&amp;number=4.1&amp;sourceID=14","4.1")</f>
        <v>4.1</v>
      </c>
      <c r="G14015" s="4" t="str">
        <f>HYPERLINK("http://141.218.60.56/~jnz1568/getInfo.php?workbook=10_05.xlsx&amp;sheet=U0&amp;row=14015&amp;col=7&amp;number=0.000311&amp;sourceID=14","0.000311")</f>
        <v>0.000311</v>
      </c>
    </row>
    <row r="14016" spans="1:7">
      <c r="A14016" s="3"/>
      <c r="B14016" s="3"/>
      <c r="C14016" s="3"/>
      <c r="D14016" s="3"/>
      <c r="E14016" s="3">
        <v>13</v>
      </c>
      <c r="F14016" s="4" t="str">
        <f>HYPERLINK("http://141.218.60.56/~jnz1568/getInfo.php?workbook=10_05.xlsx&amp;sheet=U0&amp;row=14016&amp;col=6&amp;number=4.2&amp;sourceID=14","4.2")</f>
        <v>4.2</v>
      </c>
      <c r="G14016" s="4" t="str">
        <f>HYPERLINK("http://141.218.60.56/~jnz1568/getInfo.php?workbook=10_05.xlsx&amp;sheet=U0&amp;row=14016&amp;col=7&amp;number=0.000294&amp;sourceID=14","0.000294")</f>
        <v>0.000294</v>
      </c>
    </row>
    <row r="14017" spans="1:7">
      <c r="A14017" s="3"/>
      <c r="B14017" s="3"/>
      <c r="C14017" s="3"/>
      <c r="D14017" s="3"/>
      <c r="E14017" s="3">
        <v>14</v>
      </c>
      <c r="F14017" s="4" t="str">
        <f>HYPERLINK("http://141.218.60.56/~jnz1568/getInfo.php?workbook=10_05.xlsx&amp;sheet=U0&amp;row=14017&amp;col=6&amp;number=4.3&amp;sourceID=14","4.3")</f>
        <v>4.3</v>
      </c>
      <c r="G14017" s="4" t="str">
        <f>HYPERLINK("http://141.218.60.56/~jnz1568/getInfo.php?workbook=10_05.xlsx&amp;sheet=U0&amp;row=14017&amp;col=7&amp;number=0.000277&amp;sourceID=14","0.000277")</f>
        <v>0.000277</v>
      </c>
    </row>
    <row r="14018" spans="1:7">
      <c r="A14018" s="3"/>
      <c r="B14018" s="3"/>
      <c r="C14018" s="3"/>
      <c r="D14018" s="3"/>
      <c r="E14018" s="3">
        <v>15</v>
      </c>
      <c r="F14018" s="4" t="str">
        <f>HYPERLINK("http://141.218.60.56/~jnz1568/getInfo.php?workbook=10_05.xlsx&amp;sheet=U0&amp;row=14018&amp;col=6&amp;number=4.4&amp;sourceID=14","4.4")</f>
        <v>4.4</v>
      </c>
      <c r="G14018" s="4" t="str">
        <f>HYPERLINK("http://141.218.60.56/~jnz1568/getInfo.php?workbook=10_05.xlsx&amp;sheet=U0&amp;row=14018&amp;col=7&amp;number=0.000261&amp;sourceID=14","0.000261")</f>
        <v>0.000261</v>
      </c>
    </row>
    <row r="14019" spans="1:7">
      <c r="A14019" s="3"/>
      <c r="B14019" s="3"/>
      <c r="C14019" s="3"/>
      <c r="D14019" s="3"/>
      <c r="E14019" s="3">
        <v>16</v>
      </c>
      <c r="F14019" s="4" t="str">
        <f>HYPERLINK("http://141.218.60.56/~jnz1568/getInfo.php?workbook=10_05.xlsx&amp;sheet=U0&amp;row=14019&amp;col=6&amp;number=4.5&amp;sourceID=14","4.5")</f>
        <v>4.5</v>
      </c>
      <c r="G14019" s="4" t="str">
        <f>HYPERLINK("http://141.218.60.56/~jnz1568/getInfo.php?workbook=10_05.xlsx&amp;sheet=U0&amp;row=14019&amp;col=7&amp;number=0.000247&amp;sourceID=14","0.000247")</f>
        <v>0.000247</v>
      </c>
    </row>
    <row r="14020" spans="1:7">
      <c r="A14020" s="3"/>
      <c r="B14020" s="3"/>
      <c r="C14020" s="3"/>
      <c r="D14020" s="3"/>
      <c r="E14020" s="3">
        <v>17</v>
      </c>
      <c r="F14020" s="4" t="str">
        <f>HYPERLINK("http://141.218.60.56/~jnz1568/getInfo.php?workbook=10_05.xlsx&amp;sheet=U0&amp;row=14020&amp;col=6&amp;number=4.6&amp;sourceID=14","4.6")</f>
        <v>4.6</v>
      </c>
      <c r="G14020" s="4" t="str">
        <f>HYPERLINK("http://141.218.60.56/~jnz1568/getInfo.php?workbook=10_05.xlsx&amp;sheet=U0&amp;row=14020&amp;col=7&amp;number=0.000234&amp;sourceID=14","0.000234")</f>
        <v>0.000234</v>
      </c>
    </row>
    <row r="14021" spans="1:7">
      <c r="A14021" s="3"/>
      <c r="B14021" s="3"/>
      <c r="C14021" s="3"/>
      <c r="D14021" s="3"/>
      <c r="E14021" s="3">
        <v>18</v>
      </c>
      <c r="F14021" s="4" t="str">
        <f>HYPERLINK("http://141.218.60.56/~jnz1568/getInfo.php?workbook=10_05.xlsx&amp;sheet=U0&amp;row=14021&amp;col=6&amp;number=4.7&amp;sourceID=14","4.7")</f>
        <v>4.7</v>
      </c>
      <c r="G14021" s="4" t="str">
        <f>HYPERLINK("http://141.218.60.56/~jnz1568/getInfo.php?workbook=10_05.xlsx&amp;sheet=U0&amp;row=14021&amp;col=7&amp;number=0.000221&amp;sourceID=14","0.000221")</f>
        <v>0.000221</v>
      </c>
    </row>
    <row r="14022" spans="1:7">
      <c r="A14022" s="3"/>
      <c r="B14022" s="3"/>
      <c r="C14022" s="3"/>
      <c r="D14022" s="3"/>
      <c r="E14022" s="3">
        <v>19</v>
      </c>
      <c r="F14022" s="4" t="str">
        <f>HYPERLINK("http://141.218.60.56/~jnz1568/getInfo.php?workbook=10_05.xlsx&amp;sheet=U0&amp;row=14022&amp;col=6&amp;number=4.8&amp;sourceID=14","4.8")</f>
        <v>4.8</v>
      </c>
      <c r="G14022" s="4" t="str">
        <f>HYPERLINK("http://141.218.60.56/~jnz1568/getInfo.php?workbook=10_05.xlsx&amp;sheet=U0&amp;row=14022&amp;col=7&amp;number=0.000208&amp;sourceID=14","0.000208")</f>
        <v>0.000208</v>
      </c>
    </row>
    <row r="14023" spans="1:7">
      <c r="A14023" s="3"/>
      <c r="B14023" s="3"/>
      <c r="C14023" s="3"/>
      <c r="D14023" s="3"/>
      <c r="E14023" s="3">
        <v>20</v>
      </c>
      <c r="F14023" s="4" t="str">
        <f>HYPERLINK("http://141.218.60.56/~jnz1568/getInfo.php?workbook=10_05.xlsx&amp;sheet=U0&amp;row=14023&amp;col=6&amp;number=4.9&amp;sourceID=14","4.9")</f>
        <v>4.9</v>
      </c>
      <c r="G14023" s="4" t="str">
        <f>HYPERLINK("http://141.218.60.56/~jnz1568/getInfo.php?workbook=10_05.xlsx&amp;sheet=U0&amp;row=14023&amp;col=7&amp;number=0.000196&amp;sourceID=14","0.000196")</f>
        <v>0.000196</v>
      </c>
    </row>
    <row r="14024" spans="1:7">
      <c r="A14024" s="3">
        <v>10</v>
      </c>
      <c r="B14024" s="3">
        <v>5</v>
      </c>
      <c r="C14024" s="3">
        <v>4</v>
      </c>
      <c r="D14024" s="3">
        <v>172</v>
      </c>
      <c r="E14024" s="3">
        <v>1</v>
      </c>
      <c r="F14024" s="4" t="str">
        <f>HYPERLINK("http://141.218.60.56/~jnz1568/getInfo.php?workbook=10_05.xlsx&amp;sheet=U0&amp;row=14024&amp;col=6&amp;number=3&amp;sourceID=14","3")</f>
        <v>3</v>
      </c>
      <c r="G14024" s="4" t="str">
        <f>HYPERLINK("http://141.218.60.56/~jnz1568/getInfo.php?workbook=10_05.xlsx&amp;sheet=U0&amp;row=14024&amp;col=7&amp;number=0.000367&amp;sourceID=14","0.000367")</f>
        <v>0.000367</v>
      </c>
    </row>
    <row r="14025" spans="1:7">
      <c r="A14025" s="3"/>
      <c r="B14025" s="3"/>
      <c r="C14025" s="3"/>
      <c r="D14025" s="3"/>
      <c r="E14025" s="3">
        <v>2</v>
      </c>
      <c r="F14025" s="4" t="str">
        <f>HYPERLINK("http://141.218.60.56/~jnz1568/getInfo.php?workbook=10_05.xlsx&amp;sheet=U0&amp;row=14025&amp;col=6&amp;number=3.1&amp;sourceID=14","3.1")</f>
        <v>3.1</v>
      </c>
      <c r="G14025" s="4" t="str">
        <f>HYPERLINK("http://141.218.60.56/~jnz1568/getInfo.php?workbook=10_05.xlsx&amp;sheet=U0&amp;row=14025&amp;col=7&amp;number=0.000365&amp;sourceID=14","0.000365")</f>
        <v>0.000365</v>
      </c>
    </row>
    <row r="14026" spans="1:7">
      <c r="A14026" s="3"/>
      <c r="B14026" s="3"/>
      <c r="C14026" s="3"/>
      <c r="D14026" s="3"/>
      <c r="E14026" s="3">
        <v>3</v>
      </c>
      <c r="F14026" s="4" t="str">
        <f>HYPERLINK("http://141.218.60.56/~jnz1568/getInfo.php?workbook=10_05.xlsx&amp;sheet=U0&amp;row=14026&amp;col=6&amp;number=3.2&amp;sourceID=14","3.2")</f>
        <v>3.2</v>
      </c>
      <c r="G14026" s="4" t="str">
        <f>HYPERLINK("http://141.218.60.56/~jnz1568/getInfo.php?workbook=10_05.xlsx&amp;sheet=U0&amp;row=14026&amp;col=7&amp;number=0.000363&amp;sourceID=14","0.000363")</f>
        <v>0.000363</v>
      </c>
    </row>
    <row r="14027" spans="1:7">
      <c r="A14027" s="3"/>
      <c r="B14027" s="3"/>
      <c r="C14027" s="3"/>
      <c r="D14027" s="3"/>
      <c r="E14027" s="3">
        <v>4</v>
      </c>
      <c r="F14027" s="4" t="str">
        <f>HYPERLINK("http://141.218.60.56/~jnz1568/getInfo.php?workbook=10_05.xlsx&amp;sheet=U0&amp;row=14027&amp;col=6&amp;number=3.3&amp;sourceID=14","3.3")</f>
        <v>3.3</v>
      </c>
      <c r="G14027" s="4" t="str">
        <f>HYPERLINK("http://141.218.60.56/~jnz1568/getInfo.php?workbook=10_05.xlsx&amp;sheet=U0&amp;row=14027&amp;col=7&amp;number=0.000361&amp;sourceID=14","0.000361")</f>
        <v>0.000361</v>
      </c>
    </row>
    <row r="14028" spans="1:7">
      <c r="A14028" s="3"/>
      <c r="B14028" s="3"/>
      <c r="C14028" s="3"/>
      <c r="D14028" s="3"/>
      <c r="E14028" s="3">
        <v>5</v>
      </c>
      <c r="F14028" s="4" t="str">
        <f>HYPERLINK("http://141.218.60.56/~jnz1568/getInfo.php?workbook=10_05.xlsx&amp;sheet=U0&amp;row=14028&amp;col=6&amp;number=3.4&amp;sourceID=14","3.4")</f>
        <v>3.4</v>
      </c>
      <c r="G14028" s="4" t="str">
        <f>HYPERLINK("http://141.218.60.56/~jnz1568/getInfo.php?workbook=10_05.xlsx&amp;sheet=U0&amp;row=14028&amp;col=7&amp;number=0.000358&amp;sourceID=14","0.000358")</f>
        <v>0.000358</v>
      </c>
    </row>
    <row r="14029" spans="1:7">
      <c r="A14029" s="3"/>
      <c r="B14029" s="3"/>
      <c r="C14029" s="3"/>
      <c r="D14029" s="3"/>
      <c r="E14029" s="3">
        <v>6</v>
      </c>
      <c r="F14029" s="4" t="str">
        <f>HYPERLINK("http://141.218.60.56/~jnz1568/getInfo.php?workbook=10_05.xlsx&amp;sheet=U0&amp;row=14029&amp;col=6&amp;number=3.5&amp;sourceID=14","3.5")</f>
        <v>3.5</v>
      </c>
      <c r="G14029" s="4" t="str">
        <f>HYPERLINK("http://141.218.60.56/~jnz1568/getInfo.php?workbook=10_05.xlsx&amp;sheet=U0&amp;row=14029&amp;col=7&amp;number=0.000355&amp;sourceID=14","0.000355")</f>
        <v>0.000355</v>
      </c>
    </row>
    <row r="14030" spans="1:7">
      <c r="A14030" s="3"/>
      <c r="B14030" s="3"/>
      <c r="C14030" s="3"/>
      <c r="D14030" s="3"/>
      <c r="E14030" s="3">
        <v>7</v>
      </c>
      <c r="F14030" s="4" t="str">
        <f>HYPERLINK("http://141.218.60.56/~jnz1568/getInfo.php?workbook=10_05.xlsx&amp;sheet=U0&amp;row=14030&amp;col=6&amp;number=3.6&amp;sourceID=14","3.6")</f>
        <v>3.6</v>
      </c>
      <c r="G14030" s="4" t="str">
        <f>HYPERLINK("http://141.218.60.56/~jnz1568/getInfo.php?workbook=10_05.xlsx&amp;sheet=U0&amp;row=14030&amp;col=7&amp;number=0.00035&amp;sourceID=14","0.00035")</f>
        <v>0.00035</v>
      </c>
    </row>
    <row r="14031" spans="1:7">
      <c r="A14031" s="3"/>
      <c r="B14031" s="3"/>
      <c r="C14031" s="3"/>
      <c r="D14031" s="3"/>
      <c r="E14031" s="3">
        <v>8</v>
      </c>
      <c r="F14031" s="4" t="str">
        <f>HYPERLINK("http://141.218.60.56/~jnz1568/getInfo.php?workbook=10_05.xlsx&amp;sheet=U0&amp;row=14031&amp;col=6&amp;number=3.7&amp;sourceID=14","3.7")</f>
        <v>3.7</v>
      </c>
      <c r="G14031" s="4" t="str">
        <f>HYPERLINK("http://141.218.60.56/~jnz1568/getInfo.php?workbook=10_05.xlsx&amp;sheet=U0&amp;row=14031&amp;col=7&amp;number=0.000345&amp;sourceID=14","0.000345")</f>
        <v>0.000345</v>
      </c>
    </row>
    <row r="14032" spans="1:7">
      <c r="A14032" s="3"/>
      <c r="B14032" s="3"/>
      <c r="C14032" s="3"/>
      <c r="D14032" s="3"/>
      <c r="E14032" s="3">
        <v>9</v>
      </c>
      <c r="F14032" s="4" t="str">
        <f>HYPERLINK("http://141.218.60.56/~jnz1568/getInfo.php?workbook=10_05.xlsx&amp;sheet=U0&amp;row=14032&amp;col=6&amp;number=3.8&amp;sourceID=14","3.8")</f>
        <v>3.8</v>
      </c>
      <c r="G14032" s="4" t="str">
        <f>HYPERLINK("http://141.218.60.56/~jnz1568/getInfo.php?workbook=10_05.xlsx&amp;sheet=U0&amp;row=14032&amp;col=7&amp;number=0.000338&amp;sourceID=14","0.000338")</f>
        <v>0.000338</v>
      </c>
    </row>
    <row r="14033" spans="1:7">
      <c r="A14033" s="3"/>
      <c r="B14033" s="3"/>
      <c r="C14033" s="3"/>
      <c r="D14033" s="3"/>
      <c r="E14033" s="3">
        <v>10</v>
      </c>
      <c r="F14033" s="4" t="str">
        <f>HYPERLINK("http://141.218.60.56/~jnz1568/getInfo.php?workbook=10_05.xlsx&amp;sheet=U0&amp;row=14033&amp;col=6&amp;number=3.9&amp;sourceID=14","3.9")</f>
        <v>3.9</v>
      </c>
      <c r="G14033" s="4" t="str">
        <f>HYPERLINK("http://141.218.60.56/~jnz1568/getInfo.php?workbook=10_05.xlsx&amp;sheet=U0&amp;row=14033&amp;col=7&amp;number=0.00033&amp;sourceID=14","0.00033")</f>
        <v>0.00033</v>
      </c>
    </row>
    <row r="14034" spans="1:7">
      <c r="A14034" s="3"/>
      <c r="B14034" s="3"/>
      <c r="C14034" s="3"/>
      <c r="D14034" s="3"/>
      <c r="E14034" s="3">
        <v>11</v>
      </c>
      <c r="F14034" s="4" t="str">
        <f>HYPERLINK("http://141.218.60.56/~jnz1568/getInfo.php?workbook=10_05.xlsx&amp;sheet=U0&amp;row=14034&amp;col=6&amp;number=4&amp;sourceID=14","4")</f>
        <v>4</v>
      </c>
      <c r="G14034" s="4" t="str">
        <f>HYPERLINK("http://141.218.60.56/~jnz1568/getInfo.php?workbook=10_05.xlsx&amp;sheet=U0&amp;row=14034&amp;col=7&amp;number=0.00032&amp;sourceID=14","0.00032")</f>
        <v>0.00032</v>
      </c>
    </row>
    <row r="14035" spans="1:7">
      <c r="A14035" s="3"/>
      <c r="B14035" s="3"/>
      <c r="C14035" s="3"/>
      <c r="D14035" s="3"/>
      <c r="E14035" s="3">
        <v>12</v>
      </c>
      <c r="F14035" s="4" t="str">
        <f>HYPERLINK("http://141.218.60.56/~jnz1568/getInfo.php?workbook=10_05.xlsx&amp;sheet=U0&amp;row=14035&amp;col=6&amp;number=4.1&amp;sourceID=14","4.1")</f>
        <v>4.1</v>
      </c>
      <c r="G14035" s="4" t="str">
        <f>HYPERLINK("http://141.218.60.56/~jnz1568/getInfo.php?workbook=10_05.xlsx&amp;sheet=U0&amp;row=14035&amp;col=7&amp;number=0.000308&amp;sourceID=14","0.000308")</f>
        <v>0.000308</v>
      </c>
    </row>
    <row r="14036" spans="1:7">
      <c r="A14036" s="3"/>
      <c r="B14036" s="3"/>
      <c r="C14036" s="3"/>
      <c r="D14036" s="3"/>
      <c r="E14036" s="3">
        <v>13</v>
      </c>
      <c r="F14036" s="4" t="str">
        <f>HYPERLINK("http://141.218.60.56/~jnz1568/getInfo.php?workbook=10_05.xlsx&amp;sheet=U0&amp;row=14036&amp;col=6&amp;number=4.2&amp;sourceID=14","4.2")</f>
        <v>4.2</v>
      </c>
      <c r="G14036" s="4" t="str">
        <f>HYPERLINK("http://141.218.60.56/~jnz1568/getInfo.php?workbook=10_05.xlsx&amp;sheet=U0&amp;row=14036&amp;col=7&amp;number=0.000295&amp;sourceID=14","0.000295")</f>
        <v>0.000295</v>
      </c>
    </row>
    <row r="14037" spans="1:7">
      <c r="A14037" s="3"/>
      <c r="B14037" s="3"/>
      <c r="C14037" s="3"/>
      <c r="D14037" s="3"/>
      <c r="E14037" s="3">
        <v>14</v>
      </c>
      <c r="F14037" s="4" t="str">
        <f>HYPERLINK("http://141.218.60.56/~jnz1568/getInfo.php?workbook=10_05.xlsx&amp;sheet=U0&amp;row=14037&amp;col=6&amp;number=4.3&amp;sourceID=14","4.3")</f>
        <v>4.3</v>
      </c>
      <c r="G14037" s="4" t="str">
        <f>HYPERLINK("http://141.218.60.56/~jnz1568/getInfo.php?workbook=10_05.xlsx&amp;sheet=U0&amp;row=14037&amp;col=7&amp;number=0.000281&amp;sourceID=14","0.000281")</f>
        <v>0.000281</v>
      </c>
    </row>
    <row r="14038" spans="1:7">
      <c r="A14038" s="3"/>
      <c r="B14038" s="3"/>
      <c r="C14038" s="3"/>
      <c r="D14038" s="3"/>
      <c r="E14038" s="3">
        <v>15</v>
      </c>
      <c r="F14038" s="4" t="str">
        <f>HYPERLINK("http://141.218.60.56/~jnz1568/getInfo.php?workbook=10_05.xlsx&amp;sheet=U0&amp;row=14038&amp;col=6&amp;number=4.4&amp;sourceID=14","4.4")</f>
        <v>4.4</v>
      </c>
      <c r="G14038" s="4" t="str">
        <f>HYPERLINK("http://141.218.60.56/~jnz1568/getInfo.php?workbook=10_05.xlsx&amp;sheet=U0&amp;row=14038&amp;col=7&amp;number=0.000267&amp;sourceID=14","0.000267")</f>
        <v>0.000267</v>
      </c>
    </row>
    <row r="14039" spans="1:7">
      <c r="A14039" s="3"/>
      <c r="B14039" s="3"/>
      <c r="C14039" s="3"/>
      <c r="D14039" s="3"/>
      <c r="E14039" s="3">
        <v>16</v>
      </c>
      <c r="F14039" s="4" t="str">
        <f>HYPERLINK("http://141.218.60.56/~jnz1568/getInfo.php?workbook=10_05.xlsx&amp;sheet=U0&amp;row=14039&amp;col=6&amp;number=4.5&amp;sourceID=14","4.5")</f>
        <v>4.5</v>
      </c>
      <c r="G14039" s="4" t="str">
        <f>HYPERLINK("http://141.218.60.56/~jnz1568/getInfo.php?workbook=10_05.xlsx&amp;sheet=U0&amp;row=14039&amp;col=7&amp;number=0.000254&amp;sourceID=14","0.000254")</f>
        <v>0.000254</v>
      </c>
    </row>
    <row r="14040" spans="1:7">
      <c r="A14040" s="3"/>
      <c r="B14040" s="3"/>
      <c r="C14040" s="3"/>
      <c r="D14040" s="3"/>
      <c r="E14040" s="3">
        <v>17</v>
      </c>
      <c r="F14040" s="4" t="str">
        <f>HYPERLINK("http://141.218.60.56/~jnz1568/getInfo.php?workbook=10_05.xlsx&amp;sheet=U0&amp;row=14040&amp;col=6&amp;number=4.6&amp;sourceID=14","4.6")</f>
        <v>4.6</v>
      </c>
      <c r="G14040" s="4" t="str">
        <f>HYPERLINK("http://141.218.60.56/~jnz1568/getInfo.php?workbook=10_05.xlsx&amp;sheet=U0&amp;row=14040&amp;col=7&amp;number=0.000244&amp;sourceID=14","0.000244")</f>
        <v>0.000244</v>
      </c>
    </row>
    <row r="14041" spans="1:7">
      <c r="A14041" s="3"/>
      <c r="B14041" s="3"/>
      <c r="C14041" s="3"/>
      <c r="D14041" s="3"/>
      <c r="E14041" s="3">
        <v>18</v>
      </c>
      <c r="F14041" s="4" t="str">
        <f>HYPERLINK("http://141.218.60.56/~jnz1568/getInfo.php?workbook=10_05.xlsx&amp;sheet=U0&amp;row=14041&amp;col=6&amp;number=4.7&amp;sourceID=14","4.7")</f>
        <v>4.7</v>
      </c>
      <c r="G14041" s="4" t="str">
        <f>HYPERLINK("http://141.218.60.56/~jnz1568/getInfo.php?workbook=10_05.xlsx&amp;sheet=U0&amp;row=14041&amp;col=7&amp;number=0.000235&amp;sourceID=14","0.000235")</f>
        <v>0.000235</v>
      </c>
    </row>
    <row r="14042" spans="1:7">
      <c r="A14042" s="3"/>
      <c r="B14042" s="3"/>
      <c r="C14042" s="3"/>
      <c r="D14042" s="3"/>
      <c r="E14042" s="3">
        <v>19</v>
      </c>
      <c r="F14042" s="4" t="str">
        <f>HYPERLINK("http://141.218.60.56/~jnz1568/getInfo.php?workbook=10_05.xlsx&amp;sheet=U0&amp;row=14042&amp;col=6&amp;number=4.8&amp;sourceID=14","4.8")</f>
        <v>4.8</v>
      </c>
      <c r="G14042" s="4" t="str">
        <f>HYPERLINK("http://141.218.60.56/~jnz1568/getInfo.php?workbook=10_05.xlsx&amp;sheet=U0&amp;row=14042&amp;col=7&amp;number=0.000227&amp;sourceID=14","0.000227")</f>
        <v>0.000227</v>
      </c>
    </row>
    <row r="14043" spans="1:7">
      <c r="A14043" s="3"/>
      <c r="B14043" s="3"/>
      <c r="C14043" s="3"/>
      <c r="D14043" s="3"/>
      <c r="E14043" s="3">
        <v>20</v>
      </c>
      <c r="F14043" s="4" t="str">
        <f>HYPERLINK("http://141.218.60.56/~jnz1568/getInfo.php?workbook=10_05.xlsx&amp;sheet=U0&amp;row=14043&amp;col=6&amp;number=4.9&amp;sourceID=14","4.9")</f>
        <v>4.9</v>
      </c>
      <c r="G14043" s="4" t="str">
        <f>HYPERLINK("http://141.218.60.56/~jnz1568/getInfo.php?workbook=10_05.xlsx&amp;sheet=U0&amp;row=14043&amp;col=7&amp;number=0.000217&amp;sourceID=14","0.000217")</f>
        <v>0.000217</v>
      </c>
    </row>
    <row r="14044" spans="1:7">
      <c r="A14044" s="3">
        <v>10</v>
      </c>
      <c r="B14044" s="3">
        <v>5</v>
      </c>
      <c r="C14044" s="3">
        <v>4</v>
      </c>
      <c r="D14044" s="3">
        <v>173</v>
      </c>
      <c r="E14044" s="3">
        <v>1</v>
      </c>
      <c r="F14044" s="4" t="str">
        <f>HYPERLINK("http://141.218.60.56/~jnz1568/getInfo.php?workbook=10_05.xlsx&amp;sheet=U0&amp;row=14044&amp;col=6&amp;number=3&amp;sourceID=14","3")</f>
        <v>3</v>
      </c>
      <c r="G14044" s="4" t="str">
        <f>HYPERLINK("http://141.218.60.56/~jnz1568/getInfo.php?workbook=10_05.xlsx&amp;sheet=U0&amp;row=14044&amp;col=7&amp;number=0.000432&amp;sourceID=14","0.000432")</f>
        <v>0.000432</v>
      </c>
    </row>
    <row r="14045" spans="1:7">
      <c r="A14045" s="3"/>
      <c r="B14045" s="3"/>
      <c r="C14045" s="3"/>
      <c r="D14045" s="3"/>
      <c r="E14045" s="3">
        <v>2</v>
      </c>
      <c r="F14045" s="4" t="str">
        <f>HYPERLINK("http://141.218.60.56/~jnz1568/getInfo.php?workbook=10_05.xlsx&amp;sheet=U0&amp;row=14045&amp;col=6&amp;number=3.1&amp;sourceID=14","3.1")</f>
        <v>3.1</v>
      </c>
      <c r="G14045" s="4" t="str">
        <f>HYPERLINK("http://141.218.60.56/~jnz1568/getInfo.php?workbook=10_05.xlsx&amp;sheet=U0&amp;row=14045&amp;col=7&amp;number=0.00043&amp;sourceID=14","0.00043")</f>
        <v>0.00043</v>
      </c>
    </row>
    <row r="14046" spans="1:7">
      <c r="A14046" s="3"/>
      <c r="B14046" s="3"/>
      <c r="C14046" s="3"/>
      <c r="D14046" s="3"/>
      <c r="E14046" s="3">
        <v>3</v>
      </c>
      <c r="F14046" s="4" t="str">
        <f>HYPERLINK("http://141.218.60.56/~jnz1568/getInfo.php?workbook=10_05.xlsx&amp;sheet=U0&amp;row=14046&amp;col=6&amp;number=3.2&amp;sourceID=14","3.2")</f>
        <v>3.2</v>
      </c>
      <c r="G14046" s="4" t="str">
        <f>HYPERLINK("http://141.218.60.56/~jnz1568/getInfo.php?workbook=10_05.xlsx&amp;sheet=U0&amp;row=14046&amp;col=7&amp;number=0.000427&amp;sourceID=14","0.000427")</f>
        <v>0.000427</v>
      </c>
    </row>
    <row r="14047" spans="1:7">
      <c r="A14047" s="3"/>
      <c r="B14047" s="3"/>
      <c r="C14047" s="3"/>
      <c r="D14047" s="3"/>
      <c r="E14047" s="3">
        <v>4</v>
      </c>
      <c r="F14047" s="4" t="str">
        <f>HYPERLINK("http://141.218.60.56/~jnz1568/getInfo.php?workbook=10_05.xlsx&amp;sheet=U0&amp;row=14047&amp;col=6&amp;number=3.3&amp;sourceID=14","3.3")</f>
        <v>3.3</v>
      </c>
      <c r="G14047" s="4" t="str">
        <f>HYPERLINK("http://141.218.60.56/~jnz1568/getInfo.php?workbook=10_05.xlsx&amp;sheet=U0&amp;row=14047&amp;col=7&amp;number=0.000424&amp;sourceID=14","0.000424")</f>
        <v>0.000424</v>
      </c>
    </row>
    <row r="14048" spans="1:7">
      <c r="A14048" s="3"/>
      <c r="B14048" s="3"/>
      <c r="C14048" s="3"/>
      <c r="D14048" s="3"/>
      <c r="E14048" s="3">
        <v>5</v>
      </c>
      <c r="F14048" s="4" t="str">
        <f>HYPERLINK("http://141.218.60.56/~jnz1568/getInfo.php?workbook=10_05.xlsx&amp;sheet=U0&amp;row=14048&amp;col=6&amp;number=3.4&amp;sourceID=14","3.4")</f>
        <v>3.4</v>
      </c>
      <c r="G14048" s="4" t="str">
        <f>HYPERLINK("http://141.218.60.56/~jnz1568/getInfo.php?workbook=10_05.xlsx&amp;sheet=U0&amp;row=14048&amp;col=7&amp;number=0.00042&amp;sourceID=14","0.00042")</f>
        <v>0.00042</v>
      </c>
    </row>
    <row r="14049" spans="1:7">
      <c r="A14049" s="3"/>
      <c r="B14049" s="3"/>
      <c r="C14049" s="3"/>
      <c r="D14049" s="3"/>
      <c r="E14049" s="3">
        <v>6</v>
      </c>
      <c r="F14049" s="4" t="str">
        <f>HYPERLINK("http://141.218.60.56/~jnz1568/getInfo.php?workbook=10_05.xlsx&amp;sheet=U0&amp;row=14049&amp;col=6&amp;number=3.5&amp;sourceID=14","3.5")</f>
        <v>3.5</v>
      </c>
      <c r="G14049" s="4" t="str">
        <f>HYPERLINK("http://141.218.60.56/~jnz1568/getInfo.php?workbook=10_05.xlsx&amp;sheet=U0&amp;row=14049&amp;col=7&amp;number=0.000414&amp;sourceID=14","0.000414")</f>
        <v>0.000414</v>
      </c>
    </row>
    <row r="14050" spans="1:7">
      <c r="A14050" s="3"/>
      <c r="B14050" s="3"/>
      <c r="C14050" s="3"/>
      <c r="D14050" s="3"/>
      <c r="E14050" s="3">
        <v>7</v>
      </c>
      <c r="F14050" s="4" t="str">
        <f>HYPERLINK("http://141.218.60.56/~jnz1568/getInfo.php?workbook=10_05.xlsx&amp;sheet=U0&amp;row=14050&amp;col=6&amp;number=3.6&amp;sourceID=14","3.6")</f>
        <v>3.6</v>
      </c>
      <c r="G14050" s="4" t="str">
        <f>HYPERLINK("http://141.218.60.56/~jnz1568/getInfo.php?workbook=10_05.xlsx&amp;sheet=U0&amp;row=14050&amp;col=7&amp;number=0.000408&amp;sourceID=14","0.000408")</f>
        <v>0.000408</v>
      </c>
    </row>
    <row r="14051" spans="1:7">
      <c r="A14051" s="3"/>
      <c r="B14051" s="3"/>
      <c r="C14051" s="3"/>
      <c r="D14051" s="3"/>
      <c r="E14051" s="3">
        <v>8</v>
      </c>
      <c r="F14051" s="4" t="str">
        <f>HYPERLINK("http://141.218.60.56/~jnz1568/getInfo.php?workbook=10_05.xlsx&amp;sheet=U0&amp;row=14051&amp;col=6&amp;number=3.7&amp;sourceID=14","3.7")</f>
        <v>3.7</v>
      </c>
      <c r="G14051" s="4" t="str">
        <f>HYPERLINK("http://141.218.60.56/~jnz1568/getInfo.php?workbook=10_05.xlsx&amp;sheet=U0&amp;row=14051&amp;col=7&amp;number=0.0004&amp;sourceID=14","0.0004")</f>
        <v>0.0004</v>
      </c>
    </row>
    <row r="14052" spans="1:7">
      <c r="A14052" s="3"/>
      <c r="B14052" s="3"/>
      <c r="C14052" s="3"/>
      <c r="D14052" s="3"/>
      <c r="E14052" s="3">
        <v>9</v>
      </c>
      <c r="F14052" s="4" t="str">
        <f>HYPERLINK("http://141.218.60.56/~jnz1568/getInfo.php?workbook=10_05.xlsx&amp;sheet=U0&amp;row=14052&amp;col=6&amp;number=3.8&amp;sourceID=14","3.8")</f>
        <v>3.8</v>
      </c>
      <c r="G14052" s="4" t="str">
        <f>HYPERLINK("http://141.218.60.56/~jnz1568/getInfo.php?workbook=10_05.xlsx&amp;sheet=U0&amp;row=14052&amp;col=7&amp;number=0.000391&amp;sourceID=14","0.000391")</f>
        <v>0.000391</v>
      </c>
    </row>
    <row r="14053" spans="1:7">
      <c r="A14053" s="3"/>
      <c r="B14053" s="3"/>
      <c r="C14053" s="3"/>
      <c r="D14053" s="3"/>
      <c r="E14053" s="3">
        <v>10</v>
      </c>
      <c r="F14053" s="4" t="str">
        <f>HYPERLINK("http://141.218.60.56/~jnz1568/getInfo.php?workbook=10_05.xlsx&amp;sheet=U0&amp;row=14053&amp;col=6&amp;number=3.9&amp;sourceID=14","3.9")</f>
        <v>3.9</v>
      </c>
      <c r="G14053" s="4" t="str">
        <f>HYPERLINK("http://141.218.60.56/~jnz1568/getInfo.php?workbook=10_05.xlsx&amp;sheet=U0&amp;row=14053&amp;col=7&amp;number=0.000379&amp;sourceID=14","0.000379")</f>
        <v>0.000379</v>
      </c>
    </row>
    <row r="14054" spans="1:7">
      <c r="A14054" s="3"/>
      <c r="B14054" s="3"/>
      <c r="C14054" s="3"/>
      <c r="D14054" s="3"/>
      <c r="E14054" s="3">
        <v>11</v>
      </c>
      <c r="F14054" s="4" t="str">
        <f>HYPERLINK("http://141.218.60.56/~jnz1568/getInfo.php?workbook=10_05.xlsx&amp;sheet=U0&amp;row=14054&amp;col=6&amp;number=4&amp;sourceID=14","4")</f>
        <v>4</v>
      </c>
      <c r="G14054" s="4" t="str">
        <f>HYPERLINK("http://141.218.60.56/~jnz1568/getInfo.php?workbook=10_05.xlsx&amp;sheet=U0&amp;row=14054&amp;col=7&amp;number=0.000366&amp;sourceID=14","0.000366")</f>
        <v>0.000366</v>
      </c>
    </row>
    <row r="14055" spans="1:7">
      <c r="A14055" s="3"/>
      <c r="B14055" s="3"/>
      <c r="C14055" s="3"/>
      <c r="D14055" s="3"/>
      <c r="E14055" s="3">
        <v>12</v>
      </c>
      <c r="F14055" s="4" t="str">
        <f>HYPERLINK("http://141.218.60.56/~jnz1568/getInfo.php?workbook=10_05.xlsx&amp;sheet=U0&amp;row=14055&amp;col=6&amp;number=4.1&amp;sourceID=14","4.1")</f>
        <v>4.1</v>
      </c>
      <c r="G14055" s="4" t="str">
        <f>HYPERLINK("http://141.218.60.56/~jnz1568/getInfo.php?workbook=10_05.xlsx&amp;sheet=U0&amp;row=14055&amp;col=7&amp;number=0.00035&amp;sourceID=14","0.00035")</f>
        <v>0.00035</v>
      </c>
    </row>
    <row r="14056" spans="1:7">
      <c r="A14056" s="3"/>
      <c r="B14056" s="3"/>
      <c r="C14056" s="3"/>
      <c r="D14056" s="3"/>
      <c r="E14056" s="3">
        <v>13</v>
      </c>
      <c r="F14056" s="4" t="str">
        <f>HYPERLINK("http://141.218.60.56/~jnz1568/getInfo.php?workbook=10_05.xlsx&amp;sheet=U0&amp;row=14056&amp;col=6&amp;number=4.2&amp;sourceID=14","4.2")</f>
        <v>4.2</v>
      </c>
      <c r="G14056" s="4" t="str">
        <f>HYPERLINK("http://141.218.60.56/~jnz1568/getInfo.php?workbook=10_05.xlsx&amp;sheet=U0&amp;row=14056&amp;col=7&amp;number=0.000334&amp;sourceID=14","0.000334")</f>
        <v>0.000334</v>
      </c>
    </row>
    <row r="14057" spans="1:7">
      <c r="A14057" s="3"/>
      <c r="B14057" s="3"/>
      <c r="C14057" s="3"/>
      <c r="D14057" s="3"/>
      <c r="E14057" s="3">
        <v>14</v>
      </c>
      <c r="F14057" s="4" t="str">
        <f>HYPERLINK("http://141.218.60.56/~jnz1568/getInfo.php?workbook=10_05.xlsx&amp;sheet=U0&amp;row=14057&amp;col=6&amp;number=4.3&amp;sourceID=14","4.3")</f>
        <v>4.3</v>
      </c>
      <c r="G14057" s="4" t="str">
        <f>HYPERLINK("http://141.218.60.56/~jnz1568/getInfo.php?workbook=10_05.xlsx&amp;sheet=U0&amp;row=14057&amp;col=7&amp;number=0.000317&amp;sourceID=14","0.000317")</f>
        <v>0.000317</v>
      </c>
    </row>
    <row r="14058" spans="1:7">
      <c r="A14058" s="3"/>
      <c r="B14058" s="3"/>
      <c r="C14058" s="3"/>
      <c r="D14058" s="3"/>
      <c r="E14058" s="3">
        <v>15</v>
      </c>
      <c r="F14058" s="4" t="str">
        <f>HYPERLINK("http://141.218.60.56/~jnz1568/getInfo.php?workbook=10_05.xlsx&amp;sheet=U0&amp;row=14058&amp;col=6&amp;number=4.4&amp;sourceID=14","4.4")</f>
        <v>4.4</v>
      </c>
      <c r="G14058" s="4" t="str">
        <f>HYPERLINK("http://141.218.60.56/~jnz1568/getInfo.php?workbook=10_05.xlsx&amp;sheet=U0&amp;row=14058&amp;col=7&amp;number=0.000301&amp;sourceID=14","0.000301")</f>
        <v>0.000301</v>
      </c>
    </row>
    <row r="14059" spans="1:7">
      <c r="A14059" s="3"/>
      <c r="B14059" s="3"/>
      <c r="C14059" s="3"/>
      <c r="D14059" s="3"/>
      <c r="E14059" s="3">
        <v>16</v>
      </c>
      <c r="F14059" s="4" t="str">
        <f>HYPERLINK("http://141.218.60.56/~jnz1568/getInfo.php?workbook=10_05.xlsx&amp;sheet=U0&amp;row=14059&amp;col=6&amp;number=4.5&amp;sourceID=14","4.5")</f>
        <v>4.5</v>
      </c>
      <c r="G14059" s="4" t="str">
        <f>HYPERLINK("http://141.218.60.56/~jnz1568/getInfo.php?workbook=10_05.xlsx&amp;sheet=U0&amp;row=14059&amp;col=7&amp;number=0.000288&amp;sourceID=14","0.000288")</f>
        <v>0.000288</v>
      </c>
    </row>
    <row r="14060" spans="1:7">
      <c r="A14060" s="3"/>
      <c r="B14060" s="3"/>
      <c r="C14060" s="3"/>
      <c r="D14060" s="3"/>
      <c r="E14060" s="3">
        <v>17</v>
      </c>
      <c r="F14060" s="4" t="str">
        <f>HYPERLINK("http://141.218.60.56/~jnz1568/getInfo.php?workbook=10_05.xlsx&amp;sheet=U0&amp;row=14060&amp;col=6&amp;number=4.6&amp;sourceID=14","4.6")</f>
        <v>4.6</v>
      </c>
      <c r="G14060" s="4" t="str">
        <f>HYPERLINK("http://141.218.60.56/~jnz1568/getInfo.php?workbook=10_05.xlsx&amp;sheet=U0&amp;row=14060&amp;col=7&amp;number=0.000276&amp;sourceID=14","0.000276")</f>
        <v>0.000276</v>
      </c>
    </row>
    <row r="14061" spans="1:7">
      <c r="A14061" s="3"/>
      <c r="B14061" s="3"/>
      <c r="C14061" s="3"/>
      <c r="D14061" s="3"/>
      <c r="E14061" s="3">
        <v>18</v>
      </c>
      <c r="F14061" s="4" t="str">
        <f>HYPERLINK("http://141.218.60.56/~jnz1568/getInfo.php?workbook=10_05.xlsx&amp;sheet=U0&amp;row=14061&amp;col=6&amp;number=4.7&amp;sourceID=14","4.7")</f>
        <v>4.7</v>
      </c>
      <c r="G14061" s="4" t="str">
        <f>HYPERLINK("http://141.218.60.56/~jnz1568/getInfo.php?workbook=10_05.xlsx&amp;sheet=U0&amp;row=14061&amp;col=7&amp;number=0.000265&amp;sourceID=14","0.000265")</f>
        <v>0.000265</v>
      </c>
    </row>
    <row r="14062" spans="1:7">
      <c r="A14062" s="3"/>
      <c r="B14062" s="3"/>
      <c r="C14062" s="3"/>
      <c r="D14062" s="3"/>
      <c r="E14062" s="3">
        <v>19</v>
      </c>
      <c r="F14062" s="4" t="str">
        <f>HYPERLINK("http://141.218.60.56/~jnz1568/getInfo.php?workbook=10_05.xlsx&amp;sheet=U0&amp;row=14062&amp;col=6&amp;number=4.8&amp;sourceID=14","4.8")</f>
        <v>4.8</v>
      </c>
      <c r="G14062" s="4" t="str">
        <f>HYPERLINK("http://141.218.60.56/~jnz1568/getInfo.php?workbook=10_05.xlsx&amp;sheet=U0&amp;row=14062&amp;col=7&amp;number=0.000253&amp;sourceID=14","0.000253")</f>
        <v>0.000253</v>
      </c>
    </row>
    <row r="14063" spans="1:7">
      <c r="A14063" s="3"/>
      <c r="B14063" s="3"/>
      <c r="C14063" s="3"/>
      <c r="D14063" s="3"/>
      <c r="E14063" s="3">
        <v>20</v>
      </c>
      <c r="F14063" s="4" t="str">
        <f>HYPERLINK("http://141.218.60.56/~jnz1568/getInfo.php?workbook=10_05.xlsx&amp;sheet=U0&amp;row=14063&amp;col=6&amp;number=4.9&amp;sourceID=14","4.9")</f>
        <v>4.9</v>
      </c>
      <c r="G14063" s="4" t="str">
        <f>HYPERLINK("http://141.218.60.56/~jnz1568/getInfo.php?workbook=10_05.xlsx&amp;sheet=U0&amp;row=14063&amp;col=7&amp;number=0.000242&amp;sourceID=14","0.000242")</f>
        <v>0.000242</v>
      </c>
    </row>
    <row r="14064" spans="1:7">
      <c r="A14064" s="3">
        <v>10</v>
      </c>
      <c r="B14064" s="3">
        <v>5</v>
      </c>
      <c r="C14064" s="3">
        <v>4</v>
      </c>
      <c r="D14064" s="3">
        <v>174</v>
      </c>
      <c r="E14064" s="3">
        <v>1</v>
      </c>
      <c r="F14064" s="4" t="str">
        <f>HYPERLINK("http://141.218.60.56/~jnz1568/getInfo.php?workbook=10_05.xlsx&amp;sheet=U0&amp;row=14064&amp;col=6&amp;number=3&amp;sourceID=14","3")</f>
        <v>3</v>
      </c>
      <c r="G14064" s="4" t="str">
        <f>HYPERLINK("http://141.218.60.56/~jnz1568/getInfo.php?workbook=10_05.xlsx&amp;sheet=U0&amp;row=14064&amp;col=7&amp;number=0.000219&amp;sourceID=14","0.000219")</f>
        <v>0.000219</v>
      </c>
    </row>
    <row r="14065" spans="1:7">
      <c r="A14065" s="3"/>
      <c r="B14065" s="3"/>
      <c r="C14065" s="3"/>
      <c r="D14065" s="3"/>
      <c r="E14065" s="3">
        <v>2</v>
      </c>
      <c r="F14065" s="4" t="str">
        <f>HYPERLINK("http://141.218.60.56/~jnz1568/getInfo.php?workbook=10_05.xlsx&amp;sheet=U0&amp;row=14065&amp;col=6&amp;number=3.1&amp;sourceID=14","3.1")</f>
        <v>3.1</v>
      </c>
      <c r="G14065" s="4" t="str">
        <f>HYPERLINK("http://141.218.60.56/~jnz1568/getInfo.php?workbook=10_05.xlsx&amp;sheet=U0&amp;row=14065&amp;col=7&amp;number=0.000218&amp;sourceID=14","0.000218")</f>
        <v>0.000218</v>
      </c>
    </row>
    <row r="14066" spans="1:7">
      <c r="A14066" s="3"/>
      <c r="B14066" s="3"/>
      <c r="C14066" s="3"/>
      <c r="D14066" s="3"/>
      <c r="E14066" s="3">
        <v>3</v>
      </c>
      <c r="F14066" s="4" t="str">
        <f>HYPERLINK("http://141.218.60.56/~jnz1568/getInfo.php?workbook=10_05.xlsx&amp;sheet=U0&amp;row=14066&amp;col=6&amp;number=3.2&amp;sourceID=14","3.2")</f>
        <v>3.2</v>
      </c>
      <c r="G14066" s="4" t="str">
        <f>HYPERLINK("http://141.218.60.56/~jnz1568/getInfo.php?workbook=10_05.xlsx&amp;sheet=U0&amp;row=14066&amp;col=7&amp;number=0.000218&amp;sourceID=14","0.000218")</f>
        <v>0.000218</v>
      </c>
    </row>
    <row r="14067" spans="1:7">
      <c r="A14067" s="3"/>
      <c r="B14067" s="3"/>
      <c r="C14067" s="3"/>
      <c r="D14067" s="3"/>
      <c r="E14067" s="3">
        <v>4</v>
      </c>
      <c r="F14067" s="4" t="str">
        <f>HYPERLINK("http://141.218.60.56/~jnz1568/getInfo.php?workbook=10_05.xlsx&amp;sheet=U0&amp;row=14067&amp;col=6&amp;number=3.3&amp;sourceID=14","3.3")</f>
        <v>3.3</v>
      </c>
      <c r="G14067" s="4" t="str">
        <f>HYPERLINK("http://141.218.60.56/~jnz1568/getInfo.php?workbook=10_05.xlsx&amp;sheet=U0&amp;row=14067&amp;col=7&amp;number=0.000217&amp;sourceID=14","0.000217")</f>
        <v>0.000217</v>
      </c>
    </row>
    <row r="14068" spans="1:7">
      <c r="A14068" s="3"/>
      <c r="B14068" s="3"/>
      <c r="C14068" s="3"/>
      <c r="D14068" s="3"/>
      <c r="E14068" s="3">
        <v>5</v>
      </c>
      <c r="F14068" s="4" t="str">
        <f>HYPERLINK("http://141.218.60.56/~jnz1568/getInfo.php?workbook=10_05.xlsx&amp;sheet=U0&amp;row=14068&amp;col=6&amp;number=3.4&amp;sourceID=14","3.4")</f>
        <v>3.4</v>
      </c>
      <c r="G14068" s="4" t="str">
        <f>HYPERLINK("http://141.218.60.56/~jnz1568/getInfo.php?workbook=10_05.xlsx&amp;sheet=U0&amp;row=14068&amp;col=7&amp;number=0.000216&amp;sourceID=14","0.000216")</f>
        <v>0.000216</v>
      </c>
    </row>
    <row r="14069" spans="1:7">
      <c r="A14069" s="3"/>
      <c r="B14069" s="3"/>
      <c r="C14069" s="3"/>
      <c r="D14069" s="3"/>
      <c r="E14069" s="3">
        <v>6</v>
      </c>
      <c r="F14069" s="4" t="str">
        <f>HYPERLINK("http://141.218.60.56/~jnz1568/getInfo.php?workbook=10_05.xlsx&amp;sheet=U0&amp;row=14069&amp;col=6&amp;number=3.5&amp;sourceID=14","3.5")</f>
        <v>3.5</v>
      </c>
      <c r="G14069" s="4" t="str">
        <f>HYPERLINK("http://141.218.60.56/~jnz1568/getInfo.php?workbook=10_05.xlsx&amp;sheet=U0&amp;row=14069&amp;col=7&amp;number=0.000215&amp;sourceID=14","0.000215")</f>
        <v>0.000215</v>
      </c>
    </row>
    <row r="14070" spans="1:7">
      <c r="A14070" s="3"/>
      <c r="B14070" s="3"/>
      <c r="C14070" s="3"/>
      <c r="D14070" s="3"/>
      <c r="E14070" s="3">
        <v>7</v>
      </c>
      <c r="F14070" s="4" t="str">
        <f>HYPERLINK("http://141.218.60.56/~jnz1568/getInfo.php?workbook=10_05.xlsx&amp;sheet=U0&amp;row=14070&amp;col=6&amp;number=3.6&amp;sourceID=14","3.6")</f>
        <v>3.6</v>
      </c>
      <c r="G14070" s="4" t="str">
        <f>HYPERLINK("http://141.218.60.56/~jnz1568/getInfo.php?workbook=10_05.xlsx&amp;sheet=U0&amp;row=14070&amp;col=7&amp;number=0.000214&amp;sourceID=14","0.000214")</f>
        <v>0.000214</v>
      </c>
    </row>
    <row r="14071" spans="1:7">
      <c r="A14071" s="3"/>
      <c r="B14071" s="3"/>
      <c r="C14071" s="3"/>
      <c r="D14071" s="3"/>
      <c r="E14071" s="3">
        <v>8</v>
      </c>
      <c r="F14071" s="4" t="str">
        <f>HYPERLINK("http://141.218.60.56/~jnz1568/getInfo.php?workbook=10_05.xlsx&amp;sheet=U0&amp;row=14071&amp;col=6&amp;number=3.7&amp;sourceID=14","3.7")</f>
        <v>3.7</v>
      </c>
      <c r="G14071" s="4" t="str">
        <f>HYPERLINK("http://141.218.60.56/~jnz1568/getInfo.php?workbook=10_05.xlsx&amp;sheet=U0&amp;row=14071&amp;col=7&amp;number=0.000212&amp;sourceID=14","0.000212")</f>
        <v>0.000212</v>
      </c>
    </row>
    <row r="14072" spans="1:7">
      <c r="A14072" s="3"/>
      <c r="B14072" s="3"/>
      <c r="C14072" s="3"/>
      <c r="D14072" s="3"/>
      <c r="E14072" s="3">
        <v>9</v>
      </c>
      <c r="F14072" s="4" t="str">
        <f>HYPERLINK("http://141.218.60.56/~jnz1568/getInfo.php?workbook=10_05.xlsx&amp;sheet=U0&amp;row=14072&amp;col=6&amp;number=3.8&amp;sourceID=14","3.8")</f>
        <v>3.8</v>
      </c>
      <c r="G14072" s="4" t="str">
        <f>HYPERLINK("http://141.218.60.56/~jnz1568/getInfo.php?workbook=10_05.xlsx&amp;sheet=U0&amp;row=14072&amp;col=7&amp;number=0.00021&amp;sourceID=14","0.00021")</f>
        <v>0.00021</v>
      </c>
    </row>
    <row r="14073" spans="1:7">
      <c r="A14073" s="3"/>
      <c r="B14073" s="3"/>
      <c r="C14073" s="3"/>
      <c r="D14073" s="3"/>
      <c r="E14073" s="3">
        <v>10</v>
      </c>
      <c r="F14073" s="4" t="str">
        <f>HYPERLINK("http://141.218.60.56/~jnz1568/getInfo.php?workbook=10_05.xlsx&amp;sheet=U0&amp;row=14073&amp;col=6&amp;number=3.9&amp;sourceID=14","3.9")</f>
        <v>3.9</v>
      </c>
      <c r="G14073" s="4" t="str">
        <f>HYPERLINK("http://141.218.60.56/~jnz1568/getInfo.php?workbook=10_05.xlsx&amp;sheet=U0&amp;row=14073&amp;col=7&amp;number=0.000207&amp;sourceID=14","0.000207")</f>
        <v>0.000207</v>
      </c>
    </row>
    <row r="14074" spans="1:7">
      <c r="A14074" s="3"/>
      <c r="B14074" s="3"/>
      <c r="C14074" s="3"/>
      <c r="D14074" s="3"/>
      <c r="E14074" s="3">
        <v>11</v>
      </c>
      <c r="F14074" s="4" t="str">
        <f>HYPERLINK("http://141.218.60.56/~jnz1568/getInfo.php?workbook=10_05.xlsx&amp;sheet=U0&amp;row=14074&amp;col=6&amp;number=4&amp;sourceID=14","4")</f>
        <v>4</v>
      </c>
      <c r="G14074" s="4" t="str">
        <f>HYPERLINK("http://141.218.60.56/~jnz1568/getInfo.php?workbook=10_05.xlsx&amp;sheet=U0&amp;row=14074&amp;col=7&amp;number=0.000204&amp;sourceID=14","0.000204")</f>
        <v>0.000204</v>
      </c>
    </row>
    <row r="14075" spans="1:7">
      <c r="A14075" s="3"/>
      <c r="B14075" s="3"/>
      <c r="C14075" s="3"/>
      <c r="D14075" s="3"/>
      <c r="E14075" s="3">
        <v>12</v>
      </c>
      <c r="F14075" s="4" t="str">
        <f>HYPERLINK("http://141.218.60.56/~jnz1568/getInfo.php?workbook=10_05.xlsx&amp;sheet=U0&amp;row=14075&amp;col=6&amp;number=4.1&amp;sourceID=14","4.1")</f>
        <v>4.1</v>
      </c>
      <c r="G14075" s="4" t="str">
        <f>HYPERLINK("http://141.218.60.56/~jnz1568/getInfo.php?workbook=10_05.xlsx&amp;sheet=U0&amp;row=14075&amp;col=7&amp;number=0.000201&amp;sourceID=14","0.000201")</f>
        <v>0.000201</v>
      </c>
    </row>
    <row r="14076" spans="1:7">
      <c r="A14076" s="3"/>
      <c r="B14076" s="3"/>
      <c r="C14076" s="3"/>
      <c r="D14076" s="3"/>
      <c r="E14076" s="3">
        <v>13</v>
      </c>
      <c r="F14076" s="4" t="str">
        <f>HYPERLINK("http://141.218.60.56/~jnz1568/getInfo.php?workbook=10_05.xlsx&amp;sheet=U0&amp;row=14076&amp;col=6&amp;number=4.2&amp;sourceID=14","4.2")</f>
        <v>4.2</v>
      </c>
      <c r="G14076" s="4" t="str">
        <f>HYPERLINK("http://141.218.60.56/~jnz1568/getInfo.php?workbook=10_05.xlsx&amp;sheet=U0&amp;row=14076&amp;col=7&amp;number=0.000196&amp;sourceID=14","0.000196")</f>
        <v>0.000196</v>
      </c>
    </row>
    <row r="14077" spans="1:7">
      <c r="A14077" s="3"/>
      <c r="B14077" s="3"/>
      <c r="C14077" s="3"/>
      <c r="D14077" s="3"/>
      <c r="E14077" s="3">
        <v>14</v>
      </c>
      <c r="F14077" s="4" t="str">
        <f>HYPERLINK("http://141.218.60.56/~jnz1568/getInfo.php?workbook=10_05.xlsx&amp;sheet=U0&amp;row=14077&amp;col=6&amp;number=4.3&amp;sourceID=14","4.3")</f>
        <v>4.3</v>
      </c>
      <c r="G14077" s="4" t="str">
        <f>HYPERLINK("http://141.218.60.56/~jnz1568/getInfo.php?workbook=10_05.xlsx&amp;sheet=U0&amp;row=14077&amp;col=7&amp;number=0.000192&amp;sourceID=14","0.000192")</f>
        <v>0.000192</v>
      </c>
    </row>
    <row r="14078" spans="1:7">
      <c r="A14078" s="3"/>
      <c r="B14078" s="3"/>
      <c r="C14078" s="3"/>
      <c r="D14078" s="3"/>
      <c r="E14078" s="3">
        <v>15</v>
      </c>
      <c r="F14078" s="4" t="str">
        <f>HYPERLINK("http://141.218.60.56/~jnz1568/getInfo.php?workbook=10_05.xlsx&amp;sheet=U0&amp;row=14078&amp;col=6&amp;number=4.4&amp;sourceID=14","4.4")</f>
        <v>4.4</v>
      </c>
      <c r="G14078" s="4" t="str">
        <f>HYPERLINK("http://141.218.60.56/~jnz1568/getInfo.php?workbook=10_05.xlsx&amp;sheet=U0&amp;row=14078&amp;col=7&amp;number=0.000187&amp;sourceID=14","0.000187")</f>
        <v>0.000187</v>
      </c>
    </row>
    <row r="14079" spans="1:7">
      <c r="A14079" s="3"/>
      <c r="B14079" s="3"/>
      <c r="C14079" s="3"/>
      <c r="D14079" s="3"/>
      <c r="E14079" s="3">
        <v>16</v>
      </c>
      <c r="F14079" s="4" t="str">
        <f>HYPERLINK("http://141.218.60.56/~jnz1568/getInfo.php?workbook=10_05.xlsx&amp;sheet=U0&amp;row=14079&amp;col=6&amp;number=4.5&amp;sourceID=14","4.5")</f>
        <v>4.5</v>
      </c>
      <c r="G14079" s="4" t="str">
        <f>HYPERLINK("http://141.218.60.56/~jnz1568/getInfo.php?workbook=10_05.xlsx&amp;sheet=U0&amp;row=14079&amp;col=7&amp;number=0.000181&amp;sourceID=14","0.000181")</f>
        <v>0.000181</v>
      </c>
    </row>
    <row r="14080" spans="1:7">
      <c r="A14080" s="3"/>
      <c r="B14080" s="3"/>
      <c r="C14080" s="3"/>
      <c r="D14080" s="3"/>
      <c r="E14080" s="3">
        <v>17</v>
      </c>
      <c r="F14080" s="4" t="str">
        <f>HYPERLINK("http://141.218.60.56/~jnz1568/getInfo.php?workbook=10_05.xlsx&amp;sheet=U0&amp;row=14080&amp;col=6&amp;number=4.6&amp;sourceID=14","4.6")</f>
        <v>4.6</v>
      </c>
      <c r="G14080" s="4" t="str">
        <f>HYPERLINK("http://141.218.60.56/~jnz1568/getInfo.php?workbook=10_05.xlsx&amp;sheet=U0&amp;row=14080&amp;col=7&amp;number=0.000176&amp;sourceID=14","0.000176")</f>
        <v>0.000176</v>
      </c>
    </row>
    <row r="14081" spans="1:7">
      <c r="A14081" s="3"/>
      <c r="B14081" s="3"/>
      <c r="C14081" s="3"/>
      <c r="D14081" s="3"/>
      <c r="E14081" s="3">
        <v>18</v>
      </c>
      <c r="F14081" s="4" t="str">
        <f>HYPERLINK("http://141.218.60.56/~jnz1568/getInfo.php?workbook=10_05.xlsx&amp;sheet=U0&amp;row=14081&amp;col=6&amp;number=4.7&amp;sourceID=14","4.7")</f>
        <v>4.7</v>
      </c>
      <c r="G14081" s="4" t="str">
        <f>HYPERLINK("http://141.218.60.56/~jnz1568/getInfo.php?workbook=10_05.xlsx&amp;sheet=U0&amp;row=14081&amp;col=7&amp;number=0.000171&amp;sourceID=14","0.000171")</f>
        <v>0.000171</v>
      </c>
    </row>
    <row r="14082" spans="1:7">
      <c r="A14082" s="3"/>
      <c r="B14082" s="3"/>
      <c r="C14082" s="3"/>
      <c r="D14082" s="3"/>
      <c r="E14082" s="3">
        <v>19</v>
      </c>
      <c r="F14082" s="4" t="str">
        <f>HYPERLINK("http://141.218.60.56/~jnz1568/getInfo.php?workbook=10_05.xlsx&amp;sheet=U0&amp;row=14082&amp;col=6&amp;number=4.8&amp;sourceID=14","4.8")</f>
        <v>4.8</v>
      </c>
      <c r="G14082" s="4" t="str">
        <f>HYPERLINK("http://141.218.60.56/~jnz1568/getInfo.php?workbook=10_05.xlsx&amp;sheet=U0&amp;row=14082&amp;col=7&amp;number=0.000166&amp;sourceID=14","0.000166")</f>
        <v>0.000166</v>
      </c>
    </row>
    <row r="14083" spans="1:7">
      <c r="A14083" s="3"/>
      <c r="B14083" s="3"/>
      <c r="C14083" s="3"/>
      <c r="D14083" s="3"/>
      <c r="E14083" s="3">
        <v>20</v>
      </c>
      <c r="F14083" s="4" t="str">
        <f>HYPERLINK("http://141.218.60.56/~jnz1568/getInfo.php?workbook=10_05.xlsx&amp;sheet=U0&amp;row=14083&amp;col=6&amp;number=4.9&amp;sourceID=14","4.9")</f>
        <v>4.9</v>
      </c>
      <c r="G14083" s="4" t="str">
        <f>HYPERLINK("http://141.218.60.56/~jnz1568/getInfo.php?workbook=10_05.xlsx&amp;sheet=U0&amp;row=14083&amp;col=7&amp;number=0.00016&amp;sourceID=14","0.00016")</f>
        <v>0.00016</v>
      </c>
    </row>
    <row r="14084" spans="1:7">
      <c r="A14084" s="3">
        <v>10</v>
      </c>
      <c r="B14084" s="3">
        <v>5</v>
      </c>
      <c r="C14084" s="3">
        <v>4</v>
      </c>
      <c r="D14084" s="3">
        <v>175</v>
      </c>
      <c r="E14084" s="3">
        <v>1</v>
      </c>
      <c r="F14084" s="4" t="str">
        <f>HYPERLINK("http://141.218.60.56/~jnz1568/getInfo.php?workbook=10_05.xlsx&amp;sheet=U0&amp;row=14084&amp;col=6&amp;number=3&amp;sourceID=14","3")</f>
        <v>3</v>
      </c>
      <c r="G14084" s="4" t="str">
        <f>HYPERLINK("http://141.218.60.56/~jnz1568/getInfo.php?workbook=10_05.xlsx&amp;sheet=U0&amp;row=14084&amp;col=7&amp;number=0.00037&amp;sourceID=14","0.00037")</f>
        <v>0.00037</v>
      </c>
    </row>
    <row r="14085" spans="1:7">
      <c r="A14085" s="3"/>
      <c r="B14085" s="3"/>
      <c r="C14085" s="3"/>
      <c r="D14085" s="3"/>
      <c r="E14085" s="3">
        <v>2</v>
      </c>
      <c r="F14085" s="4" t="str">
        <f>HYPERLINK("http://141.218.60.56/~jnz1568/getInfo.php?workbook=10_05.xlsx&amp;sheet=U0&amp;row=14085&amp;col=6&amp;number=3.1&amp;sourceID=14","3.1")</f>
        <v>3.1</v>
      </c>
      <c r="G14085" s="4" t="str">
        <f>HYPERLINK("http://141.218.60.56/~jnz1568/getInfo.php?workbook=10_05.xlsx&amp;sheet=U0&amp;row=14085&amp;col=7&amp;number=0.00037&amp;sourceID=14","0.00037")</f>
        <v>0.00037</v>
      </c>
    </row>
    <row r="14086" spans="1:7">
      <c r="A14086" s="3"/>
      <c r="B14086" s="3"/>
      <c r="C14086" s="3"/>
      <c r="D14086" s="3"/>
      <c r="E14086" s="3">
        <v>3</v>
      </c>
      <c r="F14086" s="4" t="str">
        <f>HYPERLINK("http://141.218.60.56/~jnz1568/getInfo.php?workbook=10_05.xlsx&amp;sheet=U0&amp;row=14086&amp;col=6&amp;number=3.2&amp;sourceID=14","3.2")</f>
        <v>3.2</v>
      </c>
      <c r="G14086" s="4" t="str">
        <f>HYPERLINK("http://141.218.60.56/~jnz1568/getInfo.php?workbook=10_05.xlsx&amp;sheet=U0&amp;row=14086&amp;col=7&amp;number=0.00037&amp;sourceID=14","0.00037")</f>
        <v>0.00037</v>
      </c>
    </row>
    <row r="14087" spans="1:7">
      <c r="A14087" s="3"/>
      <c r="B14087" s="3"/>
      <c r="C14087" s="3"/>
      <c r="D14087" s="3"/>
      <c r="E14087" s="3">
        <v>4</v>
      </c>
      <c r="F14087" s="4" t="str">
        <f>HYPERLINK("http://141.218.60.56/~jnz1568/getInfo.php?workbook=10_05.xlsx&amp;sheet=U0&amp;row=14087&amp;col=6&amp;number=3.3&amp;sourceID=14","3.3")</f>
        <v>3.3</v>
      </c>
      <c r="G14087" s="4" t="str">
        <f>HYPERLINK("http://141.218.60.56/~jnz1568/getInfo.php?workbook=10_05.xlsx&amp;sheet=U0&amp;row=14087&amp;col=7&amp;number=0.00037&amp;sourceID=14","0.00037")</f>
        <v>0.00037</v>
      </c>
    </row>
    <row r="14088" spans="1:7">
      <c r="A14088" s="3"/>
      <c r="B14088" s="3"/>
      <c r="C14088" s="3"/>
      <c r="D14088" s="3"/>
      <c r="E14088" s="3">
        <v>5</v>
      </c>
      <c r="F14088" s="4" t="str">
        <f>HYPERLINK("http://141.218.60.56/~jnz1568/getInfo.php?workbook=10_05.xlsx&amp;sheet=U0&amp;row=14088&amp;col=6&amp;number=3.4&amp;sourceID=14","3.4")</f>
        <v>3.4</v>
      </c>
      <c r="G14088" s="4" t="str">
        <f>HYPERLINK("http://141.218.60.56/~jnz1568/getInfo.php?workbook=10_05.xlsx&amp;sheet=U0&amp;row=14088&amp;col=7&amp;number=0.000369&amp;sourceID=14","0.000369")</f>
        <v>0.000369</v>
      </c>
    </row>
    <row r="14089" spans="1:7">
      <c r="A14089" s="3"/>
      <c r="B14089" s="3"/>
      <c r="C14089" s="3"/>
      <c r="D14089" s="3"/>
      <c r="E14089" s="3">
        <v>6</v>
      </c>
      <c r="F14089" s="4" t="str">
        <f>HYPERLINK("http://141.218.60.56/~jnz1568/getInfo.php?workbook=10_05.xlsx&amp;sheet=U0&amp;row=14089&amp;col=6&amp;number=3.5&amp;sourceID=14","3.5")</f>
        <v>3.5</v>
      </c>
      <c r="G14089" s="4" t="str">
        <f>HYPERLINK("http://141.218.60.56/~jnz1568/getInfo.php?workbook=10_05.xlsx&amp;sheet=U0&amp;row=14089&amp;col=7&amp;number=0.000369&amp;sourceID=14","0.000369")</f>
        <v>0.000369</v>
      </c>
    </row>
    <row r="14090" spans="1:7">
      <c r="A14090" s="3"/>
      <c r="B14090" s="3"/>
      <c r="C14090" s="3"/>
      <c r="D14090" s="3"/>
      <c r="E14090" s="3">
        <v>7</v>
      </c>
      <c r="F14090" s="4" t="str">
        <f>HYPERLINK("http://141.218.60.56/~jnz1568/getInfo.php?workbook=10_05.xlsx&amp;sheet=U0&amp;row=14090&amp;col=6&amp;number=3.6&amp;sourceID=14","3.6")</f>
        <v>3.6</v>
      </c>
      <c r="G14090" s="4" t="str">
        <f>HYPERLINK("http://141.218.60.56/~jnz1568/getInfo.php?workbook=10_05.xlsx&amp;sheet=U0&amp;row=14090&amp;col=7&amp;number=0.000368&amp;sourceID=14","0.000368")</f>
        <v>0.000368</v>
      </c>
    </row>
    <row r="14091" spans="1:7">
      <c r="A14091" s="3"/>
      <c r="B14091" s="3"/>
      <c r="C14091" s="3"/>
      <c r="D14091" s="3"/>
      <c r="E14091" s="3">
        <v>8</v>
      </c>
      <c r="F14091" s="4" t="str">
        <f>HYPERLINK("http://141.218.60.56/~jnz1568/getInfo.php?workbook=10_05.xlsx&amp;sheet=U0&amp;row=14091&amp;col=6&amp;number=3.7&amp;sourceID=14","3.7")</f>
        <v>3.7</v>
      </c>
      <c r="G14091" s="4" t="str">
        <f>HYPERLINK("http://141.218.60.56/~jnz1568/getInfo.php?workbook=10_05.xlsx&amp;sheet=U0&amp;row=14091&amp;col=7&amp;number=0.000367&amp;sourceID=14","0.000367")</f>
        <v>0.000367</v>
      </c>
    </row>
    <row r="14092" spans="1:7">
      <c r="A14092" s="3"/>
      <c r="B14092" s="3"/>
      <c r="C14092" s="3"/>
      <c r="D14092" s="3"/>
      <c r="E14092" s="3">
        <v>9</v>
      </c>
      <c r="F14092" s="4" t="str">
        <f>HYPERLINK("http://141.218.60.56/~jnz1568/getInfo.php?workbook=10_05.xlsx&amp;sheet=U0&amp;row=14092&amp;col=6&amp;number=3.8&amp;sourceID=14","3.8")</f>
        <v>3.8</v>
      </c>
      <c r="G14092" s="4" t="str">
        <f>HYPERLINK("http://141.218.60.56/~jnz1568/getInfo.php?workbook=10_05.xlsx&amp;sheet=U0&amp;row=14092&amp;col=7&amp;number=0.000366&amp;sourceID=14","0.000366")</f>
        <v>0.000366</v>
      </c>
    </row>
    <row r="14093" spans="1:7">
      <c r="A14093" s="3"/>
      <c r="B14093" s="3"/>
      <c r="C14093" s="3"/>
      <c r="D14093" s="3"/>
      <c r="E14093" s="3">
        <v>10</v>
      </c>
      <c r="F14093" s="4" t="str">
        <f>HYPERLINK("http://141.218.60.56/~jnz1568/getInfo.php?workbook=10_05.xlsx&amp;sheet=U0&amp;row=14093&amp;col=6&amp;number=3.9&amp;sourceID=14","3.9")</f>
        <v>3.9</v>
      </c>
      <c r="G14093" s="4" t="str">
        <f>HYPERLINK("http://141.218.60.56/~jnz1568/getInfo.php?workbook=10_05.xlsx&amp;sheet=U0&amp;row=14093&amp;col=7&amp;number=0.000365&amp;sourceID=14","0.000365")</f>
        <v>0.000365</v>
      </c>
    </row>
    <row r="14094" spans="1:7">
      <c r="A14094" s="3"/>
      <c r="B14094" s="3"/>
      <c r="C14094" s="3"/>
      <c r="D14094" s="3"/>
      <c r="E14094" s="3">
        <v>11</v>
      </c>
      <c r="F14094" s="4" t="str">
        <f>HYPERLINK("http://141.218.60.56/~jnz1568/getInfo.php?workbook=10_05.xlsx&amp;sheet=U0&amp;row=14094&amp;col=6&amp;number=4&amp;sourceID=14","4")</f>
        <v>4</v>
      </c>
      <c r="G14094" s="4" t="str">
        <f>HYPERLINK("http://141.218.60.56/~jnz1568/getInfo.php?workbook=10_05.xlsx&amp;sheet=U0&amp;row=14094&amp;col=7&amp;number=0.000363&amp;sourceID=14","0.000363")</f>
        <v>0.000363</v>
      </c>
    </row>
    <row r="14095" spans="1:7">
      <c r="A14095" s="3"/>
      <c r="B14095" s="3"/>
      <c r="C14095" s="3"/>
      <c r="D14095" s="3"/>
      <c r="E14095" s="3">
        <v>12</v>
      </c>
      <c r="F14095" s="4" t="str">
        <f>HYPERLINK("http://141.218.60.56/~jnz1568/getInfo.php?workbook=10_05.xlsx&amp;sheet=U0&amp;row=14095&amp;col=6&amp;number=4.1&amp;sourceID=14","4.1")</f>
        <v>4.1</v>
      </c>
      <c r="G14095" s="4" t="str">
        <f>HYPERLINK("http://141.218.60.56/~jnz1568/getInfo.php?workbook=10_05.xlsx&amp;sheet=U0&amp;row=14095&amp;col=7&amp;number=0.000361&amp;sourceID=14","0.000361")</f>
        <v>0.000361</v>
      </c>
    </row>
    <row r="14096" spans="1:7">
      <c r="A14096" s="3"/>
      <c r="B14096" s="3"/>
      <c r="C14096" s="3"/>
      <c r="D14096" s="3"/>
      <c r="E14096" s="3">
        <v>13</v>
      </c>
      <c r="F14096" s="4" t="str">
        <f>HYPERLINK("http://141.218.60.56/~jnz1568/getInfo.php?workbook=10_05.xlsx&amp;sheet=U0&amp;row=14096&amp;col=6&amp;number=4.2&amp;sourceID=14","4.2")</f>
        <v>4.2</v>
      </c>
      <c r="G14096" s="4" t="str">
        <f>HYPERLINK("http://141.218.60.56/~jnz1568/getInfo.php?workbook=10_05.xlsx&amp;sheet=U0&amp;row=14096&amp;col=7&amp;number=0.000359&amp;sourceID=14","0.000359")</f>
        <v>0.000359</v>
      </c>
    </row>
    <row r="14097" spans="1:7">
      <c r="A14097" s="3"/>
      <c r="B14097" s="3"/>
      <c r="C14097" s="3"/>
      <c r="D14097" s="3"/>
      <c r="E14097" s="3">
        <v>14</v>
      </c>
      <c r="F14097" s="4" t="str">
        <f>HYPERLINK("http://141.218.60.56/~jnz1568/getInfo.php?workbook=10_05.xlsx&amp;sheet=U0&amp;row=14097&amp;col=6&amp;number=4.3&amp;sourceID=14","4.3")</f>
        <v>4.3</v>
      </c>
      <c r="G14097" s="4" t="str">
        <f>HYPERLINK("http://141.218.60.56/~jnz1568/getInfo.php?workbook=10_05.xlsx&amp;sheet=U0&amp;row=14097&amp;col=7&amp;number=0.000356&amp;sourceID=14","0.000356")</f>
        <v>0.000356</v>
      </c>
    </row>
    <row r="14098" spans="1:7">
      <c r="A14098" s="3"/>
      <c r="B14098" s="3"/>
      <c r="C14098" s="3"/>
      <c r="D14098" s="3"/>
      <c r="E14098" s="3">
        <v>15</v>
      </c>
      <c r="F14098" s="4" t="str">
        <f>HYPERLINK("http://141.218.60.56/~jnz1568/getInfo.php?workbook=10_05.xlsx&amp;sheet=U0&amp;row=14098&amp;col=6&amp;number=4.4&amp;sourceID=14","4.4")</f>
        <v>4.4</v>
      </c>
      <c r="G14098" s="4" t="str">
        <f>HYPERLINK("http://141.218.60.56/~jnz1568/getInfo.php?workbook=10_05.xlsx&amp;sheet=U0&amp;row=14098&amp;col=7&amp;number=0.000353&amp;sourceID=14","0.000353")</f>
        <v>0.000353</v>
      </c>
    </row>
    <row r="14099" spans="1:7">
      <c r="A14099" s="3"/>
      <c r="B14099" s="3"/>
      <c r="C14099" s="3"/>
      <c r="D14099" s="3"/>
      <c r="E14099" s="3">
        <v>16</v>
      </c>
      <c r="F14099" s="4" t="str">
        <f>HYPERLINK("http://141.218.60.56/~jnz1568/getInfo.php?workbook=10_05.xlsx&amp;sheet=U0&amp;row=14099&amp;col=6&amp;number=4.5&amp;sourceID=14","4.5")</f>
        <v>4.5</v>
      </c>
      <c r="G14099" s="4" t="str">
        <f>HYPERLINK("http://141.218.60.56/~jnz1568/getInfo.php?workbook=10_05.xlsx&amp;sheet=U0&amp;row=14099&amp;col=7&amp;number=0.00035&amp;sourceID=14","0.00035")</f>
        <v>0.00035</v>
      </c>
    </row>
    <row r="14100" spans="1:7">
      <c r="A14100" s="3"/>
      <c r="B14100" s="3"/>
      <c r="C14100" s="3"/>
      <c r="D14100" s="3"/>
      <c r="E14100" s="3">
        <v>17</v>
      </c>
      <c r="F14100" s="4" t="str">
        <f>HYPERLINK("http://141.218.60.56/~jnz1568/getInfo.php?workbook=10_05.xlsx&amp;sheet=U0&amp;row=14100&amp;col=6&amp;number=4.6&amp;sourceID=14","4.6")</f>
        <v>4.6</v>
      </c>
      <c r="G14100" s="4" t="str">
        <f>HYPERLINK("http://141.218.60.56/~jnz1568/getInfo.php?workbook=10_05.xlsx&amp;sheet=U0&amp;row=14100&amp;col=7&amp;number=0.000347&amp;sourceID=14","0.000347")</f>
        <v>0.000347</v>
      </c>
    </row>
    <row r="14101" spans="1:7">
      <c r="A14101" s="3"/>
      <c r="B14101" s="3"/>
      <c r="C14101" s="3"/>
      <c r="D14101" s="3"/>
      <c r="E14101" s="3">
        <v>18</v>
      </c>
      <c r="F14101" s="4" t="str">
        <f>HYPERLINK("http://141.218.60.56/~jnz1568/getInfo.php?workbook=10_05.xlsx&amp;sheet=U0&amp;row=14101&amp;col=6&amp;number=4.7&amp;sourceID=14","4.7")</f>
        <v>4.7</v>
      </c>
      <c r="G14101" s="4" t="str">
        <f>HYPERLINK("http://141.218.60.56/~jnz1568/getInfo.php?workbook=10_05.xlsx&amp;sheet=U0&amp;row=14101&amp;col=7&amp;number=0.000343&amp;sourceID=14","0.000343")</f>
        <v>0.000343</v>
      </c>
    </row>
    <row r="14102" spans="1:7">
      <c r="A14102" s="3"/>
      <c r="B14102" s="3"/>
      <c r="C14102" s="3"/>
      <c r="D14102" s="3"/>
      <c r="E14102" s="3">
        <v>19</v>
      </c>
      <c r="F14102" s="4" t="str">
        <f>HYPERLINK("http://141.218.60.56/~jnz1568/getInfo.php?workbook=10_05.xlsx&amp;sheet=U0&amp;row=14102&amp;col=6&amp;number=4.8&amp;sourceID=14","4.8")</f>
        <v>4.8</v>
      </c>
      <c r="G14102" s="4" t="str">
        <f>HYPERLINK("http://141.218.60.56/~jnz1568/getInfo.php?workbook=10_05.xlsx&amp;sheet=U0&amp;row=14102&amp;col=7&amp;number=0.000338&amp;sourceID=14","0.000338")</f>
        <v>0.000338</v>
      </c>
    </row>
    <row r="14103" spans="1:7">
      <c r="A14103" s="3"/>
      <c r="B14103" s="3"/>
      <c r="C14103" s="3"/>
      <c r="D14103" s="3"/>
      <c r="E14103" s="3">
        <v>20</v>
      </c>
      <c r="F14103" s="4" t="str">
        <f>HYPERLINK("http://141.218.60.56/~jnz1568/getInfo.php?workbook=10_05.xlsx&amp;sheet=U0&amp;row=14103&amp;col=6&amp;number=4.9&amp;sourceID=14","4.9")</f>
        <v>4.9</v>
      </c>
      <c r="G14103" s="4" t="str">
        <f>HYPERLINK("http://141.218.60.56/~jnz1568/getInfo.php?workbook=10_05.xlsx&amp;sheet=U0&amp;row=14103&amp;col=7&amp;number=0.000332&amp;sourceID=14","0.000332")</f>
        <v>0.000332</v>
      </c>
    </row>
    <row r="14104" spans="1:7">
      <c r="A14104" s="3">
        <v>10</v>
      </c>
      <c r="B14104" s="3">
        <v>5</v>
      </c>
      <c r="C14104" s="3">
        <v>4</v>
      </c>
      <c r="D14104" s="3">
        <v>176</v>
      </c>
      <c r="E14104" s="3">
        <v>1</v>
      </c>
      <c r="F14104" s="4" t="str">
        <f>HYPERLINK("http://141.218.60.56/~jnz1568/getInfo.php?workbook=10_05.xlsx&amp;sheet=U0&amp;row=14104&amp;col=6&amp;number=3&amp;sourceID=14","3")</f>
        <v>3</v>
      </c>
      <c r="G14104" s="4" t="str">
        <f>HYPERLINK("http://141.218.60.56/~jnz1568/getInfo.php?workbook=10_05.xlsx&amp;sheet=U0&amp;row=14104&amp;col=7&amp;number=0.000382&amp;sourceID=14","0.000382")</f>
        <v>0.000382</v>
      </c>
    </row>
    <row r="14105" spans="1:7">
      <c r="A14105" s="3"/>
      <c r="B14105" s="3"/>
      <c r="C14105" s="3"/>
      <c r="D14105" s="3"/>
      <c r="E14105" s="3">
        <v>2</v>
      </c>
      <c r="F14105" s="4" t="str">
        <f>HYPERLINK("http://141.218.60.56/~jnz1568/getInfo.php?workbook=10_05.xlsx&amp;sheet=U0&amp;row=14105&amp;col=6&amp;number=3.1&amp;sourceID=14","3.1")</f>
        <v>3.1</v>
      </c>
      <c r="G14105" s="4" t="str">
        <f>HYPERLINK("http://141.218.60.56/~jnz1568/getInfo.php?workbook=10_05.xlsx&amp;sheet=U0&amp;row=14105&amp;col=7&amp;number=0.000382&amp;sourceID=14","0.000382")</f>
        <v>0.000382</v>
      </c>
    </row>
    <row r="14106" spans="1:7">
      <c r="A14106" s="3"/>
      <c r="B14106" s="3"/>
      <c r="C14106" s="3"/>
      <c r="D14106" s="3"/>
      <c r="E14106" s="3">
        <v>3</v>
      </c>
      <c r="F14106" s="4" t="str">
        <f>HYPERLINK("http://141.218.60.56/~jnz1568/getInfo.php?workbook=10_05.xlsx&amp;sheet=U0&amp;row=14106&amp;col=6&amp;number=3.2&amp;sourceID=14","3.2")</f>
        <v>3.2</v>
      </c>
      <c r="G14106" s="4" t="str">
        <f>HYPERLINK("http://141.218.60.56/~jnz1568/getInfo.php?workbook=10_05.xlsx&amp;sheet=U0&amp;row=14106&amp;col=7&amp;number=0.000381&amp;sourceID=14","0.000381")</f>
        <v>0.000381</v>
      </c>
    </row>
    <row r="14107" spans="1:7">
      <c r="A14107" s="3"/>
      <c r="B14107" s="3"/>
      <c r="C14107" s="3"/>
      <c r="D14107" s="3"/>
      <c r="E14107" s="3">
        <v>4</v>
      </c>
      <c r="F14107" s="4" t="str">
        <f>HYPERLINK("http://141.218.60.56/~jnz1568/getInfo.php?workbook=10_05.xlsx&amp;sheet=U0&amp;row=14107&amp;col=6&amp;number=3.3&amp;sourceID=14","3.3")</f>
        <v>3.3</v>
      </c>
      <c r="G14107" s="4" t="str">
        <f>HYPERLINK("http://141.218.60.56/~jnz1568/getInfo.php?workbook=10_05.xlsx&amp;sheet=U0&amp;row=14107&amp;col=7&amp;number=0.000381&amp;sourceID=14","0.000381")</f>
        <v>0.000381</v>
      </c>
    </row>
    <row r="14108" spans="1:7">
      <c r="A14108" s="3"/>
      <c r="B14108" s="3"/>
      <c r="C14108" s="3"/>
      <c r="D14108" s="3"/>
      <c r="E14108" s="3">
        <v>5</v>
      </c>
      <c r="F14108" s="4" t="str">
        <f>HYPERLINK("http://141.218.60.56/~jnz1568/getInfo.php?workbook=10_05.xlsx&amp;sheet=U0&amp;row=14108&amp;col=6&amp;number=3.4&amp;sourceID=14","3.4")</f>
        <v>3.4</v>
      </c>
      <c r="G14108" s="4" t="str">
        <f>HYPERLINK("http://141.218.60.56/~jnz1568/getInfo.php?workbook=10_05.xlsx&amp;sheet=U0&amp;row=14108&amp;col=7&amp;number=0.000381&amp;sourceID=14","0.000381")</f>
        <v>0.000381</v>
      </c>
    </row>
    <row r="14109" spans="1:7">
      <c r="A14109" s="3"/>
      <c r="B14109" s="3"/>
      <c r="C14109" s="3"/>
      <c r="D14109" s="3"/>
      <c r="E14109" s="3">
        <v>6</v>
      </c>
      <c r="F14109" s="4" t="str">
        <f>HYPERLINK("http://141.218.60.56/~jnz1568/getInfo.php?workbook=10_05.xlsx&amp;sheet=U0&amp;row=14109&amp;col=6&amp;number=3.5&amp;sourceID=14","3.5")</f>
        <v>3.5</v>
      </c>
      <c r="G14109" s="4" t="str">
        <f>HYPERLINK("http://141.218.60.56/~jnz1568/getInfo.php?workbook=10_05.xlsx&amp;sheet=U0&amp;row=14109&amp;col=7&amp;number=0.00038&amp;sourceID=14","0.00038")</f>
        <v>0.00038</v>
      </c>
    </row>
    <row r="14110" spans="1:7">
      <c r="A14110" s="3"/>
      <c r="B14110" s="3"/>
      <c r="C14110" s="3"/>
      <c r="D14110" s="3"/>
      <c r="E14110" s="3">
        <v>7</v>
      </c>
      <c r="F14110" s="4" t="str">
        <f>HYPERLINK("http://141.218.60.56/~jnz1568/getInfo.php?workbook=10_05.xlsx&amp;sheet=U0&amp;row=14110&amp;col=6&amp;number=3.6&amp;sourceID=14","3.6")</f>
        <v>3.6</v>
      </c>
      <c r="G14110" s="4" t="str">
        <f>HYPERLINK("http://141.218.60.56/~jnz1568/getInfo.php?workbook=10_05.xlsx&amp;sheet=U0&amp;row=14110&amp;col=7&amp;number=0.00038&amp;sourceID=14","0.00038")</f>
        <v>0.00038</v>
      </c>
    </row>
    <row r="14111" spans="1:7">
      <c r="A14111" s="3"/>
      <c r="B14111" s="3"/>
      <c r="C14111" s="3"/>
      <c r="D14111" s="3"/>
      <c r="E14111" s="3">
        <v>8</v>
      </c>
      <c r="F14111" s="4" t="str">
        <f>HYPERLINK("http://141.218.60.56/~jnz1568/getInfo.php?workbook=10_05.xlsx&amp;sheet=U0&amp;row=14111&amp;col=6&amp;number=3.7&amp;sourceID=14","3.7")</f>
        <v>3.7</v>
      </c>
      <c r="G14111" s="4" t="str">
        <f>HYPERLINK("http://141.218.60.56/~jnz1568/getInfo.php?workbook=10_05.xlsx&amp;sheet=U0&amp;row=14111&amp;col=7&amp;number=0.000379&amp;sourceID=14","0.000379")</f>
        <v>0.000379</v>
      </c>
    </row>
    <row r="14112" spans="1:7">
      <c r="A14112" s="3"/>
      <c r="B14112" s="3"/>
      <c r="C14112" s="3"/>
      <c r="D14112" s="3"/>
      <c r="E14112" s="3">
        <v>9</v>
      </c>
      <c r="F14112" s="4" t="str">
        <f>HYPERLINK("http://141.218.60.56/~jnz1568/getInfo.php?workbook=10_05.xlsx&amp;sheet=U0&amp;row=14112&amp;col=6&amp;number=3.8&amp;sourceID=14","3.8")</f>
        <v>3.8</v>
      </c>
      <c r="G14112" s="4" t="str">
        <f>HYPERLINK("http://141.218.60.56/~jnz1568/getInfo.php?workbook=10_05.xlsx&amp;sheet=U0&amp;row=14112&amp;col=7&amp;number=0.000378&amp;sourceID=14","0.000378")</f>
        <v>0.000378</v>
      </c>
    </row>
    <row r="14113" spans="1:7">
      <c r="A14113" s="3"/>
      <c r="B14113" s="3"/>
      <c r="C14113" s="3"/>
      <c r="D14113" s="3"/>
      <c r="E14113" s="3">
        <v>10</v>
      </c>
      <c r="F14113" s="4" t="str">
        <f>HYPERLINK("http://141.218.60.56/~jnz1568/getInfo.php?workbook=10_05.xlsx&amp;sheet=U0&amp;row=14113&amp;col=6&amp;number=3.9&amp;sourceID=14","3.9")</f>
        <v>3.9</v>
      </c>
      <c r="G14113" s="4" t="str">
        <f>HYPERLINK("http://141.218.60.56/~jnz1568/getInfo.php?workbook=10_05.xlsx&amp;sheet=U0&amp;row=14113&amp;col=7&amp;number=0.000377&amp;sourceID=14","0.000377")</f>
        <v>0.000377</v>
      </c>
    </row>
    <row r="14114" spans="1:7">
      <c r="A14114" s="3"/>
      <c r="B14114" s="3"/>
      <c r="C14114" s="3"/>
      <c r="D14114" s="3"/>
      <c r="E14114" s="3">
        <v>11</v>
      </c>
      <c r="F14114" s="4" t="str">
        <f>HYPERLINK("http://141.218.60.56/~jnz1568/getInfo.php?workbook=10_05.xlsx&amp;sheet=U0&amp;row=14114&amp;col=6&amp;number=4&amp;sourceID=14","4")</f>
        <v>4</v>
      </c>
      <c r="G14114" s="4" t="str">
        <f>HYPERLINK("http://141.218.60.56/~jnz1568/getInfo.php?workbook=10_05.xlsx&amp;sheet=U0&amp;row=14114&amp;col=7&amp;number=0.000376&amp;sourceID=14","0.000376")</f>
        <v>0.000376</v>
      </c>
    </row>
    <row r="14115" spans="1:7">
      <c r="A14115" s="3"/>
      <c r="B14115" s="3"/>
      <c r="C14115" s="3"/>
      <c r="D14115" s="3"/>
      <c r="E14115" s="3">
        <v>12</v>
      </c>
      <c r="F14115" s="4" t="str">
        <f>HYPERLINK("http://141.218.60.56/~jnz1568/getInfo.php?workbook=10_05.xlsx&amp;sheet=U0&amp;row=14115&amp;col=6&amp;number=4.1&amp;sourceID=14","4.1")</f>
        <v>4.1</v>
      </c>
      <c r="G14115" s="4" t="str">
        <f>HYPERLINK("http://141.218.60.56/~jnz1568/getInfo.php?workbook=10_05.xlsx&amp;sheet=U0&amp;row=14115&amp;col=7&amp;number=0.000375&amp;sourceID=14","0.000375")</f>
        <v>0.000375</v>
      </c>
    </row>
    <row r="14116" spans="1:7">
      <c r="A14116" s="3"/>
      <c r="B14116" s="3"/>
      <c r="C14116" s="3"/>
      <c r="D14116" s="3"/>
      <c r="E14116" s="3">
        <v>13</v>
      </c>
      <c r="F14116" s="4" t="str">
        <f>HYPERLINK("http://141.218.60.56/~jnz1568/getInfo.php?workbook=10_05.xlsx&amp;sheet=U0&amp;row=14116&amp;col=6&amp;number=4.2&amp;sourceID=14","4.2")</f>
        <v>4.2</v>
      </c>
      <c r="G14116" s="4" t="str">
        <f>HYPERLINK("http://141.218.60.56/~jnz1568/getInfo.php?workbook=10_05.xlsx&amp;sheet=U0&amp;row=14116&amp;col=7&amp;number=0.000373&amp;sourceID=14","0.000373")</f>
        <v>0.000373</v>
      </c>
    </row>
    <row r="14117" spans="1:7">
      <c r="A14117" s="3"/>
      <c r="B14117" s="3"/>
      <c r="C14117" s="3"/>
      <c r="D14117" s="3"/>
      <c r="E14117" s="3">
        <v>14</v>
      </c>
      <c r="F14117" s="4" t="str">
        <f>HYPERLINK("http://141.218.60.56/~jnz1568/getInfo.php?workbook=10_05.xlsx&amp;sheet=U0&amp;row=14117&amp;col=6&amp;number=4.3&amp;sourceID=14","4.3")</f>
        <v>4.3</v>
      </c>
      <c r="G14117" s="4" t="str">
        <f>HYPERLINK("http://141.218.60.56/~jnz1568/getInfo.php?workbook=10_05.xlsx&amp;sheet=U0&amp;row=14117&amp;col=7&amp;number=0.000371&amp;sourceID=14","0.000371")</f>
        <v>0.000371</v>
      </c>
    </row>
    <row r="14118" spans="1:7">
      <c r="A14118" s="3"/>
      <c r="B14118" s="3"/>
      <c r="C14118" s="3"/>
      <c r="D14118" s="3"/>
      <c r="E14118" s="3">
        <v>15</v>
      </c>
      <c r="F14118" s="4" t="str">
        <f>HYPERLINK("http://141.218.60.56/~jnz1568/getInfo.php?workbook=10_05.xlsx&amp;sheet=U0&amp;row=14118&amp;col=6&amp;number=4.4&amp;sourceID=14","4.4")</f>
        <v>4.4</v>
      </c>
      <c r="G14118" s="4" t="str">
        <f>HYPERLINK("http://141.218.60.56/~jnz1568/getInfo.php?workbook=10_05.xlsx&amp;sheet=U0&amp;row=14118&amp;col=7&amp;number=0.000368&amp;sourceID=14","0.000368")</f>
        <v>0.000368</v>
      </c>
    </row>
    <row r="14119" spans="1:7">
      <c r="A14119" s="3"/>
      <c r="B14119" s="3"/>
      <c r="C14119" s="3"/>
      <c r="D14119" s="3"/>
      <c r="E14119" s="3">
        <v>16</v>
      </c>
      <c r="F14119" s="4" t="str">
        <f>HYPERLINK("http://141.218.60.56/~jnz1568/getInfo.php?workbook=10_05.xlsx&amp;sheet=U0&amp;row=14119&amp;col=6&amp;number=4.5&amp;sourceID=14","4.5")</f>
        <v>4.5</v>
      </c>
      <c r="G14119" s="4" t="str">
        <f>HYPERLINK("http://141.218.60.56/~jnz1568/getInfo.php?workbook=10_05.xlsx&amp;sheet=U0&amp;row=14119&amp;col=7&amp;number=0.000365&amp;sourceID=14","0.000365")</f>
        <v>0.000365</v>
      </c>
    </row>
    <row r="14120" spans="1:7">
      <c r="A14120" s="3"/>
      <c r="B14120" s="3"/>
      <c r="C14120" s="3"/>
      <c r="D14120" s="3"/>
      <c r="E14120" s="3">
        <v>17</v>
      </c>
      <c r="F14120" s="4" t="str">
        <f>HYPERLINK("http://141.218.60.56/~jnz1568/getInfo.php?workbook=10_05.xlsx&amp;sheet=U0&amp;row=14120&amp;col=6&amp;number=4.6&amp;sourceID=14","4.6")</f>
        <v>4.6</v>
      </c>
      <c r="G14120" s="4" t="str">
        <f>HYPERLINK("http://141.218.60.56/~jnz1568/getInfo.php?workbook=10_05.xlsx&amp;sheet=U0&amp;row=14120&amp;col=7&amp;number=0.000361&amp;sourceID=14","0.000361")</f>
        <v>0.000361</v>
      </c>
    </row>
    <row r="14121" spans="1:7">
      <c r="A14121" s="3"/>
      <c r="B14121" s="3"/>
      <c r="C14121" s="3"/>
      <c r="D14121" s="3"/>
      <c r="E14121" s="3">
        <v>18</v>
      </c>
      <c r="F14121" s="4" t="str">
        <f>HYPERLINK("http://141.218.60.56/~jnz1568/getInfo.php?workbook=10_05.xlsx&amp;sheet=U0&amp;row=14121&amp;col=6&amp;number=4.7&amp;sourceID=14","4.7")</f>
        <v>4.7</v>
      </c>
      <c r="G14121" s="4" t="str">
        <f>HYPERLINK("http://141.218.60.56/~jnz1568/getInfo.php?workbook=10_05.xlsx&amp;sheet=U0&amp;row=14121&amp;col=7&amp;number=0.000357&amp;sourceID=14","0.000357")</f>
        <v>0.000357</v>
      </c>
    </row>
    <row r="14122" spans="1:7">
      <c r="A14122" s="3"/>
      <c r="B14122" s="3"/>
      <c r="C14122" s="3"/>
      <c r="D14122" s="3"/>
      <c r="E14122" s="3">
        <v>19</v>
      </c>
      <c r="F14122" s="4" t="str">
        <f>HYPERLINK("http://141.218.60.56/~jnz1568/getInfo.php?workbook=10_05.xlsx&amp;sheet=U0&amp;row=14122&amp;col=6&amp;number=4.8&amp;sourceID=14","4.8")</f>
        <v>4.8</v>
      </c>
      <c r="G14122" s="4" t="str">
        <f>HYPERLINK("http://141.218.60.56/~jnz1568/getInfo.php?workbook=10_05.xlsx&amp;sheet=U0&amp;row=14122&amp;col=7&amp;number=0.000352&amp;sourceID=14","0.000352")</f>
        <v>0.000352</v>
      </c>
    </row>
    <row r="14123" spans="1:7">
      <c r="A14123" s="3"/>
      <c r="B14123" s="3"/>
      <c r="C14123" s="3"/>
      <c r="D14123" s="3"/>
      <c r="E14123" s="3">
        <v>20</v>
      </c>
      <c r="F14123" s="4" t="str">
        <f>HYPERLINK("http://141.218.60.56/~jnz1568/getInfo.php?workbook=10_05.xlsx&amp;sheet=U0&amp;row=14123&amp;col=6&amp;number=4.9&amp;sourceID=14","4.9")</f>
        <v>4.9</v>
      </c>
      <c r="G14123" s="4" t="str">
        <f>HYPERLINK("http://141.218.60.56/~jnz1568/getInfo.php?workbook=10_05.xlsx&amp;sheet=U0&amp;row=14123&amp;col=7&amp;number=0.000345&amp;sourceID=14","0.000345")</f>
        <v>0.000345</v>
      </c>
    </row>
    <row r="14124" spans="1:7">
      <c r="A14124" s="3">
        <v>10</v>
      </c>
      <c r="B14124" s="3">
        <v>5</v>
      </c>
      <c r="C14124" s="3">
        <v>4</v>
      </c>
      <c r="D14124" s="3">
        <v>177</v>
      </c>
      <c r="E14124" s="3">
        <v>1</v>
      </c>
      <c r="F14124" s="4" t="str">
        <f>HYPERLINK("http://141.218.60.56/~jnz1568/getInfo.php?workbook=10_05.xlsx&amp;sheet=U0&amp;row=14124&amp;col=6&amp;number=3&amp;sourceID=14","3")</f>
        <v>3</v>
      </c>
      <c r="G14124" s="4" t="str">
        <f>HYPERLINK("http://141.218.60.56/~jnz1568/getInfo.php?workbook=10_05.xlsx&amp;sheet=U0&amp;row=14124&amp;col=7&amp;number=0.000133&amp;sourceID=14","0.000133")</f>
        <v>0.000133</v>
      </c>
    </row>
    <row r="14125" spans="1:7">
      <c r="A14125" s="3"/>
      <c r="B14125" s="3"/>
      <c r="C14125" s="3"/>
      <c r="D14125" s="3"/>
      <c r="E14125" s="3">
        <v>2</v>
      </c>
      <c r="F14125" s="4" t="str">
        <f>HYPERLINK("http://141.218.60.56/~jnz1568/getInfo.php?workbook=10_05.xlsx&amp;sheet=U0&amp;row=14125&amp;col=6&amp;number=3.1&amp;sourceID=14","3.1")</f>
        <v>3.1</v>
      </c>
      <c r="G14125" s="4" t="str">
        <f>HYPERLINK("http://141.218.60.56/~jnz1568/getInfo.php?workbook=10_05.xlsx&amp;sheet=U0&amp;row=14125&amp;col=7&amp;number=0.000133&amp;sourceID=14","0.000133")</f>
        <v>0.000133</v>
      </c>
    </row>
    <row r="14126" spans="1:7">
      <c r="A14126" s="3"/>
      <c r="B14126" s="3"/>
      <c r="C14126" s="3"/>
      <c r="D14126" s="3"/>
      <c r="E14126" s="3">
        <v>3</v>
      </c>
      <c r="F14126" s="4" t="str">
        <f>HYPERLINK("http://141.218.60.56/~jnz1568/getInfo.php?workbook=10_05.xlsx&amp;sheet=U0&amp;row=14126&amp;col=6&amp;number=3.2&amp;sourceID=14","3.2")</f>
        <v>3.2</v>
      </c>
      <c r="G14126" s="4" t="str">
        <f>HYPERLINK("http://141.218.60.56/~jnz1568/getInfo.php?workbook=10_05.xlsx&amp;sheet=U0&amp;row=14126&amp;col=7&amp;number=0.000133&amp;sourceID=14","0.000133")</f>
        <v>0.000133</v>
      </c>
    </row>
    <row r="14127" spans="1:7">
      <c r="A14127" s="3"/>
      <c r="B14127" s="3"/>
      <c r="C14127" s="3"/>
      <c r="D14127" s="3"/>
      <c r="E14127" s="3">
        <v>4</v>
      </c>
      <c r="F14127" s="4" t="str">
        <f>HYPERLINK("http://141.218.60.56/~jnz1568/getInfo.php?workbook=10_05.xlsx&amp;sheet=U0&amp;row=14127&amp;col=6&amp;number=3.3&amp;sourceID=14","3.3")</f>
        <v>3.3</v>
      </c>
      <c r="G14127" s="4" t="str">
        <f>HYPERLINK("http://141.218.60.56/~jnz1568/getInfo.php?workbook=10_05.xlsx&amp;sheet=U0&amp;row=14127&amp;col=7&amp;number=0.000133&amp;sourceID=14","0.000133")</f>
        <v>0.000133</v>
      </c>
    </row>
    <row r="14128" spans="1:7">
      <c r="A14128" s="3"/>
      <c r="B14128" s="3"/>
      <c r="C14128" s="3"/>
      <c r="D14128" s="3"/>
      <c r="E14128" s="3">
        <v>5</v>
      </c>
      <c r="F14128" s="4" t="str">
        <f>HYPERLINK("http://141.218.60.56/~jnz1568/getInfo.php?workbook=10_05.xlsx&amp;sheet=U0&amp;row=14128&amp;col=6&amp;number=3.4&amp;sourceID=14","3.4")</f>
        <v>3.4</v>
      </c>
      <c r="G14128" s="4" t="str">
        <f>HYPERLINK("http://141.218.60.56/~jnz1568/getInfo.php?workbook=10_05.xlsx&amp;sheet=U0&amp;row=14128&amp;col=7&amp;number=0.000132&amp;sourceID=14","0.000132")</f>
        <v>0.000132</v>
      </c>
    </row>
    <row r="14129" spans="1:7">
      <c r="A14129" s="3"/>
      <c r="B14129" s="3"/>
      <c r="C14129" s="3"/>
      <c r="D14129" s="3"/>
      <c r="E14129" s="3">
        <v>6</v>
      </c>
      <c r="F14129" s="4" t="str">
        <f>HYPERLINK("http://141.218.60.56/~jnz1568/getInfo.php?workbook=10_05.xlsx&amp;sheet=U0&amp;row=14129&amp;col=6&amp;number=3.5&amp;sourceID=14","3.5")</f>
        <v>3.5</v>
      </c>
      <c r="G14129" s="4" t="str">
        <f>HYPERLINK("http://141.218.60.56/~jnz1568/getInfo.php?workbook=10_05.xlsx&amp;sheet=U0&amp;row=14129&amp;col=7&amp;number=0.000132&amp;sourceID=14","0.000132")</f>
        <v>0.000132</v>
      </c>
    </row>
    <row r="14130" spans="1:7">
      <c r="A14130" s="3"/>
      <c r="B14130" s="3"/>
      <c r="C14130" s="3"/>
      <c r="D14130" s="3"/>
      <c r="E14130" s="3">
        <v>7</v>
      </c>
      <c r="F14130" s="4" t="str">
        <f>HYPERLINK("http://141.218.60.56/~jnz1568/getInfo.php?workbook=10_05.xlsx&amp;sheet=U0&amp;row=14130&amp;col=6&amp;number=3.6&amp;sourceID=14","3.6")</f>
        <v>3.6</v>
      </c>
      <c r="G14130" s="4" t="str">
        <f>HYPERLINK("http://141.218.60.56/~jnz1568/getInfo.php?workbook=10_05.xlsx&amp;sheet=U0&amp;row=14130&amp;col=7&amp;number=0.000132&amp;sourceID=14","0.000132")</f>
        <v>0.000132</v>
      </c>
    </row>
    <row r="14131" spans="1:7">
      <c r="A14131" s="3"/>
      <c r="B14131" s="3"/>
      <c r="C14131" s="3"/>
      <c r="D14131" s="3"/>
      <c r="E14131" s="3">
        <v>8</v>
      </c>
      <c r="F14131" s="4" t="str">
        <f>HYPERLINK("http://141.218.60.56/~jnz1568/getInfo.php?workbook=10_05.xlsx&amp;sheet=U0&amp;row=14131&amp;col=6&amp;number=3.7&amp;sourceID=14","3.7")</f>
        <v>3.7</v>
      </c>
      <c r="G14131" s="4" t="str">
        <f>HYPERLINK("http://141.218.60.56/~jnz1568/getInfo.php?workbook=10_05.xlsx&amp;sheet=U0&amp;row=14131&amp;col=7&amp;number=0.000131&amp;sourceID=14","0.000131")</f>
        <v>0.000131</v>
      </c>
    </row>
    <row r="14132" spans="1:7">
      <c r="A14132" s="3"/>
      <c r="B14132" s="3"/>
      <c r="C14132" s="3"/>
      <c r="D14132" s="3"/>
      <c r="E14132" s="3">
        <v>9</v>
      </c>
      <c r="F14132" s="4" t="str">
        <f>HYPERLINK("http://141.218.60.56/~jnz1568/getInfo.php?workbook=10_05.xlsx&amp;sheet=U0&amp;row=14132&amp;col=6&amp;number=3.8&amp;sourceID=14","3.8")</f>
        <v>3.8</v>
      </c>
      <c r="G14132" s="4" t="str">
        <f>HYPERLINK("http://141.218.60.56/~jnz1568/getInfo.php?workbook=10_05.xlsx&amp;sheet=U0&amp;row=14132&amp;col=7&amp;number=0.000131&amp;sourceID=14","0.000131")</f>
        <v>0.000131</v>
      </c>
    </row>
    <row r="14133" spans="1:7">
      <c r="A14133" s="3"/>
      <c r="B14133" s="3"/>
      <c r="C14133" s="3"/>
      <c r="D14133" s="3"/>
      <c r="E14133" s="3">
        <v>10</v>
      </c>
      <c r="F14133" s="4" t="str">
        <f>HYPERLINK("http://141.218.60.56/~jnz1568/getInfo.php?workbook=10_05.xlsx&amp;sheet=U0&amp;row=14133&amp;col=6&amp;number=3.9&amp;sourceID=14","3.9")</f>
        <v>3.9</v>
      </c>
      <c r="G14133" s="4" t="str">
        <f>HYPERLINK("http://141.218.60.56/~jnz1568/getInfo.php?workbook=10_05.xlsx&amp;sheet=U0&amp;row=14133&amp;col=7&amp;number=0.00013&amp;sourceID=14","0.00013")</f>
        <v>0.00013</v>
      </c>
    </row>
    <row r="14134" spans="1:7">
      <c r="A14134" s="3"/>
      <c r="B14134" s="3"/>
      <c r="C14134" s="3"/>
      <c r="D14134" s="3"/>
      <c r="E14134" s="3">
        <v>11</v>
      </c>
      <c r="F14134" s="4" t="str">
        <f>HYPERLINK("http://141.218.60.56/~jnz1568/getInfo.php?workbook=10_05.xlsx&amp;sheet=U0&amp;row=14134&amp;col=6&amp;number=4&amp;sourceID=14","4")</f>
        <v>4</v>
      </c>
      <c r="G14134" s="4" t="str">
        <f>HYPERLINK("http://141.218.60.56/~jnz1568/getInfo.php?workbook=10_05.xlsx&amp;sheet=U0&amp;row=14134&amp;col=7&amp;number=0.000129&amp;sourceID=14","0.000129")</f>
        <v>0.000129</v>
      </c>
    </row>
    <row r="14135" spans="1:7">
      <c r="A14135" s="3"/>
      <c r="B14135" s="3"/>
      <c r="C14135" s="3"/>
      <c r="D14135" s="3"/>
      <c r="E14135" s="3">
        <v>12</v>
      </c>
      <c r="F14135" s="4" t="str">
        <f>HYPERLINK("http://141.218.60.56/~jnz1568/getInfo.php?workbook=10_05.xlsx&amp;sheet=U0&amp;row=14135&amp;col=6&amp;number=4.1&amp;sourceID=14","4.1")</f>
        <v>4.1</v>
      </c>
      <c r="G14135" s="4" t="str">
        <f>HYPERLINK("http://141.218.60.56/~jnz1568/getInfo.php?workbook=10_05.xlsx&amp;sheet=U0&amp;row=14135&amp;col=7&amp;number=0.000128&amp;sourceID=14","0.000128")</f>
        <v>0.000128</v>
      </c>
    </row>
    <row r="14136" spans="1:7">
      <c r="A14136" s="3"/>
      <c r="B14136" s="3"/>
      <c r="C14136" s="3"/>
      <c r="D14136" s="3"/>
      <c r="E14136" s="3">
        <v>13</v>
      </c>
      <c r="F14136" s="4" t="str">
        <f>HYPERLINK("http://141.218.60.56/~jnz1568/getInfo.php?workbook=10_05.xlsx&amp;sheet=U0&amp;row=14136&amp;col=6&amp;number=4.2&amp;sourceID=14","4.2")</f>
        <v>4.2</v>
      </c>
      <c r="G14136" s="4" t="str">
        <f>HYPERLINK("http://141.218.60.56/~jnz1568/getInfo.php?workbook=10_05.xlsx&amp;sheet=U0&amp;row=14136&amp;col=7&amp;number=0.000127&amp;sourceID=14","0.000127")</f>
        <v>0.000127</v>
      </c>
    </row>
    <row r="14137" spans="1:7">
      <c r="A14137" s="3"/>
      <c r="B14137" s="3"/>
      <c r="C14137" s="3"/>
      <c r="D14137" s="3"/>
      <c r="E14137" s="3">
        <v>14</v>
      </c>
      <c r="F14137" s="4" t="str">
        <f>HYPERLINK("http://141.218.60.56/~jnz1568/getInfo.php?workbook=10_05.xlsx&amp;sheet=U0&amp;row=14137&amp;col=6&amp;number=4.3&amp;sourceID=14","4.3")</f>
        <v>4.3</v>
      </c>
      <c r="G14137" s="4" t="str">
        <f>HYPERLINK("http://141.218.60.56/~jnz1568/getInfo.php?workbook=10_05.xlsx&amp;sheet=U0&amp;row=14137&amp;col=7&amp;number=0.000126&amp;sourceID=14","0.000126")</f>
        <v>0.000126</v>
      </c>
    </row>
    <row r="14138" spans="1:7">
      <c r="A14138" s="3"/>
      <c r="B14138" s="3"/>
      <c r="C14138" s="3"/>
      <c r="D14138" s="3"/>
      <c r="E14138" s="3">
        <v>15</v>
      </c>
      <c r="F14138" s="4" t="str">
        <f>HYPERLINK("http://141.218.60.56/~jnz1568/getInfo.php?workbook=10_05.xlsx&amp;sheet=U0&amp;row=14138&amp;col=6&amp;number=4.4&amp;sourceID=14","4.4")</f>
        <v>4.4</v>
      </c>
      <c r="G14138" s="4" t="str">
        <f>HYPERLINK("http://141.218.60.56/~jnz1568/getInfo.php?workbook=10_05.xlsx&amp;sheet=U0&amp;row=14138&amp;col=7&amp;number=0.000124&amp;sourceID=14","0.000124")</f>
        <v>0.000124</v>
      </c>
    </row>
    <row r="14139" spans="1:7">
      <c r="A14139" s="3"/>
      <c r="B14139" s="3"/>
      <c r="C14139" s="3"/>
      <c r="D14139" s="3"/>
      <c r="E14139" s="3">
        <v>16</v>
      </c>
      <c r="F14139" s="4" t="str">
        <f>HYPERLINK("http://141.218.60.56/~jnz1568/getInfo.php?workbook=10_05.xlsx&amp;sheet=U0&amp;row=14139&amp;col=6&amp;number=4.5&amp;sourceID=14","4.5")</f>
        <v>4.5</v>
      </c>
      <c r="G14139" s="4" t="str">
        <f>HYPERLINK("http://141.218.60.56/~jnz1568/getInfo.php?workbook=10_05.xlsx&amp;sheet=U0&amp;row=14139&amp;col=7&amp;number=0.000122&amp;sourceID=14","0.000122")</f>
        <v>0.000122</v>
      </c>
    </row>
    <row r="14140" spans="1:7">
      <c r="A14140" s="3"/>
      <c r="B14140" s="3"/>
      <c r="C14140" s="3"/>
      <c r="D14140" s="3"/>
      <c r="E14140" s="3">
        <v>17</v>
      </c>
      <c r="F14140" s="4" t="str">
        <f>HYPERLINK("http://141.218.60.56/~jnz1568/getInfo.php?workbook=10_05.xlsx&amp;sheet=U0&amp;row=14140&amp;col=6&amp;number=4.6&amp;sourceID=14","4.6")</f>
        <v>4.6</v>
      </c>
      <c r="G14140" s="4" t="str">
        <f>HYPERLINK("http://141.218.60.56/~jnz1568/getInfo.php?workbook=10_05.xlsx&amp;sheet=U0&amp;row=14140&amp;col=7&amp;number=0.00012&amp;sourceID=14","0.00012")</f>
        <v>0.00012</v>
      </c>
    </row>
    <row r="14141" spans="1:7">
      <c r="A14141" s="3"/>
      <c r="B14141" s="3"/>
      <c r="C14141" s="3"/>
      <c r="D14141" s="3"/>
      <c r="E14141" s="3">
        <v>18</v>
      </c>
      <c r="F14141" s="4" t="str">
        <f>HYPERLINK("http://141.218.60.56/~jnz1568/getInfo.php?workbook=10_05.xlsx&amp;sheet=U0&amp;row=14141&amp;col=6&amp;number=4.7&amp;sourceID=14","4.7")</f>
        <v>4.7</v>
      </c>
      <c r="G14141" s="4" t="str">
        <f>HYPERLINK("http://141.218.60.56/~jnz1568/getInfo.php?workbook=10_05.xlsx&amp;sheet=U0&amp;row=14141&amp;col=7&amp;number=0.000118&amp;sourceID=14","0.000118")</f>
        <v>0.000118</v>
      </c>
    </row>
    <row r="14142" spans="1:7">
      <c r="A14142" s="3"/>
      <c r="B14142" s="3"/>
      <c r="C14142" s="3"/>
      <c r="D14142" s="3"/>
      <c r="E14142" s="3">
        <v>19</v>
      </c>
      <c r="F14142" s="4" t="str">
        <f>HYPERLINK("http://141.218.60.56/~jnz1568/getInfo.php?workbook=10_05.xlsx&amp;sheet=U0&amp;row=14142&amp;col=6&amp;number=4.8&amp;sourceID=14","4.8")</f>
        <v>4.8</v>
      </c>
      <c r="G14142" s="4" t="str">
        <f>HYPERLINK("http://141.218.60.56/~jnz1568/getInfo.php?workbook=10_05.xlsx&amp;sheet=U0&amp;row=14142&amp;col=7&amp;number=0.000116&amp;sourceID=14","0.000116")</f>
        <v>0.000116</v>
      </c>
    </row>
    <row r="14143" spans="1:7">
      <c r="A14143" s="3"/>
      <c r="B14143" s="3"/>
      <c r="C14143" s="3"/>
      <c r="D14143" s="3"/>
      <c r="E14143" s="3">
        <v>20</v>
      </c>
      <c r="F14143" s="4" t="str">
        <f>HYPERLINK("http://141.218.60.56/~jnz1568/getInfo.php?workbook=10_05.xlsx&amp;sheet=U0&amp;row=14143&amp;col=6&amp;number=4.9&amp;sourceID=14","4.9")</f>
        <v>4.9</v>
      </c>
      <c r="G14143" s="4" t="str">
        <f>HYPERLINK("http://141.218.60.56/~jnz1568/getInfo.php?workbook=10_05.xlsx&amp;sheet=U0&amp;row=14143&amp;col=7&amp;number=0.000113&amp;sourceID=14","0.000113")</f>
        <v>0.000113</v>
      </c>
    </row>
    <row r="14144" spans="1:7">
      <c r="A14144" s="3">
        <v>10</v>
      </c>
      <c r="B14144" s="3">
        <v>5</v>
      </c>
      <c r="C14144" s="3">
        <v>4</v>
      </c>
      <c r="D14144" s="3">
        <v>178</v>
      </c>
      <c r="E14144" s="3">
        <v>1</v>
      </c>
      <c r="F14144" s="4" t="str">
        <f>HYPERLINK("http://141.218.60.56/~jnz1568/getInfo.php?workbook=10_05.xlsx&amp;sheet=U0&amp;row=14144&amp;col=6&amp;number=3&amp;sourceID=14","3")</f>
        <v>3</v>
      </c>
      <c r="G14144" s="4" t="str">
        <f>HYPERLINK("http://141.218.60.56/~jnz1568/getInfo.php?workbook=10_05.xlsx&amp;sheet=U0&amp;row=14144&amp;col=7&amp;number=0.000222&amp;sourceID=14","0.000222")</f>
        <v>0.000222</v>
      </c>
    </row>
    <row r="14145" spans="1:7">
      <c r="A14145" s="3"/>
      <c r="B14145" s="3"/>
      <c r="C14145" s="3"/>
      <c r="D14145" s="3"/>
      <c r="E14145" s="3">
        <v>2</v>
      </c>
      <c r="F14145" s="4" t="str">
        <f>HYPERLINK("http://141.218.60.56/~jnz1568/getInfo.php?workbook=10_05.xlsx&amp;sheet=U0&amp;row=14145&amp;col=6&amp;number=3.1&amp;sourceID=14","3.1")</f>
        <v>3.1</v>
      </c>
      <c r="G14145" s="4" t="str">
        <f>HYPERLINK("http://141.218.60.56/~jnz1568/getInfo.php?workbook=10_05.xlsx&amp;sheet=U0&amp;row=14145&amp;col=7&amp;number=0.000222&amp;sourceID=14","0.000222")</f>
        <v>0.000222</v>
      </c>
    </row>
    <row r="14146" spans="1:7">
      <c r="A14146" s="3"/>
      <c r="B14146" s="3"/>
      <c r="C14146" s="3"/>
      <c r="D14146" s="3"/>
      <c r="E14146" s="3">
        <v>3</v>
      </c>
      <c r="F14146" s="4" t="str">
        <f>HYPERLINK("http://141.218.60.56/~jnz1568/getInfo.php?workbook=10_05.xlsx&amp;sheet=U0&amp;row=14146&amp;col=6&amp;number=3.2&amp;sourceID=14","3.2")</f>
        <v>3.2</v>
      </c>
      <c r="G14146" s="4" t="str">
        <f>HYPERLINK("http://141.218.60.56/~jnz1568/getInfo.php?workbook=10_05.xlsx&amp;sheet=U0&amp;row=14146&amp;col=7&amp;number=0.000222&amp;sourceID=14","0.000222")</f>
        <v>0.000222</v>
      </c>
    </row>
    <row r="14147" spans="1:7">
      <c r="A14147" s="3"/>
      <c r="B14147" s="3"/>
      <c r="C14147" s="3"/>
      <c r="D14147" s="3"/>
      <c r="E14147" s="3">
        <v>4</v>
      </c>
      <c r="F14147" s="4" t="str">
        <f>HYPERLINK("http://141.218.60.56/~jnz1568/getInfo.php?workbook=10_05.xlsx&amp;sheet=U0&amp;row=14147&amp;col=6&amp;number=3.3&amp;sourceID=14","3.3")</f>
        <v>3.3</v>
      </c>
      <c r="G14147" s="4" t="str">
        <f>HYPERLINK("http://141.218.60.56/~jnz1568/getInfo.php?workbook=10_05.xlsx&amp;sheet=U0&amp;row=14147&amp;col=7&amp;number=0.000221&amp;sourceID=14","0.000221")</f>
        <v>0.000221</v>
      </c>
    </row>
    <row r="14148" spans="1:7">
      <c r="A14148" s="3"/>
      <c r="B14148" s="3"/>
      <c r="C14148" s="3"/>
      <c r="D14148" s="3"/>
      <c r="E14148" s="3">
        <v>5</v>
      </c>
      <c r="F14148" s="4" t="str">
        <f>HYPERLINK("http://141.218.60.56/~jnz1568/getInfo.php?workbook=10_05.xlsx&amp;sheet=U0&amp;row=14148&amp;col=6&amp;number=3.4&amp;sourceID=14","3.4")</f>
        <v>3.4</v>
      </c>
      <c r="G14148" s="4" t="str">
        <f>HYPERLINK("http://141.218.60.56/~jnz1568/getInfo.php?workbook=10_05.xlsx&amp;sheet=U0&amp;row=14148&amp;col=7&amp;number=0.000221&amp;sourceID=14","0.000221")</f>
        <v>0.000221</v>
      </c>
    </row>
    <row r="14149" spans="1:7">
      <c r="A14149" s="3"/>
      <c r="B14149" s="3"/>
      <c r="C14149" s="3"/>
      <c r="D14149" s="3"/>
      <c r="E14149" s="3">
        <v>6</v>
      </c>
      <c r="F14149" s="4" t="str">
        <f>HYPERLINK("http://141.218.60.56/~jnz1568/getInfo.php?workbook=10_05.xlsx&amp;sheet=U0&amp;row=14149&amp;col=6&amp;number=3.5&amp;sourceID=14","3.5")</f>
        <v>3.5</v>
      </c>
      <c r="G14149" s="4" t="str">
        <f>HYPERLINK("http://141.218.60.56/~jnz1568/getInfo.php?workbook=10_05.xlsx&amp;sheet=U0&amp;row=14149&amp;col=7&amp;number=0.00022&amp;sourceID=14","0.00022")</f>
        <v>0.00022</v>
      </c>
    </row>
    <row r="14150" spans="1:7">
      <c r="A14150" s="3"/>
      <c r="B14150" s="3"/>
      <c r="C14150" s="3"/>
      <c r="D14150" s="3"/>
      <c r="E14150" s="3">
        <v>7</v>
      </c>
      <c r="F14150" s="4" t="str">
        <f>HYPERLINK("http://141.218.60.56/~jnz1568/getInfo.php?workbook=10_05.xlsx&amp;sheet=U0&amp;row=14150&amp;col=6&amp;number=3.6&amp;sourceID=14","3.6")</f>
        <v>3.6</v>
      </c>
      <c r="G14150" s="4" t="str">
        <f>HYPERLINK("http://141.218.60.56/~jnz1568/getInfo.php?workbook=10_05.xlsx&amp;sheet=U0&amp;row=14150&amp;col=7&amp;number=0.00022&amp;sourceID=14","0.00022")</f>
        <v>0.00022</v>
      </c>
    </row>
    <row r="14151" spans="1:7">
      <c r="A14151" s="3"/>
      <c r="B14151" s="3"/>
      <c r="C14151" s="3"/>
      <c r="D14151" s="3"/>
      <c r="E14151" s="3">
        <v>8</v>
      </c>
      <c r="F14151" s="4" t="str">
        <f>HYPERLINK("http://141.218.60.56/~jnz1568/getInfo.php?workbook=10_05.xlsx&amp;sheet=U0&amp;row=14151&amp;col=6&amp;number=3.7&amp;sourceID=14","3.7")</f>
        <v>3.7</v>
      </c>
      <c r="G14151" s="4" t="str">
        <f>HYPERLINK("http://141.218.60.56/~jnz1568/getInfo.php?workbook=10_05.xlsx&amp;sheet=U0&amp;row=14151&amp;col=7&amp;number=0.000219&amp;sourceID=14","0.000219")</f>
        <v>0.000219</v>
      </c>
    </row>
    <row r="14152" spans="1:7">
      <c r="A14152" s="3"/>
      <c r="B14152" s="3"/>
      <c r="C14152" s="3"/>
      <c r="D14152" s="3"/>
      <c r="E14152" s="3">
        <v>9</v>
      </c>
      <c r="F14152" s="4" t="str">
        <f>HYPERLINK("http://141.218.60.56/~jnz1568/getInfo.php?workbook=10_05.xlsx&amp;sheet=U0&amp;row=14152&amp;col=6&amp;number=3.8&amp;sourceID=14","3.8")</f>
        <v>3.8</v>
      </c>
      <c r="G14152" s="4" t="str">
        <f>HYPERLINK("http://141.218.60.56/~jnz1568/getInfo.php?workbook=10_05.xlsx&amp;sheet=U0&amp;row=14152&amp;col=7&amp;number=0.000218&amp;sourceID=14","0.000218")</f>
        <v>0.000218</v>
      </c>
    </row>
    <row r="14153" spans="1:7">
      <c r="A14153" s="3"/>
      <c r="B14153" s="3"/>
      <c r="C14153" s="3"/>
      <c r="D14153" s="3"/>
      <c r="E14153" s="3">
        <v>10</v>
      </c>
      <c r="F14153" s="4" t="str">
        <f>HYPERLINK("http://141.218.60.56/~jnz1568/getInfo.php?workbook=10_05.xlsx&amp;sheet=U0&amp;row=14153&amp;col=6&amp;number=3.9&amp;sourceID=14","3.9")</f>
        <v>3.9</v>
      </c>
      <c r="G14153" s="4" t="str">
        <f>HYPERLINK("http://141.218.60.56/~jnz1568/getInfo.php?workbook=10_05.xlsx&amp;sheet=U0&amp;row=14153&amp;col=7&amp;number=0.000216&amp;sourceID=14","0.000216")</f>
        <v>0.000216</v>
      </c>
    </row>
    <row r="14154" spans="1:7">
      <c r="A14154" s="3"/>
      <c r="B14154" s="3"/>
      <c r="C14154" s="3"/>
      <c r="D14154" s="3"/>
      <c r="E14154" s="3">
        <v>11</v>
      </c>
      <c r="F14154" s="4" t="str">
        <f>HYPERLINK("http://141.218.60.56/~jnz1568/getInfo.php?workbook=10_05.xlsx&amp;sheet=U0&amp;row=14154&amp;col=6&amp;number=4&amp;sourceID=14","4")</f>
        <v>4</v>
      </c>
      <c r="G14154" s="4" t="str">
        <f>HYPERLINK("http://141.218.60.56/~jnz1568/getInfo.php?workbook=10_05.xlsx&amp;sheet=U0&amp;row=14154&amp;col=7&amp;number=0.000215&amp;sourceID=14","0.000215")</f>
        <v>0.000215</v>
      </c>
    </row>
    <row r="14155" spans="1:7">
      <c r="A14155" s="3"/>
      <c r="B14155" s="3"/>
      <c r="C14155" s="3"/>
      <c r="D14155" s="3"/>
      <c r="E14155" s="3">
        <v>12</v>
      </c>
      <c r="F14155" s="4" t="str">
        <f>HYPERLINK("http://141.218.60.56/~jnz1568/getInfo.php?workbook=10_05.xlsx&amp;sheet=U0&amp;row=14155&amp;col=6&amp;number=4.1&amp;sourceID=14","4.1")</f>
        <v>4.1</v>
      </c>
      <c r="G14155" s="4" t="str">
        <f>HYPERLINK("http://141.218.60.56/~jnz1568/getInfo.php?workbook=10_05.xlsx&amp;sheet=U0&amp;row=14155&amp;col=7&amp;number=0.000213&amp;sourceID=14","0.000213")</f>
        <v>0.000213</v>
      </c>
    </row>
    <row r="14156" spans="1:7">
      <c r="A14156" s="3"/>
      <c r="B14156" s="3"/>
      <c r="C14156" s="3"/>
      <c r="D14156" s="3"/>
      <c r="E14156" s="3">
        <v>13</v>
      </c>
      <c r="F14156" s="4" t="str">
        <f>HYPERLINK("http://141.218.60.56/~jnz1568/getInfo.php?workbook=10_05.xlsx&amp;sheet=U0&amp;row=14156&amp;col=6&amp;number=4.2&amp;sourceID=14","4.2")</f>
        <v>4.2</v>
      </c>
      <c r="G14156" s="4" t="str">
        <f>HYPERLINK("http://141.218.60.56/~jnz1568/getInfo.php?workbook=10_05.xlsx&amp;sheet=U0&amp;row=14156&amp;col=7&amp;number=0.000211&amp;sourceID=14","0.000211")</f>
        <v>0.000211</v>
      </c>
    </row>
    <row r="14157" spans="1:7">
      <c r="A14157" s="3"/>
      <c r="B14157" s="3"/>
      <c r="C14157" s="3"/>
      <c r="D14157" s="3"/>
      <c r="E14157" s="3">
        <v>14</v>
      </c>
      <c r="F14157" s="4" t="str">
        <f>HYPERLINK("http://141.218.60.56/~jnz1568/getInfo.php?workbook=10_05.xlsx&amp;sheet=U0&amp;row=14157&amp;col=6&amp;number=4.3&amp;sourceID=14","4.3")</f>
        <v>4.3</v>
      </c>
      <c r="G14157" s="4" t="str">
        <f>HYPERLINK("http://141.218.60.56/~jnz1568/getInfo.php?workbook=10_05.xlsx&amp;sheet=U0&amp;row=14157&amp;col=7&amp;number=0.000208&amp;sourceID=14","0.000208")</f>
        <v>0.000208</v>
      </c>
    </row>
    <row r="14158" spans="1:7">
      <c r="A14158" s="3"/>
      <c r="B14158" s="3"/>
      <c r="C14158" s="3"/>
      <c r="D14158" s="3"/>
      <c r="E14158" s="3">
        <v>15</v>
      </c>
      <c r="F14158" s="4" t="str">
        <f>HYPERLINK("http://141.218.60.56/~jnz1568/getInfo.php?workbook=10_05.xlsx&amp;sheet=U0&amp;row=14158&amp;col=6&amp;number=4.4&amp;sourceID=14","4.4")</f>
        <v>4.4</v>
      </c>
      <c r="G14158" s="4" t="str">
        <f>HYPERLINK("http://141.218.60.56/~jnz1568/getInfo.php?workbook=10_05.xlsx&amp;sheet=U0&amp;row=14158&amp;col=7&amp;number=0.000205&amp;sourceID=14","0.000205")</f>
        <v>0.000205</v>
      </c>
    </row>
    <row r="14159" spans="1:7">
      <c r="A14159" s="3"/>
      <c r="B14159" s="3"/>
      <c r="C14159" s="3"/>
      <c r="D14159" s="3"/>
      <c r="E14159" s="3">
        <v>16</v>
      </c>
      <c r="F14159" s="4" t="str">
        <f>HYPERLINK("http://141.218.60.56/~jnz1568/getInfo.php?workbook=10_05.xlsx&amp;sheet=U0&amp;row=14159&amp;col=6&amp;number=4.5&amp;sourceID=14","4.5")</f>
        <v>4.5</v>
      </c>
      <c r="G14159" s="4" t="str">
        <f>HYPERLINK("http://141.218.60.56/~jnz1568/getInfo.php?workbook=10_05.xlsx&amp;sheet=U0&amp;row=14159&amp;col=7&amp;number=0.000202&amp;sourceID=14","0.000202")</f>
        <v>0.000202</v>
      </c>
    </row>
    <row r="14160" spans="1:7">
      <c r="A14160" s="3"/>
      <c r="B14160" s="3"/>
      <c r="C14160" s="3"/>
      <c r="D14160" s="3"/>
      <c r="E14160" s="3">
        <v>17</v>
      </c>
      <c r="F14160" s="4" t="str">
        <f>HYPERLINK("http://141.218.60.56/~jnz1568/getInfo.php?workbook=10_05.xlsx&amp;sheet=U0&amp;row=14160&amp;col=6&amp;number=4.6&amp;sourceID=14","4.6")</f>
        <v>4.6</v>
      </c>
      <c r="G14160" s="4" t="str">
        <f>HYPERLINK("http://141.218.60.56/~jnz1568/getInfo.php?workbook=10_05.xlsx&amp;sheet=U0&amp;row=14160&amp;col=7&amp;number=0.000199&amp;sourceID=14","0.000199")</f>
        <v>0.000199</v>
      </c>
    </row>
    <row r="14161" spans="1:7">
      <c r="A14161" s="3"/>
      <c r="B14161" s="3"/>
      <c r="C14161" s="3"/>
      <c r="D14161" s="3"/>
      <c r="E14161" s="3">
        <v>18</v>
      </c>
      <c r="F14161" s="4" t="str">
        <f>HYPERLINK("http://141.218.60.56/~jnz1568/getInfo.php?workbook=10_05.xlsx&amp;sheet=U0&amp;row=14161&amp;col=6&amp;number=4.7&amp;sourceID=14","4.7")</f>
        <v>4.7</v>
      </c>
      <c r="G14161" s="4" t="str">
        <f>HYPERLINK("http://141.218.60.56/~jnz1568/getInfo.php?workbook=10_05.xlsx&amp;sheet=U0&amp;row=14161&amp;col=7&amp;number=0.000195&amp;sourceID=14","0.000195")</f>
        <v>0.000195</v>
      </c>
    </row>
    <row r="14162" spans="1:7">
      <c r="A14162" s="3"/>
      <c r="B14162" s="3"/>
      <c r="C14162" s="3"/>
      <c r="D14162" s="3"/>
      <c r="E14162" s="3">
        <v>19</v>
      </c>
      <c r="F14162" s="4" t="str">
        <f>HYPERLINK("http://141.218.60.56/~jnz1568/getInfo.php?workbook=10_05.xlsx&amp;sheet=U0&amp;row=14162&amp;col=6&amp;number=4.8&amp;sourceID=14","4.8")</f>
        <v>4.8</v>
      </c>
      <c r="G14162" s="4" t="str">
        <f>HYPERLINK("http://141.218.60.56/~jnz1568/getInfo.php?workbook=10_05.xlsx&amp;sheet=U0&amp;row=14162&amp;col=7&amp;number=0.00019&amp;sourceID=14","0.00019")</f>
        <v>0.00019</v>
      </c>
    </row>
    <row r="14163" spans="1:7">
      <c r="A14163" s="3"/>
      <c r="B14163" s="3"/>
      <c r="C14163" s="3"/>
      <c r="D14163" s="3"/>
      <c r="E14163" s="3">
        <v>20</v>
      </c>
      <c r="F14163" s="4" t="str">
        <f>HYPERLINK("http://141.218.60.56/~jnz1568/getInfo.php?workbook=10_05.xlsx&amp;sheet=U0&amp;row=14163&amp;col=6&amp;number=4.9&amp;sourceID=14","4.9")</f>
        <v>4.9</v>
      </c>
      <c r="G14163" s="4" t="str">
        <f>HYPERLINK("http://141.218.60.56/~jnz1568/getInfo.php?workbook=10_05.xlsx&amp;sheet=U0&amp;row=14163&amp;col=7&amp;number=0.000185&amp;sourceID=14","0.000185")</f>
        <v>0.000185</v>
      </c>
    </row>
    <row r="14164" spans="1:7">
      <c r="A14164" s="3">
        <v>10</v>
      </c>
      <c r="B14164" s="3">
        <v>5</v>
      </c>
      <c r="C14164" s="3">
        <v>4</v>
      </c>
      <c r="D14164" s="3">
        <v>179</v>
      </c>
      <c r="E14164" s="3">
        <v>1</v>
      </c>
      <c r="F14164" s="4" t="str">
        <f>HYPERLINK("http://141.218.60.56/~jnz1568/getInfo.php?workbook=10_05.xlsx&amp;sheet=U0&amp;row=14164&amp;col=6&amp;number=3&amp;sourceID=14","3")</f>
        <v>3</v>
      </c>
      <c r="G14164" s="4" t="str">
        <f>HYPERLINK("http://141.218.60.56/~jnz1568/getInfo.php?workbook=10_05.xlsx&amp;sheet=U0&amp;row=14164&amp;col=7&amp;number=8.18e-05&amp;sourceID=14","8.18e-05")</f>
        <v>8.18e-05</v>
      </c>
    </row>
    <row r="14165" spans="1:7">
      <c r="A14165" s="3"/>
      <c r="B14165" s="3"/>
      <c r="C14165" s="3"/>
      <c r="D14165" s="3"/>
      <c r="E14165" s="3">
        <v>2</v>
      </c>
      <c r="F14165" s="4" t="str">
        <f>HYPERLINK("http://141.218.60.56/~jnz1568/getInfo.php?workbook=10_05.xlsx&amp;sheet=U0&amp;row=14165&amp;col=6&amp;number=3.1&amp;sourceID=14","3.1")</f>
        <v>3.1</v>
      </c>
      <c r="G14165" s="4" t="str">
        <f>HYPERLINK("http://141.218.60.56/~jnz1568/getInfo.php?workbook=10_05.xlsx&amp;sheet=U0&amp;row=14165&amp;col=7&amp;number=8.18e-05&amp;sourceID=14","8.18e-05")</f>
        <v>8.18e-05</v>
      </c>
    </row>
    <row r="14166" spans="1:7">
      <c r="A14166" s="3"/>
      <c r="B14166" s="3"/>
      <c r="C14166" s="3"/>
      <c r="D14166" s="3"/>
      <c r="E14166" s="3">
        <v>3</v>
      </c>
      <c r="F14166" s="4" t="str">
        <f>HYPERLINK("http://141.218.60.56/~jnz1568/getInfo.php?workbook=10_05.xlsx&amp;sheet=U0&amp;row=14166&amp;col=6&amp;number=3.2&amp;sourceID=14","3.2")</f>
        <v>3.2</v>
      </c>
      <c r="G14166" s="4" t="str">
        <f>HYPERLINK("http://141.218.60.56/~jnz1568/getInfo.php?workbook=10_05.xlsx&amp;sheet=U0&amp;row=14166&amp;col=7&amp;number=8.18e-05&amp;sourceID=14","8.18e-05")</f>
        <v>8.18e-05</v>
      </c>
    </row>
    <row r="14167" spans="1:7">
      <c r="A14167" s="3"/>
      <c r="B14167" s="3"/>
      <c r="C14167" s="3"/>
      <c r="D14167" s="3"/>
      <c r="E14167" s="3">
        <v>4</v>
      </c>
      <c r="F14167" s="4" t="str">
        <f>HYPERLINK("http://141.218.60.56/~jnz1568/getInfo.php?workbook=10_05.xlsx&amp;sheet=U0&amp;row=14167&amp;col=6&amp;number=3.3&amp;sourceID=14","3.3")</f>
        <v>3.3</v>
      </c>
      <c r="G14167" s="4" t="str">
        <f>HYPERLINK("http://141.218.60.56/~jnz1568/getInfo.php?workbook=10_05.xlsx&amp;sheet=U0&amp;row=14167&amp;col=7&amp;number=8.17e-05&amp;sourceID=14","8.17e-05")</f>
        <v>8.17e-05</v>
      </c>
    </row>
    <row r="14168" spans="1:7">
      <c r="A14168" s="3"/>
      <c r="B14168" s="3"/>
      <c r="C14168" s="3"/>
      <c r="D14168" s="3"/>
      <c r="E14168" s="3">
        <v>5</v>
      </c>
      <c r="F14168" s="4" t="str">
        <f>HYPERLINK("http://141.218.60.56/~jnz1568/getInfo.php?workbook=10_05.xlsx&amp;sheet=U0&amp;row=14168&amp;col=6&amp;number=3.4&amp;sourceID=14","3.4")</f>
        <v>3.4</v>
      </c>
      <c r="G14168" s="4" t="str">
        <f>HYPERLINK("http://141.218.60.56/~jnz1568/getInfo.php?workbook=10_05.xlsx&amp;sheet=U0&amp;row=14168&amp;col=7&amp;number=8.16e-05&amp;sourceID=14","8.16e-05")</f>
        <v>8.16e-05</v>
      </c>
    </row>
    <row r="14169" spans="1:7">
      <c r="A14169" s="3"/>
      <c r="B14169" s="3"/>
      <c r="C14169" s="3"/>
      <c r="D14169" s="3"/>
      <c r="E14169" s="3">
        <v>6</v>
      </c>
      <c r="F14169" s="4" t="str">
        <f>HYPERLINK("http://141.218.60.56/~jnz1568/getInfo.php?workbook=10_05.xlsx&amp;sheet=U0&amp;row=14169&amp;col=6&amp;number=3.5&amp;sourceID=14","3.5")</f>
        <v>3.5</v>
      </c>
      <c r="G14169" s="4" t="str">
        <f>HYPERLINK("http://141.218.60.56/~jnz1568/getInfo.php?workbook=10_05.xlsx&amp;sheet=U0&amp;row=14169&amp;col=7&amp;number=8.15e-05&amp;sourceID=14","8.15e-05")</f>
        <v>8.15e-05</v>
      </c>
    </row>
    <row r="14170" spans="1:7">
      <c r="A14170" s="3"/>
      <c r="B14170" s="3"/>
      <c r="C14170" s="3"/>
      <c r="D14170" s="3"/>
      <c r="E14170" s="3">
        <v>7</v>
      </c>
      <c r="F14170" s="4" t="str">
        <f>HYPERLINK("http://141.218.60.56/~jnz1568/getInfo.php?workbook=10_05.xlsx&amp;sheet=U0&amp;row=14170&amp;col=6&amp;number=3.6&amp;sourceID=14","3.6")</f>
        <v>3.6</v>
      </c>
      <c r="G14170" s="4" t="str">
        <f>HYPERLINK("http://141.218.60.56/~jnz1568/getInfo.php?workbook=10_05.xlsx&amp;sheet=U0&amp;row=14170&amp;col=7&amp;number=8.14e-05&amp;sourceID=14","8.14e-05")</f>
        <v>8.14e-05</v>
      </c>
    </row>
    <row r="14171" spans="1:7">
      <c r="A14171" s="3"/>
      <c r="B14171" s="3"/>
      <c r="C14171" s="3"/>
      <c r="D14171" s="3"/>
      <c r="E14171" s="3">
        <v>8</v>
      </c>
      <c r="F14171" s="4" t="str">
        <f>HYPERLINK("http://141.218.60.56/~jnz1568/getInfo.php?workbook=10_05.xlsx&amp;sheet=U0&amp;row=14171&amp;col=6&amp;number=3.7&amp;sourceID=14","3.7")</f>
        <v>3.7</v>
      </c>
      <c r="G14171" s="4" t="str">
        <f>HYPERLINK("http://141.218.60.56/~jnz1568/getInfo.php?workbook=10_05.xlsx&amp;sheet=U0&amp;row=14171&amp;col=7&amp;number=8.13e-05&amp;sourceID=14","8.13e-05")</f>
        <v>8.13e-05</v>
      </c>
    </row>
    <row r="14172" spans="1:7">
      <c r="A14172" s="3"/>
      <c r="B14172" s="3"/>
      <c r="C14172" s="3"/>
      <c r="D14172" s="3"/>
      <c r="E14172" s="3">
        <v>9</v>
      </c>
      <c r="F14172" s="4" t="str">
        <f>HYPERLINK("http://141.218.60.56/~jnz1568/getInfo.php?workbook=10_05.xlsx&amp;sheet=U0&amp;row=14172&amp;col=6&amp;number=3.8&amp;sourceID=14","3.8")</f>
        <v>3.8</v>
      </c>
      <c r="G14172" s="4" t="str">
        <f>HYPERLINK("http://141.218.60.56/~jnz1568/getInfo.php?workbook=10_05.xlsx&amp;sheet=U0&amp;row=14172&amp;col=7&amp;number=8.11e-05&amp;sourceID=14","8.11e-05")</f>
        <v>8.11e-05</v>
      </c>
    </row>
    <row r="14173" spans="1:7">
      <c r="A14173" s="3"/>
      <c r="B14173" s="3"/>
      <c r="C14173" s="3"/>
      <c r="D14173" s="3"/>
      <c r="E14173" s="3">
        <v>10</v>
      </c>
      <c r="F14173" s="4" t="str">
        <f>HYPERLINK("http://141.218.60.56/~jnz1568/getInfo.php?workbook=10_05.xlsx&amp;sheet=U0&amp;row=14173&amp;col=6&amp;number=3.9&amp;sourceID=14","3.9")</f>
        <v>3.9</v>
      </c>
      <c r="G14173" s="4" t="str">
        <f>HYPERLINK("http://141.218.60.56/~jnz1568/getInfo.php?workbook=10_05.xlsx&amp;sheet=U0&amp;row=14173&amp;col=7&amp;number=8.08e-05&amp;sourceID=14","8.08e-05")</f>
        <v>8.08e-05</v>
      </c>
    </row>
    <row r="14174" spans="1:7">
      <c r="A14174" s="3"/>
      <c r="B14174" s="3"/>
      <c r="C14174" s="3"/>
      <c r="D14174" s="3"/>
      <c r="E14174" s="3">
        <v>11</v>
      </c>
      <c r="F14174" s="4" t="str">
        <f>HYPERLINK("http://141.218.60.56/~jnz1568/getInfo.php?workbook=10_05.xlsx&amp;sheet=U0&amp;row=14174&amp;col=6&amp;number=4&amp;sourceID=14","4")</f>
        <v>4</v>
      </c>
      <c r="G14174" s="4" t="str">
        <f>HYPERLINK("http://141.218.60.56/~jnz1568/getInfo.php?workbook=10_05.xlsx&amp;sheet=U0&amp;row=14174&amp;col=7&amp;number=8.06e-05&amp;sourceID=14","8.06e-05")</f>
        <v>8.06e-05</v>
      </c>
    </row>
    <row r="14175" spans="1:7">
      <c r="A14175" s="3"/>
      <c r="B14175" s="3"/>
      <c r="C14175" s="3"/>
      <c r="D14175" s="3"/>
      <c r="E14175" s="3">
        <v>12</v>
      </c>
      <c r="F14175" s="4" t="str">
        <f>HYPERLINK("http://141.218.60.56/~jnz1568/getInfo.php?workbook=10_05.xlsx&amp;sheet=U0&amp;row=14175&amp;col=6&amp;number=4.1&amp;sourceID=14","4.1")</f>
        <v>4.1</v>
      </c>
      <c r="G14175" s="4" t="str">
        <f>HYPERLINK("http://141.218.60.56/~jnz1568/getInfo.php?workbook=10_05.xlsx&amp;sheet=U0&amp;row=14175&amp;col=7&amp;number=8.02e-05&amp;sourceID=14","8.02e-05")</f>
        <v>8.02e-05</v>
      </c>
    </row>
    <row r="14176" spans="1:7">
      <c r="A14176" s="3"/>
      <c r="B14176" s="3"/>
      <c r="C14176" s="3"/>
      <c r="D14176" s="3"/>
      <c r="E14176" s="3">
        <v>13</v>
      </c>
      <c r="F14176" s="4" t="str">
        <f>HYPERLINK("http://141.218.60.56/~jnz1568/getInfo.php?workbook=10_05.xlsx&amp;sheet=U0&amp;row=14176&amp;col=6&amp;number=4.2&amp;sourceID=14","4.2")</f>
        <v>4.2</v>
      </c>
      <c r="G14176" s="4" t="str">
        <f>HYPERLINK("http://141.218.60.56/~jnz1568/getInfo.php?workbook=10_05.xlsx&amp;sheet=U0&amp;row=14176&amp;col=7&amp;number=7.98e-05&amp;sourceID=14","7.98e-05")</f>
        <v>7.98e-05</v>
      </c>
    </row>
    <row r="14177" spans="1:7">
      <c r="A14177" s="3"/>
      <c r="B14177" s="3"/>
      <c r="C14177" s="3"/>
      <c r="D14177" s="3"/>
      <c r="E14177" s="3">
        <v>14</v>
      </c>
      <c r="F14177" s="4" t="str">
        <f>HYPERLINK("http://141.218.60.56/~jnz1568/getInfo.php?workbook=10_05.xlsx&amp;sheet=U0&amp;row=14177&amp;col=6&amp;number=4.3&amp;sourceID=14","4.3")</f>
        <v>4.3</v>
      </c>
      <c r="G14177" s="4" t="str">
        <f>HYPERLINK("http://141.218.60.56/~jnz1568/getInfo.php?workbook=10_05.xlsx&amp;sheet=U0&amp;row=14177&amp;col=7&amp;number=7.93e-05&amp;sourceID=14","7.93e-05")</f>
        <v>7.93e-05</v>
      </c>
    </row>
    <row r="14178" spans="1:7">
      <c r="A14178" s="3"/>
      <c r="B14178" s="3"/>
      <c r="C14178" s="3"/>
      <c r="D14178" s="3"/>
      <c r="E14178" s="3">
        <v>15</v>
      </c>
      <c r="F14178" s="4" t="str">
        <f>HYPERLINK("http://141.218.60.56/~jnz1568/getInfo.php?workbook=10_05.xlsx&amp;sheet=U0&amp;row=14178&amp;col=6&amp;number=4.4&amp;sourceID=14","4.4")</f>
        <v>4.4</v>
      </c>
      <c r="G14178" s="4" t="str">
        <f>HYPERLINK("http://141.218.60.56/~jnz1568/getInfo.php?workbook=10_05.xlsx&amp;sheet=U0&amp;row=14178&amp;col=7&amp;number=7.87e-05&amp;sourceID=14","7.87e-05")</f>
        <v>7.87e-05</v>
      </c>
    </row>
    <row r="14179" spans="1:7">
      <c r="A14179" s="3"/>
      <c r="B14179" s="3"/>
      <c r="C14179" s="3"/>
      <c r="D14179" s="3"/>
      <c r="E14179" s="3">
        <v>16</v>
      </c>
      <c r="F14179" s="4" t="str">
        <f>HYPERLINK("http://141.218.60.56/~jnz1568/getInfo.php?workbook=10_05.xlsx&amp;sheet=U0&amp;row=14179&amp;col=6&amp;number=4.5&amp;sourceID=14","4.5")</f>
        <v>4.5</v>
      </c>
      <c r="G14179" s="4" t="str">
        <f>HYPERLINK("http://141.218.60.56/~jnz1568/getInfo.php?workbook=10_05.xlsx&amp;sheet=U0&amp;row=14179&amp;col=7&amp;number=7.8e-05&amp;sourceID=14","7.8e-05")</f>
        <v>7.8e-05</v>
      </c>
    </row>
    <row r="14180" spans="1:7">
      <c r="A14180" s="3"/>
      <c r="B14180" s="3"/>
      <c r="C14180" s="3"/>
      <c r="D14180" s="3"/>
      <c r="E14180" s="3">
        <v>17</v>
      </c>
      <c r="F14180" s="4" t="str">
        <f>HYPERLINK("http://141.218.60.56/~jnz1568/getInfo.php?workbook=10_05.xlsx&amp;sheet=U0&amp;row=14180&amp;col=6&amp;number=4.6&amp;sourceID=14","4.6")</f>
        <v>4.6</v>
      </c>
      <c r="G14180" s="4" t="str">
        <f>HYPERLINK("http://141.218.60.56/~jnz1568/getInfo.php?workbook=10_05.xlsx&amp;sheet=U0&amp;row=14180&amp;col=7&amp;number=7.72e-05&amp;sourceID=14","7.72e-05")</f>
        <v>7.72e-05</v>
      </c>
    </row>
    <row r="14181" spans="1:7">
      <c r="A14181" s="3"/>
      <c r="B14181" s="3"/>
      <c r="C14181" s="3"/>
      <c r="D14181" s="3"/>
      <c r="E14181" s="3">
        <v>18</v>
      </c>
      <c r="F14181" s="4" t="str">
        <f>HYPERLINK("http://141.218.60.56/~jnz1568/getInfo.php?workbook=10_05.xlsx&amp;sheet=U0&amp;row=14181&amp;col=6&amp;number=4.7&amp;sourceID=14","4.7")</f>
        <v>4.7</v>
      </c>
      <c r="G14181" s="4" t="str">
        <f>HYPERLINK("http://141.218.60.56/~jnz1568/getInfo.php?workbook=10_05.xlsx&amp;sheet=U0&amp;row=14181&amp;col=7&amp;number=7.63e-05&amp;sourceID=14","7.63e-05")</f>
        <v>7.63e-05</v>
      </c>
    </row>
    <row r="14182" spans="1:7">
      <c r="A14182" s="3"/>
      <c r="B14182" s="3"/>
      <c r="C14182" s="3"/>
      <c r="D14182" s="3"/>
      <c r="E14182" s="3">
        <v>19</v>
      </c>
      <c r="F14182" s="4" t="str">
        <f>HYPERLINK("http://141.218.60.56/~jnz1568/getInfo.php?workbook=10_05.xlsx&amp;sheet=U0&amp;row=14182&amp;col=6&amp;number=4.8&amp;sourceID=14","4.8")</f>
        <v>4.8</v>
      </c>
      <c r="G14182" s="4" t="str">
        <f>HYPERLINK("http://141.218.60.56/~jnz1568/getInfo.php?workbook=10_05.xlsx&amp;sheet=U0&amp;row=14182&amp;col=7&amp;number=7.52e-05&amp;sourceID=14","7.52e-05")</f>
        <v>7.52e-05</v>
      </c>
    </row>
    <row r="14183" spans="1:7">
      <c r="A14183" s="3"/>
      <c r="B14183" s="3"/>
      <c r="C14183" s="3"/>
      <c r="D14183" s="3"/>
      <c r="E14183" s="3">
        <v>20</v>
      </c>
      <c r="F14183" s="4" t="str">
        <f>HYPERLINK("http://141.218.60.56/~jnz1568/getInfo.php?workbook=10_05.xlsx&amp;sheet=U0&amp;row=14183&amp;col=6&amp;number=4.9&amp;sourceID=14","4.9")</f>
        <v>4.9</v>
      </c>
      <c r="G14183" s="4" t="str">
        <f>HYPERLINK("http://141.218.60.56/~jnz1568/getInfo.php?workbook=10_05.xlsx&amp;sheet=U0&amp;row=14183&amp;col=7&amp;number=7.4e-05&amp;sourceID=14","7.4e-05")</f>
        <v>7.4e-05</v>
      </c>
    </row>
    <row r="14184" spans="1:7">
      <c r="A14184" s="3">
        <v>10</v>
      </c>
      <c r="B14184" s="3">
        <v>5</v>
      </c>
      <c r="C14184" s="3">
        <v>4</v>
      </c>
      <c r="D14184" s="3">
        <v>180</v>
      </c>
      <c r="E14184" s="3">
        <v>1</v>
      </c>
      <c r="F14184" s="4" t="str">
        <f>HYPERLINK("http://141.218.60.56/~jnz1568/getInfo.php?workbook=10_05.xlsx&amp;sheet=U0&amp;row=14184&amp;col=6&amp;number=3&amp;sourceID=14","3")</f>
        <v>3</v>
      </c>
      <c r="G14184" s="4" t="str">
        <f>HYPERLINK("http://141.218.60.56/~jnz1568/getInfo.php?workbook=10_05.xlsx&amp;sheet=U0&amp;row=14184&amp;col=7&amp;number=0.000119&amp;sourceID=14","0.000119")</f>
        <v>0.000119</v>
      </c>
    </row>
    <row r="14185" spans="1:7">
      <c r="A14185" s="3"/>
      <c r="B14185" s="3"/>
      <c r="C14185" s="3"/>
      <c r="D14185" s="3"/>
      <c r="E14185" s="3">
        <v>2</v>
      </c>
      <c r="F14185" s="4" t="str">
        <f>HYPERLINK("http://141.218.60.56/~jnz1568/getInfo.php?workbook=10_05.xlsx&amp;sheet=U0&amp;row=14185&amp;col=6&amp;number=3.1&amp;sourceID=14","3.1")</f>
        <v>3.1</v>
      </c>
      <c r="G14185" s="4" t="str">
        <f>HYPERLINK("http://141.218.60.56/~jnz1568/getInfo.php?workbook=10_05.xlsx&amp;sheet=U0&amp;row=14185&amp;col=7&amp;number=0.000119&amp;sourceID=14","0.000119")</f>
        <v>0.000119</v>
      </c>
    </row>
    <row r="14186" spans="1:7">
      <c r="A14186" s="3"/>
      <c r="B14186" s="3"/>
      <c r="C14186" s="3"/>
      <c r="D14186" s="3"/>
      <c r="E14186" s="3">
        <v>3</v>
      </c>
      <c r="F14186" s="4" t="str">
        <f>HYPERLINK("http://141.218.60.56/~jnz1568/getInfo.php?workbook=10_05.xlsx&amp;sheet=U0&amp;row=14186&amp;col=6&amp;number=3.2&amp;sourceID=14","3.2")</f>
        <v>3.2</v>
      </c>
      <c r="G14186" s="4" t="str">
        <f>HYPERLINK("http://141.218.60.56/~jnz1568/getInfo.php?workbook=10_05.xlsx&amp;sheet=U0&amp;row=14186&amp;col=7&amp;number=0.000119&amp;sourceID=14","0.000119")</f>
        <v>0.000119</v>
      </c>
    </row>
    <row r="14187" spans="1:7">
      <c r="A14187" s="3"/>
      <c r="B14187" s="3"/>
      <c r="C14187" s="3"/>
      <c r="D14187" s="3"/>
      <c r="E14187" s="3">
        <v>4</v>
      </c>
      <c r="F14187" s="4" t="str">
        <f>HYPERLINK("http://141.218.60.56/~jnz1568/getInfo.php?workbook=10_05.xlsx&amp;sheet=U0&amp;row=14187&amp;col=6&amp;number=3.3&amp;sourceID=14","3.3")</f>
        <v>3.3</v>
      </c>
      <c r="G14187" s="4" t="str">
        <f>HYPERLINK("http://141.218.60.56/~jnz1568/getInfo.php?workbook=10_05.xlsx&amp;sheet=U0&amp;row=14187&amp;col=7&amp;number=0.000119&amp;sourceID=14","0.000119")</f>
        <v>0.000119</v>
      </c>
    </row>
    <row r="14188" spans="1:7">
      <c r="A14188" s="3"/>
      <c r="B14188" s="3"/>
      <c r="C14188" s="3"/>
      <c r="D14188" s="3"/>
      <c r="E14188" s="3">
        <v>5</v>
      </c>
      <c r="F14188" s="4" t="str">
        <f>HYPERLINK("http://141.218.60.56/~jnz1568/getInfo.php?workbook=10_05.xlsx&amp;sheet=U0&amp;row=14188&amp;col=6&amp;number=3.4&amp;sourceID=14","3.4")</f>
        <v>3.4</v>
      </c>
      <c r="G14188" s="4" t="str">
        <f>HYPERLINK("http://141.218.60.56/~jnz1568/getInfo.php?workbook=10_05.xlsx&amp;sheet=U0&amp;row=14188&amp;col=7&amp;number=0.000119&amp;sourceID=14","0.000119")</f>
        <v>0.000119</v>
      </c>
    </row>
    <row r="14189" spans="1:7">
      <c r="A14189" s="3"/>
      <c r="B14189" s="3"/>
      <c r="C14189" s="3"/>
      <c r="D14189" s="3"/>
      <c r="E14189" s="3">
        <v>6</v>
      </c>
      <c r="F14189" s="4" t="str">
        <f>HYPERLINK("http://141.218.60.56/~jnz1568/getInfo.php?workbook=10_05.xlsx&amp;sheet=U0&amp;row=14189&amp;col=6&amp;number=3.5&amp;sourceID=14","3.5")</f>
        <v>3.5</v>
      </c>
      <c r="G14189" s="4" t="str">
        <f>HYPERLINK("http://141.218.60.56/~jnz1568/getInfo.php?workbook=10_05.xlsx&amp;sheet=U0&amp;row=14189&amp;col=7&amp;number=0.000118&amp;sourceID=14","0.000118")</f>
        <v>0.000118</v>
      </c>
    </row>
    <row r="14190" spans="1:7">
      <c r="A14190" s="3"/>
      <c r="B14190" s="3"/>
      <c r="C14190" s="3"/>
      <c r="D14190" s="3"/>
      <c r="E14190" s="3">
        <v>7</v>
      </c>
      <c r="F14190" s="4" t="str">
        <f>HYPERLINK("http://141.218.60.56/~jnz1568/getInfo.php?workbook=10_05.xlsx&amp;sheet=U0&amp;row=14190&amp;col=6&amp;number=3.6&amp;sourceID=14","3.6")</f>
        <v>3.6</v>
      </c>
      <c r="G14190" s="4" t="str">
        <f>HYPERLINK("http://141.218.60.56/~jnz1568/getInfo.php?workbook=10_05.xlsx&amp;sheet=U0&amp;row=14190&amp;col=7&amp;number=0.000118&amp;sourceID=14","0.000118")</f>
        <v>0.000118</v>
      </c>
    </row>
    <row r="14191" spans="1:7">
      <c r="A14191" s="3"/>
      <c r="B14191" s="3"/>
      <c r="C14191" s="3"/>
      <c r="D14191" s="3"/>
      <c r="E14191" s="3">
        <v>8</v>
      </c>
      <c r="F14191" s="4" t="str">
        <f>HYPERLINK("http://141.218.60.56/~jnz1568/getInfo.php?workbook=10_05.xlsx&amp;sheet=U0&amp;row=14191&amp;col=6&amp;number=3.7&amp;sourceID=14","3.7")</f>
        <v>3.7</v>
      </c>
      <c r="G14191" s="4" t="str">
        <f>HYPERLINK("http://141.218.60.56/~jnz1568/getInfo.php?workbook=10_05.xlsx&amp;sheet=U0&amp;row=14191&amp;col=7&amp;number=0.000118&amp;sourceID=14","0.000118")</f>
        <v>0.000118</v>
      </c>
    </row>
    <row r="14192" spans="1:7">
      <c r="A14192" s="3"/>
      <c r="B14192" s="3"/>
      <c r="C14192" s="3"/>
      <c r="D14192" s="3"/>
      <c r="E14192" s="3">
        <v>9</v>
      </c>
      <c r="F14192" s="4" t="str">
        <f>HYPERLINK("http://141.218.60.56/~jnz1568/getInfo.php?workbook=10_05.xlsx&amp;sheet=U0&amp;row=14192&amp;col=6&amp;number=3.8&amp;sourceID=14","3.8")</f>
        <v>3.8</v>
      </c>
      <c r="G14192" s="4" t="str">
        <f>HYPERLINK("http://141.218.60.56/~jnz1568/getInfo.php?workbook=10_05.xlsx&amp;sheet=U0&amp;row=14192&amp;col=7&amp;number=0.000117&amp;sourceID=14","0.000117")</f>
        <v>0.000117</v>
      </c>
    </row>
    <row r="14193" spans="1:7">
      <c r="A14193" s="3"/>
      <c r="B14193" s="3"/>
      <c r="C14193" s="3"/>
      <c r="D14193" s="3"/>
      <c r="E14193" s="3">
        <v>10</v>
      </c>
      <c r="F14193" s="4" t="str">
        <f>HYPERLINK("http://141.218.60.56/~jnz1568/getInfo.php?workbook=10_05.xlsx&amp;sheet=U0&amp;row=14193&amp;col=6&amp;number=3.9&amp;sourceID=14","3.9")</f>
        <v>3.9</v>
      </c>
      <c r="G14193" s="4" t="str">
        <f>HYPERLINK("http://141.218.60.56/~jnz1568/getInfo.php?workbook=10_05.xlsx&amp;sheet=U0&amp;row=14193&amp;col=7&amp;number=0.000117&amp;sourceID=14","0.000117")</f>
        <v>0.000117</v>
      </c>
    </row>
    <row r="14194" spans="1:7">
      <c r="A14194" s="3"/>
      <c r="B14194" s="3"/>
      <c r="C14194" s="3"/>
      <c r="D14194" s="3"/>
      <c r="E14194" s="3">
        <v>11</v>
      </c>
      <c r="F14194" s="4" t="str">
        <f>HYPERLINK("http://141.218.60.56/~jnz1568/getInfo.php?workbook=10_05.xlsx&amp;sheet=U0&amp;row=14194&amp;col=6&amp;number=4&amp;sourceID=14","4")</f>
        <v>4</v>
      </c>
      <c r="G14194" s="4" t="str">
        <f>HYPERLINK("http://141.218.60.56/~jnz1568/getInfo.php?workbook=10_05.xlsx&amp;sheet=U0&amp;row=14194&amp;col=7&amp;number=0.000116&amp;sourceID=14","0.000116")</f>
        <v>0.000116</v>
      </c>
    </row>
    <row r="14195" spans="1:7">
      <c r="A14195" s="3"/>
      <c r="B14195" s="3"/>
      <c r="C14195" s="3"/>
      <c r="D14195" s="3"/>
      <c r="E14195" s="3">
        <v>12</v>
      </c>
      <c r="F14195" s="4" t="str">
        <f>HYPERLINK("http://141.218.60.56/~jnz1568/getInfo.php?workbook=10_05.xlsx&amp;sheet=U0&amp;row=14195&amp;col=6&amp;number=4.1&amp;sourceID=14","4.1")</f>
        <v>4.1</v>
      </c>
      <c r="G14195" s="4" t="str">
        <f>HYPERLINK("http://141.218.60.56/~jnz1568/getInfo.php?workbook=10_05.xlsx&amp;sheet=U0&amp;row=14195&amp;col=7&amp;number=0.000115&amp;sourceID=14","0.000115")</f>
        <v>0.000115</v>
      </c>
    </row>
    <row r="14196" spans="1:7">
      <c r="A14196" s="3"/>
      <c r="B14196" s="3"/>
      <c r="C14196" s="3"/>
      <c r="D14196" s="3"/>
      <c r="E14196" s="3">
        <v>13</v>
      </c>
      <c r="F14196" s="4" t="str">
        <f>HYPERLINK("http://141.218.60.56/~jnz1568/getInfo.php?workbook=10_05.xlsx&amp;sheet=U0&amp;row=14196&amp;col=6&amp;number=4.2&amp;sourceID=14","4.2")</f>
        <v>4.2</v>
      </c>
      <c r="G14196" s="4" t="str">
        <f>HYPERLINK("http://141.218.60.56/~jnz1568/getInfo.php?workbook=10_05.xlsx&amp;sheet=U0&amp;row=14196&amp;col=7&amp;number=0.000114&amp;sourceID=14","0.000114")</f>
        <v>0.000114</v>
      </c>
    </row>
    <row r="14197" spans="1:7">
      <c r="A14197" s="3"/>
      <c r="B14197" s="3"/>
      <c r="C14197" s="3"/>
      <c r="D14197" s="3"/>
      <c r="E14197" s="3">
        <v>14</v>
      </c>
      <c r="F14197" s="4" t="str">
        <f>HYPERLINK("http://141.218.60.56/~jnz1568/getInfo.php?workbook=10_05.xlsx&amp;sheet=U0&amp;row=14197&amp;col=6&amp;number=4.3&amp;sourceID=14","4.3")</f>
        <v>4.3</v>
      </c>
      <c r="G14197" s="4" t="str">
        <f>HYPERLINK("http://141.218.60.56/~jnz1568/getInfo.php?workbook=10_05.xlsx&amp;sheet=U0&amp;row=14197&amp;col=7&amp;number=0.000113&amp;sourceID=14","0.000113")</f>
        <v>0.000113</v>
      </c>
    </row>
    <row r="14198" spans="1:7">
      <c r="A14198" s="3"/>
      <c r="B14198" s="3"/>
      <c r="C14198" s="3"/>
      <c r="D14198" s="3"/>
      <c r="E14198" s="3">
        <v>15</v>
      </c>
      <c r="F14198" s="4" t="str">
        <f>HYPERLINK("http://141.218.60.56/~jnz1568/getInfo.php?workbook=10_05.xlsx&amp;sheet=U0&amp;row=14198&amp;col=6&amp;number=4.4&amp;sourceID=14","4.4")</f>
        <v>4.4</v>
      </c>
      <c r="G14198" s="4" t="str">
        <f>HYPERLINK("http://141.218.60.56/~jnz1568/getInfo.php?workbook=10_05.xlsx&amp;sheet=U0&amp;row=14198&amp;col=7&amp;number=0.000112&amp;sourceID=14","0.000112")</f>
        <v>0.000112</v>
      </c>
    </row>
    <row r="14199" spans="1:7">
      <c r="A14199" s="3"/>
      <c r="B14199" s="3"/>
      <c r="C14199" s="3"/>
      <c r="D14199" s="3"/>
      <c r="E14199" s="3">
        <v>16</v>
      </c>
      <c r="F14199" s="4" t="str">
        <f>HYPERLINK("http://141.218.60.56/~jnz1568/getInfo.php?workbook=10_05.xlsx&amp;sheet=U0&amp;row=14199&amp;col=6&amp;number=4.5&amp;sourceID=14","4.5")</f>
        <v>4.5</v>
      </c>
      <c r="G14199" s="4" t="str">
        <f>HYPERLINK("http://141.218.60.56/~jnz1568/getInfo.php?workbook=10_05.xlsx&amp;sheet=U0&amp;row=14199&amp;col=7&amp;number=0.000111&amp;sourceID=14","0.000111")</f>
        <v>0.000111</v>
      </c>
    </row>
    <row r="14200" spans="1:7">
      <c r="A14200" s="3"/>
      <c r="B14200" s="3"/>
      <c r="C14200" s="3"/>
      <c r="D14200" s="3"/>
      <c r="E14200" s="3">
        <v>17</v>
      </c>
      <c r="F14200" s="4" t="str">
        <f>HYPERLINK("http://141.218.60.56/~jnz1568/getInfo.php?workbook=10_05.xlsx&amp;sheet=U0&amp;row=14200&amp;col=6&amp;number=4.6&amp;sourceID=14","4.6")</f>
        <v>4.6</v>
      </c>
      <c r="G14200" s="4" t="str">
        <f>HYPERLINK("http://141.218.60.56/~jnz1568/getInfo.php?workbook=10_05.xlsx&amp;sheet=U0&amp;row=14200&amp;col=7&amp;number=0.000109&amp;sourceID=14","0.000109")</f>
        <v>0.000109</v>
      </c>
    </row>
    <row r="14201" spans="1:7">
      <c r="A14201" s="3"/>
      <c r="B14201" s="3"/>
      <c r="C14201" s="3"/>
      <c r="D14201" s="3"/>
      <c r="E14201" s="3">
        <v>18</v>
      </c>
      <c r="F14201" s="4" t="str">
        <f>HYPERLINK("http://141.218.60.56/~jnz1568/getInfo.php?workbook=10_05.xlsx&amp;sheet=U0&amp;row=14201&amp;col=6&amp;number=4.7&amp;sourceID=14","4.7")</f>
        <v>4.7</v>
      </c>
      <c r="G14201" s="4" t="str">
        <f>HYPERLINK("http://141.218.60.56/~jnz1568/getInfo.php?workbook=10_05.xlsx&amp;sheet=U0&amp;row=14201&amp;col=7&amp;number=0.000108&amp;sourceID=14","0.000108")</f>
        <v>0.000108</v>
      </c>
    </row>
    <row r="14202" spans="1:7">
      <c r="A14202" s="3"/>
      <c r="B14202" s="3"/>
      <c r="C14202" s="3"/>
      <c r="D14202" s="3"/>
      <c r="E14202" s="3">
        <v>19</v>
      </c>
      <c r="F14202" s="4" t="str">
        <f>HYPERLINK("http://141.218.60.56/~jnz1568/getInfo.php?workbook=10_05.xlsx&amp;sheet=U0&amp;row=14202&amp;col=6&amp;number=4.8&amp;sourceID=14","4.8")</f>
        <v>4.8</v>
      </c>
      <c r="G14202" s="4" t="str">
        <f>HYPERLINK("http://141.218.60.56/~jnz1568/getInfo.php?workbook=10_05.xlsx&amp;sheet=U0&amp;row=14202&amp;col=7&amp;number=0.000107&amp;sourceID=14","0.000107")</f>
        <v>0.000107</v>
      </c>
    </row>
    <row r="14203" spans="1:7">
      <c r="A14203" s="3"/>
      <c r="B14203" s="3"/>
      <c r="C14203" s="3"/>
      <c r="D14203" s="3"/>
      <c r="E14203" s="3">
        <v>20</v>
      </c>
      <c r="F14203" s="4" t="str">
        <f>HYPERLINK("http://141.218.60.56/~jnz1568/getInfo.php?workbook=10_05.xlsx&amp;sheet=U0&amp;row=14203&amp;col=6&amp;number=4.9&amp;sourceID=14","4.9")</f>
        <v>4.9</v>
      </c>
      <c r="G14203" s="4" t="str">
        <f>HYPERLINK("http://141.218.60.56/~jnz1568/getInfo.php?workbook=10_05.xlsx&amp;sheet=U0&amp;row=14203&amp;col=7&amp;number=0.000105&amp;sourceID=14","0.000105")</f>
        <v>0.000105</v>
      </c>
    </row>
    <row r="14204" spans="1:7">
      <c r="A14204" s="3">
        <v>10</v>
      </c>
      <c r="B14204" s="3">
        <v>5</v>
      </c>
      <c r="C14204" s="3">
        <v>5</v>
      </c>
      <c r="D14204" s="3">
        <v>6</v>
      </c>
      <c r="E14204" s="3">
        <v>1</v>
      </c>
      <c r="F14204" s="4" t="str">
        <f>HYPERLINK("http://141.218.60.56/~jnz1568/getInfo.php?workbook=10_05.xlsx&amp;sheet=U0&amp;row=14204&amp;col=6&amp;number=3&amp;sourceID=14","3")</f>
        <v>3</v>
      </c>
      <c r="G14204" s="4" t="str">
        <f>HYPERLINK("http://141.218.60.56/~jnz1568/getInfo.php?workbook=10_05.xlsx&amp;sheet=U0&amp;row=14204&amp;col=7&amp;number=0.818&amp;sourceID=14","0.818")</f>
        <v>0.818</v>
      </c>
    </row>
    <row r="14205" spans="1:7">
      <c r="A14205" s="3"/>
      <c r="B14205" s="3"/>
      <c r="C14205" s="3"/>
      <c r="D14205" s="3"/>
      <c r="E14205" s="3">
        <v>2</v>
      </c>
      <c r="F14205" s="4" t="str">
        <f>HYPERLINK("http://141.218.60.56/~jnz1568/getInfo.php?workbook=10_05.xlsx&amp;sheet=U0&amp;row=14205&amp;col=6&amp;number=3.1&amp;sourceID=14","3.1")</f>
        <v>3.1</v>
      </c>
      <c r="G14205" s="4" t="str">
        <f>HYPERLINK("http://141.218.60.56/~jnz1568/getInfo.php?workbook=10_05.xlsx&amp;sheet=U0&amp;row=14205&amp;col=7&amp;number=0.817&amp;sourceID=14","0.817")</f>
        <v>0.817</v>
      </c>
    </row>
    <row r="14206" spans="1:7">
      <c r="A14206" s="3"/>
      <c r="B14206" s="3"/>
      <c r="C14206" s="3"/>
      <c r="D14206" s="3"/>
      <c r="E14206" s="3">
        <v>3</v>
      </c>
      <c r="F14206" s="4" t="str">
        <f>HYPERLINK("http://141.218.60.56/~jnz1568/getInfo.php?workbook=10_05.xlsx&amp;sheet=U0&amp;row=14206&amp;col=6&amp;number=3.2&amp;sourceID=14","3.2")</f>
        <v>3.2</v>
      </c>
      <c r="G14206" s="4" t="str">
        <f>HYPERLINK("http://141.218.60.56/~jnz1568/getInfo.php?workbook=10_05.xlsx&amp;sheet=U0&amp;row=14206&amp;col=7&amp;number=0.815&amp;sourceID=14","0.815")</f>
        <v>0.815</v>
      </c>
    </row>
    <row r="14207" spans="1:7">
      <c r="A14207" s="3"/>
      <c r="B14207" s="3"/>
      <c r="C14207" s="3"/>
      <c r="D14207" s="3"/>
      <c r="E14207" s="3">
        <v>4</v>
      </c>
      <c r="F14207" s="4" t="str">
        <f>HYPERLINK("http://141.218.60.56/~jnz1568/getInfo.php?workbook=10_05.xlsx&amp;sheet=U0&amp;row=14207&amp;col=6&amp;number=3.3&amp;sourceID=14","3.3")</f>
        <v>3.3</v>
      </c>
      <c r="G14207" s="4" t="str">
        <f>HYPERLINK("http://141.218.60.56/~jnz1568/getInfo.php?workbook=10_05.xlsx&amp;sheet=U0&amp;row=14207&amp;col=7&amp;number=0.813&amp;sourceID=14","0.813")</f>
        <v>0.813</v>
      </c>
    </row>
    <row r="14208" spans="1:7">
      <c r="A14208" s="3"/>
      <c r="B14208" s="3"/>
      <c r="C14208" s="3"/>
      <c r="D14208" s="3"/>
      <c r="E14208" s="3">
        <v>5</v>
      </c>
      <c r="F14208" s="4" t="str">
        <f>HYPERLINK("http://141.218.60.56/~jnz1568/getInfo.php?workbook=10_05.xlsx&amp;sheet=U0&amp;row=14208&amp;col=6&amp;number=3.4&amp;sourceID=14","3.4")</f>
        <v>3.4</v>
      </c>
      <c r="G14208" s="4" t="str">
        <f>HYPERLINK("http://141.218.60.56/~jnz1568/getInfo.php?workbook=10_05.xlsx&amp;sheet=U0&amp;row=14208&amp;col=7&amp;number=0.811&amp;sourceID=14","0.811")</f>
        <v>0.811</v>
      </c>
    </row>
    <row r="14209" spans="1:7">
      <c r="A14209" s="3"/>
      <c r="B14209" s="3"/>
      <c r="C14209" s="3"/>
      <c r="D14209" s="3"/>
      <c r="E14209" s="3">
        <v>6</v>
      </c>
      <c r="F14209" s="4" t="str">
        <f>HYPERLINK("http://141.218.60.56/~jnz1568/getInfo.php?workbook=10_05.xlsx&amp;sheet=U0&amp;row=14209&amp;col=6&amp;number=3.5&amp;sourceID=14","3.5")</f>
        <v>3.5</v>
      </c>
      <c r="G14209" s="4" t="str">
        <f>HYPERLINK("http://141.218.60.56/~jnz1568/getInfo.php?workbook=10_05.xlsx&amp;sheet=U0&amp;row=14209&amp;col=7&amp;number=0.808&amp;sourceID=14","0.808")</f>
        <v>0.808</v>
      </c>
    </row>
    <row r="14210" spans="1:7">
      <c r="A14210" s="3"/>
      <c r="B14210" s="3"/>
      <c r="C14210" s="3"/>
      <c r="D14210" s="3"/>
      <c r="E14210" s="3">
        <v>7</v>
      </c>
      <c r="F14210" s="4" t="str">
        <f>HYPERLINK("http://141.218.60.56/~jnz1568/getInfo.php?workbook=10_05.xlsx&amp;sheet=U0&amp;row=14210&amp;col=6&amp;number=3.6&amp;sourceID=14","3.6")</f>
        <v>3.6</v>
      </c>
      <c r="G14210" s="4" t="str">
        <f>HYPERLINK("http://141.218.60.56/~jnz1568/getInfo.php?workbook=10_05.xlsx&amp;sheet=U0&amp;row=14210&amp;col=7&amp;number=0.804&amp;sourceID=14","0.804")</f>
        <v>0.804</v>
      </c>
    </row>
    <row r="14211" spans="1:7">
      <c r="A14211" s="3"/>
      <c r="B14211" s="3"/>
      <c r="C14211" s="3"/>
      <c r="D14211" s="3"/>
      <c r="E14211" s="3">
        <v>8</v>
      </c>
      <c r="F14211" s="4" t="str">
        <f>HYPERLINK("http://141.218.60.56/~jnz1568/getInfo.php?workbook=10_05.xlsx&amp;sheet=U0&amp;row=14211&amp;col=6&amp;number=3.7&amp;sourceID=14","3.7")</f>
        <v>3.7</v>
      </c>
      <c r="G14211" s="4" t="str">
        <f>HYPERLINK("http://141.218.60.56/~jnz1568/getInfo.php?workbook=10_05.xlsx&amp;sheet=U0&amp;row=14211&amp;col=7&amp;number=0.8&amp;sourceID=14","0.8")</f>
        <v>0.8</v>
      </c>
    </row>
    <row r="14212" spans="1:7">
      <c r="A14212" s="3"/>
      <c r="B14212" s="3"/>
      <c r="C14212" s="3"/>
      <c r="D14212" s="3"/>
      <c r="E14212" s="3">
        <v>9</v>
      </c>
      <c r="F14212" s="4" t="str">
        <f>HYPERLINK("http://141.218.60.56/~jnz1568/getInfo.php?workbook=10_05.xlsx&amp;sheet=U0&amp;row=14212&amp;col=6&amp;number=3.8&amp;sourceID=14","3.8")</f>
        <v>3.8</v>
      </c>
      <c r="G14212" s="4" t="str">
        <f>HYPERLINK("http://141.218.60.56/~jnz1568/getInfo.php?workbook=10_05.xlsx&amp;sheet=U0&amp;row=14212&amp;col=7&amp;number=0.794&amp;sourceID=14","0.794")</f>
        <v>0.794</v>
      </c>
    </row>
    <row r="14213" spans="1:7">
      <c r="A14213" s="3"/>
      <c r="B14213" s="3"/>
      <c r="C14213" s="3"/>
      <c r="D14213" s="3"/>
      <c r="E14213" s="3">
        <v>10</v>
      </c>
      <c r="F14213" s="4" t="str">
        <f>HYPERLINK("http://141.218.60.56/~jnz1568/getInfo.php?workbook=10_05.xlsx&amp;sheet=U0&amp;row=14213&amp;col=6&amp;number=3.9&amp;sourceID=14","3.9")</f>
        <v>3.9</v>
      </c>
      <c r="G14213" s="4" t="str">
        <f>HYPERLINK("http://141.218.60.56/~jnz1568/getInfo.php?workbook=10_05.xlsx&amp;sheet=U0&amp;row=14213&amp;col=7&amp;number=0.787&amp;sourceID=14","0.787")</f>
        <v>0.787</v>
      </c>
    </row>
    <row r="14214" spans="1:7">
      <c r="A14214" s="3"/>
      <c r="B14214" s="3"/>
      <c r="C14214" s="3"/>
      <c r="D14214" s="3"/>
      <c r="E14214" s="3">
        <v>11</v>
      </c>
      <c r="F14214" s="4" t="str">
        <f>HYPERLINK("http://141.218.60.56/~jnz1568/getInfo.php?workbook=10_05.xlsx&amp;sheet=U0&amp;row=14214&amp;col=6&amp;number=4&amp;sourceID=14","4")</f>
        <v>4</v>
      </c>
      <c r="G14214" s="4" t="str">
        <f>HYPERLINK("http://141.218.60.56/~jnz1568/getInfo.php?workbook=10_05.xlsx&amp;sheet=U0&amp;row=14214&amp;col=7&amp;number=0.778&amp;sourceID=14","0.778")</f>
        <v>0.778</v>
      </c>
    </row>
    <row r="14215" spans="1:7">
      <c r="A14215" s="3"/>
      <c r="B14215" s="3"/>
      <c r="C14215" s="3"/>
      <c r="D14215" s="3"/>
      <c r="E14215" s="3">
        <v>12</v>
      </c>
      <c r="F14215" s="4" t="str">
        <f>HYPERLINK("http://141.218.60.56/~jnz1568/getInfo.php?workbook=10_05.xlsx&amp;sheet=U0&amp;row=14215&amp;col=6&amp;number=4.1&amp;sourceID=14","4.1")</f>
        <v>4.1</v>
      </c>
      <c r="G14215" s="4" t="str">
        <f>HYPERLINK("http://141.218.60.56/~jnz1568/getInfo.php?workbook=10_05.xlsx&amp;sheet=U0&amp;row=14215&amp;col=7&amp;number=0.768&amp;sourceID=14","0.768")</f>
        <v>0.768</v>
      </c>
    </row>
    <row r="14216" spans="1:7">
      <c r="A14216" s="3"/>
      <c r="B14216" s="3"/>
      <c r="C14216" s="3"/>
      <c r="D14216" s="3"/>
      <c r="E14216" s="3">
        <v>13</v>
      </c>
      <c r="F14216" s="4" t="str">
        <f>HYPERLINK("http://141.218.60.56/~jnz1568/getInfo.php?workbook=10_05.xlsx&amp;sheet=U0&amp;row=14216&amp;col=6&amp;number=4.2&amp;sourceID=14","4.2")</f>
        <v>4.2</v>
      </c>
      <c r="G14216" s="4" t="str">
        <f>HYPERLINK("http://141.218.60.56/~jnz1568/getInfo.php?workbook=10_05.xlsx&amp;sheet=U0&amp;row=14216&amp;col=7&amp;number=0.756&amp;sourceID=14","0.756")</f>
        <v>0.756</v>
      </c>
    </row>
    <row r="14217" spans="1:7">
      <c r="A14217" s="3"/>
      <c r="B14217" s="3"/>
      <c r="C14217" s="3"/>
      <c r="D14217" s="3"/>
      <c r="E14217" s="3">
        <v>14</v>
      </c>
      <c r="F14217" s="4" t="str">
        <f>HYPERLINK("http://141.218.60.56/~jnz1568/getInfo.php?workbook=10_05.xlsx&amp;sheet=U0&amp;row=14217&amp;col=6&amp;number=4.3&amp;sourceID=14","4.3")</f>
        <v>4.3</v>
      </c>
      <c r="G14217" s="4" t="str">
        <f>HYPERLINK("http://141.218.60.56/~jnz1568/getInfo.php?workbook=10_05.xlsx&amp;sheet=U0&amp;row=14217&amp;col=7&amp;number=0.742&amp;sourceID=14","0.742")</f>
        <v>0.742</v>
      </c>
    </row>
    <row r="14218" spans="1:7">
      <c r="A14218" s="3"/>
      <c r="B14218" s="3"/>
      <c r="C14218" s="3"/>
      <c r="D14218" s="3"/>
      <c r="E14218" s="3">
        <v>15</v>
      </c>
      <c r="F14218" s="4" t="str">
        <f>HYPERLINK("http://141.218.60.56/~jnz1568/getInfo.php?workbook=10_05.xlsx&amp;sheet=U0&amp;row=14218&amp;col=6&amp;number=4.4&amp;sourceID=14","4.4")</f>
        <v>4.4</v>
      </c>
      <c r="G14218" s="4" t="str">
        <f>HYPERLINK("http://141.218.60.56/~jnz1568/getInfo.php?workbook=10_05.xlsx&amp;sheet=U0&amp;row=14218&amp;col=7&amp;number=0.727&amp;sourceID=14","0.727")</f>
        <v>0.727</v>
      </c>
    </row>
    <row r="14219" spans="1:7">
      <c r="A14219" s="3"/>
      <c r="B14219" s="3"/>
      <c r="C14219" s="3"/>
      <c r="D14219" s="3"/>
      <c r="E14219" s="3">
        <v>16</v>
      </c>
      <c r="F14219" s="4" t="str">
        <f>HYPERLINK("http://141.218.60.56/~jnz1568/getInfo.php?workbook=10_05.xlsx&amp;sheet=U0&amp;row=14219&amp;col=6&amp;number=4.5&amp;sourceID=14","4.5")</f>
        <v>4.5</v>
      </c>
      <c r="G14219" s="4" t="str">
        <f>HYPERLINK("http://141.218.60.56/~jnz1568/getInfo.php?workbook=10_05.xlsx&amp;sheet=U0&amp;row=14219&amp;col=7&amp;number=0.711&amp;sourceID=14","0.711")</f>
        <v>0.711</v>
      </c>
    </row>
    <row r="14220" spans="1:7">
      <c r="A14220" s="3"/>
      <c r="B14220" s="3"/>
      <c r="C14220" s="3"/>
      <c r="D14220" s="3"/>
      <c r="E14220" s="3">
        <v>17</v>
      </c>
      <c r="F14220" s="4" t="str">
        <f>HYPERLINK("http://141.218.60.56/~jnz1568/getInfo.php?workbook=10_05.xlsx&amp;sheet=U0&amp;row=14220&amp;col=6&amp;number=4.6&amp;sourceID=14","4.6")</f>
        <v>4.6</v>
      </c>
      <c r="G14220" s="4" t="str">
        <f>HYPERLINK("http://141.218.60.56/~jnz1568/getInfo.php?workbook=10_05.xlsx&amp;sheet=U0&amp;row=14220&amp;col=7&amp;number=0.694&amp;sourceID=14","0.694")</f>
        <v>0.694</v>
      </c>
    </row>
    <row r="14221" spans="1:7">
      <c r="A14221" s="3"/>
      <c r="B14221" s="3"/>
      <c r="C14221" s="3"/>
      <c r="D14221" s="3"/>
      <c r="E14221" s="3">
        <v>18</v>
      </c>
      <c r="F14221" s="4" t="str">
        <f>HYPERLINK("http://141.218.60.56/~jnz1568/getInfo.php?workbook=10_05.xlsx&amp;sheet=U0&amp;row=14221&amp;col=6&amp;number=4.7&amp;sourceID=14","4.7")</f>
        <v>4.7</v>
      </c>
      <c r="G14221" s="4" t="str">
        <f>HYPERLINK("http://141.218.60.56/~jnz1568/getInfo.php?workbook=10_05.xlsx&amp;sheet=U0&amp;row=14221&amp;col=7&amp;number=0.677&amp;sourceID=14","0.677")</f>
        <v>0.677</v>
      </c>
    </row>
    <row r="14222" spans="1:7">
      <c r="A14222" s="3"/>
      <c r="B14222" s="3"/>
      <c r="C14222" s="3"/>
      <c r="D14222" s="3"/>
      <c r="E14222" s="3">
        <v>19</v>
      </c>
      <c r="F14222" s="4" t="str">
        <f>HYPERLINK("http://141.218.60.56/~jnz1568/getInfo.php?workbook=10_05.xlsx&amp;sheet=U0&amp;row=14222&amp;col=6&amp;number=4.8&amp;sourceID=14","4.8")</f>
        <v>4.8</v>
      </c>
      <c r="G14222" s="4" t="str">
        <f>HYPERLINK("http://141.218.60.56/~jnz1568/getInfo.php?workbook=10_05.xlsx&amp;sheet=U0&amp;row=14222&amp;col=7&amp;number=0.66&amp;sourceID=14","0.66")</f>
        <v>0.66</v>
      </c>
    </row>
    <row r="14223" spans="1:7">
      <c r="A14223" s="3"/>
      <c r="B14223" s="3"/>
      <c r="C14223" s="3"/>
      <c r="D14223" s="3"/>
      <c r="E14223" s="3">
        <v>20</v>
      </c>
      <c r="F14223" s="4" t="str">
        <f>HYPERLINK("http://141.218.60.56/~jnz1568/getInfo.php?workbook=10_05.xlsx&amp;sheet=U0&amp;row=14223&amp;col=6&amp;number=4.9&amp;sourceID=14","4.9")</f>
        <v>4.9</v>
      </c>
      <c r="G14223" s="4" t="str">
        <f>HYPERLINK("http://141.218.60.56/~jnz1568/getInfo.php?workbook=10_05.xlsx&amp;sheet=U0&amp;row=14223&amp;col=7&amp;number=0.643&amp;sourceID=14","0.643")</f>
        <v>0.643</v>
      </c>
    </row>
    <row r="14224" spans="1:7">
      <c r="A14224" s="3">
        <v>10</v>
      </c>
      <c r="B14224" s="3">
        <v>5</v>
      </c>
      <c r="C14224" s="3">
        <v>5</v>
      </c>
      <c r="D14224" s="3">
        <v>7</v>
      </c>
      <c r="E14224" s="3">
        <v>1</v>
      </c>
      <c r="F14224" s="4" t="str">
        <f>HYPERLINK("http://141.218.60.56/~jnz1568/getInfo.php?workbook=10_05.xlsx&amp;sheet=U0&amp;row=14224&amp;col=6&amp;number=3&amp;sourceID=14","3")</f>
        <v>3</v>
      </c>
      <c r="G14224" s="4" t="str">
        <f>HYPERLINK("http://141.218.60.56/~jnz1568/getInfo.php?workbook=10_05.xlsx&amp;sheet=U0&amp;row=14224&amp;col=7&amp;number=0.261&amp;sourceID=14","0.261")</f>
        <v>0.261</v>
      </c>
    </row>
    <row r="14225" spans="1:7">
      <c r="A14225" s="3"/>
      <c r="B14225" s="3"/>
      <c r="C14225" s="3"/>
      <c r="D14225" s="3"/>
      <c r="E14225" s="3">
        <v>2</v>
      </c>
      <c r="F14225" s="4" t="str">
        <f>HYPERLINK("http://141.218.60.56/~jnz1568/getInfo.php?workbook=10_05.xlsx&amp;sheet=U0&amp;row=14225&amp;col=6&amp;number=3.1&amp;sourceID=14","3.1")</f>
        <v>3.1</v>
      </c>
      <c r="G14225" s="4" t="str">
        <f>HYPERLINK("http://141.218.60.56/~jnz1568/getInfo.php?workbook=10_05.xlsx&amp;sheet=U0&amp;row=14225&amp;col=7&amp;number=0.261&amp;sourceID=14","0.261")</f>
        <v>0.261</v>
      </c>
    </row>
    <row r="14226" spans="1:7">
      <c r="A14226" s="3"/>
      <c r="B14226" s="3"/>
      <c r="C14226" s="3"/>
      <c r="D14226" s="3"/>
      <c r="E14226" s="3">
        <v>3</v>
      </c>
      <c r="F14226" s="4" t="str">
        <f>HYPERLINK("http://141.218.60.56/~jnz1568/getInfo.php?workbook=10_05.xlsx&amp;sheet=U0&amp;row=14226&amp;col=6&amp;number=3.2&amp;sourceID=14","3.2")</f>
        <v>3.2</v>
      </c>
      <c r="G14226" s="4" t="str">
        <f>HYPERLINK("http://141.218.60.56/~jnz1568/getInfo.php?workbook=10_05.xlsx&amp;sheet=U0&amp;row=14226&amp;col=7&amp;number=0.261&amp;sourceID=14","0.261")</f>
        <v>0.261</v>
      </c>
    </row>
    <row r="14227" spans="1:7">
      <c r="A14227" s="3"/>
      <c r="B14227" s="3"/>
      <c r="C14227" s="3"/>
      <c r="D14227" s="3"/>
      <c r="E14227" s="3">
        <v>4</v>
      </c>
      <c r="F14227" s="4" t="str">
        <f>HYPERLINK("http://141.218.60.56/~jnz1568/getInfo.php?workbook=10_05.xlsx&amp;sheet=U0&amp;row=14227&amp;col=6&amp;number=3.3&amp;sourceID=14","3.3")</f>
        <v>3.3</v>
      </c>
      <c r="G14227" s="4" t="str">
        <f>HYPERLINK("http://141.218.60.56/~jnz1568/getInfo.php?workbook=10_05.xlsx&amp;sheet=U0&amp;row=14227&amp;col=7&amp;number=0.261&amp;sourceID=14","0.261")</f>
        <v>0.261</v>
      </c>
    </row>
    <row r="14228" spans="1:7">
      <c r="A14228" s="3"/>
      <c r="B14228" s="3"/>
      <c r="C14228" s="3"/>
      <c r="D14228" s="3"/>
      <c r="E14228" s="3">
        <v>5</v>
      </c>
      <c r="F14228" s="4" t="str">
        <f>HYPERLINK("http://141.218.60.56/~jnz1568/getInfo.php?workbook=10_05.xlsx&amp;sheet=U0&amp;row=14228&amp;col=6&amp;number=3.4&amp;sourceID=14","3.4")</f>
        <v>3.4</v>
      </c>
      <c r="G14228" s="4" t="str">
        <f>HYPERLINK("http://141.218.60.56/~jnz1568/getInfo.php?workbook=10_05.xlsx&amp;sheet=U0&amp;row=14228&amp;col=7&amp;number=0.26&amp;sourceID=14","0.26")</f>
        <v>0.26</v>
      </c>
    </row>
    <row r="14229" spans="1:7">
      <c r="A14229" s="3"/>
      <c r="B14229" s="3"/>
      <c r="C14229" s="3"/>
      <c r="D14229" s="3"/>
      <c r="E14229" s="3">
        <v>6</v>
      </c>
      <c r="F14229" s="4" t="str">
        <f>HYPERLINK("http://141.218.60.56/~jnz1568/getInfo.php?workbook=10_05.xlsx&amp;sheet=U0&amp;row=14229&amp;col=6&amp;number=3.5&amp;sourceID=14","3.5")</f>
        <v>3.5</v>
      </c>
      <c r="G14229" s="4" t="str">
        <f>HYPERLINK("http://141.218.60.56/~jnz1568/getInfo.php?workbook=10_05.xlsx&amp;sheet=U0&amp;row=14229&amp;col=7&amp;number=0.26&amp;sourceID=14","0.26")</f>
        <v>0.26</v>
      </c>
    </row>
    <row r="14230" spans="1:7">
      <c r="A14230" s="3"/>
      <c r="B14230" s="3"/>
      <c r="C14230" s="3"/>
      <c r="D14230" s="3"/>
      <c r="E14230" s="3">
        <v>7</v>
      </c>
      <c r="F14230" s="4" t="str">
        <f>HYPERLINK("http://141.218.60.56/~jnz1568/getInfo.php?workbook=10_05.xlsx&amp;sheet=U0&amp;row=14230&amp;col=6&amp;number=3.6&amp;sourceID=14","3.6")</f>
        <v>3.6</v>
      </c>
      <c r="G14230" s="4" t="str">
        <f>HYPERLINK("http://141.218.60.56/~jnz1568/getInfo.php?workbook=10_05.xlsx&amp;sheet=U0&amp;row=14230&amp;col=7&amp;number=0.26&amp;sourceID=14","0.26")</f>
        <v>0.26</v>
      </c>
    </row>
    <row r="14231" spans="1:7">
      <c r="A14231" s="3"/>
      <c r="B14231" s="3"/>
      <c r="C14231" s="3"/>
      <c r="D14231" s="3"/>
      <c r="E14231" s="3">
        <v>8</v>
      </c>
      <c r="F14231" s="4" t="str">
        <f>HYPERLINK("http://141.218.60.56/~jnz1568/getInfo.php?workbook=10_05.xlsx&amp;sheet=U0&amp;row=14231&amp;col=6&amp;number=3.7&amp;sourceID=14","3.7")</f>
        <v>3.7</v>
      </c>
      <c r="G14231" s="4" t="str">
        <f>HYPERLINK("http://141.218.60.56/~jnz1568/getInfo.php?workbook=10_05.xlsx&amp;sheet=U0&amp;row=14231&amp;col=7&amp;number=0.259&amp;sourceID=14","0.259")</f>
        <v>0.259</v>
      </c>
    </row>
    <row r="14232" spans="1:7">
      <c r="A14232" s="3"/>
      <c r="B14232" s="3"/>
      <c r="C14232" s="3"/>
      <c r="D14232" s="3"/>
      <c r="E14232" s="3">
        <v>9</v>
      </c>
      <c r="F14232" s="4" t="str">
        <f>HYPERLINK("http://141.218.60.56/~jnz1568/getInfo.php?workbook=10_05.xlsx&amp;sheet=U0&amp;row=14232&amp;col=6&amp;number=3.8&amp;sourceID=14","3.8")</f>
        <v>3.8</v>
      </c>
      <c r="G14232" s="4" t="str">
        <f>HYPERLINK("http://141.218.60.56/~jnz1568/getInfo.php?workbook=10_05.xlsx&amp;sheet=U0&amp;row=14232&amp;col=7&amp;number=0.259&amp;sourceID=14","0.259")</f>
        <v>0.259</v>
      </c>
    </row>
    <row r="14233" spans="1:7">
      <c r="A14233" s="3"/>
      <c r="B14233" s="3"/>
      <c r="C14233" s="3"/>
      <c r="D14233" s="3"/>
      <c r="E14233" s="3">
        <v>10</v>
      </c>
      <c r="F14233" s="4" t="str">
        <f>HYPERLINK("http://141.218.60.56/~jnz1568/getInfo.php?workbook=10_05.xlsx&amp;sheet=U0&amp;row=14233&amp;col=6&amp;number=3.9&amp;sourceID=14","3.9")</f>
        <v>3.9</v>
      </c>
      <c r="G14233" s="4" t="str">
        <f>HYPERLINK("http://141.218.60.56/~jnz1568/getInfo.php?workbook=10_05.xlsx&amp;sheet=U0&amp;row=14233&amp;col=7&amp;number=0.258&amp;sourceID=14","0.258")</f>
        <v>0.258</v>
      </c>
    </row>
    <row r="14234" spans="1:7">
      <c r="A14234" s="3"/>
      <c r="B14234" s="3"/>
      <c r="C14234" s="3"/>
      <c r="D14234" s="3"/>
      <c r="E14234" s="3">
        <v>11</v>
      </c>
      <c r="F14234" s="4" t="str">
        <f>HYPERLINK("http://141.218.60.56/~jnz1568/getInfo.php?workbook=10_05.xlsx&amp;sheet=U0&amp;row=14234&amp;col=6&amp;number=4&amp;sourceID=14","4")</f>
        <v>4</v>
      </c>
      <c r="G14234" s="4" t="str">
        <f>HYPERLINK("http://141.218.60.56/~jnz1568/getInfo.php?workbook=10_05.xlsx&amp;sheet=U0&amp;row=14234&amp;col=7&amp;number=0.258&amp;sourceID=14","0.258")</f>
        <v>0.258</v>
      </c>
    </row>
    <row r="14235" spans="1:7">
      <c r="A14235" s="3"/>
      <c r="B14235" s="3"/>
      <c r="C14235" s="3"/>
      <c r="D14235" s="3"/>
      <c r="E14235" s="3">
        <v>12</v>
      </c>
      <c r="F14235" s="4" t="str">
        <f>HYPERLINK("http://141.218.60.56/~jnz1568/getInfo.php?workbook=10_05.xlsx&amp;sheet=U0&amp;row=14235&amp;col=6&amp;number=4.1&amp;sourceID=14","4.1")</f>
        <v>4.1</v>
      </c>
      <c r="G14235" s="4" t="str">
        <f>HYPERLINK("http://141.218.60.56/~jnz1568/getInfo.php?workbook=10_05.xlsx&amp;sheet=U0&amp;row=14235&amp;col=7&amp;number=0.257&amp;sourceID=14","0.257")</f>
        <v>0.257</v>
      </c>
    </row>
    <row r="14236" spans="1:7">
      <c r="A14236" s="3"/>
      <c r="B14236" s="3"/>
      <c r="C14236" s="3"/>
      <c r="D14236" s="3"/>
      <c r="E14236" s="3">
        <v>13</v>
      </c>
      <c r="F14236" s="4" t="str">
        <f>HYPERLINK("http://141.218.60.56/~jnz1568/getInfo.php?workbook=10_05.xlsx&amp;sheet=U0&amp;row=14236&amp;col=6&amp;number=4.2&amp;sourceID=14","4.2")</f>
        <v>4.2</v>
      </c>
      <c r="G14236" s="4" t="str">
        <f>HYPERLINK("http://141.218.60.56/~jnz1568/getInfo.php?workbook=10_05.xlsx&amp;sheet=U0&amp;row=14236&amp;col=7&amp;number=0.255&amp;sourceID=14","0.255")</f>
        <v>0.255</v>
      </c>
    </row>
    <row r="14237" spans="1:7">
      <c r="A14237" s="3"/>
      <c r="B14237" s="3"/>
      <c r="C14237" s="3"/>
      <c r="D14237" s="3"/>
      <c r="E14237" s="3">
        <v>14</v>
      </c>
      <c r="F14237" s="4" t="str">
        <f>HYPERLINK("http://141.218.60.56/~jnz1568/getInfo.php?workbook=10_05.xlsx&amp;sheet=U0&amp;row=14237&amp;col=6&amp;number=4.3&amp;sourceID=14","4.3")</f>
        <v>4.3</v>
      </c>
      <c r="G14237" s="4" t="str">
        <f>HYPERLINK("http://141.218.60.56/~jnz1568/getInfo.php?workbook=10_05.xlsx&amp;sheet=U0&amp;row=14237&amp;col=7&amp;number=0.254&amp;sourceID=14","0.254")</f>
        <v>0.254</v>
      </c>
    </row>
    <row r="14238" spans="1:7">
      <c r="A14238" s="3"/>
      <c r="B14238" s="3"/>
      <c r="C14238" s="3"/>
      <c r="D14238" s="3"/>
      <c r="E14238" s="3">
        <v>15</v>
      </c>
      <c r="F14238" s="4" t="str">
        <f>HYPERLINK("http://141.218.60.56/~jnz1568/getInfo.php?workbook=10_05.xlsx&amp;sheet=U0&amp;row=14238&amp;col=6&amp;number=4.4&amp;sourceID=14","4.4")</f>
        <v>4.4</v>
      </c>
      <c r="G14238" s="4" t="str">
        <f>HYPERLINK("http://141.218.60.56/~jnz1568/getInfo.php?workbook=10_05.xlsx&amp;sheet=U0&amp;row=14238&amp;col=7&amp;number=0.252&amp;sourceID=14","0.252")</f>
        <v>0.252</v>
      </c>
    </row>
    <row r="14239" spans="1:7">
      <c r="A14239" s="3"/>
      <c r="B14239" s="3"/>
      <c r="C14239" s="3"/>
      <c r="D14239" s="3"/>
      <c r="E14239" s="3">
        <v>16</v>
      </c>
      <c r="F14239" s="4" t="str">
        <f>HYPERLINK("http://141.218.60.56/~jnz1568/getInfo.php?workbook=10_05.xlsx&amp;sheet=U0&amp;row=14239&amp;col=6&amp;number=4.5&amp;sourceID=14","4.5")</f>
        <v>4.5</v>
      </c>
      <c r="G14239" s="4" t="str">
        <f>HYPERLINK("http://141.218.60.56/~jnz1568/getInfo.php?workbook=10_05.xlsx&amp;sheet=U0&amp;row=14239&amp;col=7&amp;number=0.25&amp;sourceID=14","0.25")</f>
        <v>0.25</v>
      </c>
    </row>
    <row r="14240" spans="1:7">
      <c r="A14240" s="3"/>
      <c r="B14240" s="3"/>
      <c r="C14240" s="3"/>
      <c r="D14240" s="3"/>
      <c r="E14240" s="3">
        <v>17</v>
      </c>
      <c r="F14240" s="4" t="str">
        <f>HYPERLINK("http://141.218.60.56/~jnz1568/getInfo.php?workbook=10_05.xlsx&amp;sheet=U0&amp;row=14240&amp;col=6&amp;number=4.6&amp;sourceID=14","4.6")</f>
        <v>4.6</v>
      </c>
      <c r="G14240" s="4" t="str">
        <f>HYPERLINK("http://141.218.60.56/~jnz1568/getInfo.php?workbook=10_05.xlsx&amp;sheet=U0&amp;row=14240&amp;col=7&amp;number=0.248&amp;sourceID=14","0.248")</f>
        <v>0.248</v>
      </c>
    </row>
    <row r="14241" spans="1:7">
      <c r="A14241" s="3"/>
      <c r="B14241" s="3"/>
      <c r="C14241" s="3"/>
      <c r="D14241" s="3"/>
      <c r="E14241" s="3">
        <v>18</v>
      </c>
      <c r="F14241" s="4" t="str">
        <f>HYPERLINK("http://141.218.60.56/~jnz1568/getInfo.php?workbook=10_05.xlsx&amp;sheet=U0&amp;row=14241&amp;col=6&amp;number=4.7&amp;sourceID=14","4.7")</f>
        <v>4.7</v>
      </c>
      <c r="G14241" s="4" t="str">
        <f>HYPERLINK("http://141.218.60.56/~jnz1568/getInfo.php?workbook=10_05.xlsx&amp;sheet=U0&amp;row=14241&amp;col=7&amp;number=0.245&amp;sourceID=14","0.245")</f>
        <v>0.245</v>
      </c>
    </row>
    <row r="14242" spans="1:7">
      <c r="A14242" s="3"/>
      <c r="B14242" s="3"/>
      <c r="C14242" s="3"/>
      <c r="D14242" s="3"/>
      <c r="E14242" s="3">
        <v>19</v>
      </c>
      <c r="F14242" s="4" t="str">
        <f>HYPERLINK("http://141.218.60.56/~jnz1568/getInfo.php?workbook=10_05.xlsx&amp;sheet=U0&amp;row=14242&amp;col=6&amp;number=4.8&amp;sourceID=14","4.8")</f>
        <v>4.8</v>
      </c>
      <c r="G14242" s="4" t="str">
        <f>HYPERLINK("http://141.218.60.56/~jnz1568/getInfo.php?workbook=10_05.xlsx&amp;sheet=U0&amp;row=14242&amp;col=7&amp;number=0.241&amp;sourceID=14","0.241")</f>
        <v>0.241</v>
      </c>
    </row>
    <row r="14243" spans="1:7">
      <c r="A14243" s="3"/>
      <c r="B14243" s="3"/>
      <c r="C14243" s="3"/>
      <c r="D14243" s="3"/>
      <c r="E14243" s="3">
        <v>20</v>
      </c>
      <c r="F14243" s="4" t="str">
        <f>HYPERLINK("http://141.218.60.56/~jnz1568/getInfo.php?workbook=10_05.xlsx&amp;sheet=U0&amp;row=14243&amp;col=6&amp;number=4.9&amp;sourceID=14","4.9")</f>
        <v>4.9</v>
      </c>
      <c r="G14243" s="4" t="str">
        <f>HYPERLINK("http://141.218.60.56/~jnz1568/getInfo.php?workbook=10_05.xlsx&amp;sheet=U0&amp;row=14243&amp;col=7&amp;number=0.236&amp;sourceID=14","0.236")</f>
        <v>0.236</v>
      </c>
    </row>
    <row r="14244" spans="1:7">
      <c r="A14244" s="3">
        <v>10</v>
      </c>
      <c r="B14244" s="3">
        <v>5</v>
      </c>
      <c r="C14244" s="3">
        <v>5</v>
      </c>
      <c r="D14244" s="3">
        <v>8</v>
      </c>
      <c r="E14244" s="3">
        <v>1</v>
      </c>
      <c r="F14244" s="4" t="str">
        <f>HYPERLINK("http://141.218.60.56/~jnz1568/getInfo.php?workbook=10_05.xlsx&amp;sheet=U0&amp;row=14244&amp;col=6&amp;number=3&amp;sourceID=14","3")</f>
        <v>3</v>
      </c>
      <c r="G14244" s="4" t="str">
        <f>HYPERLINK("http://141.218.60.56/~jnz1568/getInfo.php?workbook=10_05.xlsx&amp;sheet=U0&amp;row=14244&amp;col=7&amp;number=0.151&amp;sourceID=14","0.151")</f>
        <v>0.151</v>
      </c>
    </row>
    <row r="14245" spans="1:7">
      <c r="A14245" s="3"/>
      <c r="B14245" s="3"/>
      <c r="C14245" s="3"/>
      <c r="D14245" s="3"/>
      <c r="E14245" s="3">
        <v>2</v>
      </c>
      <c r="F14245" s="4" t="str">
        <f>HYPERLINK("http://141.218.60.56/~jnz1568/getInfo.php?workbook=10_05.xlsx&amp;sheet=U0&amp;row=14245&amp;col=6&amp;number=3.1&amp;sourceID=14","3.1")</f>
        <v>3.1</v>
      </c>
      <c r="G14245" s="4" t="str">
        <f>HYPERLINK("http://141.218.60.56/~jnz1568/getInfo.php?workbook=10_05.xlsx&amp;sheet=U0&amp;row=14245&amp;col=7&amp;number=0.151&amp;sourceID=14","0.151")</f>
        <v>0.151</v>
      </c>
    </row>
    <row r="14246" spans="1:7">
      <c r="A14246" s="3"/>
      <c r="B14246" s="3"/>
      <c r="C14246" s="3"/>
      <c r="D14246" s="3"/>
      <c r="E14246" s="3">
        <v>3</v>
      </c>
      <c r="F14246" s="4" t="str">
        <f>HYPERLINK("http://141.218.60.56/~jnz1568/getInfo.php?workbook=10_05.xlsx&amp;sheet=U0&amp;row=14246&amp;col=6&amp;number=3.2&amp;sourceID=14","3.2")</f>
        <v>3.2</v>
      </c>
      <c r="G14246" s="4" t="str">
        <f>HYPERLINK("http://141.218.60.56/~jnz1568/getInfo.php?workbook=10_05.xlsx&amp;sheet=U0&amp;row=14246&amp;col=7&amp;number=0.15&amp;sourceID=14","0.15")</f>
        <v>0.15</v>
      </c>
    </row>
    <row r="14247" spans="1:7">
      <c r="A14247" s="3"/>
      <c r="B14247" s="3"/>
      <c r="C14247" s="3"/>
      <c r="D14247" s="3"/>
      <c r="E14247" s="3">
        <v>4</v>
      </c>
      <c r="F14247" s="4" t="str">
        <f>HYPERLINK("http://141.218.60.56/~jnz1568/getInfo.php?workbook=10_05.xlsx&amp;sheet=U0&amp;row=14247&amp;col=6&amp;number=3.3&amp;sourceID=14","3.3")</f>
        <v>3.3</v>
      </c>
      <c r="G14247" s="4" t="str">
        <f>HYPERLINK("http://141.218.60.56/~jnz1568/getInfo.php?workbook=10_05.xlsx&amp;sheet=U0&amp;row=14247&amp;col=7&amp;number=0.15&amp;sourceID=14","0.15")</f>
        <v>0.15</v>
      </c>
    </row>
    <row r="14248" spans="1:7">
      <c r="A14248" s="3"/>
      <c r="B14248" s="3"/>
      <c r="C14248" s="3"/>
      <c r="D14248" s="3"/>
      <c r="E14248" s="3">
        <v>5</v>
      </c>
      <c r="F14248" s="4" t="str">
        <f>HYPERLINK("http://141.218.60.56/~jnz1568/getInfo.php?workbook=10_05.xlsx&amp;sheet=U0&amp;row=14248&amp;col=6&amp;number=3.4&amp;sourceID=14","3.4")</f>
        <v>3.4</v>
      </c>
      <c r="G14248" s="4" t="str">
        <f>HYPERLINK("http://141.218.60.56/~jnz1568/getInfo.php?workbook=10_05.xlsx&amp;sheet=U0&amp;row=14248&amp;col=7&amp;number=0.149&amp;sourceID=14","0.149")</f>
        <v>0.149</v>
      </c>
    </row>
    <row r="14249" spans="1:7">
      <c r="A14249" s="3"/>
      <c r="B14249" s="3"/>
      <c r="C14249" s="3"/>
      <c r="D14249" s="3"/>
      <c r="E14249" s="3">
        <v>6</v>
      </c>
      <c r="F14249" s="4" t="str">
        <f>HYPERLINK("http://141.218.60.56/~jnz1568/getInfo.php?workbook=10_05.xlsx&amp;sheet=U0&amp;row=14249&amp;col=6&amp;number=3.5&amp;sourceID=14","3.5")</f>
        <v>3.5</v>
      </c>
      <c r="G14249" s="4" t="str">
        <f>HYPERLINK("http://141.218.60.56/~jnz1568/getInfo.php?workbook=10_05.xlsx&amp;sheet=U0&amp;row=14249&amp;col=7&amp;number=0.148&amp;sourceID=14","0.148")</f>
        <v>0.148</v>
      </c>
    </row>
    <row r="14250" spans="1:7">
      <c r="A14250" s="3"/>
      <c r="B14250" s="3"/>
      <c r="C14250" s="3"/>
      <c r="D14250" s="3"/>
      <c r="E14250" s="3">
        <v>7</v>
      </c>
      <c r="F14250" s="4" t="str">
        <f>HYPERLINK("http://141.218.60.56/~jnz1568/getInfo.php?workbook=10_05.xlsx&amp;sheet=U0&amp;row=14250&amp;col=6&amp;number=3.6&amp;sourceID=14","3.6")</f>
        <v>3.6</v>
      </c>
      <c r="G14250" s="4" t="str">
        <f>HYPERLINK("http://141.218.60.56/~jnz1568/getInfo.php?workbook=10_05.xlsx&amp;sheet=U0&amp;row=14250&amp;col=7&amp;number=0.147&amp;sourceID=14","0.147")</f>
        <v>0.147</v>
      </c>
    </row>
    <row r="14251" spans="1:7">
      <c r="A14251" s="3"/>
      <c r="B14251" s="3"/>
      <c r="C14251" s="3"/>
      <c r="D14251" s="3"/>
      <c r="E14251" s="3">
        <v>8</v>
      </c>
      <c r="F14251" s="4" t="str">
        <f>HYPERLINK("http://141.218.60.56/~jnz1568/getInfo.php?workbook=10_05.xlsx&amp;sheet=U0&amp;row=14251&amp;col=6&amp;number=3.7&amp;sourceID=14","3.7")</f>
        <v>3.7</v>
      </c>
      <c r="G14251" s="4" t="str">
        <f>HYPERLINK("http://141.218.60.56/~jnz1568/getInfo.php?workbook=10_05.xlsx&amp;sheet=U0&amp;row=14251&amp;col=7&amp;number=0.146&amp;sourceID=14","0.146")</f>
        <v>0.146</v>
      </c>
    </row>
    <row r="14252" spans="1:7">
      <c r="A14252" s="3"/>
      <c r="B14252" s="3"/>
      <c r="C14252" s="3"/>
      <c r="D14252" s="3"/>
      <c r="E14252" s="3">
        <v>9</v>
      </c>
      <c r="F14252" s="4" t="str">
        <f>HYPERLINK("http://141.218.60.56/~jnz1568/getInfo.php?workbook=10_05.xlsx&amp;sheet=U0&amp;row=14252&amp;col=6&amp;number=3.8&amp;sourceID=14","3.8")</f>
        <v>3.8</v>
      </c>
      <c r="G14252" s="4" t="str">
        <f>HYPERLINK("http://141.218.60.56/~jnz1568/getInfo.php?workbook=10_05.xlsx&amp;sheet=U0&amp;row=14252&amp;col=7&amp;number=0.144&amp;sourceID=14","0.144")</f>
        <v>0.144</v>
      </c>
    </row>
    <row r="14253" spans="1:7">
      <c r="A14253" s="3"/>
      <c r="B14253" s="3"/>
      <c r="C14253" s="3"/>
      <c r="D14253" s="3"/>
      <c r="E14253" s="3">
        <v>10</v>
      </c>
      <c r="F14253" s="4" t="str">
        <f>HYPERLINK("http://141.218.60.56/~jnz1568/getInfo.php?workbook=10_05.xlsx&amp;sheet=U0&amp;row=14253&amp;col=6&amp;number=3.9&amp;sourceID=14","3.9")</f>
        <v>3.9</v>
      </c>
      <c r="G14253" s="4" t="str">
        <f>HYPERLINK("http://141.218.60.56/~jnz1568/getInfo.php?workbook=10_05.xlsx&amp;sheet=U0&amp;row=14253&amp;col=7&amp;number=0.142&amp;sourceID=14","0.142")</f>
        <v>0.142</v>
      </c>
    </row>
    <row r="14254" spans="1:7">
      <c r="A14254" s="3"/>
      <c r="B14254" s="3"/>
      <c r="C14254" s="3"/>
      <c r="D14254" s="3"/>
      <c r="E14254" s="3">
        <v>11</v>
      </c>
      <c r="F14254" s="4" t="str">
        <f>HYPERLINK("http://141.218.60.56/~jnz1568/getInfo.php?workbook=10_05.xlsx&amp;sheet=U0&amp;row=14254&amp;col=6&amp;number=4&amp;sourceID=14","4")</f>
        <v>4</v>
      </c>
      <c r="G14254" s="4" t="str">
        <f>HYPERLINK("http://141.218.60.56/~jnz1568/getInfo.php?workbook=10_05.xlsx&amp;sheet=U0&amp;row=14254&amp;col=7&amp;number=0.139&amp;sourceID=14","0.139")</f>
        <v>0.139</v>
      </c>
    </row>
    <row r="14255" spans="1:7">
      <c r="A14255" s="3"/>
      <c r="B14255" s="3"/>
      <c r="C14255" s="3"/>
      <c r="D14255" s="3"/>
      <c r="E14255" s="3">
        <v>12</v>
      </c>
      <c r="F14255" s="4" t="str">
        <f>HYPERLINK("http://141.218.60.56/~jnz1568/getInfo.php?workbook=10_05.xlsx&amp;sheet=U0&amp;row=14255&amp;col=6&amp;number=4.1&amp;sourceID=14","4.1")</f>
        <v>4.1</v>
      </c>
      <c r="G14255" s="4" t="str">
        <f>HYPERLINK("http://141.218.60.56/~jnz1568/getInfo.php?workbook=10_05.xlsx&amp;sheet=U0&amp;row=14255&amp;col=7&amp;number=0.136&amp;sourceID=14","0.136")</f>
        <v>0.136</v>
      </c>
    </row>
    <row r="14256" spans="1:7">
      <c r="A14256" s="3"/>
      <c r="B14256" s="3"/>
      <c r="C14256" s="3"/>
      <c r="D14256" s="3"/>
      <c r="E14256" s="3">
        <v>13</v>
      </c>
      <c r="F14256" s="4" t="str">
        <f>HYPERLINK("http://141.218.60.56/~jnz1568/getInfo.php?workbook=10_05.xlsx&amp;sheet=U0&amp;row=14256&amp;col=6&amp;number=4.2&amp;sourceID=14","4.2")</f>
        <v>4.2</v>
      </c>
      <c r="G14256" s="4" t="str">
        <f>HYPERLINK("http://141.218.60.56/~jnz1568/getInfo.php?workbook=10_05.xlsx&amp;sheet=U0&amp;row=14256&amp;col=7&amp;number=0.133&amp;sourceID=14","0.133")</f>
        <v>0.133</v>
      </c>
    </row>
    <row r="14257" spans="1:7">
      <c r="A14257" s="3"/>
      <c r="B14257" s="3"/>
      <c r="C14257" s="3"/>
      <c r="D14257" s="3"/>
      <c r="E14257" s="3">
        <v>14</v>
      </c>
      <c r="F14257" s="4" t="str">
        <f>HYPERLINK("http://141.218.60.56/~jnz1568/getInfo.php?workbook=10_05.xlsx&amp;sheet=U0&amp;row=14257&amp;col=6&amp;number=4.3&amp;sourceID=14","4.3")</f>
        <v>4.3</v>
      </c>
      <c r="G14257" s="4" t="str">
        <f>HYPERLINK("http://141.218.60.56/~jnz1568/getInfo.php?workbook=10_05.xlsx&amp;sheet=U0&amp;row=14257&amp;col=7&amp;number=0.129&amp;sourceID=14","0.129")</f>
        <v>0.129</v>
      </c>
    </row>
    <row r="14258" spans="1:7">
      <c r="A14258" s="3"/>
      <c r="B14258" s="3"/>
      <c r="C14258" s="3"/>
      <c r="D14258" s="3"/>
      <c r="E14258" s="3">
        <v>15</v>
      </c>
      <c r="F14258" s="4" t="str">
        <f>HYPERLINK("http://141.218.60.56/~jnz1568/getInfo.php?workbook=10_05.xlsx&amp;sheet=U0&amp;row=14258&amp;col=6&amp;number=4.4&amp;sourceID=14","4.4")</f>
        <v>4.4</v>
      </c>
      <c r="G14258" s="4" t="str">
        <f>HYPERLINK("http://141.218.60.56/~jnz1568/getInfo.php?workbook=10_05.xlsx&amp;sheet=U0&amp;row=14258&amp;col=7&amp;number=0.125&amp;sourceID=14","0.125")</f>
        <v>0.125</v>
      </c>
    </row>
    <row r="14259" spans="1:7">
      <c r="A14259" s="3"/>
      <c r="B14259" s="3"/>
      <c r="C14259" s="3"/>
      <c r="D14259" s="3"/>
      <c r="E14259" s="3">
        <v>16</v>
      </c>
      <c r="F14259" s="4" t="str">
        <f>HYPERLINK("http://141.218.60.56/~jnz1568/getInfo.php?workbook=10_05.xlsx&amp;sheet=U0&amp;row=14259&amp;col=6&amp;number=4.5&amp;sourceID=14","4.5")</f>
        <v>4.5</v>
      </c>
      <c r="G14259" s="4" t="str">
        <f>HYPERLINK("http://141.218.60.56/~jnz1568/getInfo.php?workbook=10_05.xlsx&amp;sheet=U0&amp;row=14259&amp;col=7&amp;number=0.12&amp;sourceID=14","0.12")</f>
        <v>0.12</v>
      </c>
    </row>
    <row r="14260" spans="1:7">
      <c r="A14260" s="3"/>
      <c r="B14260" s="3"/>
      <c r="C14260" s="3"/>
      <c r="D14260" s="3"/>
      <c r="E14260" s="3">
        <v>17</v>
      </c>
      <c r="F14260" s="4" t="str">
        <f>HYPERLINK("http://141.218.60.56/~jnz1568/getInfo.php?workbook=10_05.xlsx&amp;sheet=U0&amp;row=14260&amp;col=6&amp;number=4.6&amp;sourceID=14","4.6")</f>
        <v>4.6</v>
      </c>
      <c r="G14260" s="4" t="str">
        <f>HYPERLINK("http://141.218.60.56/~jnz1568/getInfo.php?workbook=10_05.xlsx&amp;sheet=U0&amp;row=14260&amp;col=7&amp;number=0.116&amp;sourceID=14","0.116")</f>
        <v>0.116</v>
      </c>
    </row>
    <row r="14261" spans="1:7">
      <c r="A14261" s="3"/>
      <c r="B14261" s="3"/>
      <c r="C14261" s="3"/>
      <c r="D14261" s="3"/>
      <c r="E14261" s="3">
        <v>18</v>
      </c>
      <c r="F14261" s="4" t="str">
        <f>HYPERLINK("http://141.218.60.56/~jnz1568/getInfo.php?workbook=10_05.xlsx&amp;sheet=U0&amp;row=14261&amp;col=6&amp;number=4.7&amp;sourceID=14","4.7")</f>
        <v>4.7</v>
      </c>
      <c r="G14261" s="4" t="str">
        <f>HYPERLINK("http://141.218.60.56/~jnz1568/getInfo.php?workbook=10_05.xlsx&amp;sheet=U0&amp;row=14261&amp;col=7&amp;number=0.112&amp;sourceID=14","0.112")</f>
        <v>0.112</v>
      </c>
    </row>
    <row r="14262" spans="1:7">
      <c r="A14262" s="3"/>
      <c r="B14262" s="3"/>
      <c r="C14262" s="3"/>
      <c r="D14262" s="3"/>
      <c r="E14262" s="3">
        <v>19</v>
      </c>
      <c r="F14262" s="4" t="str">
        <f>HYPERLINK("http://141.218.60.56/~jnz1568/getInfo.php?workbook=10_05.xlsx&amp;sheet=U0&amp;row=14262&amp;col=6&amp;number=4.8&amp;sourceID=14","4.8")</f>
        <v>4.8</v>
      </c>
      <c r="G14262" s="4" t="str">
        <f>HYPERLINK("http://141.218.60.56/~jnz1568/getInfo.php?workbook=10_05.xlsx&amp;sheet=U0&amp;row=14262&amp;col=7&amp;number=0.108&amp;sourceID=14","0.108")</f>
        <v>0.108</v>
      </c>
    </row>
    <row r="14263" spans="1:7">
      <c r="A14263" s="3"/>
      <c r="B14263" s="3"/>
      <c r="C14263" s="3"/>
      <c r="D14263" s="3"/>
      <c r="E14263" s="3">
        <v>20</v>
      </c>
      <c r="F14263" s="4" t="str">
        <f>HYPERLINK("http://141.218.60.56/~jnz1568/getInfo.php?workbook=10_05.xlsx&amp;sheet=U0&amp;row=14263&amp;col=6&amp;number=4.9&amp;sourceID=14","4.9")</f>
        <v>4.9</v>
      </c>
      <c r="G14263" s="4" t="str">
        <f>HYPERLINK("http://141.218.60.56/~jnz1568/getInfo.php?workbook=10_05.xlsx&amp;sheet=U0&amp;row=14263&amp;col=7&amp;number=0.105&amp;sourceID=14","0.105")</f>
        <v>0.105</v>
      </c>
    </row>
    <row r="14264" spans="1:7">
      <c r="A14264" s="3">
        <v>10</v>
      </c>
      <c r="B14264" s="3">
        <v>5</v>
      </c>
      <c r="C14264" s="3">
        <v>5</v>
      </c>
      <c r="D14264" s="3">
        <v>9</v>
      </c>
      <c r="E14264" s="3">
        <v>1</v>
      </c>
      <c r="F14264" s="4" t="str">
        <f>HYPERLINK("http://141.218.60.56/~jnz1568/getInfo.php?workbook=10_05.xlsx&amp;sheet=U0&amp;row=14264&amp;col=6&amp;number=3&amp;sourceID=14","3")</f>
        <v>3</v>
      </c>
      <c r="G14264" s="4" t="str">
        <f>HYPERLINK("http://141.218.60.56/~jnz1568/getInfo.php?workbook=10_05.xlsx&amp;sheet=U0&amp;row=14264&amp;col=7&amp;number=0.045&amp;sourceID=14","0.045")</f>
        <v>0.045</v>
      </c>
    </row>
    <row r="14265" spans="1:7">
      <c r="A14265" s="3"/>
      <c r="B14265" s="3"/>
      <c r="C14265" s="3"/>
      <c r="D14265" s="3"/>
      <c r="E14265" s="3">
        <v>2</v>
      </c>
      <c r="F14265" s="4" t="str">
        <f>HYPERLINK("http://141.218.60.56/~jnz1568/getInfo.php?workbook=10_05.xlsx&amp;sheet=U0&amp;row=14265&amp;col=6&amp;number=3.1&amp;sourceID=14","3.1")</f>
        <v>3.1</v>
      </c>
      <c r="G14265" s="4" t="str">
        <f>HYPERLINK("http://141.218.60.56/~jnz1568/getInfo.php?workbook=10_05.xlsx&amp;sheet=U0&amp;row=14265&amp;col=7&amp;number=0.0454&amp;sourceID=14","0.0454")</f>
        <v>0.0454</v>
      </c>
    </row>
    <row r="14266" spans="1:7">
      <c r="A14266" s="3"/>
      <c r="B14266" s="3"/>
      <c r="C14266" s="3"/>
      <c r="D14266" s="3"/>
      <c r="E14266" s="3">
        <v>3</v>
      </c>
      <c r="F14266" s="4" t="str">
        <f>HYPERLINK("http://141.218.60.56/~jnz1568/getInfo.php?workbook=10_05.xlsx&amp;sheet=U0&amp;row=14266&amp;col=6&amp;number=3.2&amp;sourceID=14","3.2")</f>
        <v>3.2</v>
      </c>
      <c r="G14266" s="4" t="str">
        <f>HYPERLINK("http://141.218.60.56/~jnz1568/getInfo.php?workbook=10_05.xlsx&amp;sheet=U0&amp;row=14266&amp;col=7&amp;number=0.0459&amp;sourceID=14","0.0459")</f>
        <v>0.0459</v>
      </c>
    </row>
    <row r="14267" spans="1:7">
      <c r="A14267" s="3"/>
      <c r="B14267" s="3"/>
      <c r="C14267" s="3"/>
      <c r="D14267" s="3"/>
      <c r="E14267" s="3">
        <v>4</v>
      </c>
      <c r="F14267" s="4" t="str">
        <f>HYPERLINK("http://141.218.60.56/~jnz1568/getInfo.php?workbook=10_05.xlsx&amp;sheet=U0&amp;row=14267&amp;col=6&amp;number=3.3&amp;sourceID=14","3.3")</f>
        <v>3.3</v>
      </c>
      <c r="G14267" s="4" t="str">
        <f>HYPERLINK("http://141.218.60.56/~jnz1568/getInfo.php?workbook=10_05.xlsx&amp;sheet=U0&amp;row=14267&amp;col=7&amp;number=0.0465&amp;sourceID=14","0.0465")</f>
        <v>0.0465</v>
      </c>
    </row>
    <row r="14268" spans="1:7">
      <c r="A14268" s="3"/>
      <c r="B14268" s="3"/>
      <c r="C14268" s="3"/>
      <c r="D14268" s="3"/>
      <c r="E14268" s="3">
        <v>5</v>
      </c>
      <c r="F14268" s="4" t="str">
        <f>HYPERLINK("http://141.218.60.56/~jnz1568/getInfo.php?workbook=10_05.xlsx&amp;sheet=U0&amp;row=14268&amp;col=6&amp;number=3.4&amp;sourceID=14","3.4")</f>
        <v>3.4</v>
      </c>
      <c r="G14268" s="4" t="str">
        <f>HYPERLINK("http://141.218.60.56/~jnz1568/getInfo.php?workbook=10_05.xlsx&amp;sheet=U0&amp;row=14268&amp;col=7&amp;number=0.0472&amp;sourceID=14","0.0472")</f>
        <v>0.0472</v>
      </c>
    </row>
    <row r="14269" spans="1:7">
      <c r="A14269" s="3"/>
      <c r="B14269" s="3"/>
      <c r="C14269" s="3"/>
      <c r="D14269" s="3"/>
      <c r="E14269" s="3">
        <v>6</v>
      </c>
      <c r="F14269" s="4" t="str">
        <f>HYPERLINK("http://141.218.60.56/~jnz1568/getInfo.php?workbook=10_05.xlsx&amp;sheet=U0&amp;row=14269&amp;col=6&amp;number=3.5&amp;sourceID=14","3.5")</f>
        <v>3.5</v>
      </c>
      <c r="G14269" s="4" t="str">
        <f>HYPERLINK("http://141.218.60.56/~jnz1568/getInfo.php?workbook=10_05.xlsx&amp;sheet=U0&amp;row=14269&amp;col=7&amp;number=0.0481&amp;sourceID=14","0.0481")</f>
        <v>0.0481</v>
      </c>
    </row>
    <row r="14270" spans="1:7">
      <c r="A14270" s="3"/>
      <c r="B14270" s="3"/>
      <c r="C14270" s="3"/>
      <c r="D14270" s="3"/>
      <c r="E14270" s="3">
        <v>7</v>
      </c>
      <c r="F14270" s="4" t="str">
        <f>HYPERLINK("http://141.218.60.56/~jnz1568/getInfo.php?workbook=10_05.xlsx&amp;sheet=U0&amp;row=14270&amp;col=6&amp;number=3.6&amp;sourceID=14","3.6")</f>
        <v>3.6</v>
      </c>
      <c r="G14270" s="4" t="str">
        <f>HYPERLINK("http://141.218.60.56/~jnz1568/getInfo.php?workbook=10_05.xlsx&amp;sheet=U0&amp;row=14270&amp;col=7&amp;number=0.0493&amp;sourceID=14","0.0493")</f>
        <v>0.0493</v>
      </c>
    </row>
    <row r="14271" spans="1:7">
      <c r="A14271" s="3"/>
      <c r="B14271" s="3"/>
      <c r="C14271" s="3"/>
      <c r="D14271" s="3"/>
      <c r="E14271" s="3">
        <v>8</v>
      </c>
      <c r="F14271" s="4" t="str">
        <f>HYPERLINK("http://141.218.60.56/~jnz1568/getInfo.php?workbook=10_05.xlsx&amp;sheet=U0&amp;row=14271&amp;col=6&amp;number=3.7&amp;sourceID=14","3.7")</f>
        <v>3.7</v>
      </c>
      <c r="G14271" s="4" t="str">
        <f>HYPERLINK("http://141.218.60.56/~jnz1568/getInfo.php?workbook=10_05.xlsx&amp;sheet=U0&amp;row=14271&amp;col=7&amp;number=0.0507&amp;sourceID=14","0.0507")</f>
        <v>0.0507</v>
      </c>
    </row>
    <row r="14272" spans="1:7">
      <c r="A14272" s="3"/>
      <c r="B14272" s="3"/>
      <c r="C14272" s="3"/>
      <c r="D14272" s="3"/>
      <c r="E14272" s="3">
        <v>9</v>
      </c>
      <c r="F14272" s="4" t="str">
        <f>HYPERLINK("http://141.218.60.56/~jnz1568/getInfo.php?workbook=10_05.xlsx&amp;sheet=U0&amp;row=14272&amp;col=6&amp;number=3.8&amp;sourceID=14","3.8")</f>
        <v>3.8</v>
      </c>
      <c r="G14272" s="4" t="str">
        <f>HYPERLINK("http://141.218.60.56/~jnz1568/getInfo.php?workbook=10_05.xlsx&amp;sheet=U0&amp;row=14272&amp;col=7&amp;number=0.0524&amp;sourceID=14","0.0524")</f>
        <v>0.0524</v>
      </c>
    </row>
    <row r="14273" spans="1:7">
      <c r="A14273" s="3"/>
      <c r="B14273" s="3"/>
      <c r="C14273" s="3"/>
      <c r="D14273" s="3"/>
      <c r="E14273" s="3">
        <v>10</v>
      </c>
      <c r="F14273" s="4" t="str">
        <f>HYPERLINK("http://141.218.60.56/~jnz1568/getInfo.php?workbook=10_05.xlsx&amp;sheet=U0&amp;row=14273&amp;col=6&amp;number=3.9&amp;sourceID=14","3.9")</f>
        <v>3.9</v>
      </c>
      <c r="G14273" s="4" t="str">
        <f>HYPERLINK("http://141.218.60.56/~jnz1568/getInfo.php?workbook=10_05.xlsx&amp;sheet=U0&amp;row=14273&amp;col=7&amp;number=0.0545&amp;sourceID=14","0.0545")</f>
        <v>0.0545</v>
      </c>
    </row>
    <row r="14274" spans="1:7">
      <c r="A14274" s="3"/>
      <c r="B14274" s="3"/>
      <c r="C14274" s="3"/>
      <c r="D14274" s="3"/>
      <c r="E14274" s="3">
        <v>11</v>
      </c>
      <c r="F14274" s="4" t="str">
        <f>HYPERLINK("http://141.218.60.56/~jnz1568/getInfo.php?workbook=10_05.xlsx&amp;sheet=U0&amp;row=14274&amp;col=6&amp;number=4&amp;sourceID=14","4")</f>
        <v>4</v>
      </c>
      <c r="G14274" s="4" t="str">
        <f>HYPERLINK("http://141.218.60.56/~jnz1568/getInfo.php?workbook=10_05.xlsx&amp;sheet=U0&amp;row=14274&amp;col=7&amp;number=0.057&amp;sourceID=14","0.057")</f>
        <v>0.057</v>
      </c>
    </row>
    <row r="14275" spans="1:7">
      <c r="A14275" s="3"/>
      <c r="B14275" s="3"/>
      <c r="C14275" s="3"/>
      <c r="D14275" s="3"/>
      <c r="E14275" s="3">
        <v>12</v>
      </c>
      <c r="F14275" s="4" t="str">
        <f>HYPERLINK("http://141.218.60.56/~jnz1568/getInfo.php?workbook=10_05.xlsx&amp;sheet=U0&amp;row=14275&amp;col=6&amp;number=4.1&amp;sourceID=14","4.1")</f>
        <v>4.1</v>
      </c>
      <c r="G14275" s="4" t="str">
        <f>HYPERLINK("http://141.218.60.56/~jnz1568/getInfo.php?workbook=10_05.xlsx&amp;sheet=U0&amp;row=14275&amp;col=7&amp;number=0.06&amp;sourceID=14","0.06")</f>
        <v>0.06</v>
      </c>
    </row>
    <row r="14276" spans="1:7">
      <c r="A14276" s="3"/>
      <c r="B14276" s="3"/>
      <c r="C14276" s="3"/>
      <c r="D14276" s="3"/>
      <c r="E14276" s="3">
        <v>13</v>
      </c>
      <c r="F14276" s="4" t="str">
        <f>HYPERLINK("http://141.218.60.56/~jnz1568/getInfo.php?workbook=10_05.xlsx&amp;sheet=U0&amp;row=14276&amp;col=6&amp;number=4.2&amp;sourceID=14","4.2")</f>
        <v>4.2</v>
      </c>
      <c r="G14276" s="4" t="str">
        <f>HYPERLINK("http://141.218.60.56/~jnz1568/getInfo.php?workbook=10_05.xlsx&amp;sheet=U0&amp;row=14276&amp;col=7&amp;number=0.0634&amp;sourceID=14","0.0634")</f>
        <v>0.0634</v>
      </c>
    </row>
    <row r="14277" spans="1:7">
      <c r="A14277" s="3"/>
      <c r="B14277" s="3"/>
      <c r="C14277" s="3"/>
      <c r="D14277" s="3"/>
      <c r="E14277" s="3">
        <v>14</v>
      </c>
      <c r="F14277" s="4" t="str">
        <f>HYPERLINK("http://141.218.60.56/~jnz1568/getInfo.php?workbook=10_05.xlsx&amp;sheet=U0&amp;row=14277&amp;col=6&amp;number=4.3&amp;sourceID=14","4.3")</f>
        <v>4.3</v>
      </c>
      <c r="G14277" s="4" t="str">
        <f>HYPERLINK("http://141.218.60.56/~jnz1568/getInfo.php?workbook=10_05.xlsx&amp;sheet=U0&amp;row=14277&amp;col=7&amp;number=0.0671&amp;sourceID=14","0.0671")</f>
        <v>0.0671</v>
      </c>
    </row>
    <row r="14278" spans="1:7">
      <c r="A14278" s="3"/>
      <c r="B14278" s="3"/>
      <c r="C14278" s="3"/>
      <c r="D14278" s="3"/>
      <c r="E14278" s="3">
        <v>15</v>
      </c>
      <c r="F14278" s="4" t="str">
        <f>HYPERLINK("http://141.218.60.56/~jnz1568/getInfo.php?workbook=10_05.xlsx&amp;sheet=U0&amp;row=14278&amp;col=6&amp;number=4.4&amp;sourceID=14","4.4")</f>
        <v>4.4</v>
      </c>
      <c r="G14278" s="4" t="str">
        <f>HYPERLINK("http://141.218.60.56/~jnz1568/getInfo.php?workbook=10_05.xlsx&amp;sheet=U0&amp;row=14278&amp;col=7&amp;number=0.0706&amp;sourceID=14","0.0706")</f>
        <v>0.0706</v>
      </c>
    </row>
    <row r="14279" spans="1:7">
      <c r="A14279" s="3"/>
      <c r="B14279" s="3"/>
      <c r="C14279" s="3"/>
      <c r="D14279" s="3"/>
      <c r="E14279" s="3">
        <v>16</v>
      </c>
      <c r="F14279" s="4" t="str">
        <f>HYPERLINK("http://141.218.60.56/~jnz1568/getInfo.php?workbook=10_05.xlsx&amp;sheet=U0&amp;row=14279&amp;col=6&amp;number=4.5&amp;sourceID=14","4.5")</f>
        <v>4.5</v>
      </c>
      <c r="G14279" s="4" t="str">
        <f>HYPERLINK("http://141.218.60.56/~jnz1568/getInfo.php?workbook=10_05.xlsx&amp;sheet=U0&amp;row=14279&amp;col=7&amp;number=0.0737&amp;sourceID=14","0.0737")</f>
        <v>0.0737</v>
      </c>
    </row>
    <row r="14280" spans="1:7">
      <c r="A14280" s="3"/>
      <c r="B14280" s="3"/>
      <c r="C14280" s="3"/>
      <c r="D14280" s="3"/>
      <c r="E14280" s="3">
        <v>17</v>
      </c>
      <c r="F14280" s="4" t="str">
        <f>HYPERLINK("http://141.218.60.56/~jnz1568/getInfo.php?workbook=10_05.xlsx&amp;sheet=U0&amp;row=14280&amp;col=6&amp;number=4.6&amp;sourceID=14","4.6")</f>
        <v>4.6</v>
      </c>
      <c r="G14280" s="4" t="str">
        <f>HYPERLINK("http://141.218.60.56/~jnz1568/getInfo.php?workbook=10_05.xlsx&amp;sheet=U0&amp;row=14280&amp;col=7&amp;number=0.0757&amp;sourceID=14","0.0757")</f>
        <v>0.0757</v>
      </c>
    </row>
    <row r="14281" spans="1:7">
      <c r="A14281" s="3"/>
      <c r="B14281" s="3"/>
      <c r="C14281" s="3"/>
      <c r="D14281" s="3"/>
      <c r="E14281" s="3">
        <v>18</v>
      </c>
      <c r="F14281" s="4" t="str">
        <f>HYPERLINK("http://141.218.60.56/~jnz1568/getInfo.php?workbook=10_05.xlsx&amp;sheet=U0&amp;row=14281&amp;col=6&amp;number=4.7&amp;sourceID=14","4.7")</f>
        <v>4.7</v>
      </c>
      <c r="G14281" s="4" t="str">
        <f>HYPERLINK("http://141.218.60.56/~jnz1568/getInfo.php?workbook=10_05.xlsx&amp;sheet=U0&amp;row=14281&amp;col=7&amp;number=0.0765&amp;sourceID=14","0.0765")</f>
        <v>0.0765</v>
      </c>
    </row>
    <row r="14282" spans="1:7">
      <c r="A14282" s="3"/>
      <c r="B14282" s="3"/>
      <c r="C14282" s="3"/>
      <c r="D14282" s="3"/>
      <c r="E14282" s="3">
        <v>19</v>
      </c>
      <c r="F14282" s="4" t="str">
        <f>HYPERLINK("http://141.218.60.56/~jnz1568/getInfo.php?workbook=10_05.xlsx&amp;sheet=U0&amp;row=14282&amp;col=6&amp;number=4.8&amp;sourceID=14","4.8")</f>
        <v>4.8</v>
      </c>
      <c r="G14282" s="4" t="str">
        <f>HYPERLINK("http://141.218.60.56/~jnz1568/getInfo.php?workbook=10_05.xlsx&amp;sheet=U0&amp;row=14282&amp;col=7&amp;number=0.076&amp;sourceID=14","0.076")</f>
        <v>0.076</v>
      </c>
    </row>
    <row r="14283" spans="1:7">
      <c r="A14283" s="3"/>
      <c r="B14283" s="3"/>
      <c r="C14283" s="3"/>
      <c r="D14283" s="3"/>
      <c r="E14283" s="3">
        <v>20</v>
      </c>
      <c r="F14283" s="4" t="str">
        <f>HYPERLINK("http://141.218.60.56/~jnz1568/getInfo.php?workbook=10_05.xlsx&amp;sheet=U0&amp;row=14283&amp;col=6&amp;number=4.9&amp;sourceID=14","4.9")</f>
        <v>4.9</v>
      </c>
      <c r="G14283" s="4" t="str">
        <f>HYPERLINK("http://141.218.60.56/~jnz1568/getInfo.php?workbook=10_05.xlsx&amp;sheet=U0&amp;row=14283&amp;col=7&amp;number=0.0744&amp;sourceID=14","0.0744")</f>
        <v>0.0744</v>
      </c>
    </row>
    <row r="14284" spans="1:7">
      <c r="A14284" s="3">
        <v>10</v>
      </c>
      <c r="B14284" s="3">
        <v>5</v>
      </c>
      <c r="C14284" s="3">
        <v>5</v>
      </c>
      <c r="D14284" s="3">
        <v>10</v>
      </c>
      <c r="E14284" s="3">
        <v>1</v>
      </c>
      <c r="F14284" s="4" t="str">
        <f>HYPERLINK("http://141.218.60.56/~jnz1568/getInfo.php?workbook=10_05.xlsx&amp;sheet=U0&amp;row=14284&amp;col=6&amp;number=3&amp;sourceID=14","3")</f>
        <v>3</v>
      </c>
      <c r="G14284" s="4" t="str">
        <f>HYPERLINK("http://141.218.60.56/~jnz1568/getInfo.php?workbook=10_05.xlsx&amp;sheet=U0&amp;row=14284&amp;col=7&amp;number=0.0862&amp;sourceID=14","0.0862")</f>
        <v>0.0862</v>
      </c>
    </row>
    <row r="14285" spans="1:7">
      <c r="A14285" s="3"/>
      <c r="B14285" s="3"/>
      <c r="C14285" s="3"/>
      <c r="D14285" s="3"/>
      <c r="E14285" s="3">
        <v>2</v>
      </c>
      <c r="F14285" s="4" t="str">
        <f>HYPERLINK("http://141.218.60.56/~jnz1568/getInfo.php?workbook=10_05.xlsx&amp;sheet=U0&amp;row=14285&amp;col=6&amp;number=3.1&amp;sourceID=14","3.1")</f>
        <v>3.1</v>
      </c>
      <c r="G14285" s="4" t="str">
        <f>HYPERLINK("http://141.218.60.56/~jnz1568/getInfo.php?workbook=10_05.xlsx&amp;sheet=U0&amp;row=14285&amp;col=7&amp;number=0.0879&amp;sourceID=14","0.0879")</f>
        <v>0.0879</v>
      </c>
    </row>
    <row r="14286" spans="1:7">
      <c r="A14286" s="3"/>
      <c r="B14286" s="3"/>
      <c r="C14286" s="3"/>
      <c r="D14286" s="3"/>
      <c r="E14286" s="3">
        <v>3</v>
      </c>
      <c r="F14286" s="4" t="str">
        <f>HYPERLINK("http://141.218.60.56/~jnz1568/getInfo.php?workbook=10_05.xlsx&amp;sheet=U0&amp;row=14286&amp;col=6&amp;number=3.2&amp;sourceID=14","3.2")</f>
        <v>3.2</v>
      </c>
      <c r="G14286" s="4" t="str">
        <f>HYPERLINK("http://141.218.60.56/~jnz1568/getInfo.php?workbook=10_05.xlsx&amp;sheet=U0&amp;row=14286&amp;col=7&amp;number=0.0899&amp;sourceID=14","0.0899")</f>
        <v>0.0899</v>
      </c>
    </row>
    <row r="14287" spans="1:7">
      <c r="A14287" s="3"/>
      <c r="B14287" s="3"/>
      <c r="C14287" s="3"/>
      <c r="D14287" s="3"/>
      <c r="E14287" s="3">
        <v>4</v>
      </c>
      <c r="F14287" s="4" t="str">
        <f>HYPERLINK("http://141.218.60.56/~jnz1568/getInfo.php?workbook=10_05.xlsx&amp;sheet=U0&amp;row=14287&amp;col=6&amp;number=3.3&amp;sourceID=14","3.3")</f>
        <v>3.3</v>
      </c>
      <c r="G14287" s="4" t="str">
        <f>HYPERLINK("http://141.218.60.56/~jnz1568/getInfo.php?workbook=10_05.xlsx&amp;sheet=U0&amp;row=14287&amp;col=7&amp;number=0.0925&amp;sourceID=14","0.0925")</f>
        <v>0.0925</v>
      </c>
    </row>
    <row r="14288" spans="1:7">
      <c r="A14288" s="3"/>
      <c r="B14288" s="3"/>
      <c r="C14288" s="3"/>
      <c r="D14288" s="3"/>
      <c r="E14288" s="3">
        <v>5</v>
      </c>
      <c r="F14288" s="4" t="str">
        <f>HYPERLINK("http://141.218.60.56/~jnz1568/getInfo.php?workbook=10_05.xlsx&amp;sheet=U0&amp;row=14288&amp;col=6&amp;number=3.4&amp;sourceID=14","3.4")</f>
        <v>3.4</v>
      </c>
      <c r="G14288" s="4" t="str">
        <f>HYPERLINK("http://141.218.60.56/~jnz1568/getInfo.php?workbook=10_05.xlsx&amp;sheet=U0&amp;row=14288&amp;col=7&amp;number=0.0957&amp;sourceID=14","0.0957")</f>
        <v>0.0957</v>
      </c>
    </row>
    <row r="14289" spans="1:7">
      <c r="A14289" s="3"/>
      <c r="B14289" s="3"/>
      <c r="C14289" s="3"/>
      <c r="D14289" s="3"/>
      <c r="E14289" s="3">
        <v>6</v>
      </c>
      <c r="F14289" s="4" t="str">
        <f>HYPERLINK("http://141.218.60.56/~jnz1568/getInfo.php?workbook=10_05.xlsx&amp;sheet=U0&amp;row=14289&amp;col=6&amp;number=3.5&amp;sourceID=14","3.5")</f>
        <v>3.5</v>
      </c>
      <c r="G14289" s="4" t="str">
        <f>HYPERLINK("http://141.218.60.56/~jnz1568/getInfo.php?workbook=10_05.xlsx&amp;sheet=U0&amp;row=14289&amp;col=7&amp;number=0.0997&amp;sourceID=14","0.0997")</f>
        <v>0.0997</v>
      </c>
    </row>
    <row r="14290" spans="1:7">
      <c r="A14290" s="3"/>
      <c r="B14290" s="3"/>
      <c r="C14290" s="3"/>
      <c r="D14290" s="3"/>
      <c r="E14290" s="3">
        <v>7</v>
      </c>
      <c r="F14290" s="4" t="str">
        <f>HYPERLINK("http://141.218.60.56/~jnz1568/getInfo.php?workbook=10_05.xlsx&amp;sheet=U0&amp;row=14290&amp;col=6&amp;number=3.6&amp;sourceID=14","3.6")</f>
        <v>3.6</v>
      </c>
      <c r="G14290" s="4" t="str">
        <f>HYPERLINK("http://141.218.60.56/~jnz1568/getInfo.php?workbook=10_05.xlsx&amp;sheet=U0&amp;row=14290&amp;col=7&amp;number=0.105&amp;sourceID=14","0.105")</f>
        <v>0.105</v>
      </c>
    </row>
    <row r="14291" spans="1:7">
      <c r="A14291" s="3"/>
      <c r="B14291" s="3"/>
      <c r="C14291" s="3"/>
      <c r="D14291" s="3"/>
      <c r="E14291" s="3">
        <v>8</v>
      </c>
      <c r="F14291" s="4" t="str">
        <f>HYPERLINK("http://141.218.60.56/~jnz1568/getInfo.php?workbook=10_05.xlsx&amp;sheet=U0&amp;row=14291&amp;col=6&amp;number=3.7&amp;sourceID=14","3.7")</f>
        <v>3.7</v>
      </c>
      <c r="G14291" s="4" t="str">
        <f>HYPERLINK("http://141.218.60.56/~jnz1568/getInfo.php?workbook=10_05.xlsx&amp;sheet=U0&amp;row=14291&amp;col=7&amp;number=0.111&amp;sourceID=14","0.111")</f>
        <v>0.111</v>
      </c>
    </row>
    <row r="14292" spans="1:7">
      <c r="A14292" s="3"/>
      <c r="B14292" s="3"/>
      <c r="C14292" s="3"/>
      <c r="D14292" s="3"/>
      <c r="E14292" s="3">
        <v>9</v>
      </c>
      <c r="F14292" s="4" t="str">
        <f>HYPERLINK("http://141.218.60.56/~jnz1568/getInfo.php?workbook=10_05.xlsx&amp;sheet=U0&amp;row=14292&amp;col=6&amp;number=3.8&amp;sourceID=14","3.8")</f>
        <v>3.8</v>
      </c>
      <c r="G14292" s="4" t="str">
        <f>HYPERLINK("http://141.218.60.56/~jnz1568/getInfo.php?workbook=10_05.xlsx&amp;sheet=U0&amp;row=14292&amp;col=7&amp;number=0.118&amp;sourceID=14","0.118")</f>
        <v>0.118</v>
      </c>
    </row>
    <row r="14293" spans="1:7">
      <c r="A14293" s="3"/>
      <c r="B14293" s="3"/>
      <c r="C14293" s="3"/>
      <c r="D14293" s="3"/>
      <c r="E14293" s="3">
        <v>10</v>
      </c>
      <c r="F14293" s="4" t="str">
        <f>HYPERLINK("http://141.218.60.56/~jnz1568/getInfo.php?workbook=10_05.xlsx&amp;sheet=U0&amp;row=14293&amp;col=6&amp;number=3.9&amp;sourceID=14","3.9")</f>
        <v>3.9</v>
      </c>
      <c r="G14293" s="4" t="str">
        <f>HYPERLINK("http://141.218.60.56/~jnz1568/getInfo.php?workbook=10_05.xlsx&amp;sheet=U0&amp;row=14293&amp;col=7&amp;number=0.127&amp;sourceID=14","0.127")</f>
        <v>0.127</v>
      </c>
    </row>
    <row r="14294" spans="1:7">
      <c r="A14294" s="3"/>
      <c r="B14294" s="3"/>
      <c r="C14294" s="3"/>
      <c r="D14294" s="3"/>
      <c r="E14294" s="3">
        <v>11</v>
      </c>
      <c r="F14294" s="4" t="str">
        <f>HYPERLINK("http://141.218.60.56/~jnz1568/getInfo.php?workbook=10_05.xlsx&amp;sheet=U0&amp;row=14294&amp;col=6&amp;number=4&amp;sourceID=14","4")</f>
        <v>4</v>
      </c>
      <c r="G14294" s="4" t="str">
        <f>HYPERLINK("http://141.218.60.56/~jnz1568/getInfo.php?workbook=10_05.xlsx&amp;sheet=U0&amp;row=14294&amp;col=7&amp;number=0.138&amp;sourceID=14","0.138")</f>
        <v>0.138</v>
      </c>
    </row>
    <row r="14295" spans="1:7">
      <c r="A14295" s="3"/>
      <c r="B14295" s="3"/>
      <c r="C14295" s="3"/>
      <c r="D14295" s="3"/>
      <c r="E14295" s="3">
        <v>12</v>
      </c>
      <c r="F14295" s="4" t="str">
        <f>HYPERLINK("http://141.218.60.56/~jnz1568/getInfo.php?workbook=10_05.xlsx&amp;sheet=U0&amp;row=14295&amp;col=6&amp;number=4.1&amp;sourceID=14","4.1")</f>
        <v>4.1</v>
      </c>
      <c r="G14295" s="4" t="str">
        <f>HYPERLINK("http://141.218.60.56/~jnz1568/getInfo.php?workbook=10_05.xlsx&amp;sheet=U0&amp;row=14295&amp;col=7&amp;number=0.151&amp;sourceID=14","0.151")</f>
        <v>0.151</v>
      </c>
    </row>
    <row r="14296" spans="1:7">
      <c r="A14296" s="3"/>
      <c r="B14296" s="3"/>
      <c r="C14296" s="3"/>
      <c r="D14296" s="3"/>
      <c r="E14296" s="3">
        <v>13</v>
      </c>
      <c r="F14296" s="4" t="str">
        <f>HYPERLINK("http://141.218.60.56/~jnz1568/getInfo.php?workbook=10_05.xlsx&amp;sheet=U0&amp;row=14296&amp;col=6&amp;number=4.2&amp;sourceID=14","4.2")</f>
        <v>4.2</v>
      </c>
      <c r="G14296" s="4" t="str">
        <f>HYPERLINK("http://141.218.60.56/~jnz1568/getInfo.php?workbook=10_05.xlsx&amp;sheet=U0&amp;row=14296&amp;col=7&amp;number=0.165&amp;sourceID=14","0.165")</f>
        <v>0.165</v>
      </c>
    </row>
    <row r="14297" spans="1:7">
      <c r="A14297" s="3"/>
      <c r="B14297" s="3"/>
      <c r="C14297" s="3"/>
      <c r="D14297" s="3"/>
      <c r="E14297" s="3">
        <v>14</v>
      </c>
      <c r="F14297" s="4" t="str">
        <f>HYPERLINK("http://141.218.60.56/~jnz1568/getInfo.php?workbook=10_05.xlsx&amp;sheet=U0&amp;row=14297&amp;col=6&amp;number=4.3&amp;sourceID=14","4.3")</f>
        <v>4.3</v>
      </c>
      <c r="G14297" s="4" t="str">
        <f>HYPERLINK("http://141.218.60.56/~jnz1568/getInfo.php?workbook=10_05.xlsx&amp;sheet=U0&amp;row=14297&amp;col=7&amp;number=0.18&amp;sourceID=14","0.18")</f>
        <v>0.18</v>
      </c>
    </row>
    <row r="14298" spans="1:7">
      <c r="A14298" s="3"/>
      <c r="B14298" s="3"/>
      <c r="C14298" s="3"/>
      <c r="D14298" s="3"/>
      <c r="E14298" s="3">
        <v>15</v>
      </c>
      <c r="F14298" s="4" t="str">
        <f>HYPERLINK("http://141.218.60.56/~jnz1568/getInfo.php?workbook=10_05.xlsx&amp;sheet=U0&amp;row=14298&amp;col=6&amp;number=4.4&amp;sourceID=14","4.4")</f>
        <v>4.4</v>
      </c>
      <c r="G14298" s="4" t="str">
        <f>HYPERLINK("http://141.218.60.56/~jnz1568/getInfo.php?workbook=10_05.xlsx&amp;sheet=U0&amp;row=14298&amp;col=7&amp;number=0.196&amp;sourceID=14","0.196")</f>
        <v>0.196</v>
      </c>
    </row>
    <row r="14299" spans="1:7">
      <c r="A14299" s="3"/>
      <c r="B14299" s="3"/>
      <c r="C14299" s="3"/>
      <c r="D14299" s="3"/>
      <c r="E14299" s="3">
        <v>16</v>
      </c>
      <c r="F14299" s="4" t="str">
        <f>HYPERLINK("http://141.218.60.56/~jnz1568/getInfo.php?workbook=10_05.xlsx&amp;sheet=U0&amp;row=14299&amp;col=6&amp;number=4.5&amp;sourceID=14","4.5")</f>
        <v>4.5</v>
      </c>
      <c r="G14299" s="4" t="str">
        <f>HYPERLINK("http://141.218.60.56/~jnz1568/getInfo.php?workbook=10_05.xlsx&amp;sheet=U0&amp;row=14299&amp;col=7&amp;number=0.21&amp;sourceID=14","0.21")</f>
        <v>0.21</v>
      </c>
    </row>
    <row r="14300" spans="1:7">
      <c r="A14300" s="3"/>
      <c r="B14300" s="3"/>
      <c r="C14300" s="3"/>
      <c r="D14300" s="3"/>
      <c r="E14300" s="3">
        <v>17</v>
      </c>
      <c r="F14300" s="4" t="str">
        <f>HYPERLINK("http://141.218.60.56/~jnz1568/getInfo.php?workbook=10_05.xlsx&amp;sheet=U0&amp;row=14300&amp;col=6&amp;number=4.6&amp;sourceID=14","4.6")</f>
        <v>4.6</v>
      </c>
      <c r="G14300" s="4" t="str">
        <f>HYPERLINK("http://141.218.60.56/~jnz1568/getInfo.php?workbook=10_05.xlsx&amp;sheet=U0&amp;row=14300&amp;col=7&amp;number=0.22&amp;sourceID=14","0.22")</f>
        <v>0.22</v>
      </c>
    </row>
    <row r="14301" spans="1:7">
      <c r="A14301" s="3"/>
      <c r="B14301" s="3"/>
      <c r="C14301" s="3"/>
      <c r="D14301" s="3"/>
      <c r="E14301" s="3">
        <v>18</v>
      </c>
      <c r="F14301" s="4" t="str">
        <f>HYPERLINK("http://141.218.60.56/~jnz1568/getInfo.php?workbook=10_05.xlsx&amp;sheet=U0&amp;row=14301&amp;col=6&amp;number=4.7&amp;sourceID=14","4.7")</f>
        <v>4.7</v>
      </c>
      <c r="G14301" s="4" t="str">
        <f>HYPERLINK("http://141.218.60.56/~jnz1568/getInfo.php?workbook=10_05.xlsx&amp;sheet=U0&amp;row=14301&amp;col=7&amp;number=0.224&amp;sourceID=14","0.224")</f>
        <v>0.224</v>
      </c>
    </row>
    <row r="14302" spans="1:7">
      <c r="A14302" s="3"/>
      <c r="B14302" s="3"/>
      <c r="C14302" s="3"/>
      <c r="D14302" s="3"/>
      <c r="E14302" s="3">
        <v>19</v>
      </c>
      <c r="F14302" s="4" t="str">
        <f>HYPERLINK("http://141.218.60.56/~jnz1568/getInfo.php?workbook=10_05.xlsx&amp;sheet=U0&amp;row=14302&amp;col=6&amp;number=4.8&amp;sourceID=14","4.8")</f>
        <v>4.8</v>
      </c>
      <c r="G14302" s="4" t="str">
        <f>HYPERLINK("http://141.218.60.56/~jnz1568/getInfo.php?workbook=10_05.xlsx&amp;sheet=U0&amp;row=14302&amp;col=7&amp;number=0.221&amp;sourceID=14","0.221")</f>
        <v>0.221</v>
      </c>
    </row>
    <row r="14303" spans="1:7">
      <c r="A14303" s="3"/>
      <c r="B14303" s="3"/>
      <c r="C14303" s="3"/>
      <c r="D14303" s="3"/>
      <c r="E14303" s="3">
        <v>20</v>
      </c>
      <c r="F14303" s="4" t="str">
        <f>HYPERLINK("http://141.218.60.56/~jnz1568/getInfo.php?workbook=10_05.xlsx&amp;sheet=U0&amp;row=14303&amp;col=6&amp;number=4.9&amp;sourceID=14","4.9")</f>
        <v>4.9</v>
      </c>
      <c r="G14303" s="4" t="str">
        <f>HYPERLINK("http://141.218.60.56/~jnz1568/getInfo.php?workbook=10_05.xlsx&amp;sheet=U0&amp;row=14303&amp;col=7&amp;number=0.215&amp;sourceID=14","0.215")</f>
        <v>0.215</v>
      </c>
    </row>
    <row r="14304" spans="1:7">
      <c r="A14304" s="3">
        <v>10</v>
      </c>
      <c r="B14304" s="3">
        <v>5</v>
      </c>
      <c r="C14304" s="3">
        <v>5</v>
      </c>
      <c r="D14304" s="3">
        <v>11</v>
      </c>
      <c r="E14304" s="3">
        <v>1</v>
      </c>
      <c r="F14304" s="4" t="str">
        <f>HYPERLINK("http://141.218.60.56/~jnz1568/getInfo.php?workbook=10_05.xlsx&amp;sheet=U0&amp;row=14304&amp;col=6&amp;number=3&amp;sourceID=14","3")</f>
        <v>3</v>
      </c>
      <c r="G14304" s="4" t="str">
        <f>HYPERLINK("http://141.218.60.56/~jnz1568/getInfo.php?workbook=10_05.xlsx&amp;sheet=U0&amp;row=14304&amp;col=7&amp;number=2.39&amp;sourceID=14","2.39")</f>
        <v>2.39</v>
      </c>
    </row>
    <row r="14305" spans="1:7">
      <c r="A14305" s="3"/>
      <c r="B14305" s="3"/>
      <c r="C14305" s="3"/>
      <c r="D14305" s="3"/>
      <c r="E14305" s="3">
        <v>2</v>
      </c>
      <c r="F14305" s="4" t="str">
        <f>HYPERLINK("http://141.218.60.56/~jnz1568/getInfo.php?workbook=10_05.xlsx&amp;sheet=U0&amp;row=14305&amp;col=6&amp;number=3.1&amp;sourceID=14","3.1")</f>
        <v>3.1</v>
      </c>
      <c r="G14305" s="4" t="str">
        <f>HYPERLINK("http://141.218.60.56/~jnz1568/getInfo.php?workbook=10_05.xlsx&amp;sheet=U0&amp;row=14305&amp;col=7&amp;number=2.39&amp;sourceID=14","2.39")</f>
        <v>2.39</v>
      </c>
    </row>
    <row r="14306" spans="1:7">
      <c r="A14306" s="3"/>
      <c r="B14306" s="3"/>
      <c r="C14306" s="3"/>
      <c r="D14306" s="3"/>
      <c r="E14306" s="3">
        <v>3</v>
      </c>
      <c r="F14306" s="4" t="str">
        <f>HYPERLINK("http://141.218.60.56/~jnz1568/getInfo.php?workbook=10_05.xlsx&amp;sheet=U0&amp;row=14306&amp;col=6&amp;number=3.2&amp;sourceID=14","3.2")</f>
        <v>3.2</v>
      </c>
      <c r="G14306" s="4" t="str">
        <f>HYPERLINK("http://141.218.60.56/~jnz1568/getInfo.php?workbook=10_05.xlsx&amp;sheet=U0&amp;row=14306&amp;col=7&amp;number=2.39&amp;sourceID=14","2.39")</f>
        <v>2.39</v>
      </c>
    </row>
    <row r="14307" spans="1:7">
      <c r="A14307" s="3"/>
      <c r="B14307" s="3"/>
      <c r="C14307" s="3"/>
      <c r="D14307" s="3"/>
      <c r="E14307" s="3">
        <v>4</v>
      </c>
      <c r="F14307" s="4" t="str">
        <f>HYPERLINK("http://141.218.60.56/~jnz1568/getInfo.php?workbook=10_05.xlsx&amp;sheet=U0&amp;row=14307&amp;col=6&amp;number=3.3&amp;sourceID=14","3.3")</f>
        <v>3.3</v>
      </c>
      <c r="G14307" s="4" t="str">
        <f>HYPERLINK("http://141.218.60.56/~jnz1568/getInfo.php?workbook=10_05.xlsx&amp;sheet=U0&amp;row=14307&amp;col=7&amp;number=2.4&amp;sourceID=14","2.4")</f>
        <v>2.4</v>
      </c>
    </row>
    <row r="14308" spans="1:7">
      <c r="A14308" s="3"/>
      <c r="B14308" s="3"/>
      <c r="C14308" s="3"/>
      <c r="D14308" s="3"/>
      <c r="E14308" s="3">
        <v>5</v>
      </c>
      <c r="F14308" s="4" t="str">
        <f>HYPERLINK("http://141.218.60.56/~jnz1568/getInfo.php?workbook=10_05.xlsx&amp;sheet=U0&amp;row=14308&amp;col=6&amp;number=3.4&amp;sourceID=14","3.4")</f>
        <v>3.4</v>
      </c>
      <c r="G14308" s="4" t="str">
        <f>HYPERLINK("http://141.218.60.56/~jnz1568/getInfo.php?workbook=10_05.xlsx&amp;sheet=U0&amp;row=14308&amp;col=7&amp;number=2.4&amp;sourceID=14","2.4")</f>
        <v>2.4</v>
      </c>
    </row>
    <row r="14309" spans="1:7">
      <c r="A14309" s="3"/>
      <c r="B14309" s="3"/>
      <c r="C14309" s="3"/>
      <c r="D14309" s="3"/>
      <c r="E14309" s="3">
        <v>6</v>
      </c>
      <c r="F14309" s="4" t="str">
        <f>HYPERLINK("http://141.218.60.56/~jnz1568/getInfo.php?workbook=10_05.xlsx&amp;sheet=U0&amp;row=14309&amp;col=6&amp;number=3.5&amp;sourceID=14","3.5")</f>
        <v>3.5</v>
      </c>
      <c r="G14309" s="4" t="str">
        <f>HYPERLINK("http://141.218.60.56/~jnz1568/getInfo.php?workbook=10_05.xlsx&amp;sheet=U0&amp;row=14309&amp;col=7&amp;number=2.41&amp;sourceID=14","2.41")</f>
        <v>2.41</v>
      </c>
    </row>
    <row r="14310" spans="1:7">
      <c r="A14310" s="3"/>
      <c r="B14310" s="3"/>
      <c r="C14310" s="3"/>
      <c r="D14310" s="3"/>
      <c r="E14310" s="3">
        <v>7</v>
      </c>
      <c r="F14310" s="4" t="str">
        <f>HYPERLINK("http://141.218.60.56/~jnz1568/getInfo.php?workbook=10_05.xlsx&amp;sheet=U0&amp;row=14310&amp;col=6&amp;number=3.6&amp;sourceID=14","3.6")</f>
        <v>3.6</v>
      </c>
      <c r="G14310" s="4" t="str">
        <f>HYPERLINK("http://141.218.60.56/~jnz1568/getInfo.php?workbook=10_05.xlsx&amp;sheet=U0&amp;row=14310&amp;col=7&amp;number=2.42&amp;sourceID=14","2.42")</f>
        <v>2.42</v>
      </c>
    </row>
    <row r="14311" spans="1:7">
      <c r="A14311" s="3"/>
      <c r="B14311" s="3"/>
      <c r="C14311" s="3"/>
      <c r="D14311" s="3"/>
      <c r="E14311" s="3">
        <v>8</v>
      </c>
      <c r="F14311" s="4" t="str">
        <f>HYPERLINK("http://141.218.60.56/~jnz1568/getInfo.php?workbook=10_05.xlsx&amp;sheet=U0&amp;row=14311&amp;col=6&amp;number=3.7&amp;sourceID=14","3.7")</f>
        <v>3.7</v>
      </c>
      <c r="G14311" s="4" t="str">
        <f>HYPERLINK("http://141.218.60.56/~jnz1568/getInfo.php?workbook=10_05.xlsx&amp;sheet=U0&amp;row=14311&amp;col=7&amp;number=2.43&amp;sourceID=14","2.43")</f>
        <v>2.43</v>
      </c>
    </row>
    <row r="14312" spans="1:7">
      <c r="A14312" s="3"/>
      <c r="B14312" s="3"/>
      <c r="C14312" s="3"/>
      <c r="D14312" s="3"/>
      <c r="E14312" s="3">
        <v>9</v>
      </c>
      <c r="F14312" s="4" t="str">
        <f>HYPERLINK("http://141.218.60.56/~jnz1568/getInfo.php?workbook=10_05.xlsx&amp;sheet=U0&amp;row=14312&amp;col=6&amp;number=3.8&amp;sourceID=14","3.8")</f>
        <v>3.8</v>
      </c>
      <c r="G14312" s="4" t="str">
        <f>HYPERLINK("http://141.218.60.56/~jnz1568/getInfo.php?workbook=10_05.xlsx&amp;sheet=U0&amp;row=14312&amp;col=7&amp;number=2.44&amp;sourceID=14","2.44")</f>
        <v>2.44</v>
      </c>
    </row>
    <row r="14313" spans="1:7">
      <c r="A14313" s="3"/>
      <c r="B14313" s="3"/>
      <c r="C14313" s="3"/>
      <c r="D14313" s="3"/>
      <c r="E14313" s="3">
        <v>10</v>
      </c>
      <c r="F14313" s="4" t="str">
        <f>HYPERLINK("http://141.218.60.56/~jnz1568/getInfo.php?workbook=10_05.xlsx&amp;sheet=U0&amp;row=14313&amp;col=6&amp;number=3.9&amp;sourceID=14","3.9")</f>
        <v>3.9</v>
      </c>
      <c r="G14313" s="4" t="str">
        <f>HYPERLINK("http://141.218.60.56/~jnz1568/getInfo.php?workbook=10_05.xlsx&amp;sheet=U0&amp;row=14313&amp;col=7&amp;number=2.45&amp;sourceID=14","2.45")</f>
        <v>2.45</v>
      </c>
    </row>
    <row r="14314" spans="1:7">
      <c r="A14314" s="3"/>
      <c r="B14314" s="3"/>
      <c r="C14314" s="3"/>
      <c r="D14314" s="3"/>
      <c r="E14314" s="3">
        <v>11</v>
      </c>
      <c r="F14314" s="4" t="str">
        <f>HYPERLINK("http://141.218.60.56/~jnz1568/getInfo.php?workbook=10_05.xlsx&amp;sheet=U0&amp;row=14314&amp;col=6&amp;number=4&amp;sourceID=14","4")</f>
        <v>4</v>
      </c>
      <c r="G14314" s="4" t="str">
        <f>HYPERLINK("http://141.218.60.56/~jnz1568/getInfo.php?workbook=10_05.xlsx&amp;sheet=U0&amp;row=14314&amp;col=7&amp;number=2.46&amp;sourceID=14","2.46")</f>
        <v>2.46</v>
      </c>
    </row>
    <row r="14315" spans="1:7">
      <c r="A14315" s="3"/>
      <c r="B14315" s="3"/>
      <c r="C14315" s="3"/>
      <c r="D14315" s="3"/>
      <c r="E14315" s="3">
        <v>12</v>
      </c>
      <c r="F14315" s="4" t="str">
        <f>HYPERLINK("http://141.218.60.56/~jnz1568/getInfo.php?workbook=10_05.xlsx&amp;sheet=U0&amp;row=14315&amp;col=6&amp;number=4.1&amp;sourceID=14","4.1")</f>
        <v>4.1</v>
      </c>
      <c r="G14315" s="4" t="str">
        <f>HYPERLINK("http://141.218.60.56/~jnz1568/getInfo.php?workbook=10_05.xlsx&amp;sheet=U0&amp;row=14315&amp;col=7&amp;number=2.47&amp;sourceID=14","2.47")</f>
        <v>2.47</v>
      </c>
    </row>
    <row r="14316" spans="1:7">
      <c r="A14316" s="3"/>
      <c r="B14316" s="3"/>
      <c r="C14316" s="3"/>
      <c r="D14316" s="3"/>
      <c r="E14316" s="3">
        <v>13</v>
      </c>
      <c r="F14316" s="4" t="str">
        <f>HYPERLINK("http://141.218.60.56/~jnz1568/getInfo.php?workbook=10_05.xlsx&amp;sheet=U0&amp;row=14316&amp;col=6&amp;number=4.2&amp;sourceID=14","4.2")</f>
        <v>4.2</v>
      </c>
      <c r="G14316" s="4" t="str">
        <f>HYPERLINK("http://141.218.60.56/~jnz1568/getInfo.php?workbook=10_05.xlsx&amp;sheet=U0&amp;row=14316&amp;col=7&amp;number=2.48&amp;sourceID=14","2.48")</f>
        <v>2.48</v>
      </c>
    </row>
    <row r="14317" spans="1:7">
      <c r="A14317" s="3"/>
      <c r="B14317" s="3"/>
      <c r="C14317" s="3"/>
      <c r="D14317" s="3"/>
      <c r="E14317" s="3">
        <v>14</v>
      </c>
      <c r="F14317" s="4" t="str">
        <f>HYPERLINK("http://141.218.60.56/~jnz1568/getInfo.php?workbook=10_05.xlsx&amp;sheet=U0&amp;row=14317&amp;col=6&amp;number=4.3&amp;sourceID=14","4.3")</f>
        <v>4.3</v>
      </c>
      <c r="G14317" s="4" t="str">
        <f>HYPERLINK("http://141.218.60.56/~jnz1568/getInfo.php?workbook=10_05.xlsx&amp;sheet=U0&amp;row=14317&amp;col=7&amp;number=2.49&amp;sourceID=14","2.49")</f>
        <v>2.49</v>
      </c>
    </row>
    <row r="14318" spans="1:7">
      <c r="A14318" s="3"/>
      <c r="B14318" s="3"/>
      <c r="C14318" s="3"/>
      <c r="D14318" s="3"/>
      <c r="E14318" s="3">
        <v>15</v>
      </c>
      <c r="F14318" s="4" t="str">
        <f>HYPERLINK("http://141.218.60.56/~jnz1568/getInfo.php?workbook=10_05.xlsx&amp;sheet=U0&amp;row=14318&amp;col=6&amp;number=4.4&amp;sourceID=14","4.4")</f>
        <v>4.4</v>
      </c>
      <c r="G14318" s="4" t="str">
        <f>HYPERLINK("http://141.218.60.56/~jnz1568/getInfo.php?workbook=10_05.xlsx&amp;sheet=U0&amp;row=14318&amp;col=7&amp;number=2.5&amp;sourceID=14","2.5")</f>
        <v>2.5</v>
      </c>
    </row>
    <row r="14319" spans="1:7">
      <c r="A14319" s="3"/>
      <c r="B14319" s="3"/>
      <c r="C14319" s="3"/>
      <c r="D14319" s="3"/>
      <c r="E14319" s="3">
        <v>16</v>
      </c>
      <c r="F14319" s="4" t="str">
        <f>HYPERLINK("http://141.218.60.56/~jnz1568/getInfo.php?workbook=10_05.xlsx&amp;sheet=U0&amp;row=14319&amp;col=6&amp;number=4.5&amp;sourceID=14","4.5")</f>
        <v>4.5</v>
      </c>
      <c r="G14319" s="4" t="str">
        <f>HYPERLINK("http://141.218.60.56/~jnz1568/getInfo.php?workbook=10_05.xlsx&amp;sheet=U0&amp;row=14319&amp;col=7&amp;number=2.51&amp;sourceID=14","2.51")</f>
        <v>2.51</v>
      </c>
    </row>
    <row r="14320" spans="1:7">
      <c r="A14320" s="3"/>
      <c r="B14320" s="3"/>
      <c r="C14320" s="3"/>
      <c r="D14320" s="3"/>
      <c r="E14320" s="3">
        <v>17</v>
      </c>
      <c r="F14320" s="4" t="str">
        <f>HYPERLINK("http://141.218.60.56/~jnz1568/getInfo.php?workbook=10_05.xlsx&amp;sheet=U0&amp;row=14320&amp;col=6&amp;number=4.6&amp;sourceID=14","4.6")</f>
        <v>4.6</v>
      </c>
      <c r="G14320" s="4" t="str">
        <f>HYPERLINK("http://141.218.60.56/~jnz1568/getInfo.php?workbook=10_05.xlsx&amp;sheet=U0&amp;row=14320&amp;col=7&amp;number=2.53&amp;sourceID=14","2.53")</f>
        <v>2.53</v>
      </c>
    </row>
    <row r="14321" spans="1:7">
      <c r="A14321" s="3"/>
      <c r="B14321" s="3"/>
      <c r="C14321" s="3"/>
      <c r="D14321" s="3"/>
      <c r="E14321" s="3">
        <v>18</v>
      </c>
      <c r="F14321" s="4" t="str">
        <f>HYPERLINK("http://141.218.60.56/~jnz1568/getInfo.php?workbook=10_05.xlsx&amp;sheet=U0&amp;row=14321&amp;col=6&amp;number=4.7&amp;sourceID=14","4.7")</f>
        <v>4.7</v>
      </c>
      <c r="G14321" s="4" t="str">
        <f>HYPERLINK("http://141.218.60.56/~jnz1568/getInfo.php?workbook=10_05.xlsx&amp;sheet=U0&amp;row=14321&amp;col=7&amp;number=2.54&amp;sourceID=14","2.54")</f>
        <v>2.54</v>
      </c>
    </row>
    <row r="14322" spans="1:7">
      <c r="A14322" s="3"/>
      <c r="B14322" s="3"/>
      <c r="C14322" s="3"/>
      <c r="D14322" s="3"/>
      <c r="E14322" s="3">
        <v>19</v>
      </c>
      <c r="F14322" s="4" t="str">
        <f>HYPERLINK("http://141.218.60.56/~jnz1568/getInfo.php?workbook=10_05.xlsx&amp;sheet=U0&amp;row=14322&amp;col=6&amp;number=4.8&amp;sourceID=14","4.8")</f>
        <v>4.8</v>
      </c>
      <c r="G14322" s="4" t="str">
        <f>HYPERLINK("http://141.218.60.56/~jnz1568/getInfo.php?workbook=10_05.xlsx&amp;sheet=U0&amp;row=14322&amp;col=7&amp;number=2.55&amp;sourceID=14","2.55")</f>
        <v>2.55</v>
      </c>
    </row>
    <row r="14323" spans="1:7">
      <c r="A14323" s="3"/>
      <c r="B14323" s="3"/>
      <c r="C14323" s="3"/>
      <c r="D14323" s="3"/>
      <c r="E14323" s="3">
        <v>20</v>
      </c>
      <c r="F14323" s="4" t="str">
        <f>HYPERLINK("http://141.218.60.56/~jnz1568/getInfo.php?workbook=10_05.xlsx&amp;sheet=U0&amp;row=14323&amp;col=6&amp;number=4.9&amp;sourceID=14","4.9")</f>
        <v>4.9</v>
      </c>
      <c r="G14323" s="4" t="str">
        <f>HYPERLINK("http://141.218.60.56/~jnz1568/getInfo.php?workbook=10_05.xlsx&amp;sheet=U0&amp;row=14323&amp;col=7&amp;number=2.57&amp;sourceID=14","2.57")</f>
        <v>2.57</v>
      </c>
    </row>
    <row r="14324" spans="1:7">
      <c r="A14324" s="3">
        <v>10</v>
      </c>
      <c r="B14324" s="3">
        <v>5</v>
      </c>
      <c r="C14324" s="3">
        <v>5</v>
      </c>
      <c r="D14324" s="3">
        <v>12</v>
      </c>
      <c r="E14324" s="3">
        <v>1</v>
      </c>
      <c r="F14324" s="4" t="str">
        <f>HYPERLINK("http://141.218.60.56/~jnz1568/getInfo.php?workbook=10_05.xlsx&amp;sheet=U0&amp;row=14324&amp;col=6&amp;number=3&amp;sourceID=14","3")</f>
        <v>3</v>
      </c>
      <c r="G14324" s="4" t="str">
        <f>HYPERLINK("http://141.218.60.56/~jnz1568/getInfo.php?workbook=10_05.xlsx&amp;sheet=U0&amp;row=14324&amp;col=7&amp;number=0.0232&amp;sourceID=14","0.0232")</f>
        <v>0.0232</v>
      </c>
    </row>
    <row r="14325" spans="1:7">
      <c r="A14325" s="3"/>
      <c r="B14325" s="3"/>
      <c r="C14325" s="3"/>
      <c r="D14325" s="3"/>
      <c r="E14325" s="3">
        <v>2</v>
      </c>
      <c r="F14325" s="4" t="str">
        <f>HYPERLINK("http://141.218.60.56/~jnz1568/getInfo.php?workbook=10_05.xlsx&amp;sheet=U0&amp;row=14325&amp;col=6&amp;number=3.1&amp;sourceID=14","3.1")</f>
        <v>3.1</v>
      </c>
      <c r="G14325" s="4" t="str">
        <f>HYPERLINK("http://141.218.60.56/~jnz1568/getInfo.php?workbook=10_05.xlsx&amp;sheet=U0&amp;row=14325&amp;col=7&amp;number=0.0232&amp;sourceID=14","0.0232")</f>
        <v>0.0232</v>
      </c>
    </row>
    <row r="14326" spans="1:7">
      <c r="A14326" s="3"/>
      <c r="B14326" s="3"/>
      <c r="C14326" s="3"/>
      <c r="D14326" s="3"/>
      <c r="E14326" s="3">
        <v>3</v>
      </c>
      <c r="F14326" s="4" t="str">
        <f>HYPERLINK("http://141.218.60.56/~jnz1568/getInfo.php?workbook=10_05.xlsx&amp;sheet=U0&amp;row=14326&amp;col=6&amp;number=3.2&amp;sourceID=14","3.2")</f>
        <v>3.2</v>
      </c>
      <c r="G14326" s="4" t="str">
        <f>HYPERLINK("http://141.218.60.56/~jnz1568/getInfo.php?workbook=10_05.xlsx&amp;sheet=U0&amp;row=14326&amp;col=7&amp;number=0.0232&amp;sourceID=14","0.0232")</f>
        <v>0.0232</v>
      </c>
    </row>
    <row r="14327" spans="1:7">
      <c r="A14327" s="3"/>
      <c r="B14327" s="3"/>
      <c r="C14327" s="3"/>
      <c r="D14327" s="3"/>
      <c r="E14327" s="3">
        <v>4</v>
      </c>
      <c r="F14327" s="4" t="str">
        <f>HYPERLINK("http://141.218.60.56/~jnz1568/getInfo.php?workbook=10_05.xlsx&amp;sheet=U0&amp;row=14327&amp;col=6&amp;number=3.3&amp;sourceID=14","3.3")</f>
        <v>3.3</v>
      </c>
      <c r="G14327" s="4" t="str">
        <f>HYPERLINK("http://141.218.60.56/~jnz1568/getInfo.php?workbook=10_05.xlsx&amp;sheet=U0&amp;row=14327&amp;col=7&amp;number=0.0232&amp;sourceID=14","0.0232")</f>
        <v>0.0232</v>
      </c>
    </row>
    <row r="14328" spans="1:7">
      <c r="A14328" s="3"/>
      <c r="B14328" s="3"/>
      <c r="C14328" s="3"/>
      <c r="D14328" s="3"/>
      <c r="E14328" s="3">
        <v>5</v>
      </c>
      <c r="F14328" s="4" t="str">
        <f>HYPERLINK("http://141.218.60.56/~jnz1568/getInfo.php?workbook=10_05.xlsx&amp;sheet=U0&amp;row=14328&amp;col=6&amp;number=3.4&amp;sourceID=14","3.4")</f>
        <v>3.4</v>
      </c>
      <c r="G14328" s="4" t="str">
        <f>HYPERLINK("http://141.218.60.56/~jnz1568/getInfo.php?workbook=10_05.xlsx&amp;sheet=U0&amp;row=14328&amp;col=7&amp;number=0.0232&amp;sourceID=14","0.0232")</f>
        <v>0.0232</v>
      </c>
    </row>
    <row r="14329" spans="1:7">
      <c r="A14329" s="3"/>
      <c r="B14329" s="3"/>
      <c r="C14329" s="3"/>
      <c r="D14329" s="3"/>
      <c r="E14329" s="3">
        <v>6</v>
      </c>
      <c r="F14329" s="4" t="str">
        <f>HYPERLINK("http://141.218.60.56/~jnz1568/getInfo.php?workbook=10_05.xlsx&amp;sheet=U0&amp;row=14329&amp;col=6&amp;number=3.5&amp;sourceID=14","3.5")</f>
        <v>3.5</v>
      </c>
      <c r="G14329" s="4" t="str">
        <f>HYPERLINK("http://141.218.60.56/~jnz1568/getInfo.php?workbook=10_05.xlsx&amp;sheet=U0&amp;row=14329&amp;col=7&amp;number=0.0233&amp;sourceID=14","0.0233")</f>
        <v>0.0233</v>
      </c>
    </row>
    <row r="14330" spans="1:7">
      <c r="A14330" s="3"/>
      <c r="B14330" s="3"/>
      <c r="C14330" s="3"/>
      <c r="D14330" s="3"/>
      <c r="E14330" s="3">
        <v>7</v>
      </c>
      <c r="F14330" s="4" t="str">
        <f>HYPERLINK("http://141.218.60.56/~jnz1568/getInfo.php?workbook=10_05.xlsx&amp;sheet=U0&amp;row=14330&amp;col=6&amp;number=3.6&amp;sourceID=14","3.6")</f>
        <v>3.6</v>
      </c>
      <c r="G14330" s="4" t="str">
        <f>HYPERLINK("http://141.218.60.56/~jnz1568/getInfo.php?workbook=10_05.xlsx&amp;sheet=U0&amp;row=14330&amp;col=7&amp;number=0.0233&amp;sourceID=14","0.0233")</f>
        <v>0.0233</v>
      </c>
    </row>
    <row r="14331" spans="1:7">
      <c r="A14331" s="3"/>
      <c r="B14331" s="3"/>
      <c r="C14331" s="3"/>
      <c r="D14331" s="3"/>
      <c r="E14331" s="3">
        <v>8</v>
      </c>
      <c r="F14331" s="4" t="str">
        <f>HYPERLINK("http://141.218.60.56/~jnz1568/getInfo.php?workbook=10_05.xlsx&amp;sheet=U0&amp;row=14331&amp;col=6&amp;number=3.7&amp;sourceID=14","3.7")</f>
        <v>3.7</v>
      </c>
      <c r="G14331" s="4" t="str">
        <f>HYPERLINK("http://141.218.60.56/~jnz1568/getInfo.php?workbook=10_05.xlsx&amp;sheet=U0&amp;row=14331&amp;col=7&amp;number=0.0234&amp;sourceID=14","0.0234")</f>
        <v>0.0234</v>
      </c>
    </row>
    <row r="14332" spans="1:7">
      <c r="A14332" s="3"/>
      <c r="B14332" s="3"/>
      <c r="C14332" s="3"/>
      <c r="D14332" s="3"/>
      <c r="E14332" s="3">
        <v>9</v>
      </c>
      <c r="F14332" s="4" t="str">
        <f>HYPERLINK("http://141.218.60.56/~jnz1568/getInfo.php?workbook=10_05.xlsx&amp;sheet=U0&amp;row=14332&amp;col=6&amp;number=3.8&amp;sourceID=14","3.8")</f>
        <v>3.8</v>
      </c>
      <c r="G14332" s="4" t="str">
        <f>HYPERLINK("http://141.218.60.56/~jnz1568/getInfo.php?workbook=10_05.xlsx&amp;sheet=U0&amp;row=14332&amp;col=7&amp;number=0.0235&amp;sourceID=14","0.0235")</f>
        <v>0.0235</v>
      </c>
    </row>
    <row r="14333" spans="1:7">
      <c r="A14333" s="3"/>
      <c r="B14333" s="3"/>
      <c r="C14333" s="3"/>
      <c r="D14333" s="3"/>
      <c r="E14333" s="3">
        <v>10</v>
      </c>
      <c r="F14333" s="4" t="str">
        <f>HYPERLINK("http://141.218.60.56/~jnz1568/getInfo.php?workbook=10_05.xlsx&amp;sheet=U0&amp;row=14333&amp;col=6&amp;number=3.9&amp;sourceID=14","3.9")</f>
        <v>3.9</v>
      </c>
      <c r="G14333" s="4" t="str">
        <f>HYPERLINK("http://141.218.60.56/~jnz1568/getInfo.php?workbook=10_05.xlsx&amp;sheet=U0&amp;row=14333&amp;col=7&amp;number=0.0235&amp;sourceID=14","0.0235")</f>
        <v>0.0235</v>
      </c>
    </row>
    <row r="14334" spans="1:7">
      <c r="A14334" s="3"/>
      <c r="B14334" s="3"/>
      <c r="C14334" s="3"/>
      <c r="D14334" s="3"/>
      <c r="E14334" s="3">
        <v>11</v>
      </c>
      <c r="F14334" s="4" t="str">
        <f>HYPERLINK("http://141.218.60.56/~jnz1568/getInfo.php?workbook=10_05.xlsx&amp;sheet=U0&amp;row=14334&amp;col=6&amp;number=4&amp;sourceID=14","4")</f>
        <v>4</v>
      </c>
      <c r="G14334" s="4" t="str">
        <f>HYPERLINK("http://141.218.60.56/~jnz1568/getInfo.php?workbook=10_05.xlsx&amp;sheet=U0&amp;row=14334&amp;col=7&amp;number=0.0236&amp;sourceID=14","0.0236")</f>
        <v>0.0236</v>
      </c>
    </row>
    <row r="14335" spans="1:7">
      <c r="A14335" s="3"/>
      <c r="B14335" s="3"/>
      <c r="C14335" s="3"/>
      <c r="D14335" s="3"/>
      <c r="E14335" s="3">
        <v>12</v>
      </c>
      <c r="F14335" s="4" t="str">
        <f>HYPERLINK("http://141.218.60.56/~jnz1568/getInfo.php?workbook=10_05.xlsx&amp;sheet=U0&amp;row=14335&amp;col=6&amp;number=4.1&amp;sourceID=14","4.1")</f>
        <v>4.1</v>
      </c>
      <c r="G14335" s="4" t="str">
        <f>HYPERLINK("http://141.218.60.56/~jnz1568/getInfo.php?workbook=10_05.xlsx&amp;sheet=U0&amp;row=14335&amp;col=7&amp;number=0.0237&amp;sourceID=14","0.0237")</f>
        <v>0.0237</v>
      </c>
    </row>
    <row r="14336" spans="1:7">
      <c r="A14336" s="3"/>
      <c r="B14336" s="3"/>
      <c r="C14336" s="3"/>
      <c r="D14336" s="3"/>
      <c r="E14336" s="3">
        <v>13</v>
      </c>
      <c r="F14336" s="4" t="str">
        <f>HYPERLINK("http://141.218.60.56/~jnz1568/getInfo.php?workbook=10_05.xlsx&amp;sheet=U0&amp;row=14336&amp;col=6&amp;number=4.2&amp;sourceID=14","4.2")</f>
        <v>4.2</v>
      </c>
      <c r="G14336" s="4" t="str">
        <f>HYPERLINK("http://141.218.60.56/~jnz1568/getInfo.php?workbook=10_05.xlsx&amp;sheet=U0&amp;row=14336&amp;col=7&amp;number=0.0238&amp;sourceID=14","0.0238")</f>
        <v>0.0238</v>
      </c>
    </row>
    <row r="14337" spans="1:7">
      <c r="A14337" s="3"/>
      <c r="B14337" s="3"/>
      <c r="C14337" s="3"/>
      <c r="D14337" s="3"/>
      <c r="E14337" s="3">
        <v>14</v>
      </c>
      <c r="F14337" s="4" t="str">
        <f>HYPERLINK("http://141.218.60.56/~jnz1568/getInfo.php?workbook=10_05.xlsx&amp;sheet=U0&amp;row=14337&amp;col=6&amp;number=4.3&amp;sourceID=14","4.3")</f>
        <v>4.3</v>
      </c>
      <c r="G14337" s="4" t="str">
        <f>HYPERLINK("http://141.218.60.56/~jnz1568/getInfo.php?workbook=10_05.xlsx&amp;sheet=U0&amp;row=14337&amp;col=7&amp;number=0.0238&amp;sourceID=14","0.0238")</f>
        <v>0.0238</v>
      </c>
    </row>
    <row r="14338" spans="1:7">
      <c r="A14338" s="3"/>
      <c r="B14338" s="3"/>
      <c r="C14338" s="3"/>
      <c r="D14338" s="3"/>
      <c r="E14338" s="3">
        <v>15</v>
      </c>
      <c r="F14338" s="4" t="str">
        <f>HYPERLINK("http://141.218.60.56/~jnz1568/getInfo.php?workbook=10_05.xlsx&amp;sheet=U0&amp;row=14338&amp;col=6&amp;number=4.4&amp;sourceID=14","4.4")</f>
        <v>4.4</v>
      </c>
      <c r="G14338" s="4" t="str">
        <f>HYPERLINK("http://141.218.60.56/~jnz1568/getInfo.php?workbook=10_05.xlsx&amp;sheet=U0&amp;row=14338&amp;col=7&amp;number=0.0237&amp;sourceID=14","0.0237")</f>
        <v>0.0237</v>
      </c>
    </row>
    <row r="14339" spans="1:7">
      <c r="A14339" s="3"/>
      <c r="B14339" s="3"/>
      <c r="C14339" s="3"/>
      <c r="D14339" s="3"/>
      <c r="E14339" s="3">
        <v>16</v>
      </c>
      <c r="F14339" s="4" t="str">
        <f>HYPERLINK("http://141.218.60.56/~jnz1568/getInfo.php?workbook=10_05.xlsx&amp;sheet=U0&amp;row=14339&amp;col=6&amp;number=4.5&amp;sourceID=14","4.5")</f>
        <v>4.5</v>
      </c>
      <c r="G14339" s="4" t="str">
        <f>HYPERLINK("http://141.218.60.56/~jnz1568/getInfo.php?workbook=10_05.xlsx&amp;sheet=U0&amp;row=14339&amp;col=7&amp;number=0.0235&amp;sourceID=14","0.0235")</f>
        <v>0.0235</v>
      </c>
    </row>
    <row r="14340" spans="1:7">
      <c r="A14340" s="3"/>
      <c r="B14340" s="3"/>
      <c r="C14340" s="3"/>
      <c r="D14340" s="3"/>
      <c r="E14340" s="3">
        <v>17</v>
      </c>
      <c r="F14340" s="4" t="str">
        <f>HYPERLINK("http://141.218.60.56/~jnz1568/getInfo.php?workbook=10_05.xlsx&amp;sheet=U0&amp;row=14340&amp;col=6&amp;number=4.6&amp;sourceID=14","4.6")</f>
        <v>4.6</v>
      </c>
      <c r="G14340" s="4" t="str">
        <f>HYPERLINK("http://141.218.60.56/~jnz1568/getInfo.php?workbook=10_05.xlsx&amp;sheet=U0&amp;row=14340&amp;col=7&amp;number=0.0231&amp;sourceID=14","0.0231")</f>
        <v>0.0231</v>
      </c>
    </row>
    <row r="14341" spans="1:7">
      <c r="A14341" s="3"/>
      <c r="B14341" s="3"/>
      <c r="C14341" s="3"/>
      <c r="D14341" s="3"/>
      <c r="E14341" s="3">
        <v>18</v>
      </c>
      <c r="F14341" s="4" t="str">
        <f>HYPERLINK("http://141.218.60.56/~jnz1568/getInfo.php?workbook=10_05.xlsx&amp;sheet=U0&amp;row=14341&amp;col=6&amp;number=4.7&amp;sourceID=14","4.7")</f>
        <v>4.7</v>
      </c>
      <c r="G14341" s="4" t="str">
        <f>HYPERLINK("http://141.218.60.56/~jnz1568/getInfo.php?workbook=10_05.xlsx&amp;sheet=U0&amp;row=14341&amp;col=7&amp;number=0.0227&amp;sourceID=14","0.0227")</f>
        <v>0.0227</v>
      </c>
    </row>
    <row r="14342" spans="1:7">
      <c r="A14342" s="3"/>
      <c r="B14342" s="3"/>
      <c r="C14342" s="3"/>
      <c r="D14342" s="3"/>
      <c r="E14342" s="3">
        <v>19</v>
      </c>
      <c r="F14342" s="4" t="str">
        <f>HYPERLINK("http://141.218.60.56/~jnz1568/getInfo.php?workbook=10_05.xlsx&amp;sheet=U0&amp;row=14342&amp;col=6&amp;number=4.8&amp;sourceID=14","4.8")</f>
        <v>4.8</v>
      </c>
      <c r="G14342" s="4" t="str">
        <f>HYPERLINK("http://141.218.60.56/~jnz1568/getInfo.php?workbook=10_05.xlsx&amp;sheet=U0&amp;row=14342&amp;col=7&amp;number=0.0225&amp;sourceID=14","0.0225")</f>
        <v>0.0225</v>
      </c>
    </row>
    <row r="14343" spans="1:7">
      <c r="A14343" s="3"/>
      <c r="B14343" s="3"/>
      <c r="C14343" s="3"/>
      <c r="D14343" s="3"/>
      <c r="E14343" s="3">
        <v>20</v>
      </c>
      <c r="F14343" s="4" t="str">
        <f>HYPERLINK("http://141.218.60.56/~jnz1568/getInfo.php?workbook=10_05.xlsx&amp;sheet=U0&amp;row=14343&amp;col=6&amp;number=4.9&amp;sourceID=14","4.9")</f>
        <v>4.9</v>
      </c>
      <c r="G14343" s="4" t="str">
        <f>HYPERLINK("http://141.218.60.56/~jnz1568/getInfo.php?workbook=10_05.xlsx&amp;sheet=U0&amp;row=14343&amp;col=7&amp;number=0.0225&amp;sourceID=14","0.0225")</f>
        <v>0.0225</v>
      </c>
    </row>
    <row r="14344" spans="1:7">
      <c r="A14344" s="3">
        <v>10</v>
      </c>
      <c r="B14344" s="3">
        <v>5</v>
      </c>
      <c r="C14344" s="3">
        <v>5</v>
      </c>
      <c r="D14344" s="3">
        <v>13</v>
      </c>
      <c r="E14344" s="3">
        <v>1</v>
      </c>
      <c r="F14344" s="4" t="str">
        <f>HYPERLINK("http://141.218.60.56/~jnz1568/getInfo.php?workbook=10_05.xlsx&amp;sheet=U0&amp;row=14344&amp;col=6&amp;number=3&amp;sourceID=14","3")</f>
        <v>3</v>
      </c>
      <c r="G14344" s="4" t="str">
        <f>HYPERLINK("http://141.218.60.56/~jnz1568/getInfo.php?workbook=10_05.xlsx&amp;sheet=U0&amp;row=14344&amp;col=7&amp;number=0.16&amp;sourceID=14","0.16")</f>
        <v>0.16</v>
      </c>
    </row>
    <row r="14345" spans="1:7">
      <c r="A14345" s="3"/>
      <c r="B14345" s="3"/>
      <c r="C14345" s="3"/>
      <c r="D14345" s="3"/>
      <c r="E14345" s="3">
        <v>2</v>
      </c>
      <c r="F14345" s="4" t="str">
        <f>HYPERLINK("http://141.218.60.56/~jnz1568/getInfo.php?workbook=10_05.xlsx&amp;sheet=U0&amp;row=14345&amp;col=6&amp;number=3.1&amp;sourceID=14","3.1")</f>
        <v>3.1</v>
      </c>
      <c r="G14345" s="4" t="str">
        <f>HYPERLINK("http://141.218.60.56/~jnz1568/getInfo.php?workbook=10_05.xlsx&amp;sheet=U0&amp;row=14345&amp;col=7&amp;number=0.16&amp;sourceID=14","0.16")</f>
        <v>0.16</v>
      </c>
    </row>
    <row r="14346" spans="1:7">
      <c r="A14346" s="3"/>
      <c r="B14346" s="3"/>
      <c r="C14346" s="3"/>
      <c r="D14346" s="3"/>
      <c r="E14346" s="3">
        <v>3</v>
      </c>
      <c r="F14346" s="4" t="str">
        <f>HYPERLINK("http://141.218.60.56/~jnz1568/getInfo.php?workbook=10_05.xlsx&amp;sheet=U0&amp;row=14346&amp;col=6&amp;number=3.2&amp;sourceID=14","3.2")</f>
        <v>3.2</v>
      </c>
      <c r="G14346" s="4" t="str">
        <f>HYPERLINK("http://141.218.60.56/~jnz1568/getInfo.php?workbook=10_05.xlsx&amp;sheet=U0&amp;row=14346&amp;col=7&amp;number=0.16&amp;sourceID=14","0.16")</f>
        <v>0.16</v>
      </c>
    </row>
    <row r="14347" spans="1:7">
      <c r="A14347" s="3"/>
      <c r="B14347" s="3"/>
      <c r="C14347" s="3"/>
      <c r="D14347" s="3"/>
      <c r="E14347" s="3">
        <v>4</v>
      </c>
      <c r="F14347" s="4" t="str">
        <f>HYPERLINK("http://141.218.60.56/~jnz1568/getInfo.php?workbook=10_05.xlsx&amp;sheet=U0&amp;row=14347&amp;col=6&amp;number=3.3&amp;sourceID=14","3.3")</f>
        <v>3.3</v>
      </c>
      <c r="G14347" s="4" t="str">
        <f>HYPERLINK("http://141.218.60.56/~jnz1568/getInfo.php?workbook=10_05.xlsx&amp;sheet=U0&amp;row=14347&amp;col=7&amp;number=0.16&amp;sourceID=14","0.16")</f>
        <v>0.16</v>
      </c>
    </row>
    <row r="14348" spans="1:7">
      <c r="A14348" s="3"/>
      <c r="B14348" s="3"/>
      <c r="C14348" s="3"/>
      <c r="D14348" s="3"/>
      <c r="E14348" s="3">
        <v>5</v>
      </c>
      <c r="F14348" s="4" t="str">
        <f>HYPERLINK("http://141.218.60.56/~jnz1568/getInfo.php?workbook=10_05.xlsx&amp;sheet=U0&amp;row=14348&amp;col=6&amp;number=3.4&amp;sourceID=14","3.4")</f>
        <v>3.4</v>
      </c>
      <c r="G14348" s="4" t="str">
        <f>HYPERLINK("http://141.218.60.56/~jnz1568/getInfo.php?workbook=10_05.xlsx&amp;sheet=U0&amp;row=14348&amp;col=7&amp;number=0.16&amp;sourceID=14","0.16")</f>
        <v>0.16</v>
      </c>
    </row>
    <row r="14349" spans="1:7">
      <c r="A14349" s="3"/>
      <c r="B14349" s="3"/>
      <c r="C14349" s="3"/>
      <c r="D14349" s="3"/>
      <c r="E14349" s="3">
        <v>6</v>
      </c>
      <c r="F14349" s="4" t="str">
        <f>HYPERLINK("http://141.218.60.56/~jnz1568/getInfo.php?workbook=10_05.xlsx&amp;sheet=U0&amp;row=14349&amp;col=6&amp;number=3.5&amp;sourceID=14","3.5")</f>
        <v>3.5</v>
      </c>
      <c r="G14349" s="4" t="str">
        <f>HYPERLINK("http://141.218.60.56/~jnz1568/getInfo.php?workbook=10_05.xlsx&amp;sheet=U0&amp;row=14349&amp;col=7&amp;number=0.16&amp;sourceID=14","0.16")</f>
        <v>0.16</v>
      </c>
    </row>
    <row r="14350" spans="1:7">
      <c r="A14350" s="3"/>
      <c r="B14350" s="3"/>
      <c r="C14350" s="3"/>
      <c r="D14350" s="3"/>
      <c r="E14350" s="3">
        <v>7</v>
      </c>
      <c r="F14350" s="4" t="str">
        <f>HYPERLINK("http://141.218.60.56/~jnz1568/getInfo.php?workbook=10_05.xlsx&amp;sheet=U0&amp;row=14350&amp;col=6&amp;number=3.6&amp;sourceID=14","3.6")</f>
        <v>3.6</v>
      </c>
      <c r="G14350" s="4" t="str">
        <f>HYPERLINK("http://141.218.60.56/~jnz1568/getInfo.php?workbook=10_05.xlsx&amp;sheet=U0&amp;row=14350&amp;col=7&amp;number=0.16&amp;sourceID=14","0.16")</f>
        <v>0.16</v>
      </c>
    </row>
    <row r="14351" spans="1:7">
      <c r="A14351" s="3"/>
      <c r="B14351" s="3"/>
      <c r="C14351" s="3"/>
      <c r="D14351" s="3"/>
      <c r="E14351" s="3">
        <v>8</v>
      </c>
      <c r="F14351" s="4" t="str">
        <f>HYPERLINK("http://141.218.60.56/~jnz1568/getInfo.php?workbook=10_05.xlsx&amp;sheet=U0&amp;row=14351&amp;col=6&amp;number=3.7&amp;sourceID=14","3.7")</f>
        <v>3.7</v>
      </c>
      <c r="G14351" s="4" t="str">
        <f>HYPERLINK("http://141.218.60.56/~jnz1568/getInfo.php?workbook=10_05.xlsx&amp;sheet=U0&amp;row=14351&amp;col=7&amp;number=0.16&amp;sourceID=14","0.16")</f>
        <v>0.16</v>
      </c>
    </row>
    <row r="14352" spans="1:7">
      <c r="A14352" s="3"/>
      <c r="B14352" s="3"/>
      <c r="C14352" s="3"/>
      <c r="D14352" s="3"/>
      <c r="E14352" s="3">
        <v>9</v>
      </c>
      <c r="F14352" s="4" t="str">
        <f>HYPERLINK("http://141.218.60.56/~jnz1568/getInfo.php?workbook=10_05.xlsx&amp;sheet=U0&amp;row=14352&amp;col=6&amp;number=3.8&amp;sourceID=14","3.8")</f>
        <v>3.8</v>
      </c>
      <c r="G14352" s="4" t="str">
        <f>HYPERLINK("http://141.218.60.56/~jnz1568/getInfo.php?workbook=10_05.xlsx&amp;sheet=U0&amp;row=14352&amp;col=7&amp;number=0.16&amp;sourceID=14","0.16")</f>
        <v>0.16</v>
      </c>
    </row>
    <row r="14353" spans="1:7">
      <c r="A14353" s="3"/>
      <c r="B14353" s="3"/>
      <c r="C14353" s="3"/>
      <c r="D14353" s="3"/>
      <c r="E14353" s="3">
        <v>10</v>
      </c>
      <c r="F14353" s="4" t="str">
        <f>HYPERLINK("http://141.218.60.56/~jnz1568/getInfo.php?workbook=10_05.xlsx&amp;sheet=U0&amp;row=14353&amp;col=6&amp;number=3.9&amp;sourceID=14","3.9")</f>
        <v>3.9</v>
      </c>
      <c r="G14353" s="4" t="str">
        <f>HYPERLINK("http://141.218.60.56/~jnz1568/getInfo.php?workbook=10_05.xlsx&amp;sheet=U0&amp;row=14353&amp;col=7&amp;number=0.16&amp;sourceID=14","0.16")</f>
        <v>0.16</v>
      </c>
    </row>
    <row r="14354" spans="1:7">
      <c r="A14354" s="3"/>
      <c r="B14354" s="3"/>
      <c r="C14354" s="3"/>
      <c r="D14354" s="3"/>
      <c r="E14354" s="3">
        <v>11</v>
      </c>
      <c r="F14354" s="4" t="str">
        <f>HYPERLINK("http://141.218.60.56/~jnz1568/getInfo.php?workbook=10_05.xlsx&amp;sheet=U0&amp;row=14354&amp;col=6&amp;number=4&amp;sourceID=14","4")</f>
        <v>4</v>
      </c>
      <c r="G14354" s="4" t="str">
        <f>HYPERLINK("http://141.218.60.56/~jnz1568/getInfo.php?workbook=10_05.xlsx&amp;sheet=U0&amp;row=14354&amp;col=7&amp;number=0.16&amp;sourceID=14","0.16")</f>
        <v>0.16</v>
      </c>
    </row>
    <row r="14355" spans="1:7">
      <c r="A14355" s="3"/>
      <c r="B14355" s="3"/>
      <c r="C14355" s="3"/>
      <c r="D14355" s="3"/>
      <c r="E14355" s="3">
        <v>12</v>
      </c>
      <c r="F14355" s="4" t="str">
        <f>HYPERLINK("http://141.218.60.56/~jnz1568/getInfo.php?workbook=10_05.xlsx&amp;sheet=U0&amp;row=14355&amp;col=6&amp;number=4.1&amp;sourceID=14","4.1")</f>
        <v>4.1</v>
      </c>
      <c r="G14355" s="4" t="str">
        <f>HYPERLINK("http://141.218.60.56/~jnz1568/getInfo.php?workbook=10_05.xlsx&amp;sheet=U0&amp;row=14355&amp;col=7&amp;number=0.16&amp;sourceID=14","0.16")</f>
        <v>0.16</v>
      </c>
    </row>
    <row r="14356" spans="1:7">
      <c r="A14356" s="3"/>
      <c r="B14356" s="3"/>
      <c r="C14356" s="3"/>
      <c r="D14356" s="3"/>
      <c r="E14356" s="3">
        <v>13</v>
      </c>
      <c r="F14356" s="4" t="str">
        <f>HYPERLINK("http://141.218.60.56/~jnz1568/getInfo.php?workbook=10_05.xlsx&amp;sheet=U0&amp;row=14356&amp;col=6&amp;number=4.2&amp;sourceID=14","4.2")</f>
        <v>4.2</v>
      </c>
      <c r="G14356" s="4" t="str">
        <f>HYPERLINK("http://141.218.60.56/~jnz1568/getInfo.php?workbook=10_05.xlsx&amp;sheet=U0&amp;row=14356&amp;col=7&amp;number=0.16&amp;sourceID=14","0.16")</f>
        <v>0.16</v>
      </c>
    </row>
    <row r="14357" spans="1:7">
      <c r="A14357" s="3"/>
      <c r="B14357" s="3"/>
      <c r="C14357" s="3"/>
      <c r="D14357" s="3"/>
      <c r="E14357" s="3">
        <v>14</v>
      </c>
      <c r="F14357" s="4" t="str">
        <f>HYPERLINK("http://141.218.60.56/~jnz1568/getInfo.php?workbook=10_05.xlsx&amp;sheet=U0&amp;row=14357&amp;col=6&amp;number=4.3&amp;sourceID=14","4.3")</f>
        <v>4.3</v>
      </c>
      <c r="G14357" s="4" t="str">
        <f>HYPERLINK("http://141.218.60.56/~jnz1568/getInfo.php?workbook=10_05.xlsx&amp;sheet=U0&amp;row=14357&amp;col=7&amp;number=0.16&amp;sourceID=14","0.16")</f>
        <v>0.16</v>
      </c>
    </row>
    <row r="14358" spans="1:7">
      <c r="A14358" s="3"/>
      <c r="B14358" s="3"/>
      <c r="C14358" s="3"/>
      <c r="D14358" s="3"/>
      <c r="E14358" s="3">
        <v>15</v>
      </c>
      <c r="F14358" s="4" t="str">
        <f>HYPERLINK("http://141.218.60.56/~jnz1568/getInfo.php?workbook=10_05.xlsx&amp;sheet=U0&amp;row=14358&amp;col=6&amp;number=4.4&amp;sourceID=14","4.4")</f>
        <v>4.4</v>
      </c>
      <c r="G14358" s="4" t="str">
        <f>HYPERLINK("http://141.218.60.56/~jnz1568/getInfo.php?workbook=10_05.xlsx&amp;sheet=U0&amp;row=14358&amp;col=7&amp;number=0.16&amp;sourceID=14","0.16")</f>
        <v>0.16</v>
      </c>
    </row>
    <row r="14359" spans="1:7">
      <c r="A14359" s="3"/>
      <c r="B14359" s="3"/>
      <c r="C14359" s="3"/>
      <c r="D14359" s="3"/>
      <c r="E14359" s="3">
        <v>16</v>
      </c>
      <c r="F14359" s="4" t="str">
        <f>HYPERLINK("http://141.218.60.56/~jnz1568/getInfo.php?workbook=10_05.xlsx&amp;sheet=U0&amp;row=14359&amp;col=6&amp;number=4.5&amp;sourceID=14","4.5")</f>
        <v>4.5</v>
      </c>
      <c r="G14359" s="4" t="str">
        <f>HYPERLINK("http://141.218.60.56/~jnz1568/getInfo.php?workbook=10_05.xlsx&amp;sheet=U0&amp;row=14359&amp;col=7&amp;number=0.16&amp;sourceID=14","0.16")</f>
        <v>0.16</v>
      </c>
    </row>
    <row r="14360" spans="1:7">
      <c r="A14360" s="3"/>
      <c r="B14360" s="3"/>
      <c r="C14360" s="3"/>
      <c r="D14360" s="3"/>
      <c r="E14360" s="3">
        <v>17</v>
      </c>
      <c r="F14360" s="4" t="str">
        <f>HYPERLINK("http://141.218.60.56/~jnz1568/getInfo.php?workbook=10_05.xlsx&amp;sheet=U0&amp;row=14360&amp;col=6&amp;number=4.6&amp;sourceID=14","4.6")</f>
        <v>4.6</v>
      </c>
      <c r="G14360" s="4" t="str">
        <f>HYPERLINK("http://141.218.60.56/~jnz1568/getInfo.php?workbook=10_05.xlsx&amp;sheet=U0&amp;row=14360&amp;col=7&amp;number=0.16&amp;sourceID=14","0.16")</f>
        <v>0.16</v>
      </c>
    </row>
    <row r="14361" spans="1:7">
      <c r="A14361" s="3"/>
      <c r="B14361" s="3"/>
      <c r="C14361" s="3"/>
      <c r="D14361" s="3"/>
      <c r="E14361" s="3">
        <v>18</v>
      </c>
      <c r="F14361" s="4" t="str">
        <f>HYPERLINK("http://141.218.60.56/~jnz1568/getInfo.php?workbook=10_05.xlsx&amp;sheet=U0&amp;row=14361&amp;col=6&amp;number=4.7&amp;sourceID=14","4.7")</f>
        <v>4.7</v>
      </c>
      <c r="G14361" s="4" t="str">
        <f>HYPERLINK("http://141.218.60.56/~jnz1568/getInfo.php?workbook=10_05.xlsx&amp;sheet=U0&amp;row=14361&amp;col=7&amp;number=0.159&amp;sourceID=14","0.159")</f>
        <v>0.159</v>
      </c>
    </row>
    <row r="14362" spans="1:7">
      <c r="A14362" s="3"/>
      <c r="B14362" s="3"/>
      <c r="C14362" s="3"/>
      <c r="D14362" s="3"/>
      <c r="E14362" s="3">
        <v>19</v>
      </c>
      <c r="F14362" s="4" t="str">
        <f>HYPERLINK("http://141.218.60.56/~jnz1568/getInfo.php?workbook=10_05.xlsx&amp;sheet=U0&amp;row=14362&amp;col=6&amp;number=4.8&amp;sourceID=14","4.8")</f>
        <v>4.8</v>
      </c>
      <c r="G14362" s="4" t="str">
        <f>HYPERLINK("http://141.218.60.56/~jnz1568/getInfo.php?workbook=10_05.xlsx&amp;sheet=U0&amp;row=14362&amp;col=7&amp;number=0.159&amp;sourceID=14","0.159")</f>
        <v>0.159</v>
      </c>
    </row>
    <row r="14363" spans="1:7">
      <c r="A14363" s="3"/>
      <c r="B14363" s="3"/>
      <c r="C14363" s="3"/>
      <c r="D14363" s="3"/>
      <c r="E14363" s="3">
        <v>20</v>
      </c>
      <c r="F14363" s="4" t="str">
        <f>HYPERLINK("http://141.218.60.56/~jnz1568/getInfo.php?workbook=10_05.xlsx&amp;sheet=U0&amp;row=14363&amp;col=6&amp;number=4.9&amp;sourceID=14","4.9")</f>
        <v>4.9</v>
      </c>
      <c r="G14363" s="4" t="str">
        <f>HYPERLINK("http://141.218.60.56/~jnz1568/getInfo.php?workbook=10_05.xlsx&amp;sheet=U0&amp;row=14363&amp;col=7&amp;number=0.159&amp;sourceID=14","0.159")</f>
        <v>0.159</v>
      </c>
    </row>
    <row r="14364" spans="1:7">
      <c r="A14364" s="3">
        <v>10</v>
      </c>
      <c r="B14364" s="3">
        <v>5</v>
      </c>
      <c r="C14364" s="3">
        <v>5</v>
      </c>
      <c r="D14364" s="3">
        <v>14</v>
      </c>
      <c r="E14364" s="3">
        <v>1</v>
      </c>
      <c r="F14364" s="4" t="str">
        <f>HYPERLINK("http://141.218.60.56/~jnz1568/getInfo.php?workbook=10_05.xlsx&amp;sheet=U0&amp;row=14364&amp;col=6&amp;number=3&amp;sourceID=14","3")</f>
        <v>3</v>
      </c>
      <c r="G14364" s="4" t="str">
        <f>HYPERLINK("http://141.218.60.56/~jnz1568/getInfo.php?workbook=10_05.xlsx&amp;sheet=U0&amp;row=14364&amp;col=7&amp;number=0.0121&amp;sourceID=14","0.0121")</f>
        <v>0.0121</v>
      </c>
    </row>
    <row r="14365" spans="1:7">
      <c r="A14365" s="3"/>
      <c r="B14365" s="3"/>
      <c r="C14365" s="3"/>
      <c r="D14365" s="3"/>
      <c r="E14365" s="3">
        <v>2</v>
      </c>
      <c r="F14365" s="4" t="str">
        <f>HYPERLINK("http://141.218.60.56/~jnz1568/getInfo.php?workbook=10_05.xlsx&amp;sheet=U0&amp;row=14365&amp;col=6&amp;number=3.1&amp;sourceID=14","3.1")</f>
        <v>3.1</v>
      </c>
      <c r="G14365" s="4" t="str">
        <f>HYPERLINK("http://141.218.60.56/~jnz1568/getInfo.php?workbook=10_05.xlsx&amp;sheet=U0&amp;row=14365&amp;col=7&amp;number=0.0121&amp;sourceID=14","0.0121")</f>
        <v>0.0121</v>
      </c>
    </row>
    <row r="14366" spans="1:7">
      <c r="A14366" s="3"/>
      <c r="B14366" s="3"/>
      <c r="C14366" s="3"/>
      <c r="D14366" s="3"/>
      <c r="E14366" s="3">
        <v>3</v>
      </c>
      <c r="F14366" s="4" t="str">
        <f>HYPERLINK("http://141.218.60.56/~jnz1568/getInfo.php?workbook=10_05.xlsx&amp;sheet=U0&amp;row=14366&amp;col=6&amp;number=3.2&amp;sourceID=14","3.2")</f>
        <v>3.2</v>
      </c>
      <c r="G14366" s="4" t="str">
        <f>HYPERLINK("http://141.218.60.56/~jnz1568/getInfo.php?workbook=10_05.xlsx&amp;sheet=U0&amp;row=14366&amp;col=7&amp;number=0.0121&amp;sourceID=14","0.0121")</f>
        <v>0.0121</v>
      </c>
    </row>
    <row r="14367" spans="1:7">
      <c r="A14367" s="3"/>
      <c r="B14367" s="3"/>
      <c r="C14367" s="3"/>
      <c r="D14367" s="3"/>
      <c r="E14367" s="3">
        <v>4</v>
      </c>
      <c r="F14367" s="4" t="str">
        <f>HYPERLINK("http://141.218.60.56/~jnz1568/getInfo.php?workbook=10_05.xlsx&amp;sheet=U0&amp;row=14367&amp;col=6&amp;number=3.3&amp;sourceID=14","3.3")</f>
        <v>3.3</v>
      </c>
      <c r="G14367" s="4" t="str">
        <f>HYPERLINK("http://141.218.60.56/~jnz1568/getInfo.php?workbook=10_05.xlsx&amp;sheet=U0&amp;row=14367&amp;col=7&amp;number=0.0122&amp;sourceID=14","0.0122")</f>
        <v>0.0122</v>
      </c>
    </row>
    <row r="14368" spans="1:7">
      <c r="A14368" s="3"/>
      <c r="B14368" s="3"/>
      <c r="C14368" s="3"/>
      <c r="D14368" s="3"/>
      <c r="E14368" s="3">
        <v>5</v>
      </c>
      <c r="F14368" s="4" t="str">
        <f>HYPERLINK("http://141.218.60.56/~jnz1568/getInfo.php?workbook=10_05.xlsx&amp;sheet=U0&amp;row=14368&amp;col=6&amp;number=3.4&amp;sourceID=14","3.4")</f>
        <v>3.4</v>
      </c>
      <c r="G14368" s="4" t="str">
        <f>HYPERLINK("http://141.218.60.56/~jnz1568/getInfo.php?workbook=10_05.xlsx&amp;sheet=U0&amp;row=14368&amp;col=7&amp;number=0.0122&amp;sourceID=14","0.0122")</f>
        <v>0.0122</v>
      </c>
    </row>
    <row r="14369" spans="1:7">
      <c r="A14369" s="3"/>
      <c r="B14369" s="3"/>
      <c r="C14369" s="3"/>
      <c r="D14369" s="3"/>
      <c r="E14369" s="3">
        <v>6</v>
      </c>
      <c r="F14369" s="4" t="str">
        <f>HYPERLINK("http://141.218.60.56/~jnz1568/getInfo.php?workbook=10_05.xlsx&amp;sheet=U0&amp;row=14369&amp;col=6&amp;number=3.5&amp;sourceID=14","3.5")</f>
        <v>3.5</v>
      </c>
      <c r="G14369" s="4" t="str">
        <f>HYPERLINK("http://141.218.60.56/~jnz1568/getInfo.php?workbook=10_05.xlsx&amp;sheet=U0&amp;row=14369&amp;col=7&amp;number=0.0122&amp;sourceID=14","0.0122")</f>
        <v>0.0122</v>
      </c>
    </row>
    <row r="14370" spans="1:7">
      <c r="A14370" s="3"/>
      <c r="B14370" s="3"/>
      <c r="C14370" s="3"/>
      <c r="D14370" s="3"/>
      <c r="E14370" s="3">
        <v>7</v>
      </c>
      <c r="F14370" s="4" t="str">
        <f>HYPERLINK("http://141.218.60.56/~jnz1568/getInfo.php?workbook=10_05.xlsx&amp;sheet=U0&amp;row=14370&amp;col=6&amp;number=3.6&amp;sourceID=14","3.6")</f>
        <v>3.6</v>
      </c>
      <c r="G14370" s="4" t="str">
        <f>HYPERLINK("http://141.218.60.56/~jnz1568/getInfo.php?workbook=10_05.xlsx&amp;sheet=U0&amp;row=14370&amp;col=7&amp;number=0.0122&amp;sourceID=14","0.0122")</f>
        <v>0.0122</v>
      </c>
    </row>
    <row r="14371" spans="1:7">
      <c r="A14371" s="3"/>
      <c r="B14371" s="3"/>
      <c r="C14371" s="3"/>
      <c r="D14371" s="3"/>
      <c r="E14371" s="3">
        <v>8</v>
      </c>
      <c r="F14371" s="4" t="str">
        <f>HYPERLINK("http://141.218.60.56/~jnz1568/getInfo.php?workbook=10_05.xlsx&amp;sheet=U0&amp;row=14371&amp;col=6&amp;number=3.7&amp;sourceID=14","3.7")</f>
        <v>3.7</v>
      </c>
      <c r="G14371" s="4" t="str">
        <f>HYPERLINK("http://141.218.60.56/~jnz1568/getInfo.php?workbook=10_05.xlsx&amp;sheet=U0&amp;row=14371&amp;col=7&amp;number=0.0123&amp;sourceID=14","0.0123")</f>
        <v>0.0123</v>
      </c>
    </row>
    <row r="14372" spans="1:7">
      <c r="A14372" s="3"/>
      <c r="B14372" s="3"/>
      <c r="C14372" s="3"/>
      <c r="D14372" s="3"/>
      <c r="E14372" s="3">
        <v>9</v>
      </c>
      <c r="F14372" s="4" t="str">
        <f>HYPERLINK("http://141.218.60.56/~jnz1568/getInfo.php?workbook=10_05.xlsx&amp;sheet=U0&amp;row=14372&amp;col=6&amp;number=3.8&amp;sourceID=14","3.8")</f>
        <v>3.8</v>
      </c>
      <c r="G14372" s="4" t="str">
        <f>HYPERLINK("http://141.218.60.56/~jnz1568/getInfo.php?workbook=10_05.xlsx&amp;sheet=U0&amp;row=14372&amp;col=7&amp;number=0.0123&amp;sourceID=14","0.0123")</f>
        <v>0.0123</v>
      </c>
    </row>
    <row r="14373" spans="1:7">
      <c r="A14373" s="3"/>
      <c r="B14373" s="3"/>
      <c r="C14373" s="3"/>
      <c r="D14373" s="3"/>
      <c r="E14373" s="3">
        <v>10</v>
      </c>
      <c r="F14373" s="4" t="str">
        <f>HYPERLINK("http://141.218.60.56/~jnz1568/getInfo.php?workbook=10_05.xlsx&amp;sheet=U0&amp;row=14373&amp;col=6&amp;number=3.9&amp;sourceID=14","3.9")</f>
        <v>3.9</v>
      </c>
      <c r="G14373" s="4" t="str">
        <f>HYPERLINK("http://141.218.60.56/~jnz1568/getInfo.php?workbook=10_05.xlsx&amp;sheet=U0&amp;row=14373&amp;col=7&amp;number=0.0124&amp;sourceID=14","0.0124")</f>
        <v>0.0124</v>
      </c>
    </row>
    <row r="14374" spans="1:7">
      <c r="A14374" s="3"/>
      <c r="B14374" s="3"/>
      <c r="C14374" s="3"/>
      <c r="D14374" s="3"/>
      <c r="E14374" s="3">
        <v>11</v>
      </c>
      <c r="F14374" s="4" t="str">
        <f>HYPERLINK("http://141.218.60.56/~jnz1568/getInfo.php?workbook=10_05.xlsx&amp;sheet=U0&amp;row=14374&amp;col=6&amp;number=4&amp;sourceID=14","4")</f>
        <v>4</v>
      </c>
      <c r="G14374" s="4" t="str">
        <f>HYPERLINK("http://141.218.60.56/~jnz1568/getInfo.php?workbook=10_05.xlsx&amp;sheet=U0&amp;row=14374&amp;col=7&amp;number=0.0124&amp;sourceID=14","0.0124")</f>
        <v>0.0124</v>
      </c>
    </row>
    <row r="14375" spans="1:7">
      <c r="A14375" s="3"/>
      <c r="B14375" s="3"/>
      <c r="C14375" s="3"/>
      <c r="D14375" s="3"/>
      <c r="E14375" s="3">
        <v>12</v>
      </c>
      <c r="F14375" s="4" t="str">
        <f>HYPERLINK("http://141.218.60.56/~jnz1568/getInfo.php?workbook=10_05.xlsx&amp;sheet=U0&amp;row=14375&amp;col=6&amp;number=4.1&amp;sourceID=14","4.1")</f>
        <v>4.1</v>
      </c>
      <c r="G14375" s="4" t="str">
        <f>HYPERLINK("http://141.218.60.56/~jnz1568/getInfo.php?workbook=10_05.xlsx&amp;sheet=U0&amp;row=14375&amp;col=7&amp;number=0.0125&amp;sourceID=14","0.0125")</f>
        <v>0.0125</v>
      </c>
    </row>
    <row r="14376" spans="1:7">
      <c r="A14376" s="3"/>
      <c r="B14376" s="3"/>
      <c r="C14376" s="3"/>
      <c r="D14376" s="3"/>
      <c r="E14376" s="3">
        <v>13</v>
      </c>
      <c r="F14376" s="4" t="str">
        <f>HYPERLINK("http://141.218.60.56/~jnz1568/getInfo.php?workbook=10_05.xlsx&amp;sheet=U0&amp;row=14376&amp;col=6&amp;number=4.2&amp;sourceID=14","4.2")</f>
        <v>4.2</v>
      </c>
      <c r="G14376" s="4" t="str">
        <f>HYPERLINK("http://141.218.60.56/~jnz1568/getInfo.php?workbook=10_05.xlsx&amp;sheet=U0&amp;row=14376&amp;col=7&amp;number=0.0126&amp;sourceID=14","0.0126")</f>
        <v>0.0126</v>
      </c>
    </row>
    <row r="14377" spans="1:7">
      <c r="A14377" s="3"/>
      <c r="B14377" s="3"/>
      <c r="C14377" s="3"/>
      <c r="D14377" s="3"/>
      <c r="E14377" s="3">
        <v>14</v>
      </c>
      <c r="F14377" s="4" t="str">
        <f>HYPERLINK("http://141.218.60.56/~jnz1568/getInfo.php?workbook=10_05.xlsx&amp;sheet=U0&amp;row=14377&amp;col=6&amp;number=4.3&amp;sourceID=14","4.3")</f>
        <v>4.3</v>
      </c>
      <c r="G14377" s="4" t="str">
        <f>HYPERLINK("http://141.218.60.56/~jnz1568/getInfo.php?workbook=10_05.xlsx&amp;sheet=U0&amp;row=14377&amp;col=7&amp;number=0.0126&amp;sourceID=14","0.0126")</f>
        <v>0.0126</v>
      </c>
    </row>
    <row r="14378" spans="1:7">
      <c r="A14378" s="3"/>
      <c r="B14378" s="3"/>
      <c r="C14378" s="3"/>
      <c r="D14378" s="3"/>
      <c r="E14378" s="3">
        <v>15</v>
      </c>
      <c r="F14378" s="4" t="str">
        <f>HYPERLINK("http://141.218.60.56/~jnz1568/getInfo.php?workbook=10_05.xlsx&amp;sheet=U0&amp;row=14378&amp;col=6&amp;number=4.4&amp;sourceID=14","4.4")</f>
        <v>4.4</v>
      </c>
      <c r="G14378" s="4" t="str">
        <f>HYPERLINK("http://141.218.60.56/~jnz1568/getInfo.php?workbook=10_05.xlsx&amp;sheet=U0&amp;row=14378&amp;col=7&amp;number=0.0127&amp;sourceID=14","0.0127")</f>
        <v>0.0127</v>
      </c>
    </row>
    <row r="14379" spans="1:7">
      <c r="A14379" s="3"/>
      <c r="B14379" s="3"/>
      <c r="C14379" s="3"/>
      <c r="D14379" s="3"/>
      <c r="E14379" s="3">
        <v>16</v>
      </c>
      <c r="F14379" s="4" t="str">
        <f>HYPERLINK("http://141.218.60.56/~jnz1568/getInfo.php?workbook=10_05.xlsx&amp;sheet=U0&amp;row=14379&amp;col=6&amp;number=4.5&amp;sourceID=14","4.5")</f>
        <v>4.5</v>
      </c>
      <c r="G14379" s="4" t="str">
        <f>HYPERLINK("http://141.218.60.56/~jnz1568/getInfo.php?workbook=10_05.xlsx&amp;sheet=U0&amp;row=14379&amp;col=7&amp;number=0.0127&amp;sourceID=14","0.0127")</f>
        <v>0.0127</v>
      </c>
    </row>
    <row r="14380" spans="1:7">
      <c r="A14380" s="3"/>
      <c r="B14380" s="3"/>
      <c r="C14380" s="3"/>
      <c r="D14380" s="3"/>
      <c r="E14380" s="3">
        <v>17</v>
      </c>
      <c r="F14380" s="4" t="str">
        <f>HYPERLINK("http://141.218.60.56/~jnz1568/getInfo.php?workbook=10_05.xlsx&amp;sheet=U0&amp;row=14380&amp;col=6&amp;number=4.6&amp;sourceID=14","4.6")</f>
        <v>4.6</v>
      </c>
      <c r="G14380" s="4" t="str">
        <f>HYPERLINK("http://141.218.60.56/~jnz1568/getInfo.php?workbook=10_05.xlsx&amp;sheet=U0&amp;row=14380&amp;col=7&amp;number=0.0127&amp;sourceID=14","0.0127")</f>
        <v>0.0127</v>
      </c>
    </row>
    <row r="14381" spans="1:7">
      <c r="A14381" s="3"/>
      <c r="B14381" s="3"/>
      <c r="C14381" s="3"/>
      <c r="D14381" s="3"/>
      <c r="E14381" s="3">
        <v>18</v>
      </c>
      <c r="F14381" s="4" t="str">
        <f>HYPERLINK("http://141.218.60.56/~jnz1568/getInfo.php?workbook=10_05.xlsx&amp;sheet=U0&amp;row=14381&amp;col=6&amp;number=4.7&amp;sourceID=14","4.7")</f>
        <v>4.7</v>
      </c>
      <c r="G14381" s="4" t="str">
        <f>HYPERLINK("http://141.218.60.56/~jnz1568/getInfo.php?workbook=10_05.xlsx&amp;sheet=U0&amp;row=14381&amp;col=7&amp;number=0.0128&amp;sourceID=14","0.0128")</f>
        <v>0.0128</v>
      </c>
    </row>
    <row r="14382" spans="1:7">
      <c r="A14382" s="3"/>
      <c r="B14382" s="3"/>
      <c r="C14382" s="3"/>
      <c r="D14382" s="3"/>
      <c r="E14382" s="3">
        <v>19</v>
      </c>
      <c r="F14382" s="4" t="str">
        <f>HYPERLINK("http://141.218.60.56/~jnz1568/getInfo.php?workbook=10_05.xlsx&amp;sheet=U0&amp;row=14382&amp;col=6&amp;number=4.8&amp;sourceID=14","4.8")</f>
        <v>4.8</v>
      </c>
      <c r="G14382" s="4" t="str">
        <f>HYPERLINK("http://141.218.60.56/~jnz1568/getInfo.php?workbook=10_05.xlsx&amp;sheet=U0&amp;row=14382&amp;col=7&amp;number=0.013&amp;sourceID=14","0.013")</f>
        <v>0.013</v>
      </c>
    </row>
    <row r="14383" spans="1:7">
      <c r="A14383" s="3"/>
      <c r="B14383" s="3"/>
      <c r="C14383" s="3"/>
      <c r="D14383" s="3"/>
      <c r="E14383" s="3">
        <v>20</v>
      </c>
      <c r="F14383" s="4" t="str">
        <f>HYPERLINK("http://141.218.60.56/~jnz1568/getInfo.php?workbook=10_05.xlsx&amp;sheet=U0&amp;row=14383&amp;col=6&amp;number=4.9&amp;sourceID=14","4.9")</f>
        <v>4.9</v>
      </c>
      <c r="G14383" s="4" t="str">
        <f>HYPERLINK("http://141.218.60.56/~jnz1568/getInfo.php?workbook=10_05.xlsx&amp;sheet=U0&amp;row=14383&amp;col=7&amp;number=0.0133&amp;sourceID=14","0.0133")</f>
        <v>0.0133</v>
      </c>
    </row>
    <row r="14384" spans="1:7">
      <c r="A14384" s="3">
        <v>10</v>
      </c>
      <c r="B14384" s="3">
        <v>5</v>
      </c>
      <c r="C14384" s="3">
        <v>5</v>
      </c>
      <c r="D14384" s="3">
        <v>15</v>
      </c>
      <c r="E14384" s="3">
        <v>1</v>
      </c>
      <c r="F14384" s="4" t="str">
        <f>HYPERLINK("http://141.218.60.56/~jnz1568/getInfo.php?workbook=10_05.xlsx&amp;sheet=U0&amp;row=14384&amp;col=6&amp;number=3&amp;sourceID=14","3")</f>
        <v>3</v>
      </c>
      <c r="G14384" s="4" t="str">
        <f>HYPERLINK("http://141.218.60.56/~jnz1568/getInfo.php?workbook=10_05.xlsx&amp;sheet=U0&amp;row=14384&amp;col=7&amp;number=0.0569&amp;sourceID=14","0.0569")</f>
        <v>0.0569</v>
      </c>
    </row>
    <row r="14385" spans="1:7">
      <c r="A14385" s="3"/>
      <c r="B14385" s="3"/>
      <c r="C14385" s="3"/>
      <c r="D14385" s="3"/>
      <c r="E14385" s="3">
        <v>2</v>
      </c>
      <c r="F14385" s="4" t="str">
        <f>HYPERLINK("http://141.218.60.56/~jnz1568/getInfo.php?workbook=10_05.xlsx&amp;sheet=U0&amp;row=14385&amp;col=6&amp;number=3.1&amp;sourceID=14","3.1")</f>
        <v>3.1</v>
      </c>
      <c r="G14385" s="4" t="str">
        <f>HYPERLINK("http://141.218.60.56/~jnz1568/getInfo.php?workbook=10_05.xlsx&amp;sheet=U0&amp;row=14385&amp;col=7&amp;number=0.0569&amp;sourceID=14","0.0569")</f>
        <v>0.0569</v>
      </c>
    </row>
    <row r="14386" spans="1:7">
      <c r="A14386" s="3"/>
      <c r="B14386" s="3"/>
      <c r="C14386" s="3"/>
      <c r="D14386" s="3"/>
      <c r="E14386" s="3">
        <v>3</v>
      </c>
      <c r="F14386" s="4" t="str">
        <f>HYPERLINK("http://141.218.60.56/~jnz1568/getInfo.php?workbook=10_05.xlsx&amp;sheet=U0&amp;row=14386&amp;col=6&amp;number=3.2&amp;sourceID=14","3.2")</f>
        <v>3.2</v>
      </c>
      <c r="G14386" s="4" t="str">
        <f>HYPERLINK("http://141.218.60.56/~jnz1568/getInfo.php?workbook=10_05.xlsx&amp;sheet=U0&amp;row=14386&amp;col=7&amp;number=0.0569&amp;sourceID=14","0.0569")</f>
        <v>0.0569</v>
      </c>
    </row>
    <row r="14387" spans="1:7">
      <c r="A14387" s="3"/>
      <c r="B14387" s="3"/>
      <c r="C14387" s="3"/>
      <c r="D14387" s="3"/>
      <c r="E14387" s="3">
        <v>4</v>
      </c>
      <c r="F14387" s="4" t="str">
        <f>HYPERLINK("http://141.218.60.56/~jnz1568/getInfo.php?workbook=10_05.xlsx&amp;sheet=U0&amp;row=14387&amp;col=6&amp;number=3.3&amp;sourceID=14","3.3")</f>
        <v>3.3</v>
      </c>
      <c r="G14387" s="4" t="str">
        <f>HYPERLINK("http://141.218.60.56/~jnz1568/getInfo.php?workbook=10_05.xlsx&amp;sheet=U0&amp;row=14387&amp;col=7&amp;number=0.057&amp;sourceID=14","0.057")</f>
        <v>0.057</v>
      </c>
    </row>
    <row r="14388" spans="1:7">
      <c r="A14388" s="3"/>
      <c r="B14388" s="3"/>
      <c r="C14388" s="3"/>
      <c r="D14388" s="3"/>
      <c r="E14388" s="3">
        <v>5</v>
      </c>
      <c r="F14388" s="4" t="str">
        <f>HYPERLINK("http://141.218.60.56/~jnz1568/getInfo.php?workbook=10_05.xlsx&amp;sheet=U0&amp;row=14388&amp;col=6&amp;number=3.4&amp;sourceID=14","3.4")</f>
        <v>3.4</v>
      </c>
      <c r="G14388" s="4" t="str">
        <f>HYPERLINK("http://141.218.60.56/~jnz1568/getInfo.php?workbook=10_05.xlsx&amp;sheet=U0&amp;row=14388&amp;col=7&amp;number=0.057&amp;sourceID=14","0.057")</f>
        <v>0.057</v>
      </c>
    </row>
    <row r="14389" spans="1:7">
      <c r="A14389" s="3"/>
      <c r="B14389" s="3"/>
      <c r="C14389" s="3"/>
      <c r="D14389" s="3"/>
      <c r="E14389" s="3">
        <v>6</v>
      </c>
      <c r="F14389" s="4" t="str">
        <f>HYPERLINK("http://141.218.60.56/~jnz1568/getInfo.php?workbook=10_05.xlsx&amp;sheet=U0&amp;row=14389&amp;col=6&amp;number=3.5&amp;sourceID=14","3.5")</f>
        <v>3.5</v>
      </c>
      <c r="G14389" s="4" t="str">
        <f>HYPERLINK("http://141.218.60.56/~jnz1568/getInfo.php?workbook=10_05.xlsx&amp;sheet=U0&amp;row=14389&amp;col=7&amp;number=0.0571&amp;sourceID=14","0.0571")</f>
        <v>0.0571</v>
      </c>
    </row>
    <row r="14390" spans="1:7">
      <c r="A14390" s="3"/>
      <c r="B14390" s="3"/>
      <c r="C14390" s="3"/>
      <c r="D14390" s="3"/>
      <c r="E14390" s="3">
        <v>7</v>
      </c>
      <c r="F14390" s="4" t="str">
        <f>HYPERLINK("http://141.218.60.56/~jnz1568/getInfo.php?workbook=10_05.xlsx&amp;sheet=U0&amp;row=14390&amp;col=6&amp;number=3.6&amp;sourceID=14","3.6")</f>
        <v>3.6</v>
      </c>
      <c r="G14390" s="4" t="str">
        <f>HYPERLINK("http://141.218.60.56/~jnz1568/getInfo.php?workbook=10_05.xlsx&amp;sheet=U0&amp;row=14390&amp;col=7&amp;number=0.0572&amp;sourceID=14","0.0572")</f>
        <v>0.0572</v>
      </c>
    </row>
    <row r="14391" spans="1:7">
      <c r="A14391" s="3"/>
      <c r="B14391" s="3"/>
      <c r="C14391" s="3"/>
      <c r="D14391" s="3"/>
      <c r="E14391" s="3">
        <v>8</v>
      </c>
      <c r="F14391" s="4" t="str">
        <f>HYPERLINK("http://141.218.60.56/~jnz1568/getInfo.php?workbook=10_05.xlsx&amp;sheet=U0&amp;row=14391&amp;col=6&amp;number=3.7&amp;sourceID=14","3.7")</f>
        <v>3.7</v>
      </c>
      <c r="G14391" s="4" t="str">
        <f>HYPERLINK("http://141.218.60.56/~jnz1568/getInfo.php?workbook=10_05.xlsx&amp;sheet=U0&amp;row=14391&amp;col=7&amp;number=0.0573&amp;sourceID=14","0.0573")</f>
        <v>0.0573</v>
      </c>
    </row>
    <row r="14392" spans="1:7">
      <c r="A14392" s="3"/>
      <c r="B14392" s="3"/>
      <c r="C14392" s="3"/>
      <c r="D14392" s="3"/>
      <c r="E14392" s="3">
        <v>9</v>
      </c>
      <c r="F14392" s="4" t="str">
        <f>HYPERLINK("http://141.218.60.56/~jnz1568/getInfo.php?workbook=10_05.xlsx&amp;sheet=U0&amp;row=14392&amp;col=6&amp;number=3.8&amp;sourceID=14","3.8")</f>
        <v>3.8</v>
      </c>
      <c r="G14392" s="4" t="str">
        <f>HYPERLINK("http://141.218.60.56/~jnz1568/getInfo.php?workbook=10_05.xlsx&amp;sheet=U0&amp;row=14392&amp;col=7&amp;number=0.0574&amp;sourceID=14","0.0574")</f>
        <v>0.0574</v>
      </c>
    </row>
    <row r="14393" spans="1:7">
      <c r="A14393" s="3"/>
      <c r="B14393" s="3"/>
      <c r="C14393" s="3"/>
      <c r="D14393" s="3"/>
      <c r="E14393" s="3">
        <v>10</v>
      </c>
      <c r="F14393" s="4" t="str">
        <f>HYPERLINK("http://141.218.60.56/~jnz1568/getInfo.php?workbook=10_05.xlsx&amp;sheet=U0&amp;row=14393&amp;col=6&amp;number=3.9&amp;sourceID=14","3.9")</f>
        <v>3.9</v>
      </c>
      <c r="G14393" s="4" t="str">
        <f>HYPERLINK("http://141.218.60.56/~jnz1568/getInfo.php?workbook=10_05.xlsx&amp;sheet=U0&amp;row=14393&amp;col=7&amp;number=0.0575&amp;sourceID=14","0.0575")</f>
        <v>0.0575</v>
      </c>
    </row>
    <row r="14394" spans="1:7">
      <c r="A14394" s="3"/>
      <c r="B14394" s="3"/>
      <c r="C14394" s="3"/>
      <c r="D14394" s="3"/>
      <c r="E14394" s="3">
        <v>11</v>
      </c>
      <c r="F14394" s="4" t="str">
        <f>HYPERLINK("http://141.218.60.56/~jnz1568/getInfo.php?workbook=10_05.xlsx&amp;sheet=U0&amp;row=14394&amp;col=6&amp;number=4&amp;sourceID=14","4")</f>
        <v>4</v>
      </c>
      <c r="G14394" s="4" t="str">
        <f>HYPERLINK("http://141.218.60.56/~jnz1568/getInfo.php?workbook=10_05.xlsx&amp;sheet=U0&amp;row=14394&amp;col=7&amp;number=0.0577&amp;sourceID=14","0.0577")</f>
        <v>0.0577</v>
      </c>
    </row>
    <row r="14395" spans="1:7">
      <c r="A14395" s="3"/>
      <c r="B14395" s="3"/>
      <c r="C14395" s="3"/>
      <c r="D14395" s="3"/>
      <c r="E14395" s="3">
        <v>12</v>
      </c>
      <c r="F14395" s="4" t="str">
        <f>HYPERLINK("http://141.218.60.56/~jnz1568/getInfo.php?workbook=10_05.xlsx&amp;sheet=U0&amp;row=14395&amp;col=6&amp;number=4.1&amp;sourceID=14","4.1")</f>
        <v>4.1</v>
      </c>
      <c r="G14395" s="4" t="str">
        <f>HYPERLINK("http://141.218.60.56/~jnz1568/getInfo.php?workbook=10_05.xlsx&amp;sheet=U0&amp;row=14395&amp;col=7&amp;number=0.0579&amp;sourceID=14","0.0579")</f>
        <v>0.0579</v>
      </c>
    </row>
    <row r="14396" spans="1:7">
      <c r="A14396" s="3"/>
      <c r="B14396" s="3"/>
      <c r="C14396" s="3"/>
      <c r="D14396" s="3"/>
      <c r="E14396" s="3">
        <v>13</v>
      </c>
      <c r="F14396" s="4" t="str">
        <f>HYPERLINK("http://141.218.60.56/~jnz1568/getInfo.php?workbook=10_05.xlsx&amp;sheet=U0&amp;row=14396&amp;col=6&amp;number=4.2&amp;sourceID=14","4.2")</f>
        <v>4.2</v>
      </c>
      <c r="G14396" s="4" t="str">
        <f>HYPERLINK("http://141.218.60.56/~jnz1568/getInfo.php?workbook=10_05.xlsx&amp;sheet=U0&amp;row=14396&amp;col=7&amp;number=0.0581&amp;sourceID=14","0.0581")</f>
        <v>0.0581</v>
      </c>
    </row>
    <row r="14397" spans="1:7">
      <c r="A14397" s="3"/>
      <c r="B14397" s="3"/>
      <c r="C14397" s="3"/>
      <c r="D14397" s="3"/>
      <c r="E14397" s="3">
        <v>14</v>
      </c>
      <c r="F14397" s="4" t="str">
        <f>HYPERLINK("http://141.218.60.56/~jnz1568/getInfo.php?workbook=10_05.xlsx&amp;sheet=U0&amp;row=14397&amp;col=6&amp;number=4.3&amp;sourceID=14","4.3")</f>
        <v>4.3</v>
      </c>
      <c r="G14397" s="4" t="str">
        <f>HYPERLINK("http://141.218.60.56/~jnz1568/getInfo.php?workbook=10_05.xlsx&amp;sheet=U0&amp;row=14397&amp;col=7&amp;number=0.0584&amp;sourceID=14","0.0584")</f>
        <v>0.0584</v>
      </c>
    </row>
    <row r="14398" spans="1:7">
      <c r="A14398" s="3"/>
      <c r="B14398" s="3"/>
      <c r="C14398" s="3"/>
      <c r="D14398" s="3"/>
      <c r="E14398" s="3">
        <v>15</v>
      </c>
      <c r="F14398" s="4" t="str">
        <f>HYPERLINK("http://141.218.60.56/~jnz1568/getInfo.php?workbook=10_05.xlsx&amp;sheet=U0&amp;row=14398&amp;col=6&amp;number=4.4&amp;sourceID=14","4.4")</f>
        <v>4.4</v>
      </c>
      <c r="G14398" s="4" t="str">
        <f>HYPERLINK("http://141.218.60.56/~jnz1568/getInfo.php?workbook=10_05.xlsx&amp;sheet=U0&amp;row=14398&amp;col=7&amp;number=0.0586&amp;sourceID=14","0.0586")</f>
        <v>0.0586</v>
      </c>
    </row>
    <row r="14399" spans="1:7">
      <c r="A14399" s="3"/>
      <c r="B14399" s="3"/>
      <c r="C14399" s="3"/>
      <c r="D14399" s="3"/>
      <c r="E14399" s="3">
        <v>16</v>
      </c>
      <c r="F14399" s="4" t="str">
        <f>HYPERLINK("http://141.218.60.56/~jnz1568/getInfo.php?workbook=10_05.xlsx&amp;sheet=U0&amp;row=14399&amp;col=6&amp;number=4.5&amp;sourceID=14","4.5")</f>
        <v>4.5</v>
      </c>
      <c r="G14399" s="4" t="str">
        <f>HYPERLINK("http://141.218.60.56/~jnz1568/getInfo.php?workbook=10_05.xlsx&amp;sheet=U0&amp;row=14399&amp;col=7&amp;number=0.0588&amp;sourceID=14","0.0588")</f>
        <v>0.0588</v>
      </c>
    </row>
    <row r="14400" spans="1:7">
      <c r="A14400" s="3"/>
      <c r="B14400" s="3"/>
      <c r="C14400" s="3"/>
      <c r="D14400" s="3"/>
      <c r="E14400" s="3">
        <v>17</v>
      </c>
      <c r="F14400" s="4" t="str">
        <f>HYPERLINK("http://141.218.60.56/~jnz1568/getInfo.php?workbook=10_05.xlsx&amp;sheet=U0&amp;row=14400&amp;col=6&amp;number=4.6&amp;sourceID=14","4.6")</f>
        <v>4.6</v>
      </c>
      <c r="G14400" s="4" t="str">
        <f>HYPERLINK("http://141.218.60.56/~jnz1568/getInfo.php?workbook=10_05.xlsx&amp;sheet=U0&amp;row=14400&amp;col=7&amp;number=0.059&amp;sourceID=14","0.059")</f>
        <v>0.059</v>
      </c>
    </row>
    <row r="14401" spans="1:7">
      <c r="A14401" s="3"/>
      <c r="B14401" s="3"/>
      <c r="C14401" s="3"/>
      <c r="D14401" s="3"/>
      <c r="E14401" s="3">
        <v>18</v>
      </c>
      <c r="F14401" s="4" t="str">
        <f>HYPERLINK("http://141.218.60.56/~jnz1568/getInfo.php?workbook=10_05.xlsx&amp;sheet=U0&amp;row=14401&amp;col=6&amp;number=4.7&amp;sourceID=14","4.7")</f>
        <v>4.7</v>
      </c>
      <c r="G14401" s="4" t="str">
        <f>HYPERLINK("http://141.218.60.56/~jnz1568/getInfo.php?workbook=10_05.xlsx&amp;sheet=U0&amp;row=14401&amp;col=7&amp;number=0.059&amp;sourceID=14","0.059")</f>
        <v>0.059</v>
      </c>
    </row>
    <row r="14402" spans="1:7">
      <c r="A14402" s="3"/>
      <c r="B14402" s="3"/>
      <c r="C14402" s="3"/>
      <c r="D14402" s="3"/>
      <c r="E14402" s="3">
        <v>19</v>
      </c>
      <c r="F14402" s="4" t="str">
        <f>HYPERLINK("http://141.218.60.56/~jnz1568/getInfo.php?workbook=10_05.xlsx&amp;sheet=U0&amp;row=14402&amp;col=6&amp;number=4.8&amp;sourceID=14","4.8")</f>
        <v>4.8</v>
      </c>
      <c r="G14402" s="4" t="str">
        <f>HYPERLINK("http://141.218.60.56/~jnz1568/getInfo.php?workbook=10_05.xlsx&amp;sheet=U0&amp;row=14402&amp;col=7&amp;number=0.0592&amp;sourceID=14","0.0592")</f>
        <v>0.0592</v>
      </c>
    </row>
    <row r="14403" spans="1:7">
      <c r="A14403" s="3"/>
      <c r="B14403" s="3"/>
      <c r="C14403" s="3"/>
      <c r="D14403" s="3"/>
      <c r="E14403" s="3">
        <v>20</v>
      </c>
      <c r="F14403" s="4" t="str">
        <f>HYPERLINK("http://141.218.60.56/~jnz1568/getInfo.php?workbook=10_05.xlsx&amp;sheet=U0&amp;row=14403&amp;col=6&amp;number=4.9&amp;sourceID=14","4.9")</f>
        <v>4.9</v>
      </c>
      <c r="G14403" s="4" t="str">
        <f>HYPERLINK("http://141.218.60.56/~jnz1568/getInfo.php?workbook=10_05.xlsx&amp;sheet=U0&amp;row=14403&amp;col=7&amp;number=0.0598&amp;sourceID=14","0.0598")</f>
        <v>0.0598</v>
      </c>
    </row>
    <row r="14404" spans="1:7">
      <c r="A14404" s="3">
        <v>10</v>
      </c>
      <c r="B14404" s="3">
        <v>5</v>
      </c>
      <c r="C14404" s="3">
        <v>5</v>
      </c>
      <c r="D14404" s="3">
        <v>16</v>
      </c>
      <c r="E14404" s="3">
        <v>1</v>
      </c>
      <c r="F14404" s="4" t="str">
        <f>HYPERLINK("http://141.218.60.56/~jnz1568/getInfo.php?workbook=10_05.xlsx&amp;sheet=U0&amp;row=14404&amp;col=6&amp;number=3&amp;sourceID=14","3")</f>
        <v>3</v>
      </c>
      <c r="G14404" s="4" t="str">
        <f>HYPERLINK("http://141.218.60.56/~jnz1568/getInfo.php?workbook=10_05.xlsx&amp;sheet=U0&amp;row=14404&amp;col=7&amp;number=0.0508&amp;sourceID=14","0.0508")</f>
        <v>0.0508</v>
      </c>
    </row>
    <row r="14405" spans="1:7">
      <c r="A14405" s="3"/>
      <c r="B14405" s="3"/>
      <c r="C14405" s="3"/>
      <c r="D14405" s="3"/>
      <c r="E14405" s="3">
        <v>2</v>
      </c>
      <c r="F14405" s="4" t="str">
        <f>HYPERLINK("http://141.218.60.56/~jnz1568/getInfo.php?workbook=10_05.xlsx&amp;sheet=U0&amp;row=14405&amp;col=6&amp;number=3.1&amp;sourceID=14","3.1")</f>
        <v>3.1</v>
      </c>
      <c r="G14405" s="4" t="str">
        <f>HYPERLINK("http://141.218.60.56/~jnz1568/getInfo.php?workbook=10_05.xlsx&amp;sheet=U0&amp;row=14405&amp;col=7&amp;number=0.0512&amp;sourceID=14","0.0512")</f>
        <v>0.0512</v>
      </c>
    </row>
    <row r="14406" spans="1:7">
      <c r="A14406" s="3"/>
      <c r="B14406" s="3"/>
      <c r="C14406" s="3"/>
      <c r="D14406" s="3"/>
      <c r="E14406" s="3">
        <v>3</v>
      </c>
      <c r="F14406" s="4" t="str">
        <f>HYPERLINK("http://141.218.60.56/~jnz1568/getInfo.php?workbook=10_05.xlsx&amp;sheet=U0&amp;row=14406&amp;col=6&amp;number=3.2&amp;sourceID=14","3.2")</f>
        <v>3.2</v>
      </c>
      <c r="G14406" s="4" t="str">
        <f>HYPERLINK("http://141.218.60.56/~jnz1568/getInfo.php?workbook=10_05.xlsx&amp;sheet=U0&amp;row=14406&amp;col=7&amp;number=0.0517&amp;sourceID=14","0.0517")</f>
        <v>0.0517</v>
      </c>
    </row>
    <row r="14407" spans="1:7">
      <c r="A14407" s="3"/>
      <c r="B14407" s="3"/>
      <c r="C14407" s="3"/>
      <c r="D14407" s="3"/>
      <c r="E14407" s="3">
        <v>4</v>
      </c>
      <c r="F14407" s="4" t="str">
        <f>HYPERLINK("http://141.218.60.56/~jnz1568/getInfo.php?workbook=10_05.xlsx&amp;sheet=U0&amp;row=14407&amp;col=6&amp;number=3.3&amp;sourceID=14","3.3")</f>
        <v>3.3</v>
      </c>
      <c r="G14407" s="4" t="str">
        <f>HYPERLINK("http://141.218.60.56/~jnz1568/getInfo.php?workbook=10_05.xlsx&amp;sheet=U0&amp;row=14407&amp;col=7&amp;number=0.0524&amp;sourceID=14","0.0524")</f>
        <v>0.0524</v>
      </c>
    </row>
    <row r="14408" spans="1:7">
      <c r="A14408" s="3"/>
      <c r="B14408" s="3"/>
      <c r="C14408" s="3"/>
      <c r="D14408" s="3"/>
      <c r="E14408" s="3">
        <v>5</v>
      </c>
      <c r="F14408" s="4" t="str">
        <f>HYPERLINK("http://141.218.60.56/~jnz1568/getInfo.php?workbook=10_05.xlsx&amp;sheet=U0&amp;row=14408&amp;col=6&amp;number=3.4&amp;sourceID=14","3.4")</f>
        <v>3.4</v>
      </c>
      <c r="G14408" s="4" t="str">
        <f>HYPERLINK("http://141.218.60.56/~jnz1568/getInfo.php?workbook=10_05.xlsx&amp;sheet=U0&amp;row=14408&amp;col=7&amp;number=0.0532&amp;sourceID=14","0.0532")</f>
        <v>0.0532</v>
      </c>
    </row>
    <row r="14409" spans="1:7">
      <c r="A14409" s="3"/>
      <c r="B14409" s="3"/>
      <c r="C14409" s="3"/>
      <c r="D14409" s="3"/>
      <c r="E14409" s="3">
        <v>6</v>
      </c>
      <c r="F14409" s="4" t="str">
        <f>HYPERLINK("http://141.218.60.56/~jnz1568/getInfo.php?workbook=10_05.xlsx&amp;sheet=U0&amp;row=14409&amp;col=6&amp;number=3.5&amp;sourceID=14","3.5")</f>
        <v>3.5</v>
      </c>
      <c r="G14409" s="4" t="str">
        <f>HYPERLINK("http://141.218.60.56/~jnz1568/getInfo.php?workbook=10_05.xlsx&amp;sheet=U0&amp;row=14409&amp;col=7&amp;number=0.0543&amp;sourceID=14","0.0543")</f>
        <v>0.0543</v>
      </c>
    </row>
    <row r="14410" spans="1:7">
      <c r="A14410" s="3"/>
      <c r="B14410" s="3"/>
      <c r="C14410" s="3"/>
      <c r="D14410" s="3"/>
      <c r="E14410" s="3">
        <v>7</v>
      </c>
      <c r="F14410" s="4" t="str">
        <f>HYPERLINK("http://141.218.60.56/~jnz1568/getInfo.php?workbook=10_05.xlsx&amp;sheet=U0&amp;row=14410&amp;col=6&amp;number=3.6&amp;sourceID=14","3.6")</f>
        <v>3.6</v>
      </c>
      <c r="G14410" s="4" t="str">
        <f>HYPERLINK("http://141.218.60.56/~jnz1568/getInfo.php?workbook=10_05.xlsx&amp;sheet=U0&amp;row=14410&amp;col=7&amp;number=0.0557&amp;sourceID=14","0.0557")</f>
        <v>0.0557</v>
      </c>
    </row>
    <row r="14411" spans="1:7">
      <c r="A14411" s="3"/>
      <c r="B14411" s="3"/>
      <c r="C14411" s="3"/>
      <c r="D14411" s="3"/>
      <c r="E14411" s="3">
        <v>8</v>
      </c>
      <c r="F14411" s="4" t="str">
        <f>HYPERLINK("http://141.218.60.56/~jnz1568/getInfo.php?workbook=10_05.xlsx&amp;sheet=U0&amp;row=14411&amp;col=6&amp;number=3.7&amp;sourceID=14","3.7")</f>
        <v>3.7</v>
      </c>
      <c r="G14411" s="4" t="str">
        <f>HYPERLINK("http://141.218.60.56/~jnz1568/getInfo.php?workbook=10_05.xlsx&amp;sheet=U0&amp;row=14411&amp;col=7&amp;number=0.0576&amp;sourceID=14","0.0576")</f>
        <v>0.0576</v>
      </c>
    </row>
    <row r="14412" spans="1:7">
      <c r="A14412" s="3"/>
      <c r="B14412" s="3"/>
      <c r="C14412" s="3"/>
      <c r="D14412" s="3"/>
      <c r="E14412" s="3">
        <v>9</v>
      </c>
      <c r="F14412" s="4" t="str">
        <f>HYPERLINK("http://141.218.60.56/~jnz1568/getInfo.php?workbook=10_05.xlsx&amp;sheet=U0&amp;row=14412&amp;col=6&amp;number=3.8&amp;sourceID=14","3.8")</f>
        <v>3.8</v>
      </c>
      <c r="G14412" s="4" t="str">
        <f>HYPERLINK("http://141.218.60.56/~jnz1568/getInfo.php?workbook=10_05.xlsx&amp;sheet=U0&amp;row=14412&amp;col=7&amp;number=0.0602&amp;sourceID=14","0.0602")</f>
        <v>0.0602</v>
      </c>
    </row>
    <row r="14413" spans="1:7">
      <c r="A14413" s="3"/>
      <c r="B14413" s="3"/>
      <c r="C14413" s="3"/>
      <c r="D14413" s="3"/>
      <c r="E14413" s="3">
        <v>10</v>
      </c>
      <c r="F14413" s="4" t="str">
        <f>HYPERLINK("http://141.218.60.56/~jnz1568/getInfo.php?workbook=10_05.xlsx&amp;sheet=U0&amp;row=14413&amp;col=6&amp;number=3.9&amp;sourceID=14","3.9")</f>
        <v>3.9</v>
      </c>
      <c r="G14413" s="4" t="str">
        <f>HYPERLINK("http://141.218.60.56/~jnz1568/getInfo.php?workbook=10_05.xlsx&amp;sheet=U0&amp;row=14413&amp;col=7&amp;number=0.0639&amp;sourceID=14","0.0639")</f>
        <v>0.0639</v>
      </c>
    </row>
    <row r="14414" spans="1:7">
      <c r="A14414" s="3"/>
      <c r="B14414" s="3"/>
      <c r="C14414" s="3"/>
      <c r="D14414" s="3"/>
      <c r="E14414" s="3">
        <v>11</v>
      </c>
      <c r="F14414" s="4" t="str">
        <f>HYPERLINK("http://141.218.60.56/~jnz1568/getInfo.php?workbook=10_05.xlsx&amp;sheet=U0&amp;row=14414&amp;col=6&amp;number=4&amp;sourceID=14","4")</f>
        <v>4</v>
      </c>
      <c r="G14414" s="4" t="str">
        <f>HYPERLINK("http://141.218.60.56/~jnz1568/getInfo.php?workbook=10_05.xlsx&amp;sheet=U0&amp;row=14414&amp;col=7&amp;number=0.0693&amp;sourceID=14","0.0693")</f>
        <v>0.0693</v>
      </c>
    </row>
    <row r="14415" spans="1:7">
      <c r="A14415" s="3"/>
      <c r="B14415" s="3"/>
      <c r="C14415" s="3"/>
      <c r="D14415" s="3"/>
      <c r="E14415" s="3">
        <v>12</v>
      </c>
      <c r="F14415" s="4" t="str">
        <f>HYPERLINK("http://141.218.60.56/~jnz1568/getInfo.php?workbook=10_05.xlsx&amp;sheet=U0&amp;row=14415&amp;col=6&amp;number=4.1&amp;sourceID=14","4.1")</f>
        <v>4.1</v>
      </c>
      <c r="G14415" s="4" t="str">
        <f>HYPERLINK("http://141.218.60.56/~jnz1568/getInfo.php?workbook=10_05.xlsx&amp;sheet=U0&amp;row=14415&amp;col=7&amp;number=0.0769&amp;sourceID=14","0.0769")</f>
        <v>0.0769</v>
      </c>
    </row>
    <row r="14416" spans="1:7">
      <c r="A14416" s="3"/>
      <c r="B14416" s="3"/>
      <c r="C14416" s="3"/>
      <c r="D14416" s="3"/>
      <c r="E14416" s="3">
        <v>13</v>
      </c>
      <c r="F14416" s="4" t="str">
        <f>HYPERLINK("http://141.218.60.56/~jnz1568/getInfo.php?workbook=10_05.xlsx&amp;sheet=U0&amp;row=14416&amp;col=6&amp;number=4.2&amp;sourceID=14","4.2")</f>
        <v>4.2</v>
      </c>
      <c r="G14416" s="4" t="str">
        <f>HYPERLINK("http://141.218.60.56/~jnz1568/getInfo.php?workbook=10_05.xlsx&amp;sheet=U0&amp;row=14416&amp;col=7&amp;number=0.0868&amp;sourceID=14","0.0868")</f>
        <v>0.0868</v>
      </c>
    </row>
    <row r="14417" spans="1:7">
      <c r="A14417" s="3"/>
      <c r="B14417" s="3"/>
      <c r="C14417" s="3"/>
      <c r="D14417" s="3"/>
      <c r="E14417" s="3">
        <v>14</v>
      </c>
      <c r="F14417" s="4" t="str">
        <f>HYPERLINK("http://141.218.60.56/~jnz1568/getInfo.php?workbook=10_05.xlsx&amp;sheet=U0&amp;row=14417&amp;col=6&amp;number=4.3&amp;sourceID=14","4.3")</f>
        <v>4.3</v>
      </c>
      <c r="G14417" s="4" t="str">
        <f>HYPERLINK("http://141.218.60.56/~jnz1568/getInfo.php?workbook=10_05.xlsx&amp;sheet=U0&amp;row=14417&amp;col=7&amp;number=0.0984&amp;sourceID=14","0.0984")</f>
        <v>0.0984</v>
      </c>
    </row>
    <row r="14418" spans="1:7">
      <c r="A14418" s="3"/>
      <c r="B14418" s="3"/>
      <c r="C14418" s="3"/>
      <c r="D14418" s="3"/>
      <c r="E14418" s="3">
        <v>15</v>
      </c>
      <c r="F14418" s="4" t="str">
        <f>HYPERLINK("http://141.218.60.56/~jnz1568/getInfo.php?workbook=10_05.xlsx&amp;sheet=U0&amp;row=14418&amp;col=6&amp;number=4.4&amp;sourceID=14","4.4")</f>
        <v>4.4</v>
      </c>
      <c r="G14418" s="4" t="str">
        <f>HYPERLINK("http://141.218.60.56/~jnz1568/getInfo.php?workbook=10_05.xlsx&amp;sheet=U0&amp;row=14418&amp;col=7&amp;number=0.111&amp;sourceID=14","0.111")</f>
        <v>0.111</v>
      </c>
    </row>
    <row r="14419" spans="1:7">
      <c r="A14419" s="3"/>
      <c r="B14419" s="3"/>
      <c r="C14419" s="3"/>
      <c r="D14419" s="3"/>
      <c r="E14419" s="3">
        <v>16</v>
      </c>
      <c r="F14419" s="4" t="str">
        <f>HYPERLINK("http://141.218.60.56/~jnz1568/getInfo.php?workbook=10_05.xlsx&amp;sheet=U0&amp;row=14419&amp;col=6&amp;number=4.5&amp;sourceID=14","4.5")</f>
        <v>4.5</v>
      </c>
      <c r="G14419" s="4" t="str">
        <f>HYPERLINK("http://141.218.60.56/~jnz1568/getInfo.php?workbook=10_05.xlsx&amp;sheet=U0&amp;row=14419&amp;col=7&amp;number=0.122&amp;sourceID=14","0.122")</f>
        <v>0.122</v>
      </c>
    </row>
    <row r="14420" spans="1:7">
      <c r="A14420" s="3"/>
      <c r="B14420" s="3"/>
      <c r="C14420" s="3"/>
      <c r="D14420" s="3"/>
      <c r="E14420" s="3">
        <v>17</v>
      </c>
      <c r="F14420" s="4" t="str">
        <f>HYPERLINK("http://141.218.60.56/~jnz1568/getInfo.php?workbook=10_05.xlsx&amp;sheet=U0&amp;row=14420&amp;col=6&amp;number=4.6&amp;sourceID=14","4.6")</f>
        <v>4.6</v>
      </c>
      <c r="G14420" s="4" t="str">
        <f>HYPERLINK("http://141.218.60.56/~jnz1568/getInfo.php?workbook=10_05.xlsx&amp;sheet=U0&amp;row=14420&amp;col=7&amp;number=0.129&amp;sourceID=14","0.129")</f>
        <v>0.129</v>
      </c>
    </row>
    <row r="14421" spans="1:7">
      <c r="A14421" s="3"/>
      <c r="B14421" s="3"/>
      <c r="C14421" s="3"/>
      <c r="D14421" s="3"/>
      <c r="E14421" s="3">
        <v>18</v>
      </c>
      <c r="F14421" s="4" t="str">
        <f>HYPERLINK("http://141.218.60.56/~jnz1568/getInfo.php?workbook=10_05.xlsx&amp;sheet=U0&amp;row=14421&amp;col=6&amp;number=4.7&amp;sourceID=14","4.7")</f>
        <v>4.7</v>
      </c>
      <c r="G14421" s="4" t="str">
        <f>HYPERLINK("http://141.218.60.56/~jnz1568/getInfo.php?workbook=10_05.xlsx&amp;sheet=U0&amp;row=14421&amp;col=7&amp;number=0.132&amp;sourceID=14","0.132")</f>
        <v>0.132</v>
      </c>
    </row>
    <row r="14422" spans="1:7">
      <c r="A14422" s="3"/>
      <c r="B14422" s="3"/>
      <c r="C14422" s="3"/>
      <c r="D14422" s="3"/>
      <c r="E14422" s="3">
        <v>19</v>
      </c>
      <c r="F14422" s="4" t="str">
        <f>HYPERLINK("http://141.218.60.56/~jnz1568/getInfo.php?workbook=10_05.xlsx&amp;sheet=U0&amp;row=14422&amp;col=6&amp;number=4.8&amp;sourceID=14","4.8")</f>
        <v>4.8</v>
      </c>
      <c r="G14422" s="4" t="str">
        <f>HYPERLINK("http://141.218.60.56/~jnz1568/getInfo.php?workbook=10_05.xlsx&amp;sheet=U0&amp;row=14422&amp;col=7&amp;number=0.13&amp;sourceID=14","0.13")</f>
        <v>0.13</v>
      </c>
    </row>
    <row r="14423" spans="1:7">
      <c r="A14423" s="3"/>
      <c r="B14423" s="3"/>
      <c r="C14423" s="3"/>
      <c r="D14423" s="3"/>
      <c r="E14423" s="3">
        <v>20</v>
      </c>
      <c r="F14423" s="4" t="str">
        <f>HYPERLINK("http://141.218.60.56/~jnz1568/getInfo.php?workbook=10_05.xlsx&amp;sheet=U0&amp;row=14423&amp;col=6&amp;number=4.9&amp;sourceID=14","4.9")</f>
        <v>4.9</v>
      </c>
      <c r="G14423" s="4" t="str">
        <f>HYPERLINK("http://141.218.60.56/~jnz1568/getInfo.php?workbook=10_05.xlsx&amp;sheet=U0&amp;row=14423&amp;col=7&amp;number=0.125&amp;sourceID=14","0.125")</f>
        <v>0.125</v>
      </c>
    </row>
    <row r="14424" spans="1:7">
      <c r="A14424" s="3">
        <v>10</v>
      </c>
      <c r="B14424" s="3">
        <v>5</v>
      </c>
      <c r="C14424" s="3">
        <v>5</v>
      </c>
      <c r="D14424" s="3">
        <v>17</v>
      </c>
      <c r="E14424" s="3">
        <v>1</v>
      </c>
      <c r="F14424" s="4" t="str">
        <f>HYPERLINK("http://141.218.60.56/~jnz1568/getInfo.php?workbook=10_05.xlsx&amp;sheet=U0&amp;row=14424&amp;col=6&amp;number=3&amp;sourceID=14","3")</f>
        <v>3</v>
      </c>
      <c r="G14424" s="4" t="str">
        <f>HYPERLINK("http://141.218.60.56/~jnz1568/getInfo.php?workbook=10_05.xlsx&amp;sheet=U0&amp;row=14424&amp;col=7&amp;number=0.0622&amp;sourceID=14","0.0622")</f>
        <v>0.0622</v>
      </c>
    </row>
    <row r="14425" spans="1:7">
      <c r="A14425" s="3"/>
      <c r="B14425" s="3"/>
      <c r="C14425" s="3"/>
      <c r="D14425" s="3"/>
      <c r="E14425" s="3">
        <v>2</v>
      </c>
      <c r="F14425" s="4" t="str">
        <f>HYPERLINK("http://141.218.60.56/~jnz1568/getInfo.php?workbook=10_05.xlsx&amp;sheet=U0&amp;row=14425&amp;col=6&amp;number=3.1&amp;sourceID=14","3.1")</f>
        <v>3.1</v>
      </c>
      <c r="G14425" s="4" t="str">
        <f>HYPERLINK("http://141.218.60.56/~jnz1568/getInfo.php?workbook=10_05.xlsx&amp;sheet=U0&amp;row=14425&amp;col=7&amp;number=0.0618&amp;sourceID=14","0.0618")</f>
        <v>0.0618</v>
      </c>
    </row>
    <row r="14426" spans="1:7">
      <c r="A14426" s="3"/>
      <c r="B14426" s="3"/>
      <c r="C14426" s="3"/>
      <c r="D14426" s="3"/>
      <c r="E14426" s="3">
        <v>3</v>
      </c>
      <c r="F14426" s="4" t="str">
        <f>HYPERLINK("http://141.218.60.56/~jnz1568/getInfo.php?workbook=10_05.xlsx&amp;sheet=U0&amp;row=14426&amp;col=6&amp;number=3.2&amp;sourceID=14","3.2")</f>
        <v>3.2</v>
      </c>
      <c r="G14426" s="4" t="str">
        <f>HYPERLINK("http://141.218.60.56/~jnz1568/getInfo.php?workbook=10_05.xlsx&amp;sheet=U0&amp;row=14426&amp;col=7&amp;number=0.0612&amp;sourceID=14","0.0612")</f>
        <v>0.0612</v>
      </c>
    </row>
    <row r="14427" spans="1:7">
      <c r="A14427" s="3"/>
      <c r="B14427" s="3"/>
      <c r="C14427" s="3"/>
      <c r="D14427" s="3"/>
      <c r="E14427" s="3">
        <v>4</v>
      </c>
      <c r="F14427" s="4" t="str">
        <f>HYPERLINK("http://141.218.60.56/~jnz1568/getInfo.php?workbook=10_05.xlsx&amp;sheet=U0&amp;row=14427&amp;col=6&amp;number=3.3&amp;sourceID=14","3.3")</f>
        <v>3.3</v>
      </c>
      <c r="G14427" s="4" t="str">
        <f>HYPERLINK("http://141.218.60.56/~jnz1568/getInfo.php?workbook=10_05.xlsx&amp;sheet=U0&amp;row=14427&amp;col=7&amp;number=0.0606&amp;sourceID=14","0.0606")</f>
        <v>0.0606</v>
      </c>
    </row>
    <row r="14428" spans="1:7">
      <c r="A14428" s="3"/>
      <c r="B14428" s="3"/>
      <c r="C14428" s="3"/>
      <c r="D14428" s="3"/>
      <c r="E14428" s="3">
        <v>5</v>
      </c>
      <c r="F14428" s="4" t="str">
        <f>HYPERLINK("http://141.218.60.56/~jnz1568/getInfo.php?workbook=10_05.xlsx&amp;sheet=U0&amp;row=14428&amp;col=6&amp;number=3.4&amp;sourceID=14","3.4")</f>
        <v>3.4</v>
      </c>
      <c r="G14428" s="4" t="str">
        <f>HYPERLINK("http://141.218.60.56/~jnz1568/getInfo.php?workbook=10_05.xlsx&amp;sheet=U0&amp;row=14428&amp;col=7&amp;number=0.0599&amp;sourceID=14","0.0599")</f>
        <v>0.0599</v>
      </c>
    </row>
    <row r="14429" spans="1:7">
      <c r="A14429" s="3"/>
      <c r="B14429" s="3"/>
      <c r="C14429" s="3"/>
      <c r="D14429" s="3"/>
      <c r="E14429" s="3">
        <v>6</v>
      </c>
      <c r="F14429" s="4" t="str">
        <f>HYPERLINK("http://141.218.60.56/~jnz1568/getInfo.php?workbook=10_05.xlsx&amp;sheet=U0&amp;row=14429&amp;col=6&amp;number=3.5&amp;sourceID=14","3.5")</f>
        <v>3.5</v>
      </c>
      <c r="G14429" s="4" t="str">
        <f>HYPERLINK("http://141.218.60.56/~jnz1568/getInfo.php?workbook=10_05.xlsx&amp;sheet=U0&amp;row=14429&amp;col=7&amp;number=0.059&amp;sourceID=14","0.059")</f>
        <v>0.059</v>
      </c>
    </row>
    <row r="14430" spans="1:7">
      <c r="A14430" s="3"/>
      <c r="B14430" s="3"/>
      <c r="C14430" s="3"/>
      <c r="D14430" s="3"/>
      <c r="E14430" s="3">
        <v>7</v>
      </c>
      <c r="F14430" s="4" t="str">
        <f>HYPERLINK("http://141.218.60.56/~jnz1568/getInfo.php?workbook=10_05.xlsx&amp;sheet=U0&amp;row=14430&amp;col=6&amp;number=3.6&amp;sourceID=14","3.6")</f>
        <v>3.6</v>
      </c>
      <c r="G14430" s="4" t="str">
        <f>HYPERLINK("http://141.218.60.56/~jnz1568/getInfo.php?workbook=10_05.xlsx&amp;sheet=U0&amp;row=14430&amp;col=7&amp;number=0.0579&amp;sourceID=14","0.0579")</f>
        <v>0.0579</v>
      </c>
    </row>
    <row r="14431" spans="1:7">
      <c r="A14431" s="3"/>
      <c r="B14431" s="3"/>
      <c r="C14431" s="3"/>
      <c r="D14431" s="3"/>
      <c r="E14431" s="3">
        <v>8</v>
      </c>
      <c r="F14431" s="4" t="str">
        <f>HYPERLINK("http://141.218.60.56/~jnz1568/getInfo.php?workbook=10_05.xlsx&amp;sheet=U0&amp;row=14431&amp;col=6&amp;number=3.7&amp;sourceID=14","3.7")</f>
        <v>3.7</v>
      </c>
      <c r="G14431" s="4" t="str">
        <f>HYPERLINK("http://141.218.60.56/~jnz1568/getInfo.php?workbook=10_05.xlsx&amp;sheet=U0&amp;row=14431&amp;col=7&amp;number=0.0568&amp;sourceID=14","0.0568")</f>
        <v>0.0568</v>
      </c>
    </row>
    <row r="14432" spans="1:7">
      <c r="A14432" s="3"/>
      <c r="B14432" s="3"/>
      <c r="C14432" s="3"/>
      <c r="D14432" s="3"/>
      <c r="E14432" s="3">
        <v>9</v>
      </c>
      <c r="F14432" s="4" t="str">
        <f>HYPERLINK("http://141.218.60.56/~jnz1568/getInfo.php?workbook=10_05.xlsx&amp;sheet=U0&amp;row=14432&amp;col=6&amp;number=3.8&amp;sourceID=14","3.8")</f>
        <v>3.8</v>
      </c>
      <c r="G14432" s="4" t="str">
        <f>HYPERLINK("http://141.218.60.56/~jnz1568/getInfo.php?workbook=10_05.xlsx&amp;sheet=U0&amp;row=14432&amp;col=7&amp;number=0.0558&amp;sourceID=14","0.0558")</f>
        <v>0.0558</v>
      </c>
    </row>
    <row r="14433" spans="1:7">
      <c r="A14433" s="3"/>
      <c r="B14433" s="3"/>
      <c r="C14433" s="3"/>
      <c r="D14433" s="3"/>
      <c r="E14433" s="3">
        <v>10</v>
      </c>
      <c r="F14433" s="4" t="str">
        <f>HYPERLINK("http://141.218.60.56/~jnz1568/getInfo.php?workbook=10_05.xlsx&amp;sheet=U0&amp;row=14433&amp;col=6&amp;number=3.9&amp;sourceID=14","3.9")</f>
        <v>3.9</v>
      </c>
      <c r="G14433" s="4" t="str">
        <f>HYPERLINK("http://141.218.60.56/~jnz1568/getInfo.php?workbook=10_05.xlsx&amp;sheet=U0&amp;row=14433&amp;col=7&amp;number=0.055&amp;sourceID=14","0.055")</f>
        <v>0.055</v>
      </c>
    </row>
    <row r="14434" spans="1:7">
      <c r="A14434" s="3"/>
      <c r="B14434" s="3"/>
      <c r="C14434" s="3"/>
      <c r="D14434" s="3"/>
      <c r="E14434" s="3">
        <v>11</v>
      </c>
      <c r="F14434" s="4" t="str">
        <f>HYPERLINK("http://141.218.60.56/~jnz1568/getInfo.php?workbook=10_05.xlsx&amp;sheet=U0&amp;row=14434&amp;col=6&amp;number=4&amp;sourceID=14","4")</f>
        <v>4</v>
      </c>
      <c r="G14434" s="4" t="str">
        <f>HYPERLINK("http://141.218.60.56/~jnz1568/getInfo.php?workbook=10_05.xlsx&amp;sheet=U0&amp;row=14434&amp;col=7&amp;number=0.0549&amp;sourceID=14","0.0549")</f>
        <v>0.0549</v>
      </c>
    </row>
    <row r="14435" spans="1:7">
      <c r="A14435" s="3"/>
      <c r="B14435" s="3"/>
      <c r="C14435" s="3"/>
      <c r="D14435" s="3"/>
      <c r="E14435" s="3">
        <v>12</v>
      </c>
      <c r="F14435" s="4" t="str">
        <f>HYPERLINK("http://141.218.60.56/~jnz1568/getInfo.php?workbook=10_05.xlsx&amp;sheet=U0&amp;row=14435&amp;col=6&amp;number=4.1&amp;sourceID=14","4.1")</f>
        <v>4.1</v>
      </c>
      <c r="G14435" s="4" t="str">
        <f>HYPERLINK("http://141.218.60.56/~jnz1568/getInfo.php?workbook=10_05.xlsx&amp;sheet=U0&amp;row=14435&amp;col=7&amp;number=0.0561&amp;sourceID=14","0.0561")</f>
        <v>0.0561</v>
      </c>
    </row>
    <row r="14436" spans="1:7">
      <c r="A14436" s="3"/>
      <c r="B14436" s="3"/>
      <c r="C14436" s="3"/>
      <c r="D14436" s="3"/>
      <c r="E14436" s="3">
        <v>13</v>
      </c>
      <c r="F14436" s="4" t="str">
        <f>HYPERLINK("http://141.218.60.56/~jnz1568/getInfo.php?workbook=10_05.xlsx&amp;sheet=U0&amp;row=14436&amp;col=6&amp;number=4.2&amp;sourceID=14","4.2")</f>
        <v>4.2</v>
      </c>
      <c r="G14436" s="4" t="str">
        <f>HYPERLINK("http://141.218.60.56/~jnz1568/getInfo.php?workbook=10_05.xlsx&amp;sheet=U0&amp;row=14436&amp;col=7&amp;number=0.0588&amp;sourceID=14","0.0588")</f>
        <v>0.0588</v>
      </c>
    </row>
    <row r="14437" spans="1:7">
      <c r="A14437" s="3"/>
      <c r="B14437" s="3"/>
      <c r="C14437" s="3"/>
      <c r="D14437" s="3"/>
      <c r="E14437" s="3">
        <v>14</v>
      </c>
      <c r="F14437" s="4" t="str">
        <f>HYPERLINK("http://141.218.60.56/~jnz1568/getInfo.php?workbook=10_05.xlsx&amp;sheet=U0&amp;row=14437&amp;col=6&amp;number=4.3&amp;sourceID=14","4.3")</f>
        <v>4.3</v>
      </c>
      <c r="G14437" s="4" t="str">
        <f>HYPERLINK("http://141.218.60.56/~jnz1568/getInfo.php?workbook=10_05.xlsx&amp;sheet=U0&amp;row=14437&amp;col=7&amp;number=0.0628&amp;sourceID=14","0.0628")</f>
        <v>0.0628</v>
      </c>
    </row>
    <row r="14438" spans="1:7">
      <c r="A14438" s="3"/>
      <c r="B14438" s="3"/>
      <c r="C14438" s="3"/>
      <c r="D14438" s="3"/>
      <c r="E14438" s="3">
        <v>15</v>
      </c>
      <c r="F14438" s="4" t="str">
        <f>HYPERLINK("http://141.218.60.56/~jnz1568/getInfo.php?workbook=10_05.xlsx&amp;sheet=U0&amp;row=14438&amp;col=6&amp;number=4.4&amp;sourceID=14","4.4")</f>
        <v>4.4</v>
      </c>
      <c r="G14438" s="4" t="str">
        <f>HYPERLINK("http://141.218.60.56/~jnz1568/getInfo.php?workbook=10_05.xlsx&amp;sheet=U0&amp;row=14438&amp;col=7&amp;number=0.0669&amp;sourceID=14","0.0669")</f>
        <v>0.0669</v>
      </c>
    </row>
    <row r="14439" spans="1:7">
      <c r="A14439" s="3"/>
      <c r="B14439" s="3"/>
      <c r="C14439" s="3"/>
      <c r="D14439" s="3"/>
      <c r="E14439" s="3">
        <v>16</v>
      </c>
      <c r="F14439" s="4" t="str">
        <f>HYPERLINK("http://141.218.60.56/~jnz1568/getInfo.php?workbook=10_05.xlsx&amp;sheet=U0&amp;row=14439&amp;col=6&amp;number=4.5&amp;sourceID=14","4.5")</f>
        <v>4.5</v>
      </c>
      <c r="G14439" s="4" t="str">
        <f>HYPERLINK("http://141.218.60.56/~jnz1568/getInfo.php?workbook=10_05.xlsx&amp;sheet=U0&amp;row=14439&amp;col=7&amp;number=0.07&amp;sourceID=14","0.07")</f>
        <v>0.07</v>
      </c>
    </row>
    <row r="14440" spans="1:7">
      <c r="A14440" s="3"/>
      <c r="B14440" s="3"/>
      <c r="C14440" s="3"/>
      <c r="D14440" s="3"/>
      <c r="E14440" s="3">
        <v>17</v>
      </c>
      <c r="F14440" s="4" t="str">
        <f>HYPERLINK("http://141.218.60.56/~jnz1568/getInfo.php?workbook=10_05.xlsx&amp;sheet=U0&amp;row=14440&amp;col=6&amp;number=4.6&amp;sourceID=14","4.6")</f>
        <v>4.6</v>
      </c>
      <c r="G14440" s="4" t="str">
        <f>HYPERLINK("http://141.218.60.56/~jnz1568/getInfo.php?workbook=10_05.xlsx&amp;sheet=U0&amp;row=14440&amp;col=7&amp;number=0.0719&amp;sourceID=14","0.0719")</f>
        <v>0.0719</v>
      </c>
    </row>
    <row r="14441" spans="1:7">
      <c r="A14441" s="3"/>
      <c r="B14441" s="3"/>
      <c r="C14441" s="3"/>
      <c r="D14441" s="3"/>
      <c r="E14441" s="3">
        <v>18</v>
      </c>
      <c r="F14441" s="4" t="str">
        <f>HYPERLINK("http://141.218.60.56/~jnz1568/getInfo.php?workbook=10_05.xlsx&amp;sheet=U0&amp;row=14441&amp;col=6&amp;number=4.7&amp;sourceID=14","4.7")</f>
        <v>4.7</v>
      </c>
      <c r="G14441" s="4" t="str">
        <f>HYPERLINK("http://141.218.60.56/~jnz1568/getInfo.php?workbook=10_05.xlsx&amp;sheet=U0&amp;row=14441&amp;col=7&amp;number=0.0723&amp;sourceID=14","0.0723")</f>
        <v>0.0723</v>
      </c>
    </row>
    <row r="14442" spans="1:7">
      <c r="A14442" s="3"/>
      <c r="B14442" s="3"/>
      <c r="C14442" s="3"/>
      <c r="D14442" s="3"/>
      <c r="E14442" s="3">
        <v>19</v>
      </c>
      <c r="F14442" s="4" t="str">
        <f>HYPERLINK("http://141.218.60.56/~jnz1568/getInfo.php?workbook=10_05.xlsx&amp;sheet=U0&amp;row=14442&amp;col=6&amp;number=4.8&amp;sourceID=14","4.8")</f>
        <v>4.8</v>
      </c>
      <c r="G14442" s="4" t="str">
        <f>HYPERLINK("http://141.218.60.56/~jnz1568/getInfo.php?workbook=10_05.xlsx&amp;sheet=U0&amp;row=14442&amp;col=7&amp;number=0.0707&amp;sourceID=14","0.0707")</f>
        <v>0.0707</v>
      </c>
    </row>
    <row r="14443" spans="1:7">
      <c r="A14443" s="3"/>
      <c r="B14443" s="3"/>
      <c r="C14443" s="3"/>
      <c r="D14443" s="3"/>
      <c r="E14443" s="3">
        <v>20</v>
      </c>
      <c r="F14443" s="4" t="str">
        <f>HYPERLINK("http://141.218.60.56/~jnz1568/getInfo.php?workbook=10_05.xlsx&amp;sheet=U0&amp;row=14443&amp;col=6&amp;number=4.9&amp;sourceID=14","4.9")</f>
        <v>4.9</v>
      </c>
      <c r="G14443" s="4" t="str">
        <f>HYPERLINK("http://141.218.60.56/~jnz1568/getInfo.php?workbook=10_05.xlsx&amp;sheet=U0&amp;row=14443&amp;col=7&amp;number=0.0672&amp;sourceID=14","0.0672")</f>
        <v>0.0672</v>
      </c>
    </row>
    <row r="14444" spans="1:7">
      <c r="A14444" s="3">
        <v>10</v>
      </c>
      <c r="B14444" s="3">
        <v>5</v>
      </c>
      <c r="C14444" s="3">
        <v>5</v>
      </c>
      <c r="D14444" s="3">
        <v>18</v>
      </c>
      <c r="E14444" s="3">
        <v>1</v>
      </c>
      <c r="F14444" s="4" t="str">
        <f>HYPERLINK("http://141.218.60.56/~jnz1568/getInfo.php?workbook=10_05.xlsx&amp;sheet=U0&amp;row=14444&amp;col=6&amp;number=3&amp;sourceID=14","3")</f>
        <v>3</v>
      </c>
      <c r="G14444" s="4" t="str">
        <f>HYPERLINK("http://141.218.60.56/~jnz1568/getInfo.php?workbook=10_05.xlsx&amp;sheet=U0&amp;row=14444&amp;col=7&amp;number=0.168&amp;sourceID=14","0.168")</f>
        <v>0.168</v>
      </c>
    </row>
    <row r="14445" spans="1:7">
      <c r="A14445" s="3"/>
      <c r="B14445" s="3"/>
      <c r="C14445" s="3"/>
      <c r="D14445" s="3"/>
      <c r="E14445" s="3">
        <v>2</v>
      </c>
      <c r="F14445" s="4" t="str">
        <f>HYPERLINK("http://141.218.60.56/~jnz1568/getInfo.php?workbook=10_05.xlsx&amp;sheet=U0&amp;row=14445&amp;col=6&amp;number=3.1&amp;sourceID=14","3.1")</f>
        <v>3.1</v>
      </c>
      <c r="G14445" s="4" t="str">
        <f>HYPERLINK("http://141.218.60.56/~jnz1568/getInfo.php?workbook=10_05.xlsx&amp;sheet=U0&amp;row=14445&amp;col=7&amp;number=0.166&amp;sourceID=14","0.166")</f>
        <v>0.166</v>
      </c>
    </row>
    <row r="14446" spans="1:7">
      <c r="A14446" s="3"/>
      <c r="B14446" s="3"/>
      <c r="C14446" s="3"/>
      <c r="D14446" s="3"/>
      <c r="E14446" s="3">
        <v>3</v>
      </c>
      <c r="F14446" s="4" t="str">
        <f>HYPERLINK("http://141.218.60.56/~jnz1568/getInfo.php?workbook=10_05.xlsx&amp;sheet=U0&amp;row=14446&amp;col=6&amp;number=3.2&amp;sourceID=14","3.2")</f>
        <v>3.2</v>
      </c>
      <c r="G14446" s="4" t="str">
        <f>HYPERLINK("http://141.218.60.56/~jnz1568/getInfo.php?workbook=10_05.xlsx&amp;sheet=U0&amp;row=14446&amp;col=7&amp;number=0.163&amp;sourceID=14","0.163")</f>
        <v>0.163</v>
      </c>
    </row>
    <row r="14447" spans="1:7">
      <c r="A14447" s="3"/>
      <c r="B14447" s="3"/>
      <c r="C14447" s="3"/>
      <c r="D14447" s="3"/>
      <c r="E14447" s="3">
        <v>4</v>
      </c>
      <c r="F14447" s="4" t="str">
        <f>HYPERLINK("http://141.218.60.56/~jnz1568/getInfo.php?workbook=10_05.xlsx&amp;sheet=U0&amp;row=14447&amp;col=6&amp;number=3.3&amp;sourceID=14","3.3")</f>
        <v>3.3</v>
      </c>
      <c r="G14447" s="4" t="str">
        <f>HYPERLINK("http://141.218.60.56/~jnz1568/getInfo.php?workbook=10_05.xlsx&amp;sheet=U0&amp;row=14447&amp;col=7&amp;number=0.159&amp;sourceID=14","0.159")</f>
        <v>0.159</v>
      </c>
    </row>
    <row r="14448" spans="1:7">
      <c r="A14448" s="3"/>
      <c r="B14448" s="3"/>
      <c r="C14448" s="3"/>
      <c r="D14448" s="3"/>
      <c r="E14448" s="3">
        <v>5</v>
      </c>
      <c r="F14448" s="4" t="str">
        <f>HYPERLINK("http://141.218.60.56/~jnz1568/getInfo.php?workbook=10_05.xlsx&amp;sheet=U0&amp;row=14448&amp;col=6&amp;number=3.4&amp;sourceID=14","3.4")</f>
        <v>3.4</v>
      </c>
      <c r="G14448" s="4" t="str">
        <f>HYPERLINK("http://141.218.60.56/~jnz1568/getInfo.php?workbook=10_05.xlsx&amp;sheet=U0&amp;row=14448&amp;col=7&amp;number=0.155&amp;sourceID=14","0.155")</f>
        <v>0.155</v>
      </c>
    </row>
    <row r="14449" spans="1:7">
      <c r="A14449" s="3"/>
      <c r="B14449" s="3"/>
      <c r="C14449" s="3"/>
      <c r="D14449" s="3"/>
      <c r="E14449" s="3">
        <v>6</v>
      </c>
      <c r="F14449" s="4" t="str">
        <f>HYPERLINK("http://141.218.60.56/~jnz1568/getInfo.php?workbook=10_05.xlsx&amp;sheet=U0&amp;row=14449&amp;col=6&amp;number=3.5&amp;sourceID=14","3.5")</f>
        <v>3.5</v>
      </c>
      <c r="G14449" s="4" t="str">
        <f>HYPERLINK("http://141.218.60.56/~jnz1568/getInfo.php?workbook=10_05.xlsx&amp;sheet=U0&amp;row=14449&amp;col=7&amp;number=0.149&amp;sourceID=14","0.149")</f>
        <v>0.149</v>
      </c>
    </row>
    <row r="14450" spans="1:7">
      <c r="A14450" s="3"/>
      <c r="B14450" s="3"/>
      <c r="C14450" s="3"/>
      <c r="D14450" s="3"/>
      <c r="E14450" s="3">
        <v>7</v>
      </c>
      <c r="F14450" s="4" t="str">
        <f>HYPERLINK("http://141.218.60.56/~jnz1568/getInfo.php?workbook=10_05.xlsx&amp;sheet=U0&amp;row=14450&amp;col=6&amp;number=3.6&amp;sourceID=14","3.6")</f>
        <v>3.6</v>
      </c>
      <c r="G14450" s="4" t="str">
        <f>HYPERLINK("http://141.218.60.56/~jnz1568/getInfo.php?workbook=10_05.xlsx&amp;sheet=U0&amp;row=14450&amp;col=7&amp;number=0.143&amp;sourceID=14","0.143")</f>
        <v>0.143</v>
      </c>
    </row>
    <row r="14451" spans="1:7">
      <c r="A14451" s="3"/>
      <c r="B14451" s="3"/>
      <c r="C14451" s="3"/>
      <c r="D14451" s="3"/>
      <c r="E14451" s="3">
        <v>8</v>
      </c>
      <c r="F14451" s="4" t="str">
        <f>HYPERLINK("http://141.218.60.56/~jnz1568/getInfo.php?workbook=10_05.xlsx&amp;sheet=U0&amp;row=14451&amp;col=6&amp;number=3.7&amp;sourceID=14","3.7")</f>
        <v>3.7</v>
      </c>
      <c r="G14451" s="4" t="str">
        <f>HYPERLINK("http://141.218.60.56/~jnz1568/getInfo.php?workbook=10_05.xlsx&amp;sheet=U0&amp;row=14451&amp;col=7&amp;number=0.137&amp;sourceID=14","0.137")</f>
        <v>0.137</v>
      </c>
    </row>
    <row r="14452" spans="1:7">
      <c r="A14452" s="3"/>
      <c r="B14452" s="3"/>
      <c r="C14452" s="3"/>
      <c r="D14452" s="3"/>
      <c r="E14452" s="3">
        <v>9</v>
      </c>
      <c r="F14452" s="4" t="str">
        <f>HYPERLINK("http://141.218.60.56/~jnz1568/getInfo.php?workbook=10_05.xlsx&amp;sheet=U0&amp;row=14452&amp;col=6&amp;number=3.8&amp;sourceID=14","3.8")</f>
        <v>3.8</v>
      </c>
      <c r="G14452" s="4" t="str">
        <f>HYPERLINK("http://141.218.60.56/~jnz1568/getInfo.php?workbook=10_05.xlsx&amp;sheet=U0&amp;row=14452&amp;col=7&amp;number=0.131&amp;sourceID=14","0.131")</f>
        <v>0.131</v>
      </c>
    </row>
    <row r="14453" spans="1:7">
      <c r="A14453" s="3"/>
      <c r="B14453" s="3"/>
      <c r="C14453" s="3"/>
      <c r="D14453" s="3"/>
      <c r="E14453" s="3">
        <v>10</v>
      </c>
      <c r="F14453" s="4" t="str">
        <f>HYPERLINK("http://141.218.60.56/~jnz1568/getInfo.php?workbook=10_05.xlsx&amp;sheet=U0&amp;row=14453&amp;col=6&amp;number=3.9&amp;sourceID=14","3.9")</f>
        <v>3.9</v>
      </c>
      <c r="G14453" s="4" t="str">
        <f>HYPERLINK("http://141.218.60.56/~jnz1568/getInfo.php?workbook=10_05.xlsx&amp;sheet=U0&amp;row=14453&amp;col=7&amp;number=0.127&amp;sourceID=14","0.127")</f>
        <v>0.127</v>
      </c>
    </row>
    <row r="14454" spans="1:7">
      <c r="A14454" s="3"/>
      <c r="B14454" s="3"/>
      <c r="C14454" s="3"/>
      <c r="D14454" s="3"/>
      <c r="E14454" s="3">
        <v>11</v>
      </c>
      <c r="F14454" s="4" t="str">
        <f>HYPERLINK("http://141.218.60.56/~jnz1568/getInfo.php?workbook=10_05.xlsx&amp;sheet=U0&amp;row=14454&amp;col=6&amp;number=4&amp;sourceID=14","4")</f>
        <v>4</v>
      </c>
      <c r="G14454" s="4" t="str">
        <f>HYPERLINK("http://141.218.60.56/~jnz1568/getInfo.php?workbook=10_05.xlsx&amp;sheet=U0&amp;row=14454&amp;col=7&amp;number=0.126&amp;sourceID=14","0.126")</f>
        <v>0.126</v>
      </c>
    </row>
    <row r="14455" spans="1:7">
      <c r="A14455" s="3"/>
      <c r="B14455" s="3"/>
      <c r="C14455" s="3"/>
      <c r="D14455" s="3"/>
      <c r="E14455" s="3">
        <v>12</v>
      </c>
      <c r="F14455" s="4" t="str">
        <f>HYPERLINK("http://141.218.60.56/~jnz1568/getInfo.php?workbook=10_05.xlsx&amp;sheet=U0&amp;row=14455&amp;col=6&amp;number=4.1&amp;sourceID=14","4.1")</f>
        <v>4.1</v>
      </c>
      <c r="G14455" s="4" t="str">
        <f>HYPERLINK("http://141.218.60.56/~jnz1568/getInfo.php?workbook=10_05.xlsx&amp;sheet=U0&amp;row=14455&amp;col=7&amp;number=0.128&amp;sourceID=14","0.128")</f>
        <v>0.128</v>
      </c>
    </row>
    <row r="14456" spans="1:7">
      <c r="A14456" s="3"/>
      <c r="B14456" s="3"/>
      <c r="C14456" s="3"/>
      <c r="D14456" s="3"/>
      <c r="E14456" s="3">
        <v>13</v>
      </c>
      <c r="F14456" s="4" t="str">
        <f>HYPERLINK("http://141.218.60.56/~jnz1568/getInfo.php?workbook=10_05.xlsx&amp;sheet=U0&amp;row=14456&amp;col=6&amp;number=4.2&amp;sourceID=14","4.2")</f>
        <v>4.2</v>
      </c>
      <c r="G14456" s="4" t="str">
        <f>HYPERLINK("http://141.218.60.56/~jnz1568/getInfo.php?workbook=10_05.xlsx&amp;sheet=U0&amp;row=14456&amp;col=7&amp;number=0.133&amp;sourceID=14","0.133")</f>
        <v>0.133</v>
      </c>
    </row>
    <row r="14457" spans="1:7">
      <c r="A14457" s="3"/>
      <c r="B14457" s="3"/>
      <c r="C14457" s="3"/>
      <c r="D14457" s="3"/>
      <c r="E14457" s="3">
        <v>14</v>
      </c>
      <c r="F14457" s="4" t="str">
        <f>HYPERLINK("http://141.218.60.56/~jnz1568/getInfo.php?workbook=10_05.xlsx&amp;sheet=U0&amp;row=14457&amp;col=6&amp;number=4.3&amp;sourceID=14","4.3")</f>
        <v>4.3</v>
      </c>
      <c r="G14457" s="4" t="str">
        <f>HYPERLINK("http://141.218.60.56/~jnz1568/getInfo.php?workbook=10_05.xlsx&amp;sheet=U0&amp;row=14457&amp;col=7&amp;number=0.139&amp;sourceID=14","0.139")</f>
        <v>0.139</v>
      </c>
    </row>
    <row r="14458" spans="1:7">
      <c r="A14458" s="3"/>
      <c r="B14458" s="3"/>
      <c r="C14458" s="3"/>
      <c r="D14458" s="3"/>
      <c r="E14458" s="3">
        <v>15</v>
      </c>
      <c r="F14458" s="4" t="str">
        <f>HYPERLINK("http://141.218.60.56/~jnz1568/getInfo.php?workbook=10_05.xlsx&amp;sheet=U0&amp;row=14458&amp;col=6&amp;number=4.4&amp;sourceID=14","4.4")</f>
        <v>4.4</v>
      </c>
      <c r="G14458" s="4" t="str">
        <f>HYPERLINK("http://141.218.60.56/~jnz1568/getInfo.php?workbook=10_05.xlsx&amp;sheet=U0&amp;row=14458&amp;col=7&amp;number=0.146&amp;sourceID=14","0.146")</f>
        <v>0.146</v>
      </c>
    </row>
    <row r="14459" spans="1:7">
      <c r="A14459" s="3"/>
      <c r="B14459" s="3"/>
      <c r="C14459" s="3"/>
      <c r="D14459" s="3"/>
      <c r="E14459" s="3">
        <v>16</v>
      </c>
      <c r="F14459" s="4" t="str">
        <f>HYPERLINK("http://141.218.60.56/~jnz1568/getInfo.php?workbook=10_05.xlsx&amp;sheet=U0&amp;row=14459&amp;col=6&amp;number=4.5&amp;sourceID=14","4.5")</f>
        <v>4.5</v>
      </c>
      <c r="G14459" s="4" t="str">
        <f>HYPERLINK("http://141.218.60.56/~jnz1568/getInfo.php?workbook=10_05.xlsx&amp;sheet=U0&amp;row=14459&amp;col=7&amp;number=0.152&amp;sourceID=14","0.152")</f>
        <v>0.152</v>
      </c>
    </row>
    <row r="14460" spans="1:7">
      <c r="A14460" s="3"/>
      <c r="B14460" s="3"/>
      <c r="C14460" s="3"/>
      <c r="D14460" s="3"/>
      <c r="E14460" s="3">
        <v>17</v>
      </c>
      <c r="F14460" s="4" t="str">
        <f>HYPERLINK("http://141.218.60.56/~jnz1568/getInfo.php?workbook=10_05.xlsx&amp;sheet=U0&amp;row=14460&amp;col=6&amp;number=4.6&amp;sourceID=14","4.6")</f>
        <v>4.6</v>
      </c>
      <c r="G14460" s="4" t="str">
        <f>HYPERLINK("http://141.218.60.56/~jnz1568/getInfo.php?workbook=10_05.xlsx&amp;sheet=U0&amp;row=14460&amp;col=7&amp;number=0.156&amp;sourceID=14","0.156")</f>
        <v>0.156</v>
      </c>
    </row>
    <row r="14461" spans="1:7">
      <c r="A14461" s="3"/>
      <c r="B14461" s="3"/>
      <c r="C14461" s="3"/>
      <c r="D14461" s="3"/>
      <c r="E14461" s="3">
        <v>18</v>
      </c>
      <c r="F14461" s="4" t="str">
        <f>HYPERLINK("http://141.218.60.56/~jnz1568/getInfo.php?workbook=10_05.xlsx&amp;sheet=U0&amp;row=14461&amp;col=6&amp;number=4.7&amp;sourceID=14","4.7")</f>
        <v>4.7</v>
      </c>
      <c r="G14461" s="4" t="str">
        <f>HYPERLINK("http://141.218.60.56/~jnz1568/getInfo.php?workbook=10_05.xlsx&amp;sheet=U0&amp;row=14461&amp;col=7&amp;number=0.157&amp;sourceID=14","0.157")</f>
        <v>0.157</v>
      </c>
    </row>
    <row r="14462" spans="1:7">
      <c r="A14462" s="3"/>
      <c r="B14462" s="3"/>
      <c r="C14462" s="3"/>
      <c r="D14462" s="3"/>
      <c r="E14462" s="3">
        <v>19</v>
      </c>
      <c r="F14462" s="4" t="str">
        <f>HYPERLINK("http://141.218.60.56/~jnz1568/getInfo.php?workbook=10_05.xlsx&amp;sheet=U0&amp;row=14462&amp;col=6&amp;number=4.8&amp;sourceID=14","4.8")</f>
        <v>4.8</v>
      </c>
      <c r="G14462" s="4" t="str">
        <f>HYPERLINK("http://141.218.60.56/~jnz1568/getInfo.php?workbook=10_05.xlsx&amp;sheet=U0&amp;row=14462&amp;col=7&amp;number=0.153&amp;sourceID=14","0.153")</f>
        <v>0.153</v>
      </c>
    </row>
    <row r="14463" spans="1:7">
      <c r="A14463" s="3"/>
      <c r="B14463" s="3"/>
      <c r="C14463" s="3"/>
      <c r="D14463" s="3"/>
      <c r="E14463" s="3">
        <v>20</v>
      </c>
      <c r="F14463" s="4" t="str">
        <f>HYPERLINK("http://141.218.60.56/~jnz1568/getInfo.php?workbook=10_05.xlsx&amp;sheet=U0&amp;row=14463&amp;col=6&amp;number=4.9&amp;sourceID=14","4.9")</f>
        <v>4.9</v>
      </c>
      <c r="G14463" s="4" t="str">
        <f>HYPERLINK("http://141.218.60.56/~jnz1568/getInfo.php?workbook=10_05.xlsx&amp;sheet=U0&amp;row=14463&amp;col=7&amp;number=0.146&amp;sourceID=14","0.146")</f>
        <v>0.146</v>
      </c>
    </row>
    <row r="14464" spans="1:7">
      <c r="A14464" s="3">
        <v>10</v>
      </c>
      <c r="B14464" s="3">
        <v>5</v>
      </c>
      <c r="C14464" s="3">
        <v>5</v>
      </c>
      <c r="D14464" s="3">
        <v>19</v>
      </c>
      <c r="E14464" s="3">
        <v>1</v>
      </c>
      <c r="F14464" s="4" t="str">
        <f>HYPERLINK("http://141.218.60.56/~jnz1568/getInfo.php?workbook=10_05.xlsx&amp;sheet=U0&amp;row=14464&amp;col=6&amp;number=3&amp;sourceID=14","3")</f>
        <v>3</v>
      </c>
      <c r="G14464" s="4" t="str">
        <f>HYPERLINK("http://141.218.60.56/~jnz1568/getInfo.php?workbook=10_05.xlsx&amp;sheet=U0&amp;row=14464&amp;col=7&amp;number=0.193&amp;sourceID=14","0.193")</f>
        <v>0.193</v>
      </c>
    </row>
    <row r="14465" spans="1:7">
      <c r="A14465" s="3"/>
      <c r="B14465" s="3"/>
      <c r="C14465" s="3"/>
      <c r="D14465" s="3"/>
      <c r="E14465" s="3">
        <v>2</v>
      </c>
      <c r="F14465" s="4" t="str">
        <f>HYPERLINK("http://141.218.60.56/~jnz1568/getInfo.php?workbook=10_05.xlsx&amp;sheet=U0&amp;row=14465&amp;col=6&amp;number=3.1&amp;sourceID=14","3.1")</f>
        <v>3.1</v>
      </c>
      <c r="G14465" s="4" t="str">
        <f>HYPERLINK("http://141.218.60.56/~jnz1568/getInfo.php?workbook=10_05.xlsx&amp;sheet=U0&amp;row=14465&amp;col=7&amp;number=0.19&amp;sourceID=14","0.19")</f>
        <v>0.19</v>
      </c>
    </row>
    <row r="14466" spans="1:7">
      <c r="A14466" s="3"/>
      <c r="B14466" s="3"/>
      <c r="C14466" s="3"/>
      <c r="D14466" s="3"/>
      <c r="E14466" s="3">
        <v>3</v>
      </c>
      <c r="F14466" s="4" t="str">
        <f>HYPERLINK("http://141.218.60.56/~jnz1568/getInfo.php?workbook=10_05.xlsx&amp;sheet=U0&amp;row=14466&amp;col=6&amp;number=3.2&amp;sourceID=14","3.2")</f>
        <v>3.2</v>
      </c>
      <c r="G14466" s="4" t="str">
        <f>HYPERLINK("http://141.218.60.56/~jnz1568/getInfo.php?workbook=10_05.xlsx&amp;sheet=U0&amp;row=14466&amp;col=7&amp;number=0.186&amp;sourceID=14","0.186")</f>
        <v>0.186</v>
      </c>
    </row>
    <row r="14467" spans="1:7">
      <c r="A14467" s="3"/>
      <c r="B14467" s="3"/>
      <c r="C14467" s="3"/>
      <c r="D14467" s="3"/>
      <c r="E14467" s="3">
        <v>4</v>
      </c>
      <c r="F14467" s="4" t="str">
        <f>HYPERLINK("http://141.218.60.56/~jnz1568/getInfo.php?workbook=10_05.xlsx&amp;sheet=U0&amp;row=14467&amp;col=6&amp;number=3.3&amp;sourceID=14","3.3")</f>
        <v>3.3</v>
      </c>
      <c r="G14467" s="4" t="str">
        <f>HYPERLINK("http://141.218.60.56/~jnz1568/getInfo.php?workbook=10_05.xlsx&amp;sheet=U0&amp;row=14467&amp;col=7&amp;number=0.181&amp;sourceID=14","0.181")</f>
        <v>0.181</v>
      </c>
    </row>
    <row r="14468" spans="1:7">
      <c r="A14468" s="3"/>
      <c r="B14468" s="3"/>
      <c r="C14468" s="3"/>
      <c r="D14468" s="3"/>
      <c r="E14468" s="3">
        <v>5</v>
      </c>
      <c r="F14468" s="4" t="str">
        <f>HYPERLINK("http://141.218.60.56/~jnz1568/getInfo.php?workbook=10_05.xlsx&amp;sheet=U0&amp;row=14468&amp;col=6&amp;number=3.4&amp;sourceID=14","3.4")</f>
        <v>3.4</v>
      </c>
      <c r="G14468" s="4" t="str">
        <f>HYPERLINK("http://141.218.60.56/~jnz1568/getInfo.php?workbook=10_05.xlsx&amp;sheet=U0&amp;row=14468&amp;col=7&amp;number=0.175&amp;sourceID=14","0.175")</f>
        <v>0.175</v>
      </c>
    </row>
    <row r="14469" spans="1:7">
      <c r="A14469" s="3"/>
      <c r="B14469" s="3"/>
      <c r="C14469" s="3"/>
      <c r="D14469" s="3"/>
      <c r="E14469" s="3">
        <v>6</v>
      </c>
      <c r="F14469" s="4" t="str">
        <f>HYPERLINK("http://141.218.60.56/~jnz1568/getInfo.php?workbook=10_05.xlsx&amp;sheet=U0&amp;row=14469&amp;col=6&amp;number=3.5&amp;sourceID=14","3.5")</f>
        <v>3.5</v>
      </c>
      <c r="G14469" s="4" t="str">
        <f>HYPERLINK("http://141.218.60.56/~jnz1568/getInfo.php?workbook=10_05.xlsx&amp;sheet=U0&amp;row=14469&amp;col=7&amp;number=0.168&amp;sourceID=14","0.168")</f>
        <v>0.168</v>
      </c>
    </row>
    <row r="14470" spans="1:7">
      <c r="A14470" s="3"/>
      <c r="B14470" s="3"/>
      <c r="C14470" s="3"/>
      <c r="D14470" s="3"/>
      <c r="E14470" s="3">
        <v>7</v>
      </c>
      <c r="F14470" s="4" t="str">
        <f>HYPERLINK("http://141.218.60.56/~jnz1568/getInfo.php?workbook=10_05.xlsx&amp;sheet=U0&amp;row=14470&amp;col=6&amp;number=3.6&amp;sourceID=14","3.6")</f>
        <v>3.6</v>
      </c>
      <c r="G14470" s="4" t="str">
        <f>HYPERLINK("http://141.218.60.56/~jnz1568/getInfo.php?workbook=10_05.xlsx&amp;sheet=U0&amp;row=14470&amp;col=7&amp;number=0.16&amp;sourceID=14","0.16")</f>
        <v>0.16</v>
      </c>
    </row>
    <row r="14471" spans="1:7">
      <c r="A14471" s="3"/>
      <c r="B14471" s="3"/>
      <c r="C14471" s="3"/>
      <c r="D14471" s="3"/>
      <c r="E14471" s="3">
        <v>8</v>
      </c>
      <c r="F14471" s="4" t="str">
        <f>HYPERLINK("http://141.218.60.56/~jnz1568/getInfo.php?workbook=10_05.xlsx&amp;sheet=U0&amp;row=14471&amp;col=6&amp;number=3.7&amp;sourceID=14","3.7")</f>
        <v>3.7</v>
      </c>
      <c r="G14471" s="4" t="str">
        <f>HYPERLINK("http://141.218.60.56/~jnz1568/getInfo.php?workbook=10_05.xlsx&amp;sheet=U0&amp;row=14471&amp;col=7&amp;number=0.151&amp;sourceID=14","0.151")</f>
        <v>0.151</v>
      </c>
    </row>
    <row r="14472" spans="1:7">
      <c r="A14472" s="3"/>
      <c r="B14472" s="3"/>
      <c r="C14472" s="3"/>
      <c r="D14472" s="3"/>
      <c r="E14472" s="3">
        <v>9</v>
      </c>
      <c r="F14472" s="4" t="str">
        <f>HYPERLINK("http://141.218.60.56/~jnz1568/getInfo.php?workbook=10_05.xlsx&amp;sheet=U0&amp;row=14472&amp;col=6&amp;number=3.8&amp;sourceID=14","3.8")</f>
        <v>3.8</v>
      </c>
      <c r="G14472" s="4" t="str">
        <f>HYPERLINK("http://141.218.60.56/~jnz1568/getInfo.php?workbook=10_05.xlsx&amp;sheet=U0&amp;row=14472&amp;col=7&amp;number=0.141&amp;sourceID=14","0.141")</f>
        <v>0.141</v>
      </c>
    </row>
    <row r="14473" spans="1:7">
      <c r="A14473" s="3"/>
      <c r="B14473" s="3"/>
      <c r="C14473" s="3"/>
      <c r="D14473" s="3"/>
      <c r="E14473" s="3">
        <v>10</v>
      </c>
      <c r="F14473" s="4" t="str">
        <f>HYPERLINK("http://141.218.60.56/~jnz1568/getInfo.php?workbook=10_05.xlsx&amp;sheet=U0&amp;row=14473&amp;col=6&amp;number=3.9&amp;sourceID=14","3.9")</f>
        <v>3.9</v>
      </c>
      <c r="G14473" s="4" t="str">
        <f>HYPERLINK("http://141.218.60.56/~jnz1568/getInfo.php?workbook=10_05.xlsx&amp;sheet=U0&amp;row=14473&amp;col=7&amp;number=0.132&amp;sourceID=14","0.132")</f>
        <v>0.132</v>
      </c>
    </row>
    <row r="14474" spans="1:7">
      <c r="A14474" s="3"/>
      <c r="B14474" s="3"/>
      <c r="C14474" s="3"/>
      <c r="D14474" s="3"/>
      <c r="E14474" s="3">
        <v>11</v>
      </c>
      <c r="F14474" s="4" t="str">
        <f>HYPERLINK("http://141.218.60.56/~jnz1568/getInfo.php?workbook=10_05.xlsx&amp;sheet=U0&amp;row=14474&amp;col=6&amp;number=4&amp;sourceID=14","4")</f>
        <v>4</v>
      </c>
      <c r="G14474" s="4" t="str">
        <f>HYPERLINK("http://141.218.60.56/~jnz1568/getInfo.php?workbook=10_05.xlsx&amp;sheet=U0&amp;row=14474&amp;col=7&amp;number=0.123&amp;sourceID=14","0.123")</f>
        <v>0.123</v>
      </c>
    </row>
    <row r="14475" spans="1:7">
      <c r="A14475" s="3"/>
      <c r="B14475" s="3"/>
      <c r="C14475" s="3"/>
      <c r="D14475" s="3"/>
      <c r="E14475" s="3">
        <v>12</v>
      </c>
      <c r="F14475" s="4" t="str">
        <f>HYPERLINK("http://141.218.60.56/~jnz1568/getInfo.php?workbook=10_05.xlsx&amp;sheet=U0&amp;row=14475&amp;col=6&amp;number=4.1&amp;sourceID=14","4.1")</f>
        <v>4.1</v>
      </c>
      <c r="G14475" s="4" t="str">
        <f>HYPERLINK("http://141.218.60.56/~jnz1568/getInfo.php?workbook=10_05.xlsx&amp;sheet=U0&amp;row=14475&amp;col=7&amp;number=0.116&amp;sourceID=14","0.116")</f>
        <v>0.116</v>
      </c>
    </row>
    <row r="14476" spans="1:7">
      <c r="A14476" s="3"/>
      <c r="B14476" s="3"/>
      <c r="C14476" s="3"/>
      <c r="D14476" s="3"/>
      <c r="E14476" s="3">
        <v>13</v>
      </c>
      <c r="F14476" s="4" t="str">
        <f>HYPERLINK("http://141.218.60.56/~jnz1568/getInfo.php?workbook=10_05.xlsx&amp;sheet=U0&amp;row=14476&amp;col=6&amp;number=4.2&amp;sourceID=14","4.2")</f>
        <v>4.2</v>
      </c>
      <c r="G14476" s="4" t="str">
        <f>HYPERLINK("http://141.218.60.56/~jnz1568/getInfo.php?workbook=10_05.xlsx&amp;sheet=U0&amp;row=14476&amp;col=7&amp;number=0.111&amp;sourceID=14","0.111")</f>
        <v>0.111</v>
      </c>
    </row>
    <row r="14477" spans="1:7">
      <c r="A14477" s="3"/>
      <c r="B14477" s="3"/>
      <c r="C14477" s="3"/>
      <c r="D14477" s="3"/>
      <c r="E14477" s="3">
        <v>14</v>
      </c>
      <c r="F14477" s="4" t="str">
        <f>HYPERLINK("http://141.218.60.56/~jnz1568/getInfo.php?workbook=10_05.xlsx&amp;sheet=U0&amp;row=14477&amp;col=6&amp;number=4.3&amp;sourceID=14","4.3")</f>
        <v>4.3</v>
      </c>
      <c r="G14477" s="4" t="str">
        <f>HYPERLINK("http://141.218.60.56/~jnz1568/getInfo.php?workbook=10_05.xlsx&amp;sheet=U0&amp;row=14477&amp;col=7&amp;number=0.106&amp;sourceID=14","0.106")</f>
        <v>0.106</v>
      </c>
    </row>
    <row r="14478" spans="1:7">
      <c r="A14478" s="3"/>
      <c r="B14478" s="3"/>
      <c r="C14478" s="3"/>
      <c r="D14478" s="3"/>
      <c r="E14478" s="3">
        <v>15</v>
      </c>
      <c r="F14478" s="4" t="str">
        <f>HYPERLINK("http://141.218.60.56/~jnz1568/getInfo.php?workbook=10_05.xlsx&amp;sheet=U0&amp;row=14478&amp;col=6&amp;number=4.4&amp;sourceID=14","4.4")</f>
        <v>4.4</v>
      </c>
      <c r="G14478" s="4" t="str">
        <f>HYPERLINK("http://141.218.60.56/~jnz1568/getInfo.php?workbook=10_05.xlsx&amp;sheet=U0&amp;row=14478&amp;col=7&amp;number=0.1&amp;sourceID=14","0.1")</f>
        <v>0.1</v>
      </c>
    </row>
    <row r="14479" spans="1:7">
      <c r="A14479" s="3"/>
      <c r="B14479" s="3"/>
      <c r="C14479" s="3"/>
      <c r="D14479" s="3"/>
      <c r="E14479" s="3">
        <v>16</v>
      </c>
      <c r="F14479" s="4" t="str">
        <f>HYPERLINK("http://141.218.60.56/~jnz1568/getInfo.php?workbook=10_05.xlsx&amp;sheet=U0&amp;row=14479&amp;col=6&amp;number=4.5&amp;sourceID=14","4.5")</f>
        <v>4.5</v>
      </c>
      <c r="G14479" s="4" t="str">
        <f>HYPERLINK("http://141.218.60.56/~jnz1568/getInfo.php?workbook=10_05.xlsx&amp;sheet=U0&amp;row=14479&amp;col=7&amp;number=0.0942&amp;sourceID=14","0.0942")</f>
        <v>0.0942</v>
      </c>
    </row>
    <row r="14480" spans="1:7">
      <c r="A14480" s="3"/>
      <c r="B14480" s="3"/>
      <c r="C14480" s="3"/>
      <c r="D14480" s="3"/>
      <c r="E14480" s="3">
        <v>17</v>
      </c>
      <c r="F14480" s="4" t="str">
        <f>HYPERLINK("http://141.218.60.56/~jnz1568/getInfo.php?workbook=10_05.xlsx&amp;sheet=U0&amp;row=14480&amp;col=6&amp;number=4.6&amp;sourceID=14","4.6")</f>
        <v>4.6</v>
      </c>
      <c r="G14480" s="4" t="str">
        <f>HYPERLINK("http://141.218.60.56/~jnz1568/getInfo.php?workbook=10_05.xlsx&amp;sheet=U0&amp;row=14480&amp;col=7&amp;number=0.0883&amp;sourceID=14","0.0883")</f>
        <v>0.0883</v>
      </c>
    </row>
    <row r="14481" spans="1:7">
      <c r="A14481" s="3"/>
      <c r="B14481" s="3"/>
      <c r="C14481" s="3"/>
      <c r="D14481" s="3"/>
      <c r="E14481" s="3">
        <v>18</v>
      </c>
      <c r="F14481" s="4" t="str">
        <f>HYPERLINK("http://141.218.60.56/~jnz1568/getInfo.php?workbook=10_05.xlsx&amp;sheet=U0&amp;row=14481&amp;col=6&amp;number=4.7&amp;sourceID=14","4.7")</f>
        <v>4.7</v>
      </c>
      <c r="G14481" s="4" t="str">
        <f>HYPERLINK("http://141.218.60.56/~jnz1568/getInfo.php?workbook=10_05.xlsx&amp;sheet=U0&amp;row=14481&amp;col=7&amp;number=0.0824&amp;sourceID=14","0.0824")</f>
        <v>0.0824</v>
      </c>
    </row>
    <row r="14482" spans="1:7">
      <c r="A14482" s="3"/>
      <c r="B14482" s="3"/>
      <c r="C14482" s="3"/>
      <c r="D14482" s="3"/>
      <c r="E14482" s="3">
        <v>19</v>
      </c>
      <c r="F14482" s="4" t="str">
        <f>HYPERLINK("http://141.218.60.56/~jnz1568/getInfo.php?workbook=10_05.xlsx&amp;sheet=U0&amp;row=14482&amp;col=6&amp;number=4.8&amp;sourceID=14","4.8")</f>
        <v>4.8</v>
      </c>
      <c r="G14482" s="4" t="str">
        <f>HYPERLINK("http://141.218.60.56/~jnz1568/getInfo.php?workbook=10_05.xlsx&amp;sheet=U0&amp;row=14482&amp;col=7&amp;number=0.076&amp;sourceID=14","0.076")</f>
        <v>0.076</v>
      </c>
    </row>
    <row r="14483" spans="1:7">
      <c r="A14483" s="3"/>
      <c r="B14483" s="3"/>
      <c r="C14483" s="3"/>
      <c r="D14483" s="3"/>
      <c r="E14483" s="3">
        <v>20</v>
      </c>
      <c r="F14483" s="4" t="str">
        <f>HYPERLINK("http://141.218.60.56/~jnz1568/getInfo.php?workbook=10_05.xlsx&amp;sheet=U0&amp;row=14483&amp;col=6&amp;number=4.9&amp;sourceID=14","4.9")</f>
        <v>4.9</v>
      </c>
      <c r="G14483" s="4" t="str">
        <f>HYPERLINK("http://141.218.60.56/~jnz1568/getInfo.php?workbook=10_05.xlsx&amp;sheet=U0&amp;row=14483&amp;col=7&amp;number=0.0692&amp;sourceID=14","0.0692")</f>
        <v>0.0692</v>
      </c>
    </row>
    <row r="14484" spans="1:7">
      <c r="A14484" s="3">
        <v>10</v>
      </c>
      <c r="B14484" s="3">
        <v>5</v>
      </c>
      <c r="C14484" s="3">
        <v>5</v>
      </c>
      <c r="D14484" s="3">
        <v>20</v>
      </c>
      <c r="E14484" s="3">
        <v>1</v>
      </c>
      <c r="F14484" s="4" t="str">
        <f>HYPERLINK("http://141.218.60.56/~jnz1568/getInfo.php?workbook=10_05.xlsx&amp;sheet=U0&amp;row=14484&amp;col=6&amp;number=3&amp;sourceID=14","3")</f>
        <v>3</v>
      </c>
      <c r="G14484" s="4" t="str">
        <f>HYPERLINK("http://141.218.60.56/~jnz1568/getInfo.php?workbook=10_05.xlsx&amp;sheet=U0&amp;row=14484&amp;col=7&amp;number=0.399&amp;sourceID=14","0.399")</f>
        <v>0.399</v>
      </c>
    </row>
    <row r="14485" spans="1:7">
      <c r="A14485" s="3"/>
      <c r="B14485" s="3"/>
      <c r="C14485" s="3"/>
      <c r="D14485" s="3"/>
      <c r="E14485" s="3">
        <v>2</v>
      </c>
      <c r="F14485" s="4" t="str">
        <f>HYPERLINK("http://141.218.60.56/~jnz1568/getInfo.php?workbook=10_05.xlsx&amp;sheet=U0&amp;row=14485&amp;col=6&amp;number=3.1&amp;sourceID=14","3.1")</f>
        <v>3.1</v>
      </c>
      <c r="G14485" s="4" t="str">
        <f>HYPERLINK("http://141.218.60.56/~jnz1568/getInfo.php?workbook=10_05.xlsx&amp;sheet=U0&amp;row=14485&amp;col=7&amp;number=0.391&amp;sourceID=14","0.391")</f>
        <v>0.391</v>
      </c>
    </row>
    <row r="14486" spans="1:7">
      <c r="A14486" s="3"/>
      <c r="B14486" s="3"/>
      <c r="C14486" s="3"/>
      <c r="D14486" s="3"/>
      <c r="E14486" s="3">
        <v>3</v>
      </c>
      <c r="F14486" s="4" t="str">
        <f>HYPERLINK("http://141.218.60.56/~jnz1568/getInfo.php?workbook=10_05.xlsx&amp;sheet=U0&amp;row=14486&amp;col=6&amp;number=3.2&amp;sourceID=14","3.2")</f>
        <v>3.2</v>
      </c>
      <c r="G14486" s="4" t="str">
        <f>HYPERLINK("http://141.218.60.56/~jnz1568/getInfo.php?workbook=10_05.xlsx&amp;sheet=U0&amp;row=14486&amp;col=7&amp;number=0.382&amp;sourceID=14","0.382")</f>
        <v>0.382</v>
      </c>
    </row>
    <row r="14487" spans="1:7">
      <c r="A14487" s="3"/>
      <c r="B14487" s="3"/>
      <c r="C14487" s="3"/>
      <c r="D14487" s="3"/>
      <c r="E14487" s="3">
        <v>4</v>
      </c>
      <c r="F14487" s="4" t="str">
        <f>HYPERLINK("http://141.218.60.56/~jnz1568/getInfo.php?workbook=10_05.xlsx&amp;sheet=U0&amp;row=14487&amp;col=6&amp;number=3.3&amp;sourceID=14","3.3")</f>
        <v>3.3</v>
      </c>
      <c r="G14487" s="4" t="str">
        <f>HYPERLINK("http://141.218.60.56/~jnz1568/getInfo.php?workbook=10_05.xlsx&amp;sheet=U0&amp;row=14487&amp;col=7&amp;number=0.371&amp;sourceID=14","0.371")</f>
        <v>0.371</v>
      </c>
    </row>
    <row r="14488" spans="1:7">
      <c r="A14488" s="3"/>
      <c r="B14488" s="3"/>
      <c r="C14488" s="3"/>
      <c r="D14488" s="3"/>
      <c r="E14488" s="3">
        <v>5</v>
      </c>
      <c r="F14488" s="4" t="str">
        <f>HYPERLINK("http://141.218.60.56/~jnz1568/getInfo.php?workbook=10_05.xlsx&amp;sheet=U0&amp;row=14488&amp;col=6&amp;number=3.4&amp;sourceID=14","3.4")</f>
        <v>3.4</v>
      </c>
      <c r="G14488" s="4" t="str">
        <f>HYPERLINK("http://141.218.60.56/~jnz1568/getInfo.php?workbook=10_05.xlsx&amp;sheet=U0&amp;row=14488&amp;col=7&amp;number=0.358&amp;sourceID=14","0.358")</f>
        <v>0.358</v>
      </c>
    </row>
    <row r="14489" spans="1:7">
      <c r="A14489" s="3"/>
      <c r="B14489" s="3"/>
      <c r="C14489" s="3"/>
      <c r="D14489" s="3"/>
      <c r="E14489" s="3">
        <v>6</v>
      </c>
      <c r="F14489" s="4" t="str">
        <f>HYPERLINK("http://141.218.60.56/~jnz1568/getInfo.php?workbook=10_05.xlsx&amp;sheet=U0&amp;row=14489&amp;col=6&amp;number=3.5&amp;sourceID=14","3.5")</f>
        <v>3.5</v>
      </c>
      <c r="G14489" s="4" t="str">
        <f>HYPERLINK("http://141.218.60.56/~jnz1568/getInfo.php?workbook=10_05.xlsx&amp;sheet=U0&amp;row=14489&amp;col=7&amp;number=0.342&amp;sourceID=14","0.342")</f>
        <v>0.342</v>
      </c>
    </row>
    <row r="14490" spans="1:7">
      <c r="A14490" s="3"/>
      <c r="B14490" s="3"/>
      <c r="C14490" s="3"/>
      <c r="D14490" s="3"/>
      <c r="E14490" s="3">
        <v>7</v>
      </c>
      <c r="F14490" s="4" t="str">
        <f>HYPERLINK("http://141.218.60.56/~jnz1568/getInfo.php?workbook=10_05.xlsx&amp;sheet=U0&amp;row=14490&amp;col=6&amp;number=3.6&amp;sourceID=14","3.6")</f>
        <v>3.6</v>
      </c>
      <c r="G14490" s="4" t="str">
        <f>HYPERLINK("http://141.218.60.56/~jnz1568/getInfo.php?workbook=10_05.xlsx&amp;sheet=U0&amp;row=14490&amp;col=7&amp;number=0.323&amp;sourceID=14","0.323")</f>
        <v>0.323</v>
      </c>
    </row>
    <row r="14491" spans="1:7">
      <c r="A14491" s="3"/>
      <c r="B14491" s="3"/>
      <c r="C14491" s="3"/>
      <c r="D14491" s="3"/>
      <c r="E14491" s="3">
        <v>8</v>
      </c>
      <c r="F14491" s="4" t="str">
        <f>HYPERLINK("http://141.218.60.56/~jnz1568/getInfo.php?workbook=10_05.xlsx&amp;sheet=U0&amp;row=14491&amp;col=6&amp;number=3.7&amp;sourceID=14","3.7")</f>
        <v>3.7</v>
      </c>
      <c r="G14491" s="4" t="str">
        <f>HYPERLINK("http://141.218.60.56/~jnz1568/getInfo.php?workbook=10_05.xlsx&amp;sheet=U0&amp;row=14491&amp;col=7&amp;number=0.301&amp;sourceID=14","0.301")</f>
        <v>0.301</v>
      </c>
    </row>
    <row r="14492" spans="1:7">
      <c r="A14492" s="3"/>
      <c r="B14492" s="3"/>
      <c r="C14492" s="3"/>
      <c r="D14492" s="3"/>
      <c r="E14492" s="3">
        <v>9</v>
      </c>
      <c r="F14492" s="4" t="str">
        <f>HYPERLINK("http://141.218.60.56/~jnz1568/getInfo.php?workbook=10_05.xlsx&amp;sheet=U0&amp;row=14492&amp;col=6&amp;number=3.8&amp;sourceID=14","3.8")</f>
        <v>3.8</v>
      </c>
      <c r="G14492" s="4" t="str">
        <f>HYPERLINK("http://141.218.60.56/~jnz1568/getInfo.php?workbook=10_05.xlsx&amp;sheet=U0&amp;row=14492&amp;col=7&amp;number=0.279&amp;sourceID=14","0.279")</f>
        <v>0.279</v>
      </c>
    </row>
    <row r="14493" spans="1:7">
      <c r="A14493" s="3"/>
      <c r="B14493" s="3"/>
      <c r="C14493" s="3"/>
      <c r="D14493" s="3"/>
      <c r="E14493" s="3">
        <v>10</v>
      </c>
      <c r="F14493" s="4" t="str">
        <f>HYPERLINK("http://141.218.60.56/~jnz1568/getInfo.php?workbook=10_05.xlsx&amp;sheet=U0&amp;row=14493&amp;col=6&amp;number=3.9&amp;sourceID=14","3.9")</f>
        <v>3.9</v>
      </c>
      <c r="G14493" s="4" t="str">
        <f>HYPERLINK("http://141.218.60.56/~jnz1568/getInfo.php?workbook=10_05.xlsx&amp;sheet=U0&amp;row=14493&amp;col=7&amp;number=0.257&amp;sourceID=14","0.257")</f>
        <v>0.257</v>
      </c>
    </row>
    <row r="14494" spans="1:7">
      <c r="A14494" s="3"/>
      <c r="B14494" s="3"/>
      <c r="C14494" s="3"/>
      <c r="D14494" s="3"/>
      <c r="E14494" s="3">
        <v>11</v>
      </c>
      <c r="F14494" s="4" t="str">
        <f>HYPERLINK("http://141.218.60.56/~jnz1568/getInfo.php?workbook=10_05.xlsx&amp;sheet=U0&amp;row=14494&amp;col=6&amp;number=4&amp;sourceID=14","4")</f>
        <v>4</v>
      </c>
      <c r="G14494" s="4" t="str">
        <f>HYPERLINK("http://141.218.60.56/~jnz1568/getInfo.php?workbook=10_05.xlsx&amp;sheet=U0&amp;row=14494&amp;col=7&amp;number=0.238&amp;sourceID=14","0.238")</f>
        <v>0.238</v>
      </c>
    </row>
    <row r="14495" spans="1:7">
      <c r="A14495" s="3"/>
      <c r="B14495" s="3"/>
      <c r="C14495" s="3"/>
      <c r="D14495" s="3"/>
      <c r="E14495" s="3">
        <v>12</v>
      </c>
      <c r="F14495" s="4" t="str">
        <f>HYPERLINK("http://141.218.60.56/~jnz1568/getInfo.php?workbook=10_05.xlsx&amp;sheet=U0&amp;row=14495&amp;col=6&amp;number=4.1&amp;sourceID=14","4.1")</f>
        <v>4.1</v>
      </c>
      <c r="G14495" s="4" t="str">
        <f>HYPERLINK("http://141.218.60.56/~jnz1568/getInfo.php?workbook=10_05.xlsx&amp;sheet=U0&amp;row=14495&amp;col=7&amp;number=0.224&amp;sourceID=14","0.224")</f>
        <v>0.224</v>
      </c>
    </row>
    <row r="14496" spans="1:7">
      <c r="A14496" s="3"/>
      <c r="B14496" s="3"/>
      <c r="C14496" s="3"/>
      <c r="D14496" s="3"/>
      <c r="E14496" s="3">
        <v>13</v>
      </c>
      <c r="F14496" s="4" t="str">
        <f>HYPERLINK("http://141.218.60.56/~jnz1568/getInfo.php?workbook=10_05.xlsx&amp;sheet=U0&amp;row=14496&amp;col=6&amp;number=4.2&amp;sourceID=14","4.2")</f>
        <v>4.2</v>
      </c>
      <c r="G14496" s="4" t="str">
        <f>HYPERLINK("http://141.218.60.56/~jnz1568/getInfo.php?workbook=10_05.xlsx&amp;sheet=U0&amp;row=14496&amp;col=7&amp;number=0.214&amp;sourceID=14","0.214")</f>
        <v>0.214</v>
      </c>
    </row>
    <row r="14497" spans="1:7">
      <c r="A14497" s="3"/>
      <c r="B14497" s="3"/>
      <c r="C14497" s="3"/>
      <c r="D14497" s="3"/>
      <c r="E14497" s="3">
        <v>14</v>
      </c>
      <c r="F14497" s="4" t="str">
        <f>HYPERLINK("http://141.218.60.56/~jnz1568/getInfo.php?workbook=10_05.xlsx&amp;sheet=U0&amp;row=14497&amp;col=6&amp;number=4.3&amp;sourceID=14","4.3")</f>
        <v>4.3</v>
      </c>
      <c r="G14497" s="4" t="str">
        <f>HYPERLINK("http://141.218.60.56/~jnz1568/getInfo.php?workbook=10_05.xlsx&amp;sheet=U0&amp;row=14497&amp;col=7&amp;number=0.204&amp;sourceID=14","0.204")</f>
        <v>0.204</v>
      </c>
    </row>
    <row r="14498" spans="1:7">
      <c r="A14498" s="3"/>
      <c r="B14498" s="3"/>
      <c r="C14498" s="3"/>
      <c r="D14498" s="3"/>
      <c r="E14498" s="3">
        <v>15</v>
      </c>
      <c r="F14498" s="4" t="str">
        <f>HYPERLINK("http://141.218.60.56/~jnz1568/getInfo.php?workbook=10_05.xlsx&amp;sheet=U0&amp;row=14498&amp;col=6&amp;number=4.4&amp;sourceID=14","4.4")</f>
        <v>4.4</v>
      </c>
      <c r="G14498" s="4" t="str">
        <f>HYPERLINK("http://141.218.60.56/~jnz1568/getInfo.php?workbook=10_05.xlsx&amp;sheet=U0&amp;row=14498&amp;col=7&amp;number=0.193&amp;sourceID=14","0.193")</f>
        <v>0.193</v>
      </c>
    </row>
    <row r="14499" spans="1:7">
      <c r="A14499" s="3"/>
      <c r="B14499" s="3"/>
      <c r="C14499" s="3"/>
      <c r="D14499" s="3"/>
      <c r="E14499" s="3">
        <v>16</v>
      </c>
      <c r="F14499" s="4" t="str">
        <f>HYPERLINK("http://141.218.60.56/~jnz1568/getInfo.php?workbook=10_05.xlsx&amp;sheet=U0&amp;row=14499&amp;col=6&amp;number=4.5&amp;sourceID=14","4.5")</f>
        <v>4.5</v>
      </c>
      <c r="G14499" s="4" t="str">
        <f>HYPERLINK("http://141.218.60.56/~jnz1568/getInfo.php?workbook=10_05.xlsx&amp;sheet=U0&amp;row=14499&amp;col=7&amp;number=0.182&amp;sourceID=14","0.182")</f>
        <v>0.182</v>
      </c>
    </row>
    <row r="14500" spans="1:7">
      <c r="A14500" s="3"/>
      <c r="B14500" s="3"/>
      <c r="C14500" s="3"/>
      <c r="D14500" s="3"/>
      <c r="E14500" s="3">
        <v>17</v>
      </c>
      <c r="F14500" s="4" t="str">
        <f>HYPERLINK("http://141.218.60.56/~jnz1568/getInfo.php?workbook=10_05.xlsx&amp;sheet=U0&amp;row=14500&amp;col=6&amp;number=4.6&amp;sourceID=14","4.6")</f>
        <v>4.6</v>
      </c>
      <c r="G14500" s="4" t="str">
        <f>HYPERLINK("http://141.218.60.56/~jnz1568/getInfo.php?workbook=10_05.xlsx&amp;sheet=U0&amp;row=14500&amp;col=7&amp;number=0.172&amp;sourceID=14","0.172")</f>
        <v>0.172</v>
      </c>
    </row>
    <row r="14501" spans="1:7">
      <c r="A14501" s="3"/>
      <c r="B14501" s="3"/>
      <c r="C14501" s="3"/>
      <c r="D14501" s="3"/>
      <c r="E14501" s="3">
        <v>18</v>
      </c>
      <c r="F14501" s="4" t="str">
        <f>HYPERLINK("http://141.218.60.56/~jnz1568/getInfo.php?workbook=10_05.xlsx&amp;sheet=U0&amp;row=14501&amp;col=6&amp;number=4.7&amp;sourceID=14","4.7")</f>
        <v>4.7</v>
      </c>
      <c r="G14501" s="4" t="str">
        <f>HYPERLINK("http://141.218.60.56/~jnz1568/getInfo.php?workbook=10_05.xlsx&amp;sheet=U0&amp;row=14501&amp;col=7&amp;number=0.161&amp;sourceID=14","0.161")</f>
        <v>0.161</v>
      </c>
    </row>
    <row r="14502" spans="1:7">
      <c r="A14502" s="3"/>
      <c r="B14502" s="3"/>
      <c r="C14502" s="3"/>
      <c r="D14502" s="3"/>
      <c r="E14502" s="3">
        <v>19</v>
      </c>
      <c r="F14502" s="4" t="str">
        <f>HYPERLINK("http://141.218.60.56/~jnz1568/getInfo.php?workbook=10_05.xlsx&amp;sheet=U0&amp;row=14502&amp;col=6&amp;number=4.8&amp;sourceID=14","4.8")</f>
        <v>4.8</v>
      </c>
      <c r="G14502" s="4" t="str">
        <f>HYPERLINK("http://141.218.60.56/~jnz1568/getInfo.php?workbook=10_05.xlsx&amp;sheet=U0&amp;row=14502&amp;col=7&amp;number=0.149&amp;sourceID=14","0.149")</f>
        <v>0.149</v>
      </c>
    </row>
    <row r="14503" spans="1:7">
      <c r="A14503" s="3"/>
      <c r="B14503" s="3"/>
      <c r="C14503" s="3"/>
      <c r="D14503" s="3"/>
      <c r="E14503" s="3">
        <v>20</v>
      </c>
      <c r="F14503" s="4" t="str">
        <f>HYPERLINK("http://141.218.60.56/~jnz1568/getInfo.php?workbook=10_05.xlsx&amp;sheet=U0&amp;row=14503&amp;col=6&amp;number=4.9&amp;sourceID=14","4.9")</f>
        <v>4.9</v>
      </c>
      <c r="G14503" s="4" t="str">
        <f>HYPERLINK("http://141.218.60.56/~jnz1568/getInfo.php?workbook=10_05.xlsx&amp;sheet=U0&amp;row=14503&amp;col=7&amp;number=0.135&amp;sourceID=14","0.135")</f>
        <v>0.135</v>
      </c>
    </row>
    <row r="14504" spans="1:7">
      <c r="A14504" s="3">
        <v>10</v>
      </c>
      <c r="B14504" s="3">
        <v>5</v>
      </c>
      <c r="C14504" s="3">
        <v>5</v>
      </c>
      <c r="D14504" s="3">
        <v>21</v>
      </c>
      <c r="E14504" s="3">
        <v>1</v>
      </c>
      <c r="F14504" s="4" t="str">
        <f>HYPERLINK("http://141.218.60.56/~jnz1568/getInfo.php?workbook=10_05.xlsx&amp;sheet=U0&amp;row=14504&amp;col=6&amp;number=3&amp;sourceID=14","3")</f>
        <v>3</v>
      </c>
      <c r="G14504" s="4" t="str">
        <f>HYPERLINK("http://141.218.60.56/~jnz1568/getInfo.php?workbook=10_05.xlsx&amp;sheet=U0&amp;row=14504&amp;col=7&amp;number=0.362&amp;sourceID=14","0.362")</f>
        <v>0.362</v>
      </c>
    </row>
    <row r="14505" spans="1:7">
      <c r="A14505" s="3"/>
      <c r="B14505" s="3"/>
      <c r="C14505" s="3"/>
      <c r="D14505" s="3"/>
      <c r="E14505" s="3">
        <v>2</v>
      </c>
      <c r="F14505" s="4" t="str">
        <f>HYPERLINK("http://141.218.60.56/~jnz1568/getInfo.php?workbook=10_05.xlsx&amp;sheet=U0&amp;row=14505&amp;col=6&amp;number=3.1&amp;sourceID=14","3.1")</f>
        <v>3.1</v>
      </c>
      <c r="G14505" s="4" t="str">
        <f>HYPERLINK("http://141.218.60.56/~jnz1568/getInfo.php?workbook=10_05.xlsx&amp;sheet=U0&amp;row=14505&amp;col=7&amp;number=0.359&amp;sourceID=14","0.359")</f>
        <v>0.359</v>
      </c>
    </row>
    <row r="14506" spans="1:7">
      <c r="A14506" s="3"/>
      <c r="B14506" s="3"/>
      <c r="C14506" s="3"/>
      <c r="D14506" s="3"/>
      <c r="E14506" s="3">
        <v>3</v>
      </c>
      <c r="F14506" s="4" t="str">
        <f>HYPERLINK("http://141.218.60.56/~jnz1568/getInfo.php?workbook=10_05.xlsx&amp;sheet=U0&amp;row=14506&amp;col=6&amp;number=3.2&amp;sourceID=14","3.2")</f>
        <v>3.2</v>
      </c>
      <c r="G14506" s="4" t="str">
        <f>HYPERLINK("http://141.218.60.56/~jnz1568/getInfo.php?workbook=10_05.xlsx&amp;sheet=U0&amp;row=14506&amp;col=7&amp;number=0.356&amp;sourceID=14","0.356")</f>
        <v>0.356</v>
      </c>
    </row>
    <row r="14507" spans="1:7">
      <c r="A14507" s="3"/>
      <c r="B14507" s="3"/>
      <c r="C14507" s="3"/>
      <c r="D14507" s="3"/>
      <c r="E14507" s="3">
        <v>4</v>
      </c>
      <c r="F14507" s="4" t="str">
        <f>HYPERLINK("http://141.218.60.56/~jnz1568/getInfo.php?workbook=10_05.xlsx&amp;sheet=U0&amp;row=14507&amp;col=6&amp;number=3.3&amp;sourceID=14","3.3")</f>
        <v>3.3</v>
      </c>
      <c r="G14507" s="4" t="str">
        <f>HYPERLINK("http://141.218.60.56/~jnz1568/getInfo.php?workbook=10_05.xlsx&amp;sheet=U0&amp;row=14507&amp;col=7&amp;number=0.353&amp;sourceID=14","0.353")</f>
        <v>0.353</v>
      </c>
    </row>
    <row r="14508" spans="1:7">
      <c r="A14508" s="3"/>
      <c r="B14508" s="3"/>
      <c r="C14508" s="3"/>
      <c r="D14508" s="3"/>
      <c r="E14508" s="3">
        <v>5</v>
      </c>
      <c r="F14508" s="4" t="str">
        <f>HYPERLINK("http://141.218.60.56/~jnz1568/getInfo.php?workbook=10_05.xlsx&amp;sheet=U0&amp;row=14508&amp;col=6&amp;number=3.4&amp;sourceID=14","3.4")</f>
        <v>3.4</v>
      </c>
      <c r="G14508" s="4" t="str">
        <f>HYPERLINK("http://141.218.60.56/~jnz1568/getInfo.php?workbook=10_05.xlsx&amp;sheet=U0&amp;row=14508&amp;col=7&amp;number=0.348&amp;sourceID=14","0.348")</f>
        <v>0.348</v>
      </c>
    </row>
    <row r="14509" spans="1:7">
      <c r="A14509" s="3"/>
      <c r="B14509" s="3"/>
      <c r="C14509" s="3"/>
      <c r="D14509" s="3"/>
      <c r="E14509" s="3">
        <v>6</v>
      </c>
      <c r="F14509" s="4" t="str">
        <f>HYPERLINK("http://141.218.60.56/~jnz1568/getInfo.php?workbook=10_05.xlsx&amp;sheet=U0&amp;row=14509&amp;col=6&amp;number=3.5&amp;sourceID=14","3.5")</f>
        <v>3.5</v>
      </c>
      <c r="G14509" s="4" t="str">
        <f>HYPERLINK("http://141.218.60.56/~jnz1568/getInfo.php?workbook=10_05.xlsx&amp;sheet=U0&amp;row=14509&amp;col=7&amp;number=0.342&amp;sourceID=14","0.342")</f>
        <v>0.342</v>
      </c>
    </row>
    <row r="14510" spans="1:7">
      <c r="A14510" s="3"/>
      <c r="B14510" s="3"/>
      <c r="C14510" s="3"/>
      <c r="D14510" s="3"/>
      <c r="E14510" s="3">
        <v>7</v>
      </c>
      <c r="F14510" s="4" t="str">
        <f>HYPERLINK("http://141.218.60.56/~jnz1568/getInfo.php?workbook=10_05.xlsx&amp;sheet=U0&amp;row=14510&amp;col=6&amp;number=3.6&amp;sourceID=14","3.6")</f>
        <v>3.6</v>
      </c>
      <c r="G14510" s="4" t="str">
        <f>HYPERLINK("http://141.218.60.56/~jnz1568/getInfo.php?workbook=10_05.xlsx&amp;sheet=U0&amp;row=14510&amp;col=7&amp;number=0.335&amp;sourceID=14","0.335")</f>
        <v>0.335</v>
      </c>
    </row>
    <row r="14511" spans="1:7">
      <c r="A14511" s="3"/>
      <c r="B14511" s="3"/>
      <c r="C14511" s="3"/>
      <c r="D14511" s="3"/>
      <c r="E14511" s="3">
        <v>8</v>
      </c>
      <c r="F14511" s="4" t="str">
        <f>HYPERLINK("http://141.218.60.56/~jnz1568/getInfo.php?workbook=10_05.xlsx&amp;sheet=U0&amp;row=14511&amp;col=6&amp;number=3.7&amp;sourceID=14","3.7")</f>
        <v>3.7</v>
      </c>
      <c r="G14511" s="4" t="str">
        <f>HYPERLINK("http://141.218.60.56/~jnz1568/getInfo.php?workbook=10_05.xlsx&amp;sheet=U0&amp;row=14511&amp;col=7&amp;number=0.327&amp;sourceID=14","0.327")</f>
        <v>0.327</v>
      </c>
    </row>
    <row r="14512" spans="1:7">
      <c r="A14512" s="3"/>
      <c r="B14512" s="3"/>
      <c r="C14512" s="3"/>
      <c r="D14512" s="3"/>
      <c r="E14512" s="3">
        <v>9</v>
      </c>
      <c r="F14512" s="4" t="str">
        <f>HYPERLINK("http://141.218.60.56/~jnz1568/getInfo.php?workbook=10_05.xlsx&amp;sheet=U0&amp;row=14512&amp;col=6&amp;number=3.8&amp;sourceID=14","3.8")</f>
        <v>3.8</v>
      </c>
      <c r="G14512" s="4" t="str">
        <f>HYPERLINK("http://141.218.60.56/~jnz1568/getInfo.php?workbook=10_05.xlsx&amp;sheet=U0&amp;row=14512&amp;col=7&amp;number=0.316&amp;sourceID=14","0.316")</f>
        <v>0.316</v>
      </c>
    </row>
    <row r="14513" spans="1:7">
      <c r="A14513" s="3"/>
      <c r="B14513" s="3"/>
      <c r="C14513" s="3"/>
      <c r="D14513" s="3"/>
      <c r="E14513" s="3">
        <v>10</v>
      </c>
      <c r="F14513" s="4" t="str">
        <f>HYPERLINK("http://141.218.60.56/~jnz1568/getInfo.php?workbook=10_05.xlsx&amp;sheet=U0&amp;row=14513&amp;col=6&amp;number=3.9&amp;sourceID=14","3.9")</f>
        <v>3.9</v>
      </c>
      <c r="G14513" s="4" t="str">
        <f>HYPERLINK("http://141.218.60.56/~jnz1568/getInfo.php?workbook=10_05.xlsx&amp;sheet=U0&amp;row=14513&amp;col=7&amp;number=0.304&amp;sourceID=14","0.304")</f>
        <v>0.304</v>
      </c>
    </row>
    <row r="14514" spans="1:7">
      <c r="A14514" s="3"/>
      <c r="B14514" s="3"/>
      <c r="C14514" s="3"/>
      <c r="D14514" s="3"/>
      <c r="E14514" s="3">
        <v>11</v>
      </c>
      <c r="F14514" s="4" t="str">
        <f>HYPERLINK("http://141.218.60.56/~jnz1568/getInfo.php?workbook=10_05.xlsx&amp;sheet=U0&amp;row=14514&amp;col=6&amp;number=4&amp;sourceID=14","4")</f>
        <v>4</v>
      </c>
      <c r="G14514" s="4" t="str">
        <f>HYPERLINK("http://141.218.60.56/~jnz1568/getInfo.php?workbook=10_05.xlsx&amp;sheet=U0&amp;row=14514&amp;col=7&amp;number=0.289&amp;sourceID=14","0.289")</f>
        <v>0.289</v>
      </c>
    </row>
    <row r="14515" spans="1:7">
      <c r="A14515" s="3"/>
      <c r="B14515" s="3"/>
      <c r="C14515" s="3"/>
      <c r="D14515" s="3"/>
      <c r="E14515" s="3">
        <v>12</v>
      </c>
      <c r="F14515" s="4" t="str">
        <f>HYPERLINK("http://141.218.60.56/~jnz1568/getInfo.php?workbook=10_05.xlsx&amp;sheet=U0&amp;row=14515&amp;col=6&amp;number=4.1&amp;sourceID=14","4.1")</f>
        <v>4.1</v>
      </c>
      <c r="G14515" s="4" t="str">
        <f>HYPERLINK("http://141.218.60.56/~jnz1568/getInfo.php?workbook=10_05.xlsx&amp;sheet=U0&amp;row=14515&amp;col=7&amp;number=0.273&amp;sourceID=14","0.273")</f>
        <v>0.273</v>
      </c>
    </row>
    <row r="14516" spans="1:7">
      <c r="A14516" s="3"/>
      <c r="B14516" s="3"/>
      <c r="C14516" s="3"/>
      <c r="D14516" s="3"/>
      <c r="E14516" s="3">
        <v>13</v>
      </c>
      <c r="F14516" s="4" t="str">
        <f>HYPERLINK("http://141.218.60.56/~jnz1568/getInfo.php?workbook=10_05.xlsx&amp;sheet=U0&amp;row=14516&amp;col=6&amp;number=4.2&amp;sourceID=14","4.2")</f>
        <v>4.2</v>
      </c>
      <c r="G14516" s="4" t="str">
        <f>HYPERLINK("http://141.218.60.56/~jnz1568/getInfo.php?workbook=10_05.xlsx&amp;sheet=U0&amp;row=14516&amp;col=7&amp;number=0.256&amp;sourceID=14","0.256")</f>
        <v>0.256</v>
      </c>
    </row>
    <row r="14517" spans="1:7">
      <c r="A14517" s="3"/>
      <c r="B14517" s="3"/>
      <c r="C14517" s="3"/>
      <c r="D14517" s="3"/>
      <c r="E14517" s="3">
        <v>14</v>
      </c>
      <c r="F14517" s="4" t="str">
        <f>HYPERLINK("http://141.218.60.56/~jnz1568/getInfo.php?workbook=10_05.xlsx&amp;sheet=U0&amp;row=14517&amp;col=6&amp;number=4.3&amp;sourceID=14","4.3")</f>
        <v>4.3</v>
      </c>
      <c r="G14517" s="4" t="str">
        <f>HYPERLINK("http://141.218.60.56/~jnz1568/getInfo.php?workbook=10_05.xlsx&amp;sheet=U0&amp;row=14517&amp;col=7&amp;number=0.239&amp;sourceID=14","0.239")</f>
        <v>0.239</v>
      </c>
    </row>
    <row r="14518" spans="1:7">
      <c r="A14518" s="3"/>
      <c r="B14518" s="3"/>
      <c r="C14518" s="3"/>
      <c r="D14518" s="3"/>
      <c r="E14518" s="3">
        <v>15</v>
      </c>
      <c r="F14518" s="4" t="str">
        <f>HYPERLINK("http://141.218.60.56/~jnz1568/getInfo.php?workbook=10_05.xlsx&amp;sheet=U0&amp;row=14518&amp;col=6&amp;number=4.4&amp;sourceID=14","4.4")</f>
        <v>4.4</v>
      </c>
      <c r="G14518" s="4" t="str">
        <f>HYPERLINK("http://141.218.60.56/~jnz1568/getInfo.php?workbook=10_05.xlsx&amp;sheet=U0&amp;row=14518&amp;col=7&amp;number=0.223&amp;sourceID=14","0.223")</f>
        <v>0.223</v>
      </c>
    </row>
    <row r="14519" spans="1:7">
      <c r="A14519" s="3"/>
      <c r="B14519" s="3"/>
      <c r="C14519" s="3"/>
      <c r="D14519" s="3"/>
      <c r="E14519" s="3">
        <v>16</v>
      </c>
      <c r="F14519" s="4" t="str">
        <f>HYPERLINK("http://141.218.60.56/~jnz1568/getInfo.php?workbook=10_05.xlsx&amp;sheet=U0&amp;row=14519&amp;col=6&amp;number=4.5&amp;sourceID=14","4.5")</f>
        <v>4.5</v>
      </c>
      <c r="G14519" s="4" t="str">
        <f>HYPERLINK("http://141.218.60.56/~jnz1568/getInfo.php?workbook=10_05.xlsx&amp;sheet=U0&amp;row=14519&amp;col=7&amp;number=0.207&amp;sourceID=14","0.207")</f>
        <v>0.207</v>
      </c>
    </row>
    <row r="14520" spans="1:7">
      <c r="A14520" s="3"/>
      <c r="B14520" s="3"/>
      <c r="C14520" s="3"/>
      <c r="D14520" s="3"/>
      <c r="E14520" s="3">
        <v>17</v>
      </c>
      <c r="F14520" s="4" t="str">
        <f>HYPERLINK("http://141.218.60.56/~jnz1568/getInfo.php?workbook=10_05.xlsx&amp;sheet=U0&amp;row=14520&amp;col=6&amp;number=4.6&amp;sourceID=14","4.6")</f>
        <v>4.6</v>
      </c>
      <c r="G14520" s="4" t="str">
        <f>HYPERLINK("http://141.218.60.56/~jnz1568/getInfo.php?workbook=10_05.xlsx&amp;sheet=U0&amp;row=14520&amp;col=7&amp;number=0.19&amp;sourceID=14","0.19")</f>
        <v>0.19</v>
      </c>
    </row>
    <row r="14521" spans="1:7">
      <c r="A14521" s="3"/>
      <c r="B14521" s="3"/>
      <c r="C14521" s="3"/>
      <c r="D14521" s="3"/>
      <c r="E14521" s="3">
        <v>18</v>
      </c>
      <c r="F14521" s="4" t="str">
        <f>HYPERLINK("http://141.218.60.56/~jnz1568/getInfo.php?workbook=10_05.xlsx&amp;sheet=U0&amp;row=14521&amp;col=6&amp;number=4.7&amp;sourceID=14","4.7")</f>
        <v>4.7</v>
      </c>
      <c r="G14521" s="4" t="str">
        <f>HYPERLINK("http://141.218.60.56/~jnz1568/getInfo.php?workbook=10_05.xlsx&amp;sheet=U0&amp;row=14521&amp;col=7&amp;number=0.172&amp;sourceID=14","0.172")</f>
        <v>0.172</v>
      </c>
    </row>
    <row r="14522" spans="1:7">
      <c r="A14522" s="3"/>
      <c r="B14522" s="3"/>
      <c r="C14522" s="3"/>
      <c r="D14522" s="3"/>
      <c r="E14522" s="3">
        <v>19</v>
      </c>
      <c r="F14522" s="4" t="str">
        <f>HYPERLINK("http://141.218.60.56/~jnz1568/getInfo.php?workbook=10_05.xlsx&amp;sheet=U0&amp;row=14522&amp;col=6&amp;number=4.8&amp;sourceID=14","4.8")</f>
        <v>4.8</v>
      </c>
      <c r="G14522" s="4" t="str">
        <f>HYPERLINK("http://141.218.60.56/~jnz1568/getInfo.php?workbook=10_05.xlsx&amp;sheet=U0&amp;row=14522&amp;col=7&amp;number=0.153&amp;sourceID=14","0.153")</f>
        <v>0.153</v>
      </c>
    </row>
    <row r="14523" spans="1:7">
      <c r="A14523" s="3"/>
      <c r="B14523" s="3"/>
      <c r="C14523" s="3"/>
      <c r="D14523" s="3"/>
      <c r="E14523" s="3">
        <v>20</v>
      </c>
      <c r="F14523" s="4" t="str">
        <f>HYPERLINK("http://141.218.60.56/~jnz1568/getInfo.php?workbook=10_05.xlsx&amp;sheet=U0&amp;row=14523&amp;col=6&amp;number=4.9&amp;sourceID=14","4.9")</f>
        <v>4.9</v>
      </c>
      <c r="G14523" s="4" t="str">
        <f>HYPERLINK("http://141.218.60.56/~jnz1568/getInfo.php?workbook=10_05.xlsx&amp;sheet=U0&amp;row=14523&amp;col=7&amp;number=0.135&amp;sourceID=14","0.135")</f>
        <v>0.135</v>
      </c>
    </row>
    <row r="14524" spans="1:7">
      <c r="A14524" s="3">
        <v>10</v>
      </c>
      <c r="B14524" s="3">
        <v>5</v>
      </c>
      <c r="C14524" s="3">
        <v>5</v>
      </c>
      <c r="D14524" s="3">
        <v>22</v>
      </c>
      <c r="E14524" s="3">
        <v>1</v>
      </c>
      <c r="F14524" s="4" t="str">
        <f>HYPERLINK("http://141.218.60.56/~jnz1568/getInfo.php?workbook=10_05.xlsx&amp;sheet=U0&amp;row=14524&amp;col=6&amp;number=3&amp;sourceID=14","3")</f>
        <v>3</v>
      </c>
      <c r="G14524" s="4" t="str">
        <f>HYPERLINK("http://141.218.60.56/~jnz1568/getInfo.php?workbook=10_05.xlsx&amp;sheet=U0&amp;row=14524&amp;col=7&amp;number=0.648&amp;sourceID=14","0.648")</f>
        <v>0.648</v>
      </c>
    </row>
    <row r="14525" spans="1:7">
      <c r="A14525" s="3"/>
      <c r="B14525" s="3"/>
      <c r="C14525" s="3"/>
      <c r="D14525" s="3"/>
      <c r="E14525" s="3">
        <v>2</v>
      </c>
      <c r="F14525" s="4" t="str">
        <f>HYPERLINK("http://141.218.60.56/~jnz1568/getInfo.php?workbook=10_05.xlsx&amp;sheet=U0&amp;row=14525&amp;col=6&amp;number=3.1&amp;sourceID=14","3.1")</f>
        <v>3.1</v>
      </c>
      <c r="G14525" s="4" t="str">
        <f>HYPERLINK("http://141.218.60.56/~jnz1568/getInfo.php?workbook=10_05.xlsx&amp;sheet=U0&amp;row=14525&amp;col=7&amp;number=0.647&amp;sourceID=14","0.647")</f>
        <v>0.647</v>
      </c>
    </row>
    <row r="14526" spans="1:7">
      <c r="A14526" s="3"/>
      <c r="B14526" s="3"/>
      <c r="C14526" s="3"/>
      <c r="D14526" s="3"/>
      <c r="E14526" s="3">
        <v>3</v>
      </c>
      <c r="F14526" s="4" t="str">
        <f>HYPERLINK("http://141.218.60.56/~jnz1568/getInfo.php?workbook=10_05.xlsx&amp;sheet=U0&amp;row=14526&amp;col=6&amp;number=3.2&amp;sourceID=14","3.2")</f>
        <v>3.2</v>
      </c>
      <c r="G14526" s="4" t="str">
        <f>HYPERLINK("http://141.218.60.56/~jnz1568/getInfo.php?workbook=10_05.xlsx&amp;sheet=U0&amp;row=14526&amp;col=7&amp;number=0.645&amp;sourceID=14","0.645")</f>
        <v>0.645</v>
      </c>
    </row>
    <row r="14527" spans="1:7">
      <c r="A14527" s="3"/>
      <c r="B14527" s="3"/>
      <c r="C14527" s="3"/>
      <c r="D14527" s="3"/>
      <c r="E14527" s="3">
        <v>4</v>
      </c>
      <c r="F14527" s="4" t="str">
        <f>HYPERLINK("http://141.218.60.56/~jnz1568/getInfo.php?workbook=10_05.xlsx&amp;sheet=U0&amp;row=14527&amp;col=6&amp;number=3.3&amp;sourceID=14","3.3")</f>
        <v>3.3</v>
      </c>
      <c r="G14527" s="4" t="str">
        <f>HYPERLINK("http://141.218.60.56/~jnz1568/getInfo.php?workbook=10_05.xlsx&amp;sheet=U0&amp;row=14527&amp;col=7&amp;number=0.643&amp;sourceID=14","0.643")</f>
        <v>0.643</v>
      </c>
    </row>
    <row r="14528" spans="1:7">
      <c r="A14528" s="3"/>
      <c r="B14528" s="3"/>
      <c r="C14528" s="3"/>
      <c r="D14528" s="3"/>
      <c r="E14528" s="3">
        <v>5</v>
      </c>
      <c r="F14528" s="4" t="str">
        <f>HYPERLINK("http://141.218.60.56/~jnz1568/getInfo.php?workbook=10_05.xlsx&amp;sheet=U0&amp;row=14528&amp;col=6&amp;number=3.4&amp;sourceID=14","3.4")</f>
        <v>3.4</v>
      </c>
      <c r="G14528" s="4" t="str">
        <f>HYPERLINK("http://141.218.60.56/~jnz1568/getInfo.php?workbook=10_05.xlsx&amp;sheet=U0&amp;row=14528&amp;col=7&amp;number=0.64&amp;sourceID=14","0.64")</f>
        <v>0.64</v>
      </c>
    </row>
    <row r="14529" spans="1:7">
      <c r="A14529" s="3"/>
      <c r="B14529" s="3"/>
      <c r="C14529" s="3"/>
      <c r="D14529" s="3"/>
      <c r="E14529" s="3">
        <v>6</v>
      </c>
      <c r="F14529" s="4" t="str">
        <f>HYPERLINK("http://141.218.60.56/~jnz1568/getInfo.php?workbook=10_05.xlsx&amp;sheet=U0&amp;row=14529&amp;col=6&amp;number=3.5&amp;sourceID=14","3.5")</f>
        <v>3.5</v>
      </c>
      <c r="G14529" s="4" t="str">
        <f>HYPERLINK("http://141.218.60.56/~jnz1568/getInfo.php?workbook=10_05.xlsx&amp;sheet=U0&amp;row=14529&amp;col=7&amp;number=0.637&amp;sourceID=14","0.637")</f>
        <v>0.637</v>
      </c>
    </row>
    <row r="14530" spans="1:7">
      <c r="A14530" s="3"/>
      <c r="B14530" s="3"/>
      <c r="C14530" s="3"/>
      <c r="D14530" s="3"/>
      <c r="E14530" s="3">
        <v>7</v>
      </c>
      <c r="F14530" s="4" t="str">
        <f>HYPERLINK("http://141.218.60.56/~jnz1568/getInfo.php?workbook=10_05.xlsx&amp;sheet=U0&amp;row=14530&amp;col=6&amp;number=3.6&amp;sourceID=14","3.6")</f>
        <v>3.6</v>
      </c>
      <c r="G14530" s="4" t="str">
        <f>HYPERLINK("http://141.218.60.56/~jnz1568/getInfo.php?workbook=10_05.xlsx&amp;sheet=U0&amp;row=14530&amp;col=7&amp;number=0.632&amp;sourceID=14","0.632")</f>
        <v>0.632</v>
      </c>
    </row>
    <row r="14531" spans="1:7">
      <c r="A14531" s="3"/>
      <c r="B14531" s="3"/>
      <c r="C14531" s="3"/>
      <c r="D14531" s="3"/>
      <c r="E14531" s="3">
        <v>8</v>
      </c>
      <c r="F14531" s="4" t="str">
        <f>HYPERLINK("http://141.218.60.56/~jnz1568/getInfo.php?workbook=10_05.xlsx&amp;sheet=U0&amp;row=14531&amp;col=6&amp;number=3.7&amp;sourceID=14","3.7")</f>
        <v>3.7</v>
      </c>
      <c r="G14531" s="4" t="str">
        <f>HYPERLINK("http://141.218.60.56/~jnz1568/getInfo.php?workbook=10_05.xlsx&amp;sheet=U0&amp;row=14531&amp;col=7&amp;number=0.627&amp;sourceID=14","0.627")</f>
        <v>0.627</v>
      </c>
    </row>
    <row r="14532" spans="1:7">
      <c r="A14532" s="3"/>
      <c r="B14532" s="3"/>
      <c r="C14532" s="3"/>
      <c r="D14532" s="3"/>
      <c r="E14532" s="3">
        <v>9</v>
      </c>
      <c r="F14532" s="4" t="str">
        <f>HYPERLINK("http://141.218.60.56/~jnz1568/getInfo.php?workbook=10_05.xlsx&amp;sheet=U0&amp;row=14532&amp;col=6&amp;number=3.8&amp;sourceID=14","3.8")</f>
        <v>3.8</v>
      </c>
      <c r="G14532" s="4" t="str">
        <f>HYPERLINK("http://141.218.60.56/~jnz1568/getInfo.php?workbook=10_05.xlsx&amp;sheet=U0&amp;row=14532&amp;col=7&amp;number=0.62&amp;sourceID=14","0.62")</f>
        <v>0.62</v>
      </c>
    </row>
    <row r="14533" spans="1:7">
      <c r="A14533" s="3"/>
      <c r="B14533" s="3"/>
      <c r="C14533" s="3"/>
      <c r="D14533" s="3"/>
      <c r="E14533" s="3">
        <v>10</v>
      </c>
      <c r="F14533" s="4" t="str">
        <f>HYPERLINK("http://141.218.60.56/~jnz1568/getInfo.php?workbook=10_05.xlsx&amp;sheet=U0&amp;row=14533&amp;col=6&amp;number=3.9&amp;sourceID=14","3.9")</f>
        <v>3.9</v>
      </c>
      <c r="G14533" s="4" t="str">
        <f>HYPERLINK("http://141.218.60.56/~jnz1568/getInfo.php?workbook=10_05.xlsx&amp;sheet=U0&amp;row=14533&amp;col=7&amp;number=0.611&amp;sourceID=14","0.611")</f>
        <v>0.611</v>
      </c>
    </row>
    <row r="14534" spans="1:7">
      <c r="A14534" s="3"/>
      <c r="B14534" s="3"/>
      <c r="C14534" s="3"/>
      <c r="D14534" s="3"/>
      <c r="E14534" s="3">
        <v>11</v>
      </c>
      <c r="F14534" s="4" t="str">
        <f>HYPERLINK("http://141.218.60.56/~jnz1568/getInfo.php?workbook=10_05.xlsx&amp;sheet=U0&amp;row=14534&amp;col=6&amp;number=4&amp;sourceID=14","4")</f>
        <v>4</v>
      </c>
      <c r="G14534" s="4" t="str">
        <f>HYPERLINK("http://141.218.60.56/~jnz1568/getInfo.php?workbook=10_05.xlsx&amp;sheet=U0&amp;row=14534&amp;col=7&amp;number=0.6&amp;sourceID=14","0.6")</f>
        <v>0.6</v>
      </c>
    </row>
    <row r="14535" spans="1:7">
      <c r="A14535" s="3"/>
      <c r="B14535" s="3"/>
      <c r="C14535" s="3"/>
      <c r="D14535" s="3"/>
      <c r="E14535" s="3">
        <v>12</v>
      </c>
      <c r="F14535" s="4" t="str">
        <f>HYPERLINK("http://141.218.60.56/~jnz1568/getInfo.php?workbook=10_05.xlsx&amp;sheet=U0&amp;row=14535&amp;col=6&amp;number=4.1&amp;sourceID=14","4.1")</f>
        <v>4.1</v>
      </c>
      <c r="G14535" s="4" t="str">
        <f>HYPERLINK("http://141.218.60.56/~jnz1568/getInfo.php?workbook=10_05.xlsx&amp;sheet=U0&amp;row=14535&amp;col=7&amp;number=0.588&amp;sourceID=14","0.588")</f>
        <v>0.588</v>
      </c>
    </row>
    <row r="14536" spans="1:7">
      <c r="A14536" s="3"/>
      <c r="B14536" s="3"/>
      <c r="C14536" s="3"/>
      <c r="D14536" s="3"/>
      <c r="E14536" s="3">
        <v>13</v>
      </c>
      <c r="F14536" s="4" t="str">
        <f>HYPERLINK("http://141.218.60.56/~jnz1568/getInfo.php?workbook=10_05.xlsx&amp;sheet=U0&amp;row=14536&amp;col=6&amp;number=4.2&amp;sourceID=14","4.2")</f>
        <v>4.2</v>
      </c>
      <c r="G14536" s="4" t="str">
        <f>HYPERLINK("http://141.218.60.56/~jnz1568/getInfo.php?workbook=10_05.xlsx&amp;sheet=U0&amp;row=14536&amp;col=7&amp;number=0.572&amp;sourceID=14","0.572")</f>
        <v>0.572</v>
      </c>
    </row>
    <row r="14537" spans="1:7">
      <c r="A14537" s="3"/>
      <c r="B14537" s="3"/>
      <c r="C14537" s="3"/>
      <c r="D14537" s="3"/>
      <c r="E14537" s="3">
        <v>14</v>
      </c>
      <c r="F14537" s="4" t="str">
        <f>HYPERLINK("http://141.218.60.56/~jnz1568/getInfo.php?workbook=10_05.xlsx&amp;sheet=U0&amp;row=14537&amp;col=6&amp;number=4.3&amp;sourceID=14","4.3")</f>
        <v>4.3</v>
      </c>
      <c r="G14537" s="4" t="str">
        <f>HYPERLINK("http://141.218.60.56/~jnz1568/getInfo.php?workbook=10_05.xlsx&amp;sheet=U0&amp;row=14537&amp;col=7&amp;number=0.553&amp;sourceID=14","0.553")</f>
        <v>0.553</v>
      </c>
    </row>
    <row r="14538" spans="1:7">
      <c r="A14538" s="3"/>
      <c r="B14538" s="3"/>
      <c r="C14538" s="3"/>
      <c r="D14538" s="3"/>
      <c r="E14538" s="3">
        <v>15</v>
      </c>
      <c r="F14538" s="4" t="str">
        <f>HYPERLINK("http://141.218.60.56/~jnz1568/getInfo.php?workbook=10_05.xlsx&amp;sheet=U0&amp;row=14538&amp;col=6&amp;number=4.4&amp;sourceID=14","4.4")</f>
        <v>4.4</v>
      </c>
      <c r="G14538" s="4" t="str">
        <f>HYPERLINK("http://141.218.60.56/~jnz1568/getInfo.php?workbook=10_05.xlsx&amp;sheet=U0&amp;row=14538&amp;col=7&amp;number=0.53&amp;sourceID=14","0.53")</f>
        <v>0.53</v>
      </c>
    </row>
    <row r="14539" spans="1:7">
      <c r="A14539" s="3"/>
      <c r="B14539" s="3"/>
      <c r="C14539" s="3"/>
      <c r="D14539" s="3"/>
      <c r="E14539" s="3">
        <v>16</v>
      </c>
      <c r="F14539" s="4" t="str">
        <f>HYPERLINK("http://141.218.60.56/~jnz1568/getInfo.php?workbook=10_05.xlsx&amp;sheet=U0&amp;row=14539&amp;col=6&amp;number=4.5&amp;sourceID=14","4.5")</f>
        <v>4.5</v>
      </c>
      <c r="G14539" s="4" t="str">
        <f>HYPERLINK("http://141.218.60.56/~jnz1568/getInfo.php?workbook=10_05.xlsx&amp;sheet=U0&amp;row=14539&amp;col=7&amp;number=0.504&amp;sourceID=14","0.504")</f>
        <v>0.504</v>
      </c>
    </row>
    <row r="14540" spans="1:7">
      <c r="A14540" s="3"/>
      <c r="B14540" s="3"/>
      <c r="C14540" s="3"/>
      <c r="D14540" s="3"/>
      <c r="E14540" s="3">
        <v>17</v>
      </c>
      <c r="F14540" s="4" t="str">
        <f>HYPERLINK("http://141.218.60.56/~jnz1568/getInfo.php?workbook=10_05.xlsx&amp;sheet=U0&amp;row=14540&amp;col=6&amp;number=4.6&amp;sourceID=14","4.6")</f>
        <v>4.6</v>
      </c>
      <c r="G14540" s="4" t="str">
        <f>HYPERLINK("http://141.218.60.56/~jnz1568/getInfo.php?workbook=10_05.xlsx&amp;sheet=U0&amp;row=14540&amp;col=7&amp;number=0.475&amp;sourceID=14","0.475")</f>
        <v>0.475</v>
      </c>
    </row>
    <row r="14541" spans="1:7">
      <c r="A14541" s="3"/>
      <c r="B14541" s="3"/>
      <c r="C14541" s="3"/>
      <c r="D14541" s="3"/>
      <c r="E14541" s="3">
        <v>18</v>
      </c>
      <c r="F14541" s="4" t="str">
        <f>HYPERLINK("http://141.218.60.56/~jnz1568/getInfo.php?workbook=10_05.xlsx&amp;sheet=U0&amp;row=14541&amp;col=6&amp;number=4.7&amp;sourceID=14","4.7")</f>
        <v>4.7</v>
      </c>
      <c r="G14541" s="4" t="str">
        <f>HYPERLINK("http://141.218.60.56/~jnz1568/getInfo.php?workbook=10_05.xlsx&amp;sheet=U0&amp;row=14541&amp;col=7&amp;number=0.443&amp;sourceID=14","0.443")</f>
        <v>0.443</v>
      </c>
    </row>
    <row r="14542" spans="1:7">
      <c r="A14542" s="3"/>
      <c r="B14542" s="3"/>
      <c r="C14542" s="3"/>
      <c r="D14542" s="3"/>
      <c r="E14542" s="3">
        <v>19</v>
      </c>
      <c r="F14542" s="4" t="str">
        <f>HYPERLINK("http://141.218.60.56/~jnz1568/getInfo.php?workbook=10_05.xlsx&amp;sheet=U0&amp;row=14542&amp;col=6&amp;number=4.8&amp;sourceID=14","4.8")</f>
        <v>4.8</v>
      </c>
      <c r="G14542" s="4" t="str">
        <f>HYPERLINK("http://141.218.60.56/~jnz1568/getInfo.php?workbook=10_05.xlsx&amp;sheet=U0&amp;row=14542&amp;col=7&amp;number=0.408&amp;sourceID=14","0.408")</f>
        <v>0.408</v>
      </c>
    </row>
    <row r="14543" spans="1:7">
      <c r="A14543" s="3"/>
      <c r="B14543" s="3"/>
      <c r="C14543" s="3"/>
      <c r="D14543" s="3"/>
      <c r="E14543" s="3">
        <v>20</v>
      </c>
      <c r="F14543" s="4" t="str">
        <f>HYPERLINK("http://141.218.60.56/~jnz1568/getInfo.php?workbook=10_05.xlsx&amp;sheet=U0&amp;row=14543&amp;col=6&amp;number=4.9&amp;sourceID=14","4.9")</f>
        <v>4.9</v>
      </c>
      <c r="G14543" s="4" t="str">
        <f>HYPERLINK("http://141.218.60.56/~jnz1568/getInfo.php?workbook=10_05.xlsx&amp;sheet=U0&amp;row=14543&amp;col=7&amp;number=0.371&amp;sourceID=14","0.371")</f>
        <v>0.371</v>
      </c>
    </row>
    <row r="14544" spans="1:7">
      <c r="A14544" s="3">
        <v>10</v>
      </c>
      <c r="B14544" s="3">
        <v>5</v>
      </c>
      <c r="C14544" s="3">
        <v>5</v>
      </c>
      <c r="D14544" s="3">
        <v>23</v>
      </c>
      <c r="E14544" s="3">
        <v>1</v>
      </c>
      <c r="F14544" s="4" t="str">
        <f>HYPERLINK("http://141.218.60.56/~jnz1568/getInfo.php?workbook=10_05.xlsx&amp;sheet=U0&amp;row=14544&amp;col=6&amp;number=3&amp;sourceID=14","3")</f>
        <v>3</v>
      </c>
      <c r="G14544" s="4" t="str">
        <f>HYPERLINK("http://141.218.60.56/~jnz1568/getInfo.php?workbook=10_05.xlsx&amp;sheet=U0&amp;row=14544&amp;col=7&amp;number=0.919&amp;sourceID=14","0.919")</f>
        <v>0.919</v>
      </c>
    </row>
    <row r="14545" spans="1:7">
      <c r="A14545" s="3"/>
      <c r="B14545" s="3"/>
      <c r="C14545" s="3"/>
      <c r="D14545" s="3"/>
      <c r="E14545" s="3">
        <v>2</v>
      </c>
      <c r="F14545" s="4" t="str">
        <f>HYPERLINK("http://141.218.60.56/~jnz1568/getInfo.php?workbook=10_05.xlsx&amp;sheet=U0&amp;row=14545&amp;col=6&amp;number=3.1&amp;sourceID=14","3.1")</f>
        <v>3.1</v>
      </c>
      <c r="G14545" s="4" t="str">
        <f>HYPERLINK("http://141.218.60.56/~jnz1568/getInfo.php?workbook=10_05.xlsx&amp;sheet=U0&amp;row=14545&amp;col=7&amp;number=0.918&amp;sourceID=14","0.918")</f>
        <v>0.918</v>
      </c>
    </row>
    <row r="14546" spans="1:7">
      <c r="A14546" s="3"/>
      <c r="B14546" s="3"/>
      <c r="C14546" s="3"/>
      <c r="D14546" s="3"/>
      <c r="E14546" s="3">
        <v>3</v>
      </c>
      <c r="F14546" s="4" t="str">
        <f>HYPERLINK("http://141.218.60.56/~jnz1568/getInfo.php?workbook=10_05.xlsx&amp;sheet=U0&amp;row=14546&amp;col=6&amp;number=3.2&amp;sourceID=14","3.2")</f>
        <v>3.2</v>
      </c>
      <c r="G14546" s="4" t="str">
        <f>HYPERLINK("http://141.218.60.56/~jnz1568/getInfo.php?workbook=10_05.xlsx&amp;sheet=U0&amp;row=14546&amp;col=7&amp;number=0.917&amp;sourceID=14","0.917")</f>
        <v>0.917</v>
      </c>
    </row>
    <row r="14547" spans="1:7">
      <c r="A14547" s="3"/>
      <c r="B14547" s="3"/>
      <c r="C14547" s="3"/>
      <c r="D14547" s="3"/>
      <c r="E14547" s="3">
        <v>4</v>
      </c>
      <c r="F14547" s="4" t="str">
        <f>HYPERLINK("http://141.218.60.56/~jnz1568/getInfo.php?workbook=10_05.xlsx&amp;sheet=U0&amp;row=14547&amp;col=6&amp;number=3.3&amp;sourceID=14","3.3")</f>
        <v>3.3</v>
      </c>
      <c r="G14547" s="4" t="str">
        <f>HYPERLINK("http://141.218.60.56/~jnz1568/getInfo.php?workbook=10_05.xlsx&amp;sheet=U0&amp;row=14547&amp;col=7&amp;number=0.916&amp;sourceID=14","0.916")</f>
        <v>0.916</v>
      </c>
    </row>
    <row r="14548" spans="1:7">
      <c r="A14548" s="3"/>
      <c r="B14548" s="3"/>
      <c r="C14548" s="3"/>
      <c r="D14548" s="3"/>
      <c r="E14548" s="3">
        <v>5</v>
      </c>
      <c r="F14548" s="4" t="str">
        <f>HYPERLINK("http://141.218.60.56/~jnz1568/getInfo.php?workbook=10_05.xlsx&amp;sheet=U0&amp;row=14548&amp;col=6&amp;number=3.4&amp;sourceID=14","3.4")</f>
        <v>3.4</v>
      </c>
      <c r="G14548" s="4" t="str">
        <f>HYPERLINK("http://141.218.60.56/~jnz1568/getInfo.php?workbook=10_05.xlsx&amp;sheet=U0&amp;row=14548&amp;col=7&amp;number=0.914&amp;sourceID=14","0.914")</f>
        <v>0.914</v>
      </c>
    </row>
    <row r="14549" spans="1:7">
      <c r="A14549" s="3"/>
      <c r="B14549" s="3"/>
      <c r="C14549" s="3"/>
      <c r="D14549" s="3"/>
      <c r="E14549" s="3">
        <v>6</v>
      </c>
      <c r="F14549" s="4" t="str">
        <f>HYPERLINK("http://141.218.60.56/~jnz1568/getInfo.php?workbook=10_05.xlsx&amp;sheet=U0&amp;row=14549&amp;col=6&amp;number=3.5&amp;sourceID=14","3.5")</f>
        <v>3.5</v>
      </c>
      <c r="G14549" s="4" t="str">
        <f>HYPERLINK("http://141.218.60.56/~jnz1568/getInfo.php?workbook=10_05.xlsx&amp;sheet=U0&amp;row=14549&amp;col=7&amp;number=0.912&amp;sourceID=14","0.912")</f>
        <v>0.912</v>
      </c>
    </row>
    <row r="14550" spans="1:7">
      <c r="A14550" s="3"/>
      <c r="B14550" s="3"/>
      <c r="C14550" s="3"/>
      <c r="D14550" s="3"/>
      <c r="E14550" s="3">
        <v>7</v>
      </c>
      <c r="F14550" s="4" t="str">
        <f>HYPERLINK("http://141.218.60.56/~jnz1568/getInfo.php?workbook=10_05.xlsx&amp;sheet=U0&amp;row=14550&amp;col=6&amp;number=3.6&amp;sourceID=14","3.6")</f>
        <v>3.6</v>
      </c>
      <c r="G14550" s="4" t="str">
        <f>HYPERLINK("http://141.218.60.56/~jnz1568/getInfo.php?workbook=10_05.xlsx&amp;sheet=U0&amp;row=14550&amp;col=7&amp;number=0.909&amp;sourceID=14","0.909")</f>
        <v>0.909</v>
      </c>
    </row>
    <row r="14551" spans="1:7">
      <c r="A14551" s="3"/>
      <c r="B14551" s="3"/>
      <c r="C14551" s="3"/>
      <c r="D14551" s="3"/>
      <c r="E14551" s="3">
        <v>8</v>
      </c>
      <c r="F14551" s="4" t="str">
        <f>HYPERLINK("http://141.218.60.56/~jnz1568/getInfo.php?workbook=10_05.xlsx&amp;sheet=U0&amp;row=14551&amp;col=6&amp;number=3.7&amp;sourceID=14","3.7")</f>
        <v>3.7</v>
      </c>
      <c r="G14551" s="4" t="str">
        <f>HYPERLINK("http://141.218.60.56/~jnz1568/getInfo.php?workbook=10_05.xlsx&amp;sheet=U0&amp;row=14551&amp;col=7&amp;number=0.905&amp;sourceID=14","0.905")</f>
        <v>0.905</v>
      </c>
    </row>
    <row r="14552" spans="1:7">
      <c r="A14552" s="3"/>
      <c r="B14552" s="3"/>
      <c r="C14552" s="3"/>
      <c r="D14552" s="3"/>
      <c r="E14552" s="3">
        <v>9</v>
      </c>
      <c r="F14552" s="4" t="str">
        <f>HYPERLINK("http://141.218.60.56/~jnz1568/getInfo.php?workbook=10_05.xlsx&amp;sheet=U0&amp;row=14552&amp;col=6&amp;number=3.8&amp;sourceID=14","3.8")</f>
        <v>3.8</v>
      </c>
      <c r="G14552" s="4" t="str">
        <f>HYPERLINK("http://141.218.60.56/~jnz1568/getInfo.php?workbook=10_05.xlsx&amp;sheet=U0&amp;row=14552&amp;col=7&amp;number=0.901&amp;sourceID=14","0.901")</f>
        <v>0.901</v>
      </c>
    </row>
    <row r="14553" spans="1:7">
      <c r="A14553" s="3"/>
      <c r="B14553" s="3"/>
      <c r="C14553" s="3"/>
      <c r="D14553" s="3"/>
      <c r="E14553" s="3">
        <v>10</v>
      </c>
      <c r="F14553" s="4" t="str">
        <f>HYPERLINK("http://141.218.60.56/~jnz1568/getInfo.php?workbook=10_05.xlsx&amp;sheet=U0&amp;row=14553&amp;col=6&amp;number=3.9&amp;sourceID=14","3.9")</f>
        <v>3.9</v>
      </c>
      <c r="G14553" s="4" t="str">
        <f>HYPERLINK("http://141.218.60.56/~jnz1568/getInfo.php?workbook=10_05.xlsx&amp;sheet=U0&amp;row=14553&amp;col=7&amp;number=0.895&amp;sourceID=14","0.895")</f>
        <v>0.895</v>
      </c>
    </row>
    <row r="14554" spans="1:7">
      <c r="A14554" s="3"/>
      <c r="B14554" s="3"/>
      <c r="C14554" s="3"/>
      <c r="D14554" s="3"/>
      <c r="E14554" s="3">
        <v>11</v>
      </c>
      <c r="F14554" s="4" t="str">
        <f>HYPERLINK("http://141.218.60.56/~jnz1568/getInfo.php?workbook=10_05.xlsx&amp;sheet=U0&amp;row=14554&amp;col=6&amp;number=4&amp;sourceID=14","4")</f>
        <v>4</v>
      </c>
      <c r="G14554" s="4" t="str">
        <f>HYPERLINK("http://141.218.60.56/~jnz1568/getInfo.php?workbook=10_05.xlsx&amp;sheet=U0&amp;row=14554&amp;col=7&amp;number=0.888&amp;sourceID=14","0.888")</f>
        <v>0.888</v>
      </c>
    </row>
    <row r="14555" spans="1:7">
      <c r="A14555" s="3"/>
      <c r="B14555" s="3"/>
      <c r="C14555" s="3"/>
      <c r="D14555" s="3"/>
      <c r="E14555" s="3">
        <v>12</v>
      </c>
      <c r="F14555" s="4" t="str">
        <f>HYPERLINK("http://141.218.60.56/~jnz1568/getInfo.php?workbook=10_05.xlsx&amp;sheet=U0&amp;row=14555&amp;col=6&amp;number=4.1&amp;sourceID=14","4.1")</f>
        <v>4.1</v>
      </c>
      <c r="G14555" s="4" t="str">
        <f>HYPERLINK("http://141.218.60.56/~jnz1568/getInfo.php?workbook=10_05.xlsx&amp;sheet=U0&amp;row=14555&amp;col=7&amp;number=0.879&amp;sourceID=14","0.879")</f>
        <v>0.879</v>
      </c>
    </row>
    <row r="14556" spans="1:7">
      <c r="A14556" s="3"/>
      <c r="B14556" s="3"/>
      <c r="C14556" s="3"/>
      <c r="D14556" s="3"/>
      <c r="E14556" s="3">
        <v>13</v>
      </c>
      <c r="F14556" s="4" t="str">
        <f>HYPERLINK("http://141.218.60.56/~jnz1568/getInfo.php?workbook=10_05.xlsx&amp;sheet=U0&amp;row=14556&amp;col=6&amp;number=4.2&amp;sourceID=14","4.2")</f>
        <v>4.2</v>
      </c>
      <c r="G14556" s="4" t="str">
        <f>HYPERLINK("http://141.218.60.56/~jnz1568/getInfo.php?workbook=10_05.xlsx&amp;sheet=U0&amp;row=14556&amp;col=7&amp;number=0.867&amp;sourceID=14","0.867")</f>
        <v>0.867</v>
      </c>
    </row>
    <row r="14557" spans="1:7">
      <c r="A14557" s="3"/>
      <c r="B14557" s="3"/>
      <c r="C14557" s="3"/>
      <c r="D14557" s="3"/>
      <c r="E14557" s="3">
        <v>14</v>
      </c>
      <c r="F14557" s="4" t="str">
        <f>HYPERLINK("http://141.218.60.56/~jnz1568/getInfo.php?workbook=10_05.xlsx&amp;sheet=U0&amp;row=14557&amp;col=6&amp;number=4.3&amp;sourceID=14","4.3")</f>
        <v>4.3</v>
      </c>
      <c r="G14557" s="4" t="str">
        <f>HYPERLINK("http://141.218.60.56/~jnz1568/getInfo.php?workbook=10_05.xlsx&amp;sheet=U0&amp;row=14557&amp;col=7&amp;number=0.852&amp;sourceID=14","0.852")</f>
        <v>0.852</v>
      </c>
    </row>
    <row r="14558" spans="1:7">
      <c r="A14558" s="3"/>
      <c r="B14558" s="3"/>
      <c r="C14558" s="3"/>
      <c r="D14558" s="3"/>
      <c r="E14558" s="3">
        <v>15</v>
      </c>
      <c r="F14558" s="4" t="str">
        <f>HYPERLINK("http://141.218.60.56/~jnz1568/getInfo.php?workbook=10_05.xlsx&amp;sheet=U0&amp;row=14558&amp;col=6&amp;number=4.4&amp;sourceID=14","4.4")</f>
        <v>4.4</v>
      </c>
      <c r="G14558" s="4" t="str">
        <f>HYPERLINK("http://141.218.60.56/~jnz1568/getInfo.php?workbook=10_05.xlsx&amp;sheet=U0&amp;row=14558&amp;col=7&amp;number=0.833&amp;sourceID=14","0.833")</f>
        <v>0.833</v>
      </c>
    </row>
    <row r="14559" spans="1:7">
      <c r="A14559" s="3"/>
      <c r="B14559" s="3"/>
      <c r="C14559" s="3"/>
      <c r="D14559" s="3"/>
      <c r="E14559" s="3">
        <v>16</v>
      </c>
      <c r="F14559" s="4" t="str">
        <f>HYPERLINK("http://141.218.60.56/~jnz1568/getInfo.php?workbook=10_05.xlsx&amp;sheet=U0&amp;row=14559&amp;col=6&amp;number=4.5&amp;sourceID=14","4.5")</f>
        <v>4.5</v>
      </c>
      <c r="G14559" s="4" t="str">
        <f>HYPERLINK("http://141.218.60.56/~jnz1568/getInfo.php?workbook=10_05.xlsx&amp;sheet=U0&amp;row=14559&amp;col=7&amp;number=0.807&amp;sourceID=14","0.807")</f>
        <v>0.807</v>
      </c>
    </row>
    <row r="14560" spans="1:7">
      <c r="A14560" s="3"/>
      <c r="B14560" s="3"/>
      <c r="C14560" s="3"/>
      <c r="D14560" s="3"/>
      <c r="E14560" s="3">
        <v>17</v>
      </c>
      <c r="F14560" s="4" t="str">
        <f>HYPERLINK("http://141.218.60.56/~jnz1568/getInfo.php?workbook=10_05.xlsx&amp;sheet=U0&amp;row=14560&amp;col=6&amp;number=4.6&amp;sourceID=14","4.6")</f>
        <v>4.6</v>
      </c>
      <c r="G14560" s="4" t="str">
        <f>HYPERLINK("http://141.218.60.56/~jnz1568/getInfo.php?workbook=10_05.xlsx&amp;sheet=U0&amp;row=14560&amp;col=7&amp;number=0.771&amp;sourceID=14","0.771")</f>
        <v>0.771</v>
      </c>
    </row>
    <row r="14561" spans="1:7">
      <c r="A14561" s="3"/>
      <c r="B14561" s="3"/>
      <c r="C14561" s="3"/>
      <c r="D14561" s="3"/>
      <c r="E14561" s="3">
        <v>18</v>
      </c>
      <c r="F14561" s="4" t="str">
        <f>HYPERLINK("http://141.218.60.56/~jnz1568/getInfo.php?workbook=10_05.xlsx&amp;sheet=U0&amp;row=14561&amp;col=6&amp;number=4.7&amp;sourceID=14","4.7")</f>
        <v>4.7</v>
      </c>
      <c r="G14561" s="4" t="str">
        <f>HYPERLINK("http://141.218.60.56/~jnz1568/getInfo.php?workbook=10_05.xlsx&amp;sheet=U0&amp;row=14561&amp;col=7&amp;number=0.725&amp;sourceID=14","0.725")</f>
        <v>0.725</v>
      </c>
    </row>
    <row r="14562" spans="1:7">
      <c r="A14562" s="3"/>
      <c r="B14562" s="3"/>
      <c r="C14562" s="3"/>
      <c r="D14562" s="3"/>
      <c r="E14562" s="3">
        <v>19</v>
      </c>
      <c r="F14562" s="4" t="str">
        <f>HYPERLINK("http://141.218.60.56/~jnz1568/getInfo.php?workbook=10_05.xlsx&amp;sheet=U0&amp;row=14562&amp;col=6&amp;number=4.8&amp;sourceID=14","4.8")</f>
        <v>4.8</v>
      </c>
      <c r="G14562" s="4" t="str">
        <f>HYPERLINK("http://141.218.60.56/~jnz1568/getInfo.php?workbook=10_05.xlsx&amp;sheet=U0&amp;row=14562&amp;col=7&amp;number=0.669&amp;sourceID=14","0.669")</f>
        <v>0.669</v>
      </c>
    </row>
    <row r="14563" spans="1:7">
      <c r="A14563" s="3"/>
      <c r="B14563" s="3"/>
      <c r="C14563" s="3"/>
      <c r="D14563" s="3"/>
      <c r="E14563" s="3">
        <v>20</v>
      </c>
      <c r="F14563" s="4" t="str">
        <f>HYPERLINK("http://141.218.60.56/~jnz1568/getInfo.php?workbook=10_05.xlsx&amp;sheet=U0&amp;row=14563&amp;col=6&amp;number=4.9&amp;sourceID=14","4.9")</f>
        <v>4.9</v>
      </c>
      <c r="G14563" s="4" t="str">
        <f>HYPERLINK("http://141.218.60.56/~jnz1568/getInfo.php?workbook=10_05.xlsx&amp;sheet=U0&amp;row=14563&amp;col=7&amp;number=0.607&amp;sourceID=14","0.607")</f>
        <v>0.607</v>
      </c>
    </row>
    <row r="14564" spans="1:7">
      <c r="A14564" s="3">
        <v>10</v>
      </c>
      <c r="B14564" s="3">
        <v>5</v>
      </c>
      <c r="C14564" s="3">
        <v>5</v>
      </c>
      <c r="D14564" s="3">
        <v>24</v>
      </c>
      <c r="E14564" s="3">
        <v>1</v>
      </c>
      <c r="F14564" s="4" t="str">
        <f>HYPERLINK("http://141.218.60.56/~jnz1568/getInfo.php?workbook=10_05.xlsx&amp;sheet=U0&amp;row=14564&amp;col=6&amp;number=3&amp;sourceID=14","3")</f>
        <v>3</v>
      </c>
      <c r="G14564" s="4" t="str">
        <f>HYPERLINK("http://141.218.60.56/~jnz1568/getInfo.php?workbook=10_05.xlsx&amp;sheet=U0&amp;row=14564&amp;col=7&amp;number=0.101&amp;sourceID=14","0.101")</f>
        <v>0.101</v>
      </c>
    </row>
    <row r="14565" spans="1:7">
      <c r="A14565" s="3"/>
      <c r="B14565" s="3"/>
      <c r="C14565" s="3"/>
      <c r="D14565" s="3"/>
      <c r="E14565" s="3">
        <v>2</v>
      </c>
      <c r="F14565" s="4" t="str">
        <f>HYPERLINK("http://141.218.60.56/~jnz1568/getInfo.php?workbook=10_05.xlsx&amp;sheet=U0&amp;row=14565&amp;col=6&amp;number=3.1&amp;sourceID=14","3.1")</f>
        <v>3.1</v>
      </c>
      <c r="G14565" s="4" t="str">
        <f>HYPERLINK("http://141.218.60.56/~jnz1568/getInfo.php?workbook=10_05.xlsx&amp;sheet=U0&amp;row=14565&amp;col=7&amp;number=0.101&amp;sourceID=14","0.101")</f>
        <v>0.101</v>
      </c>
    </row>
    <row r="14566" spans="1:7">
      <c r="A14566" s="3"/>
      <c r="B14566" s="3"/>
      <c r="C14566" s="3"/>
      <c r="D14566" s="3"/>
      <c r="E14566" s="3">
        <v>3</v>
      </c>
      <c r="F14566" s="4" t="str">
        <f>HYPERLINK("http://141.218.60.56/~jnz1568/getInfo.php?workbook=10_05.xlsx&amp;sheet=U0&amp;row=14566&amp;col=6&amp;number=3.2&amp;sourceID=14","3.2")</f>
        <v>3.2</v>
      </c>
      <c r="G14566" s="4" t="str">
        <f>HYPERLINK("http://141.218.60.56/~jnz1568/getInfo.php?workbook=10_05.xlsx&amp;sheet=U0&amp;row=14566&amp;col=7&amp;number=0.102&amp;sourceID=14","0.102")</f>
        <v>0.102</v>
      </c>
    </row>
    <row r="14567" spans="1:7">
      <c r="A14567" s="3"/>
      <c r="B14567" s="3"/>
      <c r="C14567" s="3"/>
      <c r="D14567" s="3"/>
      <c r="E14567" s="3">
        <v>4</v>
      </c>
      <c r="F14567" s="4" t="str">
        <f>HYPERLINK("http://141.218.60.56/~jnz1568/getInfo.php?workbook=10_05.xlsx&amp;sheet=U0&amp;row=14567&amp;col=6&amp;number=3.3&amp;sourceID=14","3.3")</f>
        <v>3.3</v>
      </c>
      <c r="G14567" s="4" t="str">
        <f>HYPERLINK("http://141.218.60.56/~jnz1568/getInfo.php?workbook=10_05.xlsx&amp;sheet=U0&amp;row=14567&amp;col=7&amp;number=0.102&amp;sourceID=14","0.102")</f>
        <v>0.102</v>
      </c>
    </row>
    <row r="14568" spans="1:7">
      <c r="A14568" s="3"/>
      <c r="B14568" s="3"/>
      <c r="C14568" s="3"/>
      <c r="D14568" s="3"/>
      <c r="E14568" s="3">
        <v>5</v>
      </c>
      <c r="F14568" s="4" t="str">
        <f>HYPERLINK("http://141.218.60.56/~jnz1568/getInfo.php?workbook=10_05.xlsx&amp;sheet=U0&amp;row=14568&amp;col=6&amp;number=3.4&amp;sourceID=14","3.4")</f>
        <v>3.4</v>
      </c>
      <c r="G14568" s="4" t="str">
        <f>HYPERLINK("http://141.218.60.56/~jnz1568/getInfo.php?workbook=10_05.xlsx&amp;sheet=U0&amp;row=14568&amp;col=7&amp;number=0.103&amp;sourceID=14","0.103")</f>
        <v>0.103</v>
      </c>
    </row>
    <row r="14569" spans="1:7">
      <c r="A14569" s="3"/>
      <c r="B14569" s="3"/>
      <c r="C14569" s="3"/>
      <c r="D14569" s="3"/>
      <c r="E14569" s="3">
        <v>6</v>
      </c>
      <c r="F14569" s="4" t="str">
        <f>HYPERLINK("http://141.218.60.56/~jnz1568/getInfo.php?workbook=10_05.xlsx&amp;sheet=U0&amp;row=14569&amp;col=6&amp;number=3.5&amp;sourceID=14","3.5")</f>
        <v>3.5</v>
      </c>
      <c r="G14569" s="4" t="str">
        <f>HYPERLINK("http://141.218.60.56/~jnz1568/getInfo.php?workbook=10_05.xlsx&amp;sheet=U0&amp;row=14569&amp;col=7&amp;number=0.104&amp;sourceID=14","0.104")</f>
        <v>0.104</v>
      </c>
    </row>
    <row r="14570" spans="1:7">
      <c r="A14570" s="3"/>
      <c r="B14570" s="3"/>
      <c r="C14570" s="3"/>
      <c r="D14570" s="3"/>
      <c r="E14570" s="3">
        <v>7</v>
      </c>
      <c r="F14570" s="4" t="str">
        <f>HYPERLINK("http://141.218.60.56/~jnz1568/getInfo.php?workbook=10_05.xlsx&amp;sheet=U0&amp;row=14570&amp;col=6&amp;number=3.6&amp;sourceID=14","3.6")</f>
        <v>3.6</v>
      </c>
      <c r="G14570" s="4" t="str">
        <f>HYPERLINK("http://141.218.60.56/~jnz1568/getInfo.php?workbook=10_05.xlsx&amp;sheet=U0&amp;row=14570&amp;col=7&amp;number=0.105&amp;sourceID=14","0.105")</f>
        <v>0.105</v>
      </c>
    </row>
    <row r="14571" spans="1:7">
      <c r="A14571" s="3"/>
      <c r="B14571" s="3"/>
      <c r="C14571" s="3"/>
      <c r="D14571" s="3"/>
      <c r="E14571" s="3">
        <v>8</v>
      </c>
      <c r="F14571" s="4" t="str">
        <f>HYPERLINK("http://141.218.60.56/~jnz1568/getInfo.php?workbook=10_05.xlsx&amp;sheet=U0&amp;row=14571&amp;col=6&amp;number=3.7&amp;sourceID=14","3.7")</f>
        <v>3.7</v>
      </c>
      <c r="G14571" s="4" t="str">
        <f>HYPERLINK("http://141.218.60.56/~jnz1568/getInfo.php?workbook=10_05.xlsx&amp;sheet=U0&amp;row=14571&amp;col=7&amp;number=0.106&amp;sourceID=14","0.106")</f>
        <v>0.106</v>
      </c>
    </row>
    <row r="14572" spans="1:7">
      <c r="A14572" s="3"/>
      <c r="B14572" s="3"/>
      <c r="C14572" s="3"/>
      <c r="D14572" s="3"/>
      <c r="E14572" s="3">
        <v>9</v>
      </c>
      <c r="F14572" s="4" t="str">
        <f>HYPERLINK("http://141.218.60.56/~jnz1568/getInfo.php?workbook=10_05.xlsx&amp;sheet=U0&amp;row=14572&amp;col=6&amp;number=3.8&amp;sourceID=14","3.8")</f>
        <v>3.8</v>
      </c>
      <c r="G14572" s="4" t="str">
        <f>HYPERLINK("http://141.218.60.56/~jnz1568/getInfo.php?workbook=10_05.xlsx&amp;sheet=U0&amp;row=14572&amp;col=7&amp;number=0.108&amp;sourceID=14","0.108")</f>
        <v>0.108</v>
      </c>
    </row>
    <row r="14573" spans="1:7">
      <c r="A14573" s="3"/>
      <c r="B14573" s="3"/>
      <c r="C14573" s="3"/>
      <c r="D14573" s="3"/>
      <c r="E14573" s="3">
        <v>10</v>
      </c>
      <c r="F14573" s="4" t="str">
        <f>HYPERLINK("http://141.218.60.56/~jnz1568/getInfo.php?workbook=10_05.xlsx&amp;sheet=U0&amp;row=14573&amp;col=6&amp;number=3.9&amp;sourceID=14","3.9")</f>
        <v>3.9</v>
      </c>
      <c r="G14573" s="4" t="str">
        <f>HYPERLINK("http://141.218.60.56/~jnz1568/getInfo.php?workbook=10_05.xlsx&amp;sheet=U0&amp;row=14573&amp;col=7&amp;number=0.109&amp;sourceID=14","0.109")</f>
        <v>0.109</v>
      </c>
    </row>
    <row r="14574" spans="1:7">
      <c r="A14574" s="3"/>
      <c r="B14574" s="3"/>
      <c r="C14574" s="3"/>
      <c r="D14574" s="3"/>
      <c r="E14574" s="3">
        <v>11</v>
      </c>
      <c r="F14574" s="4" t="str">
        <f>HYPERLINK("http://141.218.60.56/~jnz1568/getInfo.php?workbook=10_05.xlsx&amp;sheet=U0&amp;row=14574&amp;col=6&amp;number=4&amp;sourceID=14","4")</f>
        <v>4</v>
      </c>
      <c r="G14574" s="4" t="str">
        <f>HYPERLINK("http://141.218.60.56/~jnz1568/getInfo.php?workbook=10_05.xlsx&amp;sheet=U0&amp;row=14574&amp;col=7&amp;number=0.111&amp;sourceID=14","0.111")</f>
        <v>0.111</v>
      </c>
    </row>
    <row r="14575" spans="1:7">
      <c r="A14575" s="3"/>
      <c r="B14575" s="3"/>
      <c r="C14575" s="3"/>
      <c r="D14575" s="3"/>
      <c r="E14575" s="3">
        <v>12</v>
      </c>
      <c r="F14575" s="4" t="str">
        <f>HYPERLINK("http://141.218.60.56/~jnz1568/getInfo.php?workbook=10_05.xlsx&amp;sheet=U0&amp;row=14575&amp;col=6&amp;number=4.1&amp;sourceID=14","4.1")</f>
        <v>4.1</v>
      </c>
      <c r="G14575" s="4" t="str">
        <f>HYPERLINK("http://141.218.60.56/~jnz1568/getInfo.php?workbook=10_05.xlsx&amp;sheet=U0&amp;row=14575&amp;col=7&amp;number=0.112&amp;sourceID=14","0.112")</f>
        <v>0.112</v>
      </c>
    </row>
    <row r="14576" spans="1:7">
      <c r="A14576" s="3"/>
      <c r="B14576" s="3"/>
      <c r="C14576" s="3"/>
      <c r="D14576" s="3"/>
      <c r="E14576" s="3">
        <v>13</v>
      </c>
      <c r="F14576" s="4" t="str">
        <f>HYPERLINK("http://141.218.60.56/~jnz1568/getInfo.php?workbook=10_05.xlsx&amp;sheet=U0&amp;row=14576&amp;col=6&amp;number=4.2&amp;sourceID=14","4.2")</f>
        <v>4.2</v>
      </c>
      <c r="G14576" s="4" t="str">
        <f>HYPERLINK("http://141.218.60.56/~jnz1568/getInfo.php?workbook=10_05.xlsx&amp;sheet=U0&amp;row=14576&amp;col=7&amp;number=0.113&amp;sourceID=14","0.113")</f>
        <v>0.113</v>
      </c>
    </row>
    <row r="14577" spans="1:7">
      <c r="A14577" s="3"/>
      <c r="B14577" s="3"/>
      <c r="C14577" s="3"/>
      <c r="D14577" s="3"/>
      <c r="E14577" s="3">
        <v>14</v>
      </c>
      <c r="F14577" s="4" t="str">
        <f>HYPERLINK("http://141.218.60.56/~jnz1568/getInfo.php?workbook=10_05.xlsx&amp;sheet=U0&amp;row=14577&amp;col=6&amp;number=4.3&amp;sourceID=14","4.3")</f>
        <v>4.3</v>
      </c>
      <c r="G14577" s="4" t="str">
        <f>HYPERLINK("http://141.218.60.56/~jnz1568/getInfo.php?workbook=10_05.xlsx&amp;sheet=U0&amp;row=14577&amp;col=7&amp;number=0.112&amp;sourceID=14","0.112")</f>
        <v>0.112</v>
      </c>
    </row>
    <row r="14578" spans="1:7">
      <c r="A14578" s="3"/>
      <c r="B14578" s="3"/>
      <c r="C14578" s="3"/>
      <c r="D14578" s="3"/>
      <c r="E14578" s="3">
        <v>15</v>
      </c>
      <c r="F14578" s="4" t="str">
        <f>HYPERLINK("http://141.218.60.56/~jnz1568/getInfo.php?workbook=10_05.xlsx&amp;sheet=U0&amp;row=14578&amp;col=6&amp;number=4.4&amp;sourceID=14","4.4")</f>
        <v>4.4</v>
      </c>
      <c r="G14578" s="4" t="str">
        <f>HYPERLINK("http://141.218.60.56/~jnz1568/getInfo.php?workbook=10_05.xlsx&amp;sheet=U0&amp;row=14578&amp;col=7&amp;number=0.109&amp;sourceID=14","0.109")</f>
        <v>0.109</v>
      </c>
    </row>
    <row r="14579" spans="1:7">
      <c r="A14579" s="3"/>
      <c r="B14579" s="3"/>
      <c r="C14579" s="3"/>
      <c r="D14579" s="3"/>
      <c r="E14579" s="3">
        <v>16</v>
      </c>
      <c r="F14579" s="4" t="str">
        <f>HYPERLINK("http://141.218.60.56/~jnz1568/getInfo.php?workbook=10_05.xlsx&amp;sheet=U0&amp;row=14579&amp;col=6&amp;number=4.5&amp;sourceID=14","4.5")</f>
        <v>4.5</v>
      </c>
      <c r="G14579" s="4" t="str">
        <f>HYPERLINK("http://141.218.60.56/~jnz1568/getInfo.php?workbook=10_05.xlsx&amp;sheet=U0&amp;row=14579&amp;col=7&amp;number=0.104&amp;sourceID=14","0.104")</f>
        <v>0.104</v>
      </c>
    </row>
    <row r="14580" spans="1:7">
      <c r="A14580" s="3"/>
      <c r="B14580" s="3"/>
      <c r="C14580" s="3"/>
      <c r="D14580" s="3"/>
      <c r="E14580" s="3">
        <v>17</v>
      </c>
      <c r="F14580" s="4" t="str">
        <f>HYPERLINK("http://141.218.60.56/~jnz1568/getInfo.php?workbook=10_05.xlsx&amp;sheet=U0&amp;row=14580&amp;col=6&amp;number=4.6&amp;sourceID=14","4.6")</f>
        <v>4.6</v>
      </c>
      <c r="G14580" s="4" t="str">
        <f>HYPERLINK("http://141.218.60.56/~jnz1568/getInfo.php?workbook=10_05.xlsx&amp;sheet=U0&amp;row=14580&amp;col=7&amp;number=0.0975&amp;sourceID=14","0.0975")</f>
        <v>0.0975</v>
      </c>
    </row>
    <row r="14581" spans="1:7">
      <c r="A14581" s="3"/>
      <c r="B14581" s="3"/>
      <c r="C14581" s="3"/>
      <c r="D14581" s="3"/>
      <c r="E14581" s="3">
        <v>18</v>
      </c>
      <c r="F14581" s="4" t="str">
        <f>HYPERLINK("http://141.218.60.56/~jnz1568/getInfo.php?workbook=10_05.xlsx&amp;sheet=U0&amp;row=14581&amp;col=6&amp;number=4.7&amp;sourceID=14","4.7")</f>
        <v>4.7</v>
      </c>
      <c r="G14581" s="4" t="str">
        <f>HYPERLINK("http://141.218.60.56/~jnz1568/getInfo.php?workbook=10_05.xlsx&amp;sheet=U0&amp;row=14581&amp;col=7&amp;number=0.09&amp;sourceID=14","0.09")</f>
        <v>0.09</v>
      </c>
    </row>
    <row r="14582" spans="1:7">
      <c r="A14582" s="3"/>
      <c r="B14582" s="3"/>
      <c r="C14582" s="3"/>
      <c r="D14582" s="3"/>
      <c r="E14582" s="3">
        <v>19</v>
      </c>
      <c r="F14582" s="4" t="str">
        <f>HYPERLINK("http://141.218.60.56/~jnz1568/getInfo.php?workbook=10_05.xlsx&amp;sheet=U0&amp;row=14582&amp;col=6&amp;number=4.8&amp;sourceID=14","4.8")</f>
        <v>4.8</v>
      </c>
      <c r="G14582" s="4" t="str">
        <f>HYPERLINK("http://141.218.60.56/~jnz1568/getInfo.php?workbook=10_05.xlsx&amp;sheet=U0&amp;row=14582&amp;col=7&amp;number=0.0819&amp;sourceID=14","0.0819")</f>
        <v>0.0819</v>
      </c>
    </row>
    <row r="14583" spans="1:7">
      <c r="A14583" s="3"/>
      <c r="B14583" s="3"/>
      <c r="C14583" s="3"/>
      <c r="D14583" s="3"/>
      <c r="E14583" s="3">
        <v>20</v>
      </c>
      <c r="F14583" s="4" t="str">
        <f>HYPERLINK("http://141.218.60.56/~jnz1568/getInfo.php?workbook=10_05.xlsx&amp;sheet=U0&amp;row=14583&amp;col=6&amp;number=4.9&amp;sourceID=14","4.9")</f>
        <v>4.9</v>
      </c>
      <c r="G14583" s="4" t="str">
        <f>HYPERLINK("http://141.218.60.56/~jnz1568/getInfo.php?workbook=10_05.xlsx&amp;sheet=U0&amp;row=14583&amp;col=7&amp;number=0.0734&amp;sourceID=14","0.0734")</f>
        <v>0.0734</v>
      </c>
    </row>
    <row r="14584" spans="1:7">
      <c r="A14584" s="3">
        <v>10</v>
      </c>
      <c r="B14584" s="3">
        <v>5</v>
      </c>
      <c r="C14584" s="3">
        <v>5</v>
      </c>
      <c r="D14584" s="3">
        <v>25</v>
      </c>
      <c r="E14584" s="3">
        <v>1</v>
      </c>
      <c r="F14584" s="4" t="str">
        <f>HYPERLINK("http://141.218.60.56/~jnz1568/getInfo.php?workbook=10_05.xlsx&amp;sheet=U0&amp;row=14584&amp;col=6&amp;number=3&amp;sourceID=14","3")</f>
        <v>3</v>
      </c>
      <c r="G14584" s="4" t="str">
        <f>HYPERLINK("http://141.218.60.56/~jnz1568/getInfo.php?workbook=10_05.xlsx&amp;sheet=U0&amp;row=14584&amp;col=7&amp;number=0.185&amp;sourceID=14","0.185")</f>
        <v>0.185</v>
      </c>
    </row>
    <row r="14585" spans="1:7">
      <c r="A14585" s="3"/>
      <c r="B14585" s="3"/>
      <c r="C14585" s="3"/>
      <c r="D14585" s="3"/>
      <c r="E14585" s="3">
        <v>2</v>
      </c>
      <c r="F14585" s="4" t="str">
        <f>HYPERLINK("http://141.218.60.56/~jnz1568/getInfo.php?workbook=10_05.xlsx&amp;sheet=U0&amp;row=14585&amp;col=6&amp;number=3.1&amp;sourceID=14","3.1")</f>
        <v>3.1</v>
      </c>
      <c r="G14585" s="4" t="str">
        <f>HYPERLINK("http://141.218.60.56/~jnz1568/getInfo.php?workbook=10_05.xlsx&amp;sheet=U0&amp;row=14585&amp;col=7&amp;number=0.187&amp;sourceID=14","0.187")</f>
        <v>0.187</v>
      </c>
    </row>
    <row r="14586" spans="1:7">
      <c r="A14586" s="3"/>
      <c r="B14586" s="3"/>
      <c r="C14586" s="3"/>
      <c r="D14586" s="3"/>
      <c r="E14586" s="3">
        <v>3</v>
      </c>
      <c r="F14586" s="4" t="str">
        <f>HYPERLINK("http://141.218.60.56/~jnz1568/getInfo.php?workbook=10_05.xlsx&amp;sheet=U0&amp;row=14586&amp;col=6&amp;number=3.2&amp;sourceID=14","3.2")</f>
        <v>3.2</v>
      </c>
      <c r="G14586" s="4" t="str">
        <f>HYPERLINK("http://141.218.60.56/~jnz1568/getInfo.php?workbook=10_05.xlsx&amp;sheet=U0&amp;row=14586&amp;col=7&amp;number=0.189&amp;sourceID=14","0.189")</f>
        <v>0.189</v>
      </c>
    </row>
    <row r="14587" spans="1:7">
      <c r="A14587" s="3"/>
      <c r="B14587" s="3"/>
      <c r="C14587" s="3"/>
      <c r="D14587" s="3"/>
      <c r="E14587" s="3">
        <v>4</v>
      </c>
      <c r="F14587" s="4" t="str">
        <f>HYPERLINK("http://141.218.60.56/~jnz1568/getInfo.php?workbook=10_05.xlsx&amp;sheet=U0&amp;row=14587&amp;col=6&amp;number=3.3&amp;sourceID=14","3.3")</f>
        <v>3.3</v>
      </c>
      <c r="G14587" s="4" t="str">
        <f>HYPERLINK("http://141.218.60.56/~jnz1568/getInfo.php?workbook=10_05.xlsx&amp;sheet=U0&amp;row=14587&amp;col=7&amp;number=0.192&amp;sourceID=14","0.192")</f>
        <v>0.192</v>
      </c>
    </row>
    <row r="14588" spans="1:7">
      <c r="A14588" s="3"/>
      <c r="B14588" s="3"/>
      <c r="C14588" s="3"/>
      <c r="D14588" s="3"/>
      <c r="E14588" s="3">
        <v>5</v>
      </c>
      <c r="F14588" s="4" t="str">
        <f>HYPERLINK("http://141.218.60.56/~jnz1568/getInfo.php?workbook=10_05.xlsx&amp;sheet=U0&amp;row=14588&amp;col=6&amp;number=3.4&amp;sourceID=14","3.4")</f>
        <v>3.4</v>
      </c>
      <c r="G14588" s="4" t="str">
        <f>HYPERLINK("http://141.218.60.56/~jnz1568/getInfo.php?workbook=10_05.xlsx&amp;sheet=U0&amp;row=14588&amp;col=7&amp;number=0.196&amp;sourceID=14","0.196")</f>
        <v>0.196</v>
      </c>
    </row>
    <row r="14589" spans="1:7">
      <c r="A14589" s="3"/>
      <c r="B14589" s="3"/>
      <c r="C14589" s="3"/>
      <c r="D14589" s="3"/>
      <c r="E14589" s="3">
        <v>6</v>
      </c>
      <c r="F14589" s="4" t="str">
        <f>HYPERLINK("http://141.218.60.56/~jnz1568/getInfo.php?workbook=10_05.xlsx&amp;sheet=U0&amp;row=14589&amp;col=6&amp;number=3.5&amp;sourceID=14","3.5")</f>
        <v>3.5</v>
      </c>
      <c r="G14589" s="4" t="str">
        <f>HYPERLINK("http://141.218.60.56/~jnz1568/getInfo.php?workbook=10_05.xlsx&amp;sheet=U0&amp;row=14589&amp;col=7&amp;number=0.201&amp;sourceID=14","0.201")</f>
        <v>0.201</v>
      </c>
    </row>
    <row r="14590" spans="1:7">
      <c r="A14590" s="3"/>
      <c r="B14590" s="3"/>
      <c r="C14590" s="3"/>
      <c r="D14590" s="3"/>
      <c r="E14590" s="3">
        <v>7</v>
      </c>
      <c r="F14590" s="4" t="str">
        <f>HYPERLINK("http://141.218.60.56/~jnz1568/getInfo.php?workbook=10_05.xlsx&amp;sheet=U0&amp;row=14590&amp;col=6&amp;number=3.6&amp;sourceID=14","3.6")</f>
        <v>3.6</v>
      </c>
      <c r="G14590" s="4" t="str">
        <f>HYPERLINK("http://141.218.60.56/~jnz1568/getInfo.php?workbook=10_05.xlsx&amp;sheet=U0&amp;row=14590&amp;col=7&amp;number=0.207&amp;sourceID=14","0.207")</f>
        <v>0.207</v>
      </c>
    </row>
    <row r="14591" spans="1:7">
      <c r="A14591" s="3"/>
      <c r="B14591" s="3"/>
      <c r="C14591" s="3"/>
      <c r="D14591" s="3"/>
      <c r="E14591" s="3">
        <v>8</v>
      </c>
      <c r="F14591" s="4" t="str">
        <f>HYPERLINK("http://141.218.60.56/~jnz1568/getInfo.php?workbook=10_05.xlsx&amp;sheet=U0&amp;row=14591&amp;col=6&amp;number=3.7&amp;sourceID=14","3.7")</f>
        <v>3.7</v>
      </c>
      <c r="G14591" s="4" t="str">
        <f>HYPERLINK("http://141.218.60.56/~jnz1568/getInfo.php?workbook=10_05.xlsx&amp;sheet=U0&amp;row=14591&amp;col=7&amp;number=0.214&amp;sourceID=14","0.214")</f>
        <v>0.214</v>
      </c>
    </row>
    <row r="14592" spans="1:7">
      <c r="A14592" s="3"/>
      <c r="B14592" s="3"/>
      <c r="C14592" s="3"/>
      <c r="D14592" s="3"/>
      <c r="E14592" s="3">
        <v>9</v>
      </c>
      <c r="F14592" s="4" t="str">
        <f>HYPERLINK("http://141.218.60.56/~jnz1568/getInfo.php?workbook=10_05.xlsx&amp;sheet=U0&amp;row=14592&amp;col=6&amp;number=3.8&amp;sourceID=14","3.8")</f>
        <v>3.8</v>
      </c>
      <c r="G14592" s="4" t="str">
        <f>HYPERLINK("http://141.218.60.56/~jnz1568/getInfo.php?workbook=10_05.xlsx&amp;sheet=U0&amp;row=14592&amp;col=7&amp;number=0.222&amp;sourceID=14","0.222")</f>
        <v>0.222</v>
      </c>
    </row>
    <row r="14593" spans="1:7">
      <c r="A14593" s="3"/>
      <c r="B14593" s="3"/>
      <c r="C14593" s="3"/>
      <c r="D14593" s="3"/>
      <c r="E14593" s="3">
        <v>10</v>
      </c>
      <c r="F14593" s="4" t="str">
        <f>HYPERLINK("http://141.218.60.56/~jnz1568/getInfo.php?workbook=10_05.xlsx&amp;sheet=U0&amp;row=14593&amp;col=6&amp;number=3.9&amp;sourceID=14","3.9")</f>
        <v>3.9</v>
      </c>
      <c r="G14593" s="4" t="str">
        <f>HYPERLINK("http://141.218.60.56/~jnz1568/getInfo.php?workbook=10_05.xlsx&amp;sheet=U0&amp;row=14593&amp;col=7&amp;number=0.232&amp;sourceID=14","0.232")</f>
        <v>0.232</v>
      </c>
    </row>
    <row r="14594" spans="1:7">
      <c r="A14594" s="3"/>
      <c r="B14594" s="3"/>
      <c r="C14594" s="3"/>
      <c r="D14594" s="3"/>
      <c r="E14594" s="3">
        <v>11</v>
      </c>
      <c r="F14594" s="4" t="str">
        <f>HYPERLINK("http://141.218.60.56/~jnz1568/getInfo.php?workbook=10_05.xlsx&amp;sheet=U0&amp;row=14594&amp;col=6&amp;number=4&amp;sourceID=14","4")</f>
        <v>4</v>
      </c>
      <c r="G14594" s="4" t="str">
        <f>HYPERLINK("http://141.218.60.56/~jnz1568/getInfo.php?workbook=10_05.xlsx&amp;sheet=U0&amp;row=14594&amp;col=7&amp;number=0.242&amp;sourceID=14","0.242")</f>
        <v>0.242</v>
      </c>
    </row>
    <row r="14595" spans="1:7">
      <c r="A14595" s="3"/>
      <c r="B14595" s="3"/>
      <c r="C14595" s="3"/>
      <c r="D14595" s="3"/>
      <c r="E14595" s="3">
        <v>12</v>
      </c>
      <c r="F14595" s="4" t="str">
        <f>HYPERLINK("http://141.218.60.56/~jnz1568/getInfo.php?workbook=10_05.xlsx&amp;sheet=U0&amp;row=14595&amp;col=6&amp;number=4.1&amp;sourceID=14","4.1")</f>
        <v>4.1</v>
      </c>
      <c r="G14595" s="4" t="str">
        <f>HYPERLINK("http://141.218.60.56/~jnz1568/getInfo.php?workbook=10_05.xlsx&amp;sheet=U0&amp;row=14595&amp;col=7&amp;number=0.252&amp;sourceID=14","0.252")</f>
        <v>0.252</v>
      </c>
    </row>
    <row r="14596" spans="1:7">
      <c r="A14596" s="3"/>
      <c r="B14596" s="3"/>
      <c r="C14596" s="3"/>
      <c r="D14596" s="3"/>
      <c r="E14596" s="3">
        <v>13</v>
      </c>
      <c r="F14596" s="4" t="str">
        <f>HYPERLINK("http://141.218.60.56/~jnz1568/getInfo.php?workbook=10_05.xlsx&amp;sheet=U0&amp;row=14596&amp;col=6&amp;number=4.2&amp;sourceID=14","4.2")</f>
        <v>4.2</v>
      </c>
      <c r="G14596" s="4" t="str">
        <f>HYPERLINK("http://141.218.60.56/~jnz1568/getInfo.php?workbook=10_05.xlsx&amp;sheet=U0&amp;row=14596&amp;col=7&amp;number=0.259&amp;sourceID=14","0.259")</f>
        <v>0.259</v>
      </c>
    </row>
    <row r="14597" spans="1:7">
      <c r="A14597" s="3"/>
      <c r="B14597" s="3"/>
      <c r="C14597" s="3"/>
      <c r="D14597" s="3"/>
      <c r="E14597" s="3">
        <v>14</v>
      </c>
      <c r="F14597" s="4" t="str">
        <f>HYPERLINK("http://141.218.60.56/~jnz1568/getInfo.php?workbook=10_05.xlsx&amp;sheet=U0&amp;row=14597&amp;col=6&amp;number=4.3&amp;sourceID=14","4.3")</f>
        <v>4.3</v>
      </c>
      <c r="G14597" s="4" t="str">
        <f>HYPERLINK("http://141.218.60.56/~jnz1568/getInfo.php?workbook=10_05.xlsx&amp;sheet=U0&amp;row=14597&amp;col=7&amp;number=0.261&amp;sourceID=14","0.261")</f>
        <v>0.261</v>
      </c>
    </row>
    <row r="14598" spans="1:7">
      <c r="A14598" s="3"/>
      <c r="B14598" s="3"/>
      <c r="C14598" s="3"/>
      <c r="D14598" s="3"/>
      <c r="E14598" s="3">
        <v>15</v>
      </c>
      <c r="F14598" s="4" t="str">
        <f>HYPERLINK("http://141.218.60.56/~jnz1568/getInfo.php?workbook=10_05.xlsx&amp;sheet=U0&amp;row=14598&amp;col=6&amp;number=4.4&amp;sourceID=14","4.4")</f>
        <v>4.4</v>
      </c>
      <c r="G14598" s="4" t="str">
        <f>HYPERLINK("http://141.218.60.56/~jnz1568/getInfo.php?workbook=10_05.xlsx&amp;sheet=U0&amp;row=14598&amp;col=7&amp;number=0.256&amp;sourceID=14","0.256")</f>
        <v>0.256</v>
      </c>
    </row>
    <row r="14599" spans="1:7">
      <c r="A14599" s="3"/>
      <c r="B14599" s="3"/>
      <c r="C14599" s="3"/>
      <c r="D14599" s="3"/>
      <c r="E14599" s="3">
        <v>16</v>
      </c>
      <c r="F14599" s="4" t="str">
        <f>HYPERLINK("http://141.218.60.56/~jnz1568/getInfo.php?workbook=10_05.xlsx&amp;sheet=U0&amp;row=14599&amp;col=6&amp;number=4.5&amp;sourceID=14","4.5")</f>
        <v>4.5</v>
      </c>
      <c r="G14599" s="4" t="str">
        <f>HYPERLINK("http://141.218.60.56/~jnz1568/getInfo.php?workbook=10_05.xlsx&amp;sheet=U0&amp;row=14599&amp;col=7&amp;number=0.244&amp;sourceID=14","0.244")</f>
        <v>0.244</v>
      </c>
    </row>
    <row r="14600" spans="1:7">
      <c r="A14600" s="3"/>
      <c r="B14600" s="3"/>
      <c r="C14600" s="3"/>
      <c r="D14600" s="3"/>
      <c r="E14600" s="3">
        <v>17</v>
      </c>
      <c r="F14600" s="4" t="str">
        <f>HYPERLINK("http://141.218.60.56/~jnz1568/getInfo.php?workbook=10_05.xlsx&amp;sheet=U0&amp;row=14600&amp;col=6&amp;number=4.6&amp;sourceID=14","4.6")</f>
        <v>4.6</v>
      </c>
      <c r="G14600" s="4" t="str">
        <f>HYPERLINK("http://141.218.60.56/~jnz1568/getInfo.php?workbook=10_05.xlsx&amp;sheet=U0&amp;row=14600&amp;col=7&amp;number=0.229&amp;sourceID=14","0.229")</f>
        <v>0.229</v>
      </c>
    </row>
    <row r="14601" spans="1:7">
      <c r="A14601" s="3"/>
      <c r="B14601" s="3"/>
      <c r="C14601" s="3"/>
      <c r="D14601" s="3"/>
      <c r="E14601" s="3">
        <v>18</v>
      </c>
      <c r="F14601" s="4" t="str">
        <f>HYPERLINK("http://141.218.60.56/~jnz1568/getInfo.php?workbook=10_05.xlsx&amp;sheet=U0&amp;row=14601&amp;col=6&amp;number=4.7&amp;sourceID=14","4.7")</f>
        <v>4.7</v>
      </c>
      <c r="G14601" s="4" t="str">
        <f>HYPERLINK("http://141.218.60.56/~jnz1568/getInfo.php?workbook=10_05.xlsx&amp;sheet=U0&amp;row=14601&amp;col=7&amp;number=0.214&amp;sourceID=14","0.214")</f>
        <v>0.214</v>
      </c>
    </row>
    <row r="14602" spans="1:7">
      <c r="A14602" s="3"/>
      <c r="B14602" s="3"/>
      <c r="C14602" s="3"/>
      <c r="D14602" s="3"/>
      <c r="E14602" s="3">
        <v>19</v>
      </c>
      <c r="F14602" s="4" t="str">
        <f>HYPERLINK("http://141.218.60.56/~jnz1568/getInfo.php?workbook=10_05.xlsx&amp;sheet=U0&amp;row=14602&amp;col=6&amp;number=4.8&amp;sourceID=14","4.8")</f>
        <v>4.8</v>
      </c>
      <c r="G14602" s="4" t="str">
        <f>HYPERLINK("http://141.218.60.56/~jnz1568/getInfo.php?workbook=10_05.xlsx&amp;sheet=U0&amp;row=14602&amp;col=7&amp;number=0.198&amp;sourceID=14","0.198")</f>
        <v>0.198</v>
      </c>
    </row>
    <row r="14603" spans="1:7">
      <c r="A14603" s="3"/>
      <c r="B14603" s="3"/>
      <c r="C14603" s="3"/>
      <c r="D14603" s="3"/>
      <c r="E14603" s="3">
        <v>20</v>
      </c>
      <c r="F14603" s="4" t="str">
        <f>HYPERLINK("http://141.218.60.56/~jnz1568/getInfo.php?workbook=10_05.xlsx&amp;sheet=U0&amp;row=14603&amp;col=6&amp;number=4.9&amp;sourceID=14","4.9")</f>
        <v>4.9</v>
      </c>
      <c r="G14603" s="4" t="str">
        <f>HYPERLINK("http://141.218.60.56/~jnz1568/getInfo.php?workbook=10_05.xlsx&amp;sheet=U0&amp;row=14603&amp;col=7&amp;number=0.18&amp;sourceID=14","0.18")</f>
        <v>0.18</v>
      </c>
    </row>
    <row r="14604" spans="1:7">
      <c r="A14604" s="3">
        <v>10</v>
      </c>
      <c r="B14604" s="3">
        <v>5</v>
      </c>
      <c r="C14604" s="3">
        <v>5</v>
      </c>
      <c r="D14604" s="3">
        <v>26</v>
      </c>
      <c r="E14604" s="3">
        <v>1</v>
      </c>
      <c r="F14604" s="4" t="str">
        <f>HYPERLINK("http://141.218.60.56/~jnz1568/getInfo.php?workbook=10_05.xlsx&amp;sheet=U0&amp;row=14604&amp;col=6&amp;number=3&amp;sourceID=14","3")</f>
        <v>3</v>
      </c>
      <c r="G14604" s="4" t="str">
        <f>HYPERLINK("http://141.218.60.56/~jnz1568/getInfo.php?workbook=10_05.xlsx&amp;sheet=U0&amp;row=14604&amp;col=7&amp;number=0.0365&amp;sourceID=14","0.0365")</f>
        <v>0.0365</v>
      </c>
    </row>
    <row r="14605" spans="1:7">
      <c r="A14605" s="3"/>
      <c r="B14605" s="3"/>
      <c r="C14605" s="3"/>
      <c r="D14605" s="3"/>
      <c r="E14605" s="3">
        <v>2</v>
      </c>
      <c r="F14605" s="4" t="str">
        <f>HYPERLINK("http://141.218.60.56/~jnz1568/getInfo.php?workbook=10_05.xlsx&amp;sheet=U0&amp;row=14605&amp;col=6&amp;number=3.1&amp;sourceID=14","3.1")</f>
        <v>3.1</v>
      </c>
      <c r="G14605" s="4" t="str">
        <f>HYPERLINK("http://141.218.60.56/~jnz1568/getInfo.php?workbook=10_05.xlsx&amp;sheet=U0&amp;row=14605&amp;col=7&amp;number=0.0374&amp;sourceID=14","0.0374")</f>
        <v>0.0374</v>
      </c>
    </row>
    <row r="14606" spans="1:7">
      <c r="A14606" s="3"/>
      <c r="B14606" s="3"/>
      <c r="C14606" s="3"/>
      <c r="D14606" s="3"/>
      <c r="E14606" s="3">
        <v>3</v>
      </c>
      <c r="F14606" s="4" t="str">
        <f>HYPERLINK("http://141.218.60.56/~jnz1568/getInfo.php?workbook=10_05.xlsx&amp;sheet=U0&amp;row=14606&amp;col=6&amp;number=3.2&amp;sourceID=14","3.2")</f>
        <v>3.2</v>
      </c>
      <c r="G14606" s="4" t="str">
        <f>HYPERLINK("http://141.218.60.56/~jnz1568/getInfo.php?workbook=10_05.xlsx&amp;sheet=U0&amp;row=14606&amp;col=7&amp;number=0.0385&amp;sourceID=14","0.0385")</f>
        <v>0.0385</v>
      </c>
    </row>
    <row r="14607" spans="1:7">
      <c r="A14607" s="3"/>
      <c r="B14607" s="3"/>
      <c r="C14607" s="3"/>
      <c r="D14607" s="3"/>
      <c r="E14607" s="3">
        <v>4</v>
      </c>
      <c r="F14607" s="4" t="str">
        <f>HYPERLINK("http://141.218.60.56/~jnz1568/getInfo.php?workbook=10_05.xlsx&amp;sheet=U0&amp;row=14607&amp;col=6&amp;number=3.3&amp;sourceID=14","3.3")</f>
        <v>3.3</v>
      </c>
      <c r="G14607" s="4" t="str">
        <f>HYPERLINK("http://141.218.60.56/~jnz1568/getInfo.php?workbook=10_05.xlsx&amp;sheet=U0&amp;row=14607&amp;col=7&amp;number=0.0399&amp;sourceID=14","0.0399")</f>
        <v>0.0399</v>
      </c>
    </row>
    <row r="14608" spans="1:7">
      <c r="A14608" s="3"/>
      <c r="B14608" s="3"/>
      <c r="C14608" s="3"/>
      <c r="D14608" s="3"/>
      <c r="E14608" s="3">
        <v>5</v>
      </c>
      <c r="F14608" s="4" t="str">
        <f>HYPERLINK("http://141.218.60.56/~jnz1568/getInfo.php?workbook=10_05.xlsx&amp;sheet=U0&amp;row=14608&amp;col=6&amp;number=3.4&amp;sourceID=14","3.4")</f>
        <v>3.4</v>
      </c>
      <c r="G14608" s="4" t="str">
        <f>HYPERLINK("http://141.218.60.56/~jnz1568/getInfo.php?workbook=10_05.xlsx&amp;sheet=U0&amp;row=14608&amp;col=7&amp;number=0.0417&amp;sourceID=14","0.0417")</f>
        <v>0.0417</v>
      </c>
    </row>
    <row r="14609" spans="1:7">
      <c r="A14609" s="3"/>
      <c r="B14609" s="3"/>
      <c r="C14609" s="3"/>
      <c r="D14609" s="3"/>
      <c r="E14609" s="3">
        <v>6</v>
      </c>
      <c r="F14609" s="4" t="str">
        <f>HYPERLINK("http://141.218.60.56/~jnz1568/getInfo.php?workbook=10_05.xlsx&amp;sheet=U0&amp;row=14609&amp;col=6&amp;number=3.5&amp;sourceID=14","3.5")</f>
        <v>3.5</v>
      </c>
      <c r="G14609" s="4" t="str">
        <f>HYPERLINK("http://141.218.60.56/~jnz1568/getInfo.php?workbook=10_05.xlsx&amp;sheet=U0&amp;row=14609&amp;col=7&amp;number=0.0437&amp;sourceID=14","0.0437")</f>
        <v>0.0437</v>
      </c>
    </row>
    <row r="14610" spans="1:7">
      <c r="A14610" s="3"/>
      <c r="B14610" s="3"/>
      <c r="C14610" s="3"/>
      <c r="D14610" s="3"/>
      <c r="E14610" s="3">
        <v>7</v>
      </c>
      <c r="F14610" s="4" t="str">
        <f>HYPERLINK("http://141.218.60.56/~jnz1568/getInfo.php?workbook=10_05.xlsx&amp;sheet=U0&amp;row=14610&amp;col=6&amp;number=3.6&amp;sourceID=14","3.6")</f>
        <v>3.6</v>
      </c>
      <c r="G14610" s="4" t="str">
        <f>HYPERLINK("http://141.218.60.56/~jnz1568/getInfo.php?workbook=10_05.xlsx&amp;sheet=U0&amp;row=14610&amp;col=7&amp;number=0.0462&amp;sourceID=14","0.0462")</f>
        <v>0.0462</v>
      </c>
    </row>
    <row r="14611" spans="1:7">
      <c r="A14611" s="3"/>
      <c r="B14611" s="3"/>
      <c r="C14611" s="3"/>
      <c r="D14611" s="3"/>
      <c r="E14611" s="3">
        <v>8</v>
      </c>
      <c r="F14611" s="4" t="str">
        <f>HYPERLINK("http://141.218.60.56/~jnz1568/getInfo.php?workbook=10_05.xlsx&amp;sheet=U0&amp;row=14611&amp;col=6&amp;number=3.7&amp;sourceID=14","3.7")</f>
        <v>3.7</v>
      </c>
      <c r="G14611" s="4" t="str">
        <f>HYPERLINK("http://141.218.60.56/~jnz1568/getInfo.php?workbook=10_05.xlsx&amp;sheet=U0&amp;row=14611&amp;col=7&amp;number=0.049&amp;sourceID=14","0.049")</f>
        <v>0.049</v>
      </c>
    </row>
    <row r="14612" spans="1:7">
      <c r="A14612" s="3"/>
      <c r="B14612" s="3"/>
      <c r="C14612" s="3"/>
      <c r="D14612" s="3"/>
      <c r="E14612" s="3">
        <v>9</v>
      </c>
      <c r="F14612" s="4" t="str">
        <f>HYPERLINK("http://141.218.60.56/~jnz1568/getInfo.php?workbook=10_05.xlsx&amp;sheet=U0&amp;row=14612&amp;col=6&amp;number=3.8&amp;sourceID=14","3.8")</f>
        <v>3.8</v>
      </c>
      <c r="G14612" s="4" t="str">
        <f>HYPERLINK("http://141.218.60.56/~jnz1568/getInfo.php?workbook=10_05.xlsx&amp;sheet=U0&amp;row=14612&amp;col=7&amp;number=0.0522&amp;sourceID=14","0.0522")</f>
        <v>0.0522</v>
      </c>
    </row>
    <row r="14613" spans="1:7">
      <c r="A14613" s="3"/>
      <c r="B14613" s="3"/>
      <c r="C14613" s="3"/>
      <c r="D14613" s="3"/>
      <c r="E14613" s="3">
        <v>10</v>
      </c>
      <c r="F14613" s="4" t="str">
        <f>HYPERLINK("http://141.218.60.56/~jnz1568/getInfo.php?workbook=10_05.xlsx&amp;sheet=U0&amp;row=14613&amp;col=6&amp;number=3.9&amp;sourceID=14","3.9")</f>
        <v>3.9</v>
      </c>
      <c r="G14613" s="4" t="str">
        <f>HYPERLINK("http://141.218.60.56/~jnz1568/getInfo.php?workbook=10_05.xlsx&amp;sheet=U0&amp;row=14613&amp;col=7&amp;number=0.0553&amp;sourceID=14","0.0553")</f>
        <v>0.0553</v>
      </c>
    </row>
    <row r="14614" spans="1:7">
      <c r="A14614" s="3"/>
      <c r="B14614" s="3"/>
      <c r="C14614" s="3"/>
      <c r="D14614" s="3"/>
      <c r="E14614" s="3">
        <v>11</v>
      </c>
      <c r="F14614" s="4" t="str">
        <f>HYPERLINK("http://141.218.60.56/~jnz1568/getInfo.php?workbook=10_05.xlsx&amp;sheet=U0&amp;row=14614&amp;col=6&amp;number=4&amp;sourceID=14","4")</f>
        <v>4</v>
      </c>
      <c r="G14614" s="4" t="str">
        <f>HYPERLINK("http://141.218.60.56/~jnz1568/getInfo.php?workbook=10_05.xlsx&amp;sheet=U0&amp;row=14614&amp;col=7&amp;number=0.058&amp;sourceID=14","0.058")</f>
        <v>0.058</v>
      </c>
    </row>
    <row r="14615" spans="1:7">
      <c r="A14615" s="3"/>
      <c r="B14615" s="3"/>
      <c r="C14615" s="3"/>
      <c r="D14615" s="3"/>
      <c r="E14615" s="3">
        <v>12</v>
      </c>
      <c r="F14615" s="4" t="str">
        <f>HYPERLINK("http://141.218.60.56/~jnz1568/getInfo.php?workbook=10_05.xlsx&amp;sheet=U0&amp;row=14615&amp;col=6&amp;number=4.1&amp;sourceID=14","4.1")</f>
        <v>4.1</v>
      </c>
      <c r="G14615" s="4" t="str">
        <f>HYPERLINK("http://141.218.60.56/~jnz1568/getInfo.php?workbook=10_05.xlsx&amp;sheet=U0&amp;row=14615&amp;col=7&amp;number=0.0595&amp;sourceID=14","0.0595")</f>
        <v>0.0595</v>
      </c>
    </row>
    <row r="14616" spans="1:7">
      <c r="A14616" s="3"/>
      <c r="B14616" s="3"/>
      <c r="C14616" s="3"/>
      <c r="D14616" s="3"/>
      <c r="E14616" s="3">
        <v>13</v>
      </c>
      <c r="F14616" s="4" t="str">
        <f>HYPERLINK("http://141.218.60.56/~jnz1568/getInfo.php?workbook=10_05.xlsx&amp;sheet=U0&amp;row=14616&amp;col=6&amp;number=4.2&amp;sourceID=14","4.2")</f>
        <v>4.2</v>
      </c>
      <c r="G14616" s="4" t="str">
        <f>HYPERLINK("http://141.218.60.56/~jnz1568/getInfo.php?workbook=10_05.xlsx&amp;sheet=U0&amp;row=14616&amp;col=7&amp;number=0.0596&amp;sourceID=14","0.0596")</f>
        <v>0.0596</v>
      </c>
    </row>
    <row r="14617" spans="1:7">
      <c r="A14617" s="3"/>
      <c r="B14617" s="3"/>
      <c r="C14617" s="3"/>
      <c r="D14617" s="3"/>
      <c r="E14617" s="3">
        <v>14</v>
      </c>
      <c r="F14617" s="4" t="str">
        <f>HYPERLINK("http://141.218.60.56/~jnz1568/getInfo.php?workbook=10_05.xlsx&amp;sheet=U0&amp;row=14617&amp;col=6&amp;number=4.3&amp;sourceID=14","4.3")</f>
        <v>4.3</v>
      </c>
      <c r="G14617" s="4" t="str">
        <f>HYPERLINK("http://141.218.60.56/~jnz1568/getInfo.php?workbook=10_05.xlsx&amp;sheet=U0&amp;row=14617&amp;col=7&amp;number=0.0584&amp;sourceID=14","0.0584")</f>
        <v>0.0584</v>
      </c>
    </row>
    <row r="14618" spans="1:7">
      <c r="A14618" s="3"/>
      <c r="B14618" s="3"/>
      <c r="C14618" s="3"/>
      <c r="D14618" s="3"/>
      <c r="E14618" s="3">
        <v>15</v>
      </c>
      <c r="F14618" s="4" t="str">
        <f>HYPERLINK("http://141.218.60.56/~jnz1568/getInfo.php?workbook=10_05.xlsx&amp;sheet=U0&amp;row=14618&amp;col=6&amp;number=4.4&amp;sourceID=14","4.4")</f>
        <v>4.4</v>
      </c>
      <c r="G14618" s="4" t="str">
        <f>HYPERLINK("http://141.218.60.56/~jnz1568/getInfo.php?workbook=10_05.xlsx&amp;sheet=U0&amp;row=14618&amp;col=7&amp;number=0.0568&amp;sourceID=14","0.0568")</f>
        <v>0.0568</v>
      </c>
    </row>
    <row r="14619" spans="1:7">
      <c r="A14619" s="3"/>
      <c r="B14619" s="3"/>
      <c r="C14619" s="3"/>
      <c r="D14619" s="3"/>
      <c r="E14619" s="3">
        <v>16</v>
      </c>
      <c r="F14619" s="4" t="str">
        <f>HYPERLINK("http://141.218.60.56/~jnz1568/getInfo.php?workbook=10_05.xlsx&amp;sheet=U0&amp;row=14619&amp;col=6&amp;number=4.5&amp;sourceID=14","4.5")</f>
        <v>4.5</v>
      </c>
      <c r="G14619" s="4" t="str">
        <f>HYPERLINK("http://141.218.60.56/~jnz1568/getInfo.php?workbook=10_05.xlsx&amp;sheet=U0&amp;row=14619&amp;col=7&amp;number=0.0551&amp;sourceID=14","0.0551")</f>
        <v>0.0551</v>
      </c>
    </row>
    <row r="14620" spans="1:7">
      <c r="A14620" s="3"/>
      <c r="B14620" s="3"/>
      <c r="C14620" s="3"/>
      <c r="D14620" s="3"/>
      <c r="E14620" s="3">
        <v>17</v>
      </c>
      <c r="F14620" s="4" t="str">
        <f>HYPERLINK("http://141.218.60.56/~jnz1568/getInfo.php?workbook=10_05.xlsx&amp;sheet=U0&amp;row=14620&amp;col=6&amp;number=4.6&amp;sourceID=14","4.6")</f>
        <v>4.6</v>
      </c>
      <c r="G14620" s="4" t="str">
        <f>HYPERLINK("http://141.218.60.56/~jnz1568/getInfo.php?workbook=10_05.xlsx&amp;sheet=U0&amp;row=14620&amp;col=7&amp;number=0.053&amp;sourceID=14","0.053")</f>
        <v>0.053</v>
      </c>
    </row>
    <row r="14621" spans="1:7">
      <c r="A14621" s="3"/>
      <c r="B14621" s="3"/>
      <c r="C14621" s="3"/>
      <c r="D14621" s="3"/>
      <c r="E14621" s="3">
        <v>18</v>
      </c>
      <c r="F14621" s="4" t="str">
        <f>HYPERLINK("http://141.218.60.56/~jnz1568/getInfo.php?workbook=10_05.xlsx&amp;sheet=U0&amp;row=14621&amp;col=6&amp;number=4.7&amp;sourceID=14","4.7")</f>
        <v>4.7</v>
      </c>
      <c r="G14621" s="4" t="str">
        <f>HYPERLINK("http://141.218.60.56/~jnz1568/getInfo.php?workbook=10_05.xlsx&amp;sheet=U0&amp;row=14621&amp;col=7&amp;number=0.0496&amp;sourceID=14","0.0496")</f>
        <v>0.0496</v>
      </c>
    </row>
    <row r="14622" spans="1:7">
      <c r="A14622" s="3"/>
      <c r="B14622" s="3"/>
      <c r="C14622" s="3"/>
      <c r="D14622" s="3"/>
      <c r="E14622" s="3">
        <v>19</v>
      </c>
      <c r="F14622" s="4" t="str">
        <f>HYPERLINK("http://141.218.60.56/~jnz1568/getInfo.php?workbook=10_05.xlsx&amp;sheet=U0&amp;row=14622&amp;col=6&amp;number=4.8&amp;sourceID=14","4.8")</f>
        <v>4.8</v>
      </c>
      <c r="G14622" s="4" t="str">
        <f>HYPERLINK("http://141.218.60.56/~jnz1568/getInfo.php?workbook=10_05.xlsx&amp;sheet=U0&amp;row=14622&amp;col=7&amp;number=0.0457&amp;sourceID=14","0.0457")</f>
        <v>0.0457</v>
      </c>
    </row>
    <row r="14623" spans="1:7">
      <c r="A14623" s="3"/>
      <c r="B14623" s="3"/>
      <c r="C14623" s="3"/>
      <c r="D14623" s="3"/>
      <c r="E14623" s="3">
        <v>20</v>
      </c>
      <c r="F14623" s="4" t="str">
        <f>HYPERLINK("http://141.218.60.56/~jnz1568/getInfo.php?workbook=10_05.xlsx&amp;sheet=U0&amp;row=14623&amp;col=6&amp;number=4.9&amp;sourceID=14","4.9")</f>
        <v>4.9</v>
      </c>
      <c r="G14623" s="4" t="str">
        <f>HYPERLINK("http://141.218.60.56/~jnz1568/getInfo.php?workbook=10_05.xlsx&amp;sheet=U0&amp;row=14623&amp;col=7&amp;number=0.0419&amp;sourceID=14","0.0419")</f>
        <v>0.0419</v>
      </c>
    </row>
    <row r="14624" spans="1:7">
      <c r="A14624" s="3">
        <v>10</v>
      </c>
      <c r="B14624" s="3">
        <v>5</v>
      </c>
      <c r="C14624" s="3">
        <v>5</v>
      </c>
      <c r="D14624" s="3">
        <v>27</v>
      </c>
      <c r="E14624" s="3">
        <v>1</v>
      </c>
      <c r="F14624" s="4" t="str">
        <f>HYPERLINK("http://141.218.60.56/~jnz1568/getInfo.php?workbook=10_05.xlsx&amp;sheet=U0&amp;row=14624&amp;col=6&amp;number=3&amp;sourceID=14","3")</f>
        <v>3</v>
      </c>
      <c r="G14624" s="4" t="str">
        <f>HYPERLINK("http://141.218.60.56/~jnz1568/getInfo.php?workbook=10_05.xlsx&amp;sheet=U0&amp;row=14624&amp;col=7&amp;number=0.151&amp;sourceID=14","0.151")</f>
        <v>0.151</v>
      </c>
    </row>
    <row r="14625" spans="1:7">
      <c r="A14625" s="3"/>
      <c r="B14625" s="3"/>
      <c r="C14625" s="3"/>
      <c r="D14625" s="3"/>
      <c r="E14625" s="3">
        <v>2</v>
      </c>
      <c r="F14625" s="4" t="str">
        <f>HYPERLINK("http://141.218.60.56/~jnz1568/getInfo.php?workbook=10_05.xlsx&amp;sheet=U0&amp;row=14625&amp;col=6&amp;number=3.1&amp;sourceID=14","3.1")</f>
        <v>3.1</v>
      </c>
      <c r="G14625" s="4" t="str">
        <f>HYPERLINK("http://141.218.60.56/~jnz1568/getInfo.php?workbook=10_05.xlsx&amp;sheet=U0&amp;row=14625&amp;col=7&amp;number=0.153&amp;sourceID=14","0.153")</f>
        <v>0.153</v>
      </c>
    </row>
    <row r="14626" spans="1:7">
      <c r="A14626" s="3"/>
      <c r="B14626" s="3"/>
      <c r="C14626" s="3"/>
      <c r="D14626" s="3"/>
      <c r="E14626" s="3">
        <v>3</v>
      </c>
      <c r="F14626" s="4" t="str">
        <f>HYPERLINK("http://141.218.60.56/~jnz1568/getInfo.php?workbook=10_05.xlsx&amp;sheet=U0&amp;row=14626&amp;col=6&amp;number=3.2&amp;sourceID=14","3.2")</f>
        <v>3.2</v>
      </c>
      <c r="G14626" s="4" t="str">
        <f>HYPERLINK("http://141.218.60.56/~jnz1568/getInfo.php?workbook=10_05.xlsx&amp;sheet=U0&amp;row=14626&amp;col=7&amp;number=0.157&amp;sourceID=14","0.157")</f>
        <v>0.157</v>
      </c>
    </row>
    <row r="14627" spans="1:7">
      <c r="A14627" s="3"/>
      <c r="B14627" s="3"/>
      <c r="C14627" s="3"/>
      <c r="D14627" s="3"/>
      <c r="E14627" s="3">
        <v>4</v>
      </c>
      <c r="F14627" s="4" t="str">
        <f>HYPERLINK("http://141.218.60.56/~jnz1568/getInfo.php?workbook=10_05.xlsx&amp;sheet=U0&amp;row=14627&amp;col=6&amp;number=3.3&amp;sourceID=14","3.3")</f>
        <v>3.3</v>
      </c>
      <c r="G14627" s="4" t="str">
        <f>HYPERLINK("http://141.218.60.56/~jnz1568/getInfo.php?workbook=10_05.xlsx&amp;sheet=U0&amp;row=14627&amp;col=7&amp;number=0.161&amp;sourceID=14","0.161")</f>
        <v>0.161</v>
      </c>
    </row>
    <row r="14628" spans="1:7">
      <c r="A14628" s="3"/>
      <c r="B14628" s="3"/>
      <c r="C14628" s="3"/>
      <c r="D14628" s="3"/>
      <c r="E14628" s="3">
        <v>5</v>
      </c>
      <c r="F14628" s="4" t="str">
        <f>HYPERLINK("http://141.218.60.56/~jnz1568/getInfo.php?workbook=10_05.xlsx&amp;sheet=U0&amp;row=14628&amp;col=6&amp;number=3.4&amp;sourceID=14","3.4")</f>
        <v>3.4</v>
      </c>
      <c r="G14628" s="4" t="str">
        <f>HYPERLINK("http://141.218.60.56/~jnz1568/getInfo.php?workbook=10_05.xlsx&amp;sheet=U0&amp;row=14628&amp;col=7&amp;number=0.166&amp;sourceID=14","0.166")</f>
        <v>0.166</v>
      </c>
    </row>
    <row r="14629" spans="1:7">
      <c r="A14629" s="3"/>
      <c r="B14629" s="3"/>
      <c r="C14629" s="3"/>
      <c r="D14629" s="3"/>
      <c r="E14629" s="3">
        <v>6</v>
      </c>
      <c r="F14629" s="4" t="str">
        <f>HYPERLINK("http://141.218.60.56/~jnz1568/getInfo.php?workbook=10_05.xlsx&amp;sheet=U0&amp;row=14629&amp;col=6&amp;number=3.5&amp;sourceID=14","3.5")</f>
        <v>3.5</v>
      </c>
      <c r="G14629" s="4" t="str">
        <f>HYPERLINK("http://141.218.60.56/~jnz1568/getInfo.php?workbook=10_05.xlsx&amp;sheet=U0&amp;row=14629&amp;col=7&amp;number=0.173&amp;sourceID=14","0.173")</f>
        <v>0.173</v>
      </c>
    </row>
    <row r="14630" spans="1:7">
      <c r="A14630" s="3"/>
      <c r="B14630" s="3"/>
      <c r="C14630" s="3"/>
      <c r="D14630" s="3"/>
      <c r="E14630" s="3">
        <v>7</v>
      </c>
      <c r="F14630" s="4" t="str">
        <f>HYPERLINK("http://141.218.60.56/~jnz1568/getInfo.php?workbook=10_05.xlsx&amp;sheet=U0&amp;row=14630&amp;col=6&amp;number=3.6&amp;sourceID=14","3.6")</f>
        <v>3.6</v>
      </c>
      <c r="G14630" s="4" t="str">
        <f>HYPERLINK("http://141.218.60.56/~jnz1568/getInfo.php?workbook=10_05.xlsx&amp;sheet=U0&amp;row=14630&amp;col=7&amp;number=0.18&amp;sourceID=14","0.18")</f>
        <v>0.18</v>
      </c>
    </row>
    <row r="14631" spans="1:7">
      <c r="A14631" s="3"/>
      <c r="B14631" s="3"/>
      <c r="C14631" s="3"/>
      <c r="D14631" s="3"/>
      <c r="E14631" s="3">
        <v>8</v>
      </c>
      <c r="F14631" s="4" t="str">
        <f>HYPERLINK("http://141.218.60.56/~jnz1568/getInfo.php?workbook=10_05.xlsx&amp;sheet=U0&amp;row=14631&amp;col=6&amp;number=3.7&amp;sourceID=14","3.7")</f>
        <v>3.7</v>
      </c>
      <c r="G14631" s="4" t="str">
        <f>HYPERLINK("http://141.218.60.56/~jnz1568/getInfo.php?workbook=10_05.xlsx&amp;sheet=U0&amp;row=14631&amp;col=7&amp;number=0.189&amp;sourceID=14","0.189")</f>
        <v>0.189</v>
      </c>
    </row>
    <row r="14632" spans="1:7">
      <c r="A14632" s="3"/>
      <c r="B14632" s="3"/>
      <c r="C14632" s="3"/>
      <c r="D14632" s="3"/>
      <c r="E14632" s="3">
        <v>9</v>
      </c>
      <c r="F14632" s="4" t="str">
        <f>HYPERLINK("http://141.218.60.56/~jnz1568/getInfo.php?workbook=10_05.xlsx&amp;sheet=U0&amp;row=14632&amp;col=6&amp;number=3.8&amp;sourceID=14","3.8")</f>
        <v>3.8</v>
      </c>
      <c r="G14632" s="4" t="str">
        <f>HYPERLINK("http://141.218.60.56/~jnz1568/getInfo.php?workbook=10_05.xlsx&amp;sheet=U0&amp;row=14632&amp;col=7&amp;number=0.199&amp;sourceID=14","0.199")</f>
        <v>0.199</v>
      </c>
    </row>
    <row r="14633" spans="1:7">
      <c r="A14633" s="3"/>
      <c r="B14633" s="3"/>
      <c r="C14633" s="3"/>
      <c r="D14633" s="3"/>
      <c r="E14633" s="3">
        <v>10</v>
      </c>
      <c r="F14633" s="4" t="str">
        <f>HYPERLINK("http://141.218.60.56/~jnz1568/getInfo.php?workbook=10_05.xlsx&amp;sheet=U0&amp;row=14633&amp;col=6&amp;number=3.9&amp;sourceID=14","3.9")</f>
        <v>3.9</v>
      </c>
      <c r="G14633" s="4" t="str">
        <f>HYPERLINK("http://141.218.60.56/~jnz1568/getInfo.php?workbook=10_05.xlsx&amp;sheet=U0&amp;row=14633&amp;col=7&amp;number=0.209&amp;sourceID=14","0.209")</f>
        <v>0.209</v>
      </c>
    </row>
    <row r="14634" spans="1:7">
      <c r="A14634" s="3"/>
      <c r="B14634" s="3"/>
      <c r="C14634" s="3"/>
      <c r="D14634" s="3"/>
      <c r="E14634" s="3">
        <v>11</v>
      </c>
      <c r="F14634" s="4" t="str">
        <f>HYPERLINK("http://141.218.60.56/~jnz1568/getInfo.php?workbook=10_05.xlsx&amp;sheet=U0&amp;row=14634&amp;col=6&amp;number=4&amp;sourceID=14","4")</f>
        <v>4</v>
      </c>
      <c r="G14634" s="4" t="str">
        <f>HYPERLINK("http://141.218.60.56/~jnz1568/getInfo.php?workbook=10_05.xlsx&amp;sheet=U0&amp;row=14634&amp;col=7&amp;number=0.219&amp;sourceID=14","0.219")</f>
        <v>0.219</v>
      </c>
    </row>
    <row r="14635" spans="1:7">
      <c r="A14635" s="3"/>
      <c r="B14635" s="3"/>
      <c r="C14635" s="3"/>
      <c r="D14635" s="3"/>
      <c r="E14635" s="3">
        <v>12</v>
      </c>
      <c r="F14635" s="4" t="str">
        <f>HYPERLINK("http://141.218.60.56/~jnz1568/getInfo.php?workbook=10_05.xlsx&amp;sheet=U0&amp;row=14635&amp;col=6&amp;number=4.1&amp;sourceID=14","4.1")</f>
        <v>4.1</v>
      </c>
      <c r="G14635" s="4" t="str">
        <f>HYPERLINK("http://141.218.60.56/~jnz1568/getInfo.php?workbook=10_05.xlsx&amp;sheet=U0&amp;row=14635&amp;col=7&amp;number=0.225&amp;sourceID=14","0.225")</f>
        <v>0.225</v>
      </c>
    </row>
    <row r="14636" spans="1:7">
      <c r="A14636" s="3"/>
      <c r="B14636" s="3"/>
      <c r="C14636" s="3"/>
      <c r="D14636" s="3"/>
      <c r="E14636" s="3">
        <v>13</v>
      </c>
      <c r="F14636" s="4" t="str">
        <f>HYPERLINK("http://141.218.60.56/~jnz1568/getInfo.php?workbook=10_05.xlsx&amp;sheet=U0&amp;row=14636&amp;col=6&amp;number=4.2&amp;sourceID=14","4.2")</f>
        <v>4.2</v>
      </c>
      <c r="G14636" s="4" t="str">
        <f>HYPERLINK("http://141.218.60.56/~jnz1568/getInfo.php?workbook=10_05.xlsx&amp;sheet=U0&amp;row=14636&amp;col=7&amp;number=0.226&amp;sourceID=14","0.226")</f>
        <v>0.226</v>
      </c>
    </row>
    <row r="14637" spans="1:7">
      <c r="A14637" s="3"/>
      <c r="B14637" s="3"/>
      <c r="C14637" s="3"/>
      <c r="D14637" s="3"/>
      <c r="E14637" s="3">
        <v>14</v>
      </c>
      <c r="F14637" s="4" t="str">
        <f>HYPERLINK("http://141.218.60.56/~jnz1568/getInfo.php?workbook=10_05.xlsx&amp;sheet=U0&amp;row=14637&amp;col=6&amp;number=4.3&amp;sourceID=14","4.3")</f>
        <v>4.3</v>
      </c>
      <c r="G14637" s="4" t="str">
        <f>HYPERLINK("http://141.218.60.56/~jnz1568/getInfo.php?workbook=10_05.xlsx&amp;sheet=U0&amp;row=14637&amp;col=7&amp;number=0.221&amp;sourceID=14","0.221")</f>
        <v>0.221</v>
      </c>
    </row>
    <row r="14638" spans="1:7">
      <c r="A14638" s="3"/>
      <c r="B14638" s="3"/>
      <c r="C14638" s="3"/>
      <c r="D14638" s="3"/>
      <c r="E14638" s="3">
        <v>15</v>
      </c>
      <c r="F14638" s="4" t="str">
        <f>HYPERLINK("http://141.218.60.56/~jnz1568/getInfo.php?workbook=10_05.xlsx&amp;sheet=U0&amp;row=14638&amp;col=6&amp;number=4.4&amp;sourceID=14","4.4")</f>
        <v>4.4</v>
      </c>
      <c r="G14638" s="4" t="str">
        <f>HYPERLINK("http://141.218.60.56/~jnz1568/getInfo.php?workbook=10_05.xlsx&amp;sheet=U0&amp;row=14638&amp;col=7&amp;number=0.212&amp;sourceID=14","0.212")</f>
        <v>0.212</v>
      </c>
    </row>
    <row r="14639" spans="1:7">
      <c r="A14639" s="3"/>
      <c r="B14639" s="3"/>
      <c r="C14639" s="3"/>
      <c r="D14639" s="3"/>
      <c r="E14639" s="3">
        <v>16</v>
      </c>
      <c r="F14639" s="4" t="str">
        <f>HYPERLINK("http://141.218.60.56/~jnz1568/getInfo.php?workbook=10_05.xlsx&amp;sheet=U0&amp;row=14639&amp;col=6&amp;number=4.5&amp;sourceID=14","4.5")</f>
        <v>4.5</v>
      </c>
      <c r="G14639" s="4" t="str">
        <f>HYPERLINK("http://141.218.60.56/~jnz1568/getInfo.php?workbook=10_05.xlsx&amp;sheet=U0&amp;row=14639&amp;col=7&amp;number=0.204&amp;sourceID=14","0.204")</f>
        <v>0.204</v>
      </c>
    </row>
    <row r="14640" spans="1:7">
      <c r="A14640" s="3"/>
      <c r="B14640" s="3"/>
      <c r="C14640" s="3"/>
      <c r="D14640" s="3"/>
      <c r="E14640" s="3">
        <v>17</v>
      </c>
      <c r="F14640" s="4" t="str">
        <f>HYPERLINK("http://141.218.60.56/~jnz1568/getInfo.php?workbook=10_05.xlsx&amp;sheet=U0&amp;row=14640&amp;col=6&amp;number=4.6&amp;sourceID=14","4.6")</f>
        <v>4.6</v>
      </c>
      <c r="G14640" s="4" t="str">
        <f>HYPERLINK("http://141.218.60.56/~jnz1568/getInfo.php?workbook=10_05.xlsx&amp;sheet=U0&amp;row=14640&amp;col=7&amp;number=0.196&amp;sourceID=14","0.196")</f>
        <v>0.196</v>
      </c>
    </row>
    <row r="14641" spans="1:7">
      <c r="A14641" s="3"/>
      <c r="B14641" s="3"/>
      <c r="C14641" s="3"/>
      <c r="D14641" s="3"/>
      <c r="E14641" s="3">
        <v>18</v>
      </c>
      <c r="F14641" s="4" t="str">
        <f>HYPERLINK("http://141.218.60.56/~jnz1568/getInfo.php?workbook=10_05.xlsx&amp;sheet=U0&amp;row=14641&amp;col=6&amp;number=4.7&amp;sourceID=14","4.7")</f>
        <v>4.7</v>
      </c>
      <c r="G14641" s="4" t="str">
        <f>HYPERLINK("http://141.218.60.56/~jnz1568/getInfo.php?workbook=10_05.xlsx&amp;sheet=U0&amp;row=14641&amp;col=7&amp;number=0.186&amp;sourceID=14","0.186")</f>
        <v>0.186</v>
      </c>
    </row>
    <row r="14642" spans="1:7">
      <c r="A14642" s="3"/>
      <c r="B14642" s="3"/>
      <c r="C14642" s="3"/>
      <c r="D14642" s="3"/>
      <c r="E14642" s="3">
        <v>19</v>
      </c>
      <c r="F14642" s="4" t="str">
        <f>HYPERLINK("http://141.218.60.56/~jnz1568/getInfo.php?workbook=10_05.xlsx&amp;sheet=U0&amp;row=14642&amp;col=6&amp;number=4.8&amp;sourceID=14","4.8")</f>
        <v>4.8</v>
      </c>
      <c r="G14642" s="4" t="str">
        <f>HYPERLINK("http://141.218.60.56/~jnz1568/getInfo.php?workbook=10_05.xlsx&amp;sheet=U0&amp;row=14642&amp;col=7&amp;number=0.172&amp;sourceID=14","0.172")</f>
        <v>0.172</v>
      </c>
    </row>
    <row r="14643" spans="1:7">
      <c r="A14643" s="3"/>
      <c r="B14643" s="3"/>
      <c r="C14643" s="3"/>
      <c r="D14643" s="3"/>
      <c r="E14643" s="3">
        <v>20</v>
      </c>
      <c r="F14643" s="4" t="str">
        <f>HYPERLINK("http://141.218.60.56/~jnz1568/getInfo.php?workbook=10_05.xlsx&amp;sheet=U0&amp;row=14643&amp;col=6&amp;number=4.9&amp;sourceID=14","4.9")</f>
        <v>4.9</v>
      </c>
      <c r="G14643" s="4" t="str">
        <f>HYPERLINK("http://141.218.60.56/~jnz1568/getInfo.php?workbook=10_05.xlsx&amp;sheet=U0&amp;row=14643&amp;col=7&amp;number=0.157&amp;sourceID=14","0.157")</f>
        <v>0.157</v>
      </c>
    </row>
    <row r="14644" spans="1:7">
      <c r="A14644" s="3">
        <v>10</v>
      </c>
      <c r="B14644" s="3">
        <v>5</v>
      </c>
      <c r="C14644" s="3">
        <v>5</v>
      </c>
      <c r="D14644" s="3">
        <v>28</v>
      </c>
      <c r="E14644" s="3">
        <v>1</v>
      </c>
      <c r="F14644" s="4" t="str">
        <f>HYPERLINK("http://141.218.60.56/~jnz1568/getInfo.php?workbook=10_05.xlsx&amp;sheet=U0&amp;row=14644&amp;col=6&amp;number=3&amp;sourceID=14","3")</f>
        <v>3</v>
      </c>
      <c r="G14644" s="4" t="str">
        <f>HYPERLINK("http://141.218.60.56/~jnz1568/getInfo.php?workbook=10_05.xlsx&amp;sheet=U0&amp;row=14644&amp;col=7&amp;number=0.0608&amp;sourceID=14","0.0608")</f>
        <v>0.0608</v>
      </c>
    </row>
    <row r="14645" spans="1:7">
      <c r="A14645" s="3"/>
      <c r="B14645" s="3"/>
      <c r="C14645" s="3"/>
      <c r="D14645" s="3"/>
      <c r="E14645" s="3">
        <v>2</v>
      </c>
      <c r="F14645" s="4" t="str">
        <f>HYPERLINK("http://141.218.60.56/~jnz1568/getInfo.php?workbook=10_05.xlsx&amp;sheet=U0&amp;row=14645&amp;col=6&amp;number=3.1&amp;sourceID=14","3.1")</f>
        <v>3.1</v>
      </c>
      <c r="G14645" s="4" t="str">
        <f>HYPERLINK("http://141.218.60.56/~jnz1568/getInfo.php?workbook=10_05.xlsx&amp;sheet=U0&amp;row=14645&amp;col=7&amp;number=0.0614&amp;sourceID=14","0.0614")</f>
        <v>0.0614</v>
      </c>
    </row>
    <row r="14646" spans="1:7">
      <c r="A14646" s="3"/>
      <c r="B14646" s="3"/>
      <c r="C14646" s="3"/>
      <c r="D14646" s="3"/>
      <c r="E14646" s="3">
        <v>3</v>
      </c>
      <c r="F14646" s="4" t="str">
        <f>HYPERLINK("http://141.218.60.56/~jnz1568/getInfo.php?workbook=10_05.xlsx&amp;sheet=U0&amp;row=14646&amp;col=6&amp;number=3.2&amp;sourceID=14","3.2")</f>
        <v>3.2</v>
      </c>
      <c r="G14646" s="4" t="str">
        <f>HYPERLINK("http://141.218.60.56/~jnz1568/getInfo.php?workbook=10_05.xlsx&amp;sheet=U0&amp;row=14646&amp;col=7&amp;number=0.0622&amp;sourceID=14","0.0622")</f>
        <v>0.0622</v>
      </c>
    </row>
    <row r="14647" spans="1:7">
      <c r="A14647" s="3"/>
      <c r="B14647" s="3"/>
      <c r="C14647" s="3"/>
      <c r="D14647" s="3"/>
      <c r="E14647" s="3">
        <v>4</v>
      </c>
      <c r="F14647" s="4" t="str">
        <f>HYPERLINK("http://141.218.60.56/~jnz1568/getInfo.php?workbook=10_05.xlsx&amp;sheet=U0&amp;row=14647&amp;col=6&amp;number=3.3&amp;sourceID=14","3.3")</f>
        <v>3.3</v>
      </c>
      <c r="G14647" s="4" t="str">
        <f>HYPERLINK("http://141.218.60.56/~jnz1568/getInfo.php?workbook=10_05.xlsx&amp;sheet=U0&amp;row=14647&amp;col=7&amp;number=0.0631&amp;sourceID=14","0.0631")</f>
        <v>0.0631</v>
      </c>
    </row>
    <row r="14648" spans="1:7">
      <c r="A14648" s="3"/>
      <c r="B14648" s="3"/>
      <c r="C14648" s="3"/>
      <c r="D14648" s="3"/>
      <c r="E14648" s="3">
        <v>5</v>
      </c>
      <c r="F14648" s="4" t="str">
        <f>HYPERLINK("http://141.218.60.56/~jnz1568/getInfo.php?workbook=10_05.xlsx&amp;sheet=U0&amp;row=14648&amp;col=6&amp;number=3.4&amp;sourceID=14","3.4")</f>
        <v>3.4</v>
      </c>
      <c r="G14648" s="4" t="str">
        <f>HYPERLINK("http://141.218.60.56/~jnz1568/getInfo.php?workbook=10_05.xlsx&amp;sheet=U0&amp;row=14648&amp;col=7&amp;number=0.0643&amp;sourceID=14","0.0643")</f>
        <v>0.0643</v>
      </c>
    </row>
    <row r="14649" spans="1:7">
      <c r="A14649" s="3"/>
      <c r="B14649" s="3"/>
      <c r="C14649" s="3"/>
      <c r="D14649" s="3"/>
      <c r="E14649" s="3">
        <v>6</v>
      </c>
      <c r="F14649" s="4" t="str">
        <f>HYPERLINK("http://141.218.60.56/~jnz1568/getInfo.php?workbook=10_05.xlsx&amp;sheet=U0&amp;row=14649&amp;col=6&amp;number=3.5&amp;sourceID=14","3.5")</f>
        <v>3.5</v>
      </c>
      <c r="G14649" s="4" t="str">
        <f>HYPERLINK("http://141.218.60.56/~jnz1568/getInfo.php?workbook=10_05.xlsx&amp;sheet=U0&amp;row=14649&amp;col=7&amp;number=0.0657&amp;sourceID=14","0.0657")</f>
        <v>0.0657</v>
      </c>
    </row>
    <row r="14650" spans="1:7">
      <c r="A14650" s="3"/>
      <c r="B14650" s="3"/>
      <c r="C14650" s="3"/>
      <c r="D14650" s="3"/>
      <c r="E14650" s="3">
        <v>7</v>
      </c>
      <c r="F14650" s="4" t="str">
        <f>HYPERLINK("http://141.218.60.56/~jnz1568/getInfo.php?workbook=10_05.xlsx&amp;sheet=U0&amp;row=14650&amp;col=6&amp;number=3.6&amp;sourceID=14","3.6")</f>
        <v>3.6</v>
      </c>
      <c r="G14650" s="4" t="str">
        <f>HYPERLINK("http://141.218.60.56/~jnz1568/getInfo.php?workbook=10_05.xlsx&amp;sheet=U0&amp;row=14650&amp;col=7&amp;number=0.0673&amp;sourceID=14","0.0673")</f>
        <v>0.0673</v>
      </c>
    </row>
    <row r="14651" spans="1:7">
      <c r="A14651" s="3"/>
      <c r="B14651" s="3"/>
      <c r="C14651" s="3"/>
      <c r="D14651" s="3"/>
      <c r="E14651" s="3">
        <v>8</v>
      </c>
      <c r="F14651" s="4" t="str">
        <f>HYPERLINK("http://141.218.60.56/~jnz1568/getInfo.php?workbook=10_05.xlsx&amp;sheet=U0&amp;row=14651&amp;col=6&amp;number=3.7&amp;sourceID=14","3.7")</f>
        <v>3.7</v>
      </c>
      <c r="G14651" s="4" t="str">
        <f>HYPERLINK("http://141.218.60.56/~jnz1568/getInfo.php?workbook=10_05.xlsx&amp;sheet=U0&amp;row=14651&amp;col=7&amp;number=0.0691&amp;sourceID=14","0.0691")</f>
        <v>0.0691</v>
      </c>
    </row>
    <row r="14652" spans="1:7">
      <c r="A14652" s="3"/>
      <c r="B14652" s="3"/>
      <c r="C14652" s="3"/>
      <c r="D14652" s="3"/>
      <c r="E14652" s="3">
        <v>9</v>
      </c>
      <c r="F14652" s="4" t="str">
        <f>HYPERLINK("http://141.218.60.56/~jnz1568/getInfo.php?workbook=10_05.xlsx&amp;sheet=U0&amp;row=14652&amp;col=6&amp;number=3.8&amp;sourceID=14","3.8")</f>
        <v>3.8</v>
      </c>
      <c r="G14652" s="4" t="str">
        <f>HYPERLINK("http://141.218.60.56/~jnz1568/getInfo.php?workbook=10_05.xlsx&amp;sheet=U0&amp;row=14652&amp;col=7&amp;number=0.071&amp;sourceID=14","0.071")</f>
        <v>0.071</v>
      </c>
    </row>
    <row r="14653" spans="1:7">
      <c r="A14653" s="3"/>
      <c r="B14653" s="3"/>
      <c r="C14653" s="3"/>
      <c r="D14653" s="3"/>
      <c r="E14653" s="3">
        <v>10</v>
      </c>
      <c r="F14653" s="4" t="str">
        <f>HYPERLINK("http://141.218.60.56/~jnz1568/getInfo.php?workbook=10_05.xlsx&amp;sheet=U0&amp;row=14653&amp;col=6&amp;number=3.9&amp;sourceID=14","3.9")</f>
        <v>3.9</v>
      </c>
      <c r="G14653" s="4" t="str">
        <f>HYPERLINK("http://141.218.60.56/~jnz1568/getInfo.php?workbook=10_05.xlsx&amp;sheet=U0&amp;row=14653&amp;col=7&amp;number=0.0728&amp;sourceID=14","0.0728")</f>
        <v>0.0728</v>
      </c>
    </row>
    <row r="14654" spans="1:7">
      <c r="A14654" s="3"/>
      <c r="B14654" s="3"/>
      <c r="C14654" s="3"/>
      <c r="D14654" s="3"/>
      <c r="E14654" s="3">
        <v>11</v>
      </c>
      <c r="F14654" s="4" t="str">
        <f>HYPERLINK("http://141.218.60.56/~jnz1568/getInfo.php?workbook=10_05.xlsx&amp;sheet=U0&amp;row=14654&amp;col=6&amp;number=4&amp;sourceID=14","4")</f>
        <v>4</v>
      </c>
      <c r="G14654" s="4" t="str">
        <f>HYPERLINK("http://141.218.60.56/~jnz1568/getInfo.php?workbook=10_05.xlsx&amp;sheet=U0&amp;row=14654&amp;col=7&amp;number=0.0741&amp;sourceID=14","0.0741")</f>
        <v>0.0741</v>
      </c>
    </row>
    <row r="14655" spans="1:7">
      <c r="A14655" s="3"/>
      <c r="B14655" s="3"/>
      <c r="C14655" s="3"/>
      <c r="D14655" s="3"/>
      <c r="E14655" s="3">
        <v>12</v>
      </c>
      <c r="F14655" s="4" t="str">
        <f>HYPERLINK("http://141.218.60.56/~jnz1568/getInfo.php?workbook=10_05.xlsx&amp;sheet=U0&amp;row=14655&amp;col=6&amp;number=4.1&amp;sourceID=14","4.1")</f>
        <v>4.1</v>
      </c>
      <c r="G14655" s="4" t="str">
        <f>HYPERLINK("http://141.218.60.56/~jnz1568/getInfo.php?workbook=10_05.xlsx&amp;sheet=U0&amp;row=14655&amp;col=7&amp;number=0.0741&amp;sourceID=14","0.0741")</f>
        <v>0.0741</v>
      </c>
    </row>
    <row r="14656" spans="1:7">
      <c r="A14656" s="3"/>
      <c r="B14656" s="3"/>
      <c r="C14656" s="3"/>
      <c r="D14656" s="3"/>
      <c r="E14656" s="3">
        <v>13</v>
      </c>
      <c r="F14656" s="4" t="str">
        <f>HYPERLINK("http://141.218.60.56/~jnz1568/getInfo.php?workbook=10_05.xlsx&amp;sheet=U0&amp;row=14656&amp;col=6&amp;number=4.2&amp;sourceID=14","4.2")</f>
        <v>4.2</v>
      </c>
      <c r="G14656" s="4" t="str">
        <f>HYPERLINK("http://141.218.60.56/~jnz1568/getInfo.php?workbook=10_05.xlsx&amp;sheet=U0&amp;row=14656&amp;col=7&amp;number=0.0727&amp;sourceID=14","0.0727")</f>
        <v>0.0727</v>
      </c>
    </row>
    <row r="14657" spans="1:7">
      <c r="A14657" s="3"/>
      <c r="B14657" s="3"/>
      <c r="C14657" s="3"/>
      <c r="D14657" s="3"/>
      <c r="E14657" s="3">
        <v>14</v>
      </c>
      <c r="F14657" s="4" t="str">
        <f>HYPERLINK("http://141.218.60.56/~jnz1568/getInfo.php?workbook=10_05.xlsx&amp;sheet=U0&amp;row=14657&amp;col=6&amp;number=4.3&amp;sourceID=14","4.3")</f>
        <v>4.3</v>
      </c>
      <c r="G14657" s="4" t="str">
        <f>HYPERLINK("http://141.218.60.56/~jnz1568/getInfo.php?workbook=10_05.xlsx&amp;sheet=U0&amp;row=14657&amp;col=7&amp;number=0.0699&amp;sourceID=14","0.0699")</f>
        <v>0.0699</v>
      </c>
    </row>
    <row r="14658" spans="1:7">
      <c r="A14658" s="3"/>
      <c r="B14658" s="3"/>
      <c r="C14658" s="3"/>
      <c r="D14658" s="3"/>
      <c r="E14658" s="3">
        <v>15</v>
      </c>
      <c r="F14658" s="4" t="str">
        <f>HYPERLINK("http://141.218.60.56/~jnz1568/getInfo.php?workbook=10_05.xlsx&amp;sheet=U0&amp;row=14658&amp;col=6&amp;number=4.4&amp;sourceID=14","4.4")</f>
        <v>4.4</v>
      </c>
      <c r="G14658" s="4" t="str">
        <f>HYPERLINK("http://141.218.60.56/~jnz1568/getInfo.php?workbook=10_05.xlsx&amp;sheet=U0&amp;row=14658&amp;col=7&amp;number=0.0662&amp;sourceID=14","0.0662")</f>
        <v>0.0662</v>
      </c>
    </row>
    <row r="14659" spans="1:7">
      <c r="A14659" s="3"/>
      <c r="B14659" s="3"/>
      <c r="C14659" s="3"/>
      <c r="D14659" s="3"/>
      <c r="E14659" s="3">
        <v>16</v>
      </c>
      <c r="F14659" s="4" t="str">
        <f>HYPERLINK("http://141.218.60.56/~jnz1568/getInfo.php?workbook=10_05.xlsx&amp;sheet=U0&amp;row=14659&amp;col=6&amp;number=4.5&amp;sourceID=14","4.5")</f>
        <v>4.5</v>
      </c>
      <c r="G14659" s="4" t="str">
        <f>HYPERLINK("http://141.218.60.56/~jnz1568/getInfo.php?workbook=10_05.xlsx&amp;sheet=U0&amp;row=14659&amp;col=7&amp;number=0.0624&amp;sourceID=14","0.0624")</f>
        <v>0.0624</v>
      </c>
    </row>
    <row r="14660" spans="1:7">
      <c r="A14660" s="3"/>
      <c r="B14660" s="3"/>
      <c r="C14660" s="3"/>
      <c r="D14660" s="3"/>
      <c r="E14660" s="3">
        <v>17</v>
      </c>
      <c r="F14660" s="4" t="str">
        <f>HYPERLINK("http://141.218.60.56/~jnz1568/getInfo.php?workbook=10_05.xlsx&amp;sheet=U0&amp;row=14660&amp;col=6&amp;number=4.6&amp;sourceID=14","4.6")</f>
        <v>4.6</v>
      </c>
      <c r="G14660" s="4" t="str">
        <f>HYPERLINK("http://141.218.60.56/~jnz1568/getInfo.php?workbook=10_05.xlsx&amp;sheet=U0&amp;row=14660&amp;col=7&amp;number=0.058&amp;sourceID=14","0.058")</f>
        <v>0.058</v>
      </c>
    </row>
    <row r="14661" spans="1:7">
      <c r="A14661" s="3"/>
      <c r="B14661" s="3"/>
      <c r="C14661" s="3"/>
      <c r="D14661" s="3"/>
      <c r="E14661" s="3">
        <v>18</v>
      </c>
      <c r="F14661" s="4" t="str">
        <f>HYPERLINK("http://141.218.60.56/~jnz1568/getInfo.php?workbook=10_05.xlsx&amp;sheet=U0&amp;row=14661&amp;col=6&amp;number=4.7&amp;sourceID=14","4.7")</f>
        <v>4.7</v>
      </c>
      <c r="G14661" s="4" t="str">
        <f>HYPERLINK("http://141.218.60.56/~jnz1568/getInfo.php?workbook=10_05.xlsx&amp;sheet=U0&amp;row=14661&amp;col=7&amp;number=0.0531&amp;sourceID=14","0.0531")</f>
        <v>0.0531</v>
      </c>
    </row>
    <row r="14662" spans="1:7">
      <c r="A14662" s="3"/>
      <c r="B14662" s="3"/>
      <c r="C14662" s="3"/>
      <c r="D14662" s="3"/>
      <c r="E14662" s="3">
        <v>19</v>
      </c>
      <c r="F14662" s="4" t="str">
        <f>HYPERLINK("http://141.218.60.56/~jnz1568/getInfo.php?workbook=10_05.xlsx&amp;sheet=U0&amp;row=14662&amp;col=6&amp;number=4.8&amp;sourceID=14","4.8")</f>
        <v>4.8</v>
      </c>
      <c r="G14662" s="4" t="str">
        <f>HYPERLINK("http://141.218.60.56/~jnz1568/getInfo.php?workbook=10_05.xlsx&amp;sheet=U0&amp;row=14662&amp;col=7&amp;number=0.0479&amp;sourceID=14","0.0479")</f>
        <v>0.0479</v>
      </c>
    </row>
    <row r="14663" spans="1:7">
      <c r="A14663" s="3"/>
      <c r="B14663" s="3"/>
      <c r="C14663" s="3"/>
      <c r="D14663" s="3"/>
      <c r="E14663" s="3">
        <v>20</v>
      </c>
      <c r="F14663" s="4" t="str">
        <f>HYPERLINK("http://141.218.60.56/~jnz1568/getInfo.php?workbook=10_05.xlsx&amp;sheet=U0&amp;row=14663&amp;col=6&amp;number=4.9&amp;sourceID=14","4.9")</f>
        <v>4.9</v>
      </c>
      <c r="G14663" s="4" t="str">
        <f>HYPERLINK("http://141.218.60.56/~jnz1568/getInfo.php?workbook=10_05.xlsx&amp;sheet=U0&amp;row=14663&amp;col=7&amp;number=0.043&amp;sourceID=14","0.043")</f>
        <v>0.043</v>
      </c>
    </row>
    <row r="14664" spans="1:7">
      <c r="A14664" s="3">
        <v>10</v>
      </c>
      <c r="B14664" s="3">
        <v>5</v>
      </c>
      <c r="C14664" s="3">
        <v>5</v>
      </c>
      <c r="D14664" s="3">
        <v>29</v>
      </c>
      <c r="E14664" s="3">
        <v>1</v>
      </c>
      <c r="F14664" s="4" t="str">
        <f>HYPERLINK("http://141.218.60.56/~jnz1568/getInfo.php?workbook=10_05.xlsx&amp;sheet=U0&amp;row=14664&amp;col=6&amp;number=3&amp;sourceID=14","3")</f>
        <v>3</v>
      </c>
      <c r="G14664" s="4" t="str">
        <f>HYPERLINK("http://141.218.60.56/~jnz1568/getInfo.php?workbook=10_05.xlsx&amp;sheet=U0&amp;row=14664&amp;col=7&amp;number=0.16&amp;sourceID=14","0.16")</f>
        <v>0.16</v>
      </c>
    </row>
    <row r="14665" spans="1:7">
      <c r="A14665" s="3"/>
      <c r="B14665" s="3"/>
      <c r="C14665" s="3"/>
      <c r="D14665" s="3"/>
      <c r="E14665" s="3">
        <v>2</v>
      </c>
      <c r="F14665" s="4" t="str">
        <f>HYPERLINK("http://141.218.60.56/~jnz1568/getInfo.php?workbook=10_05.xlsx&amp;sheet=U0&amp;row=14665&amp;col=6&amp;number=3.1&amp;sourceID=14","3.1")</f>
        <v>3.1</v>
      </c>
      <c r="G14665" s="4" t="str">
        <f>HYPERLINK("http://141.218.60.56/~jnz1568/getInfo.php?workbook=10_05.xlsx&amp;sheet=U0&amp;row=14665&amp;col=7&amp;number=0.161&amp;sourceID=14","0.161")</f>
        <v>0.161</v>
      </c>
    </row>
    <row r="14666" spans="1:7">
      <c r="A14666" s="3"/>
      <c r="B14666" s="3"/>
      <c r="C14666" s="3"/>
      <c r="D14666" s="3"/>
      <c r="E14666" s="3">
        <v>3</v>
      </c>
      <c r="F14666" s="4" t="str">
        <f>HYPERLINK("http://141.218.60.56/~jnz1568/getInfo.php?workbook=10_05.xlsx&amp;sheet=U0&amp;row=14666&amp;col=6&amp;number=3.2&amp;sourceID=14","3.2")</f>
        <v>3.2</v>
      </c>
      <c r="G14666" s="4" t="str">
        <f>HYPERLINK("http://141.218.60.56/~jnz1568/getInfo.php?workbook=10_05.xlsx&amp;sheet=U0&amp;row=14666&amp;col=7&amp;number=0.162&amp;sourceID=14","0.162")</f>
        <v>0.162</v>
      </c>
    </row>
    <row r="14667" spans="1:7">
      <c r="A14667" s="3"/>
      <c r="B14667" s="3"/>
      <c r="C14667" s="3"/>
      <c r="D14667" s="3"/>
      <c r="E14667" s="3">
        <v>4</v>
      </c>
      <c r="F14667" s="4" t="str">
        <f>HYPERLINK("http://141.218.60.56/~jnz1568/getInfo.php?workbook=10_05.xlsx&amp;sheet=U0&amp;row=14667&amp;col=6&amp;number=3.3&amp;sourceID=14","3.3")</f>
        <v>3.3</v>
      </c>
      <c r="G14667" s="4" t="str">
        <f>HYPERLINK("http://141.218.60.56/~jnz1568/getInfo.php?workbook=10_05.xlsx&amp;sheet=U0&amp;row=14667&amp;col=7&amp;number=0.164&amp;sourceID=14","0.164")</f>
        <v>0.164</v>
      </c>
    </row>
    <row r="14668" spans="1:7">
      <c r="A14668" s="3"/>
      <c r="B14668" s="3"/>
      <c r="C14668" s="3"/>
      <c r="D14668" s="3"/>
      <c r="E14668" s="3">
        <v>5</v>
      </c>
      <c r="F14668" s="4" t="str">
        <f>HYPERLINK("http://141.218.60.56/~jnz1568/getInfo.php?workbook=10_05.xlsx&amp;sheet=U0&amp;row=14668&amp;col=6&amp;number=3.4&amp;sourceID=14","3.4")</f>
        <v>3.4</v>
      </c>
      <c r="G14668" s="4" t="str">
        <f>HYPERLINK("http://141.218.60.56/~jnz1568/getInfo.php?workbook=10_05.xlsx&amp;sheet=U0&amp;row=14668&amp;col=7&amp;number=0.166&amp;sourceID=14","0.166")</f>
        <v>0.166</v>
      </c>
    </row>
    <row r="14669" spans="1:7">
      <c r="A14669" s="3"/>
      <c r="B14669" s="3"/>
      <c r="C14669" s="3"/>
      <c r="D14669" s="3"/>
      <c r="E14669" s="3">
        <v>6</v>
      </c>
      <c r="F14669" s="4" t="str">
        <f>HYPERLINK("http://141.218.60.56/~jnz1568/getInfo.php?workbook=10_05.xlsx&amp;sheet=U0&amp;row=14669&amp;col=6&amp;number=3.5&amp;sourceID=14","3.5")</f>
        <v>3.5</v>
      </c>
      <c r="G14669" s="4" t="str">
        <f>HYPERLINK("http://141.218.60.56/~jnz1568/getInfo.php?workbook=10_05.xlsx&amp;sheet=U0&amp;row=14669&amp;col=7&amp;number=0.169&amp;sourceID=14","0.169")</f>
        <v>0.169</v>
      </c>
    </row>
    <row r="14670" spans="1:7">
      <c r="A14670" s="3"/>
      <c r="B14670" s="3"/>
      <c r="C14670" s="3"/>
      <c r="D14670" s="3"/>
      <c r="E14670" s="3">
        <v>7</v>
      </c>
      <c r="F14670" s="4" t="str">
        <f>HYPERLINK("http://141.218.60.56/~jnz1568/getInfo.php?workbook=10_05.xlsx&amp;sheet=U0&amp;row=14670&amp;col=6&amp;number=3.6&amp;sourceID=14","3.6")</f>
        <v>3.6</v>
      </c>
      <c r="G14670" s="4" t="str">
        <f>HYPERLINK("http://141.218.60.56/~jnz1568/getInfo.php?workbook=10_05.xlsx&amp;sheet=U0&amp;row=14670&amp;col=7&amp;number=0.172&amp;sourceID=14","0.172")</f>
        <v>0.172</v>
      </c>
    </row>
    <row r="14671" spans="1:7">
      <c r="A14671" s="3"/>
      <c r="B14671" s="3"/>
      <c r="C14671" s="3"/>
      <c r="D14671" s="3"/>
      <c r="E14671" s="3">
        <v>8</v>
      </c>
      <c r="F14671" s="4" t="str">
        <f>HYPERLINK("http://141.218.60.56/~jnz1568/getInfo.php?workbook=10_05.xlsx&amp;sheet=U0&amp;row=14671&amp;col=6&amp;number=3.7&amp;sourceID=14","3.7")</f>
        <v>3.7</v>
      </c>
      <c r="G14671" s="4" t="str">
        <f>HYPERLINK("http://141.218.60.56/~jnz1568/getInfo.php?workbook=10_05.xlsx&amp;sheet=U0&amp;row=14671&amp;col=7&amp;number=0.175&amp;sourceID=14","0.175")</f>
        <v>0.175</v>
      </c>
    </row>
    <row r="14672" spans="1:7">
      <c r="A14672" s="3"/>
      <c r="B14672" s="3"/>
      <c r="C14672" s="3"/>
      <c r="D14672" s="3"/>
      <c r="E14672" s="3">
        <v>9</v>
      </c>
      <c r="F14672" s="4" t="str">
        <f>HYPERLINK("http://141.218.60.56/~jnz1568/getInfo.php?workbook=10_05.xlsx&amp;sheet=U0&amp;row=14672&amp;col=6&amp;number=3.8&amp;sourceID=14","3.8")</f>
        <v>3.8</v>
      </c>
      <c r="G14672" s="4" t="str">
        <f>HYPERLINK("http://141.218.60.56/~jnz1568/getInfo.php?workbook=10_05.xlsx&amp;sheet=U0&amp;row=14672&amp;col=7&amp;number=0.179&amp;sourceID=14","0.179")</f>
        <v>0.179</v>
      </c>
    </row>
    <row r="14673" spans="1:7">
      <c r="A14673" s="3"/>
      <c r="B14673" s="3"/>
      <c r="C14673" s="3"/>
      <c r="D14673" s="3"/>
      <c r="E14673" s="3">
        <v>10</v>
      </c>
      <c r="F14673" s="4" t="str">
        <f>HYPERLINK("http://141.218.60.56/~jnz1568/getInfo.php?workbook=10_05.xlsx&amp;sheet=U0&amp;row=14673&amp;col=6&amp;number=3.9&amp;sourceID=14","3.9")</f>
        <v>3.9</v>
      </c>
      <c r="G14673" s="4" t="str">
        <f>HYPERLINK("http://141.218.60.56/~jnz1568/getInfo.php?workbook=10_05.xlsx&amp;sheet=U0&amp;row=14673&amp;col=7&amp;number=0.182&amp;sourceID=14","0.182")</f>
        <v>0.182</v>
      </c>
    </row>
    <row r="14674" spans="1:7">
      <c r="A14674" s="3"/>
      <c r="B14674" s="3"/>
      <c r="C14674" s="3"/>
      <c r="D14674" s="3"/>
      <c r="E14674" s="3">
        <v>11</v>
      </c>
      <c r="F14674" s="4" t="str">
        <f>HYPERLINK("http://141.218.60.56/~jnz1568/getInfo.php?workbook=10_05.xlsx&amp;sheet=U0&amp;row=14674&amp;col=6&amp;number=4&amp;sourceID=14","4")</f>
        <v>4</v>
      </c>
      <c r="G14674" s="4" t="str">
        <f>HYPERLINK("http://141.218.60.56/~jnz1568/getInfo.php?workbook=10_05.xlsx&amp;sheet=U0&amp;row=14674&amp;col=7&amp;number=0.184&amp;sourceID=14","0.184")</f>
        <v>0.184</v>
      </c>
    </row>
    <row r="14675" spans="1:7">
      <c r="A14675" s="3"/>
      <c r="B14675" s="3"/>
      <c r="C14675" s="3"/>
      <c r="D14675" s="3"/>
      <c r="E14675" s="3">
        <v>12</v>
      </c>
      <c r="F14675" s="4" t="str">
        <f>HYPERLINK("http://141.218.60.56/~jnz1568/getInfo.php?workbook=10_05.xlsx&amp;sheet=U0&amp;row=14675&amp;col=6&amp;number=4.1&amp;sourceID=14","4.1")</f>
        <v>4.1</v>
      </c>
      <c r="G14675" s="4" t="str">
        <f>HYPERLINK("http://141.218.60.56/~jnz1568/getInfo.php?workbook=10_05.xlsx&amp;sheet=U0&amp;row=14675&amp;col=7&amp;number=0.184&amp;sourceID=14","0.184")</f>
        <v>0.184</v>
      </c>
    </row>
    <row r="14676" spans="1:7">
      <c r="A14676" s="3"/>
      <c r="B14676" s="3"/>
      <c r="C14676" s="3"/>
      <c r="D14676" s="3"/>
      <c r="E14676" s="3">
        <v>13</v>
      </c>
      <c r="F14676" s="4" t="str">
        <f>HYPERLINK("http://141.218.60.56/~jnz1568/getInfo.php?workbook=10_05.xlsx&amp;sheet=U0&amp;row=14676&amp;col=6&amp;number=4.2&amp;sourceID=14","4.2")</f>
        <v>4.2</v>
      </c>
      <c r="G14676" s="4" t="str">
        <f>HYPERLINK("http://141.218.60.56/~jnz1568/getInfo.php?workbook=10_05.xlsx&amp;sheet=U0&amp;row=14676&amp;col=7&amp;number=0.18&amp;sourceID=14","0.18")</f>
        <v>0.18</v>
      </c>
    </row>
    <row r="14677" spans="1:7">
      <c r="A14677" s="3"/>
      <c r="B14677" s="3"/>
      <c r="C14677" s="3"/>
      <c r="D14677" s="3"/>
      <c r="E14677" s="3">
        <v>14</v>
      </c>
      <c r="F14677" s="4" t="str">
        <f>HYPERLINK("http://141.218.60.56/~jnz1568/getInfo.php?workbook=10_05.xlsx&amp;sheet=U0&amp;row=14677&amp;col=6&amp;number=4.3&amp;sourceID=14","4.3")</f>
        <v>4.3</v>
      </c>
      <c r="G14677" s="4" t="str">
        <f>HYPERLINK("http://141.218.60.56/~jnz1568/getInfo.php?workbook=10_05.xlsx&amp;sheet=U0&amp;row=14677&amp;col=7&amp;number=0.173&amp;sourceID=14","0.173")</f>
        <v>0.173</v>
      </c>
    </row>
    <row r="14678" spans="1:7">
      <c r="A14678" s="3"/>
      <c r="B14678" s="3"/>
      <c r="C14678" s="3"/>
      <c r="D14678" s="3"/>
      <c r="E14678" s="3">
        <v>15</v>
      </c>
      <c r="F14678" s="4" t="str">
        <f>HYPERLINK("http://141.218.60.56/~jnz1568/getInfo.php?workbook=10_05.xlsx&amp;sheet=U0&amp;row=14678&amp;col=6&amp;number=4.4&amp;sourceID=14","4.4")</f>
        <v>4.4</v>
      </c>
      <c r="G14678" s="4" t="str">
        <f>HYPERLINK("http://141.218.60.56/~jnz1568/getInfo.php?workbook=10_05.xlsx&amp;sheet=U0&amp;row=14678&amp;col=7&amp;number=0.164&amp;sourceID=14","0.164")</f>
        <v>0.164</v>
      </c>
    </row>
    <row r="14679" spans="1:7">
      <c r="A14679" s="3"/>
      <c r="B14679" s="3"/>
      <c r="C14679" s="3"/>
      <c r="D14679" s="3"/>
      <c r="E14679" s="3">
        <v>16</v>
      </c>
      <c r="F14679" s="4" t="str">
        <f>HYPERLINK("http://141.218.60.56/~jnz1568/getInfo.php?workbook=10_05.xlsx&amp;sheet=U0&amp;row=14679&amp;col=6&amp;number=4.5&amp;sourceID=14","4.5")</f>
        <v>4.5</v>
      </c>
      <c r="G14679" s="4" t="str">
        <f>HYPERLINK("http://141.218.60.56/~jnz1568/getInfo.php?workbook=10_05.xlsx&amp;sheet=U0&amp;row=14679&amp;col=7&amp;number=0.154&amp;sourceID=14","0.154")</f>
        <v>0.154</v>
      </c>
    </row>
    <row r="14680" spans="1:7">
      <c r="A14680" s="3"/>
      <c r="B14680" s="3"/>
      <c r="C14680" s="3"/>
      <c r="D14680" s="3"/>
      <c r="E14680" s="3">
        <v>17</v>
      </c>
      <c r="F14680" s="4" t="str">
        <f>HYPERLINK("http://141.218.60.56/~jnz1568/getInfo.php?workbook=10_05.xlsx&amp;sheet=U0&amp;row=14680&amp;col=6&amp;number=4.6&amp;sourceID=14","4.6")</f>
        <v>4.6</v>
      </c>
      <c r="G14680" s="4" t="str">
        <f>HYPERLINK("http://141.218.60.56/~jnz1568/getInfo.php?workbook=10_05.xlsx&amp;sheet=U0&amp;row=14680&amp;col=7&amp;number=0.143&amp;sourceID=14","0.143")</f>
        <v>0.143</v>
      </c>
    </row>
    <row r="14681" spans="1:7">
      <c r="A14681" s="3"/>
      <c r="B14681" s="3"/>
      <c r="C14681" s="3"/>
      <c r="D14681" s="3"/>
      <c r="E14681" s="3">
        <v>18</v>
      </c>
      <c r="F14681" s="4" t="str">
        <f>HYPERLINK("http://141.218.60.56/~jnz1568/getInfo.php?workbook=10_05.xlsx&amp;sheet=U0&amp;row=14681&amp;col=6&amp;number=4.7&amp;sourceID=14","4.7")</f>
        <v>4.7</v>
      </c>
      <c r="G14681" s="4" t="str">
        <f>HYPERLINK("http://141.218.60.56/~jnz1568/getInfo.php?workbook=10_05.xlsx&amp;sheet=U0&amp;row=14681&amp;col=7&amp;number=0.131&amp;sourceID=14","0.131")</f>
        <v>0.131</v>
      </c>
    </row>
    <row r="14682" spans="1:7">
      <c r="A14682" s="3"/>
      <c r="B14682" s="3"/>
      <c r="C14682" s="3"/>
      <c r="D14682" s="3"/>
      <c r="E14682" s="3">
        <v>19</v>
      </c>
      <c r="F14682" s="4" t="str">
        <f>HYPERLINK("http://141.218.60.56/~jnz1568/getInfo.php?workbook=10_05.xlsx&amp;sheet=U0&amp;row=14682&amp;col=6&amp;number=4.8&amp;sourceID=14","4.8")</f>
        <v>4.8</v>
      </c>
      <c r="G14682" s="4" t="str">
        <f>HYPERLINK("http://141.218.60.56/~jnz1568/getInfo.php?workbook=10_05.xlsx&amp;sheet=U0&amp;row=14682&amp;col=7&amp;number=0.119&amp;sourceID=14","0.119")</f>
        <v>0.119</v>
      </c>
    </row>
    <row r="14683" spans="1:7">
      <c r="A14683" s="3"/>
      <c r="B14683" s="3"/>
      <c r="C14683" s="3"/>
      <c r="D14683" s="3"/>
      <c r="E14683" s="3">
        <v>20</v>
      </c>
      <c r="F14683" s="4" t="str">
        <f>HYPERLINK("http://141.218.60.56/~jnz1568/getInfo.php?workbook=10_05.xlsx&amp;sheet=U0&amp;row=14683&amp;col=6&amp;number=4.9&amp;sourceID=14","4.9")</f>
        <v>4.9</v>
      </c>
      <c r="G14683" s="4" t="str">
        <f>HYPERLINK("http://141.218.60.56/~jnz1568/getInfo.php?workbook=10_05.xlsx&amp;sheet=U0&amp;row=14683&amp;col=7&amp;number=0.107&amp;sourceID=14","0.107")</f>
        <v>0.107</v>
      </c>
    </row>
    <row r="14684" spans="1:7">
      <c r="A14684" s="3">
        <v>10</v>
      </c>
      <c r="B14684" s="3">
        <v>5</v>
      </c>
      <c r="C14684" s="3">
        <v>5</v>
      </c>
      <c r="D14684" s="3">
        <v>30</v>
      </c>
      <c r="E14684" s="3">
        <v>1</v>
      </c>
      <c r="F14684" s="4" t="str">
        <f>HYPERLINK("http://141.218.60.56/~jnz1568/getInfo.php?workbook=10_05.xlsx&amp;sheet=U0&amp;row=14684&amp;col=6&amp;number=3&amp;sourceID=14","3")</f>
        <v>3</v>
      </c>
      <c r="G14684" s="4" t="str">
        <f>HYPERLINK("http://141.218.60.56/~jnz1568/getInfo.php?workbook=10_05.xlsx&amp;sheet=U0&amp;row=14684&amp;col=7&amp;number=0.313&amp;sourceID=14","0.313")</f>
        <v>0.313</v>
      </c>
    </row>
    <row r="14685" spans="1:7">
      <c r="A14685" s="3"/>
      <c r="B14685" s="3"/>
      <c r="C14685" s="3"/>
      <c r="D14685" s="3"/>
      <c r="E14685" s="3">
        <v>2</v>
      </c>
      <c r="F14685" s="4" t="str">
        <f>HYPERLINK("http://141.218.60.56/~jnz1568/getInfo.php?workbook=10_05.xlsx&amp;sheet=U0&amp;row=14685&amp;col=6&amp;number=3.1&amp;sourceID=14","3.1")</f>
        <v>3.1</v>
      </c>
      <c r="G14685" s="4" t="str">
        <f>HYPERLINK("http://141.218.60.56/~jnz1568/getInfo.php?workbook=10_05.xlsx&amp;sheet=U0&amp;row=14685&amp;col=7&amp;number=0.316&amp;sourceID=14","0.316")</f>
        <v>0.316</v>
      </c>
    </row>
    <row r="14686" spans="1:7">
      <c r="A14686" s="3"/>
      <c r="B14686" s="3"/>
      <c r="C14686" s="3"/>
      <c r="D14686" s="3"/>
      <c r="E14686" s="3">
        <v>3</v>
      </c>
      <c r="F14686" s="4" t="str">
        <f>HYPERLINK("http://141.218.60.56/~jnz1568/getInfo.php?workbook=10_05.xlsx&amp;sheet=U0&amp;row=14686&amp;col=6&amp;number=3.2&amp;sourceID=14","3.2")</f>
        <v>3.2</v>
      </c>
      <c r="G14686" s="4" t="str">
        <f>HYPERLINK("http://141.218.60.56/~jnz1568/getInfo.php?workbook=10_05.xlsx&amp;sheet=U0&amp;row=14686&amp;col=7&amp;number=0.319&amp;sourceID=14","0.319")</f>
        <v>0.319</v>
      </c>
    </row>
    <row r="14687" spans="1:7">
      <c r="A14687" s="3"/>
      <c r="B14687" s="3"/>
      <c r="C14687" s="3"/>
      <c r="D14687" s="3"/>
      <c r="E14687" s="3">
        <v>4</v>
      </c>
      <c r="F14687" s="4" t="str">
        <f>HYPERLINK("http://141.218.60.56/~jnz1568/getInfo.php?workbook=10_05.xlsx&amp;sheet=U0&amp;row=14687&amp;col=6&amp;number=3.3&amp;sourceID=14","3.3")</f>
        <v>3.3</v>
      </c>
      <c r="G14687" s="4" t="str">
        <f>HYPERLINK("http://141.218.60.56/~jnz1568/getInfo.php?workbook=10_05.xlsx&amp;sheet=U0&amp;row=14687&amp;col=7&amp;number=0.323&amp;sourceID=14","0.323")</f>
        <v>0.323</v>
      </c>
    </row>
    <row r="14688" spans="1:7">
      <c r="A14688" s="3"/>
      <c r="B14688" s="3"/>
      <c r="C14688" s="3"/>
      <c r="D14688" s="3"/>
      <c r="E14688" s="3">
        <v>5</v>
      </c>
      <c r="F14688" s="4" t="str">
        <f>HYPERLINK("http://141.218.60.56/~jnz1568/getInfo.php?workbook=10_05.xlsx&amp;sheet=U0&amp;row=14688&amp;col=6&amp;number=3.4&amp;sourceID=14","3.4")</f>
        <v>3.4</v>
      </c>
      <c r="G14688" s="4" t="str">
        <f>HYPERLINK("http://141.218.60.56/~jnz1568/getInfo.php?workbook=10_05.xlsx&amp;sheet=U0&amp;row=14688&amp;col=7&amp;number=0.328&amp;sourceID=14","0.328")</f>
        <v>0.328</v>
      </c>
    </row>
    <row r="14689" spans="1:7">
      <c r="A14689" s="3"/>
      <c r="B14689" s="3"/>
      <c r="C14689" s="3"/>
      <c r="D14689" s="3"/>
      <c r="E14689" s="3">
        <v>6</v>
      </c>
      <c r="F14689" s="4" t="str">
        <f>HYPERLINK("http://141.218.60.56/~jnz1568/getInfo.php?workbook=10_05.xlsx&amp;sheet=U0&amp;row=14689&amp;col=6&amp;number=3.5&amp;sourceID=14","3.5")</f>
        <v>3.5</v>
      </c>
      <c r="G14689" s="4" t="str">
        <f>HYPERLINK("http://141.218.60.56/~jnz1568/getInfo.php?workbook=10_05.xlsx&amp;sheet=U0&amp;row=14689&amp;col=7&amp;number=0.334&amp;sourceID=14","0.334")</f>
        <v>0.334</v>
      </c>
    </row>
    <row r="14690" spans="1:7">
      <c r="A14690" s="3"/>
      <c r="B14690" s="3"/>
      <c r="C14690" s="3"/>
      <c r="D14690" s="3"/>
      <c r="E14690" s="3">
        <v>7</v>
      </c>
      <c r="F14690" s="4" t="str">
        <f>HYPERLINK("http://141.218.60.56/~jnz1568/getInfo.php?workbook=10_05.xlsx&amp;sheet=U0&amp;row=14690&amp;col=6&amp;number=3.6&amp;sourceID=14","3.6")</f>
        <v>3.6</v>
      </c>
      <c r="G14690" s="4" t="str">
        <f>HYPERLINK("http://141.218.60.56/~jnz1568/getInfo.php?workbook=10_05.xlsx&amp;sheet=U0&amp;row=14690&amp;col=7&amp;number=0.341&amp;sourceID=14","0.341")</f>
        <v>0.341</v>
      </c>
    </row>
    <row r="14691" spans="1:7">
      <c r="A14691" s="3"/>
      <c r="B14691" s="3"/>
      <c r="C14691" s="3"/>
      <c r="D14691" s="3"/>
      <c r="E14691" s="3">
        <v>8</v>
      </c>
      <c r="F14691" s="4" t="str">
        <f>HYPERLINK("http://141.218.60.56/~jnz1568/getInfo.php?workbook=10_05.xlsx&amp;sheet=U0&amp;row=14691&amp;col=6&amp;number=3.7&amp;sourceID=14","3.7")</f>
        <v>3.7</v>
      </c>
      <c r="G14691" s="4" t="str">
        <f>HYPERLINK("http://141.218.60.56/~jnz1568/getInfo.php?workbook=10_05.xlsx&amp;sheet=U0&amp;row=14691&amp;col=7&amp;number=0.348&amp;sourceID=14","0.348")</f>
        <v>0.348</v>
      </c>
    </row>
    <row r="14692" spans="1:7">
      <c r="A14692" s="3"/>
      <c r="B14692" s="3"/>
      <c r="C14692" s="3"/>
      <c r="D14692" s="3"/>
      <c r="E14692" s="3">
        <v>9</v>
      </c>
      <c r="F14692" s="4" t="str">
        <f>HYPERLINK("http://141.218.60.56/~jnz1568/getInfo.php?workbook=10_05.xlsx&amp;sheet=U0&amp;row=14692&amp;col=6&amp;number=3.8&amp;sourceID=14","3.8")</f>
        <v>3.8</v>
      </c>
      <c r="G14692" s="4" t="str">
        <f>HYPERLINK("http://141.218.60.56/~jnz1568/getInfo.php?workbook=10_05.xlsx&amp;sheet=U0&amp;row=14692&amp;col=7&amp;number=0.357&amp;sourceID=14","0.357")</f>
        <v>0.357</v>
      </c>
    </row>
    <row r="14693" spans="1:7">
      <c r="A14693" s="3"/>
      <c r="B14693" s="3"/>
      <c r="C14693" s="3"/>
      <c r="D14693" s="3"/>
      <c r="E14693" s="3">
        <v>10</v>
      </c>
      <c r="F14693" s="4" t="str">
        <f>HYPERLINK("http://141.218.60.56/~jnz1568/getInfo.php?workbook=10_05.xlsx&amp;sheet=U0&amp;row=14693&amp;col=6&amp;number=3.9&amp;sourceID=14","3.9")</f>
        <v>3.9</v>
      </c>
      <c r="G14693" s="4" t="str">
        <f>HYPERLINK("http://141.218.60.56/~jnz1568/getInfo.php?workbook=10_05.xlsx&amp;sheet=U0&amp;row=14693&amp;col=7&amp;number=0.364&amp;sourceID=14","0.364")</f>
        <v>0.364</v>
      </c>
    </row>
    <row r="14694" spans="1:7">
      <c r="A14694" s="3"/>
      <c r="B14694" s="3"/>
      <c r="C14694" s="3"/>
      <c r="D14694" s="3"/>
      <c r="E14694" s="3">
        <v>11</v>
      </c>
      <c r="F14694" s="4" t="str">
        <f>HYPERLINK("http://141.218.60.56/~jnz1568/getInfo.php?workbook=10_05.xlsx&amp;sheet=U0&amp;row=14694&amp;col=6&amp;number=4&amp;sourceID=14","4")</f>
        <v>4</v>
      </c>
      <c r="G14694" s="4" t="str">
        <f>HYPERLINK("http://141.218.60.56/~jnz1568/getInfo.php?workbook=10_05.xlsx&amp;sheet=U0&amp;row=14694&amp;col=7&amp;number=0.368&amp;sourceID=14","0.368")</f>
        <v>0.368</v>
      </c>
    </row>
    <row r="14695" spans="1:7">
      <c r="A14695" s="3"/>
      <c r="B14695" s="3"/>
      <c r="C14695" s="3"/>
      <c r="D14695" s="3"/>
      <c r="E14695" s="3">
        <v>12</v>
      </c>
      <c r="F14695" s="4" t="str">
        <f>HYPERLINK("http://141.218.60.56/~jnz1568/getInfo.php?workbook=10_05.xlsx&amp;sheet=U0&amp;row=14695&amp;col=6&amp;number=4.1&amp;sourceID=14","4.1")</f>
        <v>4.1</v>
      </c>
      <c r="G14695" s="4" t="str">
        <f>HYPERLINK("http://141.218.60.56/~jnz1568/getInfo.php?workbook=10_05.xlsx&amp;sheet=U0&amp;row=14695&amp;col=7&amp;number=0.367&amp;sourceID=14","0.367")</f>
        <v>0.367</v>
      </c>
    </row>
    <row r="14696" spans="1:7">
      <c r="A14696" s="3"/>
      <c r="B14696" s="3"/>
      <c r="C14696" s="3"/>
      <c r="D14696" s="3"/>
      <c r="E14696" s="3">
        <v>13</v>
      </c>
      <c r="F14696" s="4" t="str">
        <f>HYPERLINK("http://141.218.60.56/~jnz1568/getInfo.php?workbook=10_05.xlsx&amp;sheet=U0&amp;row=14696&amp;col=6&amp;number=4.2&amp;sourceID=14","4.2")</f>
        <v>4.2</v>
      </c>
      <c r="G14696" s="4" t="str">
        <f>HYPERLINK("http://141.218.60.56/~jnz1568/getInfo.php?workbook=10_05.xlsx&amp;sheet=U0&amp;row=14696&amp;col=7&amp;number=0.359&amp;sourceID=14","0.359")</f>
        <v>0.359</v>
      </c>
    </row>
    <row r="14697" spans="1:7">
      <c r="A14697" s="3"/>
      <c r="B14697" s="3"/>
      <c r="C14697" s="3"/>
      <c r="D14697" s="3"/>
      <c r="E14697" s="3">
        <v>14</v>
      </c>
      <c r="F14697" s="4" t="str">
        <f>HYPERLINK("http://141.218.60.56/~jnz1568/getInfo.php?workbook=10_05.xlsx&amp;sheet=U0&amp;row=14697&amp;col=6&amp;number=4.3&amp;sourceID=14","4.3")</f>
        <v>4.3</v>
      </c>
      <c r="G14697" s="4" t="str">
        <f>HYPERLINK("http://141.218.60.56/~jnz1568/getInfo.php?workbook=10_05.xlsx&amp;sheet=U0&amp;row=14697&amp;col=7&amp;number=0.344&amp;sourceID=14","0.344")</f>
        <v>0.344</v>
      </c>
    </row>
    <row r="14698" spans="1:7">
      <c r="A14698" s="3"/>
      <c r="B14698" s="3"/>
      <c r="C14698" s="3"/>
      <c r="D14698" s="3"/>
      <c r="E14698" s="3">
        <v>15</v>
      </c>
      <c r="F14698" s="4" t="str">
        <f>HYPERLINK("http://141.218.60.56/~jnz1568/getInfo.php?workbook=10_05.xlsx&amp;sheet=U0&amp;row=14698&amp;col=6&amp;number=4.4&amp;sourceID=14","4.4")</f>
        <v>4.4</v>
      </c>
      <c r="G14698" s="4" t="str">
        <f>HYPERLINK("http://141.218.60.56/~jnz1568/getInfo.php?workbook=10_05.xlsx&amp;sheet=U0&amp;row=14698&amp;col=7&amp;number=0.326&amp;sourceID=14","0.326")</f>
        <v>0.326</v>
      </c>
    </row>
    <row r="14699" spans="1:7">
      <c r="A14699" s="3"/>
      <c r="B14699" s="3"/>
      <c r="C14699" s="3"/>
      <c r="D14699" s="3"/>
      <c r="E14699" s="3">
        <v>16</v>
      </c>
      <c r="F14699" s="4" t="str">
        <f>HYPERLINK("http://141.218.60.56/~jnz1568/getInfo.php?workbook=10_05.xlsx&amp;sheet=U0&amp;row=14699&amp;col=6&amp;number=4.5&amp;sourceID=14","4.5")</f>
        <v>4.5</v>
      </c>
      <c r="G14699" s="4" t="str">
        <f>HYPERLINK("http://141.218.60.56/~jnz1568/getInfo.php?workbook=10_05.xlsx&amp;sheet=U0&amp;row=14699&amp;col=7&amp;number=0.307&amp;sourceID=14","0.307")</f>
        <v>0.307</v>
      </c>
    </row>
    <row r="14700" spans="1:7">
      <c r="A14700" s="3"/>
      <c r="B14700" s="3"/>
      <c r="C14700" s="3"/>
      <c r="D14700" s="3"/>
      <c r="E14700" s="3">
        <v>17</v>
      </c>
      <c r="F14700" s="4" t="str">
        <f>HYPERLINK("http://141.218.60.56/~jnz1568/getInfo.php?workbook=10_05.xlsx&amp;sheet=U0&amp;row=14700&amp;col=6&amp;number=4.6&amp;sourceID=14","4.6")</f>
        <v>4.6</v>
      </c>
      <c r="G14700" s="4" t="str">
        <f>HYPERLINK("http://141.218.60.56/~jnz1568/getInfo.php?workbook=10_05.xlsx&amp;sheet=U0&amp;row=14700&amp;col=7&amp;number=0.286&amp;sourceID=14","0.286")</f>
        <v>0.286</v>
      </c>
    </row>
    <row r="14701" spans="1:7">
      <c r="A14701" s="3"/>
      <c r="B14701" s="3"/>
      <c r="C14701" s="3"/>
      <c r="D14701" s="3"/>
      <c r="E14701" s="3">
        <v>18</v>
      </c>
      <c r="F14701" s="4" t="str">
        <f>HYPERLINK("http://141.218.60.56/~jnz1568/getInfo.php?workbook=10_05.xlsx&amp;sheet=U0&amp;row=14701&amp;col=6&amp;number=4.7&amp;sourceID=14","4.7")</f>
        <v>4.7</v>
      </c>
      <c r="G14701" s="4" t="str">
        <f>HYPERLINK("http://141.218.60.56/~jnz1568/getInfo.php?workbook=10_05.xlsx&amp;sheet=U0&amp;row=14701&amp;col=7&amp;number=0.262&amp;sourceID=14","0.262")</f>
        <v>0.262</v>
      </c>
    </row>
    <row r="14702" spans="1:7">
      <c r="A14702" s="3"/>
      <c r="B14702" s="3"/>
      <c r="C14702" s="3"/>
      <c r="D14702" s="3"/>
      <c r="E14702" s="3">
        <v>19</v>
      </c>
      <c r="F14702" s="4" t="str">
        <f>HYPERLINK("http://141.218.60.56/~jnz1568/getInfo.php?workbook=10_05.xlsx&amp;sheet=U0&amp;row=14702&amp;col=6&amp;number=4.8&amp;sourceID=14","4.8")</f>
        <v>4.8</v>
      </c>
      <c r="G14702" s="4" t="str">
        <f>HYPERLINK("http://141.218.60.56/~jnz1568/getInfo.php?workbook=10_05.xlsx&amp;sheet=U0&amp;row=14702&amp;col=7&amp;number=0.238&amp;sourceID=14","0.238")</f>
        <v>0.238</v>
      </c>
    </row>
    <row r="14703" spans="1:7">
      <c r="A14703" s="3"/>
      <c r="B14703" s="3"/>
      <c r="C14703" s="3"/>
      <c r="D14703" s="3"/>
      <c r="E14703" s="3">
        <v>20</v>
      </c>
      <c r="F14703" s="4" t="str">
        <f>HYPERLINK("http://141.218.60.56/~jnz1568/getInfo.php?workbook=10_05.xlsx&amp;sheet=U0&amp;row=14703&amp;col=6&amp;number=4.9&amp;sourceID=14","4.9")</f>
        <v>4.9</v>
      </c>
      <c r="G14703" s="4" t="str">
        <f>HYPERLINK("http://141.218.60.56/~jnz1568/getInfo.php?workbook=10_05.xlsx&amp;sheet=U0&amp;row=14703&amp;col=7&amp;number=0.215&amp;sourceID=14","0.215")</f>
        <v>0.215</v>
      </c>
    </row>
    <row r="14704" spans="1:7">
      <c r="A14704" s="3">
        <v>10</v>
      </c>
      <c r="B14704" s="3">
        <v>5</v>
      </c>
      <c r="C14704" s="3">
        <v>5</v>
      </c>
      <c r="D14704" s="3">
        <v>31</v>
      </c>
      <c r="E14704" s="3">
        <v>1</v>
      </c>
      <c r="F14704" s="4" t="str">
        <f>HYPERLINK("http://141.218.60.56/~jnz1568/getInfo.php?workbook=10_05.xlsx&amp;sheet=U0&amp;row=14704&amp;col=6&amp;number=3&amp;sourceID=14","3")</f>
        <v>3</v>
      </c>
      <c r="G14704" s="4" t="str">
        <f>HYPERLINK("http://141.218.60.56/~jnz1568/getInfo.php?workbook=10_05.xlsx&amp;sheet=U0&amp;row=14704&amp;col=7&amp;number=0.479&amp;sourceID=14","0.479")</f>
        <v>0.479</v>
      </c>
    </row>
    <row r="14705" spans="1:7">
      <c r="A14705" s="3"/>
      <c r="B14705" s="3"/>
      <c r="C14705" s="3"/>
      <c r="D14705" s="3"/>
      <c r="E14705" s="3">
        <v>2</v>
      </c>
      <c r="F14705" s="4" t="str">
        <f>HYPERLINK("http://141.218.60.56/~jnz1568/getInfo.php?workbook=10_05.xlsx&amp;sheet=U0&amp;row=14705&amp;col=6&amp;number=3.1&amp;sourceID=14","3.1")</f>
        <v>3.1</v>
      </c>
      <c r="G14705" s="4" t="str">
        <f>HYPERLINK("http://141.218.60.56/~jnz1568/getInfo.php?workbook=10_05.xlsx&amp;sheet=U0&amp;row=14705&amp;col=7&amp;number=0.488&amp;sourceID=14","0.488")</f>
        <v>0.488</v>
      </c>
    </row>
    <row r="14706" spans="1:7">
      <c r="A14706" s="3"/>
      <c r="B14706" s="3"/>
      <c r="C14706" s="3"/>
      <c r="D14706" s="3"/>
      <c r="E14706" s="3">
        <v>3</v>
      </c>
      <c r="F14706" s="4" t="str">
        <f>HYPERLINK("http://141.218.60.56/~jnz1568/getInfo.php?workbook=10_05.xlsx&amp;sheet=U0&amp;row=14706&amp;col=6&amp;number=3.2&amp;sourceID=14","3.2")</f>
        <v>3.2</v>
      </c>
      <c r="G14706" s="4" t="str">
        <f>HYPERLINK("http://141.218.60.56/~jnz1568/getInfo.php?workbook=10_05.xlsx&amp;sheet=U0&amp;row=14706&amp;col=7&amp;number=0.499&amp;sourceID=14","0.499")</f>
        <v>0.499</v>
      </c>
    </row>
    <row r="14707" spans="1:7">
      <c r="A14707" s="3"/>
      <c r="B14707" s="3"/>
      <c r="C14707" s="3"/>
      <c r="D14707" s="3"/>
      <c r="E14707" s="3">
        <v>4</v>
      </c>
      <c r="F14707" s="4" t="str">
        <f>HYPERLINK("http://141.218.60.56/~jnz1568/getInfo.php?workbook=10_05.xlsx&amp;sheet=U0&amp;row=14707&amp;col=6&amp;number=3.3&amp;sourceID=14","3.3")</f>
        <v>3.3</v>
      </c>
      <c r="G14707" s="4" t="str">
        <f>HYPERLINK("http://141.218.60.56/~jnz1568/getInfo.php?workbook=10_05.xlsx&amp;sheet=U0&amp;row=14707&amp;col=7&amp;number=0.511&amp;sourceID=14","0.511")</f>
        <v>0.511</v>
      </c>
    </row>
    <row r="14708" spans="1:7">
      <c r="A14708" s="3"/>
      <c r="B14708" s="3"/>
      <c r="C14708" s="3"/>
      <c r="D14708" s="3"/>
      <c r="E14708" s="3">
        <v>5</v>
      </c>
      <c r="F14708" s="4" t="str">
        <f>HYPERLINK("http://141.218.60.56/~jnz1568/getInfo.php?workbook=10_05.xlsx&amp;sheet=U0&amp;row=14708&amp;col=6&amp;number=3.4&amp;sourceID=14","3.4")</f>
        <v>3.4</v>
      </c>
      <c r="G14708" s="4" t="str">
        <f>HYPERLINK("http://141.218.60.56/~jnz1568/getInfo.php?workbook=10_05.xlsx&amp;sheet=U0&amp;row=14708&amp;col=7&amp;number=0.527&amp;sourceID=14","0.527")</f>
        <v>0.527</v>
      </c>
    </row>
    <row r="14709" spans="1:7">
      <c r="A14709" s="3"/>
      <c r="B14709" s="3"/>
      <c r="C14709" s="3"/>
      <c r="D14709" s="3"/>
      <c r="E14709" s="3">
        <v>6</v>
      </c>
      <c r="F14709" s="4" t="str">
        <f>HYPERLINK("http://141.218.60.56/~jnz1568/getInfo.php?workbook=10_05.xlsx&amp;sheet=U0&amp;row=14709&amp;col=6&amp;number=3.5&amp;sourceID=14","3.5")</f>
        <v>3.5</v>
      </c>
      <c r="G14709" s="4" t="str">
        <f>HYPERLINK("http://141.218.60.56/~jnz1568/getInfo.php?workbook=10_05.xlsx&amp;sheet=U0&amp;row=14709&amp;col=7&amp;number=0.544&amp;sourceID=14","0.544")</f>
        <v>0.544</v>
      </c>
    </row>
    <row r="14710" spans="1:7">
      <c r="A14710" s="3"/>
      <c r="B14710" s="3"/>
      <c r="C14710" s="3"/>
      <c r="D14710" s="3"/>
      <c r="E14710" s="3">
        <v>7</v>
      </c>
      <c r="F14710" s="4" t="str">
        <f>HYPERLINK("http://141.218.60.56/~jnz1568/getInfo.php?workbook=10_05.xlsx&amp;sheet=U0&amp;row=14710&amp;col=6&amp;number=3.6&amp;sourceID=14","3.6")</f>
        <v>3.6</v>
      </c>
      <c r="G14710" s="4" t="str">
        <f>HYPERLINK("http://141.218.60.56/~jnz1568/getInfo.php?workbook=10_05.xlsx&amp;sheet=U0&amp;row=14710&amp;col=7&amp;number=0.564&amp;sourceID=14","0.564")</f>
        <v>0.564</v>
      </c>
    </row>
    <row r="14711" spans="1:7">
      <c r="A14711" s="3"/>
      <c r="B14711" s="3"/>
      <c r="C14711" s="3"/>
      <c r="D14711" s="3"/>
      <c r="E14711" s="3">
        <v>8</v>
      </c>
      <c r="F14711" s="4" t="str">
        <f>HYPERLINK("http://141.218.60.56/~jnz1568/getInfo.php?workbook=10_05.xlsx&amp;sheet=U0&amp;row=14711&amp;col=6&amp;number=3.7&amp;sourceID=14","3.7")</f>
        <v>3.7</v>
      </c>
      <c r="G14711" s="4" t="str">
        <f>HYPERLINK("http://141.218.60.56/~jnz1568/getInfo.php?workbook=10_05.xlsx&amp;sheet=U0&amp;row=14711&amp;col=7&amp;number=0.584&amp;sourceID=14","0.584")</f>
        <v>0.584</v>
      </c>
    </row>
    <row r="14712" spans="1:7">
      <c r="A14712" s="3"/>
      <c r="B14712" s="3"/>
      <c r="C14712" s="3"/>
      <c r="D14712" s="3"/>
      <c r="E14712" s="3">
        <v>9</v>
      </c>
      <c r="F14712" s="4" t="str">
        <f>HYPERLINK("http://141.218.60.56/~jnz1568/getInfo.php?workbook=10_05.xlsx&amp;sheet=U0&amp;row=14712&amp;col=6&amp;number=3.8&amp;sourceID=14","3.8")</f>
        <v>3.8</v>
      </c>
      <c r="G14712" s="4" t="str">
        <f>HYPERLINK("http://141.218.60.56/~jnz1568/getInfo.php?workbook=10_05.xlsx&amp;sheet=U0&amp;row=14712&amp;col=7&amp;number=0.603&amp;sourceID=14","0.603")</f>
        <v>0.603</v>
      </c>
    </row>
    <row r="14713" spans="1:7">
      <c r="A14713" s="3"/>
      <c r="B14713" s="3"/>
      <c r="C14713" s="3"/>
      <c r="D14713" s="3"/>
      <c r="E14713" s="3">
        <v>10</v>
      </c>
      <c r="F14713" s="4" t="str">
        <f>HYPERLINK("http://141.218.60.56/~jnz1568/getInfo.php?workbook=10_05.xlsx&amp;sheet=U0&amp;row=14713&amp;col=6&amp;number=3.9&amp;sourceID=14","3.9")</f>
        <v>3.9</v>
      </c>
      <c r="G14713" s="4" t="str">
        <f>HYPERLINK("http://141.218.60.56/~jnz1568/getInfo.php?workbook=10_05.xlsx&amp;sheet=U0&amp;row=14713&amp;col=7&amp;number=0.614&amp;sourceID=14","0.614")</f>
        <v>0.614</v>
      </c>
    </row>
    <row r="14714" spans="1:7">
      <c r="A14714" s="3"/>
      <c r="B14714" s="3"/>
      <c r="C14714" s="3"/>
      <c r="D14714" s="3"/>
      <c r="E14714" s="3">
        <v>11</v>
      </c>
      <c r="F14714" s="4" t="str">
        <f>HYPERLINK("http://141.218.60.56/~jnz1568/getInfo.php?workbook=10_05.xlsx&amp;sheet=U0&amp;row=14714&amp;col=6&amp;number=4&amp;sourceID=14","4")</f>
        <v>4</v>
      </c>
      <c r="G14714" s="4" t="str">
        <f>HYPERLINK("http://141.218.60.56/~jnz1568/getInfo.php?workbook=10_05.xlsx&amp;sheet=U0&amp;row=14714&amp;col=7&amp;number=0.616&amp;sourceID=14","0.616")</f>
        <v>0.616</v>
      </c>
    </row>
    <row r="14715" spans="1:7">
      <c r="A14715" s="3"/>
      <c r="B14715" s="3"/>
      <c r="C14715" s="3"/>
      <c r="D14715" s="3"/>
      <c r="E14715" s="3">
        <v>12</v>
      </c>
      <c r="F14715" s="4" t="str">
        <f>HYPERLINK("http://141.218.60.56/~jnz1568/getInfo.php?workbook=10_05.xlsx&amp;sheet=U0&amp;row=14715&amp;col=6&amp;number=4.1&amp;sourceID=14","4.1")</f>
        <v>4.1</v>
      </c>
      <c r="G14715" s="4" t="str">
        <f>HYPERLINK("http://141.218.60.56/~jnz1568/getInfo.php?workbook=10_05.xlsx&amp;sheet=U0&amp;row=14715&amp;col=7&amp;number=0.606&amp;sourceID=14","0.606")</f>
        <v>0.606</v>
      </c>
    </row>
    <row r="14716" spans="1:7">
      <c r="A14716" s="3"/>
      <c r="B14716" s="3"/>
      <c r="C14716" s="3"/>
      <c r="D14716" s="3"/>
      <c r="E14716" s="3">
        <v>13</v>
      </c>
      <c r="F14716" s="4" t="str">
        <f>HYPERLINK("http://141.218.60.56/~jnz1568/getInfo.php?workbook=10_05.xlsx&amp;sheet=U0&amp;row=14716&amp;col=6&amp;number=4.2&amp;sourceID=14","4.2")</f>
        <v>4.2</v>
      </c>
      <c r="G14716" s="4" t="str">
        <f>HYPERLINK("http://141.218.60.56/~jnz1568/getInfo.php?workbook=10_05.xlsx&amp;sheet=U0&amp;row=14716&amp;col=7&amp;number=0.589&amp;sourceID=14","0.589")</f>
        <v>0.589</v>
      </c>
    </row>
    <row r="14717" spans="1:7">
      <c r="A14717" s="3"/>
      <c r="B14717" s="3"/>
      <c r="C14717" s="3"/>
      <c r="D14717" s="3"/>
      <c r="E14717" s="3">
        <v>14</v>
      </c>
      <c r="F14717" s="4" t="str">
        <f>HYPERLINK("http://141.218.60.56/~jnz1568/getInfo.php?workbook=10_05.xlsx&amp;sheet=U0&amp;row=14717&amp;col=6&amp;number=4.3&amp;sourceID=14","4.3")</f>
        <v>4.3</v>
      </c>
      <c r="G14717" s="4" t="str">
        <f>HYPERLINK("http://141.218.60.56/~jnz1568/getInfo.php?workbook=10_05.xlsx&amp;sheet=U0&amp;row=14717&amp;col=7&amp;number=0.567&amp;sourceID=14","0.567")</f>
        <v>0.567</v>
      </c>
    </row>
    <row r="14718" spans="1:7">
      <c r="A14718" s="3"/>
      <c r="B14718" s="3"/>
      <c r="C14718" s="3"/>
      <c r="D14718" s="3"/>
      <c r="E14718" s="3">
        <v>15</v>
      </c>
      <c r="F14718" s="4" t="str">
        <f>HYPERLINK("http://141.218.60.56/~jnz1568/getInfo.php?workbook=10_05.xlsx&amp;sheet=U0&amp;row=14718&amp;col=6&amp;number=4.4&amp;sourceID=14","4.4")</f>
        <v>4.4</v>
      </c>
      <c r="G14718" s="4" t="str">
        <f>HYPERLINK("http://141.218.60.56/~jnz1568/getInfo.php?workbook=10_05.xlsx&amp;sheet=U0&amp;row=14718&amp;col=7&amp;number=0.541&amp;sourceID=14","0.541")</f>
        <v>0.541</v>
      </c>
    </row>
    <row r="14719" spans="1:7">
      <c r="A14719" s="3"/>
      <c r="B14719" s="3"/>
      <c r="C14719" s="3"/>
      <c r="D14719" s="3"/>
      <c r="E14719" s="3">
        <v>16</v>
      </c>
      <c r="F14719" s="4" t="str">
        <f>HYPERLINK("http://141.218.60.56/~jnz1568/getInfo.php?workbook=10_05.xlsx&amp;sheet=U0&amp;row=14719&amp;col=6&amp;number=4.5&amp;sourceID=14","4.5")</f>
        <v>4.5</v>
      </c>
      <c r="G14719" s="4" t="str">
        <f>HYPERLINK("http://141.218.60.56/~jnz1568/getInfo.php?workbook=10_05.xlsx&amp;sheet=U0&amp;row=14719&amp;col=7&amp;number=0.507&amp;sourceID=14","0.507")</f>
        <v>0.507</v>
      </c>
    </row>
    <row r="14720" spans="1:7">
      <c r="A14720" s="3"/>
      <c r="B14720" s="3"/>
      <c r="C14720" s="3"/>
      <c r="D14720" s="3"/>
      <c r="E14720" s="3">
        <v>17</v>
      </c>
      <c r="F14720" s="4" t="str">
        <f>HYPERLINK("http://141.218.60.56/~jnz1568/getInfo.php?workbook=10_05.xlsx&amp;sheet=U0&amp;row=14720&amp;col=6&amp;number=4.6&amp;sourceID=14","4.6")</f>
        <v>4.6</v>
      </c>
      <c r="G14720" s="4" t="str">
        <f>HYPERLINK("http://141.218.60.56/~jnz1568/getInfo.php?workbook=10_05.xlsx&amp;sheet=U0&amp;row=14720&amp;col=7&amp;number=0.469&amp;sourceID=14","0.469")</f>
        <v>0.469</v>
      </c>
    </row>
    <row r="14721" spans="1:7">
      <c r="A14721" s="3"/>
      <c r="B14721" s="3"/>
      <c r="C14721" s="3"/>
      <c r="D14721" s="3"/>
      <c r="E14721" s="3">
        <v>18</v>
      </c>
      <c r="F14721" s="4" t="str">
        <f>HYPERLINK("http://141.218.60.56/~jnz1568/getInfo.php?workbook=10_05.xlsx&amp;sheet=U0&amp;row=14721&amp;col=6&amp;number=4.7&amp;sourceID=14","4.7")</f>
        <v>4.7</v>
      </c>
      <c r="G14721" s="4" t="str">
        <f>HYPERLINK("http://141.218.60.56/~jnz1568/getInfo.php?workbook=10_05.xlsx&amp;sheet=U0&amp;row=14721&amp;col=7&amp;number=0.43&amp;sourceID=14","0.43")</f>
        <v>0.43</v>
      </c>
    </row>
    <row r="14722" spans="1:7">
      <c r="A14722" s="3"/>
      <c r="B14722" s="3"/>
      <c r="C14722" s="3"/>
      <c r="D14722" s="3"/>
      <c r="E14722" s="3">
        <v>19</v>
      </c>
      <c r="F14722" s="4" t="str">
        <f>HYPERLINK("http://141.218.60.56/~jnz1568/getInfo.php?workbook=10_05.xlsx&amp;sheet=U0&amp;row=14722&amp;col=6&amp;number=4.8&amp;sourceID=14","4.8")</f>
        <v>4.8</v>
      </c>
      <c r="G14722" s="4" t="str">
        <f>HYPERLINK("http://141.218.60.56/~jnz1568/getInfo.php?workbook=10_05.xlsx&amp;sheet=U0&amp;row=14722&amp;col=7&amp;number=0.392&amp;sourceID=14","0.392")</f>
        <v>0.392</v>
      </c>
    </row>
    <row r="14723" spans="1:7">
      <c r="A14723" s="3"/>
      <c r="B14723" s="3"/>
      <c r="C14723" s="3"/>
      <c r="D14723" s="3"/>
      <c r="E14723" s="3">
        <v>20</v>
      </c>
      <c r="F14723" s="4" t="str">
        <f>HYPERLINK("http://141.218.60.56/~jnz1568/getInfo.php?workbook=10_05.xlsx&amp;sheet=U0&amp;row=14723&amp;col=6&amp;number=4.9&amp;sourceID=14","4.9")</f>
        <v>4.9</v>
      </c>
      <c r="G14723" s="4" t="str">
        <f>HYPERLINK("http://141.218.60.56/~jnz1568/getInfo.php?workbook=10_05.xlsx&amp;sheet=U0&amp;row=14723&amp;col=7&amp;number=0.356&amp;sourceID=14","0.356")</f>
        <v>0.356</v>
      </c>
    </row>
    <row r="14724" spans="1:7">
      <c r="A14724" s="3">
        <v>10</v>
      </c>
      <c r="B14724" s="3">
        <v>5</v>
      </c>
      <c r="C14724" s="3">
        <v>5</v>
      </c>
      <c r="D14724" s="3">
        <v>32</v>
      </c>
      <c r="E14724" s="3">
        <v>1</v>
      </c>
      <c r="F14724" s="4" t="str">
        <f>HYPERLINK("http://141.218.60.56/~jnz1568/getInfo.php?workbook=10_05.xlsx&amp;sheet=U0&amp;row=14724&amp;col=6&amp;number=3&amp;sourceID=14","3")</f>
        <v>3</v>
      </c>
      <c r="G14724" s="4" t="str">
        <f>HYPERLINK("http://141.218.60.56/~jnz1568/getInfo.php?workbook=10_05.xlsx&amp;sheet=U0&amp;row=14724&amp;col=7&amp;number=0.453&amp;sourceID=14","0.453")</f>
        <v>0.453</v>
      </c>
    </row>
    <row r="14725" spans="1:7">
      <c r="A14725" s="3"/>
      <c r="B14725" s="3"/>
      <c r="C14725" s="3"/>
      <c r="D14725" s="3"/>
      <c r="E14725" s="3">
        <v>2</v>
      </c>
      <c r="F14725" s="4" t="str">
        <f>HYPERLINK("http://141.218.60.56/~jnz1568/getInfo.php?workbook=10_05.xlsx&amp;sheet=U0&amp;row=14725&amp;col=6&amp;number=3.1&amp;sourceID=14","3.1")</f>
        <v>3.1</v>
      </c>
      <c r="G14725" s="4" t="str">
        <f>HYPERLINK("http://141.218.60.56/~jnz1568/getInfo.php?workbook=10_05.xlsx&amp;sheet=U0&amp;row=14725&amp;col=7&amp;number=0.447&amp;sourceID=14","0.447")</f>
        <v>0.447</v>
      </c>
    </row>
    <row r="14726" spans="1:7">
      <c r="A14726" s="3"/>
      <c r="B14726" s="3"/>
      <c r="C14726" s="3"/>
      <c r="D14726" s="3"/>
      <c r="E14726" s="3">
        <v>3</v>
      </c>
      <c r="F14726" s="4" t="str">
        <f>HYPERLINK("http://141.218.60.56/~jnz1568/getInfo.php?workbook=10_05.xlsx&amp;sheet=U0&amp;row=14726&amp;col=6&amp;number=3.2&amp;sourceID=14","3.2")</f>
        <v>3.2</v>
      </c>
      <c r="G14726" s="4" t="str">
        <f>HYPERLINK("http://141.218.60.56/~jnz1568/getInfo.php?workbook=10_05.xlsx&amp;sheet=U0&amp;row=14726&amp;col=7&amp;number=0.44&amp;sourceID=14","0.44")</f>
        <v>0.44</v>
      </c>
    </row>
    <row r="14727" spans="1:7">
      <c r="A14727" s="3"/>
      <c r="B14727" s="3"/>
      <c r="C14727" s="3"/>
      <c r="D14727" s="3"/>
      <c r="E14727" s="3">
        <v>4</v>
      </c>
      <c r="F14727" s="4" t="str">
        <f>HYPERLINK("http://141.218.60.56/~jnz1568/getInfo.php?workbook=10_05.xlsx&amp;sheet=U0&amp;row=14727&amp;col=6&amp;number=3.3&amp;sourceID=14","3.3")</f>
        <v>3.3</v>
      </c>
      <c r="G14727" s="4" t="str">
        <f>HYPERLINK("http://141.218.60.56/~jnz1568/getInfo.php?workbook=10_05.xlsx&amp;sheet=U0&amp;row=14727&amp;col=7&amp;number=0.431&amp;sourceID=14","0.431")</f>
        <v>0.431</v>
      </c>
    </row>
    <row r="14728" spans="1:7">
      <c r="A14728" s="3"/>
      <c r="B14728" s="3"/>
      <c r="C14728" s="3"/>
      <c r="D14728" s="3"/>
      <c r="E14728" s="3">
        <v>5</v>
      </c>
      <c r="F14728" s="4" t="str">
        <f>HYPERLINK("http://141.218.60.56/~jnz1568/getInfo.php?workbook=10_05.xlsx&amp;sheet=U0&amp;row=14728&amp;col=6&amp;number=3.4&amp;sourceID=14","3.4")</f>
        <v>3.4</v>
      </c>
      <c r="G14728" s="4" t="str">
        <f>HYPERLINK("http://141.218.60.56/~jnz1568/getInfo.php?workbook=10_05.xlsx&amp;sheet=U0&amp;row=14728&amp;col=7&amp;number=0.421&amp;sourceID=14","0.421")</f>
        <v>0.421</v>
      </c>
    </row>
    <row r="14729" spans="1:7">
      <c r="A14729" s="3"/>
      <c r="B14729" s="3"/>
      <c r="C14729" s="3"/>
      <c r="D14729" s="3"/>
      <c r="E14729" s="3">
        <v>6</v>
      </c>
      <c r="F14729" s="4" t="str">
        <f>HYPERLINK("http://141.218.60.56/~jnz1568/getInfo.php?workbook=10_05.xlsx&amp;sheet=U0&amp;row=14729&amp;col=6&amp;number=3.5&amp;sourceID=14","3.5")</f>
        <v>3.5</v>
      </c>
      <c r="G14729" s="4" t="str">
        <f>HYPERLINK("http://141.218.60.56/~jnz1568/getInfo.php?workbook=10_05.xlsx&amp;sheet=U0&amp;row=14729&amp;col=7&amp;number=0.408&amp;sourceID=14","0.408")</f>
        <v>0.408</v>
      </c>
    </row>
    <row r="14730" spans="1:7">
      <c r="A14730" s="3"/>
      <c r="B14730" s="3"/>
      <c r="C14730" s="3"/>
      <c r="D14730" s="3"/>
      <c r="E14730" s="3">
        <v>7</v>
      </c>
      <c r="F14730" s="4" t="str">
        <f>HYPERLINK("http://141.218.60.56/~jnz1568/getInfo.php?workbook=10_05.xlsx&amp;sheet=U0&amp;row=14730&amp;col=6&amp;number=3.6&amp;sourceID=14","3.6")</f>
        <v>3.6</v>
      </c>
      <c r="G14730" s="4" t="str">
        <f>HYPERLINK("http://141.218.60.56/~jnz1568/getInfo.php?workbook=10_05.xlsx&amp;sheet=U0&amp;row=14730&amp;col=7&amp;number=0.392&amp;sourceID=14","0.392")</f>
        <v>0.392</v>
      </c>
    </row>
    <row r="14731" spans="1:7">
      <c r="A14731" s="3"/>
      <c r="B14731" s="3"/>
      <c r="C14731" s="3"/>
      <c r="D14731" s="3"/>
      <c r="E14731" s="3">
        <v>8</v>
      </c>
      <c r="F14731" s="4" t="str">
        <f>HYPERLINK("http://141.218.60.56/~jnz1568/getInfo.php?workbook=10_05.xlsx&amp;sheet=U0&amp;row=14731&amp;col=6&amp;number=3.7&amp;sourceID=14","3.7")</f>
        <v>3.7</v>
      </c>
      <c r="G14731" s="4" t="str">
        <f>HYPERLINK("http://141.218.60.56/~jnz1568/getInfo.php?workbook=10_05.xlsx&amp;sheet=U0&amp;row=14731&amp;col=7&amp;number=0.373&amp;sourceID=14","0.373")</f>
        <v>0.373</v>
      </c>
    </row>
    <row r="14732" spans="1:7">
      <c r="A14732" s="3"/>
      <c r="B14732" s="3"/>
      <c r="C14732" s="3"/>
      <c r="D14732" s="3"/>
      <c r="E14732" s="3">
        <v>9</v>
      </c>
      <c r="F14732" s="4" t="str">
        <f>HYPERLINK("http://141.218.60.56/~jnz1568/getInfo.php?workbook=10_05.xlsx&amp;sheet=U0&amp;row=14732&amp;col=6&amp;number=3.8&amp;sourceID=14","3.8")</f>
        <v>3.8</v>
      </c>
      <c r="G14732" s="4" t="str">
        <f>HYPERLINK("http://141.218.60.56/~jnz1568/getInfo.php?workbook=10_05.xlsx&amp;sheet=U0&amp;row=14732&amp;col=7&amp;number=0.352&amp;sourceID=14","0.352")</f>
        <v>0.352</v>
      </c>
    </row>
    <row r="14733" spans="1:7">
      <c r="A14733" s="3"/>
      <c r="B14733" s="3"/>
      <c r="C14733" s="3"/>
      <c r="D14733" s="3"/>
      <c r="E14733" s="3">
        <v>10</v>
      </c>
      <c r="F14733" s="4" t="str">
        <f>HYPERLINK("http://141.218.60.56/~jnz1568/getInfo.php?workbook=10_05.xlsx&amp;sheet=U0&amp;row=14733&amp;col=6&amp;number=3.9&amp;sourceID=14","3.9")</f>
        <v>3.9</v>
      </c>
      <c r="G14733" s="4" t="str">
        <f>HYPERLINK("http://141.218.60.56/~jnz1568/getInfo.php?workbook=10_05.xlsx&amp;sheet=U0&amp;row=14733&amp;col=7&amp;number=0.329&amp;sourceID=14","0.329")</f>
        <v>0.329</v>
      </c>
    </row>
    <row r="14734" spans="1:7">
      <c r="A14734" s="3"/>
      <c r="B14734" s="3"/>
      <c r="C14734" s="3"/>
      <c r="D14734" s="3"/>
      <c r="E14734" s="3">
        <v>11</v>
      </c>
      <c r="F14734" s="4" t="str">
        <f>HYPERLINK("http://141.218.60.56/~jnz1568/getInfo.php?workbook=10_05.xlsx&amp;sheet=U0&amp;row=14734&amp;col=6&amp;number=4&amp;sourceID=14","4")</f>
        <v>4</v>
      </c>
      <c r="G14734" s="4" t="str">
        <f>HYPERLINK("http://141.218.60.56/~jnz1568/getInfo.php?workbook=10_05.xlsx&amp;sheet=U0&amp;row=14734&amp;col=7&amp;number=0.305&amp;sourceID=14","0.305")</f>
        <v>0.305</v>
      </c>
    </row>
    <row r="14735" spans="1:7">
      <c r="A14735" s="3"/>
      <c r="B14735" s="3"/>
      <c r="C14735" s="3"/>
      <c r="D14735" s="3"/>
      <c r="E14735" s="3">
        <v>12</v>
      </c>
      <c r="F14735" s="4" t="str">
        <f>HYPERLINK("http://141.218.60.56/~jnz1568/getInfo.php?workbook=10_05.xlsx&amp;sheet=U0&amp;row=14735&amp;col=6&amp;number=4.1&amp;sourceID=14","4.1")</f>
        <v>4.1</v>
      </c>
      <c r="G14735" s="4" t="str">
        <f>HYPERLINK("http://141.218.60.56/~jnz1568/getInfo.php?workbook=10_05.xlsx&amp;sheet=U0&amp;row=14735&amp;col=7&amp;number=0.284&amp;sourceID=14","0.284")</f>
        <v>0.284</v>
      </c>
    </row>
    <row r="14736" spans="1:7">
      <c r="A14736" s="3"/>
      <c r="B14736" s="3"/>
      <c r="C14736" s="3"/>
      <c r="D14736" s="3"/>
      <c r="E14736" s="3">
        <v>13</v>
      </c>
      <c r="F14736" s="4" t="str">
        <f>HYPERLINK("http://141.218.60.56/~jnz1568/getInfo.php?workbook=10_05.xlsx&amp;sheet=U0&amp;row=14736&amp;col=6&amp;number=4.2&amp;sourceID=14","4.2")</f>
        <v>4.2</v>
      </c>
      <c r="G14736" s="4" t="str">
        <f>HYPERLINK("http://141.218.60.56/~jnz1568/getInfo.php?workbook=10_05.xlsx&amp;sheet=U0&amp;row=14736&amp;col=7&amp;number=0.266&amp;sourceID=14","0.266")</f>
        <v>0.266</v>
      </c>
    </row>
    <row r="14737" spans="1:7">
      <c r="A14737" s="3"/>
      <c r="B14737" s="3"/>
      <c r="C14737" s="3"/>
      <c r="D14737" s="3"/>
      <c r="E14737" s="3">
        <v>14</v>
      </c>
      <c r="F14737" s="4" t="str">
        <f>HYPERLINK("http://141.218.60.56/~jnz1568/getInfo.php?workbook=10_05.xlsx&amp;sheet=U0&amp;row=14737&amp;col=6&amp;number=4.3&amp;sourceID=14","4.3")</f>
        <v>4.3</v>
      </c>
      <c r="G14737" s="4" t="str">
        <f>HYPERLINK("http://141.218.60.56/~jnz1568/getInfo.php?workbook=10_05.xlsx&amp;sheet=U0&amp;row=14737&amp;col=7&amp;number=0.252&amp;sourceID=14","0.252")</f>
        <v>0.252</v>
      </c>
    </row>
    <row r="14738" spans="1:7">
      <c r="A14738" s="3"/>
      <c r="B14738" s="3"/>
      <c r="C14738" s="3"/>
      <c r="D14738" s="3"/>
      <c r="E14738" s="3">
        <v>15</v>
      </c>
      <c r="F14738" s="4" t="str">
        <f>HYPERLINK("http://141.218.60.56/~jnz1568/getInfo.php?workbook=10_05.xlsx&amp;sheet=U0&amp;row=14738&amp;col=6&amp;number=4.4&amp;sourceID=14","4.4")</f>
        <v>4.4</v>
      </c>
      <c r="G14738" s="4" t="str">
        <f>HYPERLINK("http://141.218.60.56/~jnz1568/getInfo.php?workbook=10_05.xlsx&amp;sheet=U0&amp;row=14738&amp;col=7&amp;number=0.237&amp;sourceID=14","0.237")</f>
        <v>0.237</v>
      </c>
    </row>
    <row r="14739" spans="1:7">
      <c r="A14739" s="3"/>
      <c r="B14739" s="3"/>
      <c r="C14739" s="3"/>
      <c r="D14739" s="3"/>
      <c r="E14739" s="3">
        <v>16</v>
      </c>
      <c r="F14739" s="4" t="str">
        <f>HYPERLINK("http://141.218.60.56/~jnz1568/getInfo.php?workbook=10_05.xlsx&amp;sheet=U0&amp;row=14739&amp;col=6&amp;number=4.5&amp;sourceID=14","4.5")</f>
        <v>4.5</v>
      </c>
      <c r="G14739" s="4" t="str">
        <f>HYPERLINK("http://141.218.60.56/~jnz1568/getInfo.php?workbook=10_05.xlsx&amp;sheet=U0&amp;row=14739&amp;col=7&amp;number=0.219&amp;sourceID=14","0.219")</f>
        <v>0.219</v>
      </c>
    </row>
    <row r="14740" spans="1:7">
      <c r="A14740" s="3"/>
      <c r="B14740" s="3"/>
      <c r="C14740" s="3"/>
      <c r="D14740" s="3"/>
      <c r="E14740" s="3">
        <v>17</v>
      </c>
      <c r="F14740" s="4" t="str">
        <f>HYPERLINK("http://141.218.60.56/~jnz1568/getInfo.php?workbook=10_05.xlsx&amp;sheet=U0&amp;row=14740&amp;col=6&amp;number=4.6&amp;sourceID=14","4.6")</f>
        <v>4.6</v>
      </c>
      <c r="G14740" s="4" t="str">
        <f>HYPERLINK("http://141.218.60.56/~jnz1568/getInfo.php?workbook=10_05.xlsx&amp;sheet=U0&amp;row=14740&amp;col=7&amp;number=0.2&amp;sourceID=14","0.2")</f>
        <v>0.2</v>
      </c>
    </row>
    <row r="14741" spans="1:7">
      <c r="A14741" s="3"/>
      <c r="B14741" s="3"/>
      <c r="C14741" s="3"/>
      <c r="D14741" s="3"/>
      <c r="E14741" s="3">
        <v>18</v>
      </c>
      <c r="F14741" s="4" t="str">
        <f>HYPERLINK("http://141.218.60.56/~jnz1568/getInfo.php?workbook=10_05.xlsx&amp;sheet=U0&amp;row=14741&amp;col=6&amp;number=4.7&amp;sourceID=14","4.7")</f>
        <v>4.7</v>
      </c>
      <c r="G14741" s="4" t="str">
        <f>HYPERLINK("http://141.218.60.56/~jnz1568/getInfo.php?workbook=10_05.xlsx&amp;sheet=U0&amp;row=14741&amp;col=7&amp;number=0.181&amp;sourceID=14","0.181")</f>
        <v>0.181</v>
      </c>
    </row>
    <row r="14742" spans="1:7">
      <c r="A14742" s="3"/>
      <c r="B14742" s="3"/>
      <c r="C14742" s="3"/>
      <c r="D14742" s="3"/>
      <c r="E14742" s="3">
        <v>19</v>
      </c>
      <c r="F14742" s="4" t="str">
        <f>HYPERLINK("http://141.218.60.56/~jnz1568/getInfo.php?workbook=10_05.xlsx&amp;sheet=U0&amp;row=14742&amp;col=6&amp;number=4.8&amp;sourceID=14","4.8")</f>
        <v>4.8</v>
      </c>
      <c r="G14742" s="4" t="str">
        <f>HYPERLINK("http://141.218.60.56/~jnz1568/getInfo.php?workbook=10_05.xlsx&amp;sheet=U0&amp;row=14742&amp;col=7&amp;number=0.163&amp;sourceID=14","0.163")</f>
        <v>0.163</v>
      </c>
    </row>
    <row r="14743" spans="1:7">
      <c r="A14743" s="3"/>
      <c r="B14743" s="3"/>
      <c r="C14743" s="3"/>
      <c r="D14743" s="3"/>
      <c r="E14743" s="3">
        <v>20</v>
      </c>
      <c r="F14743" s="4" t="str">
        <f>HYPERLINK("http://141.218.60.56/~jnz1568/getInfo.php?workbook=10_05.xlsx&amp;sheet=U0&amp;row=14743&amp;col=6&amp;number=4.9&amp;sourceID=14","4.9")</f>
        <v>4.9</v>
      </c>
      <c r="G14743" s="4" t="str">
        <f>HYPERLINK("http://141.218.60.56/~jnz1568/getInfo.php?workbook=10_05.xlsx&amp;sheet=U0&amp;row=14743&amp;col=7&amp;number=0.146&amp;sourceID=14","0.146")</f>
        <v>0.146</v>
      </c>
    </row>
    <row r="14744" spans="1:7">
      <c r="A14744" s="3">
        <v>10</v>
      </c>
      <c r="B14744" s="3">
        <v>5</v>
      </c>
      <c r="C14744" s="3">
        <v>5</v>
      </c>
      <c r="D14744" s="3">
        <v>33</v>
      </c>
      <c r="E14744" s="3">
        <v>1</v>
      </c>
      <c r="F14744" s="4" t="str">
        <f>HYPERLINK("http://141.218.60.56/~jnz1568/getInfo.php?workbook=10_05.xlsx&amp;sheet=U0&amp;row=14744&amp;col=6&amp;number=3&amp;sourceID=14","3")</f>
        <v>3</v>
      </c>
      <c r="G14744" s="4" t="str">
        <f>HYPERLINK("http://141.218.60.56/~jnz1568/getInfo.php?workbook=10_05.xlsx&amp;sheet=U0&amp;row=14744&amp;col=7&amp;number=0.144&amp;sourceID=14","0.144")</f>
        <v>0.144</v>
      </c>
    </row>
    <row r="14745" spans="1:7">
      <c r="A14745" s="3"/>
      <c r="B14745" s="3"/>
      <c r="C14745" s="3"/>
      <c r="D14745" s="3"/>
      <c r="E14745" s="3">
        <v>2</v>
      </c>
      <c r="F14745" s="4" t="str">
        <f>HYPERLINK("http://141.218.60.56/~jnz1568/getInfo.php?workbook=10_05.xlsx&amp;sheet=U0&amp;row=14745&amp;col=6&amp;number=3.1&amp;sourceID=14","3.1")</f>
        <v>3.1</v>
      </c>
      <c r="G14745" s="4" t="str">
        <f>HYPERLINK("http://141.218.60.56/~jnz1568/getInfo.php?workbook=10_05.xlsx&amp;sheet=U0&amp;row=14745&amp;col=7&amp;number=0.143&amp;sourceID=14","0.143")</f>
        <v>0.143</v>
      </c>
    </row>
    <row r="14746" spans="1:7">
      <c r="A14746" s="3"/>
      <c r="B14746" s="3"/>
      <c r="C14746" s="3"/>
      <c r="D14746" s="3"/>
      <c r="E14746" s="3">
        <v>3</v>
      </c>
      <c r="F14746" s="4" t="str">
        <f>HYPERLINK("http://141.218.60.56/~jnz1568/getInfo.php?workbook=10_05.xlsx&amp;sheet=U0&amp;row=14746&amp;col=6&amp;number=3.2&amp;sourceID=14","3.2")</f>
        <v>3.2</v>
      </c>
      <c r="G14746" s="4" t="str">
        <f>HYPERLINK("http://141.218.60.56/~jnz1568/getInfo.php?workbook=10_05.xlsx&amp;sheet=U0&amp;row=14746&amp;col=7&amp;number=0.142&amp;sourceID=14","0.142")</f>
        <v>0.142</v>
      </c>
    </row>
    <row r="14747" spans="1:7">
      <c r="A14747" s="3"/>
      <c r="B14747" s="3"/>
      <c r="C14747" s="3"/>
      <c r="D14747" s="3"/>
      <c r="E14747" s="3">
        <v>4</v>
      </c>
      <c r="F14747" s="4" t="str">
        <f>HYPERLINK("http://141.218.60.56/~jnz1568/getInfo.php?workbook=10_05.xlsx&amp;sheet=U0&amp;row=14747&amp;col=6&amp;number=3.3&amp;sourceID=14","3.3")</f>
        <v>3.3</v>
      </c>
      <c r="G14747" s="4" t="str">
        <f>HYPERLINK("http://141.218.60.56/~jnz1568/getInfo.php?workbook=10_05.xlsx&amp;sheet=U0&amp;row=14747&amp;col=7&amp;number=0.141&amp;sourceID=14","0.141")</f>
        <v>0.141</v>
      </c>
    </row>
    <row r="14748" spans="1:7">
      <c r="A14748" s="3"/>
      <c r="B14748" s="3"/>
      <c r="C14748" s="3"/>
      <c r="D14748" s="3"/>
      <c r="E14748" s="3">
        <v>5</v>
      </c>
      <c r="F14748" s="4" t="str">
        <f>HYPERLINK("http://141.218.60.56/~jnz1568/getInfo.php?workbook=10_05.xlsx&amp;sheet=U0&amp;row=14748&amp;col=6&amp;number=3.4&amp;sourceID=14","3.4")</f>
        <v>3.4</v>
      </c>
      <c r="G14748" s="4" t="str">
        <f>HYPERLINK("http://141.218.60.56/~jnz1568/getInfo.php?workbook=10_05.xlsx&amp;sheet=U0&amp;row=14748&amp;col=7&amp;number=0.14&amp;sourceID=14","0.14")</f>
        <v>0.14</v>
      </c>
    </row>
    <row r="14749" spans="1:7">
      <c r="A14749" s="3"/>
      <c r="B14749" s="3"/>
      <c r="C14749" s="3"/>
      <c r="D14749" s="3"/>
      <c r="E14749" s="3">
        <v>6</v>
      </c>
      <c r="F14749" s="4" t="str">
        <f>HYPERLINK("http://141.218.60.56/~jnz1568/getInfo.php?workbook=10_05.xlsx&amp;sheet=U0&amp;row=14749&amp;col=6&amp;number=3.5&amp;sourceID=14","3.5")</f>
        <v>3.5</v>
      </c>
      <c r="G14749" s="4" t="str">
        <f>HYPERLINK("http://141.218.60.56/~jnz1568/getInfo.php?workbook=10_05.xlsx&amp;sheet=U0&amp;row=14749&amp;col=7&amp;number=0.138&amp;sourceID=14","0.138")</f>
        <v>0.138</v>
      </c>
    </row>
    <row r="14750" spans="1:7">
      <c r="A14750" s="3"/>
      <c r="B14750" s="3"/>
      <c r="C14750" s="3"/>
      <c r="D14750" s="3"/>
      <c r="E14750" s="3">
        <v>7</v>
      </c>
      <c r="F14750" s="4" t="str">
        <f>HYPERLINK("http://141.218.60.56/~jnz1568/getInfo.php?workbook=10_05.xlsx&amp;sheet=U0&amp;row=14750&amp;col=6&amp;number=3.6&amp;sourceID=14","3.6")</f>
        <v>3.6</v>
      </c>
      <c r="G14750" s="4" t="str">
        <f>HYPERLINK("http://141.218.60.56/~jnz1568/getInfo.php?workbook=10_05.xlsx&amp;sheet=U0&amp;row=14750&amp;col=7&amp;number=0.136&amp;sourceID=14","0.136")</f>
        <v>0.136</v>
      </c>
    </row>
    <row r="14751" spans="1:7">
      <c r="A14751" s="3"/>
      <c r="B14751" s="3"/>
      <c r="C14751" s="3"/>
      <c r="D14751" s="3"/>
      <c r="E14751" s="3">
        <v>8</v>
      </c>
      <c r="F14751" s="4" t="str">
        <f>HYPERLINK("http://141.218.60.56/~jnz1568/getInfo.php?workbook=10_05.xlsx&amp;sheet=U0&amp;row=14751&amp;col=6&amp;number=3.7&amp;sourceID=14","3.7")</f>
        <v>3.7</v>
      </c>
      <c r="G14751" s="4" t="str">
        <f>HYPERLINK("http://141.218.60.56/~jnz1568/getInfo.php?workbook=10_05.xlsx&amp;sheet=U0&amp;row=14751&amp;col=7&amp;number=0.134&amp;sourceID=14","0.134")</f>
        <v>0.134</v>
      </c>
    </row>
    <row r="14752" spans="1:7">
      <c r="A14752" s="3"/>
      <c r="B14752" s="3"/>
      <c r="C14752" s="3"/>
      <c r="D14752" s="3"/>
      <c r="E14752" s="3">
        <v>9</v>
      </c>
      <c r="F14752" s="4" t="str">
        <f>HYPERLINK("http://141.218.60.56/~jnz1568/getInfo.php?workbook=10_05.xlsx&amp;sheet=U0&amp;row=14752&amp;col=6&amp;number=3.8&amp;sourceID=14","3.8")</f>
        <v>3.8</v>
      </c>
      <c r="G14752" s="4" t="str">
        <f>HYPERLINK("http://141.218.60.56/~jnz1568/getInfo.php?workbook=10_05.xlsx&amp;sheet=U0&amp;row=14752&amp;col=7&amp;number=0.131&amp;sourceID=14","0.131")</f>
        <v>0.131</v>
      </c>
    </row>
    <row r="14753" spans="1:7">
      <c r="A14753" s="3"/>
      <c r="B14753" s="3"/>
      <c r="C14753" s="3"/>
      <c r="D14753" s="3"/>
      <c r="E14753" s="3">
        <v>10</v>
      </c>
      <c r="F14753" s="4" t="str">
        <f>HYPERLINK("http://141.218.60.56/~jnz1568/getInfo.php?workbook=10_05.xlsx&amp;sheet=U0&amp;row=14753&amp;col=6&amp;number=3.9&amp;sourceID=14","3.9")</f>
        <v>3.9</v>
      </c>
      <c r="G14753" s="4" t="str">
        <f>HYPERLINK("http://141.218.60.56/~jnz1568/getInfo.php?workbook=10_05.xlsx&amp;sheet=U0&amp;row=14753&amp;col=7&amp;number=0.127&amp;sourceID=14","0.127")</f>
        <v>0.127</v>
      </c>
    </row>
    <row r="14754" spans="1:7">
      <c r="A14754" s="3"/>
      <c r="B14754" s="3"/>
      <c r="C14754" s="3"/>
      <c r="D14754" s="3"/>
      <c r="E14754" s="3">
        <v>11</v>
      </c>
      <c r="F14754" s="4" t="str">
        <f>HYPERLINK("http://141.218.60.56/~jnz1568/getInfo.php?workbook=10_05.xlsx&amp;sheet=U0&amp;row=14754&amp;col=6&amp;number=4&amp;sourceID=14","4")</f>
        <v>4</v>
      </c>
      <c r="G14754" s="4" t="str">
        <f>HYPERLINK("http://141.218.60.56/~jnz1568/getInfo.php?workbook=10_05.xlsx&amp;sheet=U0&amp;row=14754&amp;col=7&amp;number=0.123&amp;sourceID=14","0.123")</f>
        <v>0.123</v>
      </c>
    </row>
    <row r="14755" spans="1:7">
      <c r="A14755" s="3"/>
      <c r="B14755" s="3"/>
      <c r="C14755" s="3"/>
      <c r="D14755" s="3"/>
      <c r="E14755" s="3">
        <v>12</v>
      </c>
      <c r="F14755" s="4" t="str">
        <f>HYPERLINK("http://141.218.60.56/~jnz1568/getInfo.php?workbook=10_05.xlsx&amp;sheet=U0&amp;row=14755&amp;col=6&amp;number=4.1&amp;sourceID=14","4.1")</f>
        <v>4.1</v>
      </c>
      <c r="G14755" s="4" t="str">
        <f>HYPERLINK("http://141.218.60.56/~jnz1568/getInfo.php?workbook=10_05.xlsx&amp;sheet=U0&amp;row=14755&amp;col=7&amp;number=0.118&amp;sourceID=14","0.118")</f>
        <v>0.118</v>
      </c>
    </row>
    <row r="14756" spans="1:7">
      <c r="A14756" s="3"/>
      <c r="B14756" s="3"/>
      <c r="C14756" s="3"/>
      <c r="D14756" s="3"/>
      <c r="E14756" s="3">
        <v>13</v>
      </c>
      <c r="F14756" s="4" t="str">
        <f>HYPERLINK("http://141.218.60.56/~jnz1568/getInfo.php?workbook=10_05.xlsx&amp;sheet=U0&amp;row=14756&amp;col=6&amp;number=4.2&amp;sourceID=14","4.2")</f>
        <v>4.2</v>
      </c>
      <c r="G14756" s="4" t="str">
        <f>HYPERLINK("http://141.218.60.56/~jnz1568/getInfo.php?workbook=10_05.xlsx&amp;sheet=U0&amp;row=14756&amp;col=7&amp;number=0.111&amp;sourceID=14","0.111")</f>
        <v>0.111</v>
      </c>
    </row>
    <row r="14757" spans="1:7">
      <c r="A14757" s="3"/>
      <c r="B14757" s="3"/>
      <c r="C14757" s="3"/>
      <c r="D14757" s="3"/>
      <c r="E14757" s="3">
        <v>14</v>
      </c>
      <c r="F14757" s="4" t="str">
        <f>HYPERLINK("http://141.218.60.56/~jnz1568/getInfo.php?workbook=10_05.xlsx&amp;sheet=U0&amp;row=14757&amp;col=6&amp;number=4.3&amp;sourceID=14","4.3")</f>
        <v>4.3</v>
      </c>
      <c r="G14757" s="4" t="str">
        <f>HYPERLINK("http://141.218.60.56/~jnz1568/getInfo.php?workbook=10_05.xlsx&amp;sheet=U0&amp;row=14757&amp;col=7&amp;number=0.104&amp;sourceID=14","0.104")</f>
        <v>0.104</v>
      </c>
    </row>
    <row r="14758" spans="1:7">
      <c r="A14758" s="3"/>
      <c r="B14758" s="3"/>
      <c r="C14758" s="3"/>
      <c r="D14758" s="3"/>
      <c r="E14758" s="3">
        <v>15</v>
      </c>
      <c r="F14758" s="4" t="str">
        <f>HYPERLINK("http://141.218.60.56/~jnz1568/getInfo.php?workbook=10_05.xlsx&amp;sheet=U0&amp;row=14758&amp;col=6&amp;number=4.4&amp;sourceID=14","4.4")</f>
        <v>4.4</v>
      </c>
      <c r="G14758" s="4" t="str">
        <f>HYPERLINK("http://141.218.60.56/~jnz1568/getInfo.php?workbook=10_05.xlsx&amp;sheet=U0&amp;row=14758&amp;col=7&amp;number=0.0969&amp;sourceID=14","0.0969")</f>
        <v>0.0969</v>
      </c>
    </row>
    <row r="14759" spans="1:7">
      <c r="A14759" s="3"/>
      <c r="B14759" s="3"/>
      <c r="C14759" s="3"/>
      <c r="D14759" s="3"/>
      <c r="E14759" s="3">
        <v>16</v>
      </c>
      <c r="F14759" s="4" t="str">
        <f>HYPERLINK("http://141.218.60.56/~jnz1568/getInfo.php?workbook=10_05.xlsx&amp;sheet=U0&amp;row=14759&amp;col=6&amp;number=4.5&amp;sourceID=14","4.5")</f>
        <v>4.5</v>
      </c>
      <c r="G14759" s="4" t="str">
        <f>HYPERLINK("http://141.218.60.56/~jnz1568/getInfo.php?workbook=10_05.xlsx&amp;sheet=U0&amp;row=14759&amp;col=7&amp;number=0.0891&amp;sourceID=14","0.0891")</f>
        <v>0.0891</v>
      </c>
    </row>
    <row r="14760" spans="1:7">
      <c r="A14760" s="3"/>
      <c r="B14760" s="3"/>
      <c r="C14760" s="3"/>
      <c r="D14760" s="3"/>
      <c r="E14760" s="3">
        <v>17</v>
      </c>
      <c r="F14760" s="4" t="str">
        <f>HYPERLINK("http://141.218.60.56/~jnz1568/getInfo.php?workbook=10_05.xlsx&amp;sheet=U0&amp;row=14760&amp;col=6&amp;number=4.6&amp;sourceID=14","4.6")</f>
        <v>4.6</v>
      </c>
      <c r="G14760" s="4" t="str">
        <f>HYPERLINK("http://141.218.60.56/~jnz1568/getInfo.php?workbook=10_05.xlsx&amp;sheet=U0&amp;row=14760&amp;col=7&amp;number=0.0813&amp;sourceID=14","0.0813")</f>
        <v>0.0813</v>
      </c>
    </row>
    <row r="14761" spans="1:7">
      <c r="A14761" s="3"/>
      <c r="B14761" s="3"/>
      <c r="C14761" s="3"/>
      <c r="D14761" s="3"/>
      <c r="E14761" s="3">
        <v>18</v>
      </c>
      <c r="F14761" s="4" t="str">
        <f>HYPERLINK("http://141.218.60.56/~jnz1568/getInfo.php?workbook=10_05.xlsx&amp;sheet=U0&amp;row=14761&amp;col=6&amp;number=4.7&amp;sourceID=14","4.7")</f>
        <v>4.7</v>
      </c>
      <c r="G14761" s="4" t="str">
        <f>HYPERLINK("http://141.218.60.56/~jnz1568/getInfo.php?workbook=10_05.xlsx&amp;sheet=U0&amp;row=14761&amp;col=7&amp;number=0.0737&amp;sourceID=14","0.0737")</f>
        <v>0.0737</v>
      </c>
    </row>
    <row r="14762" spans="1:7">
      <c r="A14762" s="3"/>
      <c r="B14762" s="3"/>
      <c r="C14762" s="3"/>
      <c r="D14762" s="3"/>
      <c r="E14762" s="3">
        <v>19</v>
      </c>
      <c r="F14762" s="4" t="str">
        <f>HYPERLINK("http://141.218.60.56/~jnz1568/getInfo.php?workbook=10_05.xlsx&amp;sheet=U0&amp;row=14762&amp;col=6&amp;number=4.8&amp;sourceID=14","4.8")</f>
        <v>4.8</v>
      </c>
      <c r="G14762" s="4" t="str">
        <f>HYPERLINK("http://141.218.60.56/~jnz1568/getInfo.php?workbook=10_05.xlsx&amp;sheet=U0&amp;row=14762&amp;col=7&amp;number=0.0666&amp;sourceID=14","0.0666")</f>
        <v>0.0666</v>
      </c>
    </row>
    <row r="14763" spans="1:7">
      <c r="A14763" s="3"/>
      <c r="B14763" s="3"/>
      <c r="C14763" s="3"/>
      <c r="D14763" s="3"/>
      <c r="E14763" s="3">
        <v>20</v>
      </c>
      <c r="F14763" s="4" t="str">
        <f>HYPERLINK("http://141.218.60.56/~jnz1568/getInfo.php?workbook=10_05.xlsx&amp;sheet=U0&amp;row=14763&amp;col=6&amp;number=4.9&amp;sourceID=14","4.9")</f>
        <v>4.9</v>
      </c>
      <c r="G14763" s="4" t="str">
        <f>HYPERLINK("http://141.218.60.56/~jnz1568/getInfo.php?workbook=10_05.xlsx&amp;sheet=U0&amp;row=14763&amp;col=7&amp;number=0.0599&amp;sourceID=14","0.0599")</f>
        <v>0.0599</v>
      </c>
    </row>
    <row r="14764" spans="1:7">
      <c r="A14764" s="3">
        <v>10</v>
      </c>
      <c r="B14764" s="3">
        <v>5</v>
      </c>
      <c r="C14764" s="3">
        <v>5</v>
      </c>
      <c r="D14764" s="3">
        <v>34</v>
      </c>
      <c r="E14764" s="3">
        <v>1</v>
      </c>
      <c r="F14764" s="4" t="str">
        <f>HYPERLINK("http://141.218.60.56/~jnz1568/getInfo.php?workbook=10_05.xlsx&amp;sheet=U0&amp;row=14764&amp;col=6&amp;number=3&amp;sourceID=14","3")</f>
        <v>3</v>
      </c>
      <c r="G14764" s="4" t="str">
        <f>HYPERLINK("http://141.218.60.56/~jnz1568/getInfo.php?workbook=10_05.xlsx&amp;sheet=U0&amp;row=14764&amp;col=7&amp;number=0.296&amp;sourceID=14","0.296")</f>
        <v>0.296</v>
      </c>
    </row>
    <row r="14765" spans="1:7">
      <c r="A14765" s="3"/>
      <c r="B14765" s="3"/>
      <c r="C14765" s="3"/>
      <c r="D14765" s="3"/>
      <c r="E14765" s="3">
        <v>2</v>
      </c>
      <c r="F14765" s="4" t="str">
        <f>HYPERLINK("http://141.218.60.56/~jnz1568/getInfo.php?workbook=10_05.xlsx&amp;sheet=U0&amp;row=14765&amp;col=6&amp;number=3.1&amp;sourceID=14","3.1")</f>
        <v>3.1</v>
      </c>
      <c r="G14765" s="4" t="str">
        <f>HYPERLINK("http://141.218.60.56/~jnz1568/getInfo.php?workbook=10_05.xlsx&amp;sheet=U0&amp;row=14765&amp;col=7&amp;number=0.295&amp;sourceID=14","0.295")</f>
        <v>0.295</v>
      </c>
    </row>
    <row r="14766" spans="1:7">
      <c r="A14766" s="3"/>
      <c r="B14766" s="3"/>
      <c r="C14766" s="3"/>
      <c r="D14766" s="3"/>
      <c r="E14766" s="3">
        <v>3</v>
      </c>
      <c r="F14766" s="4" t="str">
        <f>HYPERLINK("http://141.218.60.56/~jnz1568/getInfo.php?workbook=10_05.xlsx&amp;sheet=U0&amp;row=14766&amp;col=6&amp;number=3.2&amp;sourceID=14","3.2")</f>
        <v>3.2</v>
      </c>
      <c r="G14766" s="4" t="str">
        <f>HYPERLINK("http://141.218.60.56/~jnz1568/getInfo.php?workbook=10_05.xlsx&amp;sheet=U0&amp;row=14766&amp;col=7&amp;number=0.293&amp;sourceID=14","0.293")</f>
        <v>0.293</v>
      </c>
    </row>
    <row r="14767" spans="1:7">
      <c r="A14767" s="3"/>
      <c r="B14767" s="3"/>
      <c r="C14767" s="3"/>
      <c r="D14767" s="3"/>
      <c r="E14767" s="3">
        <v>4</v>
      </c>
      <c r="F14767" s="4" t="str">
        <f>HYPERLINK("http://141.218.60.56/~jnz1568/getInfo.php?workbook=10_05.xlsx&amp;sheet=U0&amp;row=14767&amp;col=6&amp;number=3.3&amp;sourceID=14","3.3")</f>
        <v>3.3</v>
      </c>
      <c r="G14767" s="4" t="str">
        <f>HYPERLINK("http://141.218.60.56/~jnz1568/getInfo.php?workbook=10_05.xlsx&amp;sheet=U0&amp;row=14767&amp;col=7&amp;number=0.292&amp;sourceID=14","0.292")</f>
        <v>0.292</v>
      </c>
    </row>
    <row r="14768" spans="1:7">
      <c r="A14768" s="3"/>
      <c r="B14768" s="3"/>
      <c r="C14768" s="3"/>
      <c r="D14768" s="3"/>
      <c r="E14768" s="3">
        <v>5</v>
      </c>
      <c r="F14768" s="4" t="str">
        <f>HYPERLINK("http://141.218.60.56/~jnz1568/getInfo.php?workbook=10_05.xlsx&amp;sheet=U0&amp;row=14768&amp;col=6&amp;number=3.4&amp;sourceID=14","3.4")</f>
        <v>3.4</v>
      </c>
      <c r="G14768" s="4" t="str">
        <f>HYPERLINK("http://141.218.60.56/~jnz1568/getInfo.php?workbook=10_05.xlsx&amp;sheet=U0&amp;row=14768&amp;col=7&amp;number=0.289&amp;sourceID=14","0.289")</f>
        <v>0.289</v>
      </c>
    </row>
    <row r="14769" spans="1:7">
      <c r="A14769" s="3"/>
      <c r="B14769" s="3"/>
      <c r="C14769" s="3"/>
      <c r="D14769" s="3"/>
      <c r="E14769" s="3">
        <v>6</v>
      </c>
      <c r="F14769" s="4" t="str">
        <f>HYPERLINK("http://141.218.60.56/~jnz1568/getInfo.php?workbook=10_05.xlsx&amp;sheet=U0&amp;row=14769&amp;col=6&amp;number=3.5&amp;sourceID=14","3.5")</f>
        <v>3.5</v>
      </c>
      <c r="G14769" s="4" t="str">
        <f>HYPERLINK("http://141.218.60.56/~jnz1568/getInfo.php?workbook=10_05.xlsx&amp;sheet=U0&amp;row=14769&amp;col=7&amp;number=0.287&amp;sourceID=14","0.287")</f>
        <v>0.287</v>
      </c>
    </row>
    <row r="14770" spans="1:7">
      <c r="A14770" s="3"/>
      <c r="B14770" s="3"/>
      <c r="C14770" s="3"/>
      <c r="D14770" s="3"/>
      <c r="E14770" s="3">
        <v>7</v>
      </c>
      <c r="F14770" s="4" t="str">
        <f>HYPERLINK("http://141.218.60.56/~jnz1568/getInfo.php?workbook=10_05.xlsx&amp;sheet=U0&amp;row=14770&amp;col=6&amp;number=3.6&amp;sourceID=14","3.6")</f>
        <v>3.6</v>
      </c>
      <c r="G14770" s="4" t="str">
        <f>HYPERLINK("http://141.218.60.56/~jnz1568/getInfo.php?workbook=10_05.xlsx&amp;sheet=U0&amp;row=14770&amp;col=7&amp;number=0.283&amp;sourceID=14","0.283")</f>
        <v>0.283</v>
      </c>
    </row>
    <row r="14771" spans="1:7">
      <c r="A14771" s="3"/>
      <c r="B14771" s="3"/>
      <c r="C14771" s="3"/>
      <c r="D14771" s="3"/>
      <c r="E14771" s="3">
        <v>8</v>
      </c>
      <c r="F14771" s="4" t="str">
        <f>HYPERLINK("http://141.218.60.56/~jnz1568/getInfo.php?workbook=10_05.xlsx&amp;sheet=U0&amp;row=14771&amp;col=6&amp;number=3.7&amp;sourceID=14","3.7")</f>
        <v>3.7</v>
      </c>
      <c r="G14771" s="4" t="str">
        <f>HYPERLINK("http://141.218.60.56/~jnz1568/getInfo.php?workbook=10_05.xlsx&amp;sheet=U0&amp;row=14771&amp;col=7&amp;number=0.279&amp;sourceID=14","0.279")</f>
        <v>0.279</v>
      </c>
    </row>
    <row r="14772" spans="1:7">
      <c r="A14772" s="3"/>
      <c r="B14772" s="3"/>
      <c r="C14772" s="3"/>
      <c r="D14772" s="3"/>
      <c r="E14772" s="3">
        <v>9</v>
      </c>
      <c r="F14772" s="4" t="str">
        <f>HYPERLINK("http://141.218.60.56/~jnz1568/getInfo.php?workbook=10_05.xlsx&amp;sheet=U0&amp;row=14772&amp;col=6&amp;number=3.8&amp;sourceID=14","3.8")</f>
        <v>3.8</v>
      </c>
      <c r="G14772" s="4" t="str">
        <f>HYPERLINK("http://141.218.60.56/~jnz1568/getInfo.php?workbook=10_05.xlsx&amp;sheet=U0&amp;row=14772&amp;col=7&amp;number=0.274&amp;sourceID=14","0.274")</f>
        <v>0.274</v>
      </c>
    </row>
    <row r="14773" spans="1:7">
      <c r="A14773" s="3"/>
      <c r="B14773" s="3"/>
      <c r="C14773" s="3"/>
      <c r="D14773" s="3"/>
      <c r="E14773" s="3">
        <v>10</v>
      </c>
      <c r="F14773" s="4" t="str">
        <f>HYPERLINK("http://141.218.60.56/~jnz1568/getInfo.php?workbook=10_05.xlsx&amp;sheet=U0&amp;row=14773&amp;col=6&amp;number=3.9&amp;sourceID=14","3.9")</f>
        <v>3.9</v>
      </c>
      <c r="G14773" s="4" t="str">
        <f>HYPERLINK("http://141.218.60.56/~jnz1568/getInfo.php?workbook=10_05.xlsx&amp;sheet=U0&amp;row=14773&amp;col=7&amp;number=0.267&amp;sourceID=14","0.267")</f>
        <v>0.267</v>
      </c>
    </row>
    <row r="14774" spans="1:7">
      <c r="A14774" s="3"/>
      <c r="B14774" s="3"/>
      <c r="C14774" s="3"/>
      <c r="D14774" s="3"/>
      <c r="E14774" s="3">
        <v>11</v>
      </c>
      <c r="F14774" s="4" t="str">
        <f>HYPERLINK("http://141.218.60.56/~jnz1568/getInfo.php?workbook=10_05.xlsx&amp;sheet=U0&amp;row=14774&amp;col=6&amp;number=4&amp;sourceID=14","4")</f>
        <v>4</v>
      </c>
      <c r="G14774" s="4" t="str">
        <f>HYPERLINK("http://141.218.60.56/~jnz1568/getInfo.php?workbook=10_05.xlsx&amp;sheet=U0&amp;row=14774&amp;col=7&amp;number=0.259&amp;sourceID=14","0.259")</f>
        <v>0.259</v>
      </c>
    </row>
    <row r="14775" spans="1:7">
      <c r="A14775" s="3"/>
      <c r="B14775" s="3"/>
      <c r="C14775" s="3"/>
      <c r="D14775" s="3"/>
      <c r="E14775" s="3">
        <v>12</v>
      </c>
      <c r="F14775" s="4" t="str">
        <f>HYPERLINK("http://141.218.60.56/~jnz1568/getInfo.php?workbook=10_05.xlsx&amp;sheet=U0&amp;row=14775&amp;col=6&amp;number=4.1&amp;sourceID=14","4.1")</f>
        <v>4.1</v>
      </c>
      <c r="G14775" s="4" t="str">
        <f>HYPERLINK("http://141.218.60.56/~jnz1568/getInfo.php?workbook=10_05.xlsx&amp;sheet=U0&amp;row=14775&amp;col=7&amp;number=0.25&amp;sourceID=14","0.25")</f>
        <v>0.25</v>
      </c>
    </row>
    <row r="14776" spans="1:7">
      <c r="A14776" s="3"/>
      <c r="B14776" s="3"/>
      <c r="C14776" s="3"/>
      <c r="D14776" s="3"/>
      <c r="E14776" s="3">
        <v>13</v>
      </c>
      <c r="F14776" s="4" t="str">
        <f>HYPERLINK("http://141.218.60.56/~jnz1568/getInfo.php?workbook=10_05.xlsx&amp;sheet=U0&amp;row=14776&amp;col=6&amp;number=4.2&amp;sourceID=14","4.2")</f>
        <v>4.2</v>
      </c>
      <c r="G14776" s="4" t="str">
        <f>HYPERLINK("http://141.218.60.56/~jnz1568/getInfo.php?workbook=10_05.xlsx&amp;sheet=U0&amp;row=14776&amp;col=7&amp;number=0.239&amp;sourceID=14","0.239")</f>
        <v>0.239</v>
      </c>
    </row>
    <row r="14777" spans="1:7">
      <c r="A14777" s="3"/>
      <c r="B14777" s="3"/>
      <c r="C14777" s="3"/>
      <c r="D14777" s="3"/>
      <c r="E14777" s="3">
        <v>14</v>
      </c>
      <c r="F14777" s="4" t="str">
        <f>HYPERLINK("http://141.218.60.56/~jnz1568/getInfo.php?workbook=10_05.xlsx&amp;sheet=U0&amp;row=14777&amp;col=6&amp;number=4.3&amp;sourceID=14","4.3")</f>
        <v>4.3</v>
      </c>
      <c r="G14777" s="4" t="str">
        <f>HYPERLINK("http://141.218.60.56/~jnz1568/getInfo.php?workbook=10_05.xlsx&amp;sheet=U0&amp;row=14777&amp;col=7&amp;number=0.227&amp;sourceID=14","0.227")</f>
        <v>0.227</v>
      </c>
    </row>
    <row r="14778" spans="1:7">
      <c r="A14778" s="3"/>
      <c r="B14778" s="3"/>
      <c r="C14778" s="3"/>
      <c r="D14778" s="3"/>
      <c r="E14778" s="3">
        <v>15</v>
      </c>
      <c r="F14778" s="4" t="str">
        <f>HYPERLINK("http://141.218.60.56/~jnz1568/getInfo.php?workbook=10_05.xlsx&amp;sheet=U0&amp;row=14778&amp;col=6&amp;number=4.4&amp;sourceID=14","4.4")</f>
        <v>4.4</v>
      </c>
      <c r="G14778" s="4" t="str">
        <f>HYPERLINK("http://141.218.60.56/~jnz1568/getInfo.php?workbook=10_05.xlsx&amp;sheet=U0&amp;row=14778&amp;col=7&amp;number=0.213&amp;sourceID=14","0.213")</f>
        <v>0.213</v>
      </c>
    </row>
    <row r="14779" spans="1:7">
      <c r="A14779" s="3"/>
      <c r="B14779" s="3"/>
      <c r="C14779" s="3"/>
      <c r="D14779" s="3"/>
      <c r="E14779" s="3">
        <v>16</v>
      </c>
      <c r="F14779" s="4" t="str">
        <f>HYPERLINK("http://141.218.60.56/~jnz1568/getInfo.php?workbook=10_05.xlsx&amp;sheet=U0&amp;row=14779&amp;col=6&amp;number=4.5&amp;sourceID=14","4.5")</f>
        <v>4.5</v>
      </c>
      <c r="G14779" s="4" t="str">
        <f>HYPERLINK("http://141.218.60.56/~jnz1568/getInfo.php?workbook=10_05.xlsx&amp;sheet=U0&amp;row=14779&amp;col=7&amp;number=0.197&amp;sourceID=14","0.197")</f>
        <v>0.197</v>
      </c>
    </row>
    <row r="14780" spans="1:7">
      <c r="A14780" s="3"/>
      <c r="B14780" s="3"/>
      <c r="C14780" s="3"/>
      <c r="D14780" s="3"/>
      <c r="E14780" s="3">
        <v>17</v>
      </c>
      <c r="F14780" s="4" t="str">
        <f>HYPERLINK("http://141.218.60.56/~jnz1568/getInfo.php?workbook=10_05.xlsx&amp;sheet=U0&amp;row=14780&amp;col=6&amp;number=4.6&amp;sourceID=14","4.6")</f>
        <v>4.6</v>
      </c>
      <c r="G14780" s="4" t="str">
        <f>HYPERLINK("http://141.218.60.56/~jnz1568/getInfo.php?workbook=10_05.xlsx&amp;sheet=U0&amp;row=14780&amp;col=7&amp;number=0.182&amp;sourceID=14","0.182")</f>
        <v>0.182</v>
      </c>
    </row>
    <row r="14781" spans="1:7">
      <c r="A14781" s="3"/>
      <c r="B14781" s="3"/>
      <c r="C14781" s="3"/>
      <c r="D14781" s="3"/>
      <c r="E14781" s="3">
        <v>18</v>
      </c>
      <c r="F14781" s="4" t="str">
        <f>HYPERLINK("http://141.218.60.56/~jnz1568/getInfo.php?workbook=10_05.xlsx&amp;sheet=U0&amp;row=14781&amp;col=6&amp;number=4.7&amp;sourceID=14","4.7")</f>
        <v>4.7</v>
      </c>
      <c r="G14781" s="4" t="str">
        <f>HYPERLINK("http://141.218.60.56/~jnz1568/getInfo.php?workbook=10_05.xlsx&amp;sheet=U0&amp;row=14781&amp;col=7&amp;number=0.166&amp;sourceID=14","0.166")</f>
        <v>0.166</v>
      </c>
    </row>
    <row r="14782" spans="1:7">
      <c r="A14782" s="3"/>
      <c r="B14782" s="3"/>
      <c r="C14782" s="3"/>
      <c r="D14782" s="3"/>
      <c r="E14782" s="3">
        <v>19</v>
      </c>
      <c r="F14782" s="4" t="str">
        <f>HYPERLINK("http://141.218.60.56/~jnz1568/getInfo.php?workbook=10_05.xlsx&amp;sheet=U0&amp;row=14782&amp;col=6&amp;number=4.8&amp;sourceID=14","4.8")</f>
        <v>4.8</v>
      </c>
      <c r="G14782" s="4" t="str">
        <f>HYPERLINK("http://141.218.60.56/~jnz1568/getInfo.php?workbook=10_05.xlsx&amp;sheet=U0&amp;row=14782&amp;col=7&amp;number=0.15&amp;sourceID=14","0.15")</f>
        <v>0.15</v>
      </c>
    </row>
    <row r="14783" spans="1:7">
      <c r="A14783" s="3"/>
      <c r="B14783" s="3"/>
      <c r="C14783" s="3"/>
      <c r="D14783" s="3"/>
      <c r="E14783" s="3">
        <v>20</v>
      </c>
      <c r="F14783" s="4" t="str">
        <f>HYPERLINK("http://141.218.60.56/~jnz1568/getInfo.php?workbook=10_05.xlsx&amp;sheet=U0&amp;row=14783&amp;col=6&amp;number=4.9&amp;sourceID=14","4.9")</f>
        <v>4.9</v>
      </c>
      <c r="G14783" s="4" t="str">
        <f>HYPERLINK("http://141.218.60.56/~jnz1568/getInfo.php?workbook=10_05.xlsx&amp;sheet=U0&amp;row=14783&amp;col=7&amp;number=0.136&amp;sourceID=14","0.136")</f>
        <v>0.136</v>
      </c>
    </row>
    <row r="14784" spans="1:7">
      <c r="A14784" s="3">
        <v>10</v>
      </c>
      <c r="B14784" s="3">
        <v>5</v>
      </c>
      <c r="C14784" s="3">
        <v>5</v>
      </c>
      <c r="D14784" s="3">
        <v>35</v>
      </c>
      <c r="E14784" s="3">
        <v>1</v>
      </c>
      <c r="F14784" s="4" t="str">
        <f>HYPERLINK("http://141.218.60.56/~jnz1568/getInfo.php?workbook=10_05.xlsx&amp;sheet=U0&amp;row=14784&amp;col=6&amp;number=3&amp;sourceID=14","3")</f>
        <v>3</v>
      </c>
      <c r="G14784" s="4" t="str">
        <f>HYPERLINK("http://141.218.60.56/~jnz1568/getInfo.php?workbook=10_05.xlsx&amp;sheet=U0&amp;row=14784&amp;col=7&amp;number=1.22&amp;sourceID=14","1.22")</f>
        <v>1.22</v>
      </c>
    </row>
    <row r="14785" spans="1:7">
      <c r="A14785" s="3"/>
      <c r="B14785" s="3"/>
      <c r="C14785" s="3"/>
      <c r="D14785" s="3"/>
      <c r="E14785" s="3">
        <v>2</v>
      </c>
      <c r="F14785" s="4" t="str">
        <f>HYPERLINK("http://141.218.60.56/~jnz1568/getInfo.php?workbook=10_05.xlsx&amp;sheet=U0&amp;row=14785&amp;col=6&amp;number=3.1&amp;sourceID=14","3.1")</f>
        <v>3.1</v>
      </c>
      <c r="G14785" s="4" t="str">
        <f>HYPERLINK("http://141.218.60.56/~jnz1568/getInfo.php?workbook=10_05.xlsx&amp;sheet=U0&amp;row=14785&amp;col=7&amp;number=1.22&amp;sourceID=14","1.22")</f>
        <v>1.22</v>
      </c>
    </row>
    <row r="14786" spans="1:7">
      <c r="A14786" s="3"/>
      <c r="B14786" s="3"/>
      <c r="C14786" s="3"/>
      <c r="D14786" s="3"/>
      <c r="E14786" s="3">
        <v>3</v>
      </c>
      <c r="F14786" s="4" t="str">
        <f>HYPERLINK("http://141.218.60.56/~jnz1568/getInfo.php?workbook=10_05.xlsx&amp;sheet=U0&amp;row=14786&amp;col=6&amp;number=3.2&amp;sourceID=14","3.2")</f>
        <v>3.2</v>
      </c>
      <c r="G14786" s="4" t="str">
        <f>HYPERLINK("http://141.218.60.56/~jnz1568/getInfo.php?workbook=10_05.xlsx&amp;sheet=U0&amp;row=14786&amp;col=7&amp;number=1.22&amp;sourceID=14","1.22")</f>
        <v>1.22</v>
      </c>
    </row>
    <row r="14787" spans="1:7">
      <c r="A14787" s="3"/>
      <c r="B14787" s="3"/>
      <c r="C14787" s="3"/>
      <c r="D14787" s="3"/>
      <c r="E14787" s="3">
        <v>4</v>
      </c>
      <c r="F14787" s="4" t="str">
        <f>HYPERLINK("http://141.218.60.56/~jnz1568/getInfo.php?workbook=10_05.xlsx&amp;sheet=U0&amp;row=14787&amp;col=6&amp;number=3.3&amp;sourceID=14","3.3")</f>
        <v>3.3</v>
      </c>
      <c r="G14787" s="4" t="str">
        <f>HYPERLINK("http://141.218.60.56/~jnz1568/getInfo.php?workbook=10_05.xlsx&amp;sheet=U0&amp;row=14787&amp;col=7&amp;number=1.22&amp;sourceID=14","1.22")</f>
        <v>1.22</v>
      </c>
    </row>
    <row r="14788" spans="1:7">
      <c r="A14788" s="3"/>
      <c r="B14788" s="3"/>
      <c r="C14788" s="3"/>
      <c r="D14788" s="3"/>
      <c r="E14788" s="3">
        <v>5</v>
      </c>
      <c r="F14788" s="4" t="str">
        <f>HYPERLINK("http://141.218.60.56/~jnz1568/getInfo.php?workbook=10_05.xlsx&amp;sheet=U0&amp;row=14788&amp;col=6&amp;number=3.4&amp;sourceID=14","3.4")</f>
        <v>3.4</v>
      </c>
      <c r="G14788" s="4" t="str">
        <f>HYPERLINK("http://141.218.60.56/~jnz1568/getInfo.php?workbook=10_05.xlsx&amp;sheet=U0&amp;row=14788&amp;col=7&amp;number=1.22&amp;sourceID=14","1.22")</f>
        <v>1.22</v>
      </c>
    </row>
    <row r="14789" spans="1:7">
      <c r="A14789" s="3"/>
      <c r="B14789" s="3"/>
      <c r="C14789" s="3"/>
      <c r="D14789" s="3"/>
      <c r="E14789" s="3">
        <v>6</v>
      </c>
      <c r="F14789" s="4" t="str">
        <f>HYPERLINK("http://141.218.60.56/~jnz1568/getInfo.php?workbook=10_05.xlsx&amp;sheet=U0&amp;row=14789&amp;col=6&amp;number=3.5&amp;sourceID=14","3.5")</f>
        <v>3.5</v>
      </c>
      <c r="G14789" s="4" t="str">
        <f>HYPERLINK("http://141.218.60.56/~jnz1568/getInfo.php?workbook=10_05.xlsx&amp;sheet=U0&amp;row=14789&amp;col=7&amp;number=1.22&amp;sourceID=14","1.22")</f>
        <v>1.22</v>
      </c>
    </row>
    <row r="14790" spans="1:7">
      <c r="A14790" s="3"/>
      <c r="B14790" s="3"/>
      <c r="C14790" s="3"/>
      <c r="D14790" s="3"/>
      <c r="E14790" s="3">
        <v>7</v>
      </c>
      <c r="F14790" s="4" t="str">
        <f>HYPERLINK("http://141.218.60.56/~jnz1568/getInfo.php?workbook=10_05.xlsx&amp;sheet=U0&amp;row=14790&amp;col=6&amp;number=3.6&amp;sourceID=14","3.6")</f>
        <v>3.6</v>
      </c>
      <c r="G14790" s="4" t="str">
        <f>HYPERLINK("http://141.218.60.56/~jnz1568/getInfo.php?workbook=10_05.xlsx&amp;sheet=U0&amp;row=14790&amp;col=7&amp;number=1.22&amp;sourceID=14","1.22")</f>
        <v>1.22</v>
      </c>
    </row>
    <row r="14791" spans="1:7">
      <c r="A14791" s="3"/>
      <c r="B14791" s="3"/>
      <c r="C14791" s="3"/>
      <c r="D14791" s="3"/>
      <c r="E14791" s="3">
        <v>8</v>
      </c>
      <c r="F14791" s="4" t="str">
        <f>HYPERLINK("http://141.218.60.56/~jnz1568/getInfo.php?workbook=10_05.xlsx&amp;sheet=U0&amp;row=14791&amp;col=6&amp;number=3.7&amp;sourceID=14","3.7")</f>
        <v>3.7</v>
      </c>
      <c r="G14791" s="4" t="str">
        <f>HYPERLINK("http://141.218.60.56/~jnz1568/getInfo.php?workbook=10_05.xlsx&amp;sheet=U0&amp;row=14791&amp;col=7&amp;number=1.21&amp;sourceID=14","1.21")</f>
        <v>1.21</v>
      </c>
    </row>
    <row r="14792" spans="1:7">
      <c r="A14792" s="3"/>
      <c r="B14792" s="3"/>
      <c r="C14792" s="3"/>
      <c r="D14792" s="3"/>
      <c r="E14792" s="3">
        <v>9</v>
      </c>
      <c r="F14792" s="4" t="str">
        <f>HYPERLINK("http://141.218.60.56/~jnz1568/getInfo.php?workbook=10_05.xlsx&amp;sheet=U0&amp;row=14792&amp;col=6&amp;number=3.8&amp;sourceID=14","3.8")</f>
        <v>3.8</v>
      </c>
      <c r="G14792" s="4" t="str">
        <f>HYPERLINK("http://141.218.60.56/~jnz1568/getInfo.php?workbook=10_05.xlsx&amp;sheet=U0&amp;row=14792&amp;col=7&amp;number=1.21&amp;sourceID=14","1.21")</f>
        <v>1.21</v>
      </c>
    </row>
    <row r="14793" spans="1:7">
      <c r="A14793" s="3"/>
      <c r="B14793" s="3"/>
      <c r="C14793" s="3"/>
      <c r="D14793" s="3"/>
      <c r="E14793" s="3">
        <v>10</v>
      </c>
      <c r="F14793" s="4" t="str">
        <f>HYPERLINK("http://141.218.60.56/~jnz1568/getInfo.php?workbook=10_05.xlsx&amp;sheet=U0&amp;row=14793&amp;col=6&amp;number=3.9&amp;sourceID=14","3.9")</f>
        <v>3.9</v>
      </c>
      <c r="G14793" s="4" t="str">
        <f>HYPERLINK("http://141.218.60.56/~jnz1568/getInfo.php?workbook=10_05.xlsx&amp;sheet=U0&amp;row=14793&amp;col=7&amp;number=1.21&amp;sourceID=14","1.21")</f>
        <v>1.21</v>
      </c>
    </row>
    <row r="14794" spans="1:7">
      <c r="A14794" s="3"/>
      <c r="B14794" s="3"/>
      <c r="C14794" s="3"/>
      <c r="D14794" s="3"/>
      <c r="E14794" s="3">
        <v>11</v>
      </c>
      <c r="F14794" s="4" t="str">
        <f>HYPERLINK("http://141.218.60.56/~jnz1568/getInfo.php?workbook=10_05.xlsx&amp;sheet=U0&amp;row=14794&amp;col=6&amp;number=4&amp;sourceID=14","4")</f>
        <v>4</v>
      </c>
      <c r="G14794" s="4" t="str">
        <f>HYPERLINK("http://141.218.60.56/~jnz1568/getInfo.php?workbook=10_05.xlsx&amp;sheet=U0&amp;row=14794&amp;col=7&amp;number=1.2&amp;sourceID=14","1.2")</f>
        <v>1.2</v>
      </c>
    </row>
    <row r="14795" spans="1:7">
      <c r="A14795" s="3"/>
      <c r="B14795" s="3"/>
      <c r="C14795" s="3"/>
      <c r="D14795" s="3"/>
      <c r="E14795" s="3">
        <v>12</v>
      </c>
      <c r="F14795" s="4" t="str">
        <f>HYPERLINK("http://141.218.60.56/~jnz1568/getInfo.php?workbook=10_05.xlsx&amp;sheet=U0&amp;row=14795&amp;col=6&amp;number=4.1&amp;sourceID=14","4.1")</f>
        <v>4.1</v>
      </c>
      <c r="G14795" s="4" t="str">
        <f>HYPERLINK("http://141.218.60.56/~jnz1568/getInfo.php?workbook=10_05.xlsx&amp;sheet=U0&amp;row=14795&amp;col=7&amp;number=1.19&amp;sourceID=14","1.19")</f>
        <v>1.19</v>
      </c>
    </row>
    <row r="14796" spans="1:7">
      <c r="A14796" s="3"/>
      <c r="B14796" s="3"/>
      <c r="C14796" s="3"/>
      <c r="D14796" s="3"/>
      <c r="E14796" s="3">
        <v>13</v>
      </c>
      <c r="F14796" s="4" t="str">
        <f>HYPERLINK("http://141.218.60.56/~jnz1568/getInfo.php?workbook=10_05.xlsx&amp;sheet=U0&amp;row=14796&amp;col=6&amp;number=4.2&amp;sourceID=14","4.2")</f>
        <v>4.2</v>
      </c>
      <c r="G14796" s="4" t="str">
        <f>HYPERLINK("http://141.218.60.56/~jnz1568/getInfo.php?workbook=10_05.xlsx&amp;sheet=U0&amp;row=14796&amp;col=7&amp;number=1.18&amp;sourceID=14","1.18")</f>
        <v>1.18</v>
      </c>
    </row>
    <row r="14797" spans="1:7">
      <c r="A14797" s="3"/>
      <c r="B14797" s="3"/>
      <c r="C14797" s="3"/>
      <c r="D14797" s="3"/>
      <c r="E14797" s="3">
        <v>14</v>
      </c>
      <c r="F14797" s="4" t="str">
        <f>HYPERLINK("http://141.218.60.56/~jnz1568/getInfo.php?workbook=10_05.xlsx&amp;sheet=U0&amp;row=14797&amp;col=6&amp;number=4.3&amp;sourceID=14","4.3")</f>
        <v>4.3</v>
      </c>
      <c r="G14797" s="4" t="str">
        <f>HYPERLINK("http://141.218.60.56/~jnz1568/getInfo.php?workbook=10_05.xlsx&amp;sheet=U0&amp;row=14797&amp;col=7&amp;number=1.16&amp;sourceID=14","1.16")</f>
        <v>1.16</v>
      </c>
    </row>
    <row r="14798" spans="1:7">
      <c r="A14798" s="3"/>
      <c r="B14798" s="3"/>
      <c r="C14798" s="3"/>
      <c r="D14798" s="3"/>
      <c r="E14798" s="3">
        <v>15</v>
      </c>
      <c r="F14798" s="4" t="str">
        <f>HYPERLINK("http://141.218.60.56/~jnz1568/getInfo.php?workbook=10_05.xlsx&amp;sheet=U0&amp;row=14798&amp;col=6&amp;number=4.4&amp;sourceID=14","4.4")</f>
        <v>4.4</v>
      </c>
      <c r="G14798" s="4" t="str">
        <f>HYPERLINK("http://141.218.60.56/~jnz1568/getInfo.php?workbook=10_05.xlsx&amp;sheet=U0&amp;row=14798&amp;col=7&amp;number=1.14&amp;sourceID=14","1.14")</f>
        <v>1.14</v>
      </c>
    </row>
    <row r="14799" spans="1:7">
      <c r="A14799" s="3"/>
      <c r="B14799" s="3"/>
      <c r="C14799" s="3"/>
      <c r="D14799" s="3"/>
      <c r="E14799" s="3">
        <v>16</v>
      </c>
      <c r="F14799" s="4" t="str">
        <f>HYPERLINK("http://141.218.60.56/~jnz1568/getInfo.php?workbook=10_05.xlsx&amp;sheet=U0&amp;row=14799&amp;col=6&amp;number=4.5&amp;sourceID=14","4.5")</f>
        <v>4.5</v>
      </c>
      <c r="G14799" s="4" t="str">
        <f>HYPERLINK("http://141.218.60.56/~jnz1568/getInfo.php?workbook=10_05.xlsx&amp;sheet=U0&amp;row=14799&amp;col=7&amp;number=1.11&amp;sourceID=14","1.11")</f>
        <v>1.11</v>
      </c>
    </row>
    <row r="14800" spans="1:7">
      <c r="A14800" s="3"/>
      <c r="B14800" s="3"/>
      <c r="C14800" s="3"/>
      <c r="D14800" s="3"/>
      <c r="E14800" s="3">
        <v>17</v>
      </c>
      <c r="F14800" s="4" t="str">
        <f>HYPERLINK("http://141.218.60.56/~jnz1568/getInfo.php?workbook=10_05.xlsx&amp;sheet=U0&amp;row=14800&amp;col=6&amp;number=4.6&amp;sourceID=14","4.6")</f>
        <v>4.6</v>
      </c>
      <c r="G14800" s="4" t="str">
        <f>HYPERLINK("http://141.218.60.56/~jnz1568/getInfo.php?workbook=10_05.xlsx&amp;sheet=U0&amp;row=14800&amp;col=7&amp;number=1.08&amp;sourceID=14","1.08")</f>
        <v>1.08</v>
      </c>
    </row>
    <row r="14801" spans="1:7">
      <c r="A14801" s="3"/>
      <c r="B14801" s="3"/>
      <c r="C14801" s="3"/>
      <c r="D14801" s="3"/>
      <c r="E14801" s="3">
        <v>18</v>
      </c>
      <c r="F14801" s="4" t="str">
        <f>HYPERLINK("http://141.218.60.56/~jnz1568/getInfo.php?workbook=10_05.xlsx&amp;sheet=U0&amp;row=14801&amp;col=6&amp;number=4.7&amp;sourceID=14","4.7")</f>
        <v>4.7</v>
      </c>
      <c r="G14801" s="4" t="str">
        <f>HYPERLINK("http://141.218.60.56/~jnz1568/getInfo.php?workbook=10_05.xlsx&amp;sheet=U0&amp;row=14801&amp;col=7&amp;number=1.04&amp;sourceID=14","1.04")</f>
        <v>1.04</v>
      </c>
    </row>
    <row r="14802" spans="1:7">
      <c r="A14802" s="3"/>
      <c r="B14802" s="3"/>
      <c r="C14802" s="3"/>
      <c r="D14802" s="3"/>
      <c r="E14802" s="3">
        <v>19</v>
      </c>
      <c r="F14802" s="4" t="str">
        <f>HYPERLINK("http://141.218.60.56/~jnz1568/getInfo.php?workbook=10_05.xlsx&amp;sheet=U0&amp;row=14802&amp;col=6&amp;number=4.8&amp;sourceID=14","4.8")</f>
        <v>4.8</v>
      </c>
      <c r="G14802" s="4" t="str">
        <f>HYPERLINK("http://141.218.60.56/~jnz1568/getInfo.php?workbook=10_05.xlsx&amp;sheet=U0&amp;row=14802&amp;col=7&amp;number=1&amp;sourceID=14","1")</f>
        <v>1</v>
      </c>
    </row>
    <row r="14803" spans="1:7">
      <c r="A14803" s="3"/>
      <c r="B14803" s="3"/>
      <c r="C14803" s="3"/>
      <c r="D14803" s="3"/>
      <c r="E14803" s="3">
        <v>20</v>
      </c>
      <c r="F14803" s="4" t="str">
        <f>HYPERLINK("http://141.218.60.56/~jnz1568/getInfo.php?workbook=10_05.xlsx&amp;sheet=U0&amp;row=14803&amp;col=6&amp;number=4.9&amp;sourceID=14","4.9")</f>
        <v>4.9</v>
      </c>
      <c r="G14803" s="4" t="str">
        <f>HYPERLINK("http://141.218.60.56/~jnz1568/getInfo.php?workbook=10_05.xlsx&amp;sheet=U0&amp;row=14803&amp;col=7&amp;number=0.963&amp;sourceID=14","0.963")</f>
        <v>0.963</v>
      </c>
    </row>
    <row r="14804" spans="1:7">
      <c r="A14804" s="3">
        <v>10</v>
      </c>
      <c r="B14804" s="3">
        <v>5</v>
      </c>
      <c r="C14804" s="3">
        <v>5</v>
      </c>
      <c r="D14804" s="3">
        <v>36</v>
      </c>
      <c r="E14804" s="3">
        <v>1</v>
      </c>
      <c r="F14804" s="4" t="str">
        <f>HYPERLINK("http://141.218.60.56/~jnz1568/getInfo.php?workbook=10_05.xlsx&amp;sheet=U0&amp;row=14804&amp;col=6&amp;number=3&amp;sourceID=14","3")</f>
        <v>3</v>
      </c>
      <c r="G14804" s="4" t="str">
        <f>HYPERLINK("http://141.218.60.56/~jnz1568/getInfo.php?workbook=10_05.xlsx&amp;sheet=U0&amp;row=14804&amp;col=7&amp;number=0.101&amp;sourceID=14","0.101")</f>
        <v>0.101</v>
      </c>
    </row>
    <row r="14805" spans="1:7">
      <c r="A14805" s="3"/>
      <c r="B14805" s="3"/>
      <c r="C14805" s="3"/>
      <c r="D14805" s="3"/>
      <c r="E14805" s="3">
        <v>2</v>
      </c>
      <c r="F14805" s="4" t="str">
        <f>HYPERLINK("http://141.218.60.56/~jnz1568/getInfo.php?workbook=10_05.xlsx&amp;sheet=U0&amp;row=14805&amp;col=6&amp;number=3.1&amp;sourceID=14","3.1")</f>
        <v>3.1</v>
      </c>
      <c r="G14805" s="4" t="str">
        <f>HYPERLINK("http://141.218.60.56/~jnz1568/getInfo.php?workbook=10_05.xlsx&amp;sheet=U0&amp;row=14805&amp;col=7&amp;number=0.101&amp;sourceID=14","0.101")</f>
        <v>0.101</v>
      </c>
    </row>
    <row r="14806" spans="1:7">
      <c r="A14806" s="3"/>
      <c r="B14806" s="3"/>
      <c r="C14806" s="3"/>
      <c r="D14806" s="3"/>
      <c r="E14806" s="3">
        <v>3</v>
      </c>
      <c r="F14806" s="4" t="str">
        <f>HYPERLINK("http://141.218.60.56/~jnz1568/getInfo.php?workbook=10_05.xlsx&amp;sheet=U0&amp;row=14806&amp;col=6&amp;number=3.2&amp;sourceID=14","3.2")</f>
        <v>3.2</v>
      </c>
      <c r="G14806" s="4" t="str">
        <f>HYPERLINK("http://141.218.60.56/~jnz1568/getInfo.php?workbook=10_05.xlsx&amp;sheet=U0&amp;row=14806&amp;col=7&amp;number=0.101&amp;sourceID=14","0.101")</f>
        <v>0.101</v>
      </c>
    </row>
    <row r="14807" spans="1:7">
      <c r="A14807" s="3"/>
      <c r="B14807" s="3"/>
      <c r="C14807" s="3"/>
      <c r="D14807" s="3"/>
      <c r="E14807" s="3">
        <v>4</v>
      </c>
      <c r="F14807" s="4" t="str">
        <f>HYPERLINK("http://141.218.60.56/~jnz1568/getInfo.php?workbook=10_05.xlsx&amp;sheet=U0&amp;row=14807&amp;col=6&amp;number=3.3&amp;sourceID=14","3.3")</f>
        <v>3.3</v>
      </c>
      <c r="G14807" s="4" t="str">
        <f>HYPERLINK("http://141.218.60.56/~jnz1568/getInfo.php?workbook=10_05.xlsx&amp;sheet=U0&amp;row=14807&amp;col=7&amp;number=0.102&amp;sourceID=14","0.102")</f>
        <v>0.102</v>
      </c>
    </row>
    <row r="14808" spans="1:7">
      <c r="A14808" s="3"/>
      <c r="B14808" s="3"/>
      <c r="C14808" s="3"/>
      <c r="D14808" s="3"/>
      <c r="E14808" s="3">
        <v>5</v>
      </c>
      <c r="F14808" s="4" t="str">
        <f>HYPERLINK("http://141.218.60.56/~jnz1568/getInfo.php?workbook=10_05.xlsx&amp;sheet=U0&amp;row=14808&amp;col=6&amp;number=3.4&amp;sourceID=14","3.4")</f>
        <v>3.4</v>
      </c>
      <c r="G14808" s="4" t="str">
        <f>HYPERLINK("http://141.218.60.56/~jnz1568/getInfo.php?workbook=10_05.xlsx&amp;sheet=U0&amp;row=14808&amp;col=7&amp;number=0.102&amp;sourceID=14","0.102")</f>
        <v>0.102</v>
      </c>
    </row>
    <row r="14809" spans="1:7">
      <c r="A14809" s="3"/>
      <c r="B14809" s="3"/>
      <c r="C14809" s="3"/>
      <c r="D14809" s="3"/>
      <c r="E14809" s="3">
        <v>6</v>
      </c>
      <c r="F14809" s="4" t="str">
        <f>HYPERLINK("http://141.218.60.56/~jnz1568/getInfo.php?workbook=10_05.xlsx&amp;sheet=U0&amp;row=14809&amp;col=6&amp;number=3.5&amp;sourceID=14","3.5")</f>
        <v>3.5</v>
      </c>
      <c r="G14809" s="4" t="str">
        <f>HYPERLINK("http://141.218.60.56/~jnz1568/getInfo.php?workbook=10_05.xlsx&amp;sheet=U0&amp;row=14809&amp;col=7&amp;number=0.103&amp;sourceID=14","0.103")</f>
        <v>0.103</v>
      </c>
    </row>
    <row r="14810" spans="1:7">
      <c r="A14810" s="3"/>
      <c r="B14810" s="3"/>
      <c r="C14810" s="3"/>
      <c r="D14810" s="3"/>
      <c r="E14810" s="3">
        <v>7</v>
      </c>
      <c r="F14810" s="4" t="str">
        <f>HYPERLINK("http://141.218.60.56/~jnz1568/getInfo.php?workbook=10_05.xlsx&amp;sheet=U0&amp;row=14810&amp;col=6&amp;number=3.6&amp;sourceID=14","3.6")</f>
        <v>3.6</v>
      </c>
      <c r="G14810" s="4" t="str">
        <f>HYPERLINK("http://141.218.60.56/~jnz1568/getInfo.php?workbook=10_05.xlsx&amp;sheet=U0&amp;row=14810&amp;col=7&amp;number=0.103&amp;sourceID=14","0.103")</f>
        <v>0.103</v>
      </c>
    </row>
    <row r="14811" spans="1:7">
      <c r="A14811" s="3"/>
      <c r="B14811" s="3"/>
      <c r="C14811" s="3"/>
      <c r="D14811" s="3"/>
      <c r="E14811" s="3">
        <v>8</v>
      </c>
      <c r="F14811" s="4" t="str">
        <f>HYPERLINK("http://141.218.60.56/~jnz1568/getInfo.php?workbook=10_05.xlsx&amp;sheet=U0&amp;row=14811&amp;col=6&amp;number=3.7&amp;sourceID=14","3.7")</f>
        <v>3.7</v>
      </c>
      <c r="G14811" s="4" t="str">
        <f>HYPERLINK("http://141.218.60.56/~jnz1568/getInfo.php?workbook=10_05.xlsx&amp;sheet=U0&amp;row=14811&amp;col=7&amp;number=0.104&amp;sourceID=14","0.104")</f>
        <v>0.104</v>
      </c>
    </row>
    <row r="14812" spans="1:7">
      <c r="A14812" s="3"/>
      <c r="B14812" s="3"/>
      <c r="C14812" s="3"/>
      <c r="D14812" s="3"/>
      <c r="E14812" s="3">
        <v>9</v>
      </c>
      <c r="F14812" s="4" t="str">
        <f>HYPERLINK("http://141.218.60.56/~jnz1568/getInfo.php?workbook=10_05.xlsx&amp;sheet=U0&amp;row=14812&amp;col=6&amp;number=3.8&amp;sourceID=14","3.8")</f>
        <v>3.8</v>
      </c>
      <c r="G14812" s="4" t="str">
        <f>HYPERLINK("http://141.218.60.56/~jnz1568/getInfo.php?workbook=10_05.xlsx&amp;sheet=U0&amp;row=14812&amp;col=7&amp;number=0.105&amp;sourceID=14","0.105")</f>
        <v>0.105</v>
      </c>
    </row>
    <row r="14813" spans="1:7">
      <c r="A14813" s="3"/>
      <c r="B14813" s="3"/>
      <c r="C14813" s="3"/>
      <c r="D14813" s="3"/>
      <c r="E14813" s="3">
        <v>10</v>
      </c>
      <c r="F14813" s="4" t="str">
        <f>HYPERLINK("http://141.218.60.56/~jnz1568/getInfo.php?workbook=10_05.xlsx&amp;sheet=U0&amp;row=14813&amp;col=6&amp;number=3.9&amp;sourceID=14","3.9")</f>
        <v>3.9</v>
      </c>
      <c r="G14813" s="4" t="str">
        <f>HYPERLINK("http://141.218.60.56/~jnz1568/getInfo.php?workbook=10_05.xlsx&amp;sheet=U0&amp;row=14813&amp;col=7&amp;number=0.106&amp;sourceID=14","0.106")</f>
        <v>0.106</v>
      </c>
    </row>
    <row r="14814" spans="1:7">
      <c r="A14814" s="3"/>
      <c r="B14814" s="3"/>
      <c r="C14814" s="3"/>
      <c r="D14814" s="3"/>
      <c r="E14814" s="3">
        <v>11</v>
      </c>
      <c r="F14814" s="4" t="str">
        <f>HYPERLINK("http://141.218.60.56/~jnz1568/getInfo.php?workbook=10_05.xlsx&amp;sheet=U0&amp;row=14814&amp;col=6&amp;number=4&amp;sourceID=14","4")</f>
        <v>4</v>
      </c>
      <c r="G14814" s="4" t="str">
        <f>HYPERLINK("http://141.218.60.56/~jnz1568/getInfo.php?workbook=10_05.xlsx&amp;sheet=U0&amp;row=14814&amp;col=7&amp;number=0.107&amp;sourceID=14","0.107")</f>
        <v>0.107</v>
      </c>
    </row>
    <row r="14815" spans="1:7">
      <c r="A14815" s="3"/>
      <c r="B14815" s="3"/>
      <c r="C14815" s="3"/>
      <c r="D14815" s="3"/>
      <c r="E14815" s="3">
        <v>12</v>
      </c>
      <c r="F14815" s="4" t="str">
        <f>HYPERLINK("http://141.218.60.56/~jnz1568/getInfo.php?workbook=10_05.xlsx&amp;sheet=U0&amp;row=14815&amp;col=6&amp;number=4.1&amp;sourceID=14","4.1")</f>
        <v>4.1</v>
      </c>
      <c r="G14815" s="4" t="str">
        <f>HYPERLINK("http://141.218.60.56/~jnz1568/getInfo.php?workbook=10_05.xlsx&amp;sheet=U0&amp;row=14815&amp;col=7&amp;number=0.107&amp;sourceID=14","0.107")</f>
        <v>0.107</v>
      </c>
    </row>
    <row r="14816" spans="1:7">
      <c r="A14816" s="3"/>
      <c r="B14816" s="3"/>
      <c r="C14816" s="3"/>
      <c r="D14816" s="3"/>
      <c r="E14816" s="3">
        <v>13</v>
      </c>
      <c r="F14816" s="4" t="str">
        <f>HYPERLINK("http://141.218.60.56/~jnz1568/getInfo.php?workbook=10_05.xlsx&amp;sheet=U0&amp;row=14816&amp;col=6&amp;number=4.2&amp;sourceID=14","4.2")</f>
        <v>4.2</v>
      </c>
      <c r="G14816" s="4" t="str">
        <f>HYPERLINK("http://141.218.60.56/~jnz1568/getInfo.php?workbook=10_05.xlsx&amp;sheet=U0&amp;row=14816&amp;col=7&amp;number=0.106&amp;sourceID=14","0.106")</f>
        <v>0.106</v>
      </c>
    </row>
    <row r="14817" spans="1:7">
      <c r="A14817" s="3"/>
      <c r="B14817" s="3"/>
      <c r="C14817" s="3"/>
      <c r="D14817" s="3"/>
      <c r="E14817" s="3">
        <v>14</v>
      </c>
      <c r="F14817" s="4" t="str">
        <f>HYPERLINK("http://141.218.60.56/~jnz1568/getInfo.php?workbook=10_05.xlsx&amp;sheet=U0&amp;row=14817&amp;col=6&amp;number=4.3&amp;sourceID=14","4.3")</f>
        <v>4.3</v>
      </c>
      <c r="G14817" s="4" t="str">
        <f>HYPERLINK("http://141.218.60.56/~jnz1568/getInfo.php?workbook=10_05.xlsx&amp;sheet=U0&amp;row=14817&amp;col=7&amp;number=0.103&amp;sourceID=14","0.103")</f>
        <v>0.103</v>
      </c>
    </row>
    <row r="14818" spans="1:7">
      <c r="A14818" s="3"/>
      <c r="B14818" s="3"/>
      <c r="C14818" s="3"/>
      <c r="D14818" s="3"/>
      <c r="E14818" s="3">
        <v>15</v>
      </c>
      <c r="F14818" s="4" t="str">
        <f>HYPERLINK("http://141.218.60.56/~jnz1568/getInfo.php?workbook=10_05.xlsx&amp;sheet=U0&amp;row=14818&amp;col=6&amp;number=4.4&amp;sourceID=14","4.4")</f>
        <v>4.4</v>
      </c>
      <c r="G14818" s="4" t="str">
        <f>HYPERLINK("http://141.218.60.56/~jnz1568/getInfo.php?workbook=10_05.xlsx&amp;sheet=U0&amp;row=14818&amp;col=7&amp;number=0.0995&amp;sourceID=14","0.0995")</f>
        <v>0.0995</v>
      </c>
    </row>
    <row r="14819" spans="1:7">
      <c r="A14819" s="3"/>
      <c r="B14819" s="3"/>
      <c r="C14819" s="3"/>
      <c r="D14819" s="3"/>
      <c r="E14819" s="3">
        <v>16</v>
      </c>
      <c r="F14819" s="4" t="str">
        <f>HYPERLINK("http://141.218.60.56/~jnz1568/getInfo.php?workbook=10_05.xlsx&amp;sheet=U0&amp;row=14819&amp;col=6&amp;number=4.5&amp;sourceID=14","4.5")</f>
        <v>4.5</v>
      </c>
      <c r="G14819" s="4" t="str">
        <f>HYPERLINK("http://141.218.60.56/~jnz1568/getInfo.php?workbook=10_05.xlsx&amp;sheet=U0&amp;row=14819&amp;col=7&amp;number=0.0944&amp;sourceID=14","0.0944")</f>
        <v>0.0944</v>
      </c>
    </row>
    <row r="14820" spans="1:7">
      <c r="A14820" s="3"/>
      <c r="B14820" s="3"/>
      <c r="C14820" s="3"/>
      <c r="D14820" s="3"/>
      <c r="E14820" s="3">
        <v>17</v>
      </c>
      <c r="F14820" s="4" t="str">
        <f>HYPERLINK("http://141.218.60.56/~jnz1568/getInfo.php?workbook=10_05.xlsx&amp;sheet=U0&amp;row=14820&amp;col=6&amp;number=4.6&amp;sourceID=14","4.6")</f>
        <v>4.6</v>
      </c>
      <c r="G14820" s="4" t="str">
        <f>HYPERLINK("http://141.218.60.56/~jnz1568/getInfo.php?workbook=10_05.xlsx&amp;sheet=U0&amp;row=14820&amp;col=7&amp;number=0.089&amp;sourceID=14","0.089")</f>
        <v>0.089</v>
      </c>
    </row>
    <row r="14821" spans="1:7">
      <c r="A14821" s="3"/>
      <c r="B14821" s="3"/>
      <c r="C14821" s="3"/>
      <c r="D14821" s="3"/>
      <c r="E14821" s="3">
        <v>18</v>
      </c>
      <c r="F14821" s="4" t="str">
        <f>HYPERLINK("http://141.218.60.56/~jnz1568/getInfo.php?workbook=10_05.xlsx&amp;sheet=U0&amp;row=14821&amp;col=6&amp;number=4.7&amp;sourceID=14","4.7")</f>
        <v>4.7</v>
      </c>
      <c r="G14821" s="4" t="str">
        <f>HYPERLINK("http://141.218.60.56/~jnz1568/getInfo.php?workbook=10_05.xlsx&amp;sheet=U0&amp;row=14821&amp;col=7&amp;number=0.0832&amp;sourceID=14","0.0832")</f>
        <v>0.0832</v>
      </c>
    </row>
    <row r="14822" spans="1:7">
      <c r="A14822" s="3"/>
      <c r="B14822" s="3"/>
      <c r="C14822" s="3"/>
      <c r="D14822" s="3"/>
      <c r="E14822" s="3">
        <v>19</v>
      </c>
      <c r="F14822" s="4" t="str">
        <f>HYPERLINK("http://141.218.60.56/~jnz1568/getInfo.php?workbook=10_05.xlsx&amp;sheet=U0&amp;row=14822&amp;col=6&amp;number=4.8&amp;sourceID=14","4.8")</f>
        <v>4.8</v>
      </c>
      <c r="G14822" s="4" t="str">
        <f>HYPERLINK("http://141.218.60.56/~jnz1568/getInfo.php?workbook=10_05.xlsx&amp;sheet=U0&amp;row=14822&amp;col=7&amp;number=0.0768&amp;sourceID=14","0.0768")</f>
        <v>0.0768</v>
      </c>
    </row>
    <row r="14823" spans="1:7">
      <c r="A14823" s="3"/>
      <c r="B14823" s="3"/>
      <c r="C14823" s="3"/>
      <c r="D14823" s="3"/>
      <c r="E14823" s="3">
        <v>20</v>
      </c>
      <c r="F14823" s="4" t="str">
        <f>HYPERLINK("http://141.218.60.56/~jnz1568/getInfo.php?workbook=10_05.xlsx&amp;sheet=U0&amp;row=14823&amp;col=6&amp;number=4.9&amp;sourceID=14","4.9")</f>
        <v>4.9</v>
      </c>
      <c r="G14823" s="4" t="str">
        <f>HYPERLINK("http://141.218.60.56/~jnz1568/getInfo.php?workbook=10_05.xlsx&amp;sheet=U0&amp;row=14823&amp;col=7&amp;number=0.0702&amp;sourceID=14","0.0702")</f>
        <v>0.0702</v>
      </c>
    </row>
    <row r="14824" spans="1:7">
      <c r="A14824" s="3">
        <v>10</v>
      </c>
      <c r="B14824" s="3">
        <v>5</v>
      </c>
      <c r="C14824" s="3">
        <v>5</v>
      </c>
      <c r="D14824" s="3">
        <v>37</v>
      </c>
      <c r="E14824" s="3">
        <v>1</v>
      </c>
      <c r="F14824" s="4" t="str">
        <f>HYPERLINK("http://141.218.60.56/~jnz1568/getInfo.php?workbook=10_05.xlsx&amp;sheet=U0&amp;row=14824&amp;col=6&amp;number=3&amp;sourceID=14","3")</f>
        <v>3</v>
      </c>
      <c r="G14824" s="4" t="str">
        <f>HYPERLINK("http://141.218.60.56/~jnz1568/getInfo.php?workbook=10_05.xlsx&amp;sheet=U0&amp;row=14824&amp;col=7&amp;number=0.201&amp;sourceID=14","0.201")</f>
        <v>0.201</v>
      </c>
    </row>
    <row r="14825" spans="1:7">
      <c r="A14825" s="3"/>
      <c r="B14825" s="3"/>
      <c r="C14825" s="3"/>
      <c r="D14825" s="3"/>
      <c r="E14825" s="3">
        <v>2</v>
      </c>
      <c r="F14825" s="4" t="str">
        <f>HYPERLINK("http://141.218.60.56/~jnz1568/getInfo.php?workbook=10_05.xlsx&amp;sheet=U0&amp;row=14825&amp;col=6&amp;number=3.1&amp;sourceID=14","3.1")</f>
        <v>3.1</v>
      </c>
      <c r="G14825" s="4" t="str">
        <f>HYPERLINK("http://141.218.60.56/~jnz1568/getInfo.php?workbook=10_05.xlsx&amp;sheet=U0&amp;row=14825&amp;col=7&amp;number=0.203&amp;sourceID=14","0.203")</f>
        <v>0.203</v>
      </c>
    </row>
    <row r="14826" spans="1:7">
      <c r="A14826" s="3"/>
      <c r="B14826" s="3"/>
      <c r="C14826" s="3"/>
      <c r="D14826" s="3"/>
      <c r="E14826" s="3">
        <v>3</v>
      </c>
      <c r="F14826" s="4" t="str">
        <f>HYPERLINK("http://141.218.60.56/~jnz1568/getInfo.php?workbook=10_05.xlsx&amp;sheet=U0&amp;row=14826&amp;col=6&amp;number=3.2&amp;sourceID=14","3.2")</f>
        <v>3.2</v>
      </c>
      <c r="G14826" s="4" t="str">
        <f>HYPERLINK("http://141.218.60.56/~jnz1568/getInfo.php?workbook=10_05.xlsx&amp;sheet=U0&amp;row=14826&amp;col=7&amp;number=0.206&amp;sourceID=14","0.206")</f>
        <v>0.206</v>
      </c>
    </row>
    <row r="14827" spans="1:7">
      <c r="A14827" s="3"/>
      <c r="B14827" s="3"/>
      <c r="C14827" s="3"/>
      <c r="D14827" s="3"/>
      <c r="E14827" s="3">
        <v>4</v>
      </c>
      <c r="F14827" s="4" t="str">
        <f>HYPERLINK("http://141.218.60.56/~jnz1568/getInfo.php?workbook=10_05.xlsx&amp;sheet=U0&amp;row=14827&amp;col=6&amp;number=3.3&amp;sourceID=14","3.3")</f>
        <v>3.3</v>
      </c>
      <c r="G14827" s="4" t="str">
        <f>HYPERLINK("http://141.218.60.56/~jnz1568/getInfo.php?workbook=10_05.xlsx&amp;sheet=U0&amp;row=14827&amp;col=7&amp;number=0.209&amp;sourceID=14","0.209")</f>
        <v>0.209</v>
      </c>
    </row>
    <row r="14828" spans="1:7">
      <c r="A14828" s="3"/>
      <c r="B14828" s="3"/>
      <c r="C14828" s="3"/>
      <c r="D14828" s="3"/>
      <c r="E14828" s="3">
        <v>5</v>
      </c>
      <c r="F14828" s="4" t="str">
        <f>HYPERLINK("http://141.218.60.56/~jnz1568/getInfo.php?workbook=10_05.xlsx&amp;sheet=U0&amp;row=14828&amp;col=6&amp;number=3.4&amp;sourceID=14","3.4")</f>
        <v>3.4</v>
      </c>
      <c r="G14828" s="4" t="str">
        <f>HYPERLINK("http://141.218.60.56/~jnz1568/getInfo.php?workbook=10_05.xlsx&amp;sheet=U0&amp;row=14828&amp;col=7&amp;number=0.213&amp;sourceID=14","0.213")</f>
        <v>0.213</v>
      </c>
    </row>
    <row r="14829" spans="1:7">
      <c r="A14829" s="3"/>
      <c r="B14829" s="3"/>
      <c r="C14829" s="3"/>
      <c r="D14829" s="3"/>
      <c r="E14829" s="3">
        <v>6</v>
      </c>
      <c r="F14829" s="4" t="str">
        <f>HYPERLINK("http://141.218.60.56/~jnz1568/getInfo.php?workbook=10_05.xlsx&amp;sheet=U0&amp;row=14829&amp;col=6&amp;number=3.5&amp;sourceID=14","3.5")</f>
        <v>3.5</v>
      </c>
      <c r="G14829" s="4" t="str">
        <f>HYPERLINK("http://141.218.60.56/~jnz1568/getInfo.php?workbook=10_05.xlsx&amp;sheet=U0&amp;row=14829&amp;col=7&amp;number=0.218&amp;sourceID=14","0.218")</f>
        <v>0.218</v>
      </c>
    </row>
    <row r="14830" spans="1:7">
      <c r="A14830" s="3"/>
      <c r="B14830" s="3"/>
      <c r="C14830" s="3"/>
      <c r="D14830" s="3"/>
      <c r="E14830" s="3">
        <v>7</v>
      </c>
      <c r="F14830" s="4" t="str">
        <f>HYPERLINK("http://141.218.60.56/~jnz1568/getInfo.php?workbook=10_05.xlsx&amp;sheet=U0&amp;row=14830&amp;col=6&amp;number=3.6&amp;sourceID=14","3.6")</f>
        <v>3.6</v>
      </c>
      <c r="G14830" s="4" t="str">
        <f>HYPERLINK("http://141.218.60.56/~jnz1568/getInfo.php?workbook=10_05.xlsx&amp;sheet=U0&amp;row=14830&amp;col=7&amp;number=0.223&amp;sourceID=14","0.223")</f>
        <v>0.223</v>
      </c>
    </row>
    <row r="14831" spans="1:7">
      <c r="A14831" s="3"/>
      <c r="B14831" s="3"/>
      <c r="C14831" s="3"/>
      <c r="D14831" s="3"/>
      <c r="E14831" s="3">
        <v>8</v>
      </c>
      <c r="F14831" s="4" t="str">
        <f>HYPERLINK("http://141.218.60.56/~jnz1568/getInfo.php?workbook=10_05.xlsx&amp;sheet=U0&amp;row=14831&amp;col=6&amp;number=3.7&amp;sourceID=14","3.7")</f>
        <v>3.7</v>
      </c>
      <c r="G14831" s="4" t="str">
        <f>HYPERLINK("http://141.218.60.56/~jnz1568/getInfo.php?workbook=10_05.xlsx&amp;sheet=U0&amp;row=14831&amp;col=7&amp;number=0.229&amp;sourceID=14","0.229")</f>
        <v>0.229</v>
      </c>
    </row>
    <row r="14832" spans="1:7">
      <c r="A14832" s="3"/>
      <c r="B14832" s="3"/>
      <c r="C14832" s="3"/>
      <c r="D14832" s="3"/>
      <c r="E14832" s="3">
        <v>9</v>
      </c>
      <c r="F14832" s="4" t="str">
        <f>HYPERLINK("http://141.218.60.56/~jnz1568/getInfo.php?workbook=10_05.xlsx&amp;sheet=U0&amp;row=14832&amp;col=6&amp;number=3.8&amp;sourceID=14","3.8")</f>
        <v>3.8</v>
      </c>
      <c r="G14832" s="4" t="str">
        <f>HYPERLINK("http://141.218.60.56/~jnz1568/getInfo.php?workbook=10_05.xlsx&amp;sheet=U0&amp;row=14832&amp;col=7&amp;number=0.236&amp;sourceID=14","0.236")</f>
        <v>0.236</v>
      </c>
    </row>
    <row r="14833" spans="1:7">
      <c r="A14833" s="3"/>
      <c r="B14833" s="3"/>
      <c r="C14833" s="3"/>
      <c r="D14833" s="3"/>
      <c r="E14833" s="3">
        <v>10</v>
      </c>
      <c r="F14833" s="4" t="str">
        <f>HYPERLINK("http://141.218.60.56/~jnz1568/getInfo.php?workbook=10_05.xlsx&amp;sheet=U0&amp;row=14833&amp;col=6&amp;number=3.9&amp;sourceID=14","3.9")</f>
        <v>3.9</v>
      </c>
      <c r="G14833" s="4" t="str">
        <f>HYPERLINK("http://141.218.60.56/~jnz1568/getInfo.php?workbook=10_05.xlsx&amp;sheet=U0&amp;row=14833&amp;col=7&amp;number=0.243&amp;sourceID=14","0.243")</f>
        <v>0.243</v>
      </c>
    </row>
    <row r="14834" spans="1:7">
      <c r="A14834" s="3"/>
      <c r="B14834" s="3"/>
      <c r="C14834" s="3"/>
      <c r="D14834" s="3"/>
      <c r="E14834" s="3">
        <v>11</v>
      </c>
      <c r="F14834" s="4" t="str">
        <f>HYPERLINK("http://141.218.60.56/~jnz1568/getInfo.php?workbook=10_05.xlsx&amp;sheet=U0&amp;row=14834&amp;col=6&amp;number=4&amp;sourceID=14","4")</f>
        <v>4</v>
      </c>
      <c r="G14834" s="4" t="str">
        <f>HYPERLINK("http://141.218.60.56/~jnz1568/getInfo.php?workbook=10_05.xlsx&amp;sheet=U0&amp;row=14834&amp;col=7&amp;number=0.247&amp;sourceID=14","0.247")</f>
        <v>0.247</v>
      </c>
    </row>
    <row r="14835" spans="1:7">
      <c r="A14835" s="3"/>
      <c r="B14835" s="3"/>
      <c r="C14835" s="3"/>
      <c r="D14835" s="3"/>
      <c r="E14835" s="3">
        <v>12</v>
      </c>
      <c r="F14835" s="4" t="str">
        <f>HYPERLINK("http://141.218.60.56/~jnz1568/getInfo.php?workbook=10_05.xlsx&amp;sheet=U0&amp;row=14835&amp;col=6&amp;number=4.1&amp;sourceID=14","4.1")</f>
        <v>4.1</v>
      </c>
      <c r="G14835" s="4" t="str">
        <f>HYPERLINK("http://141.218.60.56/~jnz1568/getInfo.php?workbook=10_05.xlsx&amp;sheet=U0&amp;row=14835&amp;col=7&amp;number=0.248&amp;sourceID=14","0.248")</f>
        <v>0.248</v>
      </c>
    </row>
    <row r="14836" spans="1:7">
      <c r="A14836" s="3"/>
      <c r="B14836" s="3"/>
      <c r="C14836" s="3"/>
      <c r="D14836" s="3"/>
      <c r="E14836" s="3">
        <v>13</v>
      </c>
      <c r="F14836" s="4" t="str">
        <f>HYPERLINK("http://141.218.60.56/~jnz1568/getInfo.php?workbook=10_05.xlsx&amp;sheet=U0&amp;row=14836&amp;col=6&amp;number=4.2&amp;sourceID=14","4.2")</f>
        <v>4.2</v>
      </c>
      <c r="G14836" s="4" t="str">
        <f>HYPERLINK("http://141.218.60.56/~jnz1568/getInfo.php?workbook=10_05.xlsx&amp;sheet=U0&amp;row=14836&amp;col=7&amp;number=0.243&amp;sourceID=14","0.243")</f>
        <v>0.243</v>
      </c>
    </row>
    <row r="14837" spans="1:7">
      <c r="A14837" s="3"/>
      <c r="B14837" s="3"/>
      <c r="C14837" s="3"/>
      <c r="D14837" s="3"/>
      <c r="E14837" s="3">
        <v>14</v>
      </c>
      <c r="F14837" s="4" t="str">
        <f>HYPERLINK("http://141.218.60.56/~jnz1568/getInfo.php?workbook=10_05.xlsx&amp;sheet=U0&amp;row=14837&amp;col=6&amp;number=4.3&amp;sourceID=14","4.3")</f>
        <v>4.3</v>
      </c>
      <c r="G14837" s="4" t="str">
        <f>HYPERLINK("http://141.218.60.56/~jnz1568/getInfo.php?workbook=10_05.xlsx&amp;sheet=U0&amp;row=14837&amp;col=7&amp;number=0.234&amp;sourceID=14","0.234")</f>
        <v>0.234</v>
      </c>
    </row>
    <row r="14838" spans="1:7">
      <c r="A14838" s="3"/>
      <c r="B14838" s="3"/>
      <c r="C14838" s="3"/>
      <c r="D14838" s="3"/>
      <c r="E14838" s="3">
        <v>15</v>
      </c>
      <c r="F14838" s="4" t="str">
        <f>HYPERLINK("http://141.218.60.56/~jnz1568/getInfo.php?workbook=10_05.xlsx&amp;sheet=U0&amp;row=14838&amp;col=6&amp;number=4.4&amp;sourceID=14","4.4")</f>
        <v>4.4</v>
      </c>
      <c r="G14838" s="4" t="str">
        <f>HYPERLINK("http://141.218.60.56/~jnz1568/getInfo.php?workbook=10_05.xlsx&amp;sheet=U0&amp;row=14838&amp;col=7&amp;number=0.223&amp;sourceID=14","0.223")</f>
        <v>0.223</v>
      </c>
    </row>
    <row r="14839" spans="1:7">
      <c r="A14839" s="3"/>
      <c r="B14839" s="3"/>
      <c r="C14839" s="3"/>
      <c r="D14839" s="3"/>
      <c r="E14839" s="3">
        <v>16</v>
      </c>
      <c r="F14839" s="4" t="str">
        <f>HYPERLINK("http://141.218.60.56/~jnz1568/getInfo.php?workbook=10_05.xlsx&amp;sheet=U0&amp;row=14839&amp;col=6&amp;number=4.5&amp;sourceID=14","4.5")</f>
        <v>4.5</v>
      </c>
      <c r="G14839" s="4" t="str">
        <f>HYPERLINK("http://141.218.60.56/~jnz1568/getInfo.php?workbook=10_05.xlsx&amp;sheet=U0&amp;row=14839&amp;col=7&amp;number=0.214&amp;sourceID=14","0.214")</f>
        <v>0.214</v>
      </c>
    </row>
    <row r="14840" spans="1:7">
      <c r="A14840" s="3"/>
      <c r="B14840" s="3"/>
      <c r="C14840" s="3"/>
      <c r="D14840" s="3"/>
      <c r="E14840" s="3">
        <v>17</v>
      </c>
      <c r="F14840" s="4" t="str">
        <f>HYPERLINK("http://141.218.60.56/~jnz1568/getInfo.php?workbook=10_05.xlsx&amp;sheet=U0&amp;row=14840&amp;col=6&amp;number=4.6&amp;sourceID=14","4.6")</f>
        <v>4.6</v>
      </c>
      <c r="G14840" s="4" t="str">
        <f>HYPERLINK("http://141.218.60.56/~jnz1568/getInfo.php?workbook=10_05.xlsx&amp;sheet=U0&amp;row=14840&amp;col=7&amp;number=0.204&amp;sourceID=14","0.204")</f>
        <v>0.204</v>
      </c>
    </row>
    <row r="14841" spans="1:7">
      <c r="A14841" s="3"/>
      <c r="B14841" s="3"/>
      <c r="C14841" s="3"/>
      <c r="D14841" s="3"/>
      <c r="E14841" s="3">
        <v>18</v>
      </c>
      <c r="F14841" s="4" t="str">
        <f>HYPERLINK("http://141.218.60.56/~jnz1568/getInfo.php?workbook=10_05.xlsx&amp;sheet=U0&amp;row=14841&amp;col=6&amp;number=4.7&amp;sourceID=14","4.7")</f>
        <v>4.7</v>
      </c>
      <c r="G14841" s="4" t="str">
        <f>HYPERLINK("http://141.218.60.56/~jnz1568/getInfo.php?workbook=10_05.xlsx&amp;sheet=U0&amp;row=14841&amp;col=7&amp;number=0.19&amp;sourceID=14","0.19")</f>
        <v>0.19</v>
      </c>
    </row>
    <row r="14842" spans="1:7">
      <c r="A14842" s="3"/>
      <c r="B14842" s="3"/>
      <c r="C14842" s="3"/>
      <c r="D14842" s="3"/>
      <c r="E14842" s="3">
        <v>19</v>
      </c>
      <c r="F14842" s="4" t="str">
        <f>HYPERLINK("http://141.218.60.56/~jnz1568/getInfo.php?workbook=10_05.xlsx&amp;sheet=U0&amp;row=14842&amp;col=6&amp;number=4.8&amp;sourceID=14","4.8")</f>
        <v>4.8</v>
      </c>
      <c r="G14842" s="4" t="str">
        <f>HYPERLINK("http://141.218.60.56/~jnz1568/getInfo.php?workbook=10_05.xlsx&amp;sheet=U0&amp;row=14842&amp;col=7&amp;number=0.174&amp;sourceID=14","0.174")</f>
        <v>0.174</v>
      </c>
    </row>
    <row r="14843" spans="1:7">
      <c r="A14843" s="3"/>
      <c r="B14843" s="3"/>
      <c r="C14843" s="3"/>
      <c r="D14843" s="3"/>
      <c r="E14843" s="3">
        <v>20</v>
      </c>
      <c r="F14843" s="4" t="str">
        <f>HYPERLINK("http://141.218.60.56/~jnz1568/getInfo.php?workbook=10_05.xlsx&amp;sheet=U0&amp;row=14843&amp;col=6&amp;number=4.9&amp;sourceID=14","4.9")</f>
        <v>4.9</v>
      </c>
      <c r="G14843" s="4" t="str">
        <f>HYPERLINK("http://141.218.60.56/~jnz1568/getInfo.php?workbook=10_05.xlsx&amp;sheet=U0&amp;row=14843&amp;col=7&amp;number=0.159&amp;sourceID=14","0.159")</f>
        <v>0.159</v>
      </c>
    </row>
    <row r="14844" spans="1:7">
      <c r="A14844" s="3">
        <v>10</v>
      </c>
      <c r="B14844" s="3">
        <v>5</v>
      </c>
      <c r="C14844" s="3">
        <v>5</v>
      </c>
      <c r="D14844" s="3">
        <v>38</v>
      </c>
      <c r="E14844" s="3">
        <v>1</v>
      </c>
      <c r="F14844" s="4" t="str">
        <f>HYPERLINK("http://141.218.60.56/~jnz1568/getInfo.php?workbook=10_05.xlsx&amp;sheet=U0&amp;row=14844&amp;col=6&amp;number=3&amp;sourceID=14","3")</f>
        <v>3</v>
      </c>
      <c r="G14844" s="4" t="str">
        <f>HYPERLINK("http://141.218.60.56/~jnz1568/getInfo.php?workbook=10_05.xlsx&amp;sheet=U0&amp;row=14844&amp;col=7&amp;number=0.102&amp;sourceID=14","0.102")</f>
        <v>0.102</v>
      </c>
    </row>
    <row r="14845" spans="1:7">
      <c r="A14845" s="3"/>
      <c r="B14845" s="3"/>
      <c r="C14845" s="3"/>
      <c r="D14845" s="3"/>
      <c r="E14845" s="3">
        <v>2</v>
      </c>
      <c r="F14845" s="4" t="str">
        <f>HYPERLINK("http://141.218.60.56/~jnz1568/getInfo.php?workbook=10_05.xlsx&amp;sheet=U0&amp;row=14845&amp;col=6&amp;number=3.1&amp;sourceID=14","3.1")</f>
        <v>3.1</v>
      </c>
      <c r="G14845" s="4" t="str">
        <f>HYPERLINK("http://141.218.60.56/~jnz1568/getInfo.php?workbook=10_05.xlsx&amp;sheet=U0&amp;row=14845&amp;col=7&amp;number=0.102&amp;sourceID=14","0.102")</f>
        <v>0.102</v>
      </c>
    </row>
    <row r="14846" spans="1:7">
      <c r="A14846" s="3"/>
      <c r="B14846" s="3"/>
      <c r="C14846" s="3"/>
      <c r="D14846" s="3"/>
      <c r="E14846" s="3">
        <v>3</v>
      </c>
      <c r="F14846" s="4" t="str">
        <f>HYPERLINK("http://141.218.60.56/~jnz1568/getInfo.php?workbook=10_05.xlsx&amp;sheet=U0&amp;row=14846&amp;col=6&amp;number=3.2&amp;sourceID=14","3.2")</f>
        <v>3.2</v>
      </c>
      <c r="G14846" s="4" t="str">
        <f>HYPERLINK("http://141.218.60.56/~jnz1568/getInfo.php?workbook=10_05.xlsx&amp;sheet=U0&amp;row=14846&amp;col=7&amp;number=0.101&amp;sourceID=14","0.101")</f>
        <v>0.101</v>
      </c>
    </row>
    <row r="14847" spans="1:7">
      <c r="A14847" s="3"/>
      <c r="B14847" s="3"/>
      <c r="C14847" s="3"/>
      <c r="D14847" s="3"/>
      <c r="E14847" s="3">
        <v>4</v>
      </c>
      <c r="F14847" s="4" t="str">
        <f>HYPERLINK("http://141.218.60.56/~jnz1568/getInfo.php?workbook=10_05.xlsx&amp;sheet=U0&amp;row=14847&amp;col=6&amp;number=3.3&amp;sourceID=14","3.3")</f>
        <v>3.3</v>
      </c>
      <c r="G14847" s="4" t="str">
        <f>HYPERLINK("http://141.218.60.56/~jnz1568/getInfo.php?workbook=10_05.xlsx&amp;sheet=U0&amp;row=14847&amp;col=7&amp;number=0.1&amp;sourceID=14","0.1")</f>
        <v>0.1</v>
      </c>
    </row>
    <row r="14848" spans="1:7">
      <c r="A14848" s="3"/>
      <c r="B14848" s="3"/>
      <c r="C14848" s="3"/>
      <c r="D14848" s="3"/>
      <c r="E14848" s="3">
        <v>5</v>
      </c>
      <c r="F14848" s="4" t="str">
        <f>HYPERLINK("http://141.218.60.56/~jnz1568/getInfo.php?workbook=10_05.xlsx&amp;sheet=U0&amp;row=14848&amp;col=6&amp;number=3.4&amp;sourceID=14","3.4")</f>
        <v>3.4</v>
      </c>
      <c r="G14848" s="4" t="str">
        <f>HYPERLINK("http://141.218.60.56/~jnz1568/getInfo.php?workbook=10_05.xlsx&amp;sheet=U0&amp;row=14848&amp;col=7&amp;number=0.0995&amp;sourceID=14","0.0995")</f>
        <v>0.0995</v>
      </c>
    </row>
    <row r="14849" spans="1:7">
      <c r="A14849" s="3"/>
      <c r="B14849" s="3"/>
      <c r="C14849" s="3"/>
      <c r="D14849" s="3"/>
      <c r="E14849" s="3">
        <v>6</v>
      </c>
      <c r="F14849" s="4" t="str">
        <f>HYPERLINK("http://141.218.60.56/~jnz1568/getInfo.php?workbook=10_05.xlsx&amp;sheet=U0&amp;row=14849&amp;col=6&amp;number=3.5&amp;sourceID=14","3.5")</f>
        <v>3.5</v>
      </c>
      <c r="G14849" s="4" t="str">
        <f>HYPERLINK("http://141.218.60.56/~jnz1568/getInfo.php?workbook=10_05.xlsx&amp;sheet=U0&amp;row=14849&amp;col=7&amp;number=0.0984&amp;sourceID=14","0.0984")</f>
        <v>0.0984</v>
      </c>
    </row>
    <row r="14850" spans="1:7">
      <c r="A14850" s="3"/>
      <c r="B14850" s="3"/>
      <c r="C14850" s="3"/>
      <c r="D14850" s="3"/>
      <c r="E14850" s="3">
        <v>7</v>
      </c>
      <c r="F14850" s="4" t="str">
        <f>HYPERLINK("http://141.218.60.56/~jnz1568/getInfo.php?workbook=10_05.xlsx&amp;sheet=U0&amp;row=14850&amp;col=6&amp;number=3.6&amp;sourceID=14","3.6")</f>
        <v>3.6</v>
      </c>
      <c r="G14850" s="4" t="str">
        <f>HYPERLINK("http://141.218.60.56/~jnz1568/getInfo.php?workbook=10_05.xlsx&amp;sheet=U0&amp;row=14850&amp;col=7&amp;number=0.0971&amp;sourceID=14","0.0971")</f>
        <v>0.0971</v>
      </c>
    </row>
    <row r="14851" spans="1:7">
      <c r="A14851" s="3"/>
      <c r="B14851" s="3"/>
      <c r="C14851" s="3"/>
      <c r="D14851" s="3"/>
      <c r="E14851" s="3">
        <v>8</v>
      </c>
      <c r="F14851" s="4" t="str">
        <f>HYPERLINK("http://141.218.60.56/~jnz1568/getInfo.php?workbook=10_05.xlsx&amp;sheet=U0&amp;row=14851&amp;col=6&amp;number=3.7&amp;sourceID=14","3.7")</f>
        <v>3.7</v>
      </c>
      <c r="G14851" s="4" t="str">
        <f>HYPERLINK("http://141.218.60.56/~jnz1568/getInfo.php?workbook=10_05.xlsx&amp;sheet=U0&amp;row=14851&amp;col=7&amp;number=0.0955&amp;sourceID=14","0.0955")</f>
        <v>0.0955</v>
      </c>
    </row>
    <row r="14852" spans="1:7">
      <c r="A14852" s="3"/>
      <c r="B14852" s="3"/>
      <c r="C14852" s="3"/>
      <c r="D14852" s="3"/>
      <c r="E14852" s="3">
        <v>9</v>
      </c>
      <c r="F14852" s="4" t="str">
        <f>HYPERLINK("http://141.218.60.56/~jnz1568/getInfo.php?workbook=10_05.xlsx&amp;sheet=U0&amp;row=14852&amp;col=6&amp;number=3.8&amp;sourceID=14","3.8")</f>
        <v>3.8</v>
      </c>
      <c r="G14852" s="4" t="str">
        <f>HYPERLINK("http://141.218.60.56/~jnz1568/getInfo.php?workbook=10_05.xlsx&amp;sheet=U0&amp;row=14852&amp;col=7&amp;number=0.0935&amp;sourceID=14","0.0935")</f>
        <v>0.0935</v>
      </c>
    </row>
    <row r="14853" spans="1:7">
      <c r="A14853" s="3"/>
      <c r="B14853" s="3"/>
      <c r="C14853" s="3"/>
      <c r="D14853" s="3"/>
      <c r="E14853" s="3">
        <v>10</v>
      </c>
      <c r="F14853" s="4" t="str">
        <f>HYPERLINK("http://141.218.60.56/~jnz1568/getInfo.php?workbook=10_05.xlsx&amp;sheet=U0&amp;row=14853&amp;col=6&amp;number=3.9&amp;sourceID=14","3.9")</f>
        <v>3.9</v>
      </c>
      <c r="G14853" s="4" t="str">
        <f>HYPERLINK("http://141.218.60.56/~jnz1568/getInfo.php?workbook=10_05.xlsx&amp;sheet=U0&amp;row=14853&amp;col=7&amp;number=0.0911&amp;sourceID=14","0.0911")</f>
        <v>0.0911</v>
      </c>
    </row>
    <row r="14854" spans="1:7">
      <c r="A14854" s="3"/>
      <c r="B14854" s="3"/>
      <c r="C14854" s="3"/>
      <c r="D14854" s="3"/>
      <c r="E14854" s="3">
        <v>11</v>
      </c>
      <c r="F14854" s="4" t="str">
        <f>HYPERLINK("http://141.218.60.56/~jnz1568/getInfo.php?workbook=10_05.xlsx&amp;sheet=U0&amp;row=14854&amp;col=6&amp;number=4&amp;sourceID=14","4")</f>
        <v>4</v>
      </c>
      <c r="G14854" s="4" t="str">
        <f>HYPERLINK("http://141.218.60.56/~jnz1568/getInfo.php?workbook=10_05.xlsx&amp;sheet=U0&amp;row=14854&amp;col=7&amp;number=0.0881&amp;sourceID=14","0.0881")</f>
        <v>0.0881</v>
      </c>
    </row>
    <row r="14855" spans="1:7">
      <c r="A14855" s="3"/>
      <c r="B14855" s="3"/>
      <c r="C14855" s="3"/>
      <c r="D14855" s="3"/>
      <c r="E14855" s="3">
        <v>12</v>
      </c>
      <c r="F14855" s="4" t="str">
        <f>HYPERLINK("http://141.218.60.56/~jnz1568/getInfo.php?workbook=10_05.xlsx&amp;sheet=U0&amp;row=14855&amp;col=6&amp;number=4.1&amp;sourceID=14","4.1")</f>
        <v>4.1</v>
      </c>
      <c r="G14855" s="4" t="str">
        <f>HYPERLINK("http://141.218.60.56/~jnz1568/getInfo.php?workbook=10_05.xlsx&amp;sheet=U0&amp;row=14855&amp;col=7&amp;number=0.0845&amp;sourceID=14","0.0845")</f>
        <v>0.0845</v>
      </c>
    </row>
    <row r="14856" spans="1:7">
      <c r="A14856" s="3"/>
      <c r="B14856" s="3"/>
      <c r="C14856" s="3"/>
      <c r="D14856" s="3"/>
      <c r="E14856" s="3">
        <v>13</v>
      </c>
      <c r="F14856" s="4" t="str">
        <f>HYPERLINK("http://141.218.60.56/~jnz1568/getInfo.php?workbook=10_05.xlsx&amp;sheet=U0&amp;row=14856&amp;col=6&amp;number=4.2&amp;sourceID=14","4.2")</f>
        <v>4.2</v>
      </c>
      <c r="G14856" s="4" t="str">
        <f>HYPERLINK("http://141.218.60.56/~jnz1568/getInfo.php?workbook=10_05.xlsx&amp;sheet=U0&amp;row=14856&amp;col=7&amp;number=0.0803&amp;sourceID=14","0.0803")</f>
        <v>0.0803</v>
      </c>
    </row>
    <row r="14857" spans="1:7">
      <c r="A14857" s="3"/>
      <c r="B14857" s="3"/>
      <c r="C14857" s="3"/>
      <c r="D14857" s="3"/>
      <c r="E14857" s="3">
        <v>14</v>
      </c>
      <c r="F14857" s="4" t="str">
        <f>HYPERLINK("http://141.218.60.56/~jnz1568/getInfo.php?workbook=10_05.xlsx&amp;sheet=U0&amp;row=14857&amp;col=6&amp;number=4.3&amp;sourceID=14","4.3")</f>
        <v>4.3</v>
      </c>
      <c r="G14857" s="4" t="str">
        <f>HYPERLINK("http://141.218.60.56/~jnz1568/getInfo.php?workbook=10_05.xlsx&amp;sheet=U0&amp;row=14857&amp;col=7&amp;number=0.0754&amp;sourceID=14","0.0754")</f>
        <v>0.0754</v>
      </c>
    </row>
    <row r="14858" spans="1:7">
      <c r="A14858" s="3"/>
      <c r="B14858" s="3"/>
      <c r="C14858" s="3"/>
      <c r="D14858" s="3"/>
      <c r="E14858" s="3">
        <v>15</v>
      </c>
      <c r="F14858" s="4" t="str">
        <f>HYPERLINK("http://141.218.60.56/~jnz1568/getInfo.php?workbook=10_05.xlsx&amp;sheet=U0&amp;row=14858&amp;col=6&amp;number=4.4&amp;sourceID=14","4.4")</f>
        <v>4.4</v>
      </c>
      <c r="G14858" s="4" t="str">
        <f>HYPERLINK("http://141.218.60.56/~jnz1568/getInfo.php?workbook=10_05.xlsx&amp;sheet=U0&amp;row=14858&amp;col=7&amp;number=0.0701&amp;sourceID=14","0.0701")</f>
        <v>0.0701</v>
      </c>
    </row>
    <row r="14859" spans="1:7">
      <c r="A14859" s="3"/>
      <c r="B14859" s="3"/>
      <c r="C14859" s="3"/>
      <c r="D14859" s="3"/>
      <c r="E14859" s="3">
        <v>16</v>
      </c>
      <c r="F14859" s="4" t="str">
        <f>HYPERLINK("http://141.218.60.56/~jnz1568/getInfo.php?workbook=10_05.xlsx&amp;sheet=U0&amp;row=14859&amp;col=6&amp;number=4.5&amp;sourceID=14","4.5")</f>
        <v>4.5</v>
      </c>
      <c r="G14859" s="4" t="str">
        <f>HYPERLINK("http://141.218.60.56/~jnz1568/getInfo.php?workbook=10_05.xlsx&amp;sheet=U0&amp;row=14859&amp;col=7&amp;number=0.0645&amp;sourceID=14","0.0645")</f>
        <v>0.0645</v>
      </c>
    </row>
    <row r="14860" spans="1:7">
      <c r="A14860" s="3"/>
      <c r="B14860" s="3"/>
      <c r="C14860" s="3"/>
      <c r="D14860" s="3"/>
      <c r="E14860" s="3">
        <v>17</v>
      </c>
      <c r="F14860" s="4" t="str">
        <f>HYPERLINK("http://141.218.60.56/~jnz1568/getInfo.php?workbook=10_05.xlsx&amp;sheet=U0&amp;row=14860&amp;col=6&amp;number=4.6&amp;sourceID=14","4.6")</f>
        <v>4.6</v>
      </c>
      <c r="G14860" s="4" t="str">
        <f>HYPERLINK("http://141.218.60.56/~jnz1568/getInfo.php?workbook=10_05.xlsx&amp;sheet=U0&amp;row=14860&amp;col=7&amp;number=0.0591&amp;sourceID=14","0.0591")</f>
        <v>0.0591</v>
      </c>
    </row>
    <row r="14861" spans="1:7">
      <c r="A14861" s="3"/>
      <c r="B14861" s="3"/>
      <c r="C14861" s="3"/>
      <c r="D14861" s="3"/>
      <c r="E14861" s="3">
        <v>18</v>
      </c>
      <c r="F14861" s="4" t="str">
        <f>HYPERLINK("http://141.218.60.56/~jnz1568/getInfo.php?workbook=10_05.xlsx&amp;sheet=U0&amp;row=14861&amp;col=6&amp;number=4.7&amp;sourceID=14","4.7")</f>
        <v>4.7</v>
      </c>
      <c r="G14861" s="4" t="str">
        <f>HYPERLINK("http://141.218.60.56/~jnz1568/getInfo.php?workbook=10_05.xlsx&amp;sheet=U0&amp;row=14861&amp;col=7&amp;number=0.054&amp;sourceID=14","0.054")</f>
        <v>0.054</v>
      </c>
    </row>
    <row r="14862" spans="1:7">
      <c r="A14862" s="3"/>
      <c r="B14862" s="3"/>
      <c r="C14862" s="3"/>
      <c r="D14862" s="3"/>
      <c r="E14862" s="3">
        <v>19</v>
      </c>
      <c r="F14862" s="4" t="str">
        <f>HYPERLINK("http://141.218.60.56/~jnz1568/getInfo.php?workbook=10_05.xlsx&amp;sheet=U0&amp;row=14862&amp;col=6&amp;number=4.8&amp;sourceID=14","4.8")</f>
        <v>4.8</v>
      </c>
      <c r="G14862" s="4" t="str">
        <f>HYPERLINK("http://141.218.60.56/~jnz1568/getInfo.php?workbook=10_05.xlsx&amp;sheet=U0&amp;row=14862&amp;col=7&amp;number=0.0494&amp;sourceID=14","0.0494")</f>
        <v>0.0494</v>
      </c>
    </row>
    <row r="14863" spans="1:7">
      <c r="A14863" s="3"/>
      <c r="B14863" s="3"/>
      <c r="C14863" s="3"/>
      <c r="D14863" s="3"/>
      <c r="E14863" s="3">
        <v>20</v>
      </c>
      <c r="F14863" s="4" t="str">
        <f>HYPERLINK("http://141.218.60.56/~jnz1568/getInfo.php?workbook=10_05.xlsx&amp;sheet=U0&amp;row=14863&amp;col=6&amp;number=4.9&amp;sourceID=14","4.9")</f>
        <v>4.9</v>
      </c>
      <c r="G14863" s="4" t="str">
        <f>HYPERLINK("http://141.218.60.56/~jnz1568/getInfo.php?workbook=10_05.xlsx&amp;sheet=U0&amp;row=14863&amp;col=7&amp;number=0.0451&amp;sourceID=14","0.0451")</f>
        <v>0.0451</v>
      </c>
    </row>
    <row r="14864" spans="1:7">
      <c r="A14864" s="3">
        <v>10</v>
      </c>
      <c r="B14864" s="3">
        <v>5</v>
      </c>
      <c r="C14864" s="3">
        <v>5</v>
      </c>
      <c r="D14864" s="3">
        <v>39</v>
      </c>
      <c r="E14864" s="3">
        <v>1</v>
      </c>
      <c r="F14864" s="4" t="str">
        <f>HYPERLINK("http://141.218.60.56/~jnz1568/getInfo.php?workbook=10_05.xlsx&amp;sheet=U0&amp;row=14864&amp;col=6&amp;number=3&amp;sourceID=14","3")</f>
        <v>3</v>
      </c>
      <c r="G14864" s="4" t="str">
        <f>HYPERLINK("http://141.218.60.56/~jnz1568/getInfo.php?workbook=10_05.xlsx&amp;sheet=U0&amp;row=14864&amp;col=7&amp;number=0.203&amp;sourceID=14","0.203")</f>
        <v>0.203</v>
      </c>
    </row>
    <row r="14865" spans="1:7">
      <c r="A14865" s="3"/>
      <c r="B14865" s="3"/>
      <c r="C14865" s="3"/>
      <c r="D14865" s="3"/>
      <c r="E14865" s="3">
        <v>2</v>
      </c>
      <c r="F14865" s="4" t="str">
        <f>HYPERLINK("http://141.218.60.56/~jnz1568/getInfo.php?workbook=10_05.xlsx&amp;sheet=U0&amp;row=14865&amp;col=6&amp;number=3.1&amp;sourceID=14","3.1")</f>
        <v>3.1</v>
      </c>
      <c r="G14865" s="4" t="str">
        <f>HYPERLINK("http://141.218.60.56/~jnz1568/getInfo.php?workbook=10_05.xlsx&amp;sheet=U0&amp;row=14865&amp;col=7&amp;number=0.202&amp;sourceID=14","0.202")</f>
        <v>0.202</v>
      </c>
    </row>
    <row r="14866" spans="1:7">
      <c r="A14866" s="3"/>
      <c r="B14866" s="3"/>
      <c r="C14866" s="3"/>
      <c r="D14866" s="3"/>
      <c r="E14866" s="3">
        <v>3</v>
      </c>
      <c r="F14866" s="4" t="str">
        <f>HYPERLINK("http://141.218.60.56/~jnz1568/getInfo.php?workbook=10_05.xlsx&amp;sheet=U0&amp;row=14866&amp;col=6&amp;number=3.2&amp;sourceID=14","3.2")</f>
        <v>3.2</v>
      </c>
      <c r="G14866" s="4" t="str">
        <f>HYPERLINK("http://141.218.60.56/~jnz1568/getInfo.php?workbook=10_05.xlsx&amp;sheet=U0&amp;row=14866&amp;col=7&amp;number=0.201&amp;sourceID=14","0.201")</f>
        <v>0.201</v>
      </c>
    </row>
    <row r="14867" spans="1:7">
      <c r="A14867" s="3"/>
      <c r="B14867" s="3"/>
      <c r="C14867" s="3"/>
      <c r="D14867" s="3"/>
      <c r="E14867" s="3">
        <v>4</v>
      </c>
      <c r="F14867" s="4" t="str">
        <f>HYPERLINK("http://141.218.60.56/~jnz1568/getInfo.php?workbook=10_05.xlsx&amp;sheet=U0&amp;row=14867&amp;col=6&amp;number=3.3&amp;sourceID=14","3.3")</f>
        <v>3.3</v>
      </c>
      <c r="G14867" s="4" t="str">
        <f>HYPERLINK("http://141.218.60.56/~jnz1568/getInfo.php?workbook=10_05.xlsx&amp;sheet=U0&amp;row=14867&amp;col=7&amp;number=0.199&amp;sourceID=14","0.199")</f>
        <v>0.199</v>
      </c>
    </row>
    <row r="14868" spans="1:7">
      <c r="A14868" s="3"/>
      <c r="B14868" s="3"/>
      <c r="C14868" s="3"/>
      <c r="D14868" s="3"/>
      <c r="E14868" s="3">
        <v>5</v>
      </c>
      <c r="F14868" s="4" t="str">
        <f>HYPERLINK("http://141.218.60.56/~jnz1568/getInfo.php?workbook=10_05.xlsx&amp;sheet=U0&amp;row=14868&amp;col=6&amp;number=3.4&amp;sourceID=14","3.4")</f>
        <v>3.4</v>
      </c>
      <c r="G14868" s="4" t="str">
        <f>HYPERLINK("http://141.218.60.56/~jnz1568/getInfo.php?workbook=10_05.xlsx&amp;sheet=U0&amp;row=14868&amp;col=7&amp;number=0.198&amp;sourceID=14","0.198")</f>
        <v>0.198</v>
      </c>
    </row>
    <row r="14869" spans="1:7">
      <c r="A14869" s="3"/>
      <c r="B14869" s="3"/>
      <c r="C14869" s="3"/>
      <c r="D14869" s="3"/>
      <c r="E14869" s="3">
        <v>6</v>
      </c>
      <c r="F14869" s="4" t="str">
        <f>HYPERLINK("http://141.218.60.56/~jnz1568/getInfo.php?workbook=10_05.xlsx&amp;sheet=U0&amp;row=14869&amp;col=6&amp;number=3.5&amp;sourceID=14","3.5")</f>
        <v>3.5</v>
      </c>
      <c r="G14869" s="4" t="str">
        <f>HYPERLINK("http://141.218.60.56/~jnz1568/getInfo.php?workbook=10_05.xlsx&amp;sheet=U0&amp;row=14869&amp;col=7&amp;number=0.196&amp;sourceID=14","0.196")</f>
        <v>0.196</v>
      </c>
    </row>
    <row r="14870" spans="1:7">
      <c r="A14870" s="3"/>
      <c r="B14870" s="3"/>
      <c r="C14870" s="3"/>
      <c r="D14870" s="3"/>
      <c r="E14870" s="3">
        <v>7</v>
      </c>
      <c r="F14870" s="4" t="str">
        <f>HYPERLINK("http://141.218.60.56/~jnz1568/getInfo.php?workbook=10_05.xlsx&amp;sheet=U0&amp;row=14870&amp;col=6&amp;number=3.6&amp;sourceID=14","3.6")</f>
        <v>3.6</v>
      </c>
      <c r="G14870" s="4" t="str">
        <f>HYPERLINK("http://141.218.60.56/~jnz1568/getInfo.php?workbook=10_05.xlsx&amp;sheet=U0&amp;row=14870&amp;col=7&amp;number=0.193&amp;sourceID=14","0.193")</f>
        <v>0.193</v>
      </c>
    </row>
    <row r="14871" spans="1:7">
      <c r="A14871" s="3"/>
      <c r="B14871" s="3"/>
      <c r="C14871" s="3"/>
      <c r="D14871" s="3"/>
      <c r="E14871" s="3">
        <v>8</v>
      </c>
      <c r="F14871" s="4" t="str">
        <f>HYPERLINK("http://141.218.60.56/~jnz1568/getInfo.php?workbook=10_05.xlsx&amp;sheet=U0&amp;row=14871&amp;col=6&amp;number=3.7&amp;sourceID=14","3.7")</f>
        <v>3.7</v>
      </c>
      <c r="G14871" s="4" t="str">
        <f>HYPERLINK("http://141.218.60.56/~jnz1568/getInfo.php?workbook=10_05.xlsx&amp;sheet=U0&amp;row=14871&amp;col=7&amp;number=0.19&amp;sourceID=14","0.19")</f>
        <v>0.19</v>
      </c>
    </row>
    <row r="14872" spans="1:7">
      <c r="A14872" s="3"/>
      <c r="B14872" s="3"/>
      <c r="C14872" s="3"/>
      <c r="D14872" s="3"/>
      <c r="E14872" s="3">
        <v>9</v>
      </c>
      <c r="F14872" s="4" t="str">
        <f>HYPERLINK("http://141.218.60.56/~jnz1568/getInfo.php?workbook=10_05.xlsx&amp;sheet=U0&amp;row=14872&amp;col=6&amp;number=3.8&amp;sourceID=14","3.8")</f>
        <v>3.8</v>
      </c>
      <c r="G14872" s="4" t="str">
        <f>HYPERLINK("http://141.218.60.56/~jnz1568/getInfo.php?workbook=10_05.xlsx&amp;sheet=U0&amp;row=14872&amp;col=7&amp;number=0.186&amp;sourceID=14","0.186")</f>
        <v>0.186</v>
      </c>
    </row>
    <row r="14873" spans="1:7">
      <c r="A14873" s="3"/>
      <c r="B14873" s="3"/>
      <c r="C14873" s="3"/>
      <c r="D14873" s="3"/>
      <c r="E14873" s="3">
        <v>10</v>
      </c>
      <c r="F14873" s="4" t="str">
        <f>HYPERLINK("http://141.218.60.56/~jnz1568/getInfo.php?workbook=10_05.xlsx&amp;sheet=U0&amp;row=14873&amp;col=6&amp;number=3.9&amp;sourceID=14","3.9")</f>
        <v>3.9</v>
      </c>
      <c r="G14873" s="4" t="str">
        <f>HYPERLINK("http://141.218.60.56/~jnz1568/getInfo.php?workbook=10_05.xlsx&amp;sheet=U0&amp;row=14873&amp;col=7&amp;number=0.181&amp;sourceID=14","0.181")</f>
        <v>0.181</v>
      </c>
    </row>
    <row r="14874" spans="1:7">
      <c r="A14874" s="3"/>
      <c r="B14874" s="3"/>
      <c r="C14874" s="3"/>
      <c r="D14874" s="3"/>
      <c r="E14874" s="3">
        <v>11</v>
      </c>
      <c r="F14874" s="4" t="str">
        <f>HYPERLINK("http://141.218.60.56/~jnz1568/getInfo.php?workbook=10_05.xlsx&amp;sheet=U0&amp;row=14874&amp;col=6&amp;number=4&amp;sourceID=14","4")</f>
        <v>4</v>
      </c>
      <c r="G14874" s="4" t="str">
        <f>HYPERLINK("http://141.218.60.56/~jnz1568/getInfo.php?workbook=10_05.xlsx&amp;sheet=U0&amp;row=14874&amp;col=7&amp;number=0.175&amp;sourceID=14","0.175")</f>
        <v>0.175</v>
      </c>
    </row>
    <row r="14875" spans="1:7">
      <c r="A14875" s="3"/>
      <c r="B14875" s="3"/>
      <c r="C14875" s="3"/>
      <c r="D14875" s="3"/>
      <c r="E14875" s="3">
        <v>12</v>
      </c>
      <c r="F14875" s="4" t="str">
        <f>HYPERLINK("http://141.218.60.56/~jnz1568/getInfo.php?workbook=10_05.xlsx&amp;sheet=U0&amp;row=14875&amp;col=6&amp;number=4.1&amp;sourceID=14","4.1")</f>
        <v>4.1</v>
      </c>
      <c r="G14875" s="4" t="str">
        <f>HYPERLINK("http://141.218.60.56/~jnz1568/getInfo.php?workbook=10_05.xlsx&amp;sheet=U0&amp;row=14875&amp;col=7&amp;number=0.168&amp;sourceID=14","0.168")</f>
        <v>0.168</v>
      </c>
    </row>
    <row r="14876" spans="1:7">
      <c r="A14876" s="3"/>
      <c r="B14876" s="3"/>
      <c r="C14876" s="3"/>
      <c r="D14876" s="3"/>
      <c r="E14876" s="3">
        <v>13</v>
      </c>
      <c r="F14876" s="4" t="str">
        <f>HYPERLINK("http://141.218.60.56/~jnz1568/getInfo.php?workbook=10_05.xlsx&amp;sheet=U0&amp;row=14876&amp;col=6&amp;number=4.2&amp;sourceID=14","4.2")</f>
        <v>4.2</v>
      </c>
      <c r="G14876" s="4" t="str">
        <f>HYPERLINK("http://141.218.60.56/~jnz1568/getInfo.php?workbook=10_05.xlsx&amp;sheet=U0&amp;row=14876&amp;col=7&amp;number=0.16&amp;sourceID=14","0.16")</f>
        <v>0.16</v>
      </c>
    </row>
    <row r="14877" spans="1:7">
      <c r="A14877" s="3"/>
      <c r="B14877" s="3"/>
      <c r="C14877" s="3"/>
      <c r="D14877" s="3"/>
      <c r="E14877" s="3">
        <v>14</v>
      </c>
      <c r="F14877" s="4" t="str">
        <f>HYPERLINK("http://141.218.60.56/~jnz1568/getInfo.php?workbook=10_05.xlsx&amp;sheet=U0&amp;row=14877&amp;col=6&amp;number=4.3&amp;sourceID=14","4.3")</f>
        <v>4.3</v>
      </c>
      <c r="G14877" s="4" t="str">
        <f>HYPERLINK("http://141.218.60.56/~jnz1568/getInfo.php?workbook=10_05.xlsx&amp;sheet=U0&amp;row=14877&amp;col=7&amp;number=0.151&amp;sourceID=14","0.151")</f>
        <v>0.151</v>
      </c>
    </row>
    <row r="14878" spans="1:7">
      <c r="A14878" s="3"/>
      <c r="B14878" s="3"/>
      <c r="C14878" s="3"/>
      <c r="D14878" s="3"/>
      <c r="E14878" s="3">
        <v>15</v>
      </c>
      <c r="F14878" s="4" t="str">
        <f>HYPERLINK("http://141.218.60.56/~jnz1568/getInfo.php?workbook=10_05.xlsx&amp;sheet=U0&amp;row=14878&amp;col=6&amp;number=4.4&amp;sourceID=14","4.4")</f>
        <v>4.4</v>
      </c>
      <c r="G14878" s="4" t="str">
        <f>HYPERLINK("http://141.218.60.56/~jnz1568/getInfo.php?workbook=10_05.xlsx&amp;sheet=U0&amp;row=14878&amp;col=7&amp;number=0.14&amp;sourceID=14","0.14")</f>
        <v>0.14</v>
      </c>
    </row>
    <row r="14879" spans="1:7">
      <c r="A14879" s="3"/>
      <c r="B14879" s="3"/>
      <c r="C14879" s="3"/>
      <c r="D14879" s="3"/>
      <c r="E14879" s="3">
        <v>16</v>
      </c>
      <c r="F14879" s="4" t="str">
        <f>HYPERLINK("http://141.218.60.56/~jnz1568/getInfo.php?workbook=10_05.xlsx&amp;sheet=U0&amp;row=14879&amp;col=6&amp;number=4.5&amp;sourceID=14","4.5")</f>
        <v>4.5</v>
      </c>
      <c r="G14879" s="4" t="str">
        <f>HYPERLINK("http://141.218.60.56/~jnz1568/getInfo.php?workbook=10_05.xlsx&amp;sheet=U0&amp;row=14879&amp;col=7&amp;number=0.128&amp;sourceID=14","0.128")</f>
        <v>0.128</v>
      </c>
    </row>
    <row r="14880" spans="1:7">
      <c r="A14880" s="3"/>
      <c r="B14880" s="3"/>
      <c r="C14880" s="3"/>
      <c r="D14880" s="3"/>
      <c r="E14880" s="3">
        <v>17</v>
      </c>
      <c r="F14880" s="4" t="str">
        <f>HYPERLINK("http://141.218.60.56/~jnz1568/getInfo.php?workbook=10_05.xlsx&amp;sheet=U0&amp;row=14880&amp;col=6&amp;number=4.6&amp;sourceID=14","4.6")</f>
        <v>4.6</v>
      </c>
      <c r="G14880" s="4" t="str">
        <f>HYPERLINK("http://141.218.60.56/~jnz1568/getInfo.php?workbook=10_05.xlsx&amp;sheet=U0&amp;row=14880&amp;col=7&amp;number=0.117&amp;sourceID=14","0.117")</f>
        <v>0.117</v>
      </c>
    </row>
    <row r="14881" spans="1:7">
      <c r="A14881" s="3"/>
      <c r="B14881" s="3"/>
      <c r="C14881" s="3"/>
      <c r="D14881" s="3"/>
      <c r="E14881" s="3">
        <v>18</v>
      </c>
      <c r="F14881" s="4" t="str">
        <f>HYPERLINK("http://141.218.60.56/~jnz1568/getInfo.php?workbook=10_05.xlsx&amp;sheet=U0&amp;row=14881&amp;col=6&amp;number=4.7&amp;sourceID=14","4.7")</f>
        <v>4.7</v>
      </c>
      <c r="G14881" s="4" t="str">
        <f>HYPERLINK("http://141.218.60.56/~jnz1568/getInfo.php?workbook=10_05.xlsx&amp;sheet=U0&amp;row=14881&amp;col=7&amp;number=0.107&amp;sourceID=14","0.107")</f>
        <v>0.107</v>
      </c>
    </row>
    <row r="14882" spans="1:7">
      <c r="A14882" s="3"/>
      <c r="B14882" s="3"/>
      <c r="C14882" s="3"/>
      <c r="D14882" s="3"/>
      <c r="E14882" s="3">
        <v>19</v>
      </c>
      <c r="F14882" s="4" t="str">
        <f>HYPERLINK("http://141.218.60.56/~jnz1568/getInfo.php?workbook=10_05.xlsx&amp;sheet=U0&amp;row=14882&amp;col=6&amp;number=4.8&amp;sourceID=14","4.8")</f>
        <v>4.8</v>
      </c>
      <c r="G14882" s="4" t="str">
        <f>HYPERLINK("http://141.218.60.56/~jnz1568/getInfo.php?workbook=10_05.xlsx&amp;sheet=U0&amp;row=14882&amp;col=7&amp;number=0.099&amp;sourceID=14","0.099")</f>
        <v>0.099</v>
      </c>
    </row>
    <row r="14883" spans="1:7">
      <c r="A14883" s="3"/>
      <c r="B14883" s="3"/>
      <c r="C14883" s="3"/>
      <c r="D14883" s="3"/>
      <c r="E14883" s="3">
        <v>20</v>
      </c>
      <c r="F14883" s="4" t="str">
        <f>HYPERLINK("http://141.218.60.56/~jnz1568/getInfo.php?workbook=10_05.xlsx&amp;sheet=U0&amp;row=14883&amp;col=6&amp;number=4.9&amp;sourceID=14","4.9")</f>
        <v>4.9</v>
      </c>
      <c r="G14883" s="4" t="str">
        <f>HYPERLINK("http://141.218.60.56/~jnz1568/getInfo.php?workbook=10_05.xlsx&amp;sheet=U0&amp;row=14883&amp;col=7&amp;number=0.0915&amp;sourceID=14","0.0915")</f>
        <v>0.0915</v>
      </c>
    </row>
    <row r="14884" spans="1:7">
      <c r="A14884" s="3">
        <v>10</v>
      </c>
      <c r="B14884" s="3">
        <v>5</v>
      </c>
      <c r="C14884" s="3">
        <v>5</v>
      </c>
      <c r="D14884" s="3">
        <v>40</v>
      </c>
      <c r="E14884" s="3">
        <v>1</v>
      </c>
      <c r="F14884" s="4" t="str">
        <f>HYPERLINK("http://141.218.60.56/~jnz1568/getInfo.php?workbook=10_05.xlsx&amp;sheet=U0&amp;row=14884&amp;col=6&amp;number=3&amp;sourceID=14","3")</f>
        <v>3</v>
      </c>
      <c r="G14884" s="4" t="str">
        <f>HYPERLINK("http://141.218.60.56/~jnz1568/getInfo.php?workbook=10_05.xlsx&amp;sheet=U0&amp;row=14884&amp;col=7&amp;number=0.0577&amp;sourceID=14","0.0577")</f>
        <v>0.0577</v>
      </c>
    </row>
    <row r="14885" spans="1:7">
      <c r="A14885" s="3"/>
      <c r="B14885" s="3"/>
      <c r="C14885" s="3"/>
      <c r="D14885" s="3"/>
      <c r="E14885" s="3">
        <v>2</v>
      </c>
      <c r="F14885" s="4" t="str">
        <f>HYPERLINK("http://141.218.60.56/~jnz1568/getInfo.php?workbook=10_05.xlsx&amp;sheet=U0&amp;row=14885&amp;col=6&amp;number=3.1&amp;sourceID=14","3.1")</f>
        <v>3.1</v>
      </c>
      <c r="G14885" s="4" t="str">
        <f>HYPERLINK("http://141.218.60.56/~jnz1568/getInfo.php?workbook=10_05.xlsx&amp;sheet=U0&amp;row=14885&amp;col=7&amp;number=0.0575&amp;sourceID=14","0.0575")</f>
        <v>0.0575</v>
      </c>
    </row>
    <row r="14886" spans="1:7">
      <c r="A14886" s="3"/>
      <c r="B14886" s="3"/>
      <c r="C14886" s="3"/>
      <c r="D14886" s="3"/>
      <c r="E14886" s="3">
        <v>3</v>
      </c>
      <c r="F14886" s="4" t="str">
        <f>HYPERLINK("http://141.218.60.56/~jnz1568/getInfo.php?workbook=10_05.xlsx&amp;sheet=U0&amp;row=14886&amp;col=6&amp;number=3.2&amp;sourceID=14","3.2")</f>
        <v>3.2</v>
      </c>
      <c r="G14886" s="4" t="str">
        <f>HYPERLINK("http://141.218.60.56/~jnz1568/getInfo.php?workbook=10_05.xlsx&amp;sheet=U0&amp;row=14886&amp;col=7&amp;number=0.0573&amp;sourceID=14","0.0573")</f>
        <v>0.0573</v>
      </c>
    </row>
    <row r="14887" spans="1:7">
      <c r="A14887" s="3"/>
      <c r="B14887" s="3"/>
      <c r="C14887" s="3"/>
      <c r="D14887" s="3"/>
      <c r="E14887" s="3">
        <v>4</v>
      </c>
      <c r="F14887" s="4" t="str">
        <f>HYPERLINK("http://141.218.60.56/~jnz1568/getInfo.php?workbook=10_05.xlsx&amp;sheet=U0&amp;row=14887&amp;col=6&amp;number=3.3&amp;sourceID=14","3.3")</f>
        <v>3.3</v>
      </c>
      <c r="G14887" s="4" t="str">
        <f>HYPERLINK("http://141.218.60.56/~jnz1568/getInfo.php?workbook=10_05.xlsx&amp;sheet=U0&amp;row=14887&amp;col=7&amp;number=0.0571&amp;sourceID=14","0.0571")</f>
        <v>0.0571</v>
      </c>
    </row>
    <row r="14888" spans="1:7">
      <c r="A14888" s="3"/>
      <c r="B14888" s="3"/>
      <c r="C14888" s="3"/>
      <c r="D14888" s="3"/>
      <c r="E14888" s="3">
        <v>5</v>
      </c>
      <c r="F14888" s="4" t="str">
        <f>HYPERLINK("http://141.218.60.56/~jnz1568/getInfo.php?workbook=10_05.xlsx&amp;sheet=U0&amp;row=14888&amp;col=6&amp;number=3.4&amp;sourceID=14","3.4")</f>
        <v>3.4</v>
      </c>
      <c r="G14888" s="4" t="str">
        <f>HYPERLINK("http://141.218.60.56/~jnz1568/getInfo.php?workbook=10_05.xlsx&amp;sheet=U0&amp;row=14888&amp;col=7&amp;number=0.0567&amp;sourceID=14","0.0567")</f>
        <v>0.0567</v>
      </c>
    </row>
    <row r="14889" spans="1:7">
      <c r="A14889" s="3"/>
      <c r="B14889" s="3"/>
      <c r="C14889" s="3"/>
      <c r="D14889" s="3"/>
      <c r="E14889" s="3">
        <v>6</v>
      </c>
      <c r="F14889" s="4" t="str">
        <f>HYPERLINK("http://141.218.60.56/~jnz1568/getInfo.php?workbook=10_05.xlsx&amp;sheet=U0&amp;row=14889&amp;col=6&amp;number=3.5&amp;sourceID=14","3.5")</f>
        <v>3.5</v>
      </c>
      <c r="G14889" s="4" t="str">
        <f>HYPERLINK("http://141.218.60.56/~jnz1568/getInfo.php?workbook=10_05.xlsx&amp;sheet=U0&amp;row=14889&amp;col=7&amp;number=0.0563&amp;sourceID=14","0.0563")</f>
        <v>0.0563</v>
      </c>
    </row>
    <row r="14890" spans="1:7">
      <c r="A14890" s="3"/>
      <c r="B14890" s="3"/>
      <c r="C14890" s="3"/>
      <c r="D14890" s="3"/>
      <c r="E14890" s="3">
        <v>7</v>
      </c>
      <c r="F14890" s="4" t="str">
        <f>HYPERLINK("http://141.218.60.56/~jnz1568/getInfo.php?workbook=10_05.xlsx&amp;sheet=U0&amp;row=14890&amp;col=6&amp;number=3.6&amp;sourceID=14","3.6")</f>
        <v>3.6</v>
      </c>
      <c r="G14890" s="4" t="str">
        <f>HYPERLINK("http://141.218.60.56/~jnz1568/getInfo.php?workbook=10_05.xlsx&amp;sheet=U0&amp;row=14890&amp;col=7&amp;number=0.0558&amp;sourceID=14","0.0558")</f>
        <v>0.0558</v>
      </c>
    </row>
    <row r="14891" spans="1:7">
      <c r="A14891" s="3"/>
      <c r="B14891" s="3"/>
      <c r="C14891" s="3"/>
      <c r="D14891" s="3"/>
      <c r="E14891" s="3">
        <v>8</v>
      </c>
      <c r="F14891" s="4" t="str">
        <f>HYPERLINK("http://141.218.60.56/~jnz1568/getInfo.php?workbook=10_05.xlsx&amp;sheet=U0&amp;row=14891&amp;col=6&amp;number=3.7&amp;sourceID=14","3.7")</f>
        <v>3.7</v>
      </c>
      <c r="G14891" s="4" t="str">
        <f>HYPERLINK("http://141.218.60.56/~jnz1568/getInfo.php?workbook=10_05.xlsx&amp;sheet=U0&amp;row=14891&amp;col=7&amp;number=0.0552&amp;sourceID=14","0.0552")</f>
        <v>0.0552</v>
      </c>
    </row>
    <row r="14892" spans="1:7">
      <c r="A14892" s="3"/>
      <c r="B14892" s="3"/>
      <c r="C14892" s="3"/>
      <c r="D14892" s="3"/>
      <c r="E14892" s="3">
        <v>9</v>
      </c>
      <c r="F14892" s="4" t="str">
        <f>HYPERLINK("http://141.218.60.56/~jnz1568/getInfo.php?workbook=10_05.xlsx&amp;sheet=U0&amp;row=14892&amp;col=6&amp;number=3.8&amp;sourceID=14","3.8")</f>
        <v>3.8</v>
      </c>
      <c r="G14892" s="4" t="str">
        <f>HYPERLINK("http://141.218.60.56/~jnz1568/getInfo.php?workbook=10_05.xlsx&amp;sheet=U0&amp;row=14892&amp;col=7&amp;number=0.0544&amp;sourceID=14","0.0544")</f>
        <v>0.0544</v>
      </c>
    </row>
    <row r="14893" spans="1:7">
      <c r="A14893" s="3"/>
      <c r="B14893" s="3"/>
      <c r="C14893" s="3"/>
      <c r="D14893" s="3"/>
      <c r="E14893" s="3">
        <v>10</v>
      </c>
      <c r="F14893" s="4" t="str">
        <f>HYPERLINK("http://141.218.60.56/~jnz1568/getInfo.php?workbook=10_05.xlsx&amp;sheet=U0&amp;row=14893&amp;col=6&amp;number=3.9&amp;sourceID=14","3.9")</f>
        <v>3.9</v>
      </c>
      <c r="G14893" s="4" t="str">
        <f>HYPERLINK("http://141.218.60.56/~jnz1568/getInfo.php?workbook=10_05.xlsx&amp;sheet=U0&amp;row=14893&amp;col=7&amp;number=0.0534&amp;sourceID=14","0.0534")</f>
        <v>0.0534</v>
      </c>
    </row>
    <row r="14894" spans="1:7">
      <c r="A14894" s="3"/>
      <c r="B14894" s="3"/>
      <c r="C14894" s="3"/>
      <c r="D14894" s="3"/>
      <c r="E14894" s="3">
        <v>11</v>
      </c>
      <c r="F14894" s="4" t="str">
        <f>HYPERLINK("http://141.218.60.56/~jnz1568/getInfo.php?workbook=10_05.xlsx&amp;sheet=U0&amp;row=14894&amp;col=6&amp;number=4&amp;sourceID=14","4")</f>
        <v>4</v>
      </c>
      <c r="G14894" s="4" t="str">
        <f>HYPERLINK("http://141.218.60.56/~jnz1568/getInfo.php?workbook=10_05.xlsx&amp;sheet=U0&amp;row=14894&amp;col=7&amp;number=0.0523&amp;sourceID=14","0.0523")</f>
        <v>0.0523</v>
      </c>
    </row>
    <row r="14895" spans="1:7">
      <c r="A14895" s="3"/>
      <c r="B14895" s="3"/>
      <c r="C14895" s="3"/>
      <c r="D14895" s="3"/>
      <c r="E14895" s="3">
        <v>12</v>
      </c>
      <c r="F14895" s="4" t="str">
        <f>HYPERLINK("http://141.218.60.56/~jnz1568/getInfo.php?workbook=10_05.xlsx&amp;sheet=U0&amp;row=14895&amp;col=6&amp;number=4.1&amp;sourceID=14","4.1")</f>
        <v>4.1</v>
      </c>
      <c r="G14895" s="4" t="str">
        <f>HYPERLINK("http://141.218.60.56/~jnz1568/getInfo.php?workbook=10_05.xlsx&amp;sheet=U0&amp;row=14895&amp;col=7&amp;number=0.0508&amp;sourceID=14","0.0508")</f>
        <v>0.0508</v>
      </c>
    </row>
    <row r="14896" spans="1:7">
      <c r="A14896" s="3"/>
      <c r="B14896" s="3"/>
      <c r="C14896" s="3"/>
      <c r="D14896" s="3"/>
      <c r="E14896" s="3">
        <v>13</v>
      </c>
      <c r="F14896" s="4" t="str">
        <f>HYPERLINK("http://141.218.60.56/~jnz1568/getInfo.php?workbook=10_05.xlsx&amp;sheet=U0&amp;row=14896&amp;col=6&amp;number=4.2&amp;sourceID=14","4.2")</f>
        <v>4.2</v>
      </c>
      <c r="G14896" s="4" t="str">
        <f>HYPERLINK("http://141.218.60.56/~jnz1568/getInfo.php?workbook=10_05.xlsx&amp;sheet=U0&amp;row=14896&amp;col=7&amp;number=0.0491&amp;sourceID=14","0.0491")</f>
        <v>0.0491</v>
      </c>
    </row>
    <row r="14897" spans="1:7">
      <c r="A14897" s="3"/>
      <c r="B14897" s="3"/>
      <c r="C14897" s="3"/>
      <c r="D14897" s="3"/>
      <c r="E14897" s="3">
        <v>14</v>
      </c>
      <c r="F14897" s="4" t="str">
        <f>HYPERLINK("http://141.218.60.56/~jnz1568/getInfo.php?workbook=10_05.xlsx&amp;sheet=U0&amp;row=14897&amp;col=6&amp;number=4.3&amp;sourceID=14","4.3")</f>
        <v>4.3</v>
      </c>
      <c r="G14897" s="4" t="str">
        <f>HYPERLINK("http://141.218.60.56/~jnz1568/getInfo.php?workbook=10_05.xlsx&amp;sheet=U0&amp;row=14897&amp;col=7&amp;number=0.047&amp;sourceID=14","0.047")</f>
        <v>0.047</v>
      </c>
    </row>
    <row r="14898" spans="1:7">
      <c r="A14898" s="3"/>
      <c r="B14898" s="3"/>
      <c r="C14898" s="3"/>
      <c r="D14898" s="3"/>
      <c r="E14898" s="3">
        <v>15</v>
      </c>
      <c r="F14898" s="4" t="str">
        <f>HYPERLINK("http://141.218.60.56/~jnz1568/getInfo.php?workbook=10_05.xlsx&amp;sheet=U0&amp;row=14898&amp;col=6&amp;number=4.4&amp;sourceID=14","4.4")</f>
        <v>4.4</v>
      </c>
      <c r="G14898" s="4" t="str">
        <f>HYPERLINK("http://141.218.60.56/~jnz1568/getInfo.php?workbook=10_05.xlsx&amp;sheet=U0&amp;row=14898&amp;col=7&amp;number=0.0446&amp;sourceID=14","0.0446")</f>
        <v>0.0446</v>
      </c>
    </row>
    <row r="14899" spans="1:7">
      <c r="A14899" s="3"/>
      <c r="B14899" s="3"/>
      <c r="C14899" s="3"/>
      <c r="D14899" s="3"/>
      <c r="E14899" s="3">
        <v>16</v>
      </c>
      <c r="F14899" s="4" t="str">
        <f>HYPERLINK("http://141.218.60.56/~jnz1568/getInfo.php?workbook=10_05.xlsx&amp;sheet=U0&amp;row=14899&amp;col=6&amp;number=4.5&amp;sourceID=14","4.5")</f>
        <v>4.5</v>
      </c>
      <c r="G14899" s="4" t="str">
        <f>HYPERLINK("http://141.218.60.56/~jnz1568/getInfo.php?workbook=10_05.xlsx&amp;sheet=U0&amp;row=14899&amp;col=7&amp;number=0.0418&amp;sourceID=14","0.0418")</f>
        <v>0.0418</v>
      </c>
    </row>
    <row r="14900" spans="1:7">
      <c r="A14900" s="3"/>
      <c r="B14900" s="3"/>
      <c r="C14900" s="3"/>
      <c r="D14900" s="3"/>
      <c r="E14900" s="3">
        <v>17</v>
      </c>
      <c r="F14900" s="4" t="str">
        <f>HYPERLINK("http://141.218.60.56/~jnz1568/getInfo.php?workbook=10_05.xlsx&amp;sheet=U0&amp;row=14900&amp;col=6&amp;number=4.6&amp;sourceID=14","4.6")</f>
        <v>4.6</v>
      </c>
      <c r="G14900" s="4" t="str">
        <f>HYPERLINK("http://141.218.60.56/~jnz1568/getInfo.php?workbook=10_05.xlsx&amp;sheet=U0&amp;row=14900&amp;col=7&amp;number=0.0388&amp;sourceID=14","0.0388")</f>
        <v>0.0388</v>
      </c>
    </row>
    <row r="14901" spans="1:7">
      <c r="A14901" s="3"/>
      <c r="B14901" s="3"/>
      <c r="C14901" s="3"/>
      <c r="D14901" s="3"/>
      <c r="E14901" s="3">
        <v>18</v>
      </c>
      <c r="F14901" s="4" t="str">
        <f>HYPERLINK("http://141.218.60.56/~jnz1568/getInfo.php?workbook=10_05.xlsx&amp;sheet=U0&amp;row=14901&amp;col=6&amp;number=4.7&amp;sourceID=14","4.7")</f>
        <v>4.7</v>
      </c>
      <c r="G14901" s="4" t="str">
        <f>HYPERLINK("http://141.218.60.56/~jnz1568/getInfo.php?workbook=10_05.xlsx&amp;sheet=U0&amp;row=14901&amp;col=7&amp;number=0.0356&amp;sourceID=14","0.0356")</f>
        <v>0.0356</v>
      </c>
    </row>
    <row r="14902" spans="1:7">
      <c r="A14902" s="3"/>
      <c r="B14902" s="3"/>
      <c r="C14902" s="3"/>
      <c r="D14902" s="3"/>
      <c r="E14902" s="3">
        <v>19</v>
      </c>
      <c r="F14902" s="4" t="str">
        <f>HYPERLINK("http://141.218.60.56/~jnz1568/getInfo.php?workbook=10_05.xlsx&amp;sheet=U0&amp;row=14902&amp;col=6&amp;number=4.8&amp;sourceID=14","4.8")</f>
        <v>4.8</v>
      </c>
      <c r="G14902" s="4" t="str">
        <f>HYPERLINK("http://141.218.60.56/~jnz1568/getInfo.php?workbook=10_05.xlsx&amp;sheet=U0&amp;row=14902&amp;col=7&amp;number=0.0326&amp;sourceID=14","0.0326")</f>
        <v>0.0326</v>
      </c>
    </row>
    <row r="14903" spans="1:7">
      <c r="A14903" s="3"/>
      <c r="B14903" s="3"/>
      <c r="C14903" s="3"/>
      <c r="D14903" s="3"/>
      <c r="E14903" s="3">
        <v>20</v>
      </c>
      <c r="F14903" s="4" t="str">
        <f>HYPERLINK("http://141.218.60.56/~jnz1568/getInfo.php?workbook=10_05.xlsx&amp;sheet=U0&amp;row=14903&amp;col=6&amp;number=4.9&amp;sourceID=14","4.9")</f>
        <v>4.9</v>
      </c>
      <c r="G14903" s="4" t="str">
        <f>HYPERLINK("http://141.218.60.56/~jnz1568/getInfo.php?workbook=10_05.xlsx&amp;sheet=U0&amp;row=14903&amp;col=7&amp;number=0.0298&amp;sourceID=14","0.0298")</f>
        <v>0.0298</v>
      </c>
    </row>
    <row r="14904" spans="1:7">
      <c r="A14904" s="3">
        <v>10</v>
      </c>
      <c r="B14904" s="3">
        <v>5</v>
      </c>
      <c r="C14904" s="3">
        <v>5</v>
      </c>
      <c r="D14904" s="3">
        <v>41</v>
      </c>
      <c r="E14904" s="3">
        <v>1</v>
      </c>
      <c r="F14904" s="4" t="str">
        <f>HYPERLINK("http://141.218.60.56/~jnz1568/getInfo.php?workbook=10_05.xlsx&amp;sheet=U0&amp;row=14904&amp;col=6&amp;number=3&amp;sourceID=14","3")</f>
        <v>3</v>
      </c>
      <c r="G14904" s="4" t="str">
        <f>HYPERLINK("http://141.218.60.56/~jnz1568/getInfo.php?workbook=10_05.xlsx&amp;sheet=U0&amp;row=14904&amp;col=7&amp;number=0.425&amp;sourceID=14","0.425")</f>
        <v>0.425</v>
      </c>
    </row>
    <row r="14905" spans="1:7">
      <c r="A14905" s="3"/>
      <c r="B14905" s="3"/>
      <c r="C14905" s="3"/>
      <c r="D14905" s="3"/>
      <c r="E14905" s="3">
        <v>2</v>
      </c>
      <c r="F14905" s="4" t="str">
        <f>HYPERLINK("http://141.218.60.56/~jnz1568/getInfo.php?workbook=10_05.xlsx&amp;sheet=U0&amp;row=14905&amp;col=6&amp;number=3.1&amp;sourceID=14","3.1")</f>
        <v>3.1</v>
      </c>
      <c r="G14905" s="4" t="str">
        <f>HYPERLINK("http://141.218.60.56/~jnz1568/getInfo.php?workbook=10_05.xlsx&amp;sheet=U0&amp;row=14905&amp;col=7&amp;number=0.422&amp;sourceID=14","0.422")</f>
        <v>0.422</v>
      </c>
    </row>
    <row r="14906" spans="1:7">
      <c r="A14906" s="3"/>
      <c r="B14906" s="3"/>
      <c r="C14906" s="3"/>
      <c r="D14906" s="3"/>
      <c r="E14906" s="3">
        <v>3</v>
      </c>
      <c r="F14906" s="4" t="str">
        <f>HYPERLINK("http://141.218.60.56/~jnz1568/getInfo.php?workbook=10_05.xlsx&amp;sheet=U0&amp;row=14906&amp;col=6&amp;number=3.2&amp;sourceID=14","3.2")</f>
        <v>3.2</v>
      </c>
      <c r="G14906" s="4" t="str">
        <f>HYPERLINK("http://141.218.60.56/~jnz1568/getInfo.php?workbook=10_05.xlsx&amp;sheet=U0&amp;row=14906&amp;col=7&amp;number=0.418&amp;sourceID=14","0.418")</f>
        <v>0.418</v>
      </c>
    </row>
    <row r="14907" spans="1:7">
      <c r="A14907" s="3"/>
      <c r="B14907" s="3"/>
      <c r="C14907" s="3"/>
      <c r="D14907" s="3"/>
      <c r="E14907" s="3">
        <v>4</v>
      </c>
      <c r="F14907" s="4" t="str">
        <f>HYPERLINK("http://141.218.60.56/~jnz1568/getInfo.php?workbook=10_05.xlsx&amp;sheet=U0&amp;row=14907&amp;col=6&amp;number=3.3&amp;sourceID=14","3.3")</f>
        <v>3.3</v>
      </c>
      <c r="G14907" s="4" t="str">
        <f>HYPERLINK("http://141.218.60.56/~jnz1568/getInfo.php?workbook=10_05.xlsx&amp;sheet=U0&amp;row=14907&amp;col=7&amp;number=0.414&amp;sourceID=14","0.414")</f>
        <v>0.414</v>
      </c>
    </row>
    <row r="14908" spans="1:7">
      <c r="A14908" s="3"/>
      <c r="B14908" s="3"/>
      <c r="C14908" s="3"/>
      <c r="D14908" s="3"/>
      <c r="E14908" s="3">
        <v>5</v>
      </c>
      <c r="F14908" s="4" t="str">
        <f>HYPERLINK("http://141.218.60.56/~jnz1568/getInfo.php?workbook=10_05.xlsx&amp;sheet=U0&amp;row=14908&amp;col=6&amp;number=3.4&amp;sourceID=14","3.4")</f>
        <v>3.4</v>
      </c>
      <c r="G14908" s="4" t="str">
        <f>HYPERLINK("http://141.218.60.56/~jnz1568/getInfo.php?workbook=10_05.xlsx&amp;sheet=U0&amp;row=14908&amp;col=7&amp;number=0.408&amp;sourceID=14","0.408")</f>
        <v>0.408</v>
      </c>
    </row>
    <row r="14909" spans="1:7">
      <c r="A14909" s="3"/>
      <c r="B14909" s="3"/>
      <c r="C14909" s="3"/>
      <c r="D14909" s="3"/>
      <c r="E14909" s="3">
        <v>6</v>
      </c>
      <c r="F14909" s="4" t="str">
        <f>HYPERLINK("http://141.218.60.56/~jnz1568/getInfo.php?workbook=10_05.xlsx&amp;sheet=U0&amp;row=14909&amp;col=6&amp;number=3.5&amp;sourceID=14","3.5")</f>
        <v>3.5</v>
      </c>
      <c r="G14909" s="4" t="str">
        <f>HYPERLINK("http://141.218.60.56/~jnz1568/getInfo.php?workbook=10_05.xlsx&amp;sheet=U0&amp;row=14909&amp;col=7&amp;number=0.4&amp;sourceID=14","0.4")</f>
        <v>0.4</v>
      </c>
    </row>
    <row r="14910" spans="1:7">
      <c r="A14910" s="3"/>
      <c r="B14910" s="3"/>
      <c r="C14910" s="3"/>
      <c r="D14910" s="3"/>
      <c r="E14910" s="3">
        <v>7</v>
      </c>
      <c r="F14910" s="4" t="str">
        <f>HYPERLINK("http://141.218.60.56/~jnz1568/getInfo.php?workbook=10_05.xlsx&amp;sheet=U0&amp;row=14910&amp;col=6&amp;number=3.6&amp;sourceID=14","3.6")</f>
        <v>3.6</v>
      </c>
      <c r="G14910" s="4" t="str">
        <f>HYPERLINK("http://141.218.60.56/~jnz1568/getInfo.php?workbook=10_05.xlsx&amp;sheet=U0&amp;row=14910&amp;col=7&amp;number=0.391&amp;sourceID=14","0.391")</f>
        <v>0.391</v>
      </c>
    </row>
    <row r="14911" spans="1:7">
      <c r="A14911" s="3"/>
      <c r="B14911" s="3"/>
      <c r="C14911" s="3"/>
      <c r="D14911" s="3"/>
      <c r="E14911" s="3">
        <v>8</v>
      </c>
      <c r="F14911" s="4" t="str">
        <f>HYPERLINK("http://141.218.60.56/~jnz1568/getInfo.php?workbook=10_05.xlsx&amp;sheet=U0&amp;row=14911&amp;col=6&amp;number=3.7&amp;sourceID=14","3.7")</f>
        <v>3.7</v>
      </c>
      <c r="G14911" s="4" t="str">
        <f>HYPERLINK("http://141.218.60.56/~jnz1568/getInfo.php?workbook=10_05.xlsx&amp;sheet=U0&amp;row=14911&amp;col=7&amp;number=0.38&amp;sourceID=14","0.38")</f>
        <v>0.38</v>
      </c>
    </row>
    <row r="14912" spans="1:7">
      <c r="A14912" s="3"/>
      <c r="B14912" s="3"/>
      <c r="C14912" s="3"/>
      <c r="D14912" s="3"/>
      <c r="E14912" s="3">
        <v>9</v>
      </c>
      <c r="F14912" s="4" t="str">
        <f>HYPERLINK("http://141.218.60.56/~jnz1568/getInfo.php?workbook=10_05.xlsx&amp;sheet=U0&amp;row=14912&amp;col=6&amp;number=3.8&amp;sourceID=14","3.8")</f>
        <v>3.8</v>
      </c>
      <c r="G14912" s="4" t="str">
        <f>HYPERLINK("http://141.218.60.56/~jnz1568/getInfo.php?workbook=10_05.xlsx&amp;sheet=U0&amp;row=14912&amp;col=7&amp;number=0.367&amp;sourceID=14","0.367")</f>
        <v>0.367</v>
      </c>
    </row>
    <row r="14913" spans="1:7">
      <c r="A14913" s="3"/>
      <c r="B14913" s="3"/>
      <c r="C14913" s="3"/>
      <c r="D14913" s="3"/>
      <c r="E14913" s="3">
        <v>10</v>
      </c>
      <c r="F14913" s="4" t="str">
        <f>HYPERLINK("http://141.218.60.56/~jnz1568/getInfo.php?workbook=10_05.xlsx&amp;sheet=U0&amp;row=14913&amp;col=6&amp;number=3.9&amp;sourceID=14","3.9")</f>
        <v>3.9</v>
      </c>
      <c r="G14913" s="4" t="str">
        <f>HYPERLINK("http://141.218.60.56/~jnz1568/getInfo.php?workbook=10_05.xlsx&amp;sheet=U0&amp;row=14913&amp;col=7&amp;number=0.351&amp;sourceID=14","0.351")</f>
        <v>0.351</v>
      </c>
    </row>
    <row r="14914" spans="1:7">
      <c r="A14914" s="3"/>
      <c r="B14914" s="3"/>
      <c r="C14914" s="3"/>
      <c r="D14914" s="3"/>
      <c r="E14914" s="3">
        <v>11</v>
      </c>
      <c r="F14914" s="4" t="str">
        <f>HYPERLINK("http://141.218.60.56/~jnz1568/getInfo.php?workbook=10_05.xlsx&amp;sheet=U0&amp;row=14914&amp;col=6&amp;number=4&amp;sourceID=14","4")</f>
        <v>4</v>
      </c>
      <c r="G14914" s="4" t="str">
        <f>HYPERLINK("http://141.218.60.56/~jnz1568/getInfo.php?workbook=10_05.xlsx&amp;sheet=U0&amp;row=14914&amp;col=7&amp;number=0.333&amp;sourceID=14","0.333")</f>
        <v>0.333</v>
      </c>
    </row>
    <row r="14915" spans="1:7">
      <c r="A14915" s="3"/>
      <c r="B14915" s="3"/>
      <c r="C14915" s="3"/>
      <c r="D14915" s="3"/>
      <c r="E14915" s="3">
        <v>12</v>
      </c>
      <c r="F14915" s="4" t="str">
        <f>HYPERLINK("http://141.218.60.56/~jnz1568/getInfo.php?workbook=10_05.xlsx&amp;sheet=U0&amp;row=14915&amp;col=6&amp;number=4.1&amp;sourceID=14","4.1")</f>
        <v>4.1</v>
      </c>
      <c r="G14915" s="4" t="str">
        <f>HYPERLINK("http://141.218.60.56/~jnz1568/getInfo.php?workbook=10_05.xlsx&amp;sheet=U0&amp;row=14915&amp;col=7&amp;number=0.313&amp;sourceID=14","0.313")</f>
        <v>0.313</v>
      </c>
    </row>
    <row r="14916" spans="1:7">
      <c r="A14916" s="3"/>
      <c r="B14916" s="3"/>
      <c r="C14916" s="3"/>
      <c r="D14916" s="3"/>
      <c r="E14916" s="3">
        <v>13</v>
      </c>
      <c r="F14916" s="4" t="str">
        <f>HYPERLINK("http://141.218.60.56/~jnz1568/getInfo.php?workbook=10_05.xlsx&amp;sheet=U0&amp;row=14916&amp;col=6&amp;number=4.2&amp;sourceID=14","4.2")</f>
        <v>4.2</v>
      </c>
      <c r="G14916" s="4" t="str">
        <f>HYPERLINK("http://141.218.60.56/~jnz1568/getInfo.php?workbook=10_05.xlsx&amp;sheet=U0&amp;row=14916&amp;col=7&amp;number=0.292&amp;sourceID=14","0.292")</f>
        <v>0.292</v>
      </c>
    </row>
    <row r="14917" spans="1:7">
      <c r="A14917" s="3"/>
      <c r="B14917" s="3"/>
      <c r="C14917" s="3"/>
      <c r="D14917" s="3"/>
      <c r="E14917" s="3">
        <v>14</v>
      </c>
      <c r="F14917" s="4" t="str">
        <f>HYPERLINK("http://141.218.60.56/~jnz1568/getInfo.php?workbook=10_05.xlsx&amp;sheet=U0&amp;row=14917&amp;col=6&amp;number=4.3&amp;sourceID=14","4.3")</f>
        <v>4.3</v>
      </c>
      <c r="G14917" s="4" t="str">
        <f>HYPERLINK("http://141.218.60.56/~jnz1568/getInfo.php?workbook=10_05.xlsx&amp;sheet=U0&amp;row=14917&amp;col=7&amp;number=0.271&amp;sourceID=14","0.271")</f>
        <v>0.271</v>
      </c>
    </row>
    <row r="14918" spans="1:7">
      <c r="A14918" s="3"/>
      <c r="B14918" s="3"/>
      <c r="C14918" s="3"/>
      <c r="D14918" s="3"/>
      <c r="E14918" s="3">
        <v>15</v>
      </c>
      <c r="F14918" s="4" t="str">
        <f>HYPERLINK("http://141.218.60.56/~jnz1568/getInfo.php?workbook=10_05.xlsx&amp;sheet=U0&amp;row=14918&amp;col=6&amp;number=4.4&amp;sourceID=14","4.4")</f>
        <v>4.4</v>
      </c>
      <c r="G14918" s="4" t="str">
        <f>HYPERLINK("http://141.218.60.56/~jnz1568/getInfo.php?workbook=10_05.xlsx&amp;sheet=U0&amp;row=14918&amp;col=7&amp;number=0.25&amp;sourceID=14","0.25")</f>
        <v>0.25</v>
      </c>
    </row>
    <row r="14919" spans="1:7">
      <c r="A14919" s="3"/>
      <c r="B14919" s="3"/>
      <c r="C14919" s="3"/>
      <c r="D14919" s="3"/>
      <c r="E14919" s="3">
        <v>16</v>
      </c>
      <c r="F14919" s="4" t="str">
        <f>HYPERLINK("http://141.218.60.56/~jnz1568/getInfo.php?workbook=10_05.xlsx&amp;sheet=U0&amp;row=14919&amp;col=6&amp;number=4.5&amp;sourceID=14","4.5")</f>
        <v>4.5</v>
      </c>
      <c r="G14919" s="4" t="str">
        <f>HYPERLINK("http://141.218.60.56/~jnz1568/getInfo.php?workbook=10_05.xlsx&amp;sheet=U0&amp;row=14919&amp;col=7&amp;number=0.231&amp;sourceID=14","0.231")</f>
        <v>0.231</v>
      </c>
    </row>
    <row r="14920" spans="1:7">
      <c r="A14920" s="3"/>
      <c r="B14920" s="3"/>
      <c r="C14920" s="3"/>
      <c r="D14920" s="3"/>
      <c r="E14920" s="3">
        <v>17</v>
      </c>
      <c r="F14920" s="4" t="str">
        <f>HYPERLINK("http://141.218.60.56/~jnz1568/getInfo.php?workbook=10_05.xlsx&amp;sheet=U0&amp;row=14920&amp;col=6&amp;number=4.6&amp;sourceID=14","4.6")</f>
        <v>4.6</v>
      </c>
      <c r="G14920" s="4" t="str">
        <f>HYPERLINK("http://141.218.60.56/~jnz1568/getInfo.php?workbook=10_05.xlsx&amp;sheet=U0&amp;row=14920&amp;col=7&amp;number=0.213&amp;sourceID=14","0.213")</f>
        <v>0.213</v>
      </c>
    </row>
    <row r="14921" spans="1:7">
      <c r="A14921" s="3"/>
      <c r="B14921" s="3"/>
      <c r="C14921" s="3"/>
      <c r="D14921" s="3"/>
      <c r="E14921" s="3">
        <v>18</v>
      </c>
      <c r="F14921" s="4" t="str">
        <f>HYPERLINK("http://141.218.60.56/~jnz1568/getInfo.php?workbook=10_05.xlsx&amp;sheet=U0&amp;row=14921&amp;col=6&amp;number=4.7&amp;sourceID=14","4.7")</f>
        <v>4.7</v>
      </c>
      <c r="G14921" s="4" t="str">
        <f>HYPERLINK("http://141.218.60.56/~jnz1568/getInfo.php?workbook=10_05.xlsx&amp;sheet=U0&amp;row=14921&amp;col=7&amp;number=0.195&amp;sourceID=14","0.195")</f>
        <v>0.195</v>
      </c>
    </row>
    <row r="14922" spans="1:7">
      <c r="A14922" s="3"/>
      <c r="B14922" s="3"/>
      <c r="C14922" s="3"/>
      <c r="D14922" s="3"/>
      <c r="E14922" s="3">
        <v>19</v>
      </c>
      <c r="F14922" s="4" t="str">
        <f>HYPERLINK("http://141.218.60.56/~jnz1568/getInfo.php?workbook=10_05.xlsx&amp;sheet=U0&amp;row=14922&amp;col=6&amp;number=4.8&amp;sourceID=14","4.8")</f>
        <v>4.8</v>
      </c>
      <c r="G14922" s="4" t="str">
        <f>HYPERLINK("http://141.218.60.56/~jnz1568/getInfo.php?workbook=10_05.xlsx&amp;sheet=U0&amp;row=14922&amp;col=7&amp;number=0.18&amp;sourceID=14","0.18")</f>
        <v>0.18</v>
      </c>
    </row>
    <row r="14923" spans="1:7">
      <c r="A14923" s="3"/>
      <c r="B14923" s="3"/>
      <c r="C14923" s="3"/>
      <c r="D14923" s="3"/>
      <c r="E14923" s="3">
        <v>20</v>
      </c>
      <c r="F14923" s="4" t="str">
        <f>HYPERLINK("http://141.218.60.56/~jnz1568/getInfo.php?workbook=10_05.xlsx&amp;sheet=U0&amp;row=14923&amp;col=6&amp;number=4.9&amp;sourceID=14","4.9")</f>
        <v>4.9</v>
      </c>
      <c r="G14923" s="4" t="str">
        <f>HYPERLINK("http://141.218.60.56/~jnz1568/getInfo.php?workbook=10_05.xlsx&amp;sheet=U0&amp;row=14923&amp;col=7&amp;number=0.166&amp;sourceID=14","0.166")</f>
        <v>0.166</v>
      </c>
    </row>
    <row r="14924" spans="1:7">
      <c r="A14924" s="3">
        <v>10</v>
      </c>
      <c r="B14924" s="3">
        <v>5</v>
      </c>
      <c r="C14924" s="3">
        <v>5</v>
      </c>
      <c r="D14924" s="3">
        <v>42</v>
      </c>
      <c r="E14924" s="3">
        <v>1</v>
      </c>
      <c r="F14924" s="4" t="str">
        <f>HYPERLINK("http://141.218.60.56/~jnz1568/getInfo.php?workbook=10_05.xlsx&amp;sheet=U0&amp;row=14924&amp;col=6&amp;number=3&amp;sourceID=14","3")</f>
        <v>3</v>
      </c>
      <c r="G14924" s="4" t="str">
        <f>HYPERLINK("http://141.218.60.56/~jnz1568/getInfo.php?workbook=10_05.xlsx&amp;sheet=U0&amp;row=14924&amp;col=7&amp;number=0.672&amp;sourceID=14","0.672")</f>
        <v>0.672</v>
      </c>
    </row>
    <row r="14925" spans="1:7">
      <c r="A14925" s="3"/>
      <c r="B14925" s="3"/>
      <c r="C14925" s="3"/>
      <c r="D14925" s="3"/>
      <c r="E14925" s="3">
        <v>2</v>
      </c>
      <c r="F14925" s="4" t="str">
        <f>HYPERLINK("http://141.218.60.56/~jnz1568/getInfo.php?workbook=10_05.xlsx&amp;sheet=U0&amp;row=14925&amp;col=6&amp;number=3.1&amp;sourceID=14","3.1")</f>
        <v>3.1</v>
      </c>
      <c r="G14925" s="4" t="str">
        <f>HYPERLINK("http://141.218.60.56/~jnz1568/getInfo.php?workbook=10_05.xlsx&amp;sheet=U0&amp;row=14925&amp;col=7&amp;number=0.667&amp;sourceID=14","0.667")</f>
        <v>0.667</v>
      </c>
    </row>
    <row r="14926" spans="1:7">
      <c r="A14926" s="3"/>
      <c r="B14926" s="3"/>
      <c r="C14926" s="3"/>
      <c r="D14926" s="3"/>
      <c r="E14926" s="3">
        <v>3</v>
      </c>
      <c r="F14926" s="4" t="str">
        <f>HYPERLINK("http://141.218.60.56/~jnz1568/getInfo.php?workbook=10_05.xlsx&amp;sheet=U0&amp;row=14926&amp;col=6&amp;number=3.2&amp;sourceID=14","3.2")</f>
        <v>3.2</v>
      </c>
      <c r="G14926" s="4" t="str">
        <f>HYPERLINK("http://141.218.60.56/~jnz1568/getInfo.php?workbook=10_05.xlsx&amp;sheet=U0&amp;row=14926&amp;col=7&amp;number=0.661&amp;sourceID=14","0.661")</f>
        <v>0.661</v>
      </c>
    </row>
    <row r="14927" spans="1:7">
      <c r="A14927" s="3"/>
      <c r="B14927" s="3"/>
      <c r="C14927" s="3"/>
      <c r="D14927" s="3"/>
      <c r="E14927" s="3">
        <v>4</v>
      </c>
      <c r="F14927" s="4" t="str">
        <f>HYPERLINK("http://141.218.60.56/~jnz1568/getInfo.php?workbook=10_05.xlsx&amp;sheet=U0&amp;row=14927&amp;col=6&amp;number=3.3&amp;sourceID=14","3.3")</f>
        <v>3.3</v>
      </c>
      <c r="G14927" s="4" t="str">
        <f>HYPERLINK("http://141.218.60.56/~jnz1568/getInfo.php?workbook=10_05.xlsx&amp;sheet=U0&amp;row=14927&amp;col=7&amp;number=0.653&amp;sourceID=14","0.653")</f>
        <v>0.653</v>
      </c>
    </row>
    <row r="14928" spans="1:7">
      <c r="A14928" s="3"/>
      <c r="B14928" s="3"/>
      <c r="C14928" s="3"/>
      <c r="D14928" s="3"/>
      <c r="E14928" s="3">
        <v>5</v>
      </c>
      <c r="F14928" s="4" t="str">
        <f>HYPERLINK("http://141.218.60.56/~jnz1568/getInfo.php?workbook=10_05.xlsx&amp;sheet=U0&amp;row=14928&amp;col=6&amp;number=3.4&amp;sourceID=14","3.4")</f>
        <v>3.4</v>
      </c>
      <c r="G14928" s="4" t="str">
        <f>HYPERLINK("http://141.218.60.56/~jnz1568/getInfo.php?workbook=10_05.xlsx&amp;sheet=U0&amp;row=14928&amp;col=7&amp;number=0.643&amp;sourceID=14","0.643")</f>
        <v>0.643</v>
      </c>
    </row>
    <row r="14929" spans="1:7">
      <c r="A14929" s="3"/>
      <c r="B14929" s="3"/>
      <c r="C14929" s="3"/>
      <c r="D14929" s="3"/>
      <c r="E14929" s="3">
        <v>6</v>
      </c>
      <c r="F14929" s="4" t="str">
        <f>HYPERLINK("http://141.218.60.56/~jnz1568/getInfo.php?workbook=10_05.xlsx&amp;sheet=U0&amp;row=14929&amp;col=6&amp;number=3.5&amp;sourceID=14","3.5")</f>
        <v>3.5</v>
      </c>
      <c r="G14929" s="4" t="str">
        <f>HYPERLINK("http://141.218.60.56/~jnz1568/getInfo.php?workbook=10_05.xlsx&amp;sheet=U0&amp;row=14929&amp;col=7&amp;number=0.631&amp;sourceID=14","0.631")</f>
        <v>0.631</v>
      </c>
    </row>
    <row r="14930" spans="1:7">
      <c r="A14930" s="3"/>
      <c r="B14930" s="3"/>
      <c r="C14930" s="3"/>
      <c r="D14930" s="3"/>
      <c r="E14930" s="3">
        <v>7</v>
      </c>
      <c r="F14930" s="4" t="str">
        <f>HYPERLINK("http://141.218.60.56/~jnz1568/getInfo.php?workbook=10_05.xlsx&amp;sheet=U0&amp;row=14930&amp;col=6&amp;number=3.6&amp;sourceID=14","3.6")</f>
        <v>3.6</v>
      </c>
      <c r="G14930" s="4" t="str">
        <f>HYPERLINK("http://141.218.60.56/~jnz1568/getInfo.php?workbook=10_05.xlsx&amp;sheet=U0&amp;row=14930&amp;col=7&amp;number=0.617&amp;sourceID=14","0.617")</f>
        <v>0.617</v>
      </c>
    </row>
    <row r="14931" spans="1:7">
      <c r="A14931" s="3"/>
      <c r="B14931" s="3"/>
      <c r="C14931" s="3"/>
      <c r="D14931" s="3"/>
      <c r="E14931" s="3">
        <v>8</v>
      </c>
      <c r="F14931" s="4" t="str">
        <f>HYPERLINK("http://141.218.60.56/~jnz1568/getInfo.php?workbook=10_05.xlsx&amp;sheet=U0&amp;row=14931&amp;col=6&amp;number=3.7&amp;sourceID=14","3.7")</f>
        <v>3.7</v>
      </c>
      <c r="G14931" s="4" t="str">
        <f>HYPERLINK("http://141.218.60.56/~jnz1568/getInfo.php?workbook=10_05.xlsx&amp;sheet=U0&amp;row=14931&amp;col=7&amp;number=0.599&amp;sourceID=14","0.599")</f>
        <v>0.599</v>
      </c>
    </row>
    <row r="14932" spans="1:7">
      <c r="A14932" s="3"/>
      <c r="B14932" s="3"/>
      <c r="C14932" s="3"/>
      <c r="D14932" s="3"/>
      <c r="E14932" s="3">
        <v>9</v>
      </c>
      <c r="F14932" s="4" t="str">
        <f>HYPERLINK("http://141.218.60.56/~jnz1568/getInfo.php?workbook=10_05.xlsx&amp;sheet=U0&amp;row=14932&amp;col=6&amp;number=3.8&amp;sourceID=14","3.8")</f>
        <v>3.8</v>
      </c>
      <c r="G14932" s="4" t="str">
        <f>HYPERLINK("http://141.218.60.56/~jnz1568/getInfo.php?workbook=10_05.xlsx&amp;sheet=U0&amp;row=14932&amp;col=7&amp;number=0.577&amp;sourceID=14","0.577")</f>
        <v>0.577</v>
      </c>
    </row>
    <row r="14933" spans="1:7">
      <c r="A14933" s="3"/>
      <c r="B14933" s="3"/>
      <c r="C14933" s="3"/>
      <c r="D14933" s="3"/>
      <c r="E14933" s="3">
        <v>10</v>
      </c>
      <c r="F14933" s="4" t="str">
        <f>HYPERLINK("http://141.218.60.56/~jnz1568/getInfo.php?workbook=10_05.xlsx&amp;sheet=U0&amp;row=14933&amp;col=6&amp;number=3.9&amp;sourceID=14","3.9")</f>
        <v>3.9</v>
      </c>
      <c r="G14933" s="4" t="str">
        <f>HYPERLINK("http://141.218.60.56/~jnz1568/getInfo.php?workbook=10_05.xlsx&amp;sheet=U0&amp;row=14933&amp;col=7&amp;number=0.551&amp;sourceID=14","0.551")</f>
        <v>0.551</v>
      </c>
    </row>
    <row r="14934" spans="1:7">
      <c r="A14934" s="3"/>
      <c r="B14934" s="3"/>
      <c r="C14934" s="3"/>
      <c r="D14934" s="3"/>
      <c r="E14934" s="3">
        <v>11</v>
      </c>
      <c r="F14934" s="4" t="str">
        <f>HYPERLINK("http://141.218.60.56/~jnz1568/getInfo.php?workbook=10_05.xlsx&amp;sheet=U0&amp;row=14934&amp;col=6&amp;number=4&amp;sourceID=14","4")</f>
        <v>4</v>
      </c>
      <c r="G14934" s="4" t="str">
        <f>HYPERLINK("http://141.218.60.56/~jnz1568/getInfo.php?workbook=10_05.xlsx&amp;sheet=U0&amp;row=14934&amp;col=7&amp;number=0.522&amp;sourceID=14","0.522")</f>
        <v>0.522</v>
      </c>
    </row>
    <row r="14935" spans="1:7">
      <c r="A14935" s="3"/>
      <c r="B14935" s="3"/>
      <c r="C14935" s="3"/>
      <c r="D14935" s="3"/>
      <c r="E14935" s="3">
        <v>12</v>
      </c>
      <c r="F14935" s="4" t="str">
        <f>HYPERLINK("http://141.218.60.56/~jnz1568/getInfo.php?workbook=10_05.xlsx&amp;sheet=U0&amp;row=14935&amp;col=6&amp;number=4.1&amp;sourceID=14","4.1")</f>
        <v>4.1</v>
      </c>
      <c r="G14935" s="4" t="str">
        <f>HYPERLINK("http://141.218.60.56/~jnz1568/getInfo.php?workbook=10_05.xlsx&amp;sheet=U0&amp;row=14935&amp;col=7&amp;number=0.49&amp;sourceID=14","0.49")</f>
        <v>0.49</v>
      </c>
    </row>
    <row r="14936" spans="1:7">
      <c r="A14936" s="3"/>
      <c r="B14936" s="3"/>
      <c r="C14936" s="3"/>
      <c r="D14936" s="3"/>
      <c r="E14936" s="3">
        <v>13</v>
      </c>
      <c r="F14936" s="4" t="str">
        <f>HYPERLINK("http://141.218.60.56/~jnz1568/getInfo.php?workbook=10_05.xlsx&amp;sheet=U0&amp;row=14936&amp;col=6&amp;number=4.2&amp;sourceID=14","4.2")</f>
        <v>4.2</v>
      </c>
      <c r="G14936" s="4" t="str">
        <f>HYPERLINK("http://141.218.60.56/~jnz1568/getInfo.php?workbook=10_05.xlsx&amp;sheet=U0&amp;row=14936&amp;col=7&amp;number=0.456&amp;sourceID=14","0.456")</f>
        <v>0.456</v>
      </c>
    </row>
    <row r="14937" spans="1:7">
      <c r="A14937" s="3"/>
      <c r="B14937" s="3"/>
      <c r="C14937" s="3"/>
      <c r="D14937" s="3"/>
      <c r="E14937" s="3">
        <v>14</v>
      </c>
      <c r="F14937" s="4" t="str">
        <f>HYPERLINK("http://141.218.60.56/~jnz1568/getInfo.php?workbook=10_05.xlsx&amp;sheet=U0&amp;row=14937&amp;col=6&amp;number=4.3&amp;sourceID=14","4.3")</f>
        <v>4.3</v>
      </c>
      <c r="G14937" s="4" t="str">
        <f>HYPERLINK("http://141.218.60.56/~jnz1568/getInfo.php?workbook=10_05.xlsx&amp;sheet=U0&amp;row=14937&amp;col=7&amp;number=0.424&amp;sourceID=14","0.424")</f>
        <v>0.424</v>
      </c>
    </row>
    <row r="14938" spans="1:7">
      <c r="A14938" s="3"/>
      <c r="B14938" s="3"/>
      <c r="C14938" s="3"/>
      <c r="D14938" s="3"/>
      <c r="E14938" s="3">
        <v>15</v>
      </c>
      <c r="F14938" s="4" t="str">
        <f>HYPERLINK("http://141.218.60.56/~jnz1568/getInfo.php?workbook=10_05.xlsx&amp;sheet=U0&amp;row=14938&amp;col=6&amp;number=4.4&amp;sourceID=14","4.4")</f>
        <v>4.4</v>
      </c>
      <c r="G14938" s="4" t="str">
        <f>HYPERLINK("http://141.218.60.56/~jnz1568/getInfo.php?workbook=10_05.xlsx&amp;sheet=U0&amp;row=14938&amp;col=7&amp;number=0.393&amp;sourceID=14","0.393")</f>
        <v>0.393</v>
      </c>
    </row>
    <row r="14939" spans="1:7">
      <c r="A14939" s="3"/>
      <c r="B14939" s="3"/>
      <c r="C14939" s="3"/>
      <c r="D14939" s="3"/>
      <c r="E14939" s="3">
        <v>16</v>
      </c>
      <c r="F14939" s="4" t="str">
        <f>HYPERLINK("http://141.218.60.56/~jnz1568/getInfo.php?workbook=10_05.xlsx&amp;sheet=U0&amp;row=14939&amp;col=6&amp;number=4.5&amp;sourceID=14","4.5")</f>
        <v>4.5</v>
      </c>
      <c r="G14939" s="4" t="str">
        <f>HYPERLINK("http://141.218.60.56/~jnz1568/getInfo.php?workbook=10_05.xlsx&amp;sheet=U0&amp;row=14939&amp;col=7&amp;number=0.364&amp;sourceID=14","0.364")</f>
        <v>0.364</v>
      </c>
    </row>
    <row r="14940" spans="1:7">
      <c r="A14940" s="3"/>
      <c r="B14940" s="3"/>
      <c r="C14940" s="3"/>
      <c r="D14940" s="3"/>
      <c r="E14940" s="3">
        <v>17</v>
      </c>
      <c r="F14940" s="4" t="str">
        <f>HYPERLINK("http://141.218.60.56/~jnz1568/getInfo.php?workbook=10_05.xlsx&amp;sheet=U0&amp;row=14940&amp;col=6&amp;number=4.6&amp;sourceID=14","4.6")</f>
        <v>4.6</v>
      </c>
      <c r="G14940" s="4" t="str">
        <f>HYPERLINK("http://141.218.60.56/~jnz1568/getInfo.php?workbook=10_05.xlsx&amp;sheet=U0&amp;row=14940&amp;col=7&amp;number=0.335&amp;sourceID=14","0.335")</f>
        <v>0.335</v>
      </c>
    </row>
    <row r="14941" spans="1:7">
      <c r="A14941" s="3"/>
      <c r="B14941" s="3"/>
      <c r="C14941" s="3"/>
      <c r="D14941" s="3"/>
      <c r="E14941" s="3">
        <v>18</v>
      </c>
      <c r="F14941" s="4" t="str">
        <f>HYPERLINK("http://141.218.60.56/~jnz1568/getInfo.php?workbook=10_05.xlsx&amp;sheet=U0&amp;row=14941&amp;col=6&amp;number=4.7&amp;sourceID=14","4.7")</f>
        <v>4.7</v>
      </c>
      <c r="G14941" s="4" t="str">
        <f>HYPERLINK("http://141.218.60.56/~jnz1568/getInfo.php?workbook=10_05.xlsx&amp;sheet=U0&amp;row=14941&amp;col=7&amp;number=0.308&amp;sourceID=14","0.308")</f>
        <v>0.308</v>
      </c>
    </row>
    <row r="14942" spans="1:7">
      <c r="A14942" s="3"/>
      <c r="B14942" s="3"/>
      <c r="C14942" s="3"/>
      <c r="D14942" s="3"/>
      <c r="E14942" s="3">
        <v>19</v>
      </c>
      <c r="F14942" s="4" t="str">
        <f>HYPERLINK("http://141.218.60.56/~jnz1568/getInfo.php?workbook=10_05.xlsx&amp;sheet=U0&amp;row=14942&amp;col=6&amp;number=4.8&amp;sourceID=14","4.8")</f>
        <v>4.8</v>
      </c>
      <c r="G14942" s="4" t="str">
        <f>HYPERLINK("http://141.218.60.56/~jnz1568/getInfo.php?workbook=10_05.xlsx&amp;sheet=U0&amp;row=14942&amp;col=7&amp;number=0.284&amp;sourceID=14","0.284")</f>
        <v>0.284</v>
      </c>
    </row>
    <row r="14943" spans="1:7">
      <c r="A14943" s="3"/>
      <c r="B14943" s="3"/>
      <c r="C14943" s="3"/>
      <c r="D14943" s="3"/>
      <c r="E14943" s="3">
        <v>20</v>
      </c>
      <c r="F14943" s="4" t="str">
        <f>HYPERLINK("http://141.218.60.56/~jnz1568/getInfo.php?workbook=10_05.xlsx&amp;sheet=U0&amp;row=14943&amp;col=6&amp;number=4.9&amp;sourceID=14","4.9")</f>
        <v>4.9</v>
      </c>
      <c r="G14943" s="4" t="str">
        <f>HYPERLINK("http://141.218.60.56/~jnz1568/getInfo.php?workbook=10_05.xlsx&amp;sheet=U0&amp;row=14943&amp;col=7&amp;number=0.263&amp;sourceID=14","0.263")</f>
        <v>0.263</v>
      </c>
    </row>
    <row r="14944" spans="1:7">
      <c r="A14944" s="3">
        <v>10</v>
      </c>
      <c r="B14944" s="3">
        <v>5</v>
      </c>
      <c r="C14944" s="3">
        <v>5</v>
      </c>
      <c r="D14944" s="3">
        <v>43</v>
      </c>
      <c r="E14944" s="3">
        <v>1</v>
      </c>
      <c r="F14944" s="4" t="str">
        <f>HYPERLINK("http://141.218.60.56/~jnz1568/getInfo.php?workbook=10_05.xlsx&amp;sheet=U0&amp;row=14944&amp;col=6&amp;number=3&amp;sourceID=14","3")</f>
        <v>3</v>
      </c>
      <c r="G14944" s="4" t="str">
        <f>HYPERLINK("http://141.218.60.56/~jnz1568/getInfo.php?workbook=10_05.xlsx&amp;sheet=U0&amp;row=14944&amp;col=7&amp;number=0.0524&amp;sourceID=14","0.0524")</f>
        <v>0.0524</v>
      </c>
    </row>
    <row r="14945" spans="1:7">
      <c r="A14945" s="3"/>
      <c r="B14945" s="3"/>
      <c r="C14945" s="3"/>
      <c r="D14945" s="3"/>
      <c r="E14945" s="3">
        <v>2</v>
      </c>
      <c r="F14945" s="4" t="str">
        <f>HYPERLINK("http://141.218.60.56/~jnz1568/getInfo.php?workbook=10_05.xlsx&amp;sheet=U0&amp;row=14945&amp;col=6&amp;number=3.1&amp;sourceID=14","3.1")</f>
        <v>3.1</v>
      </c>
      <c r="G14945" s="4" t="str">
        <f>HYPERLINK("http://141.218.60.56/~jnz1568/getInfo.php?workbook=10_05.xlsx&amp;sheet=U0&amp;row=14945&amp;col=7&amp;number=0.0522&amp;sourceID=14","0.0522")</f>
        <v>0.0522</v>
      </c>
    </row>
    <row r="14946" spans="1:7">
      <c r="A14946" s="3"/>
      <c r="B14946" s="3"/>
      <c r="C14946" s="3"/>
      <c r="D14946" s="3"/>
      <c r="E14946" s="3">
        <v>3</v>
      </c>
      <c r="F14946" s="4" t="str">
        <f>HYPERLINK("http://141.218.60.56/~jnz1568/getInfo.php?workbook=10_05.xlsx&amp;sheet=U0&amp;row=14946&amp;col=6&amp;number=3.2&amp;sourceID=14","3.2")</f>
        <v>3.2</v>
      </c>
      <c r="G14946" s="4" t="str">
        <f>HYPERLINK("http://141.218.60.56/~jnz1568/getInfo.php?workbook=10_05.xlsx&amp;sheet=U0&amp;row=14946&amp;col=7&amp;number=0.052&amp;sourceID=14","0.052")</f>
        <v>0.052</v>
      </c>
    </row>
    <row r="14947" spans="1:7">
      <c r="A14947" s="3"/>
      <c r="B14947" s="3"/>
      <c r="C14947" s="3"/>
      <c r="D14947" s="3"/>
      <c r="E14947" s="3">
        <v>4</v>
      </c>
      <c r="F14947" s="4" t="str">
        <f>HYPERLINK("http://141.218.60.56/~jnz1568/getInfo.php?workbook=10_05.xlsx&amp;sheet=U0&amp;row=14947&amp;col=6&amp;number=3.3&amp;sourceID=14","3.3")</f>
        <v>3.3</v>
      </c>
      <c r="G14947" s="4" t="str">
        <f>HYPERLINK("http://141.218.60.56/~jnz1568/getInfo.php?workbook=10_05.xlsx&amp;sheet=U0&amp;row=14947&amp;col=7&amp;number=0.0517&amp;sourceID=14","0.0517")</f>
        <v>0.0517</v>
      </c>
    </row>
    <row r="14948" spans="1:7">
      <c r="A14948" s="3"/>
      <c r="B14948" s="3"/>
      <c r="C14948" s="3"/>
      <c r="D14948" s="3"/>
      <c r="E14948" s="3">
        <v>5</v>
      </c>
      <c r="F14948" s="4" t="str">
        <f>HYPERLINK("http://141.218.60.56/~jnz1568/getInfo.php?workbook=10_05.xlsx&amp;sheet=U0&amp;row=14948&amp;col=6&amp;number=3.4&amp;sourceID=14","3.4")</f>
        <v>3.4</v>
      </c>
      <c r="G14948" s="4" t="str">
        <f>HYPERLINK("http://141.218.60.56/~jnz1568/getInfo.php?workbook=10_05.xlsx&amp;sheet=U0&amp;row=14948&amp;col=7&amp;number=0.0514&amp;sourceID=14","0.0514")</f>
        <v>0.0514</v>
      </c>
    </row>
    <row r="14949" spans="1:7">
      <c r="A14949" s="3"/>
      <c r="B14949" s="3"/>
      <c r="C14949" s="3"/>
      <c r="D14949" s="3"/>
      <c r="E14949" s="3">
        <v>6</v>
      </c>
      <c r="F14949" s="4" t="str">
        <f>HYPERLINK("http://141.218.60.56/~jnz1568/getInfo.php?workbook=10_05.xlsx&amp;sheet=U0&amp;row=14949&amp;col=6&amp;number=3.5&amp;sourceID=14","3.5")</f>
        <v>3.5</v>
      </c>
      <c r="G14949" s="4" t="str">
        <f>HYPERLINK("http://141.218.60.56/~jnz1568/getInfo.php?workbook=10_05.xlsx&amp;sheet=U0&amp;row=14949&amp;col=7&amp;number=0.051&amp;sourceID=14","0.051")</f>
        <v>0.051</v>
      </c>
    </row>
    <row r="14950" spans="1:7">
      <c r="A14950" s="3"/>
      <c r="B14950" s="3"/>
      <c r="C14950" s="3"/>
      <c r="D14950" s="3"/>
      <c r="E14950" s="3">
        <v>7</v>
      </c>
      <c r="F14950" s="4" t="str">
        <f>HYPERLINK("http://141.218.60.56/~jnz1568/getInfo.php?workbook=10_05.xlsx&amp;sheet=U0&amp;row=14950&amp;col=6&amp;number=3.6&amp;sourceID=14","3.6")</f>
        <v>3.6</v>
      </c>
      <c r="G14950" s="4" t="str">
        <f>HYPERLINK("http://141.218.60.56/~jnz1568/getInfo.php?workbook=10_05.xlsx&amp;sheet=U0&amp;row=14950&amp;col=7&amp;number=0.0505&amp;sourceID=14","0.0505")</f>
        <v>0.0505</v>
      </c>
    </row>
    <row r="14951" spans="1:7">
      <c r="A14951" s="3"/>
      <c r="B14951" s="3"/>
      <c r="C14951" s="3"/>
      <c r="D14951" s="3"/>
      <c r="E14951" s="3">
        <v>8</v>
      </c>
      <c r="F14951" s="4" t="str">
        <f>HYPERLINK("http://141.218.60.56/~jnz1568/getInfo.php?workbook=10_05.xlsx&amp;sheet=U0&amp;row=14951&amp;col=6&amp;number=3.7&amp;sourceID=14","3.7")</f>
        <v>3.7</v>
      </c>
      <c r="G14951" s="4" t="str">
        <f>HYPERLINK("http://141.218.60.56/~jnz1568/getInfo.php?workbook=10_05.xlsx&amp;sheet=U0&amp;row=14951&amp;col=7&amp;number=0.0499&amp;sourceID=14","0.0499")</f>
        <v>0.0499</v>
      </c>
    </row>
    <row r="14952" spans="1:7">
      <c r="A14952" s="3"/>
      <c r="B14952" s="3"/>
      <c r="C14952" s="3"/>
      <c r="D14952" s="3"/>
      <c r="E14952" s="3">
        <v>9</v>
      </c>
      <c r="F14952" s="4" t="str">
        <f>HYPERLINK("http://141.218.60.56/~jnz1568/getInfo.php?workbook=10_05.xlsx&amp;sheet=U0&amp;row=14952&amp;col=6&amp;number=3.8&amp;sourceID=14","3.8")</f>
        <v>3.8</v>
      </c>
      <c r="G14952" s="4" t="str">
        <f>HYPERLINK("http://141.218.60.56/~jnz1568/getInfo.php?workbook=10_05.xlsx&amp;sheet=U0&amp;row=14952&amp;col=7&amp;number=0.0491&amp;sourceID=14","0.0491")</f>
        <v>0.0491</v>
      </c>
    </row>
    <row r="14953" spans="1:7">
      <c r="A14953" s="3"/>
      <c r="B14953" s="3"/>
      <c r="C14953" s="3"/>
      <c r="D14953" s="3"/>
      <c r="E14953" s="3">
        <v>10</v>
      </c>
      <c r="F14953" s="4" t="str">
        <f>HYPERLINK("http://141.218.60.56/~jnz1568/getInfo.php?workbook=10_05.xlsx&amp;sheet=U0&amp;row=14953&amp;col=6&amp;number=3.9&amp;sourceID=14","3.9")</f>
        <v>3.9</v>
      </c>
      <c r="G14953" s="4" t="str">
        <f>HYPERLINK("http://141.218.60.56/~jnz1568/getInfo.php?workbook=10_05.xlsx&amp;sheet=U0&amp;row=14953&amp;col=7&amp;number=0.0481&amp;sourceID=14","0.0481")</f>
        <v>0.0481</v>
      </c>
    </row>
    <row r="14954" spans="1:7">
      <c r="A14954" s="3"/>
      <c r="B14954" s="3"/>
      <c r="C14954" s="3"/>
      <c r="D14954" s="3"/>
      <c r="E14954" s="3">
        <v>11</v>
      </c>
      <c r="F14954" s="4" t="str">
        <f>HYPERLINK("http://141.218.60.56/~jnz1568/getInfo.php?workbook=10_05.xlsx&amp;sheet=U0&amp;row=14954&amp;col=6&amp;number=4&amp;sourceID=14","4")</f>
        <v>4</v>
      </c>
      <c r="G14954" s="4" t="str">
        <f>HYPERLINK("http://141.218.60.56/~jnz1568/getInfo.php?workbook=10_05.xlsx&amp;sheet=U0&amp;row=14954&amp;col=7&amp;number=0.047&amp;sourceID=14","0.047")</f>
        <v>0.047</v>
      </c>
    </row>
    <row r="14955" spans="1:7">
      <c r="A14955" s="3"/>
      <c r="B14955" s="3"/>
      <c r="C14955" s="3"/>
      <c r="D14955" s="3"/>
      <c r="E14955" s="3">
        <v>12</v>
      </c>
      <c r="F14955" s="4" t="str">
        <f>HYPERLINK("http://141.218.60.56/~jnz1568/getInfo.php?workbook=10_05.xlsx&amp;sheet=U0&amp;row=14955&amp;col=6&amp;number=4.1&amp;sourceID=14","4.1")</f>
        <v>4.1</v>
      </c>
      <c r="G14955" s="4" t="str">
        <f>HYPERLINK("http://141.218.60.56/~jnz1568/getInfo.php?workbook=10_05.xlsx&amp;sheet=U0&amp;row=14955&amp;col=7&amp;number=0.0456&amp;sourceID=14","0.0456")</f>
        <v>0.0456</v>
      </c>
    </row>
    <row r="14956" spans="1:7">
      <c r="A14956" s="3"/>
      <c r="B14956" s="3"/>
      <c r="C14956" s="3"/>
      <c r="D14956" s="3"/>
      <c r="E14956" s="3">
        <v>13</v>
      </c>
      <c r="F14956" s="4" t="str">
        <f>HYPERLINK("http://141.218.60.56/~jnz1568/getInfo.php?workbook=10_05.xlsx&amp;sheet=U0&amp;row=14956&amp;col=6&amp;number=4.2&amp;sourceID=14","4.2")</f>
        <v>4.2</v>
      </c>
      <c r="G14956" s="4" t="str">
        <f>HYPERLINK("http://141.218.60.56/~jnz1568/getInfo.php?workbook=10_05.xlsx&amp;sheet=U0&amp;row=14956&amp;col=7&amp;number=0.0439&amp;sourceID=14","0.0439")</f>
        <v>0.0439</v>
      </c>
    </row>
    <row r="14957" spans="1:7">
      <c r="A14957" s="3"/>
      <c r="B14957" s="3"/>
      <c r="C14957" s="3"/>
      <c r="D14957" s="3"/>
      <c r="E14957" s="3">
        <v>14</v>
      </c>
      <c r="F14957" s="4" t="str">
        <f>HYPERLINK("http://141.218.60.56/~jnz1568/getInfo.php?workbook=10_05.xlsx&amp;sheet=U0&amp;row=14957&amp;col=6&amp;number=4.3&amp;sourceID=14","4.3")</f>
        <v>4.3</v>
      </c>
      <c r="G14957" s="4" t="str">
        <f>HYPERLINK("http://141.218.60.56/~jnz1568/getInfo.php?workbook=10_05.xlsx&amp;sheet=U0&amp;row=14957&amp;col=7&amp;number=0.0419&amp;sourceID=14","0.0419")</f>
        <v>0.0419</v>
      </c>
    </row>
    <row r="14958" spans="1:7">
      <c r="A14958" s="3"/>
      <c r="B14958" s="3"/>
      <c r="C14958" s="3"/>
      <c r="D14958" s="3"/>
      <c r="E14958" s="3">
        <v>15</v>
      </c>
      <c r="F14958" s="4" t="str">
        <f>HYPERLINK("http://141.218.60.56/~jnz1568/getInfo.php?workbook=10_05.xlsx&amp;sheet=U0&amp;row=14958&amp;col=6&amp;number=4.4&amp;sourceID=14","4.4")</f>
        <v>4.4</v>
      </c>
      <c r="G14958" s="4" t="str">
        <f>HYPERLINK("http://141.218.60.56/~jnz1568/getInfo.php?workbook=10_05.xlsx&amp;sheet=U0&amp;row=14958&amp;col=7&amp;number=0.0397&amp;sourceID=14","0.0397")</f>
        <v>0.0397</v>
      </c>
    </row>
    <row r="14959" spans="1:7">
      <c r="A14959" s="3"/>
      <c r="B14959" s="3"/>
      <c r="C14959" s="3"/>
      <c r="D14959" s="3"/>
      <c r="E14959" s="3">
        <v>16</v>
      </c>
      <c r="F14959" s="4" t="str">
        <f>HYPERLINK("http://141.218.60.56/~jnz1568/getInfo.php?workbook=10_05.xlsx&amp;sheet=U0&amp;row=14959&amp;col=6&amp;number=4.5&amp;sourceID=14","4.5")</f>
        <v>4.5</v>
      </c>
      <c r="G14959" s="4" t="str">
        <f>HYPERLINK("http://141.218.60.56/~jnz1568/getInfo.php?workbook=10_05.xlsx&amp;sheet=U0&amp;row=14959&amp;col=7&amp;number=0.0373&amp;sourceID=14","0.0373")</f>
        <v>0.0373</v>
      </c>
    </row>
    <row r="14960" spans="1:7">
      <c r="A14960" s="3"/>
      <c r="B14960" s="3"/>
      <c r="C14960" s="3"/>
      <c r="D14960" s="3"/>
      <c r="E14960" s="3">
        <v>17</v>
      </c>
      <c r="F14960" s="4" t="str">
        <f>HYPERLINK("http://141.218.60.56/~jnz1568/getInfo.php?workbook=10_05.xlsx&amp;sheet=U0&amp;row=14960&amp;col=6&amp;number=4.6&amp;sourceID=14","4.6")</f>
        <v>4.6</v>
      </c>
      <c r="G14960" s="4" t="str">
        <f>HYPERLINK("http://141.218.60.56/~jnz1568/getInfo.php?workbook=10_05.xlsx&amp;sheet=U0&amp;row=14960&amp;col=7&amp;number=0.035&amp;sourceID=14","0.035")</f>
        <v>0.035</v>
      </c>
    </row>
    <row r="14961" spans="1:7">
      <c r="A14961" s="3"/>
      <c r="B14961" s="3"/>
      <c r="C14961" s="3"/>
      <c r="D14961" s="3"/>
      <c r="E14961" s="3">
        <v>18</v>
      </c>
      <c r="F14961" s="4" t="str">
        <f>HYPERLINK("http://141.218.60.56/~jnz1568/getInfo.php?workbook=10_05.xlsx&amp;sheet=U0&amp;row=14961&amp;col=6&amp;number=4.7&amp;sourceID=14","4.7")</f>
        <v>4.7</v>
      </c>
      <c r="G14961" s="4" t="str">
        <f>HYPERLINK("http://141.218.60.56/~jnz1568/getInfo.php?workbook=10_05.xlsx&amp;sheet=U0&amp;row=14961&amp;col=7&amp;number=0.0331&amp;sourceID=14","0.0331")</f>
        <v>0.0331</v>
      </c>
    </row>
    <row r="14962" spans="1:7">
      <c r="A14962" s="3"/>
      <c r="B14962" s="3"/>
      <c r="C14962" s="3"/>
      <c r="D14962" s="3"/>
      <c r="E14962" s="3">
        <v>19</v>
      </c>
      <c r="F14962" s="4" t="str">
        <f>HYPERLINK("http://141.218.60.56/~jnz1568/getInfo.php?workbook=10_05.xlsx&amp;sheet=U0&amp;row=14962&amp;col=6&amp;number=4.8&amp;sourceID=14","4.8")</f>
        <v>4.8</v>
      </c>
      <c r="G14962" s="4" t="str">
        <f>HYPERLINK("http://141.218.60.56/~jnz1568/getInfo.php?workbook=10_05.xlsx&amp;sheet=U0&amp;row=14962&amp;col=7&amp;number=0.0315&amp;sourceID=14","0.0315")</f>
        <v>0.0315</v>
      </c>
    </row>
    <row r="14963" spans="1:7">
      <c r="A14963" s="3"/>
      <c r="B14963" s="3"/>
      <c r="C14963" s="3"/>
      <c r="D14963" s="3"/>
      <c r="E14963" s="3">
        <v>20</v>
      </c>
      <c r="F14963" s="4" t="str">
        <f>HYPERLINK("http://141.218.60.56/~jnz1568/getInfo.php?workbook=10_05.xlsx&amp;sheet=U0&amp;row=14963&amp;col=6&amp;number=4.9&amp;sourceID=14","4.9")</f>
        <v>4.9</v>
      </c>
      <c r="G14963" s="4" t="str">
        <f>HYPERLINK("http://141.218.60.56/~jnz1568/getInfo.php?workbook=10_05.xlsx&amp;sheet=U0&amp;row=14963&amp;col=7&amp;number=0.0301&amp;sourceID=14","0.0301")</f>
        <v>0.0301</v>
      </c>
    </row>
    <row r="14964" spans="1:7">
      <c r="A14964" s="3">
        <v>10</v>
      </c>
      <c r="B14964" s="3">
        <v>5</v>
      </c>
      <c r="C14964" s="3">
        <v>5</v>
      </c>
      <c r="D14964" s="3">
        <v>44</v>
      </c>
      <c r="E14964" s="3">
        <v>1</v>
      </c>
      <c r="F14964" s="4" t="str">
        <f>HYPERLINK("http://141.218.60.56/~jnz1568/getInfo.php?workbook=10_05.xlsx&amp;sheet=U0&amp;row=14964&amp;col=6&amp;number=3&amp;sourceID=14","3")</f>
        <v>3</v>
      </c>
      <c r="G14964" s="4" t="str">
        <f>HYPERLINK("http://141.218.60.56/~jnz1568/getInfo.php?workbook=10_05.xlsx&amp;sheet=U0&amp;row=14964&amp;col=7&amp;number=0.119&amp;sourceID=14","0.119")</f>
        <v>0.119</v>
      </c>
    </row>
    <row r="14965" spans="1:7">
      <c r="A14965" s="3"/>
      <c r="B14965" s="3"/>
      <c r="C14965" s="3"/>
      <c r="D14965" s="3"/>
      <c r="E14965" s="3">
        <v>2</v>
      </c>
      <c r="F14965" s="4" t="str">
        <f>HYPERLINK("http://141.218.60.56/~jnz1568/getInfo.php?workbook=10_05.xlsx&amp;sheet=U0&amp;row=14965&amp;col=6&amp;number=3.1&amp;sourceID=14","3.1")</f>
        <v>3.1</v>
      </c>
      <c r="G14965" s="4" t="str">
        <f>HYPERLINK("http://141.218.60.56/~jnz1568/getInfo.php?workbook=10_05.xlsx&amp;sheet=U0&amp;row=14965&amp;col=7&amp;number=0.118&amp;sourceID=14","0.118")</f>
        <v>0.118</v>
      </c>
    </row>
    <row r="14966" spans="1:7">
      <c r="A14966" s="3"/>
      <c r="B14966" s="3"/>
      <c r="C14966" s="3"/>
      <c r="D14966" s="3"/>
      <c r="E14966" s="3">
        <v>3</v>
      </c>
      <c r="F14966" s="4" t="str">
        <f>HYPERLINK("http://141.218.60.56/~jnz1568/getInfo.php?workbook=10_05.xlsx&amp;sheet=U0&amp;row=14966&amp;col=6&amp;number=3.2&amp;sourceID=14","3.2")</f>
        <v>3.2</v>
      </c>
      <c r="G14966" s="4" t="str">
        <f>HYPERLINK("http://141.218.60.56/~jnz1568/getInfo.php?workbook=10_05.xlsx&amp;sheet=U0&amp;row=14966&amp;col=7&amp;number=0.118&amp;sourceID=14","0.118")</f>
        <v>0.118</v>
      </c>
    </row>
    <row r="14967" spans="1:7">
      <c r="A14967" s="3"/>
      <c r="B14967" s="3"/>
      <c r="C14967" s="3"/>
      <c r="D14967" s="3"/>
      <c r="E14967" s="3">
        <v>4</v>
      </c>
      <c r="F14967" s="4" t="str">
        <f>HYPERLINK("http://141.218.60.56/~jnz1568/getInfo.php?workbook=10_05.xlsx&amp;sheet=U0&amp;row=14967&amp;col=6&amp;number=3.3&amp;sourceID=14","3.3")</f>
        <v>3.3</v>
      </c>
      <c r="G14967" s="4" t="str">
        <f>HYPERLINK("http://141.218.60.56/~jnz1568/getInfo.php?workbook=10_05.xlsx&amp;sheet=U0&amp;row=14967&amp;col=7&amp;number=0.118&amp;sourceID=14","0.118")</f>
        <v>0.118</v>
      </c>
    </row>
    <row r="14968" spans="1:7">
      <c r="A14968" s="3"/>
      <c r="B14968" s="3"/>
      <c r="C14968" s="3"/>
      <c r="D14968" s="3"/>
      <c r="E14968" s="3">
        <v>5</v>
      </c>
      <c r="F14968" s="4" t="str">
        <f>HYPERLINK("http://141.218.60.56/~jnz1568/getInfo.php?workbook=10_05.xlsx&amp;sheet=U0&amp;row=14968&amp;col=6&amp;number=3.4&amp;sourceID=14","3.4")</f>
        <v>3.4</v>
      </c>
      <c r="G14968" s="4" t="str">
        <f>HYPERLINK("http://141.218.60.56/~jnz1568/getInfo.php?workbook=10_05.xlsx&amp;sheet=U0&amp;row=14968&amp;col=7&amp;number=0.117&amp;sourceID=14","0.117")</f>
        <v>0.117</v>
      </c>
    </row>
    <row r="14969" spans="1:7">
      <c r="A14969" s="3"/>
      <c r="B14969" s="3"/>
      <c r="C14969" s="3"/>
      <c r="D14969" s="3"/>
      <c r="E14969" s="3">
        <v>6</v>
      </c>
      <c r="F14969" s="4" t="str">
        <f>HYPERLINK("http://141.218.60.56/~jnz1568/getInfo.php?workbook=10_05.xlsx&amp;sheet=U0&amp;row=14969&amp;col=6&amp;number=3.5&amp;sourceID=14","3.5")</f>
        <v>3.5</v>
      </c>
      <c r="G14969" s="4" t="str">
        <f>HYPERLINK("http://141.218.60.56/~jnz1568/getInfo.php?workbook=10_05.xlsx&amp;sheet=U0&amp;row=14969&amp;col=7&amp;number=0.117&amp;sourceID=14","0.117")</f>
        <v>0.117</v>
      </c>
    </row>
    <row r="14970" spans="1:7">
      <c r="A14970" s="3"/>
      <c r="B14970" s="3"/>
      <c r="C14970" s="3"/>
      <c r="D14970" s="3"/>
      <c r="E14970" s="3">
        <v>7</v>
      </c>
      <c r="F14970" s="4" t="str">
        <f>HYPERLINK("http://141.218.60.56/~jnz1568/getInfo.php?workbook=10_05.xlsx&amp;sheet=U0&amp;row=14970&amp;col=6&amp;number=3.6&amp;sourceID=14","3.6")</f>
        <v>3.6</v>
      </c>
      <c r="G14970" s="4" t="str">
        <f>HYPERLINK("http://141.218.60.56/~jnz1568/getInfo.php?workbook=10_05.xlsx&amp;sheet=U0&amp;row=14970&amp;col=7&amp;number=0.116&amp;sourceID=14","0.116")</f>
        <v>0.116</v>
      </c>
    </row>
    <row r="14971" spans="1:7">
      <c r="A14971" s="3"/>
      <c r="B14971" s="3"/>
      <c r="C14971" s="3"/>
      <c r="D14971" s="3"/>
      <c r="E14971" s="3">
        <v>8</v>
      </c>
      <c r="F14971" s="4" t="str">
        <f>HYPERLINK("http://141.218.60.56/~jnz1568/getInfo.php?workbook=10_05.xlsx&amp;sheet=U0&amp;row=14971&amp;col=6&amp;number=3.7&amp;sourceID=14","3.7")</f>
        <v>3.7</v>
      </c>
      <c r="G14971" s="4" t="str">
        <f>HYPERLINK("http://141.218.60.56/~jnz1568/getInfo.php?workbook=10_05.xlsx&amp;sheet=U0&amp;row=14971&amp;col=7&amp;number=0.115&amp;sourceID=14","0.115")</f>
        <v>0.115</v>
      </c>
    </row>
    <row r="14972" spans="1:7">
      <c r="A14972" s="3"/>
      <c r="B14972" s="3"/>
      <c r="C14972" s="3"/>
      <c r="D14972" s="3"/>
      <c r="E14972" s="3">
        <v>9</v>
      </c>
      <c r="F14972" s="4" t="str">
        <f>HYPERLINK("http://141.218.60.56/~jnz1568/getInfo.php?workbook=10_05.xlsx&amp;sheet=U0&amp;row=14972&amp;col=6&amp;number=3.8&amp;sourceID=14","3.8")</f>
        <v>3.8</v>
      </c>
      <c r="G14972" s="4" t="str">
        <f>HYPERLINK("http://141.218.60.56/~jnz1568/getInfo.php?workbook=10_05.xlsx&amp;sheet=U0&amp;row=14972&amp;col=7&amp;number=0.114&amp;sourceID=14","0.114")</f>
        <v>0.114</v>
      </c>
    </row>
    <row r="14973" spans="1:7">
      <c r="A14973" s="3"/>
      <c r="B14973" s="3"/>
      <c r="C14973" s="3"/>
      <c r="D14973" s="3"/>
      <c r="E14973" s="3">
        <v>10</v>
      </c>
      <c r="F14973" s="4" t="str">
        <f>HYPERLINK("http://141.218.60.56/~jnz1568/getInfo.php?workbook=10_05.xlsx&amp;sheet=U0&amp;row=14973&amp;col=6&amp;number=3.9&amp;sourceID=14","3.9")</f>
        <v>3.9</v>
      </c>
      <c r="G14973" s="4" t="str">
        <f>HYPERLINK("http://141.218.60.56/~jnz1568/getInfo.php?workbook=10_05.xlsx&amp;sheet=U0&amp;row=14973&amp;col=7&amp;number=0.112&amp;sourceID=14","0.112")</f>
        <v>0.112</v>
      </c>
    </row>
    <row r="14974" spans="1:7">
      <c r="A14974" s="3"/>
      <c r="B14974" s="3"/>
      <c r="C14974" s="3"/>
      <c r="D14974" s="3"/>
      <c r="E14974" s="3">
        <v>11</v>
      </c>
      <c r="F14974" s="4" t="str">
        <f>HYPERLINK("http://141.218.60.56/~jnz1568/getInfo.php?workbook=10_05.xlsx&amp;sheet=U0&amp;row=14974&amp;col=6&amp;number=4&amp;sourceID=14","4")</f>
        <v>4</v>
      </c>
      <c r="G14974" s="4" t="str">
        <f>HYPERLINK("http://141.218.60.56/~jnz1568/getInfo.php?workbook=10_05.xlsx&amp;sheet=U0&amp;row=14974&amp;col=7&amp;number=0.111&amp;sourceID=14","0.111")</f>
        <v>0.111</v>
      </c>
    </row>
    <row r="14975" spans="1:7">
      <c r="A14975" s="3"/>
      <c r="B14975" s="3"/>
      <c r="C14975" s="3"/>
      <c r="D14975" s="3"/>
      <c r="E14975" s="3">
        <v>12</v>
      </c>
      <c r="F14975" s="4" t="str">
        <f>HYPERLINK("http://141.218.60.56/~jnz1568/getInfo.php?workbook=10_05.xlsx&amp;sheet=U0&amp;row=14975&amp;col=6&amp;number=4.1&amp;sourceID=14","4.1")</f>
        <v>4.1</v>
      </c>
      <c r="G14975" s="4" t="str">
        <f>HYPERLINK("http://141.218.60.56/~jnz1568/getInfo.php?workbook=10_05.xlsx&amp;sheet=U0&amp;row=14975&amp;col=7&amp;number=0.108&amp;sourceID=14","0.108")</f>
        <v>0.108</v>
      </c>
    </row>
    <row r="14976" spans="1:7">
      <c r="A14976" s="3"/>
      <c r="B14976" s="3"/>
      <c r="C14976" s="3"/>
      <c r="D14976" s="3"/>
      <c r="E14976" s="3">
        <v>13</v>
      </c>
      <c r="F14976" s="4" t="str">
        <f>HYPERLINK("http://141.218.60.56/~jnz1568/getInfo.php?workbook=10_05.xlsx&amp;sheet=U0&amp;row=14976&amp;col=6&amp;number=4.2&amp;sourceID=14","4.2")</f>
        <v>4.2</v>
      </c>
      <c r="G14976" s="4" t="str">
        <f>HYPERLINK("http://141.218.60.56/~jnz1568/getInfo.php?workbook=10_05.xlsx&amp;sheet=U0&amp;row=14976&amp;col=7&amp;number=0.106&amp;sourceID=14","0.106")</f>
        <v>0.106</v>
      </c>
    </row>
    <row r="14977" spans="1:7">
      <c r="A14977" s="3"/>
      <c r="B14977" s="3"/>
      <c r="C14977" s="3"/>
      <c r="D14977" s="3"/>
      <c r="E14977" s="3">
        <v>14</v>
      </c>
      <c r="F14977" s="4" t="str">
        <f>HYPERLINK("http://141.218.60.56/~jnz1568/getInfo.php?workbook=10_05.xlsx&amp;sheet=U0&amp;row=14977&amp;col=6&amp;number=4.3&amp;sourceID=14","4.3")</f>
        <v>4.3</v>
      </c>
      <c r="G14977" s="4" t="str">
        <f>HYPERLINK("http://141.218.60.56/~jnz1568/getInfo.php?workbook=10_05.xlsx&amp;sheet=U0&amp;row=14977&amp;col=7&amp;number=0.102&amp;sourceID=14","0.102")</f>
        <v>0.102</v>
      </c>
    </row>
    <row r="14978" spans="1:7">
      <c r="A14978" s="3"/>
      <c r="B14978" s="3"/>
      <c r="C14978" s="3"/>
      <c r="D14978" s="3"/>
      <c r="E14978" s="3">
        <v>15</v>
      </c>
      <c r="F14978" s="4" t="str">
        <f>HYPERLINK("http://141.218.60.56/~jnz1568/getInfo.php?workbook=10_05.xlsx&amp;sheet=U0&amp;row=14978&amp;col=6&amp;number=4.4&amp;sourceID=14","4.4")</f>
        <v>4.4</v>
      </c>
      <c r="G14978" s="4" t="str">
        <f>HYPERLINK("http://141.218.60.56/~jnz1568/getInfo.php?workbook=10_05.xlsx&amp;sheet=U0&amp;row=14978&amp;col=7&amp;number=0.0981&amp;sourceID=14","0.0981")</f>
        <v>0.0981</v>
      </c>
    </row>
    <row r="14979" spans="1:7">
      <c r="A14979" s="3"/>
      <c r="B14979" s="3"/>
      <c r="C14979" s="3"/>
      <c r="D14979" s="3"/>
      <c r="E14979" s="3">
        <v>16</v>
      </c>
      <c r="F14979" s="4" t="str">
        <f>HYPERLINK("http://141.218.60.56/~jnz1568/getInfo.php?workbook=10_05.xlsx&amp;sheet=U0&amp;row=14979&amp;col=6&amp;number=4.5&amp;sourceID=14","4.5")</f>
        <v>4.5</v>
      </c>
      <c r="G14979" s="4" t="str">
        <f>HYPERLINK("http://141.218.60.56/~jnz1568/getInfo.php?workbook=10_05.xlsx&amp;sheet=U0&amp;row=14979&amp;col=7&amp;number=0.0933&amp;sourceID=14","0.0933")</f>
        <v>0.0933</v>
      </c>
    </row>
    <row r="14980" spans="1:7">
      <c r="A14980" s="3"/>
      <c r="B14980" s="3"/>
      <c r="C14980" s="3"/>
      <c r="D14980" s="3"/>
      <c r="E14980" s="3">
        <v>17</v>
      </c>
      <c r="F14980" s="4" t="str">
        <f>HYPERLINK("http://141.218.60.56/~jnz1568/getInfo.php?workbook=10_05.xlsx&amp;sheet=U0&amp;row=14980&amp;col=6&amp;number=4.6&amp;sourceID=14","4.6")</f>
        <v>4.6</v>
      </c>
      <c r="G14980" s="4" t="str">
        <f>HYPERLINK("http://141.218.60.56/~jnz1568/getInfo.php?workbook=10_05.xlsx&amp;sheet=U0&amp;row=14980&amp;col=7&amp;number=0.0885&amp;sourceID=14","0.0885")</f>
        <v>0.0885</v>
      </c>
    </row>
    <row r="14981" spans="1:7">
      <c r="A14981" s="3"/>
      <c r="B14981" s="3"/>
      <c r="C14981" s="3"/>
      <c r="D14981" s="3"/>
      <c r="E14981" s="3">
        <v>18</v>
      </c>
      <c r="F14981" s="4" t="str">
        <f>HYPERLINK("http://141.218.60.56/~jnz1568/getInfo.php?workbook=10_05.xlsx&amp;sheet=U0&amp;row=14981&amp;col=6&amp;number=4.7&amp;sourceID=14","4.7")</f>
        <v>4.7</v>
      </c>
      <c r="G14981" s="4" t="str">
        <f>HYPERLINK("http://141.218.60.56/~jnz1568/getInfo.php?workbook=10_05.xlsx&amp;sheet=U0&amp;row=14981&amp;col=7&amp;number=0.0845&amp;sourceID=14","0.0845")</f>
        <v>0.0845</v>
      </c>
    </row>
    <row r="14982" spans="1:7">
      <c r="A14982" s="3"/>
      <c r="B14982" s="3"/>
      <c r="C14982" s="3"/>
      <c r="D14982" s="3"/>
      <c r="E14982" s="3">
        <v>19</v>
      </c>
      <c r="F14982" s="4" t="str">
        <f>HYPERLINK("http://141.218.60.56/~jnz1568/getInfo.php?workbook=10_05.xlsx&amp;sheet=U0&amp;row=14982&amp;col=6&amp;number=4.8&amp;sourceID=14","4.8")</f>
        <v>4.8</v>
      </c>
      <c r="G14982" s="4" t="str">
        <f>HYPERLINK("http://141.218.60.56/~jnz1568/getInfo.php?workbook=10_05.xlsx&amp;sheet=U0&amp;row=14982&amp;col=7&amp;number=0.0816&amp;sourceID=14","0.0816")</f>
        <v>0.0816</v>
      </c>
    </row>
    <row r="14983" spans="1:7">
      <c r="A14983" s="3"/>
      <c r="B14983" s="3"/>
      <c r="C14983" s="3"/>
      <c r="D14983" s="3"/>
      <c r="E14983" s="3">
        <v>20</v>
      </c>
      <c r="F14983" s="4" t="str">
        <f>HYPERLINK("http://141.218.60.56/~jnz1568/getInfo.php?workbook=10_05.xlsx&amp;sheet=U0&amp;row=14983&amp;col=6&amp;number=4.9&amp;sourceID=14","4.9")</f>
        <v>4.9</v>
      </c>
      <c r="G14983" s="4" t="str">
        <f>HYPERLINK("http://141.218.60.56/~jnz1568/getInfo.php?workbook=10_05.xlsx&amp;sheet=U0&amp;row=14983&amp;col=7&amp;number=0.0792&amp;sourceID=14","0.0792")</f>
        <v>0.0792</v>
      </c>
    </row>
    <row r="14984" spans="1:7">
      <c r="A14984" s="3">
        <v>10</v>
      </c>
      <c r="B14984" s="3">
        <v>5</v>
      </c>
      <c r="C14984" s="3">
        <v>5</v>
      </c>
      <c r="D14984" s="3">
        <v>45</v>
      </c>
      <c r="E14984" s="3">
        <v>1</v>
      </c>
      <c r="F14984" s="4" t="str">
        <f>HYPERLINK("http://141.218.60.56/~jnz1568/getInfo.php?workbook=10_05.xlsx&amp;sheet=U0&amp;row=14984&amp;col=6&amp;number=3&amp;sourceID=14","3")</f>
        <v>3</v>
      </c>
      <c r="G14984" s="4" t="str">
        <f>HYPERLINK("http://141.218.60.56/~jnz1568/getInfo.php?workbook=10_05.xlsx&amp;sheet=U0&amp;row=14984&amp;col=7&amp;number=0.307&amp;sourceID=14","0.307")</f>
        <v>0.307</v>
      </c>
    </row>
    <row r="14985" spans="1:7">
      <c r="A14985" s="3"/>
      <c r="B14985" s="3"/>
      <c r="C14985" s="3"/>
      <c r="D14985" s="3"/>
      <c r="E14985" s="3">
        <v>2</v>
      </c>
      <c r="F14985" s="4" t="str">
        <f>HYPERLINK("http://141.218.60.56/~jnz1568/getInfo.php?workbook=10_05.xlsx&amp;sheet=U0&amp;row=14985&amp;col=6&amp;number=3.1&amp;sourceID=14","3.1")</f>
        <v>3.1</v>
      </c>
      <c r="G14985" s="4" t="str">
        <f>HYPERLINK("http://141.218.60.56/~jnz1568/getInfo.php?workbook=10_05.xlsx&amp;sheet=U0&amp;row=14985&amp;col=7&amp;number=0.306&amp;sourceID=14","0.306")</f>
        <v>0.306</v>
      </c>
    </row>
    <row r="14986" spans="1:7">
      <c r="A14986" s="3"/>
      <c r="B14986" s="3"/>
      <c r="C14986" s="3"/>
      <c r="D14986" s="3"/>
      <c r="E14986" s="3">
        <v>3</v>
      </c>
      <c r="F14986" s="4" t="str">
        <f>HYPERLINK("http://141.218.60.56/~jnz1568/getInfo.php?workbook=10_05.xlsx&amp;sheet=U0&amp;row=14986&amp;col=6&amp;number=3.2&amp;sourceID=14","3.2")</f>
        <v>3.2</v>
      </c>
      <c r="G14986" s="4" t="str">
        <f>HYPERLINK("http://141.218.60.56/~jnz1568/getInfo.php?workbook=10_05.xlsx&amp;sheet=U0&amp;row=14986&amp;col=7&amp;number=0.306&amp;sourceID=14","0.306")</f>
        <v>0.306</v>
      </c>
    </row>
    <row r="14987" spans="1:7">
      <c r="A14987" s="3"/>
      <c r="B14987" s="3"/>
      <c r="C14987" s="3"/>
      <c r="D14987" s="3"/>
      <c r="E14987" s="3">
        <v>4</v>
      </c>
      <c r="F14987" s="4" t="str">
        <f>HYPERLINK("http://141.218.60.56/~jnz1568/getInfo.php?workbook=10_05.xlsx&amp;sheet=U0&amp;row=14987&amp;col=6&amp;number=3.3&amp;sourceID=14","3.3")</f>
        <v>3.3</v>
      </c>
      <c r="G14987" s="4" t="str">
        <f>HYPERLINK("http://141.218.60.56/~jnz1568/getInfo.php?workbook=10_05.xlsx&amp;sheet=U0&amp;row=14987&amp;col=7&amp;number=0.306&amp;sourceID=14","0.306")</f>
        <v>0.306</v>
      </c>
    </row>
    <row r="14988" spans="1:7">
      <c r="A14988" s="3"/>
      <c r="B14988" s="3"/>
      <c r="C14988" s="3"/>
      <c r="D14988" s="3"/>
      <c r="E14988" s="3">
        <v>5</v>
      </c>
      <c r="F14988" s="4" t="str">
        <f>HYPERLINK("http://141.218.60.56/~jnz1568/getInfo.php?workbook=10_05.xlsx&amp;sheet=U0&amp;row=14988&amp;col=6&amp;number=3.4&amp;sourceID=14","3.4")</f>
        <v>3.4</v>
      </c>
      <c r="G14988" s="4" t="str">
        <f>HYPERLINK("http://141.218.60.56/~jnz1568/getInfo.php?workbook=10_05.xlsx&amp;sheet=U0&amp;row=14988&amp;col=7&amp;number=0.305&amp;sourceID=14","0.305")</f>
        <v>0.305</v>
      </c>
    </row>
    <row r="14989" spans="1:7">
      <c r="A14989" s="3"/>
      <c r="B14989" s="3"/>
      <c r="C14989" s="3"/>
      <c r="D14989" s="3"/>
      <c r="E14989" s="3">
        <v>6</v>
      </c>
      <c r="F14989" s="4" t="str">
        <f>HYPERLINK("http://141.218.60.56/~jnz1568/getInfo.php?workbook=10_05.xlsx&amp;sheet=U0&amp;row=14989&amp;col=6&amp;number=3.5&amp;sourceID=14","3.5")</f>
        <v>3.5</v>
      </c>
      <c r="G14989" s="4" t="str">
        <f>HYPERLINK("http://141.218.60.56/~jnz1568/getInfo.php?workbook=10_05.xlsx&amp;sheet=U0&amp;row=14989&amp;col=7&amp;number=0.304&amp;sourceID=14","0.304")</f>
        <v>0.304</v>
      </c>
    </row>
    <row r="14990" spans="1:7">
      <c r="A14990" s="3"/>
      <c r="B14990" s="3"/>
      <c r="C14990" s="3"/>
      <c r="D14990" s="3"/>
      <c r="E14990" s="3">
        <v>7</v>
      </c>
      <c r="F14990" s="4" t="str">
        <f>HYPERLINK("http://141.218.60.56/~jnz1568/getInfo.php?workbook=10_05.xlsx&amp;sheet=U0&amp;row=14990&amp;col=6&amp;number=3.6&amp;sourceID=14","3.6")</f>
        <v>3.6</v>
      </c>
      <c r="G14990" s="4" t="str">
        <f>HYPERLINK("http://141.218.60.56/~jnz1568/getInfo.php?workbook=10_05.xlsx&amp;sheet=U0&amp;row=14990&amp;col=7&amp;number=0.303&amp;sourceID=14","0.303")</f>
        <v>0.303</v>
      </c>
    </row>
    <row r="14991" spans="1:7">
      <c r="A14991" s="3"/>
      <c r="B14991" s="3"/>
      <c r="C14991" s="3"/>
      <c r="D14991" s="3"/>
      <c r="E14991" s="3">
        <v>8</v>
      </c>
      <c r="F14991" s="4" t="str">
        <f>HYPERLINK("http://141.218.60.56/~jnz1568/getInfo.php?workbook=10_05.xlsx&amp;sheet=U0&amp;row=14991&amp;col=6&amp;number=3.7&amp;sourceID=14","3.7")</f>
        <v>3.7</v>
      </c>
      <c r="G14991" s="4" t="str">
        <f>HYPERLINK("http://141.218.60.56/~jnz1568/getInfo.php?workbook=10_05.xlsx&amp;sheet=U0&amp;row=14991&amp;col=7&amp;number=0.302&amp;sourceID=14","0.302")</f>
        <v>0.302</v>
      </c>
    </row>
    <row r="14992" spans="1:7">
      <c r="A14992" s="3"/>
      <c r="B14992" s="3"/>
      <c r="C14992" s="3"/>
      <c r="D14992" s="3"/>
      <c r="E14992" s="3">
        <v>9</v>
      </c>
      <c r="F14992" s="4" t="str">
        <f>HYPERLINK("http://141.218.60.56/~jnz1568/getInfo.php?workbook=10_05.xlsx&amp;sheet=U0&amp;row=14992&amp;col=6&amp;number=3.8&amp;sourceID=14","3.8")</f>
        <v>3.8</v>
      </c>
      <c r="G14992" s="4" t="str">
        <f>HYPERLINK("http://141.218.60.56/~jnz1568/getInfo.php?workbook=10_05.xlsx&amp;sheet=U0&amp;row=14992&amp;col=7&amp;number=0.3&amp;sourceID=14","0.3")</f>
        <v>0.3</v>
      </c>
    </row>
    <row r="14993" spans="1:7">
      <c r="A14993" s="3"/>
      <c r="B14993" s="3"/>
      <c r="C14993" s="3"/>
      <c r="D14993" s="3"/>
      <c r="E14993" s="3">
        <v>10</v>
      </c>
      <c r="F14993" s="4" t="str">
        <f>HYPERLINK("http://141.218.60.56/~jnz1568/getInfo.php?workbook=10_05.xlsx&amp;sheet=U0&amp;row=14993&amp;col=6&amp;number=3.9&amp;sourceID=14","3.9")</f>
        <v>3.9</v>
      </c>
      <c r="G14993" s="4" t="str">
        <f>HYPERLINK("http://141.218.60.56/~jnz1568/getInfo.php?workbook=10_05.xlsx&amp;sheet=U0&amp;row=14993&amp;col=7&amp;number=0.299&amp;sourceID=14","0.299")</f>
        <v>0.299</v>
      </c>
    </row>
    <row r="14994" spans="1:7">
      <c r="A14994" s="3"/>
      <c r="B14994" s="3"/>
      <c r="C14994" s="3"/>
      <c r="D14994" s="3"/>
      <c r="E14994" s="3">
        <v>11</v>
      </c>
      <c r="F14994" s="4" t="str">
        <f>HYPERLINK("http://141.218.60.56/~jnz1568/getInfo.php?workbook=10_05.xlsx&amp;sheet=U0&amp;row=14994&amp;col=6&amp;number=4&amp;sourceID=14","4")</f>
        <v>4</v>
      </c>
      <c r="G14994" s="4" t="str">
        <f>HYPERLINK("http://141.218.60.56/~jnz1568/getInfo.php?workbook=10_05.xlsx&amp;sheet=U0&amp;row=14994&amp;col=7&amp;number=0.296&amp;sourceID=14","0.296")</f>
        <v>0.296</v>
      </c>
    </row>
    <row r="14995" spans="1:7">
      <c r="A14995" s="3"/>
      <c r="B14995" s="3"/>
      <c r="C14995" s="3"/>
      <c r="D14995" s="3"/>
      <c r="E14995" s="3">
        <v>12</v>
      </c>
      <c r="F14995" s="4" t="str">
        <f>HYPERLINK("http://141.218.60.56/~jnz1568/getInfo.php?workbook=10_05.xlsx&amp;sheet=U0&amp;row=14995&amp;col=6&amp;number=4.1&amp;sourceID=14","4.1")</f>
        <v>4.1</v>
      </c>
      <c r="G14995" s="4" t="str">
        <f>HYPERLINK("http://141.218.60.56/~jnz1568/getInfo.php?workbook=10_05.xlsx&amp;sheet=U0&amp;row=14995&amp;col=7&amp;number=0.294&amp;sourceID=14","0.294")</f>
        <v>0.294</v>
      </c>
    </row>
    <row r="14996" spans="1:7">
      <c r="A14996" s="3"/>
      <c r="B14996" s="3"/>
      <c r="C14996" s="3"/>
      <c r="D14996" s="3"/>
      <c r="E14996" s="3">
        <v>13</v>
      </c>
      <c r="F14996" s="4" t="str">
        <f>HYPERLINK("http://141.218.60.56/~jnz1568/getInfo.php?workbook=10_05.xlsx&amp;sheet=U0&amp;row=14996&amp;col=6&amp;number=4.2&amp;sourceID=14","4.2")</f>
        <v>4.2</v>
      </c>
      <c r="G14996" s="4" t="str">
        <f>HYPERLINK("http://141.218.60.56/~jnz1568/getInfo.php?workbook=10_05.xlsx&amp;sheet=U0&amp;row=14996&amp;col=7&amp;number=0.29&amp;sourceID=14","0.29")</f>
        <v>0.29</v>
      </c>
    </row>
    <row r="14997" spans="1:7">
      <c r="A14997" s="3"/>
      <c r="B14997" s="3"/>
      <c r="C14997" s="3"/>
      <c r="D14997" s="3"/>
      <c r="E14997" s="3">
        <v>14</v>
      </c>
      <c r="F14997" s="4" t="str">
        <f>HYPERLINK("http://141.218.60.56/~jnz1568/getInfo.php?workbook=10_05.xlsx&amp;sheet=U0&amp;row=14997&amp;col=6&amp;number=4.3&amp;sourceID=14","4.3")</f>
        <v>4.3</v>
      </c>
      <c r="G14997" s="4" t="str">
        <f>HYPERLINK("http://141.218.60.56/~jnz1568/getInfo.php?workbook=10_05.xlsx&amp;sheet=U0&amp;row=14997&amp;col=7&amp;number=0.287&amp;sourceID=14","0.287")</f>
        <v>0.287</v>
      </c>
    </row>
    <row r="14998" spans="1:7">
      <c r="A14998" s="3"/>
      <c r="B14998" s="3"/>
      <c r="C14998" s="3"/>
      <c r="D14998" s="3"/>
      <c r="E14998" s="3">
        <v>15</v>
      </c>
      <c r="F14998" s="4" t="str">
        <f>HYPERLINK("http://141.218.60.56/~jnz1568/getInfo.php?workbook=10_05.xlsx&amp;sheet=U0&amp;row=14998&amp;col=6&amp;number=4.4&amp;sourceID=14","4.4")</f>
        <v>4.4</v>
      </c>
      <c r="G14998" s="4" t="str">
        <f>HYPERLINK("http://141.218.60.56/~jnz1568/getInfo.php?workbook=10_05.xlsx&amp;sheet=U0&amp;row=14998&amp;col=7&amp;number=0.282&amp;sourceID=14","0.282")</f>
        <v>0.282</v>
      </c>
    </row>
    <row r="14999" spans="1:7">
      <c r="A14999" s="3"/>
      <c r="B14999" s="3"/>
      <c r="C14999" s="3"/>
      <c r="D14999" s="3"/>
      <c r="E14999" s="3">
        <v>16</v>
      </c>
      <c r="F14999" s="4" t="str">
        <f>HYPERLINK("http://141.218.60.56/~jnz1568/getInfo.php?workbook=10_05.xlsx&amp;sheet=U0&amp;row=14999&amp;col=6&amp;number=4.5&amp;sourceID=14","4.5")</f>
        <v>4.5</v>
      </c>
      <c r="G14999" s="4" t="str">
        <f>HYPERLINK("http://141.218.60.56/~jnz1568/getInfo.php?workbook=10_05.xlsx&amp;sheet=U0&amp;row=14999&amp;col=7&amp;number=0.278&amp;sourceID=14","0.278")</f>
        <v>0.278</v>
      </c>
    </row>
    <row r="15000" spans="1:7">
      <c r="A15000" s="3"/>
      <c r="B15000" s="3"/>
      <c r="C15000" s="3"/>
      <c r="D15000" s="3"/>
      <c r="E15000" s="3">
        <v>17</v>
      </c>
      <c r="F15000" s="4" t="str">
        <f>HYPERLINK("http://141.218.60.56/~jnz1568/getInfo.php?workbook=10_05.xlsx&amp;sheet=U0&amp;row=15000&amp;col=6&amp;number=4.6&amp;sourceID=14","4.6")</f>
        <v>4.6</v>
      </c>
      <c r="G15000" s="4" t="str">
        <f>HYPERLINK("http://141.218.60.56/~jnz1568/getInfo.php?workbook=10_05.xlsx&amp;sheet=U0&amp;row=15000&amp;col=7&amp;number=0.273&amp;sourceID=14","0.273")</f>
        <v>0.273</v>
      </c>
    </row>
    <row r="15001" spans="1:7">
      <c r="A15001" s="3"/>
      <c r="B15001" s="3"/>
      <c r="C15001" s="3"/>
      <c r="D15001" s="3"/>
      <c r="E15001" s="3">
        <v>18</v>
      </c>
      <c r="F15001" s="4" t="str">
        <f>HYPERLINK("http://141.218.60.56/~jnz1568/getInfo.php?workbook=10_05.xlsx&amp;sheet=U0&amp;row=15001&amp;col=6&amp;number=4.7&amp;sourceID=14","4.7")</f>
        <v>4.7</v>
      </c>
      <c r="G15001" s="4" t="str">
        <f>HYPERLINK("http://141.218.60.56/~jnz1568/getInfo.php?workbook=10_05.xlsx&amp;sheet=U0&amp;row=15001&amp;col=7&amp;number=0.27&amp;sourceID=14","0.27")</f>
        <v>0.27</v>
      </c>
    </row>
    <row r="15002" spans="1:7">
      <c r="A15002" s="3"/>
      <c r="B15002" s="3"/>
      <c r="C15002" s="3"/>
      <c r="D15002" s="3"/>
      <c r="E15002" s="3">
        <v>19</v>
      </c>
      <c r="F15002" s="4" t="str">
        <f>HYPERLINK("http://141.218.60.56/~jnz1568/getInfo.php?workbook=10_05.xlsx&amp;sheet=U0&amp;row=15002&amp;col=6&amp;number=4.8&amp;sourceID=14","4.8")</f>
        <v>4.8</v>
      </c>
      <c r="G15002" s="4" t="str">
        <f>HYPERLINK("http://141.218.60.56/~jnz1568/getInfo.php?workbook=10_05.xlsx&amp;sheet=U0&amp;row=15002&amp;col=7&amp;number=0.267&amp;sourceID=14","0.267")</f>
        <v>0.267</v>
      </c>
    </row>
    <row r="15003" spans="1:7">
      <c r="A15003" s="3"/>
      <c r="B15003" s="3"/>
      <c r="C15003" s="3"/>
      <c r="D15003" s="3"/>
      <c r="E15003" s="3">
        <v>20</v>
      </c>
      <c r="F15003" s="4" t="str">
        <f>HYPERLINK("http://141.218.60.56/~jnz1568/getInfo.php?workbook=10_05.xlsx&amp;sheet=U0&amp;row=15003&amp;col=6&amp;number=4.9&amp;sourceID=14","4.9")</f>
        <v>4.9</v>
      </c>
      <c r="G15003" s="4" t="str">
        <f>HYPERLINK("http://141.218.60.56/~jnz1568/getInfo.php?workbook=10_05.xlsx&amp;sheet=U0&amp;row=15003&amp;col=7&amp;number=0.265&amp;sourceID=14","0.265")</f>
        <v>0.265</v>
      </c>
    </row>
    <row r="15004" spans="1:7">
      <c r="A15004" s="3">
        <v>10</v>
      </c>
      <c r="B15004" s="3">
        <v>5</v>
      </c>
      <c r="C15004" s="3">
        <v>5</v>
      </c>
      <c r="D15004" s="3">
        <v>46</v>
      </c>
      <c r="E15004" s="3">
        <v>1</v>
      </c>
      <c r="F15004" s="4" t="str">
        <f>HYPERLINK("http://141.218.60.56/~jnz1568/getInfo.php?workbook=10_05.xlsx&amp;sheet=U0&amp;row=15004&amp;col=6&amp;number=3&amp;sourceID=14","3")</f>
        <v>3</v>
      </c>
      <c r="G15004" s="4" t="str">
        <f>HYPERLINK("http://141.218.60.56/~jnz1568/getInfo.php?workbook=10_05.xlsx&amp;sheet=U0&amp;row=15004&amp;col=7&amp;number=1.05&amp;sourceID=14","1.05")</f>
        <v>1.05</v>
      </c>
    </row>
    <row r="15005" spans="1:7">
      <c r="A15005" s="3"/>
      <c r="B15005" s="3"/>
      <c r="C15005" s="3"/>
      <c r="D15005" s="3"/>
      <c r="E15005" s="3">
        <v>2</v>
      </c>
      <c r="F15005" s="4" t="str">
        <f>HYPERLINK("http://141.218.60.56/~jnz1568/getInfo.php?workbook=10_05.xlsx&amp;sheet=U0&amp;row=15005&amp;col=6&amp;number=3.1&amp;sourceID=14","3.1")</f>
        <v>3.1</v>
      </c>
      <c r="G15005" s="4" t="str">
        <f>HYPERLINK("http://141.218.60.56/~jnz1568/getInfo.php?workbook=10_05.xlsx&amp;sheet=U0&amp;row=15005&amp;col=7&amp;number=1.05&amp;sourceID=14","1.05")</f>
        <v>1.05</v>
      </c>
    </row>
    <row r="15006" spans="1:7">
      <c r="A15006" s="3"/>
      <c r="B15006" s="3"/>
      <c r="C15006" s="3"/>
      <c r="D15006" s="3"/>
      <c r="E15006" s="3">
        <v>3</v>
      </c>
      <c r="F15006" s="4" t="str">
        <f>HYPERLINK("http://141.218.60.56/~jnz1568/getInfo.php?workbook=10_05.xlsx&amp;sheet=U0&amp;row=15006&amp;col=6&amp;number=3.2&amp;sourceID=14","3.2")</f>
        <v>3.2</v>
      </c>
      <c r="G15006" s="4" t="str">
        <f>HYPERLINK("http://141.218.60.56/~jnz1568/getInfo.php?workbook=10_05.xlsx&amp;sheet=U0&amp;row=15006&amp;col=7&amp;number=1.05&amp;sourceID=14","1.05")</f>
        <v>1.05</v>
      </c>
    </row>
    <row r="15007" spans="1:7">
      <c r="A15007" s="3"/>
      <c r="B15007" s="3"/>
      <c r="C15007" s="3"/>
      <c r="D15007" s="3"/>
      <c r="E15007" s="3">
        <v>4</v>
      </c>
      <c r="F15007" s="4" t="str">
        <f>HYPERLINK("http://141.218.60.56/~jnz1568/getInfo.php?workbook=10_05.xlsx&amp;sheet=U0&amp;row=15007&amp;col=6&amp;number=3.3&amp;sourceID=14","3.3")</f>
        <v>3.3</v>
      </c>
      <c r="G15007" s="4" t="str">
        <f>HYPERLINK("http://141.218.60.56/~jnz1568/getInfo.php?workbook=10_05.xlsx&amp;sheet=U0&amp;row=15007&amp;col=7&amp;number=1.05&amp;sourceID=14","1.05")</f>
        <v>1.05</v>
      </c>
    </row>
    <row r="15008" spans="1:7">
      <c r="A15008" s="3"/>
      <c r="B15008" s="3"/>
      <c r="C15008" s="3"/>
      <c r="D15008" s="3"/>
      <c r="E15008" s="3">
        <v>5</v>
      </c>
      <c r="F15008" s="4" t="str">
        <f>HYPERLINK("http://141.218.60.56/~jnz1568/getInfo.php?workbook=10_05.xlsx&amp;sheet=U0&amp;row=15008&amp;col=6&amp;number=3.4&amp;sourceID=14","3.4")</f>
        <v>3.4</v>
      </c>
      <c r="G15008" s="4" t="str">
        <f>HYPERLINK("http://141.218.60.56/~jnz1568/getInfo.php?workbook=10_05.xlsx&amp;sheet=U0&amp;row=15008&amp;col=7&amp;number=1.05&amp;sourceID=14","1.05")</f>
        <v>1.05</v>
      </c>
    </row>
    <row r="15009" spans="1:7">
      <c r="A15009" s="3"/>
      <c r="B15009" s="3"/>
      <c r="C15009" s="3"/>
      <c r="D15009" s="3"/>
      <c r="E15009" s="3">
        <v>6</v>
      </c>
      <c r="F15009" s="4" t="str">
        <f>HYPERLINK("http://141.218.60.56/~jnz1568/getInfo.php?workbook=10_05.xlsx&amp;sheet=U0&amp;row=15009&amp;col=6&amp;number=3.5&amp;sourceID=14","3.5")</f>
        <v>3.5</v>
      </c>
      <c r="G15009" s="4" t="str">
        <f>HYPERLINK("http://141.218.60.56/~jnz1568/getInfo.php?workbook=10_05.xlsx&amp;sheet=U0&amp;row=15009&amp;col=7&amp;number=1.05&amp;sourceID=14","1.05")</f>
        <v>1.05</v>
      </c>
    </row>
    <row r="15010" spans="1:7">
      <c r="A15010" s="3"/>
      <c r="B15010" s="3"/>
      <c r="C15010" s="3"/>
      <c r="D15010" s="3"/>
      <c r="E15010" s="3">
        <v>7</v>
      </c>
      <c r="F15010" s="4" t="str">
        <f>HYPERLINK("http://141.218.60.56/~jnz1568/getInfo.php?workbook=10_05.xlsx&amp;sheet=U0&amp;row=15010&amp;col=6&amp;number=3.6&amp;sourceID=14","3.6")</f>
        <v>3.6</v>
      </c>
      <c r="G15010" s="4" t="str">
        <f>HYPERLINK("http://141.218.60.56/~jnz1568/getInfo.php?workbook=10_05.xlsx&amp;sheet=U0&amp;row=15010&amp;col=7&amp;number=1.05&amp;sourceID=14","1.05")</f>
        <v>1.05</v>
      </c>
    </row>
    <row r="15011" spans="1:7">
      <c r="A15011" s="3"/>
      <c r="B15011" s="3"/>
      <c r="C15011" s="3"/>
      <c r="D15011" s="3"/>
      <c r="E15011" s="3">
        <v>8</v>
      </c>
      <c r="F15011" s="4" t="str">
        <f>HYPERLINK("http://141.218.60.56/~jnz1568/getInfo.php?workbook=10_05.xlsx&amp;sheet=U0&amp;row=15011&amp;col=6&amp;number=3.7&amp;sourceID=14","3.7")</f>
        <v>3.7</v>
      </c>
      <c r="G15011" s="4" t="str">
        <f>HYPERLINK("http://141.218.60.56/~jnz1568/getInfo.php?workbook=10_05.xlsx&amp;sheet=U0&amp;row=15011&amp;col=7&amp;number=1.05&amp;sourceID=14","1.05")</f>
        <v>1.05</v>
      </c>
    </row>
    <row r="15012" spans="1:7">
      <c r="A15012" s="3"/>
      <c r="B15012" s="3"/>
      <c r="C15012" s="3"/>
      <c r="D15012" s="3"/>
      <c r="E15012" s="3">
        <v>9</v>
      </c>
      <c r="F15012" s="4" t="str">
        <f>HYPERLINK("http://141.218.60.56/~jnz1568/getInfo.php?workbook=10_05.xlsx&amp;sheet=U0&amp;row=15012&amp;col=6&amp;number=3.8&amp;sourceID=14","3.8")</f>
        <v>3.8</v>
      </c>
      <c r="G15012" s="4" t="str">
        <f>HYPERLINK("http://141.218.60.56/~jnz1568/getInfo.php?workbook=10_05.xlsx&amp;sheet=U0&amp;row=15012&amp;col=7&amp;number=1.05&amp;sourceID=14","1.05")</f>
        <v>1.05</v>
      </c>
    </row>
    <row r="15013" spans="1:7">
      <c r="A15013" s="3"/>
      <c r="B15013" s="3"/>
      <c r="C15013" s="3"/>
      <c r="D15013" s="3"/>
      <c r="E15013" s="3">
        <v>10</v>
      </c>
      <c r="F15013" s="4" t="str">
        <f>HYPERLINK("http://141.218.60.56/~jnz1568/getInfo.php?workbook=10_05.xlsx&amp;sheet=U0&amp;row=15013&amp;col=6&amp;number=3.9&amp;sourceID=14","3.9")</f>
        <v>3.9</v>
      </c>
      <c r="G15013" s="4" t="str">
        <f>HYPERLINK("http://141.218.60.56/~jnz1568/getInfo.php?workbook=10_05.xlsx&amp;sheet=U0&amp;row=15013&amp;col=7&amp;number=1.05&amp;sourceID=14","1.05")</f>
        <v>1.05</v>
      </c>
    </row>
    <row r="15014" spans="1:7">
      <c r="A15014" s="3"/>
      <c r="B15014" s="3"/>
      <c r="C15014" s="3"/>
      <c r="D15014" s="3"/>
      <c r="E15014" s="3">
        <v>11</v>
      </c>
      <c r="F15014" s="4" t="str">
        <f>HYPERLINK("http://141.218.60.56/~jnz1568/getInfo.php?workbook=10_05.xlsx&amp;sheet=U0&amp;row=15014&amp;col=6&amp;number=4&amp;sourceID=14","4")</f>
        <v>4</v>
      </c>
      <c r="G15014" s="4" t="str">
        <f>HYPERLINK("http://141.218.60.56/~jnz1568/getInfo.php?workbook=10_05.xlsx&amp;sheet=U0&amp;row=15014&amp;col=7&amp;number=1.05&amp;sourceID=14","1.05")</f>
        <v>1.05</v>
      </c>
    </row>
    <row r="15015" spans="1:7">
      <c r="A15015" s="3"/>
      <c r="B15015" s="3"/>
      <c r="C15015" s="3"/>
      <c r="D15015" s="3"/>
      <c r="E15015" s="3">
        <v>12</v>
      </c>
      <c r="F15015" s="4" t="str">
        <f>HYPERLINK("http://141.218.60.56/~jnz1568/getInfo.php?workbook=10_05.xlsx&amp;sheet=U0&amp;row=15015&amp;col=6&amp;number=4.1&amp;sourceID=14","4.1")</f>
        <v>4.1</v>
      </c>
      <c r="G15015" s="4" t="str">
        <f>HYPERLINK("http://141.218.60.56/~jnz1568/getInfo.php?workbook=10_05.xlsx&amp;sheet=U0&amp;row=15015&amp;col=7&amp;number=1.06&amp;sourceID=14","1.06")</f>
        <v>1.06</v>
      </c>
    </row>
    <row r="15016" spans="1:7">
      <c r="A15016" s="3"/>
      <c r="B15016" s="3"/>
      <c r="C15016" s="3"/>
      <c r="D15016" s="3"/>
      <c r="E15016" s="3">
        <v>13</v>
      </c>
      <c r="F15016" s="4" t="str">
        <f>HYPERLINK("http://141.218.60.56/~jnz1568/getInfo.php?workbook=10_05.xlsx&amp;sheet=U0&amp;row=15016&amp;col=6&amp;number=4.2&amp;sourceID=14","4.2")</f>
        <v>4.2</v>
      </c>
      <c r="G15016" s="4" t="str">
        <f>HYPERLINK("http://141.218.60.56/~jnz1568/getInfo.php?workbook=10_05.xlsx&amp;sheet=U0&amp;row=15016&amp;col=7&amp;number=1.06&amp;sourceID=14","1.06")</f>
        <v>1.06</v>
      </c>
    </row>
    <row r="15017" spans="1:7">
      <c r="A15017" s="3"/>
      <c r="B15017" s="3"/>
      <c r="C15017" s="3"/>
      <c r="D15017" s="3"/>
      <c r="E15017" s="3">
        <v>14</v>
      </c>
      <c r="F15017" s="4" t="str">
        <f>HYPERLINK("http://141.218.60.56/~jnz1568/getInfo.php?workbook=10_05.xlsx&amp;sheet=U0&amp;row=15017&amp;col=6&amp;number=4.3&amp;sourceID=14","4.3")</f>
        <v>4.3</v>
      </c>
      <c r="G15017" s="4" t="str">
        <f>HYPERLINK("http://141.218.60.56/~jnz1568/getInfo.php?workbook=10_05.xlsx&amp;sheet=U0&amp;row=15017&amp;col=7&amp;number=1.06&amp;sourceID=14","1.06")</f>
        <v>1.06</v>
      </c>
    </row>
    <row r="15018" spans="1:7">
      <c r="A15018" s="3"/>
      <c r="B15018" s="3"/>
      <c r="C15018" s="3"/>
      <c r="D15018" s="3"/>
      <c r="E15018" s="3">
        <v>15</v>
      </c>
      <c r="F15018" s="4" t="str">
        <f>HYPERLINK("http://141.218.60.56/~jnz1568/getInfo.php?workbook=10_05.xlsx&amp;sheet=U0&amp;row=15018&amp;col=6&amp;number=4.4&amp;sourceID=14","4.4")</f>
        <v>4.4</v>
      </c>
      <c r="G15018" s="4" t="str">
        <f>HYPERLINK("http://141.218.60.56/~jnz1568/getInfo.php?workbook=10_05.xlsx&amp;sheet=U0&amp;row=15018&amp;col=7&amp;number=1.07&amp;sourceID=14","1.07")</f>
        <v>1.07</v>
      </c>
    </row>
    <row r="15019" spans="1:7">
      <c r="A15019" s="3"/>
      <c r="B15019" s="3"/>
      <c r="C15019" s="3"/>
      <c r="D15019" s="3"/>
      <c r="E15019" s="3">
        <v>16</v>
      </c>
      <c r="F15019" s="4" t="str">
        <f>HYPERLINK("http://141.218.60.56/~jnz1568/getInfo.php?workbook=10_05.xlsx&amp;sheet=U0&amp;row=15019&amp;col=6&amp;number=4.5&amp;sourceID=14","4.5")</f>
        <v>4.5</v>
      </c>
      <c r="G15019" s="4" t="str">
        <f>HYPERLINK("http://141.218.60.56/~jnz1568/getInfo.php?workbook=10_05.xlsx&amp;sheet=U0&amp;row=15019&amp;col=7&amp;number=1.07&amp;sourceID=14","1.07")</f>
        <v>1.07</v>
      </c>
    </row>
    <row r="15020" spans="1:7">
      <c r="A15020" s="3"/>
      <c r="B15020" s="3"/>
      <c r="C15020" s="3"/>
      <c r="D15020" s="3"/>
      <c r="E15020" s="3">
        <v>17</v>
      </c>
      <c r="F15020" s="4" t="str">
        <f>HYPERLINK("http://141.218.60.56/~jnz1568/getInfo.php?workbook=10_05.xlsx&amp;sheet=U0&amp;row=15020&amp;col=6&amp;number=4.6&amp;sourceID=14","4.6")</f>
        <v>4.6</v>
      </c>
      <c r="G15020" s="4" t="str">
        <f>HYPERLINK("http://141.218.60.56/~jnz1568/getInfo.php?workbook=10_05.xlsx&amp;sheet=U0&amp;row=15020&amp;col=7&amp;number=1.08&amp;sourceID=14","1.08")</f>
        <v>1.08</v>
      </c>
    </row>
    <row r="15021" spans="1:7">
      <c r="A15021" s="3"/>
      <c r="B15021" s="3"/>
      <c r="C15021" s="3"/>
      <c r="D15021" s="3"/>
      <c r="E15021" s="3">
        <v>18</v>
      </c>
      <c r="F15021" s="4" t="str">
        <f>HYPERLINK("http://141.218.60.56/~jnz1568/getInfo.php?workbook=10_05.xlsx&amp;sheet=U0&amp;row=15021&amp;col=6&amp;number=4.7&amp;sourceID=14","4.7")</f>
        <v>4.7</v>
      </c>
      <c r="G15021" s="4" t="str">
        <f>HYPERLINK("http://141.218.60.56/~jnz1568/getInfo.php?workbook=10_05.xlsx&amp;sheet=U0&amp;row=15021&amp;col=7&amp;number=1.08&amp;sourceID=14","1.08")</f>
        <v>1.08</v>
      </c>
    </row>
    <row r="15022" spans="1:7">
      <c r="A15022" s="3"/>
      <c r="B15022" s="3"/>
      <c r="C15022" s="3"/>
      <c r="D15022" s="3"/>
      <c r="E15022" s="3">
        <v>19</v>
      </c>
      <c r="F15022" s="4" t="str">
        <f>HYPERLINK("http://141.218.60.56/~jnz1568/getInfo.php?workbook=10_05.xlsx&amp;sheet=U0&amp;row=15022&amp;col=6&amp;number=4.8&amp;sourceID=14","4.8")</f>
        <v>4.8</v>
      </c>
      <c r="G15022" s="4" t="str">
        <f>HYPERLINK("http://141.218.60.56/~jnz1568/getInfo.php?workbook=10_05.xlsx&amp;sheet=U0&amp;row=15022&amp;col=7&amp;number=1.09&amp;sourceID=14","1.09")</f>
        <v>1.09</v>
      </c>
    </row>
    <row r="15023" spans="1:7">
      <c r="A15023" s="3"/>
      <c r="B15023" s="3"/>
      <c r="C15023" s="3"/>
      <c r="D15023" s="3"/>
      <c r="E15023" s="3">
        <v>20</v>
      </c>
      <c r="F15023" s="4" t="str">
        <f>HYPERLINK("http://141.218.60.56/~jnz1568/getInfo.php?workbook=10_05.xlsx&amp;sheet=U0&amp;row=15023&amp;col=6&amp;number=4.9&amp;sourceID=14","4.9")</f>
        <v>4.9</v>
      </c>
      <c r="G15023" s="4" t="str">
        <f>HYPERLINK("http://141.218.60.56/~jnz1568/getInfo.php?workbook=10_05.xlsx&amp;sheet=U0&amp;row=15023&amp;col=7&amp;number=1.1&amp;sourceID=14","1.1")</f>
        <v>1.1</v>
      </c>
    </row>
    <row r="15024" spans="1:7">
      <c r="A15024" s="3">
        <v>10</v>
      </c>
      <c r="B15024" s="3">
        <v>5</v>
      </c>
      <c r="C15024" s="3">
        <v>5</v>
      </c>
      <c r="D15024" s="3">
        <v>47</v>
      </c>
      <c r="E15024" s="3">
        <v>1</v>
      </c>
      <c r="F15024" s="4" t="str">
        <f>HYPERLINK("http://141.218.60.56/~jnz1568/getInfo.php?workbook=10_05.xlsx&amp;sheet=U0&amp;row=15024&amp;col=6&amp;number=3&amp;sourceID=14","3")</f>
        <v>3</v>
      </c>
      <c r="G15024" s="4" t="str">
        <f>HYPERLINK("http://141.218.60.56/~jnz1568/getInfo.php?workbook=10_05.xlsx&amp;sheet=U0&amp;row=15024&amp;col=7&amp;number=0.109&amp;sourceID=14","0.109")</f>
        <v>0.109</v>
      </c>
    </row>
    <row r="15025" spans="1:7">
      <c r="A15025" s="3"/>
      <c r="B15025" s="3"/>
      <c r="C15025" s="3"/>
      <c r="D15025" s="3"/>
      <c r="E15025" s="3">
        <v>2</v>
      </c>
      <c r="F15025" s="4" t="str">
        <f>HYPERLINK("http://141.218.60.56/~jnz1568/getInfo.php?workbook=10_05.xlsx&amp;sheet=U0&amp;row=15025&amp;col=6&amp;number=3.1&amp;sourceID=14","3.1")</f>
        <v>3.1</v>
      </c>
      <c r="G15025" s="4" t="str">
        <f>HYPERLINK("http://141.218.60.56/~jnz1568/getInfo.php?workbook=10_05.xlsx&amp;sheet=U0&amp;row=15025&amp;col=7&amp;number=0.108&amp;sourceID=14","0.108")</f>
        <v>0.108</v>
      </c>
    </row>
    <row r="15026" spans="1:7">
      <c r="A15026" s="3"/>
      <c r="B15026" s="3"/>
      <c r="C15026" s="3"/>
      <c r="D15026" s="3"/>
      <c r="E15026" s="3">
        <v>3</v>
      </c>
      <c r="F15026" s="4" t="str">
        <f>HYPERLINK("http://141.218.60.56/~jnz1568/getInfo.php?workbook=10_05.xlsx&amp;sheet=U0&amp;row=15026&amp;col=6&amp;number=3.2&amp;sourceID=14","3.2")</f>
        <v>3.2</v>
      </c>
      <c r="G15026" s="4" t="str">
        <f>HYPERLINK("http://141.218.60.56/~jnz1568/getInfo.php?workbook=10_05.xlsx&amp;sheet=U0&amp;row=15026&amp;col=7&amp;number=0.108&amp;sourceID=14","0.108")</f>
        <v>0.108</v>
      </c>
    </row>
    <row r="15027" spans="1:7">
      <c r="A15027" s="3"/>
      <c r="B15027" s="3"/>
      <c r="C15027" s="3"/>
      <c r="D15027" s="3"/>
      <c r="E15027" s="3">
        <v>4</v>
      </c>
      <c r="F15027" s="4" t="str">
        <f>HYPERLINK("http://141.218.60.56/~jnz1568/getInfo.php?workbook=10_05.xlsx&amp;sheet=U0&amp;row=15027&amp;col=6&amp;number=3.3&amp;sourceID=14","3.3")</f>
        <v>3.3</v>
      </c>
      <c r="G15027" s="4" t="str">
        <f>HYPERLINK("http://141.218.60.56/~jnz1568/getInfo.php?workbook=10_05.xlsx&amp;sheet=U0&amp;row=15027&amp;col=7&amp;number=0.107&amp;sourceID=14","0.107")</f>
        <v>0.107</v>
      </c>
    </row>
    <row r="15028" spans="1:7">
      <c r="A15028" s="3"/>
      <c r="B15028" s="3"/>
      <c r="C15028" s="3"/>
      <c r="D15028" s="3"/>
      <c r="E15028" s="3">
        <v>5</v>
      </c>
      <c r="F15028" s="4" t="str">
        <f>HYPERLINK("http://141.218.60.56/~jnz1568/getInfo.php?workbook=10_05.xlsx&amp;sheet=U0&amp;row=15028&amp;col=6&amp;number=3.4&amp;sourceID=14","3.4")</f>
        <v>3.4</v>
      </c>
      <c r="G15028" s="4" t="str">
        <f>HYPERLINK("http://141.218.60.56/~jnz1568/getInfo.php?workbook=10_05.xlsx&amp;sheet=U0&amp;row=15028&amp;col=7&amp;number=0.107&amp;sourceID=14","0.107")</f>
        <v>0.107</v>
      </c>
    </row>
    <row r="15029" spans="1:7">
      <c r="A15029" s="3"/>
      <c r="B15029" s="3"/>
      <c r="C15029" s="3"/>
      <c r="D15029" s="3"/>
      <c r="E15029" s="3">
        <v>6</v>
      </c>
      <c r="F15029" s="4" t="str">
        <f>HYPERLINK("http://141.218.60.56/~jnz1568/getInfo.php?workbook=10_05.xlsx&amp;sheet=U0&amp;row=15029&amp;col=6&amp;number=3.5&amp;sourceID=14","3.5")</f>
        <v>3.5</v>
      </c>
      <c r="G15029" s="4" t="str">
        <f>HYPERLINK("http://141.218.60.56/~jnz1568/getInfo.php?workbook=10_05.xlsx&amp;sheet=U0&amp;row=15029&amp;col=7&amp;number=0.106&amp;sourceID=14","0.106")</f>
        <v>0.106</v>
      </c>
    </row>
    <row r="15030" spans="1:7">
      <c r="A15030" s="3"/>
      <c r="B15030" s="3"/>
      <c r="C15030" s="3"/>
      <c r="D15030" s="3"/>
      <c r="E15030" s="3">
        <v>7</v>
      </c>
      <c r="F15030" s="4" t="str">
        <f>HYPERLINK("http://141.218.60.56/~jnz1568/getInfo.php?workbook=10_05.xlsx&amp;sheet=U0&amp;row=15030&amp;col=6&amp;number=3.6&amp;sourceID=14","3.6")</f>
        <v>3.6</v>
      </c>
      <c r="G15030" s="4" t="str">
        <f>HYPERLINK("http://141.218.60.56/~jnz1568/getInfo.php?workbook=10_05.xlsx&amp;sheet=U0&amp;row=15030&amp;col=7&amp;number=0.104&amp;sourceID=14","0.104")</f>
        <v>0.104</v>
      </c>
    </row>
    <row r="15031" spans="1:7">
      <c r="A15031" s="3"/>
      <c r="B15031" s="3"/>
      <c r="C15031" s="3"/>
      <c r="D15031" s="3"/>
      <c r="E15031" s="3">
        <v>8</v>
      </c>
      <c r="F15031" s="4" t="str">
        <f>HYPERLINK("http://141.218.60.56/~jnz1568/getInfo.php?workbook=10_05.xlsx&amp;sheet=U0&amp;row=15031&amp;col=6&amp;number=3.7&amp;sourceID=14","3.7")</f>
        <v>3.7</v>
      </c>
      <c r="G15031" s="4" t="str">
        <f>HYPERLINK("http://141.218.60.56/~jnz1568/getInfo.php?workbook=10_05.xlsx&amp;sheet=U0&amp;row=15031&amp;col=7&amp;number=0.103&amp;sourceID=14","0.103")</f>
        <v>0.103</v>
      </c>
    </row>
    <row r="15032" spans="1:7">
      <c r="A15032" s="3"/>
      <c r="B15032" s="3"/>
      <c r="C15032" s="3"/>
      <c r="D15032" s="3"/>
      <c r="E15032" s="3">
        <v>9</v>
      </c>
      <c r="F15032" s="4" t="str">
        <f>HYPERLINK("http://141.218.60.56/~jnz1568/getInfo.php?workbook=10_05.xlsx&amp;sheet=U0&amp;row=15032&amp;col=6&amp;number=3.8&amp;sourceID=14","3.8")</f>
        <v>3.8</v>
      </c>
      <c r="G15032" s="4" t="str">
        <f>HYPERLINK("http://141.218.60.56/~jnz1568/getInfo.php?workbook=10_05.xlsx&amp;sheet=U0&amp;row=15032&amp;col=7&amp;number=0.101&amp;sourceID=14","0.101")</f>
        <v>0.101</v>
      </c>
    </row>
    <row r="15033" spans="1:7">
      <c r="A15033" s="3"/>
      <c r="B15033" s="3"/>
      <c r="C15033" s="3"/>
      <c r="D15033" s="3"/>
      <c r="E15033" s="3">
        <v>10</v>
      </c>
      <c r="F15033" s="4" t="str">
        <f>HYPERLINK("http://141.218.60.56/~jnz1568/getInfo.php?workbook=10_05.xlsx&amp;sheet=U0&amp;row=15033&amp;col=6&amp;number=3.9&amp;sourceID=14","3.9")</f>
        <v>3.9</v>
      </c>
      <c r="G15033" s="4" t="str">
        <f>HYPERLINK("http://141.218.60.56/~jnz1568/getInfo.php?workbook=10_05.xlsx&amp;sheet=U0&amp;row=15033&amp;col=7&amp;number=0.0987&amp;sourceID=14","0.0987")</f>
        <v>0.0987</v>
      </c>
    </row>
    <row r="15034" spans="1:7">
      <c r="A15034" s="3"/>
      <c r="B15034" s="3"/>
      <c r="C15034" s="3"/>
      <c r="D15034" s="3"/>
      <c r="E15034" s="3">
        <v>11</v>
      </c>
      <c r="F15034" s="4" t="str">
        <f>HYPERLINK("http://141.218.60.56/~jnz1568/getInfo.php?workbook=10_05.xlsx&amp;sheet=U0&amp;row=15034&amp;col=6&amp;number=4&amp;sourceID=14","4")</f>
        <v>4</v>
      </c>
      <c r="G15034" s="4" t="str">
        <f>HYPERLINK("http://141.218.60.56/~jnz1568/getInfo.php?workbook=10_05.xlsx&amp;sheet=U0&amp;row=15034&amp;col=7&amp;number=0.096&amp;sourceID=14","0.096")</f>
        <v>0.096</v>
      </c>
    </row>
    <row r="15035" spans="1:7">
      <c r="A15035" s="3"/>
      <c r="B15035" s="3"/>
      <c r="C15035" s="3"/>
      <c r="D15035" s="3"/>
      <c r="E15035" s="3">
        <v>12</v>
      </c>
      <c r="F15035" s="4" t="str">
        <f>HYPERLINK("http://141.218.60.56/~jnz1568/getInfo.php?workbook=10_05.xlsx&amp;sheet=U0&amp;row=15035&amp;col=6&amp;number=4.1&amp;sourceID=14","4.1")</f>
        <v>4.1</v>
      </c>
      <c r="G15035" s="4" t="str">
        <f>HYPERLINK("http://141.218.60.56/~jnz1568/getInfo.php?workbook=10_05.xlsx&amp;sheet=U0&amp;row=15035&amp;col=7&amp;number=0.0928&amp;sourceID=14","0.0928")</f>
        <v>0.0928</v>
      </c>
    </row>
    <row r="15036" spans="1:7">
      <c r="A15036" s="3"/>
      <c r="B15036" s="3"/>
      <c r="C15036" s="3"/>
      <c r="D15036" s="3"/>
      <c r="E15036" s="3">
        <v>13</v>
      </c>
      <c r="F15036" s="4" t="str">
        <f>HYPERLINK("http://141.218.60.56/~jnz1568/getInfo.php?workbook=10_05.xlsx&amp;sheet=U0&amp;row=15036&amp;col=6&amp;number=4.2&amp;sourceID=14","4.2")</f>
        <v>4.2</v>
      </c>
      <c r="G15036" s="4" t="str">
        <f>HYPERLINK("http://141.218.60.56/~jnz1568/getInfo.php?workbook=10_05.xlsx&amp;sheet=U0&amp;row=15036&amp;col=7&amp;number=0.0891&amp;sourceID=14","0.0891")</f>
        <v>0.0891</v>
      </c>
    </row>
    <row r="15037" spans="1:7">
      <c r="A15037" s="3"/>
      <c r="B15037" s="3"/>
      <c r="C15037" s="3"/>
      <c r="D15037" s="3"/>
      <c r="E15037" s="3">
        <v>14</v>
      </c>
      <c r="F15037" s="4" t="str">
        <f>HYPERLINK("http://141.218.60.56/~jnz1568/getInfo.php?workbook=10_05.xlsx&amp;sheet=U0&amp;row=15037&amp;col=6&amp;number=4.3&amp;sourceID=14","4.3")</f>
        <v>4.3</v>
      </c>
      <c r="G15037" s="4" t="str">
        <f>HYPERLINK("http://141.218.60.56/~jnz1568/getInfo.php?workbook=10_05.xlsx&amp;sheet=U0&amp;row=15037&amp;col=7&amp;number=0.0849&amp;sourceID=14","0.0849")</f>
        <v>0.0849</v>
      </c>
    </row>
    <row r="15038" spans="1:7">
      <c r="A15038" s="3"/>
      <c r="B15038" s="3"/>
      <c r="C15038" s="3"/>
      <c r="D15038" s="3"/>
      <c r="E15038" s="3">
        <v>15</v>
      </c>
      <c r="F15038" s="4" t="str">
        <f>HYPERLINK("http://141.218.60.56/~jnz1568/getInfo.php?workbook=10_05.xlsx&amp;sheet=U0&amp;row=15038&amp;col=6&amp;number=4.4&amp;sourceID=14","4.4")</f>
        <v>4.4</v>
      </c>
      <c r="G15038" s="4" t="str">
        <f>HYPERLINK("http://141.218.60.56/~jnz1568/getInfo.php?workbook=10_05.xlsx&amp;sheet=U0&amp;row=15038&amp;col=7&amp;number=0.0804&amp;sourceID=14","0.0804")</f>
        <v>0.0804</v>
      </c>
    </row>
    <row r="15039" spans="1:7">
      <c r="A15039" s="3"/>
      <c r="B15039" s="3"/>
      <c r="C15039" s="3"/>
      <c r="D15039" s="3"/>
      <c r="E15039" s="3">
        <v>16</v>
      </c>
      <c r="F15039" s="4" t="str">
        <f>HYPERLINK("http://141.218.60.56/~jnz1568/getInfo.php?workbook=10_05.xlsx&amp;sheet=U0&amp;row=15039&amp;col=6&amp;number=4.5&amp;sourceID=14","4.5")</f>
        <v>4.5</v>
      </c>
      <c r="G15039" s="4" t="str">
        <f>HYPERLINK("http://141.218.60.56/~jnz1568/getInfo.php?workbook=10_05.xlsx&amp;sheet=U0&amp;row=15039&amp;col=7&amp;number=0.0758&amp;sourceID=14","0.0758")</f>
        <v>0.0758</v>
      </c>
    </row>
    <row r="15040" spans="1:7">
      <c r="A15040" s="3"/>
      <c r="B15040" s="3"/>
      <c r="C15040" s="3"/>
      <c r="D15040" s="3"/>
      <c r="E15040" s="3">
        <v>17</v>
      </c>
      <c r="F15040" s="4" t="str">
        <f>HYPERLINK("http://141.218.60.56/~jnz1568/getInfo.php?workbook=10_05.xlsx&amp;sheet=U0&amp;row=15040&amp;col=6&amp;number=4.6&amp;sourceID=14","4.6")</f>
        <v>4.6</v>
      </c>
      <c r="G15040" s="4" t="str">
        <f>HYPERLINK("http://141.218.60.56/~jnz1568/getInfo.php?workbook=10_05.xlsx&amp;sheet=U0&amp;row=15040&amp;col=7&amp;number=0.0714&amp;sourceID=14","0.0714")</f>
        <v>0.0714</v>
      </c>
    </row>
    <row r="15041" spans="1:7">
      <c r="A15041" s="3"/>
      <c r="B15041" s="3"/>
      <c r="C15041" s="3"/>
      <c r="D15041" s="3"/>
      <c r="E15041" s="3">
        <v>18</v>
      </c>
      <c r="F15041" s="4" t="str">
        <f>HYPERLINK("http://141.218.60.56/~jnz1568/getInfo.php?workbook=10_05.xlsx&amp;sheet=U0&amp;row=15041&amp;col=6&amp;number=4.7&amp;sourceID=14","4.7")</f>
        <v>4.7</v>
      </c>
      <c r="G15041" s="4" t="str">
        <f>HYPERLINK("http://141.218.60.56/~jnz1568/getInfo.php?workbook=10_05.xlsx&amp;sheet=U0&amp;row=15041&amp;col=7&amp;number=0.0676&amp;sourceID=14","0.0676")</f>
        <v>0.0676</v>
      </c>
    </row>
    <row r="15042" spans="1:7">
      <c r="A15042" s="3"/>
      <c r="B15042" s="3"/>
      <c r="C15042" s="3"/>
      <c r="D15042" s="3"/>
      <c r="E15042" s="3">
        <v>19</v>
      </c>
      <c r="F15042" s="4" t="str">
        <f>HYPERLINK("http://141.218.60.56/~jnz1568/getInfo.php?workbook=10_05.xlsx&amp;sheet=U0&amp;row=15042&amp;col=6&amp;number=4.8&amp;sourceID=14","4.8")</f>
        <v>4.8</v>
      </c>
      <c r="G15042" s="4" t="str">
        <f>HYPERLINK("http://141.218.60.56/~jnz1568/getInfo.php?workbook=10_05.xlsx&amp;sheet=U0&amp;row=15042&amp;col=7&amp;number=0.0645&amp;sourceID=14","0.0645")</f>
        <v>0.0645</v>
      </c>
    </row>
    <row r="15043" spans="1:7">
      <c r="A15043" s="3"/>
      <c r="B15043" s="3"/>
      <c r="C15043" s="3"/>
      <c r="D15043" s="3"/>
      <c r="E15043" s="3">
        <v>20</v>
      </c>
      <c r="F15043" s="4" t="str">
        <f>HYPERLINK("http://141.218.60.56/~jnz1568/getInfo.php?workbook=10_05.xlsx&amp;sheet=U0&amp;row=15043&amp;col=6&amp;number=4.9&amp;sourceID=14","4.9")</f>
        <v>4.9</v>
      </c>
      <c r="G15043" s="4" t="str">
        <f>HYPERLINK("http://141.218.60.56/~jnz1568/getInfo.php?workbook=10_05.xlsx&amp;sheet=U0&amp;row=15043&amp;col=7&amp;number=0.0615&amp;sourceID=14","0.0615")</f>
        <v>0.0615</v>
      </c>
    </row>
    <row r="15044" spans="1:7">
      <c r="A15044" s="3">
        <v>10</v>
      </c>
      <c r="B15044" s="3">
        <v>5</v>
      </c>
      <c r="C15044" s="3">
        <v>5</v>
      </c>
      <c r="D15044" s="3">
        <v>48</v>
      </c>
      <c r="E15044" s="3">
        <v>1</v>
      </c>
      <c r="F15044" s="4" t="str">
        <f>HYPERLINK("http://141.218.60.56/~jnz1568/getInfo.php?workbook=10_05.xlsx&amp;sheet=U0&amp;row=15044&amp;col=6&amp;number=3&amp;sourceID=14","3")</f>
        <v>3</v>
      </c>
      <c r="G15044" s="4" t="str">
        <f>HYPERLINK("http://141.218.60.56/~jnz1568/getInfo.php?workbook=10_05.xlsx&amp;sheet=U0&amp;row=15044&amp;col=7&amp;number=0.259&amp;sourceID=14","0.259")</f>
        <v>0.259</v>
      </c>
    </row>
    <row r="15045" spans="1:7">
      <c r="A15045" s="3"/>
      <c r="B15045" s="3"/>
      <c r="C15045" s="3"/>
      <c r="D15045" s="3"/>
      <c r="E15045" s="3">
        <v>2</v>
      </c>
      <c r="F15045" s="4" t="str">
        <f>HYPERLINK("http://141.218.60.56/~jnz1568/getInfo.php?workbook=10_05.xlsx&amp;sheet=U0&amp;row=15045&amp;col=6&amp;number=3.1&amp;sourceID=14","3.1")</f>
        <v>3.1</v>
      </c>
      <c r="G15045" s="4" t="str">
        <f>HYPERLINK("http://141.218.60.56/~jnz1568/getInfo.php?workbook=10_05.xlsx&amp;sheet=U0&amp;row=15045&amp;col=7&amp;number=0.257&amp;sourceID=14","0.257")</f>
        <v>0.257</v>
      </c>
    </row>
    <row r="15046" spans="1:7">
      <c r="A15046" s="3"/>
      <c r="B15046" s="3"/>
      <c r="C15046" s="3"/>
      <c r="D15046" s="3"/>
      <c r="E15046" s="3">
        <v>3</v>
      </c>
      <c r="F15046" s="4" t="str">
        <f>HYPERLINK("http://141.218.60.56/~jnz1568/getInfo.php?workbook=10_05.xlsx&amp;sheet=U0&amp;row=15046&amp;col=6&amp;number=3.2&amp;sourceID=14","3.2")</f>
        <v>3.2</v>
      </c>
      <c r="G15046" s="4" t="str">
        <f>HYPERLINK("http://141.218.60.56/~jnz1568/getInfo.php?workbook=10_05.xlsx&amp;sheet=U0&amp;row=15046&amp;col=7&amp;number=0.256&amp;sourceID=14","0.256")</f>
        <v>0.256</v>
      </c>
    </row>
    <row r="15047" spans="1:7">
      <c r="A15047" s="3"/>
      <c r="B15047" s="3"/>
      <c r="C15047" s="3"/>
      <c r="D15047" s="3"/>
      <c r="E15047" s="3">
        <v>4</v>
      </c>
      <c r="F15047" s="4" t="str">
        <f>HYPERLINK("http://141.218.60.56/~jnz1568/getInfo.php?workbook=10_05.xlsx&amp;sheet=U0&amp;row=15047&amp;col=6&amp;number=3.3&amp;sourceID=14","3.3")</f>
        <v>3.3</v>
      </c>
      <c r="G15047" s="4" t="str">
        <f>HYPERLINK("http://141.218.60.56/~jnz1568/getInfo.php?workbook=10_05.xlsx&amp;sheet=U0&amp;row=15047&amp;col=7&amp;number=0.254&amp;sourceID=14","0.254")</f>
        <v>0.254</v>
      </c>
    </row>
    <row r="15048" spans="1:7">
      <c r="A15048" s="3"/>
      <c r="B15048" s="3"/>
      <c r="C15048" s="3"/>
      <c r="D15048" s="3"/>
      <c r="E15048" s="3">
        <v>5</v>
      </c>
      <c r="F15048" s="4" t="str">
        <f>HYPERLINK("http://141.218.60.56/~jnz1568/getInfo.php?workbook=10_05.xlsx&amp;sheet=U0&amp;row=15048&amp;col=6&amp;number=3.4&amp;sourceID=14","3.4")</f>
        <v>3.4</v>
      </c>
      <c r="G15048" s="4" t="str">
        <f>HYPERLINK("http://141.218.60.56/~jnz1568/getInfo.php?workbook=10_05.xlsx&amp;sheet=U0&amp;row=15048&amp;col=7&amp;number=0.252&amp;sourceID=14","0.252")</f>
        <v>0.252</v>
      </c>
    </row>
    <row r="15049" spans="1:7">
      <c r="A15049" s="3"/>
      <c r="B15049" s="3"/>
      <c r="C15049" s="3"/>
      <c r="D15049" s="3"/>
      <c r="E15049" s="3">
        <v>6</v>
      </c>
      <c r="F15049" s="4" t="str">
        <f>HYPERLINK("http://141.218.60.56/~jnz1568/getInfo.php?workbook=10_05.xlsx&amp;sheet=U0&amp;row=15049&amp;col=6&amp;number=3.5&amp;sourceID=14","3.5")</f>
        <v>3.5</v>
      </c>
      <c r="G15049" s="4" t="str">
        <f>HYPERLINK("http://141.218.60.56/~jnz1568/getInfo.php?workbook=10_05.xlsx&amp;sheet=U0&amp;row=15049&amp;col=7&amp;number=0.249&amp;sourceID=14","0.249")</f>
        <v>0.249</v>
      </c>
    </row>
    <row r="15050" spans="1:7">
      <c r="A15050" s="3"/>
      <c r="B15050" s="3"/>
      <c r="C15050" s="3"/>
      <c r="D15050" s="3"/>
      <c r="E15050" s="3">
        <v>7</v>
      </c>
      <c r="F15050" s="4" t="str">
        <f>HYPERLINK("http://141.218.60.56/~jnz1568/getInfo.php?workbook=10_05.xlsx&amp;sheet=U0&amp;row=15050&amp;col=6&amp;number=3.6&amp;sourceID=14","3.6")</f>
        <v>3.6</v>
      </c>
      <c r="G15050" s="4" t="str">
        <f>HYPERLINK("http://141.218.60.56/~jnz1568/getInfo.php?workbook=10_05.xlsx&amp;sheet=U0&amp;row=15050&amp;col=7&amp;number=0.246&amp;sourceID=14","0.246")</f>
        <v>0.246</v>
      </c>
    </row>
    <row r="15051" spans="1:7">
      <c r="A15051" s="3"/>
      <c r="B15051" s="3"/>
      <c r="C15051" s="3"/>
      <c r="D15051" s="3"/>
      <c r="E15051" s="3">
        <v>8</v>
      </c>
      <c r="F15051" s="4" t="str">
        <f>HYPERLINK("http://141.218.60.56/~jnz1568/getInfo.php?workbook=10_05.xlsx&amp;sheet=U0&amp;row=15051&amp;col=6&amp;number=3.7&amp;sourceID=14","3.7")</f>
        <v>3.7</v>
      </c>
      <c r="G15051" s="4" t="str">
        <f>HYPERLINK("http://141.218.60.56/~jnz1568/getInfo.php?workbook=10_05.xlsx&amp;sheet=U0&amp;row=15051&amp;col=7&amp;number=0.242&amp;sourceID=14","0.242")</f>
        <v>0.242</v>
      </c>
    </row>
    <row r="15052" spans="1:7">
      <c r="A15052" s="3"/>
      <c r="B15052" s="3"/>
      <c r="C15052" s="3"/>
      <c r="D15052" s="3"/>
      <c r="E15052" s="3">
        <v>9</v>
      </c>
      <c r="F15052" s="4" t="str">
        <f>HYPERLINK("http://141.218.60.56/~jnz1568/getInfo.php?workbook=10_05.xlsx&amp;sheet=U0&amp;row=15052&amp;col=6&amp;number=3.8&amp;sourceID=14","3.8")</f>
        <v>3.8</v>
      </c>
      <c r="G15052" s="4" t="str">
        <f>HYPERLINK("http://141.218.60.56/~jnz1568/getInfo.php?workbook=10_05.xlsx&amp;sheet=U0&amp;row=15052&amp;col=7&amp;number=0.237&amp;sourceID=14","0.237")</f>
        <v>0.237</v>
      </c>
    </row>
    <row r="15053" spans="1:7">
      <c r="A15053" s="3"/>
      <c r="B15053" s="3"/>
      <c r="C15053" s="3"/>
      <c r="D15053" s="3"/>
      <c r="E15053" s="3">
        <v>10</v>
      </c>
      <c r="F15053" s="4" t="str">
        <f>HYPERLINK("http://141.218.60.56/~jnz1568/getInfo.php?workbook=10_05.xlsx&amp;sheet=U0&amp;row=15053&amp;col=6&amp;number=3.9&amp;sourceID=14","3.9")</f>
        <v>3.9</v>
      </c>
      <c r="G15053" s="4" t="str">
        <f>HYPERLINK("http://141.218.60.56/~jnz1568/getInfo.php?workbook=10_05.xlsx&amp;sheet=U0&amp;row=15053&amp;col=7&amp;number=0.231&amp;sourceID=14","0.231")</f>
        <v>0.231</v>
      </c>
    </row>
    <row r="15054" spans="1:7">
      <c r="A15054" s="3"/>
      <c r="B15054" s="3"/>
      <c r="C15054" s="3"/>
      <c r="D15054" s="3"/>
      <c r="E15054" s="3">
        <v>11</v>
      </c>
      <c r="F15054" s="4" t="str">
        <f>HYPERLINK("http://141.218.60.56/~jnz1568/getInfo.php?workbook=10_05.xlsx&amp;sheet=U0&amp;row=15054&amp;col=6&amp;number=4&amp;sourceID=14","4")</f>
        <v>4</v>
      </c>
      <c r="G15054" s="4" t="str">
        <f>HYPERLINK("http://141.218.60.56/~jnz1568/getInfo.php?workbook=10_05.xlsx&amp;sheet=U0&amp;row=15054&amp;col=7&amp;number=0.224&amp;sourceID=14","0.224")</f>
        <v>0.224</v>
      </c>
    </row>
    <row r="15055" spans="1:7">
      <c r="A15055" s="3"/>
      <c r="B15055" s="3"/>
      <c r="C15055" s="3"/>
      <c r="D15055" s="3"/>
      <c r="E15055" s="3">
        <v>12</v>
      </c>
      <c r="F15055" s="4" t="str">
        <f>HYPERLINK("http://141.218.60.56/~jnz1568/getInfo.php?workbook=10_05.xlsx&amp;sheet=U0&amp;row=15055&amp;col=6&amp;number=4.1&amp;sourceID=14","4.1")</f>
        <v>4.1</v>
      </c>
      <c r="G15055" s="4" t="str">
        <f>HYPERLINK("http://141.218.60.56/~jnz1568/getInfo.php?workbook=10_05.xlsx&amp;sheet=U0&amp;row=15055&amp;col=7&amp;number=0.215&amp;sourceID=14","0.215")</f>
        <v>0.215</v>
      </c>
    </row>
    <row r="15056" spans="1:7">
      <c r="A15056" s="3"/>
      <c r="B15056" s="3"/>
      <c r="C15056" s="3"/>
      <c r="D15056" s="3"/>
      <c r="E15056" s="3">
        <v>13</v>
      </c>
      <c r="F15056" s="4" t="str">
        <f>HYPERLINK("http://141.218.60.56/~jnz1568/getInfo.php?workbook=10_05.xlsx&amp;sheet=U0&amp;row=15056&amp;col=6&amp;number=4.2&amp;sourceID=14","4.2")</f>
        <v>4.2</v>
      </c>
      <c r="G15056" s="4" t="str">
        <f>HYPERLINK("http://141.218.60.56/~jnz1568/getInfo.php?workbook=10_05.xlsx&amp;sheet=U0&amp;row=15056&amp;col=7&amp;number=0.206&amp;sourceID=14","0.206")</f>
        <v>0.206</v>
      </c>
    </row>
    <row r="15057" spans="1:7">
      <c r="A15057" s="3"/>
      <c r="B15057" s="3"/>
      <c r="C15057" s="3"/>
      <c r="D15057" s="3"/>
      <c r="E15057" s="3">
        <v>14</v>
      </c>
      <c r="F15057" s="4" t="str">
        <f>HYPERLINK("http://141.218.60.56/~jnz1568/getInfo.php?workbook=10_05.xlsx&amp;sheet=U0&amp;row=15057&amp;col=6&amp;number=4.3&amp;sourceID=14","4.3")</f>
        <v>4.3</v>
      </c>
      <c r="G15057" s="4" t="str">
        <f>HYPERLINK("http://141.218.60.56/~jnz1568/getInfo.php?workbook=10_05.xlsx&amp;sheet=U0&amp;row=15057&amp;col=7&amp;number=0.196&amp;sourceID=14","0.196")</f>
        <v>0.196</v>
      </c>
    </row>
    <row r="15058" spans="1:7">
      <c r="A15058" s="3"/>
      <c r="B15058" s="3"/>
      <c r="C15058" s="3"/>
      <c r="D15058" s="3"/>
      <c r="E15058" s="3">
        <v>15</v>
      </c>
      <c r="F15058" s="4" t="str">
        <f>HYPERLINK("http://141.218.60.56/~jnz1568/getInfo.php?workbook=10_05.xlsx&amp;sheet=U0&amp;row=15058&amp;col=6&amp;number=4.4&amp;sourceID=14","4.4")</f>
        <v>4.4</v>
      </c>
      <c r="G15058" s="4" t="str">
        <f>HYPERLINK("http://141.218.60.56/~jnz1568/getInfo.php?workbook=10_05.xlsx&amp;sheet=U0&amp;row=15058&amp;col=7&amp;number=0.186&amp;sourceID=14","0.186")</f>
        <v>0.186</v>
      </c>
    </row>
    <row r="15059" spans="1:7">
      <c r="A15059" s="3"/>
      <c r="B15059" s="3"/>
      <c r="C15059" s="3"/>
      <c r="D15059" s="3"/>
      <c r="E15059" s="3">
        <v>16</v>
      </c>
      <c r="F15059" s="4" t="str">
        <f>HYPERLINK("http://141.218.60.56/~jnz1568/getInfo.php?workbook=10_05.xlsx&amp;sheet=U0&amp;row=15059&amp;col=6&amp;number=4.5&amp;sourceID=14","4.5")</f>
        <v>4.5</v>
      </c>
      <c r="G15059" s="4" t="str">
        <f>HYPERLINK("http://141.218.60.56/~jnz1568/getInfo.php?workbook=10_05.xlsx&amp;sheet=U0&amp;row=15059&amp;col=7&amp;number=0.176&amp;sourceID=14","0.176")</f>
        <v>0.176</v>
      </c>
    </row>
    <row r="15060" spans="1:7">
      <c r="A15060" s="3"/>
      <c r="B15060" s="3"/>
      <c r="C15060" s="3"/>
      <c r="D15060" s="3"/>
      <c r="E15060" s="3">
        <v>17</v>
      </c>
      <c r="F15060" s="4" t="str">
        <f>HYPERLINK("http://141.218.60.56/~jnz1568/getInfo.php?workbook=10_05.xlsx&amp;sheet=U0&amp;row=15060&amp;col=6&amp;number=4.6&amp;sourceID=14","4.6")</f>
        <v>4.6</v>
      </c>
      <c r="G15060" s="4" t="str">
        <f>HYPERLINK("http://141.218.60.56/~jnz1568/getInfo.php?workbook=10_05.xlsx&amp;sheet=U0&amp;row=15060&amp;col=7&amp;number=0.168&amp;sourceID=14","0.168")</f>
        <v>0.168</v>
      </c>
    </row>
    <row r="15061" spans="1:7">
      <c r="A15061" s="3"/>
      <c r="B15061" s="3"/>
      <c r="C15061" s="3"/>
      <c r="D15061" s="3"/>
      <c r="E15061" s="3">
        <v>18</v>
      </c>
      <c r="F15061" s="4" t="str">
        <f>HYPERLINK("http://141.218.60.56/~jnz1568/getInfo.php?workbook=10_05.xlsx&amp;sheet=U0&amp;row=15061&amp;col=6&amp;number=4.7&amp;sourceID=14","4.7")</f>
        <v>4.7</v>
      </c>
      <c r="G15061" s="4" t="str">
        <f>HYPERLINK("http://141.218.60.56/~jnz1568/getInfo.php?workbook=10_05.xlsx&amp;sheet=U0&amp;row=15061&amp;col=7&amp;number=0.16&amp;sourceID=14","0.16")</f>
        <v>0.16</v>
      </c>
    </row>
    <row r="15062" spans="1:7">
      <c r="A15062" s="3"/>
      <c r="B15062" s="3"/>
      <c r="C15062" s="3"/>
      <c r="D15062" s="3"/>
      <c r="E15062" s="3">
        <v>19</v>
      </c>
      <c r="F15062" s="4" t="str">
        <f>HYPERLINK("http://141.218.60.56/~jnz1568/getInfo.php?workbook=10_05.xlsx&amp;sheet=U0&amp;row=15062&amp;col=6&amp;number=4.8&amp;sourceID=14","4.8")</f>
        <v>4.8</v>
      </c>
      <c r="G15062" s="4" t="str">
        <f>HYPERLINK("http://141.218.60.56/~jnz1568/getInfo.php?workbook=10_05.xlsx&amp;sheet=U0&amp;row=15062&amp;col=7&amp;number=0.153&amp;sourceID=14","0.153")</f>
        <v>0.153</v>
      </c>
    </row>
    <row r="15063" spans="1:7">
      <c r="A15063" s="3"/>
      <c r="B15063" s="3"/>
      <c r="C15063" s="3"/>
      <c r="D15063" s="3"/>
      <c r="E15063" s="3">
        <v>20</v>
      </c>
      <c r="F15063" s="4" t="str">
        <f>HYPERLINK("http://141.218.60.56/~jnz1568/getInfo.php?workbook=10_05.xlsx&amp;sheet=U0&amp;row=15063&amp;col=6&amp;number=4.9&amp;sourceID=14","4.9")</f>
        <v>4.9</v>
      </c>
      <c r="G15063" s="4" t="str">
        <f>HYPERLINK("http://141.218.60.56/~jnz1568/getInfo.php?workbook=10_05.xlsx&amp;sheet=U0&amp;row=15063&amp;col=7&amp;number=0.148&amp;sourceID=14","0.148")</f>
        <v>0.148</v>
      </c>
    </row>
    <row r="15064" spans="1:7">
      <c r="A15064" s="3">
        <v>10</v>
      </c>
      <c r="B15064" s="3">
        <v>5</v>
      </c>
      <c r="C15064" s="3">
        <v>5</v>
      </c>
      <c r="D15064" s="3">
        <v>49</v>
      </c>
      <c r="E15064" s="3">
        <v>1</v>
      </c>
      <c r="F15064" s="4" t="str">
        <f>HYPERLINK("http://141.218.60.56/~jnz1568/getInfo.php?workbook=10_05.xlsx&amp;sheet=U0&amp;row=15064&amp;col=6&amp;number=3&amp;sourceID=14","3")</f>
        <v>3</v>
      </c>
      <c r="G15064" s="4" t="str">
        <f>HYPERLINK("http://141.218.60.56/~jnz1568/getInfo.php?workbook=10_05.xlsx&amp;sheet=U0&amp;row=15064&amp;col=7&amp;number=0.432&amp;sourceID=14","0.432")</f>
        <v>0.432</v>
      </c>
    </row>
    <row r="15065" spans="1:7">
      <c r="A15065" s="3"/>
      <c r="B15065" s="3"/>
      <c r="C15065" s="3"/>
      <c r="D15065" s="3"/>
      <c r="E15065" s="3">
        <v>2</v>
      </c>
      <c r="F15065" s="4" t="str">
        <f>HYPERLINK("http://141.218.60.56/~jnz1568/getInfo.php?workbook=10_05.xlsx&amp;sheet=U0&amp;row=15065&amp;col=6&amp;number=3.1&amp;sourceID=14","3.1")</f>
        <v>3.1</v>
      </c>
      <c r="G15065" s="4" t="str">
        <f>HYPERLINK("http://141.218.60.56/~jnz1568/getInfo.php?workbook=10_05.xlsx&amp;sheet=U0&amp;row=15065&amp;col=7&amp;number=0.432&amp;sourceID=14","0.432")</f>
        <v>0.432</v>
      </c>
    </row>
    <row r="15066" spans="1:7">
      <c r="A15066" s="3"/>
      <c r="B15066" s="3"/>
      <c r="C15066" s="3"/>
      <c r="D15066" s="3"/>
      <c r="E15066" s="3">
        <v>3</v>
      </c>
      <c r="F15066" s="4" t="str">
        <f>HYPERLINK("http://141.218.60.56/~jnz1568/getInfo.php?workbook=10_05.xlsx&amp;sheet=U0&amp;row=15066&amp;col=6&amp;number=3.2&amp;sourceID=14","3.2")</f>
        <v>3.2</v>
      </c>
      <c r="G15066" s="4" t="str">
        <f>HYPERLINK("http://141.218.60.56/~jnz1568/getInfo.php?workbook=10_05.xlsx&amp;sheet=U0&amp;row=15066&amp;col=7&amp;number=0.432&amp;sourceID=14","0.432")</f>
        <v>0.432</v>
      </c>
    </row>
    <row r="15067" spans="1:7">
      <c r="A15067" s="3"/>
      <c r="B15067" s="3"/>
      <c r="C15067" s="3"/>
      <c r="D15067" s="3"/>
      <c r="E15067" s="3">
        <v>4</v>
      </c>
      <c r="F15067" s="4" t="str">
        <f>HYPERLINK("http://141.218.60.56/~jnz1568/getInfo.php?workbook=10_05.xlsx&amp;sheet=U0&amp;row=15067&amp;col=6&amp;number=3.3&amp;sourceID=14","3.3")</f>
        <v>3.3</v>
      </c>
      <c r="G15067" s="4" t="str">
        <f>HYPERLINK("http://141.218.60.56/~jnz1568/getInfo.php?workbook=10_05.xlsx&amp;sheet=U0&amp;row=15067&amp;col=7&amp;number=0.431&amp;sourceID=14","0.431")</f>
        <v>0.431</v>
      </c>
    </row>
    <row r="15068" spans="1:7">
      <c r="A15068" s="3"/>
      <c r="B15068" s="3"/>
      <c r="C15068" s="3"/>
      <c r="D15068" s="3"/>
      <c r="E15068" s="3">
        <v>5</v>
      </c>
      <c r="F15068" s="4" t="str">
        <f>HYPERLINK("http://141.218.60.56/~jnz1568/getInfo.php?workbook=10_05.xlsx&amp;sheet=U0&amp;row=15068&amp;col=6&amp;number=3.4&amp;sourceID=14","3.4")</f>
        <v>3.4</v>
      </c>
      <c r="G15068" s="4" t="str">
        <f>HYPERLINK("http://141.218.60.56/~jnz1568/getInfo.php?workbook=10_05.xlsx&amp;sheet=U0&amp;row=15068&amp;col=7&amp;number=0.431&amp;sourceID=14","0.431")</f>
        <v>0.431</v>
      </c>
    </row>
    <row r="15069" spans="1:7">
      <c r="A15069" s="3"/>
      <c r="B15069" s="3"/>
      <c r="C15069" s="3"/>
      <c r="D15069" s="3"/>
      <c r="E15069" s="3">
        <v>6</v>
      </c>
      <c r="F15069" s="4" t="str">
        <f>HYPERLINK("http://141.218.60.56/~jnz1568/getInfo.php?workbook=10_05.xlsx&amp;sheet=U0&amp;row=15069&amp;col=6&amp;number=3.5&amp;sourceID=14","3.5")</f>
        <v>3.5</v>
      </c>
      <c r="G15069" s="4" t="str">
        <f>HYPERLINK("http://141.218.60.56/~jnz1568/getInfo.php?workbook=10_05.xlsx&amp;sheet=U0&amp;row=15069&amp;col=7&amp;number=0.43&amp;sourceID=14","0.43")</f>
        <v>0.43</v>
      </c>
    </row>
    <row r="15070" spans="1:7">
      <c r="A15070" s="3"/>
      <c r="B15070" s="3"/>
      <c r="C15070" s="3"/>
      <c r="D15070" s="3"/>
      <c r="E15070" s="3">
        <v>7</v>
      </c>
      <c r="F15070" s="4" t="str">
        <f>HYPERLINK("http://141.218.60.56/~jnz1568/getInfo.php?workbook=10_05.xlsx&amp;sheet=U0&amp;row=15070&amp;col=6&amp;number=3.6&amp;sourceID=14","3.6")</f>
        <v>3.6</v>
      </c>
      <c r="G15070" s="4" t="str">
        <f>HYPERLINK("http://141.218.60.56/~jnz1568/getInfo.php?workbook=10_05.xlsx&amp;sheet=U0&amp;row=15070&amp;col=7&amp;number=0.43&amp;sourceID=14","0.43")</f>
        <v>0.43</v>
      </c>
    </row>
    <row r="15071" spans="1:7">
      <c r="A15071" s="3"/>
      <c r="B15071" s="3"/>
      <c r="C15071" s="3"/>
      <c r="D15071" s="3"/>
      <c r="E15071" s="3">
        <v>8</v>
      </c>
      <c r="F15071" s="4" t="str">
        <f>HYPERLINK("http://141.218.60.56/~jnz1568/getInfo.php?workbook=10_05.xlsx&amp;sheet=U0&amp;row=15071&amp;col=6&amp;number=3.7&amp;sourceID=14","3.7")</f>
        <v>3.7</v>
      </c>
      <c r="G15071" s="4" t="str">
        <f>HYPERLINK("http://141.218.60.56/~jnz1568/getInfo.php?workbook=10_05.xlsx&amp;sheet=U0&amp;row=15071&amp;col=7&amp;number=0.429&amp;sourceID=14","0.429")</f>
        <v>0.429</v>
      </c>
    </row>
    <row r="15072" spans="1:7">
      <c r="A15072" s="3"/>
      <c r="B15072" s="3"/>
      <c r="C15072" s="3"/>
      <c r="D15072" s="3"/>
      <c r="E15072" s="3">
        <v>9</v>
      </c>
      <c r="F15072" s="4" t="str">
        <f>HYPERLINK("http://141.218.60.56/~jnz1568/getInfo.php?workbook=10_05.xlsx&amp;sheet=U0&amp;row=15072&amp;col=6&amp;number=3.8&amp;sourceID=14","3.8")</f>
        <v>3.8</v>
      </c>
      <c r="G15072" s="4" t="str">
        <f>HYPERLINK("http://141.218.60.56/~jnz1568/getInfo.php?workbook=10_05.xlsx&amp;sheet=U0&amp;row=15072&amp;col=7&amp;number=0.427&amp;sourceID=14","0.427")</f>
        <v>0.427</v>
      </c>
    </row>
    <row r="15073" spans="1:7">
      <c r="A15073" s="3"/>
      <c r="B15073" s="3"/>
      <c r="C15073" s="3"/>
      <c r="D15073" s="3"/>
      <c r="E15073" s="3">
        <v>10</v>
      </c>
      <c r="F15073" s="4" t="str">
        <f>HYPERLINK("http://141.218.60.56/~jnz1568/getInfo.php?workbook=10_05.xlsx&amp;sheet=U0&amp;row=15073&amp;col=6&amp;number=3.9&amp;sourceID=14","3.9")</f>
        <v>3.9</v>
      </c>
      <c r="G15073" s="4" t="str">
        <f>HYPERLINK("http://141.218.60.56/~jnz1568/getInfo.php?workbook=10_05.xlsx&amp;sheet=U0&amp;row=15073&amp;col=7&amp;number=0.426&amp;sourceID=14","0.426")</f>
        <v>0.426</v>
      </c>
    </row>
    <row r="15074" spans="1:7">
      <c r="A15074" s="3"/>
      <c r="B15074" s="3"/>
      <c r="C15074" s="3"/>
      <c r="D15074" s="3"/>
      <c r="E15074" s="3">
        <v>11</v>
      </c>
      <c r="F15074" s="4" t="str">
        <f>HYPERLINK("http://141.218.60.56/~jnz1568/getInfo.php?workbook=10_05.xlsx&amp;sheet=U0&amp;row=15074&amp;col=6&amp;number=4&amp;sourceID=14","4")</f>
        <v>4</v>
      </c>
      <c r="G15074" s="4" t="str">
        <f>HYPERLINK("http://141.218.60.56/~jnz1568/getInfo.php?workbook=10_05.xlsx&amp;sheet=U0&amp;row=15074&amp;col=7&amp;number=0.424&amp;sourceID=14","0.424")</f>
        <v>0.424</v>
      </c>
    </row>
    <row r="15075" spans="1:7">
      <c r="A15075" s="3"/>
      <c r="B15075" s="3"/>
      <c r="C15075" s="3"/>
      <c r="D15075" s="3"/>
      <c r="E15075" s="3">
        <v>12</v>
      </c>
      <c r="F15075" s="4" t="str">
        <f>HYPERLINK("http://141.218.60.56/~jnz1568/getInfo.php?workbook=10_05.xlsx&amp;sheet=U0&amp;row=15075&amp;col=6&amp;number=4.1&amp;sourceID=14","4.1")</f>
        <v>4.1</v>
      </c>
      <c r="G15075" s="4" t="str">
        <f>HYPERLINK("http://141.218.60.56/~jnz1568/getInfo.php?workbook=10_05.xlsx&amp;sheet=U0&amp;row=15075&amp;col=7&amp;number=0.422&amp;sourceID=14","0.422")</f>
        <v>0.422</v>
      </c>
    </row>
    <row r="15076" spans="1:7">
      <c r="A15076" s="3"/>
      <c r="B15076" s="3"/>
      <c r="C15076" s="3"/>
      <c r="D15076" s="3"/>
      <c r="E15076" s="3">
        <v>13</v>
      </c>
      <c r="F15076" s="4" t="str">
        <f>HYPERLINK("http://141.218.60.56/~jnz1568/getInfo.php?workbook=10_05.xlsx&amp;sheet=U0&amp;row=15076&amp;col=6&amp;number=4.2&amp;sourceID=14","4.2")</f>
        <v>4.2</v>
      </c>
      <c r="G15076" s="4" t="str">
        <f>HYPERLINK("http://141.218.60.56/~jnz1568/getInfo.php?workbook=10_05.xlsx&amp;sheet=U0&amp;row=15076&amp;col=7&amp;number=0.42&amp;sourceID=14","0.42")</f>
        <v>0.42</v>
      </c>
    </row>
    <row r="15077" spans="1:7">
      <c r="A15077" s="3"/>
      <c r="B15077" s="3"/>
      <c r="C15077" s="3"/>
      <c r="D15077" s="3"/>
      <c r="E15077" s="3">
        <v>14</v>
      </c>
      <c r="F15077" s="4" t="str">
        <f>HYPERLINK("http://141.218.60.56/~jnz1568/getInfo.php?workbook=10_05.xlsx&amp;sheet=U0&amp;row=15077&amp;col=6&amp;number=4.3&amp;sourceID=14","4.3")</f>
        <v>4.3</v>
      </c>
      <c r="G15077" s="4" t="str">
        <f>HYPERLINK("http://141.218.60.56/~jnz1568/getInfo.php?workbook=10_05.xlsx&amp;sheet=U0&amp;row=15077&amp;col=7&amp;number=0.417&amp;sourceID=14","0.417")</f>
        <v>0.417</v>
      </c>
    </row>
    <row r="15078" spans="1:7">
      <c r="A15078" s="3"/>
      <c r="B15078" s="3"/>
      <c r="C15078" s="3"/>
      <c r="D15078" s="3"/>
      <c r="E15078" s="3">
        <v>15</v>
      </c>
      <c r="F15078" s="4" t="str">
        <f>HYPERLINK("http://141.218.60.56/~jnz1568/getInfo.php?workbook=10_05.xlsx&amp;sheet=U0&amp;row=15078&amp;col=6&amp;number=4.4&amp;sourceID=14","4.4")</f>
        <v>4.4</v>
      </c>
      <c r="G15078" s="4" t="str">
        <f>HYPERLINK("http://141.218.60.56/~jnz1568/getInfo.php?workbook=10_05.xlsx&amp;sheet=U0&amp;row=15078&amp;col=7&amp;number=0.414&amp;sourceID=14","0.414")</f>
        <v>0.414</v>
      </c>
    </row>
    <row r="15079" spans="1:7">
      <c r="A15079" s="3"/>
      <c r="B15079" s="3"/>
      <c r="C15079" s="3"/>
      <c r="D15079" s="3"/>
      <c r="E15079" s="3">
        <v>16</v>
      </c>
      <c r="F15079" s="4" t="str">
        <f>HYPERLINK("http://141.218.60.56/~jnz1568/getInfo.php?workbook=10_05.xlsx&amp;sheet=U0&amp;row=15079&amp;col=6&amp;number=4.5&amp;sourceID=14","4.5")</f>
        <v>4.5</v>
      </c>
      <c r="G15079" s="4" t="str">
        <f>HYPERLINK("http://141.218.60.56/~jnz1568/getInfo.php?workbook=10_05.xlsx&amp;sheet=U0&amp;row=15079&amp;col=7&amp;number=0.411&amp;sourceID=14","0.411")</f>
        <v>0.411</v>
      </c>
    </row>
    <row r="15080" spans="1:7">
      <c r="A15080" s="3"/>
      <c r="B15080" s="3"/>
      <c r="C15080" s="3"/>
      <c r="D15080" s="3"/>
      <c r="E15080" s="3">
        <v>17</v>
      </c>
      <c r="F15080" s="4" t="str">
        <f>HYPERLINK("http://141.218.60.56/~jnz1568/getInfo.php?workbook=10_05.xlsx&amp;sheet=U0&amp;row=15080&amp;col=6&amp;number=4.6&amp;sourceID=14","4.6")</f>
        <v>4.6</v>
      </c>
      <c r="G15080" s="4" t="str">
        <f>HYPERLINK("http://141.218.60.56/~jnz1568/getInfo.php?workbook=10_05.xlsx&amp;sheet=U0&amp;row=15080&amp;col=7&amp;number=0.409&amp;sourceID=14","0.409")</f>
        <v>0.409</v>
      </c>
    </row>
    <row r="15081" spans="1:7">
      <c r="A15081" s="3"/>
      <c r="B15081" s="3"/>
      <c r="C15081" s="3"/>
      <c r="D15081" s="3"/>
      <c r="E15081" s="3">
        <v>18</v>
      </c>
      <c r="F15081" s="4" t="str">
        <f>HYPERLINK("http://141.218.60.56/~jnz1568/getInfo.php?workbook=10_05.xlsx&amp;sheet=U0&amp;row=15081&amp;col=6&amp;number=4.7&amp;sourceID=14","4.7")</f>
        <v>4.7</v>
      </c>
      <c r="G15081" s="4" t="str">
        <f>HYPERLINK("http://141.218.60.56/~jnz1568/getInfo.php?workbook=10_05.xlsx&amp;sheet=U0&amp;row=15081&amp;col=7&amp;number=0.408&amp;sourceID=14","0.408")</f>
        <v>0.408</v>
      </c>
    </row>
    <row r="15082" spans="1:7">
      <c r="A15082" s="3"/>
      <c r="B15082" s="3"/>
      <c r="C15082" s="3"/>
      <c r="D15082" s="3"/>
      <c r="E15082" s="3">
        <v>19</v>
      </c>
      <c r="F15082" s="4" t="str">
        <f>HYPERLINK("http://141.218.60.56/~jnz1568/getInfo.php?workbook=10_05.xlsx&amp;sheet=U0&amp;row=15082&amp;col=6&amp;number=4.8&amp;sourceID=14","4.8")</f>
        <v>4.8</v>
      </c>
      <c r="G15082" s="4" t="str">
        <f>HYPERLINK("http://141.218.60.56/~jnz1568/getInfo.php?workbook=10_05.xlsx&amp;sheet=U0&amp;row=15082&amp;col=7&amp;number=0.409&amp;sourceID=14","0.409")</f>
        <v>0.409</v>
      </c>
    </row>
    <row r="15083" spans="1:7">
      <c r="A15083" s="3"/>
      <c r="B15083" s="3"/>
      <c r="C15083" s="3"/>
      <c r="D15083" s="3"/>
      <c r="E15083" s="3">
        <v>20</v>
      </c>
      <c r="F15083" s="4" t="str">
        <f>HYPERLINK("http://141.218.60.56/~jnz1568/getInfo.php?workbook=10_05.xlsx&amp;sheet=U0&amp;row=15083&amp;col=6&amp;number=4.9&amp;sourceID=14","4.9")</f>
        <v>4.9</v>
      </c>
      <c r="G15083" s="4" t="str">
        <f>HYPERLINK("http://141.218.60.56/~jnz1568/getInfo.php?workbook=10_05.xlsx&amp;sheet=U0&amp;row=15083&amp;col=7&amp;number=0.412&amp;sourceID=14","0.412")</f>
        <v>0.412</v>
      </c>
    </row>
    <row r="15084" spans="1:7">
      <c r="A15084" s="3">
        <v>10</v>
      </c>
      <c r="B15084" s="3">
        <v>5</v>
      </c>
      <c r="C15084" s="3">
        <v>5</v>
      </c>
      <c r="D15084" s="3">
        <v>50</v>
      </c>
      <c r="E15084" s="3">
        <v>1</v>
      </c>
      <c r="F15084" s="4" t="str">
        <f>HYPERLINK("http://141.218.60.56/~jnz1568/getInfo.php?workbook=10_05.xlsx&amp;sheet=U0&amp;row=15084&amp;col=6&amp;number=3&amp;sourceID=14","3")</f>
        <v>3</v>
      </c>
      <c r="G15084" s="4" t="str">
        <f>HYPERLINK("http://141.218.60.56/~jnz1568/getInfo.php?workbook=10_05.xlsx&amp;sheet=U0&amp;row=15084&amp;col=7&amp;number=0.216&amp;sourceID=14","0.216")</f>
        <v>0.216</v>
      </c>
    </row>
    <row r="15085" spans="1:7">
      <c r="A15085" s="3"/>
      <c r="B15085" s="3"/>
      <c r="C15085" s="3"/>
      <c r="D15085" s="3"/>
      <c r="E15085" s="3">
        <v>2</v>
      </c>
      <c r="F15085" s="4" t="str">
        <f>HYPERLINK("http://141.218.60.56/~jnz1568/getInfo.php?workbook=10_05.xlsx&amp;sheet=U0&amp;row=15085&amp;col=6&amp;number=3.1&amp;sourceID=14","3.1")</f>
        <v>3.1</v>
      </c>
      <c r="G15085" s="4" t="str">
        <f>HYPERLINK("http://141.218.60.56/~jnz1568/getInfo.php?workbook=10_05.xlsx&amp;sheet=U0&amp;row=15085&amp;col=7&amp;number=0.216&amp;sourceID=14","0.216")</f>
        <v>0.216</v>
      </c>
    </row>
    <row r="15086" spans="1:7">
      <c r="A15086" s="3"/>
      <c r="B15086" s="3"/>
      <c r="C15086" s="3"/>
      <c r="D15086" s="3"/>
      <c r="E15086" s="3">
        <v>3</v>
      </c>
      <c r="F15086" s="4" t="str">
        <f>HYPERLINK("http://141.218.60.56/~jnz1568/getInfo.php?workbook=10_05.xlsx&amp;sheet=U0&amp;row=15086&amp;col=6&amp;number=3.2&amp;sourceID=14","3.2")</f>
        <v>3.2</v>
      </c>
      <c r="G15086" s="4" t="str">
        <f>HYPERLINK("http://141.218.60.56/~jnz1568/getInfo.php?workbook=10_05.xlsx&amp;sheet=U0&amp;row=15086&amp;col=7&amp;number=0.216&amp;sourceID=14","0.216")</f>
        <v>0.216</v>
      </c>
    </row>
    <row r="15087" spans="1:7">
      <c r="A15087" s="3"/>
      <c r="B15087" s="3"/>
      <c r="C15087" s="3"/>
      <c r="D15087" s="3"/>
      <c r="E15087" s="3">
        <v>4</v>
      </c>
      <c r="F15087" s="4" t="str">
        <f>HYPERLINK("http://141.218.60.56/~jnz1568/getInfo.php?workbook=10_05.xlsx&amp;sheet=U0&amp;row=15087&amp;col=6&amp;number=3.3&amp;sourceID=14","3.3")</f>
        <v>3.3</v>
      </c>
      <c r="G15087" s="4" t="str">
        <f>HYPERLINK("http://141.218.60.56/~jnz1568/getInfo.php?workbook=10_05.xlsx&amp;sheet=U0&amp;row=15087&amp;col=7&amp;number=0.216&amp;sourceID=14","0.216")</f>
        <v>0.216</v>
      </c>
    </row>
    <row r="15088" spans="1:7">
      <c r="A15088" s="3"/>
      <c r="B15088" s="3"/>
      <c r="C15088" s="3"/>
      <c r="D15088" s="3"/>
      <c r="E15088" s="3">
        <v>5</v>
      </c>
      <c r="F15088" s="4" t="str">
        <f>HYPERLINK("http://141.218.60.56/~jnz1568/getInfo.php?workbook=10_05.xlsx&amp;sheet=U0&amp;row=15088&amp;col=6&amp;number=3.4&amp;sourceID=14","3.4")</f>
        <v>3.4</v>
      </c>
      <c r="G15088" s="4" t="str">
        <f>HYPERLINK("http://141.218.60.56/~jnz1568/getInfo.php?workbook=10_05.xlsx&amp;sheet=U0&amp;row=15088&amp;col=7&amp;number=0.215&amp;sourceID=14","0.215")</f>
        <v>0.215</v>
      </c>
    </row>
    <row r="15089" spans="1:7">
      <c r="A15089" s="3"/>
      <c r="B15089" s="3"/>
      <c r="C15089" s="3"/>
      <c r="D15089" s="3"/>
      <c r="E15089" s="3">
        <v>6</v>
      </c>
      <c r="F15089" s="4" t="str">
        <f>HYPERLINK("http://141.218.60.56/~jnz1568/getInfo.php?workbook=10_05.xlsx&amp;sheet=U0&amp;row=15089&amp;col=6&amp;number=3.5&amp;sourceID=14","3.5")</f>
        <v>3.5</v>
      </c>
      <c r="G15089" s="4" t="str">
        <f>HYPERLINK("http://141.218.60.56/~jnz1568/getInfo.php?workbook=10_05.xlsx&amp;sheet=U0&amp;row=15089&amp;col=7&amp;number=0.215&amp;sourceID=14","0.215")</f>
        <v>0.215</v>
      </c>
    </row>
    <row r="15090" spans="1:7">
      <c r="A15090" s="3"/>
      <c r="B15090" s="3"/>
      <c r="C15090" s="3"/>
      <c r="D15090" s="3"/>
      <c r="E15090" s="3">
        <v>7</v>
      </c>
      <c r="F15090" s="4" t="str">
        <f>HYPERLINK("http://141.218.60.56/~jnz1568/getInfo.php?workbook=10_05.xlsx&amp;sheet=U0&amp;row=15090&amp;col=6&amp;number=3.6&amp;sourceID=14","3.6")</f>
        <v>3.6</v>
      </c>
      <c r="G15090" s="4" t="str">
        <f>HYPERLINK("http://141.218.60.56/~jnz1568/getInfo.php?workbook=10_05.xlsx&amp;sheet=U0&amp;row=15090&amp;col=7&amp;number=0.214&amp;sourceID=14","0.214")</f>
        <v>0.214</v>
      </c>
    </row>
    <row r="15091" spans="1:7">
      <c r="A15091" s="3"/>
      <c r="B15091" s="3"/>
      <c r="C15091" s="3"/>
      <c r="D15091" s="3"/>
      <c r="E15091" s="3">
        <v>8</v>
      </c>
      <c r="F15091" s="4" t="str">
        <f>HYPERLINK("http://141.218.60.56/~jnz1568/getInfo.php?workbook=10_05.xlsx&amp;sheet=U0&amp;row=15091&amp;col=6&amp;number=3.7&amp;sourceID=14","3.7")</f>
        <v>3.7</v>
      </c>
      <c r="G15091" s="4" t="str">
        <f>HYPERLINK("http://141.218.60.56/~jnz1568/getInfo.php?workbook=10_05.xlsx&amp;sheet=U0&amp;row=15091&amp;col=7&amp;number=0.213&amp;sourceID=14","0.213")</f>
        <v>0.213</v>
      </c>
    </row>
    <row r="15092" spans="1:7">
      <c r="A15092" s="3"/>
      <c r="B15092" s="3"/>
      <c r="C15092" s="3"/>
      <c r="D15092" s="3"/>
      <c r="E15092" s="3">
        <v>9</v>
      </c>
      <c r="F15092" s="4" t="str">
        <f>HYPERLINK("http://141.218.60.56/~jnz1568/getInfo.php?workbook=10_05.xlsx&amp;sheet=U0&amp;row=15092&amp;col=6&amp;number=3.8&amp;sourceID=14","3.8")</f>
        <v>3.8</v>
      </c>
      <c r="G15092" s="4" t="str">
        <f>HYPERLINK("http://141.218.60.56/~jnz1568/getInfo.php?workbook=10_05.xlsx&amp;sheet=U0&amp;row=15092&amp;col=7&amp;number=0.212&amp;sourceID=14","0.212")</f>
        <v>0.212</v>
      </c>
    </row>
    <row r="15093" spans="1:7">
      <c r="A15093" s="3"/>
      <c r="B15093" s="3"/>
      <c r="C15093" s="3"/>
      <c r="D15093" s="3"/>
      <c r="E15093" s="3">
        <v>10</v>
      </c>
      <c r="F15093" s="4" t="str">
        <f>HYPERLINK("http://141.218.60.56/~jnz1568/getInfo.php?workbook=10_05.xlsx&amp;sheet=U0&amp;row=15093&amp;col=6&amp;number=3.9&amp;sourceID=14","3.9")</f>
        <v>3.9</v>
      </c>
      <c r="G15093" s="4" t="str">
        <f>HYPERLINK("http://141.218.60.56/~jnz1568/getInfo.php?workbook=10_05.xlsx&amp;sheet=U0&amp;row=15093&amp;col=7&amp;number=0.211&amp;sourceID=14","0.211")</f>
        <v>0.211</v>
      </c>
    </row>
    <row r="15094" spans="1:7">
      <c r="A15094" s="3"/>
      <c r="B15094" s="3"/>
      <c r="C15094" s="3"/>
      <c r="D15094" s="3"/>
      <c r="E15094" s="3">
        <v>11</v>
      </c>
      <c r="F15094" s="4" t="str">
        <f>HYPERLINK("http://141.218.60.56/~jnz1568/getInfo.php?workbook=10_05.xlsx&amp;sheet=U0&amp;row=15094&amp;col=6&amp;number=4&amp;sourceID=14","4")</f>
        <v>4</v>
      </c>
      <c r="G15094" s="4" t="str">
        <f>HYPERLINK("http://141.218.60.56/~jnz1568/getInfo.php?workbook=10_05.xlsx&amp;sheet=U0&amp;row=15094&amp;col=7&amp;number=0.21&amp;sourceID=14","0.21")</f>
        <v>0.21</v>
      </c>
    </row>
    <row r="15095" spans="1:7">
      <c r="A15095" s="3"/>
      <c r="B15095" s="3"/>
      <c r="C15095" s="3"/>
      <c r="D15095" s="3"/>
      <c r="E15095" s="3">
        <v>12</v>
      </c>
      <c r="F15095" s="4" t="str">
        <f>HYPERLINK("http://141.218.60.56/~jnz1568/getInfo.php?workbook=10_05.xlsx&amp;sheet=U0&amp;row=15095&amp;col=6&amp;number=4.1&amp;sourceID=14","4.1")</f>
        <v>4.1</v>
      </c>
      <c r="G15095" s="4" t="str">
        <f>HYPERLINK("http://141.218.60.56/~jnz1568/getInfo.php?workbook=10_05.xlsx&amp;sheet=U0&amp;row=15095&amp;col=7&amp;number=0.208&amp;sourceID=14","0.208")</f>
        <v>0.208</v>
      </c>
    </row>
    <row r="15096" spans="1:7">
      <c r="A15096" s="3"/>
      <c r="B15096" s="3"/>
      <c r="C15096" s="3"/>
      <c r="D15096" s="3"/>
      <c r="E15096" s="3">
        <v>13</v>
      </c>
      <c r="F15096" s="4" t="str">
        <f>HYPERLINK("http://141.218.60.56/~jnz1568/getInfo.php?workbook=10_05.xlsx&amp;sheet=U0&amp;row=15096&amp;col=6&amp;number=4.2&amp;sourceID=14","4.2")</f>
        <v>4.2</v>
      </c>
      <c r="G15096" s="4" t="str">
        <f>HYPERLINK("http://141.218.60.56/~jnz1568/getInfo.php?workbook=10_05.xlsx&amp;sheet=U0&amp;row=15096&amp;col=7&amp;number=0.206&amp;sourceID=14","0.206")</f>
        <v>0.206</v>
      </c>
    </row>
    <row r="15097" spans="1:7">
      <c r="A15097" s="3"/>
      <c r="B15097" s="3"/>
      <c r="C15097" s="3"/>
      <c r="D15097" s="3"/>
      <c r="E15097" s="3">
        <v>14</v>
      </c>
      <c r="F15097" s="4" t="str">
        <f>HYPERLINK("http://141.218.60.56/~jnz1568/getInfo.php?workbook=10_05.xlsx&amp;sheet=U0&amp;row=15097&amp;col=6&amp;number=4.3&amp;sourceID=14","4.3")</f>
        <v>4.3</v>
      </c>
      <c r="G15097" s="4" t="str">
        <f>HYPERLINK("http://141.218.60.56/~jnz1568/getInfo.php?workbook=10_05.xlsx&amp;sheet=U0&amp;row=15097&amp;col=7&amp;number=0.203&amp;sourceID=14","0.203")</f>
        <v>0.203</v>
      </c>
    </row>
    <row r="15098" spans="1:7">
      <c r="A15098" s="3"/>
      <c r="B15098" s="3"/>
      <c r="C15098" s="3"/>
      <c r="D15098" s="3"/>
      <c r="E15098" s="3">
        <v>15</v>
      </c>
      <c r="F15098" s="4" t="str">
        <f>HYPERLINK("http://141.218.60.56/~jnz1568/getInfo.php?workbook=10_05.xlsx&amp;sheet=U0&amp;row=15098&amp;col=6&amp;number=4.4&amp;sourceID=14","4.4")</f>
        <v>4.4</v>
      </c>
      <c r="G15098" s="4" t="str">
        <f>HYPERLINK("http://141.218.60.56/~jnz1568/getInfo.php?workbook=10_05.xlsx&amp;sheet=U0&amp;row=15098&amp;col=7&amp;number=0.201&amp;sourceID=14","0.201")</f>
        <v>0.201</v>
      </c>
    </row>
    <row r="15099" spans="1:7">
      <c r="A15099" s="3"/>
      <c r="B15099" s="3"/>
      <c r="C15099" s="3"/>
      <c r="D15099" s="3"/>
      <c r="E15099" s="3">
        <v>16</v>
      </c>
      <c r="F15099" s="4" t="str">
        <f>HYPERLINK("http://141.218.60.56/~jnz1568/getInfo.php?workbook=10_05.xlsx&amp;sheet=U0&amp;row=15099&amp;col=6&amp;number=4.5&amp;sourceID=14","4.5")</f>
        <v>4.5</v>
      </c>
      <c r="G15099" s="4" t="str">
        <f>HYPERLINK("http://141.218.60.56/~jnz1568/getInfo.php?workbook=10_05.xlsx&amp;sheet=U0&amp;row=15099&amp;col=7&amp;number=0.198&amp;sourceID=14","0.198")</f>
        <v>0.198</v>
      </c>
    </row>
    <row r="15100" spans="1:7">
      <c r="A15100" s="3"/>
      <c r="B15100" s="3"/>
      <c r="C15100" s="3"/>
      <c r="D15100" s="3"/>
      <c r="E15100" s="3">
        <v>17</v>
      </c>
      <c r="F15100" s="4" t="str">
        <f>HYPERLINK("http://141.218.60.56/~jnz1568/getInfo.php?workbook=10_05.xlsx&amp;sheet=U0&amp;row=15100&amp;col=6&amp;number=4.6&amp;sourceID=14","4.6")</f>
        <v>4.6</v>
      </c>
      <c r="G15100" s="4" t="str">
        <f>HYPERLINK("http://141.218.60.56/~jnz1568/getInfo.php?workbook=10_05.xlsx&amp;sheet=U0&amp;row=15100&amp;col=7&amp;number=0.195&amp;sourceID=14","0.195")</f>
        <v>0.195</v>
      </c>
    </row>
    <row r="15101" spans="1:7">
      <c r="A15101" s="3"/>
      <c r="B15101" s="3"/>
      <c r="C15101" s="3"/>
      <c r="D15101" s="3"/>
      <c r="E15101" s="3">
        <v>18</v>
      </c>
      <c r="F15101" s="4" t="str">
        <f>HYPERLINK("http://141.218.60.56/~jnz1568/getInfo.php?workbook=10_05.xlsx&amp;sheet=U0&amp;row=15101&amp;col=6&amp;number=4.7&amp;sourceID=14","4.7")</f>
        <v>4.7</v>
      </c>
      <c r="G15101" s="4" t="str">
        <f>HYPERLINK("http://141.218.60.56/~jnz1568/getInfo.php?workbook=10_05.xlsx&amp;sheet=U0&amp;row=15101&amp;col=7&amp;number=0.194&amp;sourceID=14","0.194")</f>
        <v>0.194</v>
      </c>
    </row>
    <row r="15102" spans="1:7">
      <c r="A15102" s="3"/>
      <c r="B15102" s="3"/>
      <c r="C15102" s="3"/>
      <c r="D15102" s="3"/>
      <c r="E15102" s="3">
        <v>19</v>
      </c>
      <c r="F15102" s="4" t="str">
        <f>HYPERLINK("http://141.218.60.56/~jnz1568/getInfo.php?workbook=10_05.xlsx&amp;sheet=U0&amp;row=15102&amp;col=6&amp;number=4.8&amp;sourceID=14","4.8")</f>
        <v>4.8</v>
      </c>
      <c r="G15102" s="4" t="str">
        <f>HYPERLINK("http://141.218.60.56/~jnz1568/getInfo.php?workbook=10_05.xlsx&amp;sheet=U0&amp;row=15102&amp;col=7&amp;number=0.193&amp;sourceID=14","0.193")</f>
        <v>0.193</v>
      </c>
    </row>
    <row r="15103" spans="1:7">
      <c r="A15103" s="3"/>
      <c r="B15103" s="3"/>
      <c r="C15103" s="3"/>
      <c r="D15103" s="3"/>
      <c r="E15103" s="3">
        <v>20</v>
      </c>
      <c r="F15103" s="4" t="str">
        <f>HYPERLINK("http://141.218.60.56/~jnz1568/getInfo.php?workbook=10_05.xlsx&amp;sheet=U0&amp;row=15103&amp;col=6&amp;number=4.9&amp;sourceID=14","4.9")</f>
        <v>4.9</v>
      </c>
      <c r="G15103" s="4" t="str">
        <f>HYPERLINK("http://141.218.60.56/~jnz1568/getInfo.php?workbook=10_05.xlsx&amp;sheet=U0&amp;row=15103&amp;col=7&amp;number=0.193&amp;sourceID=14","0.193")</f>
        <v>0.193</v>
      </c>
    </row>
    <row r="15104" spans="1:7">
      <c r="A15104" s="3">
        <v>10</v>
      </c>
      <c r="B15104" s="3">
        <v>5</v>
      </c>
      <c r="C15104" s="3">
        <v>5</v>
      </c>
      <c r="D15104" s="3">
        <v>51</v>
      </c>
      <c r="E15104" s="3">
        <v>1</v>
      </c>
      <c r="F15104" s="4" t="str">
        <f>HYPERLINK("http://141.218.60.56/~jnz1568/getInfo.php?workbook=10_05.xlsx&amp;sheet=U0&amp;row=15104&amp;col=6&amp;number=3&amp;sourceID=14","3")</f>
        <v>3</v>
      </c>
      <c r="G15104" s="4" t="str">
        <f>HYPERLINK("http://141.218.60.56/~jnz1568/getInfo.php?workbook=10_05.xlsx&amp;sheet=U0&amp;row=15104&amp;col=7&amp;number=0.0529&amp;sourceID=14","0.0529")</f>
        <v>0.0529</v>
      </c>
    </row>
    <row r="15105" spans="1:7">
      <c r="A15105" s="3"/>
      <c r="B15105" s="3"/>
      <c r="C15105" s="3"/>
      <c r="D15105" s="3"/>
      <c r="E15105" s="3">
        <v>2</v>
      </c>
      <c r="F15105" s="4" t="str">
        <f>HYPERLINK("http://141.218.60.56/~jnz1568/getInfo.php?workbook=10_05.xlsx&amp;sheet=U0&amp;row=15105&amp;col=6&amp;number=3.1&amp;sourceID=14","3.1")</f>
        <v>3.1</v>
      </c>
      <c r="G15105" s="4" t="str">
        <f>HYPERLINK("http://141.218.60.56/~jnz1568/getInfo.php?workbook=10_05.xlsx&amp;sheet=U0&amp;row=15105&amp;col=7&amp;number=0.0527&amp;sourceID=14","0.0527")</f>
        <v>0.0527</v>
      </c>
    </row>
    <row r="15106" spans="1:7">
      <c r="A15106" s="3"/>
      <c r="B15106" s="3"/>
      <c r="C15106" s="3"/>
      <c r="D15106" s="3"/>
      <c r="E15106" s="3">
        <v>3</v>
      </c>
      <c r="F15106" s="4" t="str">
        <f>HYPERLINK("http://141.218.60.56/~jnz1568/getInfo.php?workbook=10_05.xlsx&amp;sheet=U0&amp;row=15106&amp;col=6&amp;number=3.2&amp;sourceID=14","3.2")</f>
        <v>3.2</v>
      </c>
      <c r="G15106" s="4" t="str">
        <f>HYPERLINK("http://141.218.60.56/~jnz1568/getInfo.php?workbook=10_05.xlsx&amp;sheet=U0&amp;row=15106&amp;col=7&amp;number=0.0524&amp;sourceID=14","0.0524")</f>
        <v>0.0524</v>
      </c>
    </row>
    <row r="15107" spans="1:7">
      <c r="A15107" s="3"/>
      <c r="B15107" s="3"/>
      <c r="C15107" s="3"/>
      <c r="D15107" s="3"/>
      <c r="E15107" s="3">
        <v>4</v>
      </c>
      <c r="F15107" s="4" t="str">
        <f>HYPERLINK("http://141.218.60.56/~jnz1568/getInfo.php?workbook=10_05.xlsx&amp;sheet=U0&amp;row=15107&amp;col=6&amp;number=3.3&amp;sourceID=14","3.3")</f>
        <v>3.3</v>
      </c>
      <c r="G15107" s="4" t="str">
        <f>HYPERLINK("http://141.218.60.56/~jnz1568/getInfo.php?workbook=10_05.xlsx&amp;sheet=U0&amp;row=15107&amp;col=7&amp;number=0.0521&amp;sourceID=14","0.0521")</f>
        <v>0.0521</v>
      </c>
    </row>
    <row r="15108" spans="1:7">
      <c r="A15108" s="3"/>
      <c r="B15108" s="3"/>
      <c r="C15108" s="3"/>
      <c r="D15108" s="3"/>
      <c r="E15108" s="3">
        <v>5</v>
      </c>
      <c r="F15108" s="4" t="str">
        <f>HYPERLINK("http://141.218.60.56/~jnz1568/getInfo.php?workbook=10_05.xlsx&amp;sheet=U0&amp;row=15108&amp;col=6&amp;number=3.4&amp;sourceID=14","3.4")</f>
        <v>3.4</v>
      </c>
      <c r="G15108" s="4" t="str">
        <f>HYPERLINK("http://141.218.60.56/~jnz1568/getInfo.php?workbook=10_05.xlsx&amp;sheet=U0&amp;row=15108&amp;col=7&amp;number=0.0517&amp;sourceID=14","0.0517")</f>
        <v>0.0517</v>
      </c>
    </row>
    <row r="15109" spans="1:7">
      <c r="A15109" s="3"/>
      <c r="B15109" s="3"/>
      <c r="C15109" s="3"/>
      <c r="D15109" s="3"/>
      <c r="E15109" s="3">
        <v>6</v>
      </c>
      <c r="F15109" s="4" t="str">
        <f>HYPERLINK("http://141.218.60.56/~jnz1568/getInfo.php?workbook=10_05.xlsx&amp;sheet=U0&amp;row=15109&amp;col=6&amp;number=3.5&amp;sourceID=14","3.5")</f>
        <v>3.5</v>
      </c>
      <c r="G15109" s="4" t="str">
        <f>HYPERLINK("http://141.218.60.56/~jnz1568/getInfo.php?workbook=10_05.xlsx&amp;sheet=U0&amp;row=15109&amp;col=7&amp;number=0.0512&amp;sourceID=14","0.0512")</f>
        <v>0.0512</v>
      </c>
    </row>
    <row r="15110" spans="1:7">
      <c r="A15110" s="3"/>
      <c r="B15110" s="3"/>
      <c r="C15110" s="3"/>
      <c r="D15110" s="3"/>
      <c r="E15110" s="3">
        <v>7</v>
      </c>
      <c r="F15110" s="4" t="str">
        <f>HYPERLINK("http://141.218.60.56/~jnz1568/getInfo.php?workbook=10_05.xlsx&amp;sheet=U0&amp;row=15110&amp;col=6&amp;number=3.6&amp;sourceID=14","3.6")</f>
        <v>3.6</v>
      </c>
      <c r="G15110" s="4" t="str">
        <f>HYPERLINK("http://141.218.60.56/~jnz1568/getInfo.php?workbook=10_05.xlsx&amp;sheet=U0&amp;row=15110&amp;col=7&amp;number=0.0505&amp;sourceID=14","0.0505")</f>
        <v>0.0505</v>
      </c>
    </row>
    <row r="15111" spans="1:7">
      <c r="A15111" s="3"/>
      <c r="B15111" s="3"/>
      <c r="C15111" s="3"/>
      <c r="D15111" s="3"/>
      <c r="E15111" s="3">
        <v>8</v>
      </c>
      <c r="F15111" s="4" t="str">
        <f>HYPERLINK("http://141.218.60.56/~jnz1568/getInfo.php?workbook=10_05.xlsx&amp;sheet=U0&amp;row=15111&amp;col=6&amp;number=3.7&amp;sourceID=14","3.7")</f>
        <v>3.7</v>
      </c>
      <c r="G15111" s="4" t="str">
        <f>HYPERLINK("http://141.218.60.56/~jnz1568/getInfo.php?workbook=10_05.xlsx&amp;sheet=U0&amp;row=15111&amp;col=7&amp;number=0.0497&amp;sourceID=14","0.0497")</f>
        <v>0.0497</v>
      </c>
    </row>
    <row r="15112" spans="1:7">
      <c r="A15112" s="3"/>
      <c r="B15112" s="3"/>
      <c r="C15112" s="3"/>
      <c r="D15112" s="3"/>
      <c r="E15112" s="3">
        <v>9</v>
      </c>
      <c r="F15112" s="4" t="str">
        <f>HYPERLINK("http://141.218.60.56/~jnz1568/getInfo.php?workbook=10_05.xlsx&amp;sheet=U0&amp;row=15112&amp;col=6&amp;number=3.8&amp;sourceID=14","3.8")</f>
        <v>3.8</v>
      </c>
      <c r="G15112" s="4" t="str">
        <f>HYPERLINK("http://141.218.60.56/~jnz1568/getInfo.php?workbook=10_05.xlsx&amp;sheet=U0&amp;row=15112&amp;col=7&amp;number=0.0488&amp;sourceID=14","0.0488")</f>
        <v>0.0488</v>
      </c>
    </row>
    <row r="15113" spans="1:7">
      <c r="A15113" s="3"/>
      <c r="B15113" s="3"/>
      <c r="C15113" s="3"/>
      <c r="D15113" s="3"/>
      <c r="E15113" s="3">
        <v>10</v>
      </c>
      <c r="F15113" s="4" t="str">
        <f>HYPERLINK("http://141.218.60.56/~jnz1568/getInfo.php?workbook=10_05.xlsx&amp;sheet=U0&amp;row=15113&amp;col=6&amp;number=3.9&amp;sourceID=14","3.9")</f>
        <v>3.9</v>
      </c>
      <c r="G15113" s="4" t="str">
        <f>HYPERLINK("http://141.218.60.56/~jnz1568/getInfo.php?workbook=10_05.xlsx&amp;sheet=U0&amp;row=15113&amp;col=7&amp;number=0.0476&amp;sourceID=14","0.0476")</f>
        <v>0.0476</v>
      </c>
    </row>
    <row r="15114" spans="1:7">
      <c r="A15114" s="3"/>
      <c r="B15114" s="3"/>
      <c r="C15114" s="3"/>
      <c r="D15114" s="3"/>
      <c r="E15114" s="3">
        <v>11</v>
      </c>
      <c r="F15114" s="4" t="str">
        <f>HYPERLINK("http://141.218.60.56/~jnz1568/getInfo.php?workbook=10_05.xlsx&amp;sheet=U0&amp;row=15114&amp;col=6&amp;number=4&amp;sourceID=14","4")</f>
        <v>4</v>
      </c>
      <c r="G15114" s="4" t="str">
        <f>HYPERLINK("http://141.218.60.56/~jnz1568/getInfo.php?workbook=10_05.xlsx&amp;sheet=U0&amp;row=15114&amp;col=7&amp;number=0.0462&amp;sourceID=14","0.0462")</f>
        <v>0.0462</v>
      </c>
    </row>
    <row r="15115" spans="1:7">
      <c r="A15115" s="3"/>
      <c r="B15115" s="3"/>
      <c r="C15115" s="3"/>
      <c r="D15115" s="3"/>
      <c r="E15115" s="3">
        <v>12</v>
      </c>
      <c r="F15115" s="4" t="str">
        <f>HYPERLINK("http://141.218.60.56/~jnz1568/getInfo.php?workbook=10_05.xlsx&amp;sheet=U0&amp;row=15115&amp;col=6&amp;number=4.1&amp;sourceID=14","4.1")</f>
        <v>4.1</v>
      </c>
      <c r="G15115" s="4" t="str">
        <f>HYPERLINK("http://141.218.60.56/~jnz1568/getInfo.php?workbook=10_05.xlsx&amp;sheet=U0&amp;row=15115&amp;col=7&amp;number=0.0446&amp;sourceID=14","0.0446")</f>
        <v>0.0446</v>
      </c>
    </row>
    <row r="15116" spans="1:7">
      <c r="A15116" s="3"/>
      <c r="B15116" s="3"/>
      <c r="C15116" s="3"/>
      <c r="D15116" s="3"/>
      <c r="E15116" s="3">
        <v>13</v>
      </c>
      <c r="F15116" s="4" t="str">
        <f>HYPERLINK("http://141.218.60.56/~jnz1568/getInfo.php?workbook=10_05.xlsx&amp;sheet=U0&amp;row=15116&amp;col=6&amp;number=4.2&amp;sourceID=14","4.2")</f>
        <v>4.2</v>
      </c>
      <c r="G15116" s="4" t="str">
        <f>HYPERLINK("http://141.218.60.56/~jnz1568/getInfo.php?workbook=10_05.xlsx&amp;sheet=U0&amp;row=15116&amp;col=7&amp;number=0.0427&amp;sourceID=14","0.0427")</f>
        <v>0.0427</v>
      </c>
    </row>
    <row r="15117" spans="1:7">
      <c r="A15117" s="3"/>
      <c r="B15117" s="3"/>
      <c r="C15117" s="3"/>
      <c r="D15117" s="3"/>
      <c r="E15117" s="3">
        <v>14</v>
      </c>
      <c r="F15117" s="4" t="str">
        <f>HYPERLINK("http://141.218.60.56/~jnz1568/getInfo.php?workbook=10_05.xlsx&amp;sheet=U0&amp;row=15117&amp;col=6&amp;number=4.3&amp;sourceID=14","4.3")</f>
        <v>4.3</v>
      </c>
      <c r="G15117" s="4" t="str">
        <f>HYPERLINK("http://141.218.60.56/~jnz1568/getInfo.php?workbook=10_05.xlsx&amp;sheet=U0&amp;row=15117&amp;col=7&amp;number=0.0407&amp;sourceID=14","0.0407")</f>
        <v>0.0407</v>
      </c>
    </row>
    <row r="15118" spans="1:7">
      <c r="A15118" s="3"/>
      <c r="B15118" s="3"/>
      <c r="C15118" s="3"/>
      <c r="D15118" s="3"/>
      <c r="E15118" s="3">
        <v>15</v>
      </c>
      <c r="F15118" s="4" t="str">
        <f>HYPERLINK("http://141.218.60.56/~jnz1568/getInfo.php?workbook=10_05.xlsx&amp;sheet=U0&amp;row=15118&amp;col=6&amp;number=4.4&amp;sourceID=14","4.4")</f>
        <v>4.4</v>
      </c>
      <c r="G15118" s="4" t="str">
        <f>HYPERLINK("http://141.218.60.56/~jnz1568/getInfo.php?workbook=10_05.xlsx&amp;sheet=U0&amp;row=15118&amp;col=7&amp;number=0.0386&amp;sourceID=14","0.0386")</f>
        <v>0.0386</v>
      </c>
    </row>
    <row r="15119" spans="1:7">
      <c r="A15119" s="3"/>
      <c r="B15119" s="3"/>
      <c r="C15119" s="3"/>
      <c r="D15119" s="3"/>
      <c r="E15119" s="3">
        <v>16</v>
      </c>
      <c r="F15119" s="4" t="str">
        <f>HYPERLINK("http://141.218.60.56/~jnz1568/getInfo.php?workbook=10_05.xlsx&amp;sheet=U0&amp;row=15119&amp;col=6&amp;number=4.5&amp;sourceID=14","4.5")</f>
        <v>4.5</v>
      </c>
      <c r="G15119" s="4" t="str">
        <f>HYPERLINK("http://141.218.60.56/~jnz1568/getInfo.php?workbook=10_05.xlsx&amp;sheet=U0&amp;row=15119&amp;col=7&amp;number=0.0366&amp;sourceID=14","0.0366")</f>
        <v>0.0366</v>
      </c>
    </row>
    <row r="15120" spans="1:7">
      <c r="A15120" s="3"/>
      <c r="B15120" s="3"/>
      <c r="C15120" s="3"/>
      <c r="D15120" s="3"/>
      <c r="E15120" s="3">
        <v>17</v>
      </c>
      <c r="F15120" s="4" t="str">
        <f>HYPERLINK("http://141.218.60.56/~jnz1568/getInfo.php?workbook=10_05.xlsx&amp;sheet=U0&amp;row=15120&amp;col=6&amp;number=4.6&amp;sourceID=14","4.6")</f>
        <v>4.6</v>
      </c>
      <c r="G15120" s="4" t="str">
        <f>HYPERLINK("http://141.218.60.56/~jnz1568/getInfo.php?workbook=10_05.xlsx&amp;sheet=U0&amp;row=15120&amp;col=7&amp;number=0.0348&amp;sourceID=14","0.0348")</f>
        <v>0.0348</v>
      </c>
    </row>
    <row r="15121" spans="1:7">
      <c r="A15121" s="3"/>
      <c r="B15121" s="3"/>
      <c r="C15121" s="3"/>
      <c r="D15121" s="3"/>
      <c r="E15121" s="3">
        <v>18</v>
      </c>
      <c r="F15121" s="4" t="str">
        <f>HYPERLINK("http://141.218.60.56/~jnz1568/getInfo.php?workbook=10_05.xlsx&amp;sheet=U0&amp;row=15121&amp;col=6&amp;number=4.7&amp;sourceID=14","4.7")</f>
        <v>4.7</v>
      </c>
      <c r="G15121" s="4" t="str">
        <f>HYPERLINK("http://141.218.60.56/~jnz1568/getInfo.php?workbook=10_05.xlsx&amp;sheet=U0&amp;row=15121&amp;col=7&amp;number=0.0335&amp;sourceID=14","0.0335")</f>
        <v>0.0335</v>
      </c>
    </row>
    <row r="15122" spans="1:7">
      <c r="A15122" s="3"/>
      <c r="B15122" s="3"/>
      <c r="C15122" s="3"/>
      <c r="D15122" s="3"/>
      <c r="E15122" s="3">
        <v>19</v>
      </c>
      <c r="F15122" s="4" t="str">
        <f>HYPERLINK("http://141.218.60.56/~jnz1568/getInfo.php?workbook=10_05.xlsx&amp;sheet=U0&amp;row=15122&amp;col=6&amp;number=4.8&amp;sourceID=14","4.8")</f>
        <v>4.8</v>
      </c>
      <c r="G15122" s="4" t="str">
        <f>HYPERLINK("http://141.218.60.56/~jnz1568/getInfo.php?workbook=10_05.xlsx&amp;sheet=U0&amp;row=15122&amp;col=7&amp;number=0.0325&amp;sourceID=14","0.0325")</f>
        <v>0.0325</v>
      </c>
    </row>
    <row r="15123" spans="1:7">
      <c r="A15123" s="3"/>
      <c r="B15123" s="3"/>
      <c r="C15123" s="3"/>
      <c r="D15123" s="3"/>
      <c r="E15123" s="3">
        <v>20</v>
      </c>
      <c r="F15123" s="4" t="str">
        <f>HYPERLINK("http://141.218.60.56/~jnz1568/getInfo.php?workbook=10_05.xlsx&amp;sheet=U0&amp;row=15123&amp;col=6&amp;number=4.9&amp;sourceID=14","4.9")</f>
        <v>4.9</v>
      </c>
      <c r="G15123" s="4" t="str">
        <f>HYPERLINK("http://141.218.60.56/~jnz1568/getInfo.php?workbook=10_05.xlsx&amp;sheet=U0&amp;row=15123&amp;col=7&amp;number=0.0315&amp;sourceID=14","0.0315")</f>
        <v>0.0315</v>
      </c>
    </row>
    <row r="15124" spans="1:7">
      <c r="A15124" s="3">
        <v>10</v>
      </c>
      <c r="B15124" s="3">
        <v>5</v>
      </c>
      <c r="C15124" s="3">
        <v>5</v>
      </c>
      <c r="D15124" s="3">
        <v>52</v>
      </c>
      <c r="E15124" s="3">
        <v>1</v>
      </c>
      <c r="F15124" s="4" t="str">
        <f>HYPERLINK("http://141.218.60.56/~jnz1568/getInfo.php?workbook=10_05.xlsx&amp;sheet=U0&amp;row=15124&amp;col=6&amp;number=3&amp;sourceID=14","3")</f>
        <v>3</v>
      </c>
      <c r="G15124" s="4" t="str">
        <f>HYPERLINK("http://141.218.60.56/~jnz1568/getInfo.php?workbook=10_05.xlsx&amp;sheet=U0&amp;row=15124&amp;col=7&amp;number=0.0873&amp;sourceID=14","0.0873")</f>
        <v>0.0873</v>
      </c>
    </row>
    <row r="15125" spans="1:7">
      <c r="A15125" s="3"/>
      <c r="B15125" s="3"/>
      <c r="C15125" s="3"/>
      <c r="D15125" s="3"/>
      <c r="E15125" s="3">
        <v>2</v>
      </c>
      <c r="F15125" s="4" t="str">
        <f>HYPERLINK("http://141.218.60.56/~jnz1568/getInfo.php?workbook=10_05.xlsx&amp;sheet=U0&amp;row=15125&amp;col=6&amp;number=3.1&amp;sourceID=14","3.1")</f>
        <v>3.1</v>
      </c>
      <c r="G15125" s="4" t="str">
        <f>HYPERLINK("http://141.218.60.56/~jnz1568/getInfo.php?workbook=10_05.xlsx&amp;sheet=U0&amp;row=15125&amp;col=7&amp;number=0.0863&amp;sourceID=14","0.0863")</f>
        <v>0.0863</v>
      </c>
    </row>
    <row r="15126" spans="1:7">
      <c r="A15126" s="3"/>
      <c r="B15126" s="3"/>
      <c r="C15126" s="3"/>
      <c r="D15126" s="3"/>
      <c r="E15126" s="3">
        <v>3</v>
      </c>
      <c r="F15126" s="4" t="str">
        <f>HYPERLINK("http://141.218.60.56/~jnz1568/getInfo.php?workbook=10_05.xlsx&amp;sheet=U0&amp;row=15126&amp;col=6&amp;number=3.2&amp;sourceID=14","3.2")</f>
        <v>3.2</v>
      </c>
      <c r="G15126" s="4" t="str">
        <f>HYPERLINK("http://141.218.60.56/~jnz1568/getInfo.php?workbook=10_05.xlsx&amp;sheet=U0&amp;row=15126&amp;col=7&amp;number=0.085&amp;sourceID=14","0.085")</f>
        <v>0.085</v>
      </c>
    </row>
    <row r="15127" spans="1:7">
      <c r="A15127" s="3"/>
      <c r="B15127" s="3"/>
      <c r="C15127" s="3"/>
      <c r="D15127" s="3"/>
      <c r="E15127" s="3">
        <v>4</v>
      </c>
      <c r="F15127" s="4" t="str">
        <f>HYPERLINK("http://141.218.60.56/~jnz1568/getInfo.php?workbook=10_05.xlsx&amp;sheet=U0&amp;row=15127&amp;col=6&amp;number=3.3&amp;sourceID=14","3.3")</f>
        <v>3.3</v>
      </c>
      <c r="G15127" s="4" t="str">
        <f>HYPERLINK("http://141.218.60.56/~jnz1568/getInfo.php?workbook=10_05.xlsx&amp;sheet=U0&amp;row=15127&amp;col=7&amp;number=0.0834&amp;sourceID=14","0.0834")</f>
        <v>0.0834</v>
      </c>
    </row>
    <row r="15128" spans="1:7">
      <c r="A15128" s="3"/>
      <c r="B15128" s="3"/>
      <c r="C15128" s="3"/>
      <c r="D15128" s="3"/>
      <c r="E15128" s="3">
        <v>5</v>
      </c>
      <c r="F15128" s="4" t="str">
        <f>HYPERLINK("http://141.218.60.56/~jnz1568/getInfo.php?workbook=10_05.xlsx&amp;sheet=U0&amp;row=15128&amp;col=6&amp;number=3.4&amp;sourceID=14","3.4")</f>
        <v>3.4</v>
      </c>
      <c r="G15128" s="4" t="str">
        <f>HYPERLINK("http://141.218.60.56/~jnz1568/getInfo.php?workbook=10_05.xlsx&amp;sheet=U0&amp;row=15128&amp;col=7&amp;number=0.0814&amp;sourceID=14","0.0814")</f>
        <v>0.0814</v>
      </c>
    </row>
    <row r="15129" spans="1:7">
      <c r="A15129" s="3"/>
      <c r="B15129" s="3"/>
      <c r="C15129" s="3"/>
      <c r="D15129" s="3"/>
      <c r="E15129" s="3">
        <v>6</v>
      </c>
      <c r="F15129" s="4" t="str">
        <f>HYPERLINK("http://141.218.60.56/~jnz1568/getInfo.php?workbook=10_05.xlsx&amp;sheet=U0&amp;row=15129&amp;col=6&amp;number=3.5&amp;sourceID=14","3.5")</f>
        <v>3.5</v>
      </c>
      <c r="G15129" s="4" t="str">
        <f>HYPERLINK("http://141.218.60.56/~jnz1568/getInfo.php?workbook=10_05.xlsx&amp;sheet=U0&amp;row=15129&amp;col=7&amp;number=0.0789&amp;sourceID=14","0.0789")</f>
        <v>0.0789</v>
      </c>
    </row>
    <row r="15130" spans="1:7">
      <c r="A15130" s="3"/>
      <c r="B15130" s="3"/>
      <c r="C15130" s="3"/>
      <c r="D15130" s="3"/>
      <c r="E15130" s="3">
        <v>7</v>
      </c>
      <c r="F15130" s="4" t="str">
        <f>HYPERLINK("http://141.218.60.56/~jnz1568/getInfo.php?workbook=10_05.xlsx&amp;sheet=U0&amp;row=15130&amp;col=6&amp;number=3.6&amp;sourceID=14","3.6")</f>
        <v>3.6</v>
      </c>
      <c r="G15130" s="4" t="str">
        <f>HYPERLINK("http://141.218.60.56/~jnz1568/getInfo.php?workbook=10_05.xlsx&amp;sheet=U0&amp;row=15130&amp;col=7&amp;number=0.076&amp;sourceID=14","0.076")</f>
        <v>0.076</v>
      </c>
    </row>
    <row r="15131" spans="1:7">
      <c r="A15131" s="3"/>
      <c r="B15131" s="3"/>
      <c r="C15131" s="3"/>
      <c r="D15131" s="3"/>
      <c r="E15131" s="3">
        <v>8</v>
      </c>
      <c r="F15131" s="4" t="str">
        <f>HYPERLINK("http://141.218.60.56/~jnz1568/getInfo.php?workbook=10_05.xlsx&amp;sheet=U0&amp;row=15131&amp;col=6&amp;number=3.7&amp;sourceID=14","3.7")</f>
        <v>3.7</v>
      </c>
      <c r="G15131" s="4" t="str">
        <f>HYPERLINK("http://141.218.60.56/~jnz1568/getInfo.php?workbook=10_05.xlsx&amp;sheet=U0&amp;row=15131&amp;col=7&amp;number=0.0724&amp;sourceID=14","0.0724")</f>
        <v>0.0724</v>
      </c>
    </row>
    <row r="15132" spans="1:7">
      <c r="A15132" s="3"/>
      <c r="B15132" s="3"/>
      <c r="C15132" s="3"/>
      <c r="D15132" s="3"/>
      <c r="E15132" s="3">
        <v>9</v>
      </c>
      <c r="F15132" s="4" t="str">
        <f>HYPERLINK("http://141.218.60.56/~jnz1568/getInfo.php?workbook=10_05.xlsx&amp;sheet=U0&amp;row=15132&amp;col=6&amp;number=3.8&amp;sourceID=14","3.8")</f>
        <v>3.8</v>
      </c>
      <c r="G15132" s="4" t="str">
        <f>HYPERLINK("http://141.218.60.56/~jnz1568/getInfo.php?workbook=10_05.xlsx&amp;sheet=U0&amp;row=15132&amp;col=7&amp;number=0.0682&amp;sourceID=14","0.0682")</f>
        <v>0.0682</v>
      </c>
    </row>
    <row r="15133" spans="1:7">
      <c r="A15133" s="3"/>
      <c r="B15133" s="3"/>
      <c r="C15133" s="3"/>
      <c r="D15133" s="3"/>
      <c r="E15133" s="3">
        <v>10</v>
      </c>
      <c r="F15133" s="4" t="str">
        <f>HYPERLINK("http://141.218.60.56/~jnz1568/getInfo.php?workbook=10_05.xlsx&amp;sheet=U0&amp;row=15133&amp;col=6&amp;number=3.9&amp;sourceID=14","3.9")</f>
        <v>3.9</v>
      </c>
      <c r="G15133" s="4" t="str">
        <f>HYPERLINK("http://141.218.60.56/~jnz1568/getInfo.php?workbook=10_05.xlsx&amp;sheet=U0&amp;row=15133&amp;col=7&amp;number=0.0634&amp;sourceID=14","0.0634")</f>
        <v>0.0634</v>
      </c>
    </row>
    <row r="15134" spans="1:7">
      <c r="A15134" s="3"/>
      <c r="B15134" s="3"/>
      <c r="C15134" s="3"/>
      <c r="D15134" s="3"/>
      <c r="E15134" s="3">
        <v>11</v>
      </c>
      <c r="F15134" s="4" t="str">
        <f>HYPERLINK("http://141.218.60.56/~jnz1568/getInfo.php?workbook=10_05.xlsx&amp;sheet=U0&amp;row=15134&amp;col=6&amp;number=4&amp;sourceID=14","4")</f>
        <v>4</v>
      </c>
      <c r="G15134" s="4" t="str">
        <f>HYPERLINK("http://141.218.60.56/~jnz1568/getInfo.php?workbook=10_05.xlsx&amp;sheet=U0&amp;row=15134&amp;col=7&amp;number=0.0582&amp;sourceID=14","0.0582")</f>
        <v>0.0582</v>
      </c>
    </row>
    <row r="15135" spans="1:7">
      <c r="A15135" s="3"/>
      <c r="B15135" s="3"/>
      <c r="C15135" s="3"/>
      <c r="D15135" s="3"/>
      <c r="E15135" s="3">
        <v>12</v>
      </c>
      <c r="F15135" s="4" t="str">
        <f>HYPERLINK("http://141.218.60.56/~jnz1568/getInfo.php?workbook=10_05.xlsx&amp;sheet=U0&amp;row=15135&amp;col=6&amp;number=4.1&amp;sourceID=14","4.1")</f>
        <v>4.1</v>
      </c>
      <c r="G15135" s="4" t="str">
        <f>HYPERLINK("http://141.218.60.56/~jnz1568/getInfo.php?workbook=10_05.xlsx&amp;sheet=U0&amp;row=15135&amp;col=7&amp;number=0.053&amp;sourceID=14","0.053")</f>
        <v>0.053</v>
      </c>
    </row>
    <row r="15136" spans="1:7">
      <c r="A15136" s="3"/>
      <c r="B15136" s="3"/>
      <c r="C15136" s="3"/>
      <c r="D15136" s="3"/>
      <c r="E15136" s="3">
        <v>13</v>
      </c>
      <c r="F15136" s="4" t="str">
        <f>HYPERLINK("http://141.218.60.56/~jnz1568/getInfo.php?workbook=10_05.xlsx&amp;sheet=U0&amp;row=15136&amp;col=6&amp;number=4.2&amp;sourceID=14","4.2")</f>
        <v>4.2</v>
      </c>
      <c r="G15136" s="4" t="str">
        <f>HYPERLINK("http://141.218.60.56/~jnz1568/getInfo.php?workbook=10_05.xlsx&amp;sheet=U0&amp;row=15136&amp;col=7&amp;number=0.0485&amp;sourceID=14","0.0485")</f>
        <v>0.0485</v>
      </c>
    </row>
    <row r="15137" spans="1:7">
      <c r="A15137" s="3"/>
      <c r="B15137" s="3"/>
      <c r="C15137" s="3"/>
      <c r="D15137" s="3"/>
      <c r="E15137" s="3">
        <v>14</v>
      </c>
      <c r="F15137" s="4" t="str">
        <f>HYPERLINK("http://141.218.60.56/~jnz1568/getInfo.php?workbook=10_05.xlsx&amp;sheet=U0&amp;row=15137&amp;col=6&amp;number=4.3&amp;sourceID=14","4.3")</f>
        <v>4.3</v>
      </c>
      <c r="G15137" s="4" t="str">
        <f>HYPERLINK("http://141.218.60.56/~jnz1568/getInfo.php?workbook=10_05.xlsx&amp;sheet=U0&amp;row=15137&amp;col=7&amp;number=0.0448&amp;sourceID=14","0.0448")</f>
        <v>0.0448</v>
      </c>
    </row>
    <row r="15138" spans="1:7">
      <c r="A15138" s="3"/>
      <c r="B15138" s="3"/>
      <c r="C15138" s="3"/>
      <c r="D15138" s="3"/>
      <c r="E15138" s="3">
        <v>15</v>
      </c>
      <c r="F15138" s="4" t="str">
        <f>HYPERLINK("http://141.218.60.56/~jnz1568/getInfo.php?workbook=10_05.xlsx&amp;sheet=U0&amp;row=15138&amp;col=6&amp;number=4.4&amp;sourceID=14","4.4")</f>
        <v>4.4</v>
      </c>
      <c r="G15138" s="4" t="str">
        <f>HYPERLINK("http://141.218.60.56/~jnz1568/getInfo.php?workbook=10_05.xlsx&amp;sheet=U0&amp;row=15138&amp;col=7&amp;number=0.0421&amp;sourceID=14","0.0421")</f>
        <v>0.0421</v>
      </c>
    </row>
    <row r="15139" spans="1:7">
      <c r="A15139" s="3"/>
      <c r="B15139" s="3"/>
      <c r="C15139" s="3"/>
      <c r="D15139" s="3"/>
      <c r="E15139" s="3">
        <v>16</v>
      </c>
      <c r="F15139" s="4" t="str">
        <f>HYPERLINK("http://141.218.60.56/~jnz1568/getInfo.php?workbook=10_05.xlsx&amp;sheet=U0&amp;row=15139&amp;col=6&amp;number=4.5&amp;sourceID=14","4.5")</f>
        <v>4.5</v>
      </c>
      <c r="G15139" s="4" t="str">
        <f>HYPERLINK("http://141.218.60.56/~jnz1568/getInfo.php?workbook=10_05.xlsx&amp;sheet=U0&amp;row=15139&amp;col=7&amp;number=0.0397&amp;sourceID=14","0.0397")</f>
        <v>0.0397</v>
      </c>
    </row>
    <row r="15140" spans="1:7">
      <c r="A15140" s="3"/>
      <c r="B15140" s="3"/>
      <c r="C15140" s="3"/>
      <c r="D15140" s="3"/>
      <c r="E15140" s="3">
        <v>17</v>
      </c>
      <c r="F15140" s="4" t="str">
        <f>HYPERLINK("http://141.218.60.56/~jnz1568/getInfo.php?workbook=10_05.xlsx&amp;sheet=U0&amp;row=15140&amp;col=6&amp;number=4.6&amp;sourceID=14","4.6")</f>
        <v>4.6</v>
      </c>
      <c r="G15140" s="4" t="str">
        <f>HYPERLINK("http://141.218.60.56/~jnz1568/getInfo.php?workbook=10_05.xlsx&amp;sheet=U0&amp;row=15140&amp;col=7&amp;number=0.0371&amp;sourceID=14","0.0371")</f>
        <v>0.0371</v>
      </c>
    </row>
    <row r="15141" spans="1:7">
      <c r="A15141" s="3"/>
      <c r="B15141" s="3"/>
      <c r="C15141" s="3"/>
      <c r="D15141" s="3"/>
      <c r="E15141" s="3">
        <v>18</v>
      </c>
      <c r="F15141" s="4" t="str">
        <f>HYPERLINK("http://141.218.60.56/~jnz1568/getInfo.php?workbook=10_05.xlsx&amp;sheet=U0&amp;row=15141&amp;col=6&amp;number=4.7&amp;sourceID=14","4.7")</f>
        <v>4.7</v>
      </c>
      <c r="G15141" s="4" t="str">
        <f>HYPERLINK("http://141.218.60.56/~jnz1568/getInfo.php?workbook=10_05.xlsx&amp;sheet=U0&amp;row=15141&amp;col=7&amp;number=0.0346&amp;sourceID=14","0.0346")</f>
        <v>0.0346</v>
      </c>
    </row>
    <row r="15142" spans="1:7">
      <c r="A15142" s="3"/>
      <c r="B15142" s="3"/>
      <c r="C15142" s="3"/>
      <c r="D15142" s="3"/>
      <c r="E15142" s="3">
        <v>19</v>
      </c>
      <c r="F15142" s="4" t="str">
        <f>HYPERLINK("http://141.218.60.56/~jnz1568/getInfo.php?workbook=10_05.xlsx&amp;sheet=U0&amp;row=15142&amp;col=6&amp;number=4.8&amp;sourceID=14","4.8")</f>
        <v>4.8</v>
      </c>
      <c r="G15142" s="4" t="str">
        <f>HYPERLINK("http://141.218.60.56/~jnz1568/getInfo.php?workbook=10_05.xlsx&amp;sheet=U0&amp;row=15142&amp;col=7&amp;number=0.0325&amp;sourceID=14","0.0325")</f>
        <v>0.0325</v>
      </c>
    </row>
    <row r="15143" spans="1:7">
      <c r="A15143" s="3"/>
      <c r="B15143" s="3"/>
      <c r="C15143" s="3"/>
      <c r="D15143" s="3"/>
      <c r="E15143" s="3">
        <v>20</v>
      </c>
      <c r="F15143" s="4" t="str">
        <f>HYPERLINK("http://141.218.60.56/~jnz1568/getInfo.php?workbook=10_05.xlsx&amp;sheet=U0&amp;row=15143&amp;col=6&amp;number=4.9&amp;sourceID=14","4.9")</f>
        <v>4.9</v>
      </c>
      <c r="G15143" s="4" t="str">
        <f>HYPERLINK("http://141.218.60.56/~jnz1568/getInfo.php?workbook=10_05.xlsx&amp;sheet=U0&amp;row=15143&amp;col=7&amp;number=0.0305&amp;sourceID=14","0.0305")</f>
        <v>0.0305</v>
      </c>
    </row>
    <row r="15144" spans="1:7">
      <c r="A15144" s="3">
        <v>10</v>
      </c>
      <c r="B15144" s="3">
        <v>5</v>
      </c>
      <c r="C15144" s="3">
        <v>5</v>
      </c>
      <c r="D15144" s="3">
        <v>53</v>
      </c>
      <c r="E15144" s="3">
        <v>1</v>
      </c>
      <c r="F15144" s="4" t="str">
        <f>HYPERLINK("http://141.218.60.56/~jnz1568/getInfo.php?workbook=10_05.xlsx&amp;sheet=U0&amp;row=15144&amp;col=6&amp;number=3&amp;sourceID=14","3")</f>
        <v>3</v>
      </c>
      <c r="G15144" s="4" t="str">
        <f>HYPERLINK("http://141.218.60.56/~jnz1568/getInfo.php?workbook=10_05.xlsx&amp;sheet=U0&amp;row=15144&amp;col=7&amp;number=0.0462&amp;sourceID=14","0.0462")</f>
        <v>0.0462</v>
      </c>
    </row>
    <row r="15145" spans="1:7">
      <c r="A15145" s="3"/>
      <c r="B15145" s="3"/>
      <c r="C15145" s="3"/>
      <c r="D15145" s="3"/>
      <c r="E15145" s="3">
        <v>2</v>
      </c>
      <c r="F15145" s="4" t="str">
        <f>HYPERLINK("http://141.218.60.56/~jnz1568/getInfo.php?workbook=10_05.xlsx&amp;sheet=U0&amp;row=15145&amp;col=6&amp;number=3.1&amp;sourceID=14","3.1")</f>
        <v>3.1</v>
      </c>
      <c r="G15145" s="4" t="str">
        <f>HYPERLINK("http://141.218.60.56/~jnz1568/getInfo.php?workbook=10_05.xlsx&amp;sheet=U0&amp;row=15145&amp;col=7&amp;number=0.0456&amp;sourceID=14","0.0456")</f>
        <v>0.0456</v>
      </c>
    </row>
    <row r="15146" spans="1:7">
      <c r="A15146" s="3"/>
      <c r="B15146" s="3"/>
      <c r="C15146" s="3"/>
      <c r="D15146" s="3"/>
      <c r="E15146" s="3">
        <v>3</v>
      </c>
      <c r="F15146" s="4" t="str">
        <f>HYPERLINK("http://141.218.60.56/~jnz1568/getInfo.php?workbook=10_05.xlsx&amp;sheet=U0&amp;row=15146&amp;col=6&amp;number=3.2&amp;sourceID=14","3.2")</f>
        <v>3.2</v>
      </c>
      <c r="G15146" s="4" t="str">
        <f>HYPERLINK("http://141.218.60.56/~jnz1568/getInfo.php?workbook=10_05.xlsx&amp;sheet=U0&amp;row=15146&amp;col=7&amp;number=0.0448&amp;sourceID=14","0.0448")</f>
        <v>0.0448</v>
      </c>
    </row>
    <row r="15147" spans="1:7">
      <c r="A15147" s="3"/>
      <c r="B15147" s="3"/>
      <c r="C15147" s="3"/>
      <c r="D15147" s="3"/>
      <c r="E15147" s="3">
        <v>4</v>
      </c>
      <c r="F15147" s="4" t="str">
        <f>HYPERLINK("http://141.218.60.56/~jnz1568/getInfo.php?workbook=10_05.xlsx&amp;sheet=U0&amp;row=15147&amp;col=6&amp;number=3.3&amp;sourceID=14","3.3")</f>
        <v>3.3</v>
      </c>
      <c r="G15147" s="4" t="str">
        <f>HYPERLINK("http://141.218.60.56/~jnz1568/getInfo.php?workbook=10_05.xlsx&amp;sheet=U0&amp;row=15147&amp;col=7&amp;number=0.0438&amp;sourceID=14","0.0438")</f>
        <v>0.0438</v>
      </c>
    </row>
    <row r="15148" spans="1:7">
      <c r="A15148" s="3"/>
      <c r="B15148" s="3"/>
      <c r="C15148" s="3"/>
      <c r="D15148" s="3"/>
      <c r="E15148" s="3">
        <v>5</v>
      </c>
      <c r="F15148" s="4" t="str">
        <f>HYPERLINK("http://141.218.60.56/~jnz1568/getInfo.php?workbook=10_05.xlsx&amp;sheet=U0&amp;row=15148&amp;col=6&amp;number=3.4&amp;sourceID=14","3.4")</f>
        <v>3.4</v>
      </c>
      <c r="G15148" s="4" t="str">
        <f>HYPERLINK("http://141.218.60.56/~jnz1568/getInfo.php?workbook=10_05.xlsx&amp;sheet=U0&amp;row=15148&amp;col=7&amp;number=0.0426&amp;sourceID=14","0.0426")</f>
        <v>0.0426</v>
      </c>
    </row>
    <row r="15149" spans="1:7">
      <c r="A15149" s="3"/>
      <c r="B15149" s="3"/>
      <c r="C15149" s="3"/>
      <c r="D15149" s="3"/>
      <c r="E15149" s="3">
        <v>6</v>
      </c>
      <c r="F15149" s="4" t="str">
        <f>HYPERLINK("http://141.218.60.56/~jnz1568/getInfo.php?workbook=10_05.xlsx&amp;sheet=U0&amp;row=15149&amp;col=6&amp;number=3.5&amp;sourceID=14","3.5")</f>
        <v>3.5</v>
      </c>
      <c r="G15149" s="4" t="str">
        <f>HYPERLINK("http://141.218.60.56/~jnz1568/getInfo.php?workbook=10_05.xlsx&amp;sheet=U0&amp;row=15149&amp;col=7&amp;number=0.0411&amp;sourceID=14","0.0411")</f>
        <v>0.0411</v>
      </c>
    </row>
    <row r="15150" spans="1:7">
      <c r="A15150" s="3"/>
      <c r="B15150" s="3"/>
      <c r="C15150" s="3"/>
      <c r="D15150" s="3"/>
      <c r="E15150" s="3">
        <v>7</v>
      </c>
      <c r="F15150" s="4" t="str">
        <f>HYPERLINK("http://141.218.60.56/~jnz1568/getInfo.php?workbook=10_05.xlsx&amp;sheet=U0&amp;row=15150&amp;col=6&amp;number=3.6&amp;sourceID=14","3.6")</f>
        <v>3.6</v>
      </c>
      <c r="G15150" s="4" t="str">
        <f>HYPERLINK("http://141.218.60.56/~jnz1568/getInfo.php?workbook=10_05.xlsx&amp;sheet=U0&amp;row=15150&amp;col=7&amp;number=0.0393&amp;sourceID=14","0.0393")</f>
        <v>0.0393</v>
      </c>
    </row>
    <row r="15151" spans="1:7">
      <c r="A15151" s="3"/>
      <c r="B15151" s="3"/>
      <c r="C15151" s="3"/>
      <c r="D15151" s="3"/>
      <c r="E15151" s="3">
        <v>8</v>
      </c>
      <c r="F15151" s="4" t="str">
        <f>HYPERLINK("http://141.218.60.56/~jnz1568/getInfo.php?workbook=10_05.xlsx&amp;sheet=U0&amp;row=15151&amp;col=6&amp;number=3.7&amp;sourceID=14","3.7")</f>
        <v>3.7</v>
      </c>
      <c r="G15151" s="4" t="str">
        <f>HYPERLINK("http://141.218.60.56/~jnz1568/getInfo.php?workbook=10_05.xlsx&amp;sheet=U0&amp;row=15151&amp;col=7&amp;number=0.0372&amp;sourceID=14","0.0372")</f>
        <v>0.0372</v>
      </c>
    </row>
    <row r="15152" spans="1:7">
      <c r="A15152" s="3"/>
      <c r="B15152" s="3"/>
      <c r="C15152" s="3"/>
      <c r="D15152" s="3"/>
      <c r="E15152" s="3">
        <v>9</v>
      </c>
      <c r="F15152" s="4" t="str">
        <f>HYPERLINK("http://141.218.60.56/~jnz1568/getInfo.php?workbook=10_05.xlsx&amp;sheet=U0&amp;row=15152&amp;col=6&amp;number=3.8&amp;sourceID=14","3.8")</f>
        <v>3.8</v>
      </c>
      <c r="G15152" s="4" t="str">
        <f>HYPERLINK("http://141.218.60.56/~jnz1568/getInfo.php?workbook=10_05.xlsx&amp;sheet=U0&amp;row=15152&amp;col=7&amp;number=0.0347&amp;sourceID=14","0.0347")</f>
        <v>0.0347</v>
      </c>
    </row>
    <row r="15153" spans="1:7">
      <c r="A15153" s="3"/>
      <c r="B15153" s="3"/>
      <c r="C15153" s="3"/>
      <c r="D15153" s="3"/>
      <c r="E15153" s="3">
        <v>10</v>
      </c>
      <c r="F15153" s="4" t="str">
        <f>HYPERLINK("http://141.218.60.56/~jnz1568/getInfo.php?workbook=10_05.xlsx&amp;sheet=U0&amp;row=15153&amp;col=6&amp;number=3.9&amp;sourceID=14","3.9")</f>
        <v>3.9</v>
      </c>
      <c r="G15153" s="4" t="str">
        <f>HYPERLINK("http://141.218.60.56/~jnz1568/getInfo.php?workbook=10_05.xlsx&amp;sheet=U0&amp;row=15153&amp;col=7&amp;number=0.0319&amp;sourceID=14","0.0319")</f>
        <v>0.0319</v>
      </c>
    </row>
    <row r="15154" spans="1:7">
      <c r="A15154" s="3"/>
      <c r="B15154" s="3"/>
      <c r="C15154" s="3"/>
      <c r="D15154" s="3"/>
      <c r="E15154" s="3">
        <v>11</v>
      </c>
      <c r="F15154" s="4" t="str">
        <f>HYPERLINK("http://141.218.60.56/~jnz1568/getInfo.php?workbook=10_05.xlsx&amp;sheet=U0&amp;row=15154&amp;col=6&amp;number=4&amp;sourceID=14","4")</f>
        <v>4</v>
      </c>
      <c r="G15154" s="4" t="str">
        <f>HYPERLINK("http://141.218.60.56/~jnz1568/getInfo.php?workbook=10_05.xlsx&amp;sheet=U0&amp;row=15154&amp;col=7&amp;number=0.029&amp;sourceID=14","0.029")</f>
        <v>0.029</v>
      </c>
    </row>
    <row r="15155" spans="1:7">
      <c r="A15155" s="3"/>
      <c r="B15155" s="3"/>
      <c r="C15155" s="3"/>
      <c r="D15155" s="3"/>
      <c r="E15155" s="3">
        <v>12</v>
      </c>
      <c r="F15155" s="4" t="str">
        <f>HYPERLINK("http://141.218.60.56/~jnz1568/getInfo.php?workbook=10_05.xlsx&amp;sheet=U0&amp;row=15155&amp;col=6&amp;number=4.1&amp;sourceID=14","4.1")</f>
        <v>4.1</v>
      </c>
      <c r="G15155" s="4" t="str">
        <f>HYPERLINK("http://141.218.60.56/~jnz1568/getInfo.php?workbook=10_05.xlsx&amp;sheet=U0&amp;row=15155&amp;col=7&amp;number=0.0264&amp;sourceID=14","0.0264")</f>
        <v>0.0264</v>
      </c>
    </row>
    <row r="15156" spans="1:7">
      <c r="A15156" s="3"/>
      <c r="B15156" s="3"/>
      <c r="C15156" s="3"/>
      <c r="D15156" s="3"/>
      <c r="E15156" s="3">
        <v>13</v>
      </c>
      <c r="F15156" s="4" t="str">
        <f>HYPERLINK("http://141.218.60.56/~jnz1568/getInfo.php?workbook=10_05.xlsx&amp;sheet=U0&amp;row=15156&amp;col=6&amp;number=4.2&amp;sourceID=14","4.2")</f>
        <v>4.2</v>
      </c>
      <c r="G15156" s="4" t="str">
        <f>HYPERLINK("http://141.218.60.56/~jnz1568/getInfo.php?workbook=10_05.xlsx&amp;sheet=U0&amp;row=15156&amp;col=7&amp;number=0.0241&amp;sourceID=14","0.0241")</f>
        <v>0.0241</v>
      </c>
    </row>
    <row r="15157" spans="1:7">
      <c r="A15157" s="3"/>
      <c r="B15157" s="3"/>
      <c r="C15157" s="3"/>
      <c r="D15157" s="3"/>
      <c r="E15157" s="3">
        <v>14</v>
      </c>
      <c r="F15157" s="4" t="str">
        <f>HYPERLINK("http://141.218.60.56/~jnz1568/getInfo.php?workbook=10_05.xlsx&amp;sheet=U0&amp;row=15157&amp;col=6&amp;number=4.3&amp;sourceID=14","4.3")</f>
        <v>4.3</v>
      </c>
      <c r="G15157" s="4" t="str">
        <f>HYPERLINK("http://141.218.60.56/~jnz1568/getInfo.php?workbook=10_05.xlsx&amp;sheet=U0&amp;row=15157&amp;col=7&amp;number=0.0222&amp;sourceID=14","0.0222")</f>
        <v>0.0222</v>
      </c>
    </row>
    <row r="15158" spans="1:7">
      <c r="A15158" s="3"/>
      <c r="B15158" s="3"/>
      <c r="C15158" s="3"/>
      <c r="D15158" s="3"/>
      <c r="E15158" s="3">
        <v>15</v>
      </c>
      <c r="F15158" s="4" t="str">
        <f>HYPERLINK("http://141.218.60.56/~jnz1568/getInfo.php?workbook=10_05.xlsx&amp;sheet=U0&amp;row=15158&amp;col=6&amp;number=4.4&amp;sourceID=14","4.4")</f>
        <v>4.4</v>
      </c>
      <c r="G15158" s="4" t="str">
        <f>HYPERLINK("http://141.218.60.56/~jnz1568/getInfo.php?workbook=10_05.xlsx&amp;sheet=U0&amp;row=15158&amp;col=7&amp;number=0.0207&amp;sourceID=14","0.0207")</f>
        <v>0.0207</v>
      </c>
    </row>
    <row r="15159" spans="1:7">
      <c r="A15159" s="3"/>
      <c r="B15159" s="3"/>
      <c r="C15159" s="3"/>
      <c r="D15159" s="3"/>
      <c r="E15159" s="3">
        <v>16</v>
      </c>
      <c r="F15159" s="4" t="str">
        <f>HYPERLINK("http://141.218.60.56/~jnz1568/getInfo.php?workbook=10_05.xlsx&amp;sheet=U0&amp;row=15159&amp;col=6&amp;number=4.5&amp;sourceID=14","4.5")</f>
        <v>4.5</v>
      </c>
      <c r="G15159" s="4" t="str">
        <f>HYPERLINK("http://141.218.60.56/~jnz1568/getInfo.php?workbook=10_05.xlsx&amp;sheet=U0&amp;row=15159&amp;col=7&amp;number=0.0191&amp;sourceID=14","0.0191")</f>
        <v>0.0191</v>
      </c>
    </row>
    <row r="15160" spans="1:7">
      <c r="A15160" s="3"/>
      <c r="B15160" s="3"/>
      <c r="C15160" s="3"/>
      <c r="D15160" s="3"/>
      <c r="E15160" s="3">
        <v>17</v>
      </c>
      <c r="F15160" s="4" t="str">
        <f>HYPERLINK("http://141.218.60.56/~jnz1568/getInfo.php?workbook=10_05.xlsx&amp;sheet=U0&amp;row=15160&amp;col=6&amp;number=4.6&amp;sourceID=14","4.6")</f>
        <v>4.6</v>
      </c>
      <c r="G15160" s="4" t="str">
        <f>HYPERLINK("http://141.218.60.56/~jnz1568/getInfo.php?workbook=10_05.xlsx&amp;sheet=U0&amp;row=15160&amp;col=7&amp;number=0.0176&amp;sourceID=14","0.0176")</f>
        <v>0.0176</v>
      </c>
    </row>
    <row r="15161" spans="1:7">
      <c r="A15161" s="3"/>
      <c r="B15161" s="3"/>
      <c r="C15161" s="3"/>
      <c r="D15161" s="3"/>
      <c r="E15161" s="3">
        <v>18</v>
      </c>
      <c r="F15161" s="4" t="str">
        <f>HYPERLINK("http://141.218.60.56/~jnz1568/getInfo.php?workbook=10_05.xlsx&amp;sheet=U0&amp;row=15161&amp;col=6&amp;number=4.7&amp;sourceID=14","4.7")</f>
        <v>4.7</v>
      </c>
      <c r="G15161" s="4" t="str">
        <f>HYPERLINK("http://141.218.60.56/~jnz1568/getInfo.php?workbook=10_05.xlsx&amp;sheet=U0&amp;row=15161&amp;col=7&amp;number=0.0162&amp;sourceID=14","0.0162")</f>
        <v>0.0162</v>
      </c>
    </row>
    <row r="15162" spans="1:7">
      <c r="A15162" s="3"/>
      <c r="B15162" s="3"/>
      <c r="C15162" s="3"/>
      <c r="D15162" s="3"/>
      <c r="E15162" s="3">
        <v>19</v>
      </c>
      <c r="F15162" s="4" t="str">
        <f>HYPERLINK("http://141.218.60.56/~jnz1568/getInfo.php?workbook=10_05.xlsx&amp;sheet=U0&amp;row=15162&amp;col=6&amp;number=4.8&amp;sourceID=14","4.8")</f>
        <v>4.8</v>
      </c>
      <c r="G15162" s="4" t="str">
        <f>HYPERLINK("http://141.218.60.56/~jnz1568/getInfo.php?workbook=10_05.xlsx&amp;sheet=U0&amp;row=15162&amp;col=7&amp;number=0.015&amp;sourceID=14","0.015")</f>
        <v>0.015</v>
      </c>
    </row>
    <row r="15163" spans="1:7">
      <c r="A15163" s="3"/>
      <c r="B15163" s="3"/>
      <c r="C15163" s="3"/>
      <c r="D15163" s="3"/>
      <c r="E15163" s="3">
        <v>20</v>
      </c>
      <c r="F15163" s="4" t="str">
        <f>HYPERLINK("http://141.218.60.56/~jnz1568/getInfo.php?workbook=10_05.xlsx&amp;sheet=U0&amp;row=15163&amp;col=6&amp;number=4.9&amp;sourceID=14","4.9")</f>
        <v>4.9</v>
      </c>
      <c r="G15163" s="4" t="str">
        <f>HYPERLINK("http://141.218.60.56/~jnz1568/getInfo.php?workbook=10_05.xlsx&amp;sheet=U0&amp;row=15163&amp;col=7&amp;number=0.0138&amp;sourceID=14","0.0138")</f>
        <v>0.0138</v>
      </c>
    </row>
    <row r="15164" spans="1:7">
      <c r="A15164" s="3">
        <v>10</v>
      </c>
      <c r="B15164" s="3">
        <v>5</v>
      </c>
      <c r="C15164" s="3">
        <v>5</v>
      </c>
      <c r="D15164" s="3">
        <v>54</v>
      </c>
      <c r="E15164" s="3">
        <v>1</v>
      </c>
      <c r="F15164" s="4" t="str">
        <f>HYPERLINK("http://141.218.60.56/~jnz1568/getInfo.php?workbook=10_05.xlsx&amp;sheet=U0&amp;row=15164&amp;col=6&amp;number=3&amp;sourceID=14","3")</f>
        <v>3</v>
      </c>
      <c r="G15164" s="4" t="str">
        <f>HYPERLINK("http://141.218.60.56/~jnz1568/getInfo.php?workbook=10_05.xlsx&amp;sheet=U0&amp;row=15164&amp;col=7&amp;number=0.0596&amp;sourceID=14","0.0596")</f>
        <v>0.0596</v>
      </c>
    </row>
    <row r="15165" spans="1:7">
      <c r="A15165" s="3"/>
      <c r="B15165" s="3"/>
      <c r="C15165" s="3"/>
      <c r="D15165" s="3"/>
      <c r="E15165" s="3">
        <v>2</v>
      </c>
      <c r="F15165" s="4" t="str">
        <f>HYPERLINK("http://141.218.60.56/~jnz1568/getInfo.php?workbook=10_05.xlsx&amp;sheet=U0&amp;row=15165&amp;col=6&amp;number=3.1&amp;sourceID=14","3.1")</f>
        <v>3.1</v>
      </c>
      <c r="G15165" s="4" t="str">
        <f>HYPERLINK("http://141.218.60.56/~jnz1568/getInfo.php?workbook=10_05.xlsx&amp;sheet=U0&amp;row=15165&amp;col=7&amp;number=0.0595&amp;sourceID=14","0.0595")</f>
        <v>0.0595</v>
      </c>
    </row>
    <row r="15166" spans="1:7">
      <c r="A15166" s="3"/>
      <c r="B15166" s="3"/>
      <c r="C15166" s="3"/>
      <c r="D15166" s="3"/>
      <c r="E15166" s="3">
        <v>3</v>
      </c>
      <c r="F15166" s="4" t="str">
        <f>HYPERLINK("http://141.218.60.56/~jnz1568/getInfo.php?workbook=10_05.xlsx&amp;sheet=U0&amp;row=15166&amp;col=6&amp;number=3.2&amp;sourceID=14","3.2")</f>
        <v>3.2</v>
      </c>
      <c r="G15166" s="4" t="str">
        <f>HYPERLINK("http://141.218.60.56/~jnz1568/getInfo.php?workbook=10_05.xlsx&amp;sheet=U0&amp;row=15166&amp;col=7&amp;number=0.0594&amp;sourceID=14","0.0594")</f>
        <v>0.0594</v>
      </c>
    </row>
    <row r="15167" spans="1:7">
      <c r="A15167" s="3"/>
      <c r="B15167" s="3"/>
      <c r="C15167" s="3"/>
      <c r="D15167" s="3"/>
      <c r="E15167" s="3">
        <v>4</v>
      </c>
      <c r="F15167" s="4" t="str">
        <f>HYPERLINK("http://141.218.60.56/~jnz1568/getInfo.php?workbook=10_05.xlsx&amp;sheet=U0&amp;row=15167&amp;col=6&amp;number=3.3&amp;sourceID=14","3.3")</f>
        <v>3.3</v>
      </c>
      <c r="G15167" s="4" t="str">
        <f>HYPERLINK("http://141.218.60.56/~jnz1568/getInfo.php?workbook=10_05.xlsx&amp;sheet=U0&amp;row=15167&amp;col=7&amp;number=0.0593&amp;sourceID=14","0.0593")</f>
        <v>0.0593</v>
      </c>
    </row>
    <row r="15168" spans="1:7">
      <c r="A15168" s="3"/>
      <c r="B15168" s="3"/>
      <c r="C15168" s="3"/>
      <c r="D15168" s="3"/>
      <c r="E15168" s="3">
        <v>5</v>
      </c>
      <c r="F15168" s="4" t="str">
        <f>HYPERLINK("http://141.218.60.56/~jnz1568/getInfo.php?workbook=10_05.xlsx&amp;sheet=U0&amp;row=15168&amp;col=6&amp;number=3.4&amp;sourceID=14","3.4")</f>
        <v>3.4</v>
      </c>
      <c r="G15168" s="4" t="str">
        <f>HYPERLINK("http://141.218.60.56/~jnz1568/getInfo.php?workbook=10_05.xlsx&amp;sheet=U0&amp;row=15168&amp;col=7&amp;number=0.0592&amp;sourceID=14","0.0592")</f>
        <v>0.0592</v>
      </c>
    </row>
    <row r="15169" spans="1:7">
      <c r="A15169" s="3"/>
      <c r="B15169" s="3"/>
      <c r="C15169" s="3"/>
      <c r="D15169" s="3"/>
      <c r="E15169" s="3">
        <v>6</v>
      </c>
      <c r="F15169" s="4" t="str">
        <f>HYPERLINK("http://141.218.60.56/~jnz1568/getInfo.php?workbook=10_05.xlsx&amp;sheet=U0&amp;row=15169&amp;col=6&amp;number=3.5&amp;sourceID=14","3.5")</f>
        <v>3.5</v>
      </c>
      <c r="G15169" s="4" t="str">
        <f>HYPERLINK("http://141.218.60.56/~jnz1568/getInfo.php?workbook=10_05.xlsx&amp;sheet=U0&amp;row=15169&amp;col=7&amp;number=0.059&amp;sourceID=14","0.059")</f>
        <v>0.059</v>
      </c>
    </row>
    <row r="15170" spans="1:7">
      <c r="A15170" s="3"/>
      <c r="B15170" s="3"/>
      <c r="C15170" s="3"/>
      <c r="D15170" s="3"/>
      <c r="E15170" s="3">
        <v>7</v>
      </c>
      <c r="F15170" s="4" t="str">
        <f>HYPERLINK("http://141.218.60.56/~jnz1568/getInfo.php?workbook=10_05.xlsx&amp;sheet=U0&amp;row=15170&amp;col=6&amp;number=3.6&amp;sourceID=14","3.6")</f>
        <v>3.6</v>
      </c>
      <c r="G15170" s="4" t="str">
        <f>HYPERLINK("http://141.218.60.56/~jnz1568/getInfo.php?workbook=10_05.xlsx&amp;sheet=U0&amp;row=15170&amp;col=7&amp;number=0.0587&amp;sourceID=14","0.0587")</f>
        <v>0.0587</v>
      </c>
    </row>
    <row r="15171" spans="1:7">
      <c r="A15171" s="3"/>
      <c r="B15171" s="3"/>
      <c r="C15171" s="3"/>
      <c r="D15171" s="3"/>
      <c r="E15171" s="3">
        <v>8</v>
      </c>
      <c r="F15171" s="4" t="str">
        <f>HYPERLINK("http://141.218.60.56/~jnz1568/getInfo.php?workbook=10_05.xlsx&amp;sheet=U0&amp;row=15171&amp;col=6&amp;number=3.7&amp;sourceID=14","3.7")</f>
        <v>3.7</v>
      </c>
      <c r="G15171" s="4" t="str">
        <f>HYPERLINK("http://141.218.60.56/~jnz1568/getInfo.php?workbook=10_05.xlsx&amp;sheet=U0&amp;row=15171&amp;col=7&amp;number=0.0584&amp;sourceID=14","0.0584")</f>
        <v>0.0584</v>
      </c>
    </row>
    <row r="15172" spans="1:7">
      <c r="A15172" s="3"/>
      <c r="B15172" s="3"/>
      <c r="C15172" s="3"/>
      <c r="D15172" s="3"/>
      <c r="E15172" s="3">
        <v>9</v>
      </c>
      <c r="F15172" s="4" t="str">
        <f>HYPERLINK("http://141.218.60.56/~jnz1568/getInfo.php?workbook=10_05.xlsx&amp;sheet=U0&amp;row=15172&amp;col=6&amp;number=3.8&amp;sourceID=14","3.8")</f>
        <v>3.8</v>
      </c>
      <c r="G15172" s="4" t="str">
        <f>HYPERLINK("http://141.218.60.56/~jnz1568/getInfo.php?workbook=10_05.xlsx&amp;sheet=U0&amp;row=15172&amp;col=7&amp;number=0.058&amp;sourceID=14","0.058")</f>
        <v>0.058</v>
      </c>
    </row>
    <row r="15173" spans="1:7">
      <c r="A15173" s="3"/>
      <c r="B15173" s="3"/>
      <c r="C15173" s="3"/>
      <c r="D15173" s="3"/>
      <c r="E15173" s="3">
        <v>10</v>
      </c>
      <c r="F15173" s="4" t="str">
        <f>HYPERLINK("http://141.218.60.56/~jnz1568/getInfo.php?workbook=10_05.xlsx&amp;sheet=U0&amp;row=15173&amp;col=6&amp;number=3.9&amp;sourceID=14","3.9")</f>
        <v>3.9</v>
      </c>
      <c r="G15173" s="4" t="str">
        <f>HYPERLINK("http://141.218.60.56/~jnz1568/getInfo.php?workbook=10_05.xlsx&amp;sheet=U0&amp;row=15173&amp;col=7&amp;number=0.0576&amp;sourceID=14","0.0576")</f>
        <v>0.0576</v>
      </c>
    </row>
    <row r="15174" spans="1:7">
      <c r="A15174" s="3"/>
      <c r="B15174" s="3"/>
      <c r="C15174" s="3"/>
      <c r="D15174" s="3"/>
      <c r="E15174" s="3">
        <v>11</v>
      </c>
      <c r="F15174" s="4" t="str">
        <f>HYPERLINK("http://141.218.60.56/~jnz1568/getInfo.php?workbook=10_05.xlsx&amp;sheet=U0&amp;row=15174&amp;col=6&amp;number=4&amp;sourceID=14","4")</f>
        <v>4</v>
      </c>
      <c r="G15174" s="4" t="str">
        <f>HYPERLINK("http://141.218.60.56/~jnz1568/getInfo.php?workbook=10_05.xlsx&amp;sheet=U0&amp;row=15174&amp;col=7&amp;number=0.0571&amp;sourceID=14","0.0571")</f>
        <v>0.0571</v>
      </c>
    </row>
    <row r="15175" spans="1:7">
      <c r="A15175" s="3"/>
      <c r="B15175" s="3"/>
      <c r="C15175" s="3"/>
      <c r="D15175" s="3"/>
      <c r="E15175" s="3">
        <v>12</v>
      </c>
      <c r="F15175" s="4" t="str">
        <f>HYPERLINK("http://141.218.60.56/~jnz1568/getInfo.php?workbook=10_05.xlsx&amp;sheet=U0&amp;row=15175&amp;col=6&amp;number=4.1&amp;sourceID=14","4.1")</f>
        <v>4.1</v>
      </c>
      <c r="G15175" s="4" t="str">
        <f>HYPERLINK("http://141.218.60.56/~jnz1568/getInfo.php?workbook=10_05.xlsx&amp;sheet=U0&amp;row=15175&amp;col=7&amp;number=0.0565&amp;sourceID=14","0.0565")</f>
        <v>0.0565</v>
      </c>
    </row>
    <row r="15176" spans="1:7">
      <c r="A15176" s="3"/>
      <c r="B15176" s="3"/>
      <c r="C15176" s="3"/>
      <c r="D15176" s="3"/>
      <c r="E15176" s="3">
        <v>13</v>
      </c>
      <c r="F15176" s="4" t="str">
        <f>HYPERLINK("http://141.218.60.56/~jnz1568/getInfo.php?workbook=10_05.xlsx&amp;sheet=U0&amp;row=15176&amp;col=6&amp;number=4.2&amp;sourceID=14","4.2")</f>
        <v>4.2</v>
      </c>
      <c r="G15176" s="4" t="str">
        <f>HYPERLINK("http://141.218.60.56/~jnz1568/getInfo.php?workbook=10_05.xlsx&amp;sheet=U0&amp;row=15176&amp;col=7&amp;number=0.056&amp;sourceID=14","0.056")</f>
        <v>0.056</v>
      </c>
    </row>
    <row r="15177" spans="1:7">
      <c r="A15177" s="3"/>
      <c r="B15177" s="3"/>
      <c r="C15177" s="3"/>
      <c r="D15177" s="3"/>
      <c r="E15177" s="3">
        <v>14</v>
      </c>
      <c r="F15177" s="4" t="str">
        <f>HYPERLINK("http://141.218.60.56/~jnz1568/getInfo.php?workbook=10_05.xlsx&amp;sheet=U0&amp;row=15177&amp;col=6&amp;number=4.3&amp;sourceID=14","4.3")</f>
        <v>4.3</v>
      </c>
      <c r="G15177" s="4" t="str">
        <f>HYPERLINK("http://141.218.60.56/~jnz1568/getInfo.php?workbook=10_05.xlsx&amp;sheet=U0&amp;row=15177&amp;col=7&amp;number=0.0554&amp;sourceID=14","0.0554")</f>
        <v>0.0554</v>
      </c>
    </row>
    <row r="15178" spans="1:7">
      <c r="A15178" s="3"/>
      <c r="B15178" s="3"/>
      <c r="C15178" s="3"/>
      <c r="D15178" s="3"/>
      <c r="E15178" s="3">
        <v>15</v>
      </c>
      <c r="F15178" s="4" t="str">
        <f>HYPERLINK("http://141.218.60.56/~jnz1568/getInfo.php?workbook=10_05.xlsx&amp;sheet=U0&amp;row=15178&amp;col=6&amp;number=4.4&amp;sourceID=14","4.4")</f>
        <v>4.4</v>
      </c>
      <c r="G15178" s="4" t="str">
        <f>HYPERLINK("http://141.218.60.56/~jnz1568/getInfo.php?workbook=10_05.xlsx&amp;sheet=U0&amp;row=15178&amp;col=7&amp;number=0.055&amp;sourceID=14","0.055")</f>
        <v>0.055</v>
      </c>
    </row>
    <row r="15179" spans="1:7">
      <c r="A15179" s="3"/>
      <c r="B15179" s="3"/>
      <c r="C15179" s="3"/>
      <c r="D15179" s="3"/>
      <c r="E15179" s="3">
        <v>16</v>
      </c>
      <c r="F15179" s="4" t="str">
        <f>HYPERLINK("http://141.218.60.56/~jnz1568/getInfo.php?workbook=10_05.xlsx&amp;sheet=U0&amp;row=15179&amp;col=6&amp;number=4.5&amp;sourceID=14","4.5")</f>
        <v>4.5</v>
      </c>
      <c r="G15179" s="4" t="str">
        <f>HYPERLINK("http://141.218.60.56/~jnz1568/getInfo.php?workbook=10_05.xlsx&amp;sheet=U0&amp;row=15179&amp;col=7&amp;number=0.0547&amp;sourceID=14","0.0547")</f>
        <v>0.0547</v>
      </c>
    </row>
    <row r="15180" spans="1:7">
      <c r="A15180" s="3"/>
      <c r="B15180" s="3"/>
      <c r="C15180" s="3"/>
      <c r="D15180" s="3"/>
      <c r="E15180" s="3">
        <v>17</v>
      </c>
      <c r="F15180" s="4" t="str">
        <f>HYPERLINK("http://141.218.60.56/~jnz1568/getInfo.php?workbook=10_05.xlsx&amp;sheet=U0&amp;row=15180&amp;col=6&amp;number=4.6&amp;sourceID=14","4.6")</f>
        <v>4.6</v>
      </c>
      <c r="G15180" s="4" t="str">
        <f>HYPERLINK("http://141.218.60.56/~jnz1568/getInfo.php?workbook=10_05.xlsx&amp;sheet=U0&amp;row=15180&amp;col=7&amp;number=0.0546&amp;sourceID=14","0.0546")</f>
        <v>0.0546</v>
      </c>
    </row>
    <row r="15181" spans="1:7">
      <c r="A15181" s="3"/>
      <c r="B15181" s="3"/>
      <c r="C15181" s="3"/>
      <c r="D15181" s="3"/>
      <c r="E15181" s="3">
        <v>18</v>
      </c>
      <c r="F15181" s="4" t="str">
        <f>HYPERLINK("http://141.218.60.56/~jnz1568/getInfo.php?workbook=10_05.xlsx&amp;sheet=U0&amp;row=15181&amp;col=6&amp;number=4.7&amp;sourceID=14","4.7")</f>
        <v>4.7</v>
      </c>
      <c r="G15181" s="4" t="str">
        <f>HYPERLINK("http://141.218.60.56/~jnz1568/getInfo.php?workbook=10_05.xlsx&amp;sheet=U0&amp;row=15181&amp;col=7&amp;number=0.0547&amp;sourceID=14","0.0547")</f>
        <v>0.0547</v>
      </c>
    </row>
    <row r="15182" spans="1:7">
      <c r="A15182" s="3"/>
      <c r="B15182" s="3"/>
      <c r="C15182" s="3"/>
      <c r="D15182" s="3"/>
      <c r="E15182" s="3">
        <v>19</v>
      </c>
      <c r="F15182" s="4" t="str">
        <f>HYPERLINK("http://141.218.60.56/~jnz1568/getInfo.php?workbook=10_05.xlsx&amp;sheet=U0&amp;row=15182&amp;col=6&amp;number=4.8&amp;sourceID=14","4.8")</f>
        <v>4.8</v>
      </c>
      <c r="G15182" s="4" t="str">
        <f>HYPERLINK("http://141.218.60.56/~jnz1568/getInfo.php?workbook=10_05.xlsx&amp;sheet=U0&amp;row=15182&amp;col=7&amp;number=0.0547&amp;sourceID=14","0.0547")</f>
        <v>0.0547</v>
      </c>
    </row>
    <row r="15183" spans="1:7">
      <c r="A15183" s="3"/>
      <c r="B15183" s="3"/>
      <c r="C15183" s="3"/>
      <c r="D15183" s="3"/>
      <c r="E15183" s="3">
        <v>20</v>
      </c>
      <c r="F15183" s="4" t="str">
        <f>HYPERLINK("http://141.218.60.56/~jnz1568/getInfo.php?workbook=10_05.xlsx&amp;sheet=U0&amp;row=15183&amp;col=6&amp;number=4.9&amp;sourceID=14","4.9")</f>
        <v>4.9</v>
      </c>
      <c r="G15183" s="4" t="str">
        <f>HYPERLINK("http://141.218.60.56/~jnz1568/getInfo.php?workbook=10_05.xlsx&amp;sheet=U0&amp;row=15183&amp;col=7&amp;number=0.0542&amp;sourceID=14","0.0542")</f>
        <v>0.0542</v>
      </c>
    </row>
    <row r="15184" spans="1:7">
      <c r="A15184" s="3">
        <v>10</v>
      </c>
      <c r="B15184" s="3">
        <v>5</v>
      </c>
      <c r="C15184" s="3">
        <v>5</v>
      </c>
      <c r="D15184" s="3">
        <v>55</v>
      </c>
      <c r="E15184" s="3">
        <v>1</v>
      </c>
      <c r="F15184" s="4" t="str">
        <f>HYPERLINK("http://141.218.60.56/~jnz1568/getInfo.php?workbook=10_05.xlsx&amp;sheet=U0&amp;row=15184&amp;col=6&amp;number=3&amp;sourceID=14","3")</f>
        <v>3</v>
      </c>
      <c r="G15184" s="4" t="str">
        <f>HYPERLINK("http://141.218.60.56/~jnz1568/getInfo.php?workbook=10_05.xlsx&amp;sheet=U0&amp;row=15184&amp;col=7&amp;number=0.124&amp;sourceID=14","0.124")</f>
        <v>0.124</v>
      </c>
    </row>
    <row r="15185" spans="1:7">
      <c r="A15185" s="3"/>
      <c r="B15185" s="3"/>
      <c r="C15185" s="3"/>
      <c r="D15185" s="3"/>
      <c r="E15185" s="3">
        <v>2</v>
      </c>
      <c r="F15185" s="4" t="str">
        <f>HYPERLINK("http://141.218.60.56/~jnz1568/getInfo.php?workbook=10_05.xlsx&amp;sheet=U0&amp;row=15185&amp;col=6&amp;number=3.1&amp;sourceID=14","3.1")</f>
        <v>3.1</v>
      </c>
      <c r="G15185" s="4" t="str">
        <f>HYPERLINK("http://141.218.60.56/~jnz1568/getInfo.php?workbook=10_05.xlsx&amp;sheet=U0&amp;row=15185&amp;col=7&amp;number=0.124&amp;sourceID=14","0.124")</f>
        <v>0.124</v>
      </c>
    </row>
    <row r="15186" spans="1:7">
      <c r="A15186" s="3"/>
      <c r="B15186" s="3"/>
      <c r="C15186" s="3"/>
      <c r="D15186" s="3"/>
      <c r="E15186" s="3">
        <v>3</v>
      </c>
      <c r="F15186" s="4" t="str">
        <f>HYPERLINK("http://141.218.60.56/~jnz1568/getInfo.php?workbook=10_05.xlsx&amp;sheet=U0&amp;row=15186&amp;col=6&amp;number=3.2&amp;sourceID=14","3.2")</f>
        <v>3.2</v>
      </c>
      <c r="G15186" s="4" t="str">
        <f>HYPERLINK("http://141.218.60.56/~jnz1568/getInfo.php?workbook=10_05.xlsx&amp;sheet=U0&amp;row=15186&amp;col=7&amp;number=0.123&amp;sourceID=14","0.123")</f>
        <v>0.123</v>
      </c>
    </row>
    <row r="15187" spans="1:7">
      <c r="A15187" s="3"/>
      <c r="B15187" s="3"/>
      <c r="C15187" s="3"/>
      <c r="D15187" s="3"/>
      <c r="E15187" s="3">
        <v>4</v>
      </c>
      <c r="F15187" s="4" t="str">
        <f>HYPERLINK("http://141.218.60.56/~jnz1568/getInfo.php?workbook=10_05.xlsx&amp;sheet=U0&amp;row=15187&amp;col=6&amp;number=3.3&amp;sourceID=14","3.3")</f>
        <v>3.3</v>
      </c>
      <c r="G15187" s="4" t="str">
        <f>HYPERLINK("http://141.218.60.56/~jnz1568/getInfo.php?workbook=10_05.xlsx&amp;sheet=U0&amp;row=15187&amp;col=7&amp;number=0.123&amp;sourceID=14","0.123")</f>
        <v>0.123</v>
      </c>
    </row>
    <row r="15188" spans="1:7">
      <c r="A15188" s="3"/>
      <c r="B15188" s="3"/>
      <c r="C15188" s="3"/>
      <c r="D15188" s="3"/>
      <c r="E15188" s="3">
        <v>5</v>
      </c>
      <c r="F15188" s="4" t="str">
        <f>HYPERLINK("http://141.218.60.56/~jnz1568/getInfo.php?workbook=10_05.xlsx&amp;sheet=U0&amp;row=15188&amp;col=6&amp;number=3.4&amp;sourceID=14","3.4")</f>
        <v>3.4</v>
      </c>
      <c r="G15188" s="4" t="str">
        <f>HYPERLINK("http://141.218.60.56/~jnz1568/getInfo.php?workbook=10_05.xlsx&amp;sheet=U0&amp;row=15188&amp;col=7&amp;number=0.123&amp;sourceID=14","0.123")</f>
        <v>0.123</v>
      </c>
    </row>
    <row r="15189" spans="1:7">
      <c r="A15189" s="3"/>
      <c r="B15189" s="3"/>
      <c r="C15189" s="3"/>
      <c r="D15189" s="3"/>
      <c r="E15189" s="3">
        <v>6</v>
      </c>
      <c r="F15189" s="4" t="str">
        <f>HYPERLINK("http://141.218.60.56/~jnz1568/getInfo.php?workbook=10_05.xlsx&amp;sheet=U0&amp;row=15189&amp;col=6&amp;number=3.5&amp;sourceID=14","3.5")</f>
        <v>3.5</v>
      </c>
      <c r="G15189" s="4" t="str">
        <f>HYPERLINK("http://141.218.60.56/~jnz1568/getInfo.php?workbook=10_05.xlsx&amp;sheet=U0&amp;row=15189&amp;col=7&amp;number=0.122&amp;sourceID=14","0.122")</f>
        <v>0.122</v>
      </c>
    </row>
    <row r="15190" spans="1:7">
      <c r="A15190" s="3"/>
      <c r="B15190" s="3"/>
      <c r="C15190" s="3"/>
      <c r="D15190" s="3"/>
      <c r="E15190" s="3">
        <v>7</v>
      </c>
      <c r="F15190" s="4" t="str">
        <f>HYPERLINK("http://141.218.60.56/~jnz1568/getInfo.php?workbook=10_05.xlsx&amp;sheet=U0&amp;row=15190&amp;col=6&amp;number=3.6&amp;sourceID=14","3.6")</f>
        <v>3.6</v>
      </c>
      <c r="G15190" s="4" t="str">
        <f>HYPERLINK("http://141.218.60.56/~jnz1568/getInfo.php?workbook=10_05.xlsx&amp;sheet=U0&amp;row=15190&amp;col=7&amp;number=0.122&amp;sourceID=14","0.122")</f>
        <v>0.122</v>
      </c>
    </row>
    <row r="15191" spans="1:7">
      <c r="A15191" s="3"/>
      <c r="B15191" s="3"/>
      <c r="C15191" s="3"/>
      <c r="D15191" s="3"/>
      <c r="E15191" s="3">
        <v>8</v>
      </c>
      <c r="F15191" s="4" t="str">
        <f>HYPERLINK("http://141.218.60.56/~jnz1568/getInfo.php?workbook=10_05.xlsx&amp;sheet=U0&amp;row=15191&amp;col=6&amp;number=3.7&amp;sourceID=14","3.7")</f>
        <v>3.7</v>
      </c>
      <c r="G15191" s="4" t="str">
        <f>HYPERLINK("http://141.218.60.56/~jnz1568/getInfo.php?workbook=10_05.xlsx&amp;sheet=U0&amp;row=15191&amp;col=7&amp;number=0.121&amp;sourceID=14","0.121")</f>
        <v>0.121</v>
      </c>
    </row>
    <row r="15192" spans="1:7">
      <c r="A15192" s="3"/>
      <c r="B15192" s="3"/>
      <c r="C15192" s="3"/>
      <c r="D15192" s="3"/>
      <c r="E15192" s="3">
        <v>9</v>
      </c>
      <c r="F15192" s="4" t="str">
        <f>HYPERLINK("http://141.218.60.56/~jnz1568/getInfo.php?workbook=10_05.xlsx&amp;sheet=U0&amp;row=15192&amp;col=6&amp;number=3.8&amp;sourceID=14","3.8")</f>
        <v>3.8</v>
      </c>
      <c r="G15192" s="4" t="str">
        <f>HYPERLINK("http://141.218.60.56/~jnz1568/getInfo.php?workbook=10_05.xlsx&amp;sheet=U0&amp;row=15192&amp;col=7&amp;number=0.12&amp;sourceID=14","0.12")</f>
        <v>0.12</v>
      </c>
    </row>
    <row r="15193" spans="1:7">
      <c r="A15193" s="3"/>
      <c r="B15193" s="3"/>
      <c r="C15193" s="3"/>
      <c r="D15193" s="3"/>
      <c r="E15193" s="3">
        <v>10</v>
      </c>
      <c r="F15193" s="4" t="str">
        <f>HYPERLINK("http://141.218.60.56/~jnz1568/getInfo.php?workbook=10_05.xlsx&amp;sheet=U0&amp;row=15193&amp;col=6&amp;number=3.9&amp;sourceID=14","3.9")</f>
        <v>3.9</v>
      </c>
      <c r="G15193" s="4" t="str">
        <f>HYPERLINK("http://141.218.60.56/~jnz1568/getInfo.php?workbook=10_05.xlsx&amp;sheet=U0&amp;row=15193&amp;col=7&amp;number=0.119&amp;sourceID=14","0.119")</f>
        <v>0.119</v>
      </c>
    </row>
    <row r="15194" spans="1:7">
      <c r="A15194" s="3"/>
      <c r="B15194" s="3"/>
      <c r="C15194" s="3"/>
      <c r="D15194" s="3"/>
      <c r="E15194" s="3">
        <v>11</v>
      </c>
      <c r="F15194" s="4" t="str">
        <f>HYPERLINK("http://141.218.60.56/~jnz1568/getInfo.php?workbook=10_05.xlsx&amp;sheet=U0&amp;row=15194&amp;col=6&amp;number=4&amp;sourceID=14","4")</f>
        <v>4</v>
      </c>
      <c r="G15194" s="4" t="str">
        <f>HYPERLINK("http://141.218.60.56/~jnz1568/getInfo.php?workbook=10_05.xlsx&amp;sheet=U0&amp;row=15194&amp;col=7&amp;number=0.117&amp;sourceID=14","0.117")</f>
        <v>0.117</v>
      </c>
    </row>
    <row r="15195" spans="1:7">
      <c r="A15195" s="3"/>
      <c r="B15195" s="3"/>
      <c r="C15195" s="3"/>
      <c r="D15195" s="3"/>
      <c r="E15195" s="3">
        <v>12</v>
      </c>
      <c r="F15195" s="4" t="str">
        <f>HYPERLINK("http://141.218.60.56/~jnz1568/getInfo.php?workbook=10_05.xlsx&amp;sheet=U0&amp;row=15195&amp;col=6&amp;number=4.1&amp;sourceID=14","4.1")</f>
        <v>4.1</v>
      </c>
      <c r="G15195" s="4" t="str">
        <f>HYPERLINK("http://141.218.60.56/~jnz1568/getInfo.php?workbook=10_05.xlsx&amp;sheet=U0&amp;row=15195&amp;col=7&amp;number=0.116&amp;sourceID=14","0.116")</f>
        <v>0.116</v>
      </c>
    </row>
    <row r="15196" spans="1:7">
      <c r="A15196" s="3"/>
      <c r="B15196" s="3"/>
      <c r="C15196" s="3"/>
      <c r="D15196" s="3"/>
      <c r="E15196" s="3">
        <v>13</v>
      </c>
      <c r="F15196" s="4" t="str">
        <f>HYPERLINK("http://141.218.60.56/~jnz1568/getInfo.php?workbook=10_05.xlsx&amp;sheet=U0&amp;row=15196&amp;col=6&amp;number=4.2&amp;sourceID=14","4.2")</f>
        <v>4.2</v>
      </c>
      <c r="G15196" s="4" t="str">
        <f>HYPERLINK("http://141.218.60.56/~jnz1568/getInfo.php?workbook=10_05.xlsx&amp;sheet=U0&amp;row=15196&amp;col=7&amp;number=0.114&amp;sourceID=14","0.114")</f>
        <v>0.114</v>
      </c>
    </row>
    <row r="15197" spans="1:7">
      <c r="A15197" s="3"/>
      <c r="B15197" s="3"/>
      <c r="C15197" s="3"/>
      <c r="D15197" s="3"/>
      <c r="E15197" s="3">
        <v>14</v>
      </c>
      <c r="F15197" s="4" t="str">
        <f>HYPERLINK("http://141.218.60.56/~jnz1568/getInfo.php?workbook=10_05.xlsx&amp;sheet=U0&amp;row=15197&amp;col=6&amp;number=4.3&amp;sourceID=14","4.3")</f>
        <v>4.3</v>
      </c>
      <c r="G15197" s="4" t="str">
        <f>HYPERLINK("http://141.218.60.56/~jnz1568/getInfo.php?workbook=10_05.xlsx&amp;sheet=U0&amp;row=15197&amp;col=7&amp;number=0.113&amp;sourceID=14","0.113")</f>
        <v>0.113</v>
      </c>
    </row>
    <row r="15198" spans="1:7">
      <c r="A15198" s="3"/>
      <c r="B15198" s="3"/>
      <c r="C15198" s="3"/>
      <c r="D15198" s="3"/>
      <c r="E15198" s="3">
        <v>15</v>
      </c>
      <c r="F15198" s="4" t="str">
        <f>HYPERLINK("http://141.218.60.56/~jnz1568/getInfo.php?workbook=10_05.xlsx&amp;sheet=U0&amp;row=15198&amp;col=6&amp;number=4.4&amp;sourceID=14","4.4")</f>
        <v>4.4</v>
      </c>
      <c r="G15198" s="4" t="str">
        <f>HYPERLINK("http://141.218.60.56/~jnz1568/getInfo.php?workbook=10_05.xlsx&amp;sheet=U0&amp;row=15198&amp;col=7&amp;number=0.111&amp;sourceID=14","0.111")</f>
        <v>0.111</v>
      </c>
    </row>
    <row r="15199" spans="1:7">
      <c r="A15199" s="3"/>
      <c r="B15199" s="3"/>
      <c r="C15199" s="3"/>
      <c r="D15199" s="3"/>
      <c r="E15199" s="3">
        <v>16</v>
      </c>
      <c r="F15199" s="4" t="str">
        <f>HYPERLINK("http://141.218.60.56/~jnz1568/getInfo.php?workbook=10_05.xlsx&amp;sheet=U0&amp;row=15199&amp;col=6&amp;number=4.5&amp;sourceID=14","4.5")</f>
        <v>4.5</v>
      </c>
      <c r="G15199" s="4" t="str">
        <f>HYPERLINK("http://141.218.60.56/~jnz1568/getInfo.php?workbook=10_05.xlsx&amp;sheet=U0&amp;row=15199&amp;col=7&amp;number=0.11&amp;sourceID=14","0.11")</f>
        <v>0.11</v>
      </c>
    </row>
    <row r="15200" spans="1:7">
      <c r="A15200" s="3"/>
      <c r="B15200" s="3"/>
      <c r="C15200" s="3"/>
      <c r="D15200" s="3"/>
      <c r="E15200" s="3">
        <v>17</v>
      </c>
      <c r="F15200" s="4" t="str">
        <f>HYPERLINK("http://141.218.60.56/~jnz1568/getInfo.php?workbook=10_05.xlsx&amp;sheet=U0&amp;row=15200&amp;col=6&amp;number=4.6&amp;sourceID=14","4.6")</f>
        <v>4.6</v>
      </c>
      <c r="G15200" s="4" t="str">
        <f>HYPERLINK("http://141.218.60.56/~jnz1568/getInfo.php?workbook=10_05.xlsx&amp;sheet=U0&amp;row=15200&amp;col=7&amp;number=0.11&amp;sourceID=14","0.11")</f>
        <v>0.11</v>
      </c>
    </row>
    <row r="15201" spans="1:7">
      <c r="A15201" s="3"/>
      <c r="B15201" s="3"/>
      <c r="C15201" s="3"/>
      <c r="D15201" s="3"/>
      <c r="E15201" s="3">
        <v>18</v>
      </c>
      <c r="F15201" s="4" t="str">
        <f>HYPERLINK("http://141.218.60.56/~jnz1568/getInfo.php?workbook=10_05.xlsx&amp;sheet=U0&amp;row=15201&amp;col=6&amp;number=4.7&amp;sourceID=14","4.7")</f>
        <v>4.7</v>
      </c>
      <c r="G15201" s="4" t="str">
        <f>HYPERLINK("http://141.218.60.56/~jnz1568/getInfo.php?workbook=10_05.xlsx&amp;sheet=U0&amp;row=15201&amp;col=7&amp;number=0.11&amp;sourceID=14","0.11")</f>
        <v>0.11</v>
      </c>
    </row>
    <row r="15202" spans="1:7">
      <c r="A15202" s="3"/>
      <c r="B15202" s="3"/>
      <c r="C15202" s="3"/>
      <c r="D15202" s="3"/>
      <c r="E15202" s="3">
        <v>19</v>
      </c>
      <c r="F15202" s="4" t="str">
        <f>HYPERLINK("http://141.218.60.56/~jnz1568/getInfo.php?workbook=10_05.xlsx&amp;sheet=U0&amp;row=15202&amp;col=6&amp;number=4.8&amp;sourceID=14","4.8")</f>
        <v>4.8</v>
      </c>
      <c r="G15202" s="4" t="str">
        <f>HYPERLINK("http://141.218.60.56/~jnz1568/getInfo.php?workbook=10_05.xlsx&amp;sheet=U0&amp;row=15202&amp;col=7&amp;number=0.11&amp;sourceID=14","0.11")</f>
        <v>0.11</v>
      </c>
    </row>
    <row r="15203" spans="1:7">
      <c r="A15203" s="3"/>
      <c r="B15203" s="3"/>
      <c r="C15203" s="3"/>
      <c r="D15203" s="3"/>
      <c r="E15203" s="3">
        <v>20</v>
      </c>
      <c r="F15203" s="4" t="str">
        <f>HYPERLINK("http://141.218.60.56/~jnz1568/getInfo.php?workbook=10_05.xlsx&amp;sheet=U0&amp;row=15203&amp;col=6&amp;number=4.9&amp;sourceID=14","4.9")</f>
        <v>4.9</v>
      </c>
      <c r="G15203" s="4" t="str">
        <f>HYPERLINK("http://141.218.60.56/~jnz1568/getInfo.php?workbook=10_05.xlsx&amp;sheet=U0&amp;row=15203&amp;col=7&amp;number=0.108&amp;sourceID=14","0.108")</f>
        <v>0.108</v>
      </c>
    </row>
    <row r="15204" spans="1:7">
      <c r="A15204" s="3">
        <v>10</v>
      </c>
      <c r="B15204" s="3">
        <v>5</v>
      </c>
      <c r="C15204" s="3">
        <v>5</v>
      </c>
      <c r="D15204" s="3">
        <v>56</v>
      </c>
      <c r="E15204" s="3">
        <v>1</v>
      </c>
      <c r="F15204" s="4" t="str">
        <f>HYPERLINK("http://141.218.60.56/~jnz1568/getInfo.php?workbook=10_05.xlsx&amp;sheet=U0&amp;row=15204&amp;col=6&amp;number=3&amp;sourceID=14","3")</f>
        <v>3</v>
      </c>
      <c r="G15204" s="4" t="str">
        <f>HYPERLINK("http://141.218.60.56/~jnz1568/getInfo.php?workbook=10_05.xlsx&amp;sheet=U0&amp;row=15204&amp;col=7&amp;number=0.0588&amp;sourceID=14","0.0588")</f>
        <v>0.0588</v>
      </c>
    </row>
    <row r="15205" spans="1:7">
      <c r="A15205" s="3"/>
      <c r="B15205" s="3"/>
      <c r="C15205" s="3"/>
      <c r="D15205" s="3"/>
      <c r="E15205" s="3">
        <v>2</v>
      </c>
      <c r="F15205" s="4" t="str">
        <f>HYPERLINK("http://141.218.60.56/~jnz1568/getInfo.php?workbook=10_05.xlsx&amp;sheet=U0&amp;row=15205&amp;col=6&amp;number=3.1&amp;sourceID=14","3.1")</f>
        <v>3.1</v>
      </c>
      <c r="G15205" s="4" t="str">
        <f>HYPERLINK("http://141.218.60.56/~jnz1568/getInfo.php?workbook=10_05.xlsx&amp;sheet=U0&amp;row=15205&amp;col=7&amp;number=0.0584&amp;sourceID=14","0.0584")</f>
        <v>0.0584</v>
      </c>
    </row>
    <row r="15206" spans="1:7">
      <c r="A15206" s="3"/>
      <c r="B15206" s="3"/>
      <c r="C15206" s="3"/>
      <c r="D15206" s="3"/>
      <c r="E15206" s="3">
        <v>3</v>
      </c>
      <c r="F15206" s="4" t="str">
        <f>HYPERLINK("http://141.218.60.56/~jnz1568/getInfo.php?workbook=10_05.xlsx&amp;sheet=U0&amp;row=15206&amp;col=6&amp;number=3.2&amp;sourceID=14","3.2")</f>
        <v>3.2</v>
      </c>
      <c r="G15206" s="4" t="str">
        <f>HYPERLINK("http://141.218.60.56/~jnz1568/getInfo.php?workbook=10_05.xlsx&amp;sheet=U0&amp;row=15206&amp;col=7&amp;number=0.058&amp;sourceID=14","0.058")</f>
        <v>0.058</v>
      </c>
    </row>
    <row r="15207" spans="1:7">
      <c r="A15207" s="3"/>
      <c r="B15207" s="3"/>
      <c r="C15207" s="3"/>
      <c r="D15207" s="3"/>
      <c r="E15207" s="3">
        <v>4</v>
      </c>
      <c r="F15207" s="4" t="str">
        <f>HYPERLINK("http://141.218.60.56/~jnz1568/getInfo.php?workbook=10_05.xlsx&amp;sheet=U0&amp;row=15207&amp;col=6&amp;number=3.3&amp;sourceID=14","3.3")</f>
        <v>3.3</v>
      </c>
      <c r="G15207" s="4" t="str">
        <f>HYPERLINK("http://141.218.60.56/~jnz1568/getInfo.php?workbook=10_05.xlsx&amp;sheet=U0&amp;row=15207&amp;col=7&amp;number=0.0575&amp;sourceID=14","0.0575")</f>
        <v>0.0575</v>
      </c>
    </row>
    <row r="15208" spans="1:7">
      <c r="A15208" s="3"/>
      <c r="B15208" s="3"/>
      <c r="C15208" s="3"/>
      <c r="D15208" s="3"/>
      <c r="E15208" s="3">
        <v>5</v>
      </c>
      <c r="F15208" s="4" t="str">
        <f>HYPERLINK("http://141.218.60.56/~jnz1568/getInfo.php?workbook=10_05.xlsx&amp;sheet=U0&amp;row=15208&amp;col=6&amp;number=3.4&amp;sourceID=14","3.4")</f>
        <v>3.4</v>
      </c>
      <c r="G15208" s="4" t="str">
        <f>HYPERLINK("http://141.218.60.56/~jnz1568/getInfo.php?workbook=10_05.xlsx&amp;sheet=U0&amp;row=15208&amp;col=7&amp;number=0.0569&amp;sourceID=14","0.0569")</f>
        <v>0.0569</v>
      </c>
    </row>
    <row r="15209" spans="1:7">
      <c r="A15209" s="3"/>
      <c r="B15209" s="3"/>
      <c r="C15209" s="3"/>
      <c r="D15209" s="3"/>
      <c r="E15209" s="3">
        <v>6</v>
      </c>
      <c r="F15209" s="4" t="str">
        <f>HYPERLINK("http://141.218.60.56/~jnz1568/getInfo.php?workbook=10_05.xlsx&amp;sheet=U0&amp;row=15209&amp;col=6&amp;number=3.5&amp;sourceID=14","3.5")</f>
        <v>3.5</v>
      </c>
      <c r="G15209" s="4" t="str">
        <f>HYPERLINK("http://141.218.60.56/~jnz1568/getInfo.php?workbook=10_05.xlsx&amp;sheet=U0&amp;row=15209&amp;col=7&amp;number=0.0561&amp;sourceID=14","0.0561")</f>
        <v>0.0561</v>
      </c>
    </row>
    <row r="15210" spans="1:7">
      <c r="A15210" s="3"/>
      <c r="B15210" s="3"/>
      <c r="C15210" s="3"/>
      <c r="D15210" s="3"/>
      <c r="E15210" s="3">
        <v>7</v>
      </c>
      <c r="F15210" s="4" t="str">
        <f>HYPERLINK("http://141.218.60.56/~jnz1568/getInfo.php?workbook=10_05.xlsx&amp;sheet=U0&amp;row=15210&amp;col=6&amp;number=3.6&amp;sourceID=14","3.6")</f>
        <v>3.6</v>
      </c>
      <c r="G15210" s="4" t="str">
        <f>HYPERLINK("http://141.218.60.56/~jnz1568/getInfo.php?workbook=10_05.xlsx&amp;sheet=U0&amp;row=15210&amp;col=7&amp;number=0.0551&amp;sourceID=14","0.0551")</f>
        <v>0.0551</v>
      </c>
    </row>
    <row r="15211" spans="1:7">
      <c r="A15211" s="3"/>
      <c r="B15211" s="3"/>
      <c r="C15211" s="3"/>
      <c r="D15211" s="3"/>
      <c r="E15211" s="3">
        <v>8</v>
      </c>
      <c r="F15211" s="4" t="str">
        <f>HYPERLINK("http://141.218.60.56/~jnz1568/getInfo.php?workbook=10_05.xlsx&amp;sheet=U0&amp;row=15211&amp;col=6&amp;number=3.7&amp;sourceID=14","3.7")</f>
        <v>3.7</v>
      </c>
      <c r="G15211" s="4" t="str">
        <f>HYPERLINK("http://141.218.60.56/~jnz1568/getInfo.php?workbook=10_05.xlsx&amp;sheet=U0&amp;row=15211&amp;col=7&amp;number=0.0539&amp;sourceID=14","0.0539")</f>
        <v>0.0539</v>
      </c>
    </row>
    <row r="15212" spans="1:7">
      <c r="A15212" s="3"/>
      <c r="B15212" s="3"/>
      <c r="C15212" s="3"/>
      <c r="D15212" s="3"/>
      <c r="E15212" s="3">
        <v>9</v>
      </c>
      <c r="F15212" s="4" t="str">
        <f>HYPERLINK("http://141.218.60.56/~jnz1568/getInfo.php?workbook=10_05.xlsx&amp;sheet=U0&amp;row=15212&amp;col=6&amp;number=3.8&amp;sourceID=14","3.8")</f>
        <v>3.8</v>
      </c>
      <c r="G15212" s="4" t="str">
        <f>HYPERLINK("http://141.218.60.56/~jnz1568/getInfo.php?workbook=10_05.xlsx&amp;sheet=U0&amp;row=15212&amp;col=7&amp;number=0.0525&amp;sourceID=14","0.0525")</f>
        <v>0.0525</v>
      </c>
    </row>
    <row r="15213" spans="1:7">
      <c r="A15213" s="3"/>
      <c r="B15213" s="3"/>
      <c r="C15213" s="3"/>
      <c r="D15213" s="3"/>
      <c r="E15213" s="3">
        <v>10</v>
      </c>
      <c r="F15213" s="4" t="str">
        <f>HYPERLINK("http://141.218.60.56/~jnz1568/getInfo.php?workbook=10_05.xlsx&amp;sheet=U0&amp;row=15213&amp;col=6&amp;number=3.9&amp;sourceID=14","3.9")</f>
        <v>3.9</v>
      </c>
      <c r="G15213" s="4" t="str">
        <f>HYPERLINK("http://141.218.60.56/~jnz1568/getInfo.php?workbook=10_05.xlsx&amp;sheet=U0&amp;row=15213&amp;col=7&amp;number=0.0508&amp;sourceID=14","0.0508")</f>
        <v>0.0508</v>
      </c>
    </row>
    <row r="15214" spans="1:7">
      <c r="A15214" s="3"/>
      <c r="B15214" s="3"/>
      <c r="C15214" s="3"/>
      <c r="D15214" s="3"/>
      <c r="E15214" s="3">
        <v>11</v>
      </c>
      <c r="F15214" s="4" t="str">
        <f>HYPERLINK("http://141.218.60.56/~jnz1568/getInfo.php?workbook=10_05.xlsx&amp;sheet=U0&amp;row=15214&amp;col=6&amp;number=4&amp;sourceID=14","4")</f>
        <v>4</v>
      </c>
      <c r="G15214" s="4" t="str">
        <f>HYPERLINK("http://141.218.60.56/~jnz1568/getInfo.php?workbook=10_05.xlsx&amp;sheet=U0&amp;row=15214&amp;col=7&amp;number=0.0489&amp;sourceID=14","0.0489")</f>
        <v>0.0489</v>
      </c>
    </row>
    <row r="15215" spans="1:7">
      <c r="A15215" s="3"/>
      <c r="B15215" s="3"/>
      <c r="C15215" s="3"/>
      <c r="D15215" s="3"/>
      <c r="E15215" s="3">
        <v>12</v>
      </c>
      <c r="F15215" s="4" t="str">
        <f>HYPERLINK("http://141.218.60.56/~jnz1568/getInfo.php?workbook=10_05.xlsx&amp;sheet=U0&amp;row=15215&amp;col=6&amp;number=4.1&amp;sourceID=14","4.1")</f>
        <v>4.1</v>
      </c>
      <c r="G15215" s="4" t="str">
        <f>HYPERLINK("http://141.218.60.56/~jnz1568/getInfo.php?workbook=10_05.xlsx&amp;sheet=U0&amp;row=15215&amp;col=7&amp;number=0.0468&amp;sourceID=14","0.0468")</f>
        <v>0.0468</v>
      </c>
    </row>
    <row r="15216" spans="1:7">
      <c r="A15216" s="3"/>
      <c r="B15216" s="3"/>
      <c r="C15216" s="3"/>
      <c r="D15216" s="3"/>
      <c r="E15216" s="3">
        <v>13</v>
      </c>
      <c r="F15216" s="4" t="str">
        <f>HYPERLINK("http://141.218.60.56/~jnz1568/getInfo.php?workbook=10_05.xlsx&amp;sheet=U0&amp;row=15216&amp;col=6&amp;number=4.2&amp;sourceID=14","4.2")</f>
        <v>4.2</v>
      </c>
      <c r="G15216" s="4" t="str">
        <f>HYPERLINK("http://141.218.60.56/~jnz1568/getInfo.php?workbook=10_05.xlsx&amp;sheet=U0&amp;row=15216&amp;col=7&amp;number=0.0446&amp;sourceID=14","0.0446")</f>
        <v>0.0446</v>
      </c>
    </row>
    <row r="15217" spans="1:7">
      <c r="A15217" s="3"/>
      <c r="B15217" s="3"/>
      <c r="C15217" s="3"/>
      <c r="D15217" s="3"/>
      <c r="E15217" s="3">
        <v>14</v>
      </c>
      <c r="F15217" s="4" t="str">
        <f>HYPERLINK("http://141.218.60.56/~jnz1568/getInfo.php?workbook=10_05.xlsx&amp;sheet=U0&amp;row=15217&amp;col=6&amp;number=4.3&amp;sourceID=14","4.3")</f>
        <v>4.3</v>
      </c>
      <c r="G15217" s="4" t="str">
        <f>HYPERLINK("http://141.218.60.56/~jnz1568/getInfo.php?workbook=10_05.xlsx&amp;sheet=U0&amp;row=15217&amp;col=7&amp;number=0.0428&amp;sourceID=14","0.0428")</f>
        <v>0.0428</v>
      </c>
    </row>
    <row r="15218" spans="1:7">
      <c r="A15218" s="3"/>
      <c r="B15218" s="3"/>
      <c r="C15218" s="3"/>
      <c r="D15218" s="3"/>
      <c r="E15218" s="3">
        <v>15</v>
      </c>
      <c r="F15218" s="4" t="str">
        <f>HYPERLINK("http://141.218.60.56/~jnz1568/getInfo.php?workbook=10_05.xlsx&amp;sheet=U0&amp;row=15218&amp;col=6&amp;number=4.4&amp;sourceID=14","4.4")</f>
        <v>4.4</v>
      </c>
      <c r="G15218" s="4" t="str">
        <f>HYPERLINK("http://141.218.60.56/~jnz1568/getInfo.php?workbook=10_05.xlsx&amp;sheet=U0&amp;row=15218&amp;col=7&amp;number=0.0414&amp;sourceID=14","0.0414")</f>
        <v>0.0414</v>
      </c>
    </row>
    <row r="15219" spans="1:7">
      <c r="A15219" s="3"/>
      <c r="B15219" s="3"/>
      <c r="C15219" s="3"/>
      <c r="D15219" s="3"/>
      <c r="E15219" s="3">
        <v>16</v>
      </c>
      <c r="F15219" s="4" t="str">
        <f>HYPERLINK("http://141.218.60.56/~jnz1568/getInfo.php?workbook=10_05.xlsx&amp;sheet=U0&amp;row=15219&amp;col=6&amp;number=4.5&amp;sourceID=14","4.5")</f>
        <v>4.5</v>
      </c>
      <c r="G15219" s="4" t="str">
        <f>HYPERLINK("http://141.218.60.56/~jnz1568/getInfo.php?workbook=10_05.xlsx&amp;sheet=U0&amp;row=15219&amp;col=7&amp;number=0.0405&amp;sourceID=14","0.0405")</f>
        <v>0.0405</v>
      </c>
    </row>
    <row r="15220" spans="1:7">
      <c r="A15220" s="3"/>
      <c r="B15220" s="3"/>
      <c r="C15220" s="3"/>
      <c r="D15220" s="3"/>
      <c r="E15220" s="3">
        <v>17</v>
      </c>
      <c r="F15220" s="4" t="str">
        <f>HYPERLINK("http://141.218.60.56/~jnz1568/getInfo.php?workbook=10_05.xlsx&amp;sheet=U0&amp;row=15220&amp;col=6&amp;number=4.6&amp;sourceID=14","4.6")</f>
        <v>4.6</v>
      </c>
      <c r="G15220" s="4" t="str">
        <f>HYPERLINK("http://141.218.60.56/~jnz1568/getInfo.php?workbook=10_05.xlsx&amp;sheet=U0&amp;row=15220&amp;col=7&amp;number=0.0399&amp;sourceID=14","0.0399")</f>
        <v>0.0399</v>
      </c>
    </row>
    <row r="15221" spans="1:7">
      <c r="A15221" s="3"/>
      <c r="B15221" s="3"/>
      <c r="C15221" s="3"/>
      <c r="D15221" s="3"/>
      <c r="E15221" s="3">
        <v>18</v>
      </c>
      <c r="F15221" s="4" t="str">
        <f>HYPERLINK("http://141.218.60.56/~jnz1568/getInfo.php?workbook=10_05.xlsx&amp;sheet=U0&amp;row=15221&amp;col=6&amp;number=4.7&amp;sourceID=14","4.7")</f>
        <v>4.7</v>
      </c>
      <c r="G15221" s="4" t="str">
        <f>HYPERLINK("http://141.218.60.56/~jnz1568/getInfo.php?workbook=10_05.xlsx&amp;sheet=U0&amp;row=15221&amp;col=7&amp;number=0.0394&amp;sourceID=14","0.0394")</f>
        <v>0.0394</v>
      </c>
    </row>
    <row r="15222" spans="1:7">
      <c r="A15222" s="3"/>
      <c r="B15222" s="3"/>
      <c r="C15222" s="3"/>
      <c r="D15222" s="3"/>
      <c r="E15222" s="3">
        <v>19</v>
      </c>
      <c r="F15222" s="4" t="str">
        <f>HYPERLINK("http://141.218.60.56/~jnz1568/getInfo.php?workbook=10_05.xlsx&amp;sheet=U0&amp;row=15222&amp;col=6&amp;number=4.8&amp;sourceID=14","4.8")</f>
        <v>4.8</v>
      </c>
      <c r="G15222" s="4" t="str">
        <f>HYPERLINK("http://141.218.60.56/~jnz1568/getInfo.php?workbook=10_05.xlsx&amp;sheet=U0&amp;row=15222&amp;col=7&amp;number=0.0388&amp;sourceID=14","0.0388")</f>
        <v>0.0388</v>
      </c>
    </row>
    <row r="15223" spans="1:7">
      <c r="A15223" s="3"/>
      <c r="B15223" s="3"/>
      <c r="C15223" s="3"/>
      <c r="D15223" s="3"/>
      <c r="E15223" s="3">
        <v>20</v>
      </c>
      <c r="F15223" s="4" t="str">
        <f>HYPERLINK("http://141.218.60.56/~jnz1568/getInfo.php?workbook=10_05.xlsx&amp;sheet=U0&amp;row=15223&amp;col=6&amp;number=4.9&amp;sourceID=14","4.9")</f>
        <v>4.9</v>
      </c>
      <c r="G15223" s="4" t="str">
        <f>HYPERLINK("http://141.218.60.56/~jnz1568/getInfo.php?workbook=10_05.xlsx&amp;sheet=U0&amp;row=15223&amp;col=7&amp;number=0.038&amp;sourceID=14","0.038")</f>
        <v>0.038</v>
      </c>
    </row>
    <row r="15224" spans="1:7">
      <c r="A15224" s="3">
        <v>10</v>
      </c>
      <c r="B15224" s="3">
        <v>5</v>
      </c>
      <c r="C15224" s="3">
        <v>5</v>
      </c>
      <c r="D15224" s="3">
        <v>57</v>
      </c>
      <c r="E15224" s="3">
        <v>1</v>
      </c>
      <c r="F15224" s="4" t="str">
        <f>HYPERLINK("http://141.218.60.56/~jnz1568/getInfo.php?workbook=10_05.xlsx&amp;sheet=U0&amp;row=15224&amp;col=6&amp;number=3&amp;sourceID=14","3")</f>
        <v>3</v>
      </c>
      <c r="G15224" s="4" t="str">
        <f>HYPERLINK("http://141.218.60.56/~jnz1568/getInfo.php?workbook=10_05.xlsx&amp;sheet=U0&amp;row=15224&amp;col=7&amp;number=0.0274&amp;sourceID=14","0.0274")</f>
        <v>0.0274</v>
      </c>
    </row>
    <row r="15225" spans="1:7">
      <c r="A15225" s="3"/>
      <c r="B15225" s="3"/>
      <c r="C15225" s="3"/>
      <c r="D15225" s="3"/>
      <c r="E15225" s="3">
        <v>2</v>
      </c>
      <c r="F15225" s="4" t="str">
        <f>HYPERLINK("http://141.218.60.56/~jnz1568/getInfo.php?workbook=10_05.xlsx&amp;sheet=U0&amp;row=15225&amp;col=6&amp;number=3.1&amp;sourceID=14","3.1")</f>
        <v>3.1</v>
      </c>
      <c r="G15225" s="4" t="str">
        <f>HYPERLINK("http://141.218.60.56/~jnz1568/getInfo.php?workbook=10_05.xlsx&amp;sheet=U0&amp;row=15225&amp;col=7&amp;number=0.0273&amp;sourceID=14","0.0273")</f>
        <v>0.0273</v>
      </c>
    </row>
    <row r="15226" spans="1:7">
      <c r="A15226" s="3"/>
      <c r="B15226" s="3"/>
      <c r="C15226" s="3"/>
      <c r="D15226" s="3"/>
      <c r="E15226" s="3">
        <v>3</v>
      </c>
      <c r="F15226" s="4" t="str">
        <f>HYPERLINK("http://141.218.60.56/~jnz1568/getInfo.php?workbook=10_05.xlsx&amp;sheet=U0&amp;row=15226&amp;col=6&amp;number=3.2&amp;sourceID=14","3.2")</f>
        <v>3.2</v>
      </c>
      <c r="G15226" s="4" t="str">
        <f>HYPERLINK("http://141.218.60.56/~jnz1568/getInfo.php?workbook=10_05.xlsx&amp;sheet=U0&amp;row=15226&amp;col=7&amp;number=0.0271&amp;sourceID=14","0.0271")</f>
        <v>0.0271</v>
      </c>
    </row>
    <row r="15227" spans="1:7">
      <c r="A15227" s="3"/>
      <c r="B15227" s="3"/>
      <c r="C15227" s="3"/>
      <c r="D15227" s="3"/>
      <c r="E15227" s="3">
        <v>4</v>
      </c>
      <c r="F15227" s="4" t="str">
        <f>HYPERLINK("http://141.218.60.56/~jnz1568/getInfo.php?workbook=10_05.xlsx&amp;sheet=U0&amp;row=15227&amp;col=6&amp;number=3.3&amp;sourceID=14","3.3")</f>
        <v>3.3</v>
      </c>
      <c r="G15227" s="4" t="str">
        <f>HYPERLINK("http://141.218.60.56/~jnz1568/getInfo.php?workbook=10_05.xlsx&amp;sheet=U0&amp;row=15227&amp;col=7&amp;number=0.0269&amp;sourceID=14","0.0269")</f>
        <v>0.0269</v>
      </c>
    </row>
    <row r="15228" spans="1:7">
      <c r="A15228" s="3"/>
      <c r="B15228" s="3"/>
      <c r="C15228" s="3"/>
      <c r="D15228" s="3"/>
      <c r="E15228" s="3">
        <v>5</v>
      </c>
      <c r="F15228" s="4" t="str">
        <f>HYPERLINK("http://141.218.60.56/~jnz1568/getInfo.php?workbook=10_05.xlsx&amp;sheet=U0&amp;row=15228&amp;col=6&amp;number=3.4&amp;sourceID=14","3.4")</f>
        <v>3.4</v>
      </c>
      <c r="G15228" s="4" t="str">
        <f>HYPERLINK("http://141.218.60.56/~jnz1568/getInfo.php?workbook=10_05.xlsx&amp;sheet=U0&amp;row=15228&amp;col=7&amp;number=0.0266&amp;sourceID=14","0.0266")</f>
        <v>0.0266</v>
      </c>
    </row>
    <row r="15229" spans="1:7">
      <c r="A15229" s="3"/>
      <c r="B15229" s="3"/>
      <c r="C15229" s="3"/>
      <c r="D15229" s="3"/>
      <c r="E15229" s="3">
        <v>6</v>
      </c>
      <c r="F15229" s="4" t="str">
        <f>HYPERLINK("http://141.218.60.56/~jnz1568/getInfo.php?workbook=10_05.xlsx&amp;sheet=U0&amp;row=15229&amp;col=6&amp;number=3.5&amp;sourceID=14","3.5")</f>
        <v>3.5</v>
      </c>
      <c r="G15229" s="4" t="str">
        <f>HYPERLINK("http://141.218.60.56/~jnz1568/getInfo.php?workbook=10_05.xlsx&amp;sheet=U0&amp;row=15229&amp;col=7&amp;number=0.0262&amp;sourceID=14","0.0262")</f>
        <v>0.0262</v>
      </c>
    </row>
    <row r="15230" spans="1:7">
      <c r="A15230" s="3"/>
      <c r="B15230" s="3"/>
      <c r="C15230" s="3"/>
      <c r="D15230" s="3"/>
      <c r="E15230" s="3">
        <v>7</v>
      </c>
      <c r="F15230" s="4" t="str">
        <f>HYPERLINK("http://141.218.60.56/~jnz1568/getInfo.php?workbook=10_05.xlsx&amp;sheet=U0&amp;row=15230&amp;col=6&amp;number=3.6&amp;sourceID=14","3.6")</f>
        <v>3.6</v>
      </c>
      <c r="G15230" s="4" t="str">
        <f>HYPERLINK("http://141.218.60.56/~jnz1568/getInfo.php?workbook=10_05.xlsx&amp;sheet=U0&amp;row=15230&amp;col=7&amp;number=0.0257&amp;sourceID=14","0.0257")</f>
        <v>0.0257</v>
      </c>
    </row>
    <row r="15231" spans="1:7">
      <c r="A15231" s="3"/>
      <c r="B15231" s="3"/>
      <c r="C15231" s="3"/>
      <c r="D15231" s="3"/>
      <c r="E15231" s="3">
        <v>8</v>
      </c>
      <c r="F15231" s="4" t="str">
        <f>HYPERLINK("http://141.218.60.56/~jnz1568/getInfo.php?workbook=10_05.xlsx&amp;sheet=U0&amp;row=15231&amp;col=6&amp;number=3.7&amp;sourceID=14","3.7")</f>
        <v>3.7</v>
      </c>
      <c r="G15231" s="4" t="str">
        <f>HYPERLINK("http://141.218.60.56/~jnz1568/getInfo.php?workbook=10_05.xlsx&amp;sheet=U0&amp;row=15231&amp;col=7&amp;number=0.0252&amp;sourceID=14","0.0252")</f>
        <v>0.0252</v>
      </c>
    </row>
    <row r="15232" spans="1:7">
      <c r="A15232" s="3"/>
      <c r="B15232" s="3"/>
      <c r="C15232" s="3"/>
      <c r="D15232" s="3"/>
      <c r="E15232" s="3">
        <v>9</v>
      </c>
      <c r="F15232" s="4" t="str">
        <f>HYPERLINK("http://141.218.60.56/~jnz1568/getInfo.php?workbook=10_05.xlsx&amp;sheet=U0&amp;row=15232&amp;col=6&amp;number=3.8&amp;sourceID=14","3.8")</f>
        <v>3.8</v>
      </c>
      <c r="G15232" s="4" t="str">
        <f>HYPERLINK("http://141.218.60.56/~jnz1568/getInfo.php?workbook=10_05.xlsx&amp;sheet=U0&amp;row=15232&amp;col=7&amp;number=0.0245&amp;sourceID=14","0.0245")</f>
        <v>0.0245</v>
      </c>
    </row>
    <row r="15233" spans="1:7">
      <c r="A15233" s="3"/>
      <c r="B15233" s="3"/>
      <c r="C15233" s="3"/>
      <c r="D15233" s="3"/>
      <c r="E15233" s="3">
        <v>10</v>
      </c>
      <c r="F15233" s="4" t="str">
        <f>HYPERLINK("http://141.218.60.56/~jnz1568/getInfo.php?workbook=10_05.xlsx&amp;sheet=U0&amp;row=15233&amp;col=6&amp;number=3.9&amp;sourceID=14","3.9")</f>
        <v>3.9</v>
      </c>
      <c r="G15233" s="4" t="str">
        <f>HYPERLINK("http://141.218.60.56/~jnz1568/getInfo.php?workbook=10_05.xlsx&amp;sheet=U0&amp;row=15233&amp;col=7&amp;number=0.0237&amp;sourceID=14","0.0237")</f>
        <v>0.0237</v>
      </c>
    </row>
    <row r="15234" spans="1:7">
      <c r="A15234" s="3"/>
      <c r="B15234" s="3"/>
      <c r="C15234" s="3"/>
      <c r="D15234" s="3"/>
      <c r="E15234" s="3">
        <v>11</v>
      </c>
      <c r="F15234" s="4" t="str">
        <f>HYPERLINK("http://141.218.60.56/~jnz1568/getInfo.php?workbook=10_05.xlsx&amp;sheet=U0&amp;row=15234&amp;col=6&amp;number=4&amp;sourceID=14","4")</f>
        <v>4</v>
      </c>
      <c r="G15234" s="4" t="str">
        <f>HYPERLINK("http://141.218.60.56/~jnz1568/getInfo.php?workbook=10_05.xlsx&amp;sheet=U0&amp;row=15234&amp;col=7&amp;number=0.0228&amp;sourceID=14","0.0228")</f>
        <v>0.0228</v>
      </c>
    </row>
    <row r="15235" spans="1:7">
      <c r="A15235" s="3"/>
      <c r="B15235" s="3"/>
      <c r="C15235" s="3"/>
      <c r="D15235" s="3"/>
      <c r="E15235" s="3">
        <v>12</v>
      </c>
      <c r="F15235" s="4" t="str">
        <f>HYPERLINK("http://141.218.60.56/~jnz1568/getInfo.php?workbook=10_05.xlsx&amp;sheet=U0&amp;row=15235&amp;col=6&amp;number=4.1&amp;sourceID=14","4.1")</f>
        <v>4.1</v>
      </c>
      <c r="G15235" s="4" t="str">
        <f>HYPERLINK("http://141.218.60.56/~jnz1568/getInfo.php?workbook=10_05.xlsx&amp;sheet=U0&amp;row=15235&amp;col=7&amp;number=0.0218&amp;sourceID=14","0.0218")</f>
        <v>0.0218</v>
      </c>
    </row>
    <row r="15236" spans="1:7">
      <c r="A15236" s="3"/>
      <c r="B15236" s="3"/>
      <c r="C15236" s="3"/>
      <c r="D15236" s="3"/>
      <c r="E15236" s="3">
        <v>13</v>
      </c>
      <c r="F15236" s="4" t="str">
        <f>HYPERLINK("http://141.218.60.56/~jnz1568/getInfo.php?workbook=10_05.xlsx&amp;sheet=U0&amp;row=15236&amp;col=6&amp;number=4.2&amp;sourceID=14","4.2")</f>
        <v>4.2</v>
      </c>
      <c r="G15236" s="4" t="str">
        <f>HYPERLINK("http://141.218.60.56/~jnz1568/getInfo.php?workbook=10_05.xlsx&amp;sheet=U0&amp;row=15236&amp;col=7&amp;number=0.0207&amp;sourceID=14","0.0207")</f>
        <v>0.0207</v>
      </c>
    </row>
    <row r="15237" spans="1:7">
      <c r="A15237" s="3"/>
      <c r="B15237" s="3"/>
      <c r="C15237" s="3"/>
      <c r="D15237" s="3"/>
      <c r="E15237" s="3">
        <v>14</v>
      </c>
      <c r="F15237" s="4" t="str">
        <f>HYPERLINK("http://141.218.60.56/~jnz1568/getInfo.php?workbook=10_05.xlsx&amp;sheet=U0&amp;row=15237&amp;col=6&amp;number=4.3&amp;sourceID=14","4.3")</f>
        <v>4.3</v>
      </c>
      <c r="G15237" s="4" t="str">
        <f>HYPERLINK("http://141.218.60.56/~jnz1568/getInfo.php?workbook=10_05.xlsx&amp;sheet=U0&amp;row=15237&amp;col=7&amp;number=0.0198&amp;sourceID=14","0.0198")</f>
        <v>0.0198</v>
      </c>
    </row>
    <row r="15238" spans="1:7">
      <c r="A15238" s="3"/>
      <c r="B15238" s="3"/>
      <c r="C15238" s="3"/>
      <c r="D15238" s="3"/>
      <c r="E15238" s="3">
        <v>15</v>
      </c>
      <c r="F15238" s="4" t="str">
        <f>HYPERLINK("http://141.218.60.56/~jnz1568/getInfo.php?workbook=10_05.xlsx&amp;sheet=U0&amp;row=15238&amp;col=6&amp;number=4.4&amp;sourceID=14","4.4")</f>
        <v>4.4</v>
      </c>
      <c r="G15238" s="4" t="str">
        <f>HYPERLINK("http://141.218.60.56/~jnz1568/getInfo.php?workbook=10_05.xlsx&amp;sheet=U0&amp;row=15238&amp;col=7&amp;number=0.0191&amp;sourceID=14","0.0191")</f>
        <v>0.0191</v>
      </c>
    </row>
    <row r="15239" spans="1:7">
      <c r="A15239" s="3"/>
      <c r="B15239" s="3"/>
      <c r="C15239" s="3"/>
      <c r="D15239" s="3"/>
      <c r="E15239" s="3">
        <v>16</v>
      </c>
      <c r="F15239" s="4" t="str">
        <f>HYPERLINK("http://141.218.60.56/~jnz1568/getInfo.php?workbook=10_05.xlsx&amp;sheet=U0&amp;row=15239&amp;col=6&amp;number=4.5&amp;sourceID=14","4.5")</f>
        <v>4.5</v>
      </c>
      <c r="G15239" s="4" t="str">
        <f>HYPERLINK("http://141.218.60.56/~jnz1568/getInfo.php?workbook=10_05.xlsx&amp;sheet=U0&amp;row=15239&amp;col=7&amp;number=0.0187&amp;sourceID=14","0.0187")</f>
        <v>0.0187</v>
      </c>
    </row>
    <row r="15240" spans="1:7">
      <c r="A15240" s="3"/>
      <c r="B15240" s="3"/>
      <c r="C15240" s="3"/>
      <c r="D15240" s="3"/>
      <c r="E15240" s="3">
        <v>17</v>
      </c>
      <c r="F15240" s="4" t="str">
        <f>HYPERLINK("http://141.218.60.56/~jnz1568/getInfo.php?workbook=10_05.xlsx&amp;sheet=U0&amp;row=15240&amp;col=6&amp;number=4.6&amp;sourceID=14","4.6")</f>
        <v>4.6</v>
      </c>
      <c r="G15240" s="4" t="str">
        <f>HYPERLINK("http://141.218.60.56/~jnz1568/getInfo.php?workbook=10_05.xlsx&amp;sheet=U0&amp;row=15240&amp;col=7&amp;number=0.0185&amp;sourceID=14","0.0185")</f>
        <v>0.0185</v>
      </c>
    </row>
    <row r="15241" spans="1:7">
      <c r="A15241" s="3"/>
      <c r="B15241" s="3"/>
      <c r="C15241" s="3"/>
      <c r="D15241" s="3"/>
      <c r="E15241" s="3">
        <v>18</v>
      </c>
      <c r="F15241" s="4" t="str">
        <f>HYPERLINK("http://141.218.60.56/~jnz1568/getInfo.php?workbook=10_05.xlsx&amp;sheet=U0&amp;row=15241&amp;col=6&amp;number=4.7&amp;sourceID=14","4.7")</f>
        <v>4.7</v>
      </c>
      <c r="G15241" s="4" t="str">
        <f>HYPERLINK("http://141.218.60.56/~jnz1568/getInfo.php?workbook=10_05.xlsx&amp;sheet=U0&amp;row=15241&amp;col=7&amp;number=0.0182&amp;sourceID=14","0.0182")</f>
        <v>0.0182</v>
      </c>
    </row>
    <row r="15242" spans="1:7">
      <c r="A15242" s="3"/>
      <c r="B15242" s="3"/>
      <c r="C15242" s="3"/>
      <c r="D15242" s="3"/>
      <c r="E15242" s="3">
        <v>19</v>
      </c>
      <c r="F15242" s="4" t="str">
        <f>HYPERLINK("http://141.218.60.56/~jnz1568/getInfo.php?workbook=10_05.xlsx&amp;sheet=U0&amp;row=15242&amp;col=6&amp;number=4.8&amp;sourceID=14","4.8")</f>
        <v>4.8</v>
      </c>
      <c r="G15242" s="4" t="str">
        <f>HYPERLINK("http://141.218.60.56/~jnz1568/getInfo.php?workbook=10_05.xlsx&amp;sheet=U0&amp;row=15242&amp;col=7&amp;number=0.0178&amp;sourceID=14","0.0178")</f>
        <v>0.0178</v>
      </c>
    </row>
    <row r="15243" spans="1:7">
      <c r="A15243" s="3"/>
      <c r="B15243" s="3"/>
      <c r="C15243" s="3"/>
      <c r="D15243" s="3"/>
      <c r="E15243" s="3">
        <v>20</v>
      </c>
      <c r="F15243" s="4" t="str">
        <f>HYPERLINK("http://141.218.60.56/~jnz1568/getInfo.php?workbook=10_05.xlsx&amp;sheet=U0&amp;row=15243&amp;col=6&amp;number=4.9&amp;sourceID=14","4.9")</f>
        <v>4.9</v>
      </c>
      <c r="G15243" s="4" t="str">
        <f>HYPERLINK("http://141.218.60.56/~jnz1568/getInfo.php?workbook=10_05.xlsx&amp;sheet=U0&amp;row=15243&amp;col=7&amp;number=0.0174&amp;sourceID=14","0.0174")</f>
        <v>0.0174</v>
      </c>
    </row>
    <row r="15244" spans="1:7">
      <c r="A15244" s="3">
        <v>10</v>
      </c>
      <c r="B15244" s="3">
        <v>5</v>
      </c>
      <c r="C15244" s="3">
        <v>5</v>
      </c>
      <c r="D15244" s="3">
        <v>58</v>
      </c>
      <c r="E15244" s="3">
        <v>1</v>
      </c>
      <c r="F15244" s="4" t="str">
        <f>HYPERLINK("http://141.218.60.56/~jnz1568/getInfo.php?workbook=10_05.xlsx&amp;sheet=U0&amp;row=15244&amp;col=6&amp;number=3&amp;sourceID=14","3")</f>
        <v>3</v>
      </c>
      <c r="G15244" s="4" t="str">
        <f>HYPERLINK("http://141.218.60.56/~jnz1568/getInfo.php?workbook=10_05.xlsx&amp;sheet=U0&amp;row=15244&amp;col=7&amp;number=0.00845&amp;sourceID=14","0.00845")</f>
        <v>0.00845</v>
      </c>
    </row>
    <row r="15245" spans="1:7">
      <c r="A15245" s="3"/>
      <c r="B15245" s="3"/>
      <c r="C15245" s="3"/>
      <c r="D15245" s="3"/>
      <c r="E15245" s="3">
        <v>2</v>
      </c>
      <c r="F15245" s="4" t="str">
        <f>HYPERLINK("http://141.218.60.56/~jnz1568/getInfo.php?workbook=10_05.xlsx&amp;sheet=U0&amp;row=15245&amp;col=6&amp;number=3.1&amp;sourceID=14","3.1")</f>
        <v>3.1</v>
      </c>
      <c r="G15245" s="4" t="str">
        <f>HYPERLINK("http://141.218.60.56/~jnz1568/getInfo.php?workbook=10_05.xlsx&amp;sheet=U0&amp;row=15245&amp;col=7&amp;number=0.0085&amp;sourceID=14","0.0085")</f>
        <v>0.0085</v>
      </c>
    </row>
    <row r="15246" spans="1:7">
      <c r="A15246" s="3"/>
      <c r="B15246" s="3"/>
      <c r="C15246" s="3"/>
      <c r="D15246" s="3"/>
      <c r="E15246" s="3">
        <v>3</v>
      </c>
      <c r="F15246" s="4" t="str">
        <f>HYPERLINK("http://141.218.60.56/~jnz1568/getInfo.php?workbook=10_05.xlsx&amp;sheet=U0&amp;row=15246&amp;col=6&amp;number=3.2&amp;sourceID=14","3.2")</f>
        <v>3.2</v>
      </c>
      <c r="G15246" s="4" t="str">
        <f>HYPERLINK("http://141.218.60.56/~jnz1568/getInfo.php?workbook=10_05.xlsx&amp;sheet=U0&amp;row=15246&amp;col=7&amp;number=0.00855&amp;sourceID=14","0.00855")</f>
        <v>0.00855</v>
      </c>
    </row>
    <row r="15247" spans="1:7">
      <c r="A15247" s="3"/>
      <c r="B15247" s="3"/>
      <c r="C15247" s="3"/>
      <c r="D15247" s="3"/>
      <c r="E15247" s="3">
        <v>4</v>
      </c>
      <c r="F15247" s="4" t="str">
        <f>HYPERLINK("http://141.218.60.56/~jnz1568/getInfo.php?workbook=10_05.xlsx&amp;sheet=U0&amp;row=15247&amp;col=6&amp;number=3.3&amp;sourceID=14","3.3")</f>
        <v>3.3</v>
      </c>
      <c r="G15247" s="4" t="str">
        <f>HYPERLINK("http://141.218.60.56/~jnz1568/getInfo.php?workbook=10_05.xlsx&amp;sheet=U0&amp;row=15247&amp;col=7&amp;number=0.00862&amp;sourceID=14","0.00862")</f>
        <v>0.00862</v>
      </c>
    </row>
    <row r="15248" spans="1:7">
      <c r="A15248" s="3"/>
      <c r="B15248" s="3"/>
      <c r="C15248" s="3"/>
      <c r="D15248" s="3"/>
      <c r="E15248" s="3">
        <v>5</v>
      </c>
      <c r="F15248" s="4" t="str">
        <f>HYPERLINK("http://141.218.60.56/~jnz1568/getInfo.php?workbook=10_05.xlsx&amp;sheet=U0&amp;row=15248&amp;col=6&amp;number=3.4&amp;sourceID=14","3.4")</f>
        <v>3.4</v>
      </c>
      <c r="G15248" s="4" t="str">
        <f>HYPERLINK("http://141.218.60.56/~jnz1568/getInfo.php?workbook=10_05.xlsx&amp;sheet=U0&amp;row=15248&amp;col=7&amp;number=0.00871&amp;sourceID=14","0.00871")</f>
        <v>0.00871</v>
      </c>
    </row>
    <row r="15249" spans="1:7">
      <c r="A15249" s="3"/>
      <c r="B15249" s="3"/>
      <c r="C15249" s="3"/>
      <c r="D15249" s="3"/>
      <c r="E15249" s="3">
        <v>6</v>
      </c>
      <c r="F15249" s="4" t="str">
        <f>HYPERLINK("http://141.218.60.56/~jnz1568/getInfo.php?workbook=10_05.xlsx&amp;sheet=U0&amp;row=15249&amp;col=6&amp;number=3.5&amp;sourceID=14","3.5")</f>
        <v>3.5</v>
      </c>
      <c r="G15249" s="4" t="str">
        <f>HYPERLINK("http://141.218.60.56/~jnz1568/getInfo.php?workbook=10_05.xlsx&amp;sheet=U0&amp;row=15249&amp;col=7&amp;number=0.00881&amp;sourceID=14","0.00881")</f>
        <v>0.00881</v>
      </c>
    </row>
    <row r="15250" spans="1:7">
      <c r="A15250" s="3"/>
      <c r="B15250" s="3"/>
      <c r="C15250" s="3"/>
      <c r="D15250" s="3"/>
      <c r="E15250" s="3">
        <v>7</v>
      </c>
      <c r="F15250" s="4" t="str">
        <f>HYPERLINK("http://141.218.60.56/~jnz1568/getInfo.php?workbook=10_05.xlsx&amp;sheet=U0&amp;row=15250&amp;col=6&amp;number=3.6&amp;sourceID=14","3.6")</f>
        <v>3.6</v>
      </c>
      <c r="G15250" s="4" t="str">
        <f>HYPERLINK("http://141.218.60.56/~jnz1568/getInfo.php?workbook=10_05.xlsx&amp;sheet=U0&amp;row=15250&amp;col=7&amp;number=0.00894&amp;sourceID=14","0.00894")</f>
        <v>0.00894</v>
      </c>
    </row>
    <row r="15251" spans="1:7">
      <c r="A15251" s="3"/>
      <c r="B15251" s="3"/>
      <c r="C15251" s="3"/>
      <c r="D15251" s="3"/>
      <c r="E15251" s="3">
        <v>8</v>
      </c>
      <c r="F15251" s="4" t="str">
        <f>HYPERLINK("http://141.218.60.56/~jnz1568/getInfo.php?workbook=10_05.xlsx&amp;sheet=U0&amp;row=15251&amp;col=6&amp;number=3.7&amp;sourceID=14","3.7")</f>
        <v>3.7</v>
      </c>
      <c r="G15251" s="4" t="str">
        <f>HYPERLINK("http://141.218.60.56/~jnz1568/getInfo.php?workbook=10_05.xlsx&amp;sheet=U0&amp;row=15251&amp;col=7&amp;number=0.00909&amp;sourceID=14","0.00909")</f>
        <v>0.00909</v>
      </c>
    </row>
    <row r="15252" spans="1:7">
      <c r="A15252" s="3"/>
      <c r="B15252" s="3"/>
      <c r="C15252" s="3"/>
      <c r="D15252" s="3"/>
      <c r="E15252" s="3">
        <v>9</v>
      </c>
      <c r="F15252" s="4" t="str">
        <f>HYPERLINK("http://141.218.60.56/~jnz1568/getInfo.php?workbook=10_05.xlsx&amp;sheet=U0&amp;row=15252&amp;col=6&amp;number=3.8&amp;sourceID=14","3.8")</f>
        <v>3.8</v>
      </c>
      <c r="G15252" s="4" t="str">
        <f>HYPERLINK("http://141.218.60.56/~jnz1568/getInfo.php?workbook=10_05.xlsx&amp;sheet=U0&amp;row=15252&amp;col=7&amp;number=0.00928&amp;sourceID=14","0.00928")</f>
        <v>0.00928</v>
      </c>
    </row>
    <row r="15253" spans="1:7">
      <c r="A15253" s="3"/>
      <c r="B15253" s="3"/>
      <c r="C15253" s="3"/>
      <c r="D15253" s="3"/>
      <c r="E15253" s="3">
        <v>10</v>
      </c>
      <c r="F15253" s="4" t="str">
        <f>HYPERLINK("http://141.218.60.56/~jnz1568/getInfo.php?workbook=10_05.xlsx&amp;sheet=U0&amp;row=15253&amp;col=6&amp;number=3.9&amp;sourceID=14","3.9")</f>
        <v>3.9</v>
      </c>
      <c r="G15253" s="4" t="str">
        <f>HYPERLINK("http://141.218.60.56/~jnz1568/getInfo.php?workbook=10_05.xlsx&amp;sheet=U0&amp;row=15253&amp;col=7&amp;number=0.00949&amp;sourceID=14","0.00949")</f>
        <v>0.00949</v>
      </c>
    </row>
    <row r="15254" spans="1:7">
      <c r="A15254" s="3"/>
      <c r="B15254" s="3"/>
      <c r="C15254" s="3"/>
      <c r="D15254" s="3"/>
      <c r="E15254" s="3">
        <v>11</v>
      </c>
      <c r="F15254" s="4" t="str">
        <f>HYPERLINK("http://141.218.60.56/~jnz1568/getInfo.php?workbook=10_05.xlsx&amp;sheet=U0&amp;row=15254&amp;col=6&amp;number=4&amp;sourceID=14","4")</f>
        <v>4</v>
      </c>
      <c r="G15254" s="4" t="str">
        <f>HYPERLINK("http://141.218.60.56/~jnz1568/getInfo.php?workbook=10_05.xlsx&amp;sheet=U0&amp;row=15254&amp;col=7&amp;number=0.00973&amp;sourceID=14","0.00973")</f>
        <v>0.00973</v>
      </c>
    </row>
    <row r="15255" spans="1:7">
      <c r="A15255" s="3"/>
      <c r="B15255" s="3"/>
      <c r="C15255" s="3"/>
      <c r="D15255" s="3"/>
      <c r="E15255" s="3">
        <v>12</v>
      </c>
      <c r="F15255" s="4" t="str">
        <f>HYPERLINK("http://141.218.60.56/~jnz1568/getInfo.php?workbook=10_05.xlsx&amp;sheet=U0&amp;row=15255&amp;col=6&amp;number=4.1&amp;sourceID=14","4.1")</f>
        <v>4.1</v>
      </c>
      <c r="G15255" s="4" t="str">
        <f>HYPERLINK("http://141.218.60.56/~jnz1568/getInfo.php?workbook=10_05.xlsx&amp;sheet=U0&amp;row=15255&amp;col=7&amp;number=0.00997&amp;sourceID=14","0.00997")</f>
        <v>0.00997</v>
      </c>
    </row>
    <row r="15256" spans="1:7">
      <c r="A15256" s="3"/>
      <c r="B15256" s="3"/>
      <c r="C15256" s="3"/>
      <c r="D15256" s="3"/>
      <c r="E15256" s="3">
        <v>13</v>
      </c>
      <c r="F15256" s="4" t="str">
        <f>HYPERLINK("http://141.218.60.56/~jnz1568/getInfo.php?workbook=10_05.xlsx&amp;sheet=U0&amp;row=15256&amp;col=6&amp;number=4.2&amp;sourceID=14","4.2")</f>
        <v>4.2</v>
      </c>
      <c r="G15256" s="4" t="str">
        <f>HYPERLINK("http://141.218.60.56/~jnz1568/getInfo.php?workbook=10_05.xlsx&amp;sheet=U0&amp;row=15256&amp;col=7&amp;number=0.0102&amp;sourceID=14","0.0102")</f>
        <v>0.0102</v>
      </c>
    </row>
    <row r="15257" spans="1:7">
      <c r="A15257" s="3"/>
      <c r="B15257" s="3"/>
      <c r="C15257" s="3"/>
      <c r="D15257" s="3"/>
      <c r="E15257" s="3">
        <v>14</v>
      </c>
      <c r="F15257" s="4" t="str">
        <f>HYPERLINK("http://141.218.60.56/~jnz1568/getInfo.php?workbook=10_05.xlsx&amp;sheet=U0&amp;row=15257&amp;col=6&amp;number=4.3&amp;sourceID=14","4.3")</f>
        <v>4.3</v>
      </c>
      <c r="G15257" s="4" t="str">
        <f>HYPERLINK("http://141.218.60.56/~jnz1568/getInfo.php?workbook=10_05.xlsx&amp;sheet=U0&amp;row=15257&amp;col=7&amp;number=0.0103&amp;sourceID=14","0.0103")</f>
        <v>0.0103</v>
      </c>
    </row>
    <row r="15258" spans="1:7">
      <c r="A15258" s="3"/>
      <c r="B15258" s="3"/>
      <c r="C15258" s="3"/>
      <c r="D15258" s="3"/>
      <c r="E15258" s="3">
        <v>15</v>
      </c>
      <c r="F15258" s="4" t="str">
        <f>HYPERLINK("http://141.218.60.56/~jnz1568/getInfo.php?workbook=10_05.xlsx&amp;sheet=U0&amp;row=15258&amp;col=6&amp;number=4.4&amp;sourceID=14","4.4")</f>
        <v>4.4</v>
      </c>
      <c r="G15258" s="4" t="str">
        <f>HYPERLINK("http://141.218.60.56/~jnz1568/getInfo.php?workbook=10_05.xlsx&amp;sheet=U0&amp;row=15258&amp;col=7&amp;number=0.0101&amp;sourceID=14","0.0101")</f>
        <v>0.0101</v>
      </c>
    </row>
    <row r="15259" spans="1:7">
      <c r="A15259" s="3"/>
      <c r="B15259" s="3"/>
      <c r="C15259" s="3"/>
      <c r="D15259" s="3"/>
      <c r="E15259" s="3">
        <v>16</v>
      </c>
      <c r="F15259" s="4" t="str">
        <f>HYPERLINK("http://141.218.60.56/~jnz1568/getInfo.php?workbook=10_05.xlsx&amp;sheet=U0&amp;row=15259&amp;col=6&amp;number=4.5&amp;sourceID=14","4.5")</f>
        <v>4.5</v>
      </c>
      <c r="G15259" s="4" t="str">
        <f>HYPERLINK("http://141.218.60.56/~jnz1568/getInfo.php?workbook=10_05.xlsx&amp;sheet=U0&amp;row=15259&amp;col=7&amp;number=0.00981&amp;sourceID=14","0.00981")</f>
        <v>0.00981</v>
      </c>
    </row>
    <row r="15260" spans="1:7">
      <c r="A15260" s="3"/>
      <c r="B15260" s="3"/>
      <c r="C15260" s="3"/>
      <c r="D15260" s="3"/>
      <c r="E15260" s="3">
        <v>17</v>
      </c>
      <c r="F15260" s="4" t="str">
        <f>HYPERLINK("http://141.218.60.56/~jnz1568/getInfo.php?workbook=10_05.xlsx&amp;sheet=U0&amp;row=15260&amp;col=6&amp;number=4.6&amp;sourceID=14","4.6")</f>
        <v>4.6</v>
      </c>
      <c r="G15260" s="4" t="str">
        <f>HYPERLINK("http://141.218.60.56/~jnz1568/getInfo.php?workbook=10_05.xlsx&amp;sheet=U0&amp;row=15260&amp;col=7&amp;number=0.00926&amp;sourceID=14","0.00926")</f>
        <v>0.00926</v>
      </c>
    </row>
    <row r="15261" spans="1:7">
      <c r="A15261" s="3"/>
      <c r="B15261" s="3"/>
      <c r="C15261" s="3"/>
      <c r="D15261" s="3"/>
      <c r="E15261" s="3">
        <v>18</v>
      </c>
      <c r="F15261" s="4" t="str">
        <f>HYPERLINK("http://141.218.60.56/~jnz1568/getInfo.php?workbook=10_05.xlsx&amp;sheet=U0&amp;row=15261&amp;col=6&amp;number=4.7&amp;sourceID=14","4.7")</f>
        <v>4.7</v>
      </c>
      <c r="G15261" s="4" t="str">
        <f>HYPERLINK("http://141.218.60.56/~jnz1568/getInfo.php?workbook=10_05.xlsx&amp;sheet=U0&amp;row=15261&amp;col=7&amp;number=0.00862&amp;sourceID=14","0.00862")</f>
        <v>0.00862</v>
      </c>
    </row>
    <row r="15262" spans="1:7">
      <c r="A15262" s="3"/>
      <c r="B15262" s="3"/>
      <c r="C15262" s="3"/>
      <c r="D15262" s="3"/>
      <c r="E15262" s="3">
        <v>19</v>
      </c>
      <c r="F15262" s="4" t="str">
        <f>HYPERLINK("http://141.218.60.56/~jnz1568/getInfo.php?workbook=10_05.xlsx&amp;sheet=U0&amp;row=15262&amp;col=6&amp;number=4.8&amp;sourceID=14","4.8")</f>
        <v>4.8</v>
      </c>
      <c r="G15262" s="4" t="str">
        <f>HYPERLINK("http://141.218.60.56/~jnz1568/getInfo.php?workbook=10_05.xlsx&amp;sheet=U0&amp;row=15262&amp;col=7&amp;number=0.00793&amp;sourceID=14","0.00793")</f>
        <v>0.00793</v>
      </c>
    </row>
    <row r="15263" spans="1:7">
      <c r="A15263" s="3"/>
      <c r="B15263" s="3"/>
      <c r="C15263" s="3"/>
      <c r="D15263" s="3"/>
      <c r="E15263" s="3">
        <v>20</v>
      </c>
      <c r="F15263" s="4" t="str">
        <f>HYPERLINK("http://141.218.60.56/~jnz1568/getInfo.php?workbook=10_05.xlsx&amp;sheet=U0&amp;row=15263&amp;col=6&amp;number=4.9&amp;sourceID=14","4.9")</f>
        <v>4.9</v>
      </c>
      <c r="G15263" s="4" t="str">
        <f>HYPERLINK("http://141.218.60.56/~jnz1568/getInfo.php?workbook=10_05.xlsx&amp;sheet=U0&amp;row=15263&amp;col=7&amp;number=0.00719&amp;sourceID=14","0.00719")</f>
        <v>0.00719</v>
      </c>
    </row>
    <row r="15264" spans="1:7">
      <c r="A15264" s="3">
        <v>10</v>
      </c>
      <c r="B15264" s="3">
        <v>5</v>
      </c>
      <c r="C15264" s="3">
        <v>5</v>
      </c>
      <c r="D15264" s="3">
        <v>59</v>
      </c>
      <c r="E15264" s="3">
        <v>1</v>
      </c>
      <c r="F15264" s="4" t="str">
        <f>HYPERLINK("http://141.218.60.56/~jnz1568/getInfo.php?workbook=10_05.xlsx&amp;sheet=U0&amp;row=15264&amp;col=6&amp;number=3&amp;sourceID=14","3")</f>
        <v>3</v>
      </c>
      <c r="G15264" s="4" t="str">
        <f>HYPERLINK("http://141.218.60.56/~jnz1568/getInfo.php?workbook=10_05.xlsx&amp;sheet=U0&amp;row=15264&amp;col=7&amp;number=0.0242&amp;sourceID=14","0.0242")</f>
        <v>0.0242</v>
      </c>
    </row>
    <row r="15265" spans="1:7">
      <c r="A15265" s="3"/>
      <c r="B15265" s="3"/>
      <c r="C15265" s="3"/>
      <c r="D15265" s="3"/>
      <c r="E15265" s="3">
        <v>2</v>
      </c>
      <c r="F15265" s="4" t="str">
        <f>HYPERLINK("http://141.218.60.56/~jnz1568/getInfo.php?workbook=10_05.xlsx&amp;sheet=U0&amp;row=15265&amp;col=6&amp;number=3.1&amp;sourceID=14","3.1")</f>
        <v>3.1</v>
      </c>
      <c r="G15265" s="4" t="str">
        <f>HYPERLINK("http://141.218.60.56/~jnz1568/getInfo.php?workbook=10_05.xlsx&amp;sheet=U0&amp;row=15265&amp;col=7&amp;number=0.0242&amp;sourceID=14","0.0242")</f>
        <v>0.0242</v>
      </c>
    </row>
    <row r="15266" spans="1:7">
      <c r="A15266" s="3"/>
      <c r="B15266" s="3"/>
      <c r="C15266" s="3"/>
      <c r="D15266" s="3"/>
      <c r="E15266" s="3">
        <v>3</v>
      </c>
      <c r="F15266" s="4" t="str">
        <f>HYPERLINK("http://141.218.60.56/~jnz1568/getInfo.php?workbook=10_05.xlsx&amp;sheet=U0&amp;row=15266&amp;col=6&amp;number=3.2&amp;sourceID=14","3.2")</f>
        <v>3.2</v>
      </c>
      <c r="G15266" s="4" t="str">
        <f>HYPERLINK("http://141.218.60.56/~jnz1568/getInfo.php?workbook=10_05.xlsx&amp;sheet=U0&amp;row=15266&amp;col=7&amp;number=0.0242&amp;sourceID=14","0.0242")</f>
        <v>0.0242</v>
      </c>
    </row>
    <row r="15267" spans="1:7">
      <c r="A15267" s="3"/>
      <c r="B15267" s="3"/>
      <c r="C15267" s="3"/>
      <c r="D15267" s="3"/>
      <c r="E15267" s="3">
        <v>4</v>
      </c>
      <c r="F15267" s="4" t="str">
        <f>HYPERLINK("http://141.218.60.56/~jnz1568/getInfo.php?workbook=10_05.xlsx&amp;sheet=U0&amp;row=15267&amp;col=6&amp;number=3.3&amp;sourceID=14","3.3")</f>
        <v>3.3</v>
      </c>
      <c r="G15267" s="4" t="str">
        <f>HYPERLINK("http://141.218.60.56/~jnz1568/getInfo.php?workbook=10_05.xlsx&amp;sheet=U0&amp;row=15267&amp;col=7&amp;number=0.0243&amp;sourceID=14","0.0243")</f>
        <v>0.0243</v>
      </c>
    </row>
    <row r="15268" spans="1:7">
      <c r="A15268" s="3"/>
      <c r="B15268" s="3"/>
      <c r="C15268" s="3"/>
      <c r="D15268" s="3"/>
      <c r="E15268" s="3">
        <v>5</v>
      </c>
      <c r="F15268" s="4" t="str">
        <f>HYPERLINK("http://141.218.60.56/~jnz1568/getInfo.php?workbook=10_05.xlsx&amp;sheet=U0&amp;row=15268&amp;col=6&amp;number=3.4&amp;sourceID=14","3.4")</f>
        <v>3.4</v>
      </c>
      <c r="G15268" s="4" t="str">
        <f>HYPERLINK("http://141.218.60.56/~jnz1568/getInfo.php?workbook=10_05.xlsx&amp;sheet=U0&amp;row=15268&amp;col=7&amp;number=0.0243&amp;sourceID=14","0.0243")</f>
        <v>0.0243</v>
      </c>
    </row>
    <row r="15269" spans="1:7">
      <c r="A15269" s="3"/>
      <c r="B15269" s="3"/>
      <c r="C15269" s="3"/>
      <c r="D15269" s="3"/>
      <c r="E15269" s="3">
        <v>6</v>
      </c>
      <c r="F15269" s="4" t="str">
        <f>HYPERLINK("http://141.218.60.56/~jnz1568/getInfo.php?workbook=10_05.xlsx&amp;sheet=U0&amp;row=15269&amp;col=6&amp;number=3.5&amp;sourceID=14","3.5")</f>
        <v>3.5</v>
      </c>
      <c r="G15269" s="4" t="str">
        <f>HYPERLINK("http://141.218.60.56/~jnz1568/getInfo.php?workbook=10_05.xlsx&amp;sheet=U0&amp;row=15269&amp;col=7&amp;number=0.0243&amp;sourceID=14","0.0243")</f>
        <v>0.0243</v>
      </c>
    </row>
    <row r="15270" spans="1:7">
      <c r="A15270" s="3"/>
      <c r="B15270" s="3"/>
      <c r="C15270" s="3"/>
      <c r="D15270" s="3"/>
      <c r="E15270" s="3">
        <v>7</v>
      </c>
      <c r="F15270" s="4" t="str">
        <f>HYPERLINK("http://141.218.60.56/~jnz1568/getInfo.php?workbook=10_05.xlsx&amp;sheet=U0&amp;row=15270&amp;col=6&amp;number=3.6&amp;sourceID=14","3.6")</f>
        <v>3.6</v>
      </c>
      <c r="G15270" s="4" t="str">
        <f>HYPERLINK("http://141.218.60.56/~jnz1568/getInfo.php?workbook=10_05.xlsx&amp;sheet=U0&amp;row=15270&amp;col=7&amp;number=0.0244&amp;sourceID=14","0.0244")</f>
        <v>0.0244</v>
      </c>
    </row>
    <row r="15271" spans="1:7">
      <c r="A15271" s="3"/>
      <c r="B15271" s="3"/>
      <c r="C15271" s="3"/>
      <c r="D15271" s="3"/>
      <c r="E15271" s="3">
        <v>8</v>
      </c>
      <c r="F15271" s="4" t="str">
        <f>HYPERLINK("http://141.218.60.56/~jnz1568/getInfo.php?workbook=10_05.xlsx&amp;sheet=U0&amp;row=15271&amp;col=6&amp;number=3.7&amp;sourceID=14","3.7")</f>
        <v>3.7</v>
      </c>
      <c r="G15271" s="4" t="str">
        <f>HYPERLINK("http://141.218.60.56/~jnz1568/getInfo.php?workbook=10_05.xlsx&amp;sheet=U0&amp;row=15271&amp;col=7&amp;number=0.0244&amp;sourceID=14","0.0244")</f>
        <v>0.0244</v>
      </c>
    </row>
    <row r="15272" spans="1:7">
      <c r="A15272" s="3"/>
      <c r="B15272" s="3"/>
      <c r="C15272" s="3"/>
      <c r="D15272" s="3"/>
      <c r="E15272" s="3">
        <v>9</v>
      </c>
      <c r="F15272" s="4" t="str">
        <f>HYPERLINK("http://141.218.60.56/~jnz1568/getInfo.php?workbook=10_05.xlsx&amp;sheet=U0&amp;row=15272&amp;col=6&amp;number=3.8&amp;sourceID=14","3.8")</f>
        <v>3.8</v>
      </c>
      <c r="G15272" s="4" t="str">
        <f>HYPERLINK("http://141.218.60.56/~jnz1568/getInfo.php?workbook=10_05.xlsx&amp;sheet=U0&amp;row=15272&amp;col=7&amp;number=0.0245&amp;sourceID=14","0.0245")</f>
        <v>0.0245</v>
      </c>
    </row>
    <row r="15273" spans="1:7">
      <c r="A15273" s="3"/>
      <c r="B15273" s="3"/>
      <c r="C15273" s="3"/>
      <c r="D15273" s="3"/>
      <c r="E15273" s="3">
        <v>10</v>
      </c>
      <c r="F15273" s="4" t="str">
        <f>HYPERLINK("http://141.218.60.56/~jnz1568/getInfo.php?workbook=10_05.xlsx&amp;sheet=U0&amp;row=15273&amp;col=6&amp;number=3.9&amp;sourceID=14","3.9")</f>
        <v>3.9</v>
      </c>
      <c r="G15273" s="4" t="str">
        <f>HYPERLINK("http://141.218.60.56/~jnz1568/getInfo.php?workbook=10_05.xlsx&amp;sheet=U0&amp;row=15273&amp;col=7&amp;number=0.0245&amp;sourceID=14","0.0245")</f>
        <v>0.0245</v>
      </c>
    </row>
    <row r="15274" spans="1:7">
      <c r="A15274" s="3"/>
      <c r="B15274" s="3"/>
      <c r="C15274" s="3"/>
      <c r="D15274" s="3"/>
      <c r="E15274" s="3">
        <v>11</v>
      </c>
      <c r="F15274" s="4" t="str">
        <f>HYPERLINK("http://141.218.60.56/~jnz1568/getInfo.php?workbook=10_05.xlsx&amp;sheet=U0&amp;row=15274&amp;col=6&amp;number=4&amp;sourceID=14","4")</f>
        <v>4</v>
      </c>
      <c r="G15274" s="4" t="str">
        <f>HYPERLINK("http://141.218.60.56/~jnz1568/getInfo.php?workbook=10_05.xlsx&amp;sheet=U0&amp;row=15274&amp;col=7&amp;number=0.0245&amp;sourceID=14","0.0245")</f>
        <v>0.0245</v>
      </c>
    </row>
    <row r="15275" spans="1:7">
      <c r="A15275" s="3"/>
      <c r="B15275" s="3"/>
      <c r="C15275" s="3"/>
      <c r="D15275" s="3"/>
      <c r="E15275" s="3">
        <v>12</v>
      </c>
      <c r="F15275" s="4" t="str">
        <f>HYPERLINK("http://141.218.60.56/~jnz1568/getInfo.php?workbook=10_05.xlsx&amp;sheet=U0&amp;row=15275&amp;col=6&amp;number=4.1&amp;sourceID=14","4.1")</f>
        <v>4.1</v>
      </c>
      <c r="G15275" s="4" t="str">
        <f>HYPERLINK("http://141.218.60.56/~jnz1568/getInfo.php?workbook=10_05.xlsx&amp;sheet=U0&amp;row=15275&amp;col=7&amp;number=0.0245&amp;sourceID=14","0.0245")</f>
        <v>0.0245</v>
      </c>
    </row>
    <row r="15276" spans="1:7">
      <c r="A15276" s="3"/>
      <c r="B15276" s="3"/>
      <c r="C15276" s="3"/>
      <c r="D15276" s="3"/>
      <c r="E15276" s="3">
        <v>13</v>
      </c>
      <c r="F15276" s="4" t="str">
        <f>HYPERLINK("http://141.218.60.56/~jnz1568/getInfo.php?workbook=10_05.xlsx&amp;sheet=U0&amp;row=15276&amp;col=6&amp;number=4.2&amp;sourceID=14","4.2")</f>
        <v>4.2</v>
      </c>
      <c r="G15276" s="4" t="str">
        <f>HYPERLINK("http://141.218.60.56/~jnz1568/getInfo.php?workbook=10_05.xlsx&amp;sheet=U0&amp;row=15276&amp;col=7&amp;number=0.0244&amp;sourceID=14","0.0244")</f>
        <v>0.0244</v>
      </c>
    </row>
    <row r="15277" spans="1:7">
      <c r="A15277" s="3"/>
      <c r="B15277" s="3"/>
      <c r="C15277" s="3"/>
      <c r="D15277" s="3"/>
      <c r="E15277" s="3">
        <v>14</v>
      </c>
      <c r="F15277" s="4" t="str">
        <f>HYPERLINK("http://141.218.60.56/~jnz1568/getInfo.php?workbook=10_05.xlsx&amp;sheet=U0&amp;row=15277&amp;col=6&amp;number=4.3&amp;sourceID=14","4.3")</f>
        <v>4.3</v>
      </c>
      <c r="G15277" s="4" t="str">
        <f>HYPERLINK("http://141.218.60.56/~jnz1568/getInfo.php?workbook=10_05.xlsx&amp;sheet=U0&amp;row=15277&amp;col=7&amp;number=0.024&amp;sourceID=14","0.024")</f>
        <v>0.024</v>
      </c>
    </row>
    <row r="15278" spans="1:7">
      <c r="A15278" s="3"/>
      <c r="B15278" s="3"/>
      <c r="C15278" s="3"/>
      <c r="D15278" s="3"/>
      <c r="E15278" s="3">
        <v>15</v>
      </c>
      <c r="F15278" s="4" t="str">
        <f>HYPERLINK("http://141.218.60.56/~jnz1568/getInfo.php?workbook=10_05.xlsx&amp;sheet=U0&amp;row=15278&amp;col=6&amp;number=4.4&amp;sourceID=14","4.4")</f>
        <v>4.4</v>
      </c>
      <c r="G15278" s="4" t="str">
        <f>HYPERLINK("http://141.218.60.56/~jnz1568/getInfo.php?workbook=10_05.xlsx&amp;sheet=U0&amp;row=15278&amp;col=7&amp;number=0.0233&amp;sourceID=14","0.0233")</f>
        <v>0.0233</v>
      </c>
    </row>
    <row r="15279" spans="1:7">
      <c r="A15279" s="3"/>
      <c r="B15279" s="3"/>
      <c r="C15279" s="3"/>
      <c r="D15279" s="3"/>
      <c r="E15279" s="3">
        <v>16</v>
      </c>
      <c r="F15279" s="4" t="str">
        <f>HYPERLINK("http://141.218.60.56/~jnz1568/getInfo.php?workbook=10_05.xlsx&amp;sheet=U0&amp;row=15279&amp;col=6&amp;number=4.5&amp;sourceID=14","4.5")</f>
        <v>4.5</v>
      </c>
      <c r="G15279" s="4" t="str">
        <f>HYPERLINK("http://141.218.60.56/~jnz1568/getInfo.php?workbook=10_05.xlsx&amp;sheet=U0&amp;row=15279&amp;col=7&amp;number=0.0222&amp;sourceID=14","0.0222")</f>
        <v>0.0222</v>
      </c>
    </row>
    <row r="15280" spans="1:7">
      <c r="A15280" s="3"/>
      <c r="B15280" s="3"/>
      <c r="C15280" s="3"/>
      <c r="D15280" s="3"/>
      <c r="E15280" s="3">
        <v>17</v>
      </c>
      <c r="F15280" s="4" t="str">
        <f>HYPERLINK("http://141.218.60.56/~jnz1568/getInfo.php?workbook=10_05.xlsx&amp;sheet=U0&amp;row=15280&amp;col=6&amp;number=4.6&amp;sourceID=14","4.6")</f>
        <v>4.6</v>
      </c>
      <c r="G15280" s="4" t="str">
        <f>HYPERLINK("http://141.218.60.56/~jnz1568/getInfo.php?workbook=10_05.xlsx&amp;sheet=U0&amp;row=15280&amp;col=7&amp;number=0.0208&amp;sourceID=14","0.0208")</f>
        <v>0.0208</v>
      </c>
    </row>
    <row r="15281" spans="1:7">
      <c r="A15281" s="3"/>
      <c r="B15281" s="3"/>
      <c r="C15281" s="3"/>
      <c r="D15281" s="3"/>
      <c r="E15281" s="3">
        <v>18</v>
      </c>
      <c r="F15281" s="4" t="str">
        <f>HYPERLINK("http://141.218.60.56/~jnz1568/getInfo.php?workbook=10_05.xlsx&amp;sheet=U0&amp;row=15281&amp;col=6&amp;number=4.7&amp;sourceID=14","4.7")</f>
        <v>4.7</v>
      </c>
      <c r="G15281" s="4" t="str">
        <f>HYPERLINK("http://141.218.60.56/~jnz1568/getInfo.php?workbook=10_05.xlsx&amp;sheet=U0&amp;row=15281&amp;col=7&amp;number=0.0193&amp;sourceID=14","0.0193")</f>
        <v>0.0193</v>
      </c>
    </row>
    <row r="15282" spans="1:7">
      <c r="A15282" s="3"/>
      <c r="B15282" s="3"/>
      <c r="C15282" s="3"/>
      <c r="D15282" s="3"/>
      <c r="E15282" s="3">
        <v>19</v>
      </c>
      <c r="F15282" s="4" t="str">
        <f>HYPERLINK("http://141.218.60.56/~jnz1568/getInfo.php?workbook=10_05.xlsx&amp;sheet=U0&amp;row=15282&amp;col=6&amp;number=4.8&amp;sourceID=14","4.8")</f>
        <v>4.8</v>
      </c>
      <c r="G15282" s="4" t="str">
        <f>HYPERLINK("http://141.218.60.56/~jnz1568/getInfo.php?workbook=10_05.xlsx&amp;sheet=U0&amp;row=15282&amp;col=7&amp;number=0.0177&amp;sourceID=14","0.0177")</f>
        <v>0.0177</v>
      </c>
    </row>
    <row r="15283" spans="1:7">
      <c r="A15283" s="3"/>
      <c r="B15283" s="3"/>
      <c r="C15283" s="3"/>
      <c r="D15283" s="3"/>
      <c r="E15283" s="3">
        <v>20</v>
      </c>
      <c r="F15283" s="4" t="str">
        <f>HYPERLINK("http://141.218.60.56/~jnz1568/getInfo.php?workbook=10_05.xlsx&amp;sheet=U0&amp;row=15283&amp;col=6&amp;number=4.9&amp;sourceID=14","4.9")</f>
        <v>4.9</v>
      </c>
      <c r="G15283" s="4" t="str">
        <f>HYPERLINK("http://141.218.60.56/~jnz1568/getInfo.php?workbook=10_05.xlsx&amp;sheet=U0&amp;row=15283&amp;col=7&amp;number=0.016&amp;sourceID=14","0.016")</f>
        <v>0.016</v>
      </c>
    </row>
    <row r="15284" spans="1:7">
      <c r="A15284" s="3">
        <v>10</v>
      </c>
      <c r="B15284" s="3">
        <v>5</v>
      </c>
      <c r="C15284" s="3">
        <v>5</v>
      </c>
      <c r="D15284" s="3">
        <v>60</v>
      </c>
      <c r="E15284" s="3">
        <v>1</v>
      </c>
      <c r="F15284" s="4" t="str">
        <f>HYPERLINK("http://141.218.60.56/~jnz1568/getInfo.php?workbook=10_05.xlsx&amp;sheet=U0&amp;row=15284&amp;col=6&amp;number=3&amp;sourceID=14","3")</f>
        <v>3</v>
      </c>
      <c r="G15284" s="4" t="str">
        <f>HYPERLINK("http://141.218.60.56/~jnz1568/getInfo.php?workbook=10_05.xlsx&amp;sheet=U0&amp;row=15284&amp;col=7&amp;number=0.0519&amp;sourceID=14","0.0519")</f>
        <v>0.0519</v>
      </c>
    </row>
    <row r="15285" spans="1:7">
      <c r="A15285" s="3"/>
      <c r="B15285" s="3"/>
      <c r="C15285" s="3"/>
      <c r="D15285" s="3"/>
      <c r="E15285" s="3">
        <v>2</v>
      </c>
      <c r="F15285" s="4" t="str">
        <f>HYPERLINK("http://141.218.60.56/~jnz1568/getInfo.php?workbook=10_05.xlsx&amp;sheet=U0&amp;row=15285&amp;col=6&amp;number=3.1&amp;sourceID=14","3.1")</f>
        <v>3.1</v>
      </c>
      <c r="G15285" s="4" t="str">
        <f>HYPERLINK("http://141.218.60.56/~jnz1568/getInfo.php?workbook=10_05.xlsx&amp;sheet=U0&amp;row=15285&amp;col=7&amp;number=0.0517&amp;sourceID=14","0.0517")</f>
        <v>0.0517</v>
      </c>
    </row>
    <row r="15286" spans="1:7">
      <c r="A15286" s="3"/>
      <c r="B15286" s="3"/>
      <c r="C15286" s="3"/>
      <c r="D15286" s="3"/>
      <c r="E15286" s="3">
        <v>3</v>
      </c>
      <c r="F15286" s="4" t="str">
        <f>HYPERLINK("http://141.218.60.56/~jnz1568/getInfo.php?workbook=10_05.xlsx&amp;sheet=U0&amp;row=15286&amp;col=6&amp;number=3.2&amp;sourceID=14","3.2")</f>
        <v>3.2</v>
      </c>
      <c r="G15286" s="4" t="str">
        <f>HYPERLINK("http://141.218.60.56/~jnz1568/getInfo.php?workbook=10_05.xlsx&amp;sheet=U0&amp;row=15286&amp;col=7&amp;number=0.0516&amp;sourceID=14","0.0516")</f>
        <v>0.0516</v>
      </c>
    </row>
    <row r="15287" spans="1:7">
      <c r="A15287" s="3"/>
      <c r="B15287" s="3"/>
      <c r="C15287" s="3"/>
      <c r="D15287" s="3"/>
      <c r="E15287" s="3">
        <v>4</v>
      </c>
      <c r="F15287" s="4" t="str">
        <f>HYPERLINK("http://141.218.60.56/~jnz1568/getInfo.php?workbook=10_05.xlsx&amp;sheet=U0&amp;row=15287&amp;col=6&amp;number=3.3&amp;sourceID=14","3.3")</f>
        <v>3.3</v>
      </c>
      <c r="G15287" s="4" t="str">
        <f>HYPERLINK("http://141.218.60.56/~jnz1568/getInfo.php?workbook=10_05.xlsx&amp;sheet=U0&amp;row=15287&amp;col=7&amp;number=0.0513&amp;sourceID=14","0.0513")</f>
        <v>0.0513</v>
      </c>
    </row>
    <row r="15288" spans="1:7">
      <c r="A15288" s="3"/>
      <c r="B15288" s="3"/>
      <c r="C15288" s="3"/>
      <c r="D15288" s="3"/>
      <c r="E15288" s="3">
        <v>5</v>
      </c>
      <c r="F15288" s="4" t="str">
        <f>HYPERLINK("http://141.218.60.56/~jnz1568/getInfo.php?workbook=10_05.xlsx&amp;sheet=U0&amp;row=15288&amp;col=6&amp;number=3.4&amp;sourceID=14","3.4")</f>
        <v>3.4</v>
      </c>
      <c r="G15288" s="4" t="str">
        <f>HYPERLINK("http://141.218.60.56/~jnz1568/getInfo.php?workbook=10_05.xlsx&amp;sheet=U0&amp;row=15288&amp;col=7&amp;number=0.051&amp;sourceID=14","0.051")</f>
        <v>0.051</v>
      </c>
    </row>
    <row r="15289" spans="1:7">
      <c r="A15289" s="3"/>
      <c r="B15289" s="3"/>
      <c r="C15289" s="3"/>
      <c r="D15289" s="3"/>
      <c r="E15289" s="3">
        <v>6</v>
      </c>
      <c r="F15289" s="4" t="str">
        <f>HYPERLINK("http://141.218.60.56/~jnz1568/getInfo.php?workbook=10_05.xlsx&amp;sheet=U0&amp;row=15289&amp;col=6&amp;number=3.5&amp;sourceID=14","3.5")</f>
        <v>3.5</v>
      </c>
      <c r="G15289" s="4" t="str">
        <f>HYPERLINK("http://141.218.60.56/~jnz1568/getInfo.php?workbook=10_05.xlsx&amp;sheet=U0&amp;row=15289&amp;col=7&amp;number=0.0507&amp;sourceID=14","0.0507")</f>
        <v>0.0507</v>
      </c>
    </row>
    <row r="15290" spans="1:7">
      <c r="A15290" s="3"/>
      <c r="B15290" s="3"/>
      <c r="C15290" s="3"/>
      <c r="D15290" s="3"/>
      <c r="E15290" s="3">
        <v>7</v>
      </c>
      <c r="F15290" s="4" t="str">
        <f>HYPERLINK("http://141.218.60.56/~jnz1568/getInfo.php?workbook=10_05.xlsx&amp;sheet=U0&amp;row=15290&amp;col=6&amp;number=3.6&amp;sourceID=14","3.6")</f>
        <v>3.6</v>
      </c>
      <c r="G15290" s="4" t="str">
        <f>HYPERLINK("http://141.218.60.56/~jnz1568/getInfo.php?workbook=10_05.xlsx&amp;sheet=U0&amp;row=15290&amp;col=7&amp;number=0.0502&amp;sourceID=14","0.0502")</f>
        <v>0.0502</v>
      </c>
    </row>
    <row r="15291" spans="1:7">
      <c r="A15291" s="3"/>
      <c r="B15291" s="3"/>
      <c r="C15291" s="3"/>
      <c r="D15291" s="3"/>
      <c r="E15291" s="3">
        <v>8</v>
      </c>
      <c r="F15291" s="4" t="str">
        <f>HYPERLINK("http://141.218.60.56/~jnz1568/getInfo.php?workbook=10_05.xlsx&amp;sheet=U0&amp;row=15291&amp;col=6&amp;number=3.7&amp;sourceID=14","3.7")</f>
        <v>3.7</v>
      </c>
      <c r="G15291" s="4" t="str">
        <f>HYPERLINK("http://141.218.60.56/~jnz1568/getInfo.php?workbook=10_05.xlsx&amp;sheet=U0&amp;row=15291&amp;col=7&amp;number=0.0497&amp;sourceID=14","0.0497")</f>
        <v>0.0497</v>
      </c>
    </row>
    <row r="15292" spans="1:7">
      <c r="A15292" s="3"/>
      <c r="B15292" s="3"/>
      <c r="C15292" s="3"/>
      <c r="D15292" s="3"/>
      <c r="E15292" s="3">
        <v>9</v>
      </c>
      <c r="F15292" s="4" t="str">
        <f>HYPERLINK("http://141.218.60.56/~jnz1568/getInfo.php?workbook=10_05.xlsx&amp;sheet=U0&amp;row=15292&amp;col=6&amp;number=3.8&amp;sourceID=14","3.8")</f>
        <v>3.8</v>
      </c>
      <c r="G15292" s="4" t="str">
        <f>HYPERLINK("http://141.218.60.56/~jnz1568/getInfo.php?workbook=10_05.xlsx&amp;sheet=U0&amp;row=15292&amp;col=7&amp;number=0.049&amp;sourceID=14","0.049")</f>
        <v>0.049</v>
      </c>
    </row>
    <row r="15293" spans="1:7">
      <c r="A15293" s="3"/>
      <c r="B15293" s="3"/>
      <c r="C15293" s="3"/>
      <c r="D15293" s="3"/>
      <c r="E15293" s="3">
        <v>10</v>
      </c>
      <c r="F15293" s="4" t="str">
        <f>HYPERLINK("http://141.218.60.56/~jnz1568/getInfo.php?workbook=10_05.xlsx&amp;sheet=U0&amp;row=15293&amp;col=6&amp;number=3.9&amp;sourceID=14","3.9")</f>
        <v>3.9</v>
      </c>
      <c r="G15293" s="4" t="str">
        <f>HYPERLINK("http://141.218.60.56/~jnz1568/getInfo.php?workbook=10_05.xlsx&amp;sheet=U0&amp;row=15293&amp;col=7&amp;number=0.0482&amp;sourceID=14","0.0482")</f>
        <v>0.0482</v>
      </c>
    </row>
    <row r="15294" spans="1:7">
      <c r="A15294" s="3"/>
      <c r="B15294" s="3"/>
      <c r="C15294" s="3"/>
      <c r="D15294" s="3"/>
      <c r="E15294" s="3">
        <v>11</v>
      </c>
      <c r="F15294" s="4" t="str">
        <f>HYPERLINK("http://141.218.60.56/~jnz1568/getInfo.php?workbook=10_05.xlsx&amp;sheet=U0&amp;row=15294&amp;col=6&amp;number=4&amp;sourceID=14","4")</f>
        <v>4</v>
      </c>
      <c r="G15294" s="4" t="str">
        <f>HYPERLINK("http://141.218.60.56/~jnz1568/getInfo.php?workbook=10_05.xlsx&amp;sheet=U0&amp;row=15294&amp;col=7&amp;number=0.0472&amp;sourceID=14","0.0472")</f>
        <v>0.0472</v>
      </c>
    </row>
    <row r="15295" spans="1:7">
      <c r="A15295" s="3"/>
      <c r="B15295" s="3"/>
      <c r="C15295" s="3"/>
      <c r="D15295" s="3"/>
      <c r="E15295" s="3">
        <v>12</v>
      </c>
      <c r="F15295" s="4" t="str">
        <f>HYPERLINK("http://141.218.60.56/~jnz1568/getInfo.php?workbook=10_05.xlsx&amp;sheet=U0&amp;row=15295&amp;col=6&amp;number=4.1&amp;sourceID=14","4.1")</f>
        <v>4.1</v>
      </c>
      <c r="G15295" s="4" t="str">
        <f>HYPERLINK("http://141.218.60.56/~jnz1568/getInfo.php?workbook=10_05.xlsx&amp;sheet=U0&amp;row=15295&amp;col=7&amp;number=0.046&amp;sourceID=14","0.046")</f>
        <v>0.046</v>
      </c>
    </row>
    <row r="15296" spans="1:7">
      <c r="A15296" s="3"/>
      <c r="B15296" s="3"/>
      <c r="C15296" s="3"/>
      <c r="D15296" s="3"/>
      <c r="E15296" s="3">
        <v>13</v>
      </c>
      <c r="F15296" s="4" t="str">
        <f>HYPERLINK("http://141.218.60.56/~jnz1568/getInfo.php?workbook=10_05.xlsx&amp;sheet=U0&amp;row=15296&amp;col=6&amp;number=4.2&amp;sourceID=14","4.2")</f>
        <v>4.2</v>
      </c>
      <c r="G15296" s="4" t="str">
        <f>HYPERLINK("http://141.218.60.56/~jnz1568/getInfo.php?workbook=10_05.xlsx&amp;sheet=U0&amp;row=15296&amp;col=7&amp;number=0.0446&amp;sourceID=14","0.0446")</f>
        <v>0.0446</v>
      </c>
    </row>
    <row r="15297" spans="1:7">
      <c r="A15297" s="3"/>
      <c r="B15297" s="3"/>
      <c r="C15297" s="3"/>
      <c r="D15297" s="3"/>
      <c r="E15297" s="3">
        <v>14</v>
      </c>
      <c r="F15297" s="4" t="str">
        <f>HYPERLINK("http://141.218.60.56/~jnz1568/getInfo.php?workbook=10_05.xlsx&amp;sheet=U0&amp;row=15297&amp;col=6&amp;number=4.3&amp;sourceID=14","4.3")</f>
        <v>4.3</v>
      </c>
      <c r="G15297" s="4" t="str">
        <f>HYPERLINK("http://141.218.60.56/~jnz1568/getInfo.php?workbook=10_05.xlsx&amp;sheet=U0&amp;row=15297&amp;col=7&amp;number=0.0431&amp;sourceID=14","0.0431")</f>
        <v>0.0431</v>
      </c>
    </row>
    <row r="15298" spans="1:7">
      <c r="A15298" s="3"/>
      <c r="B15298" s="3"/>
      <c r="C15298" s="3"/>
      <c r="D15298" s="3"/>
      <c r="E15298" s="3">
        <v>15</v>
      </c>
      <c r="F15298" s="4" t="str">
        <f>HYPERLINK("http://141.218.60.56/~jnz1568/getInfo.php?workbook=10_05.xlsx&amp;sheet=U0&amp;row=15298&amp;col=6&amp;number=4.4&amp;sourceID=14","4.4")</f>
        <v>4.4</v>
      </c>
      <c r="G15298" s="4" t="str">
        <f>HYPERLINK("http://141.218.60.56/~jnz1568/getInfo.php?workbook=10_05.xlsx&amp;sheet=U0&amp;row=15298&amp;col=7&amp;number=0.0414&amp;sourceID=14","0.0414")</f>
        <v>0.0414</v>
      </c>
    </row>
    <row r="15299" spans="1:7">
      <c r="A15299" s="3"/>
      <c r="B15299" s="3"/>
      <c r="C15299" s="3"/>
      <c r="D15299" s="3"/>
      <c r="E15299" s="3">
        <v>16</v>
      </c>
      <c r="F15299" s="4" t="str">
        <f>HYPERLINK("http://141.218.60.56/~jnz1568/getInfo.php?workbook=10_05.xlsx&amp;sheet=U0&amp;row=15299&amp;col=6&amp;number=4.5&amp;sourceID=14","4.5")</f>
        <v>4.5</v>
      </c>
      <c r="G15299" s="4" t="str">
        <f>HYPERLINK("http://141.218.60.56/~jnz1568/getInfo.php?workbook=10_05.xlsx&amp;sheet=U0&amp;row=15299&amp;col=7&amp;number=0.0395&amp;sourceID=14","0.0395")</f>
        <v>0.0395</v>
      </c>
    </row>
    <row r="15300" spans="1:7">
      <c r="A15300" s="3"/>
      <c r="B15300" s="3"/>
      <c r="C15300" s="3"/>
      <c r="D15300" s="3"/>
      <c r="E15300" s="3">
        <v>17</v>
      </c>
      <c r="F15300" s="4" t="str">
        <f>HYPERLINK("http://141.218.60.56/~jnz1568/getInfo.php?workbook=10_05.xlsx&amp;sheet=U0&amp;row=15300&amp;col=6&amp;number=4.6&amp;sourceID=14","4.6")</f>
        <v>4.6</v>
      </c>
      <c r="G15300" s="4" t="str">
        <f>HYPERLINK("http://141.218.60.56/~jnz1568/getInfo.php?workbook=10_05.xlsx&amp;sheet=U0&amp;row=15300&amp;col=7&amp;number=0.0373&amp;sourceID=14","0.0373")</f>
        <v>0.0373</v>
      </c>
    </row>
    <row r="15301" spans="1:7">
      <c r="A15301" s="3"/>
      <c r="B15301" s="3"/>
      <c r="C15301" s="3"/>
      <c r="D15301" s="3"/>
      <c r="E15301" s="3">
        <v>18</v>
      </c>
      <c r="F15301" s="4" t="str">
        <f>HYPERLINK("http://141.218.60.56/~jnz1568/getInfo.php?workbook=10_05.xlsx&amp;sheet=U0&amp;row=15301&amp;col=6&amp;number=4.7&amp;sourceID=14","4.7")</f>
        <v>4.7</v>
      </c>
      <c r="G15301" s="4" t="str">
        <f>HYPERLINK("http://141.218.60.56/~jnz1568/getInfo.php?workbook=10_05.xlsx&amp;sheet=U0&amp;row=15301&amp;col=7&amp;number=0.0347&amp;sourceID=14","0.0347")</f>
        <v>0.0347</v>
      </c>
    </row>
    <row r="15302" spans="1:7">
      <c r="A15302" s="3"/>
      <c r="B15302" s="3"/>
      <c r="C15302" s="3"/>
      <c r="D15302" s="3"/>
      <c r="E15302" s="3">
        <v>19</v>
      </c>
      <c r="F15302" s="4" t="str">
        <f>HYPERLINK("http://141.218.60.56/~jnz1568/getInfo.php?workbook=10_05.xlsx&amp;sheet=U0&amp;row=15302&amp;col=6&amp;number=4.8&amp;sourceID=14","4.8")</f>
        <v>4.8</v>
      </c>
      <c r="G15302" s="4" t="str">
        <f>HYPERLINK("http://141.218.60.56/~jnz1568/getInfo.php?workbook=10_05.xlsx&amp;sheet=U0&amp;row=15302&amp;col=7&amp;number=0.0317&amp;sourceID=14","0.0317")</f>
        <v>0.0317</v>
      </c>
    </row>
    <row r="15303" spans="1:7">
      <c r="A15303" s="3"/>
      <c r="B15303" s="3"/>
      <c r="C15303" s="3"/>
      <c r="D15303" s="3"/>
      <c r="E15303" s="3">
        <v>20</v>
      </c>
      <c r="F15303" s="4" t="str">
        <f>HYPERLINK("http://141.218.60.56/~jnz1568/getInfo.php?workbook=10_05.xlsx&amp;sheet=U0&amp;row=15303&amp;col=6&amp;number=4.9&amp;sourceID=14","4.9")</f>
        <v>4.9</v>
      </c>
      <c r="G15303" s="4" t="str">
        <f>HYPERLINK("http://141.218.60.56/~jnz1568/getInfo.php?workbook=10_05.xlsx&amp;sheet=U0&amp;row=15303&amp;col=7&amp;number=0.0285&amp;sourceID=14","0.0285")</f>
        <v>0.0285</v>
      </c>
    </row>
    <row r="15304" spans="1:7">
      <c r="A15304" s="3">
        <v>10</v>
      </c>
      <c r="B15304" s="3">
        <v>5</v>
      </c>
      <c r="C15304" s="3">
        <v>5</v>
      </c>
      <c r="D15304" s="3">
        <v>61</v>
      </c>
      <c r="E15304" s="3">
        <v>1</v>
      </c>
      <c r="F15304" s="4" t="str">
        <f>HYPERLINK("http://141.218.60.56/~jnz1568/getInfo.php?workbook=10_05.xlsx&amp;sheet=U0&amp;row=15304&amp;col=6&amp;number=3&amp;sourceID=14","3")</f>
        <v>3</v>
      </c>
      <c r="G15304" s="4" t="str">
        <f>HYPERLINK("http://141.218.60.56/~jnz1568/getInfo.php?workbook=10_05.xlsx&amp;sheet=U0&amp;row=15304&amp;col=7&amp;number=0.0193&amp;sourceID=14","0.0193")</f>
        <v>0.0193</v>
      </c>
    </row>
    <row r="15305" spans="1:7">
      <c r="A15305" s="3"/>
      <c r="B15305" s="3"/>
      <c r="C15305" s="3"/>
      <c r="D15305" s="3"/>
      <c r="E15305" s="3">
        <v>2</v>
      </c>
      <c r="F15305" s="4" t="str">
        <f>HYPERLINK("http://141.218.60.56/~jnz1568/getInfo.php?workbook=10_05.xlsx&amp;sheet=U0&amp;row=15305&amp;col=6&amp;number=3.1&amp;sourceID=14","3.1")</f>
        <v>3.1</v>
      </c>
      <c r="G15305" s="4" t="str">
        <f>HYPERLINK("http://141.218.60.56/~jnz1568/getInfo.php?workbook=10_05.xlsx&amp;sheet=U0&amp;row=15305&amp;col=7&amp;number=0.0195&amp;sourceID=14","0.0195")</f>
        <v>0.0195</v>
      </c>
    </row>
    <row r="15306" spans="1:7">
      <c r="A15306" s="3"/>
      <c r="B15306" s="3"/>
      <c r="C15306" s="3"/>
      <c r="D15306" s="3"/>
      <c r="E15306" s="3">
        <v>3</v>
      </c>
      <c r="F15306" s="4" t="str">
        <f>HYPERLINK("http://141.218.60.56/~jnz1568/getInfo.php?workbook=10_05.xlsx&amp;sheet=U0&amp;row=15306&amp;col=6&amp;number=3.2&amp;sourceID=14","3.2")</f>
        <v>3.2</v>
      </c>
      <c r="G15306" s="4" t="str">
        <f>HYPERLINK("http://141.218.60.56/~jnz1568/getInfo.php?workbook=10_05.xlsx&amp;sheet=U0&amp;row=15306&amp;col=7&amp;number=0.0197&amp;sourceID=14","0.0197")</f>
        <v>0.0197</v>
      </c>
    </row>
    <row r="15307" spans="1:7">
      <c r="A15307" s="3"/>
      <c r="B15307" s="3"/>
      <c r="C15307" s="3"/>
      <c r="D15307" s="3"/>
      <c r="E15307" s="3">
        <v>4</v>
      </c>
      <c r="F15307" s="4" t="str">
        <f>HYPERLINK("http://141.218.60.56/~jnz1568/getInfo.php?workbook=10_05.xlsx&amp;sheet=U0&amp;row=15307&amp;col=6&amp;number=3.3&amp;sourceID=14","3.3")</f>
        <v>3.3</v>
      </c>
      <c r="G15307" s="4" t="str">
        <f>HYPERLINK("http://141.218.60.56/~jnz1568/getInfo.php?workbook=10_05.xlsx&amp;sheet=U0&amp;row=15307&amp;col=7&amp;number=0.0199&amp;sourceID=14","0.0199")</f>
        <v>0.0199</v>
      </c>
    </row>
    <row r="15308" spans="1:7">
      <c r="A15308" s="3"/>
      <c r="B15308" s="3"/>
      <c r="C15308" s="3"/>
      <c r="D15308" s="3"/>
      <c r="E15308" s="3">
        <v>5</v>
      </c>
      <c r="F15308" s="4" t="str">
        <f>HYPERLINK("http://141.218.60.56/~jnz1568/getInfo.php?workbook=10_05.xlsx&amp;sheet=U0&amp;row=15308&amp;col=6&amp;number=3.4&amp;sourceID=14","3.4")</f>
        <v>3.4</v>
      </c>
      <c r="G15308" s="4" t="str">
        <f>HYPERLINK("http://141.218.60.56/~jnz1568/getInfo.php?workbook=10_05.xlsx&amp;sheet=U0&amp;row=15308&amp;col=7&amp;number=0.0202&amp;sourceID=14","0.0202")</f>
        <v>0.0202</v>
      </c>
    </row>
    <row r="15309" spans="1:7">
      <c r="A15309" s="3"/>
      <c r="B15309" s="3"/>
      <c r="C15309" s="3"/>
      <c r="D15309" s="3"/>
      <c r="E15309" s="3">
        <v>6</v>
      </c>
      <c r="F15309" s="4" t="str">
        <f>HYPERLINK("http://141.218.60.56/~jnz1568/getInfo.php?workbook=10_05.xlsx&amp;sheet=U0&amp;row=15309&amp;col=6&amp;number=3.5&amp;sourceID=14","3.5")</f>
        <v>3.5</v>
      </c>
      <c r="G15309" s="4" t="str">
        <f>HYPERLINK("http://141.218.60.56/~jnz1568/getInfo.php?workbook=10_05.xlsx&amp;sheet=U0&amp;row=15309&amp;col=7&amp;number=0.0205&amp;sourceID=14","0.0205")</f>
        <v>0.0205</v>
      </c>
    </row>
    <row r="15310" spans="1:7">
      <c r="A15310" s="3"/>
      <c r="B15310" s="3"/>
      <c r="C15310" s="3"/>
      <c r="D15310" s="3"/>
      <c r="E15310" s="3">
        <v>7</v>
      </c>
      <c r="F15310" s="4" t="str">
        <f>HYPERLINK("http://141.218.60.56/~jnz1568/getInfo.php?workbook=10_05.xlsx&amp;sheet=U0&amp;row=15310&amp;col=6&amp;number=3.6&amp;sourceID=14","3.6")</f>
        <v>3.6</v>
      </c>
      <c r="G15310" s="4" t="str">
        <f>HYPERLINK("http://141.218.60.56/~jnz1568/getInfo.php?workbook=10_05.xlsx&amp;sheet=U0&amp;row=15310&amp;col=7&amp;number=0.0209&amp;sourceID=14","0.0209")</f>
        <v>0.0209</v>
      </c>
    </row>
    <row r="15311" spans="1:7">
      <c r="A15311" s="3"/>
      <c r="B15311" s="3"/>
      <c r="C15311" s="3"/>
      <c r="D15311" s="3"/>
      <c r="E15311" s="3">
        <v>8</v>
      </c>
      <c r="F15311" s="4" t="str">
        <f>HYPERLINK("http://141.218.60.56/~jnz1568/getInfo.php?workbook=10_05.xlsx&amp;sheet=U0&amp;row=15311&amp;col=6&amp;number=3.7&amp;sourceID=14","3.7")</f>
        <v>3.7</v>
      </c>
      <c r="G15311" s="4" t="str">
        <f>HYPERLINK("http://141.218.60.56/~jnz1568/getInfo.php?workbook=10_05.xlsx&amp;sheet=U0&amp;row=15311&amp;col=7&amp;number=0.0213&amp;sourceID=14","0.0213")</f>
        <v>0.0213</v>
      </c>
    </row>
    <row r="15312" spans="1:7">
      <c r="A15312" s="3"/>
      <c r="B15312" s="3"/>
      <c r="C15312" s="3"/>
      <c r="D15312" s="3"/>
      <c r="E15312" s="3">
        <v>9</v>
      </c>
      <c r="F15312" s="4" t="str">
        <f>HYPERLINK("http://141.218.60.56/~jnz1568/getInfo.php?workbook=10_05.xlsx&amp;sheet=U0&amp;row=15312&amp;col=6&amp;number=3.8&amp;sourceID=14","3.8")</f>
        <v>3.8</v>
      </c>
      <c r="G15312" s="4" t="str">
        <f>HYPERLINK("http://141.218.60.56/~jnz1568/getInfo.php?workbook=10_05.xlsx&amp;sheet=U0&amp;row=15312&amp;col=7&amp;number=0.0217&amp;sourceID=14","0.0217")</f>
        <v>0.0217</v>
      </c>
    </row>
    <row r="15313" spans="1:7">
      <c r="A15313" s="3"/>
      <c r="B15313" s="3"/>
      <c r="C15313" s="3"/>
      <c r="D15313" s="3"/>
      <c r="E15313" s="3">
        <v>10</v>
      </c>
      <c r="F15313" s="4" t="str">
        <f>HYPERLINK("http://141.218.60.56/~jnz1568/getInfo.php?workbook=10_05.xlsx&amp;sheet=U0&amp;row=15313&amp;col=6&amp;number=3.9&amp;sourceID=14","3.9")</f>
        <v>3.9</v>
      </c>
      <c r="G15313" s="4" t="str">
        <f>HYPERLINK("http://141.218.60.56/~jnz1568/getInfo.php?workbook=10_05.xlsx&amp;sheet=U0&amp;row=15313&amp;col=7&amp;number=0.0221&amp;sourceID=14","0.0221")</f>
        <v>0.0221</v>
      </c>
    </row>
    <row r="15314" spans="1:7">
      <c r="A15314" s="3"/>
      <c r="B15314" s="3"/>
      <c r="C15314" s="3"/>
      <c r="D15314" s="3"/>
      <c r="E15314" s="3">
        <v>11</v>
      </c>
      <c r="F15314" s="4" t="str">
        <f>HYPERLINK("http://141.218.60.56/~jnz1568/getInfo.php?workbook=10_05.xlsx&amp;sheet=U0&amp;row=15314&amp;col=6&amp;number=4&amp;sourceID=14","4")</f>
        <v>4</v>
      </c>
      <c r="G15314" s="4" t="str">
        <f>HYPERLINK("http://141.218.60.56/~jnz1568/getInfo.php?workbook=10_05.xlsx&amp;sheet=U0&amp;row=15314&amp;col=7&amp;number=0.0222&amp;sourceID=14","0.0222")</f>
        <v>0.0222</v>
      </c>
    </row>
    <row r="15315" spans="1:7">
      <c r="A15315" s="3"/>
      <c r="B15315" s="3"/>
      <c r="C15315" s="3"/>
      <c r="D15315" s="3"/>
      <c r="E15315" s="3">
        <v>12</v>
      </c>
      <c r="F15315" s="4" t="str">
        <f>HYPERLINK("http://141.218.60.56/~jnz1568/getInfo.php?workbook=10_05.xlsx&amp;sheet=U0&amp;row=15315&amp;col=6&amp;number=4.1&amp;sourceID=14","4.1")</f>
        <v>4.1</v>
      </c>
      <c r="G15315" s="4" t="str">
        <f>HYPERLINK("http://141.218.60.56/~jnz1568/getInfo.php?workbook=10_05.xlsx&amp;sheet=U0&amp;row=15315&amp;col=7&amp;number=0.022&amp;sourceID=14","0.022")</f>
        <v>0.022</v>
      </c>
    </row>
    <row r="15316" spans="1:7">
      <c r="A15316" s="3"/>
      <c r="B15316" s="3"/>
      <c r="C15316" s="3"/>
      <c r="D15316" s="3"/>
      <c r="E15316" s="3">
        <v>13</v>
      </c>
      <c r="F15316" s="4" t="str">
        <f>HYPERLINK("http://141.218.60.56/~jnz1568/getInfo.php?workbook=10_05.xlsx&amp;sheet=U0&amp;row=15316&amp;col=6&amp;number=4.2&amp;sourceID=14","4.2")</f>
        <v>4.2</v>
      </c>
      <c r="G15316" s="4" t="str">
        <f>HYPERLINK("http://141.218.60.56/~jnz1568/getInfo.php?workbook=10_05.xlsx&amp;sheet=U0&amp;row=15316&amp;col=7&amp;number=0.0213&amp;sourceID=14","0.0213")</f>
        <v>0.0213</v>
      </c>
    </row>
    <row r="15317" spans="1:7">
      <c r="A15317" s="3"/>
      <c r="B15317" s="3"/>
      <c r="C15317" s="3"/>
      <c r="D15317" s="3"/>
      <c r="E15317" s="3">
        <v>14</v>
      </c>
      <c r="F15317" s="4" t="str">
        <f>HYPERLINK("http://141.218.60.56/~jnz1568/getInfo.php?workbook=10_05.xlsx&amp;sheet=U0&amp;row=15317&amp;col=6&amp;number=4.3&amp;sourceID=14","4.3")</f>
        <v>4.3</v>
      </c>
      <c r="G15317" s="4" t="str">
        <f>HYPERLINK("http://141.218.60.56/~jnz1568/getInfo.php?workbook=10_05.xlsx&amp;sheet=U0&amp;row=15317&amp;col=7&amp;number=0.0203&amp;sourceID=14","0.0203")</f>
        <v>0.0203</v>
      </c>
    </row>
    <row r="15318" spans="1:7">
      <c r="A15318" s="3"/>
      <c r="B15318" s="3"/>
      <c r="C15318" s="3"/>
      <c r="D15318" s="3"/>
      <c r="E15318" s="3">
        <v>15</v>
      </c>
      <c r="F15318" s="4" t="str">
        <f>HYPERLINK("http://141.218.60.56/~jnz1568/getInfo.php?workbook=10_05.xlsx&amp;sheet=U0&amp;row=15318&amp;col=6&amp;number=4.4&amp;sourceID=14","4.4")</f>
        <v>4.4</v>
      </c>
      <c r="G15318" s="4" t="str">
        <f>HYPERLINK("http://141.218.60.56/~jnz1568/getInfo.php?workbook=10_05.xlsx&amp;sheet=U0&amp;row=15318&amp;col=7&amp;number=0.0192&amp;sourceID=14","0.0192")</f>
        <v>0.0192</v>
      </c>
    </row>
    <row r="15319" spans="1:7">
      <c r="A15319" s="3"/>
      <c r="B15319" s="3"/>
      <c r="C15319" s="3"/>
      <c r="D15319" s="3"/>
      <c r="E15319" s="3">
        <v>16</v>
      </c>
      <c r="F15319" s="4" t="str">
        <f>HYPERLINK("http://141.218.60.56/~jnz1568/getInfo.php?workbook=10_05.xlsx&amp;sheet=U0&amp;row=15319&amp;col=6&amp;number=4.5&amp;sourceID=14","4.5")</f>
        <v>4.5</v>
      </c>
      <c r="G15319" s="4" t="str">
        <f>HYPERLINK("http://141.218.60.56/~jnz1568/getInfo.php?workbook=10_05.xlsx&amp;sheet=U0&amp;row=15319&amp;col=7&amp;number=0.018&amp;sourceID=14","0.018")</f>
        <v>0.018</v>
      </c>
    </row>
    <row r="15320" spans="1:7">
      <c r="A15320" s="3"/>
      <c r="B15320" s="3"/>
      <c r="C15320" s="3"/>
      <c r="D15320" s="3"/>
      <c r="E15320" s="3">
        <v>17</v>
      </c>
      <c r="F15320" s="4" t="str">
        <f>HYPERLINK("http://141.218.60.56/~jnz1568/getInfo.php?workbook=10_05.xlsx&amp;sheet=U0&amp;row=15320&amp;col=6&amp;number=4.6&amp;sourceID=14","4.6")</f>
        <v>4.6</v>
      </c>
      <c r="G15320" s="4" t="str">
        <f>HYPERLINK("http://141.218.60.56/~jnz1568/getInfo.php?workbook=10_05.xlsx&amp;sheet=U0&amp;row=15320&amp;col=7&amp;number=0.0167&amp;sourceID=14","0.0167")</f>
        <v>0.0167</v>
      </c>
    </row>
    <row r="15321" spans="1:7">
      <c r="A15321" s="3"/>
      <c r="B15321" s="3"/>
      <c r="C15321" s="3"/>
      <c r="D15321" s="3"/>
      <c r="E15321" s="3">
        <v>18</v>
      </c>
      <c r="F15321" s="4" t="str">
        <f>HYPERLINK("http://141.218.60.56/~jnz1568/getInfo.php?workbook=10_05.xlsx&amp;sheet=U0&amp;row=15321&amp;col=6&amp;number=4.7&amp;sourceID=14","4.7")</f>
        <v>4.7</v>
      </c>
      <c r="G15321" s="4" t="str">
        <f>HYPERLINK("http://141.218.60.56/~jnz1568/getInfo.php?workbook=10_05.xlsx&amp;sheet=U0&amp;row=15321&amp;col=7&amp;number=0.0152&amp;sourceID=14","0.0152")</f>
        <v>0.0152</v>
      </c>
    </row>
    <row r="15322" spans="1:7">
      <c r="A15322" s="3"/>
      <c r="B15322" s="3"/>
      <c r="C15322" s="3"/>
      <c r="D15322" s="3"/>
      <c r="E15322" s="3">
        <v>19</v>
      </c>
      <c r="F15322" s="4" t="str">
        <f>HYPERLINK("http://141.218.60.56/~jnz1568/getInfo.php?workbook=10_05.xlsx&amp;sheet=U0&amp;row=15322&amp;col=6&amp;number=4.8&amp;sourceID=14","4.8")</f>
        <v>4.8</v>
      </c>
      <c r="G15322" s="4" t="str">
        <f>HYPERLINK("http://141.218.60.56/~jnz1568/getInfo.php?workbook=10_05.xlsx&amp;sheet=U0&amp;row=15322&amp;col=7&amp;number=0.0137&amp;sourceID=14","0.0137")</f>
        <v>0.0137</v>
      </c>
    </row>
    <row r="15323" spans="1:7">
      <c r="A15323" s="3"/>
      <c r="B15323" s="3"/>
      <c r="C15323" s="3"/>
      <c r="D15323" s="3"/>
      <c r="E15323" s="3">
        <v>20</v>
      </c>
      <c r="F15323" s="4" t="str">
        <f>HYPERLINK("http://141.218.60.56/~jnz1568/getInfo.php?workbook=10_05.xlsx&amp;sheet=U0&amp;row=15323&amp;col=6&amp;number=4.9&amp;sourceID=14","4.9")</f>
        <v>4.9</v>
      </c>
      <c r="G15323" s="4" t="str">
        <f>HYPERLINK("http://141.218.60.56/~jnz1568/getInfo.php?workbook=10_05.xlsx&amp;sheet=U0&amp;row=15323&amp;col=7&amp;number=0.0122&amp;sourceID=14","0.0122")</f>
        <v>0.0122</v>
      </c>
    </row>
    <row r="15324" spans="1:7">
      <c r="A15324" s="3">
        <v>10</v>
      </c>
      <c r="B15324" s="3">
        <v>5</v>
      </c>
      <c r="C15324" s="3">
        <v>5</v>
      </c>
      <c r="D15324" s="3">
        <v>62</v>
      </c>
      <c r="E15324" s="3">
        <v>1</v>
      </c>
      <c r="F15324" s="4" t="str">
        <f>HYPERLINK("http://141.218.60.56/~jnz1568/getInfo.php?workbook=10_05.xlsx&amp;sheet=U0&amp;row=15324&amp;col=6&amp;number=3&amp;sourceID=14","3")</f>
        <v>3</v>
      </c>
      <c r="G15324" s="4" t="str">
        <f>HYPERLINK("http://141.218.60.56/~jnz1568/getInfo.php?workbook=10_05.xlsx&amp;sheet=U0&amp;row=15324&amp;col=7&amp;number=0.0468&amp;sourceID=14","0.0468")</f>
        <v>0.0468</v>
      </c>
    </row>
    <row r="15325" spans="1:7">
      <c r="A15325" s="3"/>
      <c r="B15325" s="3"/>
      <c r="C15325" s="3"/>
      <c r="D15325" s="3"/>
      <c r="E15325" s="3">
        <v>2</v>
      </c>
      <c r="F15325" s="4" t="str">
        <f>HYPERLINK("http://141.218.60.56/~jnz1568/getInfo.php?workbook=10_05.xlsx&amp;sheet=U0&amp;row=15325&amp;col=6&amp;number=3.1&amp;sourceID=14","3.1")</f>
        <v>3.1</v>
      </c>
      <c r="G15325" s="4" t="str">
        <f>HYPERLINK("http://141.218.60.56/~jnz1568/getInfo.php?workbook=10_05.xlsx&amp;sheet=U0&amp;row=15325&amp;col=7&amp;number=0.0478&amp;sourceID=14","0.0478")</f>
        <v>0.0478</v>
      </c>
    </row>
    <row r="15326" spans="1:7">
      <c r="A15326" s="3"/>
      <c r="B15326" s="3"/>
      <c r="C15326" s="3"/>
      <c r="D15326" s="3"/>
      <c r="E15326" s="3">
        <v>3</v>
      </c>
      <c r="F15326" s="4" t="str">
        <f>HYPERLINK("http://141.218.60.56/~jnz1568/getInfo.php?workbook=10_05.xlsx&amp;sheet=U0&amp;row=15326&amp;col=6&amp;number=3.2&amp;sourceID=14","3.2")</f>
        <v>3.2</v>
      </c>
      <c r="G15326" s="4" t="str">
        <f>HYPERLINK("http://141.218.60.56/~jnz1568/getInfo.php?workbook=10_05.xlsx&amp;sheet=U0&amp;row=15326&amp;col=7&amp;number=0.0491&amp;sourceID=14","0.0491")</f>
        <v>0.0491</v>
      </c>
    </row>
    <row r="15327" spans="1:7">
      <c r="A15327" s="3"/>
      <c r="B15327" s="3"/>
      <c r="C15327" s="3"/>
      <c r="D15327" s="3"/>
      <c r="E15327" s="3">
        <v>4</v>
      </c>
      <c r="F15327" s="4" t="str">
        <f>HYPERLINK("http://141.218.60.56/~jnz1568/getInfo.php?workbook=10_05.xlsx&amp;sheet=U0&amp;row=15327&amp;col=6&amp;number=3.3&amp;sourceID=14","3.3")</f>
        <v>3.3</v>
      </c>
      <c r="G15327" s="4" t="str">
        <f>HYPERLINK("http://141.218.60.56/~jnz1568/getInfo.php?workbook=10_05.xlsx&amp;sheet=U0&amp;row=15327&amp;col=7&amp;number=0.0506&amp;sourceID=14","0.0506")</f>
        <v>0.0506</v>
      </c>
    </row>
    <row r="15328" spans="1:7">
      <c r="A15328" s="3"/>
      <c r="B15328" s="3"/>
      <c r="C15328" s="3"/>
      <c r="D15328" s="3"/>
      <c r="E15328" s="3">
        <v>5</v>
      </c>
      <c r="F15328" s="4" t="str">
        <f>HYPERLINK("http://141.218.60.56/~jnz1568/getInfo.php?workbook=10_05.xlsx&amp;sheet=U0&amp;row=15328&amp;col=6&amp;number=3.4&amp;sourceID=14","3.4")</f>
        <v>3.4</v>
      </c>
      <c r="G15328" s="4" t="str">
        <f>HYPERLINK("http://141.218.60.56/~jnz1568/getInfo.php?workbook=10_05.xlsx&amp;sheet=U0&amp;row=15328&amp;col=7&amp;number=0.0525&amp;sourceID=14","0.0525")</f>
        <v>0.0525</v>
      </c>
    </row>
    <row r="15329" spans="1:7">
      <c r="A15329" s="3"/>
      <c r="B15329" s="3"/>
      <c r="C15329" s="3"/>
      <c r="D15329" s="3"/>
      <c r="E15329" s="3">
        <v>6</v>
      </c>
      <c r="F15329" s="4" t="str">
        <f>HYPERLINK("http://141.218.60.56/~jnz1568/getInfo.php?workbook=10_05.xlsx&amp;sheet=U0&amp;row=15329&amp;col=6&amp;number=3.5&amp;sourceID=14","3.5")</f>
        <v>3.5</v>
      </c>
      <c r="G15329" s="4" t="str">
        <f>HYPERLINK("http://141.218.60.56/~jnz1568/getInfo.php?workbook=10_05.xlsx&amp;sheet=U0&amp;row=15329&amp;col=7&amp;number=0.0547&amp;sourceID=14","0.0547")</f>
        <v>0.0547</v>
      </c>
    </row>
    <row r="15330" spans="1:7">
      <c r="A15330" s="3"/>
      <c r="B15330" s="3"/>
      <c r="C15330" s="3"/>
      <c r="D15330" s="3"/>
      <c r="E15330" s="3">
        <v>7</v>
      </c>
      <c r="F15330" s="4" t="str">
        <f>HYPERLINK("http://141.218.60.56/~jnz1568/getInfo.php?workbook=10_05.xlsx&amp;sheet=U0&amp;row=15330&amp;col=6&amp;number=3.6&amp;sourceID=14","3.6")</f>
        <v>3.6</v>
      </c>
      <c r="G15330" s="4" t="str">
        <f>HYPERLINK("http://141.218.60.56/~jnz1568/getInfo.php?workbook=10_05.xlsx&amp;sheet=U0&amp;row=15330&amp;col=7&amp;number=0.0573&amp;sourceID=14","0.0573")</f>
        <v>0.0573</v>
      </c>
    </row>
    <row r="15331" spans="1:7">
      <c r="A15331" s="3"/>
      <c r="B15331" s="3"/>
      <c r="C15331" s="3"/>
      <c r="D15331" s="3"/>
      <c r="E15331" s="3">
        <v>8</v>
      </c>
      <c r="F15331" s="4" t="str">
        <f>HYPERLINK("http://141.218.60.56/~jnz1568/getInfo.php?workbook=10_05.xlsx&amp;sheet=U0&amp;row=15331&amp;col=6&amp;number=3.7&amp;sourceID=14","3.7")</f>
        <v>3.7</v>
      </c>
      <c r="G15331" s="4" t="str">
        <f>HYPERLINK("http://141.218.60.56/~jnz1568/getInfo.php?workbook=10_05.xlsx&amp;sheet=U0&amp;row=15331&amp;col=7&amp;number=0.06&amp;sourceID=14","0.06")</f>
        <v>0.06</v>
      </c>
    </row>
    <row r="15332" spans="1:7">
      <c r="A15332" s="3"/>
      <c r="B15332" s="3"/>
      <c r="C15332" s="3"/>
      <c r="D15332" s="3"/>
      <c r="E15332" s="3">
        <v>9</v>
      </c>
      <c r="F15332" s="4" t="str">
        <f>HYPERLINK("http://141.218.60.56/~jnz1568/getInfo.php?workbook=10_05.xlsx&amp;sheet=U0&amp;row=15332&amp;col=6&amp;number=3.8&amp;sourceID=14","3.8")</f>
        <v>3.8</v>
      </c>
      <c r="G15332" s="4" t="str">
        <f>HYPERLINK("http://141.218.60.56/~jnz1568/getInfo.php?workbook=10_05.xlsx&amp;sheet=U0&amp;row=15332&amp;col=7&amp;number=0.0627&amp;sourceID=14","0.0627")</f>
        <v>0.0627</v>
      </c>
    </row>
    <row r="15333" spans="1:7">
      <c r="A15333" s="3"/>
      <c r="B15333" s="3"/>
      <c r="C15333" s="3"/>
      <c r="D15333" s="3"/>
      <c r="E15333" s="3">
        <v>10</v>
      </c>
      <c r="F15333" s="4" t="str">
        <f>HYPERLINK("http://141.218.60.56/~jnz1568/getInfo.php?workbook=10_05.xlsx&amp;sheet=U0&amp;row=15333&amp;col=6&amp;number=3.9&amp;sourceID=14","3.9")</f>
        <v>3.9</v>
      </c>
      <c r="G15333" s="4" t="str">
        <f>HYPERLINK("http://141.218.60.56/~jnz1568/getInfo.php?workbook=10_05.xlsx&amp;sheet=U0&amp;row=15333&amp;col=7&amp;number=0.0648&amp;sourceID=14","0.0648")</f>
        <v>0.0648</v>
      </c>
    </row>
    <row r="15334" spans="1:7">
      <c r="A15334" s="3"/>
      <c r="B15334" s="3"/>
      <c r="C15334" s="3"/>
      <c r="D15334" s="3"/>
      <c r="E15334" s="3">
        <v>11</v>
      </c>
      <c r="F15334" s="4" t="str">
        <f>HYPERLINK("http://141.218.60.56/~jnz1568/getInfo.php?workbook=10_05.xlsx&amp;sheet=U0&amp;row=15334&amp;col=6&amp;number=4&amp;sourceID=14","4")</f>
        <v>4</v>
      </c>
      <c r="G15334" s="4" t="str">
        <f>HYPERLINK("http://141.218.60.56/~jnz1568/getInfo.php?workbook=10_05.xlsx&amp;sheet=U0&amp;row=15334&amp;col=7&amp;number=0.0657&amp;sourceID=14","0.0657")</f>
        <v>0.0657</v>
      </c>
    </row>
    <row r="15335" spans="1:7">
      <c r="A15335" s="3"/>
      <c r="B15335" s="3"/>
      <c r="C15335" s="3"/>
      <c r="D15335" s="3"/>
      <c r="E15335" s="3">
        <v>12</v>
      </c>
      <c r="F15335" s="4" t="str">
        <f>HYPERLINK("http://141.218.60.56/~jnz1568/getInfo.php?workbook=10_05.xlsx&amp;sheet=U0&amp;row=15335&amp;col=6&amp;number=4.1&amp;sourceID=14","4.1")</f>
        <v>4.1</v>
      </c>
      <c r="G15335" s="4" t="str">
        <f>HYPERLINK("http://141.218.60.56/~jnz1568/getInfo.php?workbook=10_05.xlsx&amp;sheet=U0&amp;row=15335&amp;col=7&amp;number=0.0652&amp;sourceID=14","0.0652")</f>
        <v>0.0652</v>
      </c>
    </row>
    <row r="15336" spans="1:7">
      <c r="A15336" s="3"/>
      <c r="B15336" s="3"/>
      <c r="C15336" s="3"/>
      <c r="D15336" s="3"/>
      <c r="E15336" s="3">
        <v>13</v>
      </c>
      <c r="F15336" s="4" t="str">
        <f>HYPERLINK("http://141.218.60.56/~jnz1568/getInfo.php?workbook=10_05.xlsx&amp;sheet=U0&amp;row=15336&amp;col=6&amp;number=4.2&amp;sourceID=14","4.2")</f>
        <v>4.2</v>
      </c>
      <c r="G15336" s="4" t="str">
        <f>HYPERLINK("http://141.218.60.56/~jnz1568/getInfo.php?workbook=10_05.xlsx&amp;sheet=U0&amp;row=15336&amp;col=7&amp;number=0.0632&amp;sourceID=14","0.0632")</f>
        <v>0.0632</v>
      </c>
    </row>
    <row r="15337" spans="1:7">
      <c r="A15337" s="3"/>
      <c r="B15337" s="3"/>
      <c r="C15337" s="3"/>
      <c r="D15337" s="3"/>
      <c r="E15337" s="3">
        <v>14</v>
      </c>
      <c r="F15337" s="4" t="str">
        <f>HYPERLINK("http://141.218.60.56/~jnz1568/getInfo.php?workbook=10_05.xlsx&amp;sheet=U0&amp;row=15337&amp;col=6&amp;number=4.3&amp;sourceID=14","4.3")</f>
        <v>4.3</v>
      </c>
      <c r="G15337" s="4" t="str">
        <f>HYPERLINK("http://141.218.60.56/~jnz1568/getInfo.php?workbook=10_05.xlsx&amp;sheet=U0&amp;row=15337&amp;col=7&amp;number=0.0605&amp;sourceID=14","0.0605")</f>
        <v>0.0605</v>
      </c>
    </row>
    <row r="15338" spans="1:7">
      <c r="A15338" s="3"/>
      <c r="B15338" s="3"/>
      <c r="C15338" s="3"/>
      <c r="D15338" s="3"/>
      <c r="E15338" s="3">
        <v>15</v>
      </c>
      <c r="F15338" s="4" t="str">
        <f>HYPERLINK("http://141.218.60.56/~jnz1568/getInfo.php?workbook=10_05.xlsx&amp;sheet=U0&amp;row=15338&amp;col=6&amp;number=4.4&amp;sourceID=14","4.4")</f>
        <v>4.4</v>
      </c>
      <c r="G15338" s="4" t="str">
        <f>HYPERLINK("http://141.218.60.56/~jnz1568/getInfo.php?workbook=10_05.xlsx&amp;sheet=U0&amp;row=15338&amp;col=7&amp;number=0.0574&amp;sourceID=14","0.0574")</f>
        <v>0.0574</v>
      </c>
    </row>
    <row r="15339" spans="1:7">
      <c r="A15339" s="3"/>
      <c r="B15339" s="3"/>
      <c r="C15339" s="3"/>
      <c r="D15339" s="3"/>
      <c r="E15339" s="3">
        <v>16</v>
      </c>
      <c r="F15339" s="4" t="str">
        <f>HYPERLINK("http://141.218.60.56/~jnz1568/getInfo.php?workbook=10_05.xlsx&amp;sheet=U0&amp;row=15339&amp;col=6&amp;number=4.5&amp;sourceID=14","4.5")</f>
        <v>4.5</v>
      </c>
      <c r="G15339" s="4" t="str">
        <f>HYPERLINK("http://141.218.60.56/~jnz1568/getInfo.php?workbook=10_05.xlsx&amp;sheet=U0&amp;row=15339&amp;col=7&amp;number=0.0538&amp;sourceID=14","0.0538")</f>
        <v>0.0538</v>
      </c>
    </row>
    <row r="15340" spans="1:7">
      <c r="A15340" s="3"/>
      <c r="B15340" s="3"/>
      <c r="C15340" s="3"/>
      <c r="D15340" s="3"/>
      <c r="E15340" s="3">
        <v>17</v>
      </c>
      <c r="F15340" s="4" t="str">
        <f>HYPERLINK("http://141.218.60.56/~jnz1568/getInfo.php?workbook=10_05.xlsx&amp;sheet=U0&amp;row=15340&amp;col=6&amp;number=4.6&amp;sourceID=14","4.6")</f>
        <v>4.6</v>
      </c>
      <c r="G15340" s="4" t="str">
        <f>HYPERLINK("http://141.218.60.56/~jnz1568/getInfo.php?workbook=10_05.xlsx&amp;sheet=U0&amp;row=15340&amp;col=7&amp;number=0.0496&amp;sourceID=14","0.0496")</f>
        <v>0.0496</v>
      </c>
    </row>
    <row r="15341" spans="1:7">
      <c r="A15341" s="3"/>
      <c r="B15341" s="3"/>
      <c r="C15341" s="3"/>
      <c r="D15341" s="3"/>
      <c r="E15341" s="3">
        <v>18</v>
      </c>
      <c r="F15341" s="4" t="str">
        <f>HYPERLINK("http://141.218.60.56/~jnz1568/getInfo.php?workbook=10_05.xlsx&amp;sheet=U0&amp;row=15341&amp;col=6&amp;number=4.7&amp;sourceID=14","4.7")</f>
        <v>4.7</v>
      </c>
      <c r="G15341" s="4" t="str">
        <f>HYPERLINK("http://141.218.60.56/~jnz1568/getInfo.php?workbook=10_05.xlsx&amp;sheet=U0&amp;row=15341&amp;col=7&amp;number=0.0451&amp;sourceID=14","0.0451")</f>
        <v>0.0451</v>
      </c>
    </row>
    <row r="15342" spans="1:7">
      <c r="A15342" s="3"/>
      <c r="B15342" s="3"/>
      <c r="C15342" s="3"/>
      <c r="D15342" s="3"/>
      <c r="E15342" s="3">
        <v>19</v>
      </c>
      <c r="F15342" s="4" t="str">
        <f>HYPERLINK("http://141.218.60.56/~jnz1568/getInfo.php?workbook=10_05.xlsx&amp;sheet=U0&amp;row=15342&amp;col=6&amp;number=4.8&amp;sourceID=14","4.8")</f>
        <v>4.8</v>
      </c>
      <c r="G15342" s="4" t="str">
        <f>HYPERLINK("http://141.218.60.56/~jnz1568/getInfo.php?workbook=10_05.xlsx&amp;sheet=U0&amp;row=15342&amp;col=7&amp;number=0.0408&amp;sourceID=14","0.0408")</f>
        <v>0.0408</v>
      </c>
    </row>
    <row r="15343" spans="1:7">
      <c r="A15343" s="3"/>
      <c r="B15343" s="3"/>
      <c r="C15343" s="3"/>
      <c r="D15343" s="3"/>
      <c r="E15343" s="3">
        <v>20</v>
      </c>
      <c r="F15343" s="4" t="str">
        <f>HYPERLINK("http://141.218.60.56/~jnz1568/getInfo.php?workbook=10_05.xlsx&amp;sheet=U0&amp;row=15343&amp;col=6&amp;number=4.9&amp;sourceID=14","4.9")</f>
        <v>4.9</v>
      </c>
      <c r="G15343" s="4" t="str">
        <f>HYPERLINK("http://141.218.60.56/~jnz1568/getInfo.php?workbook=10_05.xlsx&amp;sheet=U0&amp;row=15343&amp;col=7&amp;number=0.0364&amp;sourceID=14","0.0364")</f>
        <v>0.0364</v>
      </c>
    </row>
    <row r="15344" spans="1:7">
      <c r="A15344" s="3">
        <v>10</v>
      </c>
      <c r="B15344" s="3">
        <v>5</v>
      </c>
      <c r="C15344" s="3">
        <v>5</v>
      </c>
      <c r="D15344" s="3">
        <v>63</v>
      </c>
      <c r="E15344" s="3">
        <v>1</v>
      </c>
      <c r="F15344" s="4" t="str">
        <f>HYPERLINK("http://141.218.60.56/~jnz1568/getInfo.php?workbook=10_05.xlsx&amp;sheet=U0&amp;row=15344&amp;col=6&amp;number=3&amp;sourceID=14","3")</f>
        <v>3</v>
      </c>
      <c r="G15344" s="4" t="str">
        <f>HYPERLINK("http://141.218.60.56/~jnz1568/getInfo.php?workbook=10_05.xlsx&amp;sheet=U0&amp;row=15344&amp;col=7&amp;number=0.0107&amp;sourceID=14","0.0107")</f>
        <v>0.0107</v>
      </c>
    </row>
    <row r="15345" spans="1:7">
      <c r="A15345" s="3"/>
      <c r="B15345" s="3"/>
      <c r="C15345" s="3"/>
      <c r="D15345" s="3"/>
      <c r="E15345" s="3">
        <v>2</v>
      </c>
      <c r="F15345" s="4" t="str">
        <f>HYPERLINK("http://141.218.60.56/~jnz1568/getInfo.php?workbook=10_05.xlsx&amp;sheet=U0&amp;row=15345&amp;col=6&amp;number=3.1&amp;sourceID=14","3.1")</f>
        <v>3.1</v>
      </c>
      <c r="G15345" s="4" t="str">
        <f>HYPERLINK("http://141.218.60.56/~jnz1568/getInfo.php?workbook=10_05.xlsx&amp;sheet=U0&amp;row=15345&amp;col=7&amp;number=0.0108&amp;sourceID=14","0.0108")</f>
        <v>0.0108</v>
      </c>
    </row>
    <row r="15346" spans="1:7">
      <c r="A15346" s="3"/>
      <c r="B15346" s="3"/>
      <c r="C15346" s="3"/>
      <c r="D15346" s="3"/>
      <c r="E15346" s="3">
        <v>3</v>
      </c>
      <c r="F15346" s="4" t="str">
        <f>HYPERLINK("http://141.218.60.56/~jnz1568/getInfo.php?workbook=10_05.xlsx&amp;sheet=U0&amp;row=15346&amp;col=6&amp;number=3.2&amp;sourceID=14","3.2")</f>
        <v>3.2</v>
      </c>
      <c r="G15346" s="4" t="str">
        <f>HYPERLINK("http://141.218.60.56/~jnz1568/getInfo.php?workbook=10_05.xlsx&amp;sheet=U0&amp;row=15346&amp;col=7&amp;number=0.0109&amp;sourceID=14","0.0109")</f>
        <v>0.0109</v>
      </c>
    </row>
    <row r="15347" spans="1:7">
      <c r="A15347" s="3"/>
      <c r="B15347" s="3"/>
      <c r="C15347" s="3"/>
      <c r="D15347" s="3"/>
      <c r="E15347" s="3">
        <v>4</v>
      </c>
      <c r="F15347" s="4" t="str">
        <f>HYPERLINK("http://141.218.60.56/~jnz1568/getInfo.php?workbook=10_05.xlsx&amp;sheet=U0&amp;row=15347&amp;col=6&amp;number=3.3&amp;sourceID=14","3.3")</f>
        <v>3.3</v>
      </c>
      <c r="G15347" s="4" t="str">
        <f>HYPERLINK("http://141.218.60.56/~jnz1568/getInfo.php?workbook=10_05.xlsx&amp;sheet=U0&amp;row=15347&amp;col=7&amp;number=0.011&amp;sourceID=14","0.011")</f>
        <v>0.011</v>
      </c>
    </row>
    <row r="15348" spans="1:7">
      <c r="A15348" s="3"/>
      <c r="B15348" s="3"/>
      <c r="C15348" s="3"/>
      <c r="D15348" s="3"/>
      <c r="E15348" s="3">
        <v>5</v>
      </c>
      <c r="F15348" s="4" t="str">
        <f>HYPERLINK("http://141.218.60.56/~jnz1568/getInfo.php?workbook=10_05.xlsx&amp;sheet=U0&amp;row=15348&amp;col=6&amp;number=3.4&amp;sourceID=14","3.4")</f>
        <v>3.4</v>
      </c>
      <c r="G15348" s="4" t="str">
        <f>HYPERLINK("http://141.218.60.56/~jnz1568/getInfo.php?workbook=10_05.xlsx&amp;sheet=U0&amp;row=15348&amp;col=7&amp;number=0.0111&amp;sourceID=14","0.0111")</f>
        <v>0.0111</v>
      </c>
    </row>
    <row r="15349" spans="1:7">
      <c r="A15349" s="3"/>
      <c r="B15349" s="3"/>
      <c r="C15349" s="3"/>
      <c r="D15349" s="3"/>
      <c r="E15349" s="3">
        <v>6</v>
      </c>
      <c r="F15349" s="4" t="str">
        <f>HYPERLINK("http://141.218.60.56/~jnz1568/getInfo.php?workbook=10_05.xlsx&amp;sheet=U0&amp;row=15349&amp;col=6&amp;number=3.5&amp;sourceID=14","3.5")</f>
        <v>3.5</v>
      </c>
      <c r="G15349" s="4" t="str">
        <f>HYPERLINK("http://141.218.60.56/~jnz1568/getInfo.php?workbook=10_05.xlsx&amp;sheet=U0&amp;row=15349&amp;col=7&amp;number=0.0113&amp;sourceID=14","0.0113")</f>
        <v>0.0113</v>
      </c>
    </row>
    <row r="15350" spans="1:7">
      <c r="A15350" s="3"/>
      <c r="B15350" s="3"/>
      <c r="C15350" s="3"/>
      <c r="D15350" s="3"/>
      <c r="E15350" s="3">
        <v>7</v>
      </c>
      <c r="F15350" s="4" t="str">
        <f>HYPERLINK("http://141.218.60.56/~jnz1568/getInfo.php?workbook=10_05.xlsx&amp;sheet=U0&amp;row=15350&amp;col=6&amp;number=3.6&amp;sourceID=14","3.6")</f>
        <v>3.6</v>
      </c>
      <c r="G15350" s="4" t="str">
        <f>HYPERLINK("http://141.218.60.56/~jnz1568/getInfo.php?workbook=10_05.xlsx&amp;sheet=U0&amp;row=15350&amp;col=7&amp;number=0.0115&amp;sourceID=14","0.0115")</f>
        <v>0.0115</v>
      </c>
    </row>
    <row r="15351" spans="1:7">
      <c r="A15351" s="3"/>
      <c r="B15351" s="3"/>
      <c r="C15351" s="3"/>
      <c r="D15351" s="3"/>
      <c r="E15351" s="3">
        <v>8</v>
      </c>
      <c r="F15351" s="4" t="str">
        <f>HYPERLINK("http://141.218.60.56/~jnz1568/getInfo.php?workbook=10_05.xlsx&amp;sheet=U0&amp;row=15351&amp;col=6&amp;number=3.7&amp;sourceID=14","3.7")</f>
        <v>3.7</v>
      </c>
      <c r="G15351" s="4" t="str">
        <f>HYPERLINK("http://141.218.60.56/~jnz1568/getInfo.php?workbook=10_05.xlsx&amp;sheet=U0&amp;row=15351&amp;col=7&amp;number=0.0118&amp;sourceID=14","0.0118")</f>
        <v>0.0118</v>
      </c>
    </row>
    <row r="15352" spans="1:7">
      <c r="A15352" s="3"/>
      <c r="B15352" s="3"/>
      <c r="C15352" s="3"/>
      <c r="D15352" s="3"/>
      <c r="E15352" s="3">
        <v>9</v>
      </c>
      <c r="F15352" s="4" t="str">
        <f>HYPERLINK("http://141.218.60.56/~jnz1568/getInfo.php?workbook=10_05.xlsx&amp;sheet=U0&amp;row=15352&amp;col=6&amp;number=3.8&amp;sourceID=14","3.8")</f>
        <v>3.8</v>
      </c>
      <c r="G15352" s="4" t="str">
        <f>HYPERLINK("http://141.218.60.56/~jnz1568/getInfo.php?workbook=10_05.xlsx&amp;sheet=U0&amp;row=15352&amp;col=7&amp;number=0.0121&amp;sourceID=14","0.0121")</f>
        <v>0.0121</v>
      </c>
    </row>
    <row r="15353" spans="1:7">
      <c r="A15353" s="3"/>
      <c r="B15353" s="3"/>
      <c r="C15353" s="3"/>
      <c r="D15353" s="3"/>
      <c r="E15353" s="3">
        <v>10</v>
      </c>
      <c r="F15353" s="4" t="str">
        <f>HYPERLINK("http://141.218.60.56/~jnz1568/getInfo.php?workbook=10_05.xlsx&amp;sheet=U0&amp;row=15353&amp;col=6&amp;number=3.9&amp;sourceID=14","3.9")</f>
        <v>3.9</v>
      </c>
      <c r="G15353" s="4" t="str">
        <f>HYPERLINK("http://141.218.60.56/~jnz1568/getInfo.php?workbook=10_05.xlsx&amp;sheet=U0&amp;row=15353&amp;col=7&amp;number=0.0124&amp;sourceID=14","0.0124")</f>
        <v>0.0124</v>
      </c>
    </row>
    <row r="15354" spans="1:7">
      <c r="A15354" s="3"/>
      <c r="B15354" s="3"/>
      <c r="C15354" s="3"/>
      <c r="D15354" s="3"/>
      <c r="E15354" s="3">
        <v>11</v>
      </c>
      <c r="F15354" s="4" t="str">
        <f>HYPERLINK("http://141.218.60.56/~jnz1568/getInfo.php?workbook=10_05.xlsx&amp;sheet=U0&amp;row=15354&amp;col=6&amp;number=4&amp;sourceID=14","4")</f>
        <v>4</v>
      </c>
      <c r="G15354" s="4" t="str">
        <f>HYPERLINK("http://141.218.60.56/~jnz1568/getInfo.php?workbook=10_05.xlsx&amp;sheet=U0&amp;row=15354&amp;col=7&amp;number=0.0128&amp;sourceID=14","0.0128")</f>
        <v>0.0128</v>
      </c>
    </row>
    <row r="15355" spans="1:7">
      <c r="A15355" s="3"/>
      <c r="B15355" s="3"/>
      <c r="C15355" s="3"/>
      <c r="D15355" s="3"/>
      <c r="E15355" s="3">
        <v>12</v>
      </c>
      <c r="F15355" s="4" t="str">
        <f>HYPERLINK("http://141.218.60.56/~jnz1568/getInfo.php?workbook=10_05.xlsx&amp;sheet=U0&amp;row=15355&amp;col=6&amp;number=4.1&amp;sourceID=14","4.1")</f>
        <v>4.1</v>
      </c>
      <c r="G15355" s="4" t="str">
        <f>HYPERLINK("http://141.218.60.56/~jnz1568/getInfo.php?workbook=10_05.xlsx&amp;sheet=U0&amp;row=15355&amp;col=7&amp;number=0.0131&amp;sourceID=14","0.0131")</f>
        <v>0.0131</v>
      </c>
    </row>
    <row r="15356" spans="1:7">
      <c r="A15356" s="3"/>
      <c r="B15356" s="3"/>
      <c r="C15356" s="3"/>
      <c r="D15356" s="3"/>
      <c r="E15356" s="3">
        <v>13</v>
      </c>
      <c r="F15356" s="4" t="str">
        <f>HYPERLINK("http://141.218.60.56/~jnz1568/getInfo.php?workbook=10_05.xlsx&amp;sheet=U0&amp;row=15356&amp;col=6&amp;number=4.2&amp;sourceID=14","4.2")</f>
        <v>4.2</v>
      </c>
      <c r="G15356" s="4" t="str">
        <f>HYPERLINK("http://141.218.60.56/~jnz1568/getInfo.php?workbook=10_05.xlsx&amp;sheet=U0&amp;row=15356&amp;col=7&amp;number=0.0134&amp;sourceID=14","0.0134")</f>
        <v>0.0134</v>
      </c>
    </row>
    <row r="15357" spans="1:7">
      <c r="A15357" s="3"/>
      <c r="B15357" s="3"/>
      <c r="C15357" s="3"/>
      <c r="D15357" s="3"/>
      <c r="E15357" s="3">
        <v>14</v>
      </c>
      <c r="F15357" s="4" t="str">
        <f>HYPERLINK("http://141.218.60.56/~jnz1568/getInfo.php?workbook=10_05.xlsx&amp;sheet=U0&amp;row=15357&amp;col=6&amp;number=4.3&amp;sourceID=14","4.3")</f>
        <v>4.3</v>
      </c>
      <c r="G15357" s="4" t="str">
        <f>HYPERLINK("http://141.218.60.56/~jnz1568/getInfo.php?workbook=10_05.xlsx&amp;sheet=U0&amp;row=15357&amp;col=7&amp;number=0.0134&amp;sourceID=14","0.0134")</f>
        <v>0.0134</v>
      </c>
    </row>
    <row r="15358" spans="1:7">
      <c r="A15358" s="3"/>
      <c r="B15358" s="3"/>
      <c r="C15358" s="3"/>
      <c r="D15358" s="3"/>
      <c r="E15358" s="3">
        <v>15</v>
      </c>
      <c r="F15358" s="4" t="str">
        <f>HYPERLINK("http://141.218.60.56/~jnz1568/getInfo.php?workbook=10_05.xlsx&amp;sheet=U0&amp;row=15358&amp;col=6&amp;number=4.4&amp;sourceID=14","4.4")</f>
        <v>4.4</v>
      </c>
      <c r="G15358" s="4" t="str">
        <f>HYPERLINK("http://141.218.60.56/~jnz1568/getInfo.php?workbook=10_05.xlsx&amp;sheet=U0&amp;row=15358&amp;col=7&amp;number=0.0131&amp;sourceID=14","0.0131")</f>
        <v>0.0131</v>
      </c>
    </row>
    <row r="15359" spans="1:7">
      <c r="A15359" s="3"/>
      <c r="B15359" s="3"/>
      <c r="C15359" s="3"/>
      <c r="D15359" s="3"/>
      <c r="E15359" s="3">
        <v>16</v>
      </c>
      <c r="F15359" s="4" t="str">
        <f>HYPERLINK("http://141.218.60.56/~jnz1568/getInfo.php?workbook=10_05.xlsx&amp;sheet=U0&amp;row=15359&amp;col=6&amp;number=4.5&amp;sourceID=14","4.5")</f>
        <v>4.5</v>
      </c>
      <c r="G15359" s="4" t="str">
        <f>HYPERLINK("http://141.218.60.56/~jnz1568/getInfo.php?workbook=10_05.xlsx&amp;sheet=U0&amp;row=15359&amp;col=7&amp;number=0.0126&amp;sourceID=14","0.0126")</f>
        <v>0.0126</v>
      </c>
    </row>
    <row r="15360" spans="1:7">
      <c r="A15360" s="3"/>
      <c r="B15360" s="3"/>
      <c r="C15360" s="3"/>
      <c r="D15360" s="3"/>
      <c r="E15360" s="3">
        <v>17</v>
      </c>
      <c r="F15360" s="4" t="str">
        <f>HYPERLINK("http://141.218.60.56/~jnz1568/getInfo.php?workbook=10_05.xlsx&amp;sheet=U0&amp;row=15360&amp;col=6&amp;number=4.6&amp;sourceID=14","4.6")</f>
        <v>4.6</v>
      </c>
      <c r="G15360" s="4" t="str">
        <f>HYPERLINK("http://141.218.60.56/~jnz1568/getInfo.php?workbook=10_05.xlsx&amp;sheet=U0&amp;row=15360&amp;col=7&amp;number=0.012&amp;sourceID=14","0.012")</f>
        <v>0.012</v>
      </c>
    </row>
    <row r="15361" spans="1:7">
      <c r="A15361" s="3"/>
      <c r="B15361" s="3"/>
      <c r="C15361" s="3"/>
      <c r="D15361" s="3"/>
      <c r="E15361" s="3">
        <v>18</v>
      </c>
      <c r="F15361" s="4" t="str">
        <f>HYPERLINK("http://141.218.60.56/~jnz1568/getInfo.php?workbook=10_05.xlsx&amp;sheet=U0&amp;row=15361&amp;col=6&amp;number=4.7&amp;sourceID=14","4.7")</f>
        <v>4.7</v>
      </c>
      <c r="G15361" s="4" t="str">
        <f>HYPERLINK("http://141.218.60.56/~jnz1568/getInfo.php?workbook=10_05.xlsx&amp;sheet=U0&amp;row=15361&amp;col=7&amp;number=0.0113&amp;sourceID=14","0.0113")</f>
        <v>0.0113</v>
      </c>
    </row>
    <row r="15362" spans="1:7">
      <c r="A15362" s="3"/>
      <c r="B15362" s="3"/>
      <c r="C15362" s="3"/>
      <c r="D15362" s="3"/>
      <c r="E15362" s="3">
        <v>19</v>
      </c>
      <c r="F15362" s="4" t="str">
        <f>HYPERLINK("http://141.218.60.56/~jnz1568/getInfo.php?workbook=10_05.xlsx&amp;sheet=U0&amp;row=15362&amp;col=6&amp;number=4.8&amp;sourceID=14","4.8")</f>
        <v>4.8</v>
      </c>
      <c r="G15362" s="4" t="str">
        <f>HYPERLINK("http://141.218.60.56/~jnz1568/getInfo.php?workbook=10_05.xlsx&amp;sheet=U0&amp;row=15362&amp;col=7&amp;number=0.0105&amp;sourceID=14","0.0105")</f>
        <v>0.0105</v>
      </c>
    </row>
    <row r="15363" spans="1:7">
      <c r="A15363" s="3"/>
      <c r="B15363" s="3"/>
      <c r="C15363" s="3"/>
      <c r="D15363" s="3"/>
      <c r="E15363" s="3">
        <v>20</v>
      </c>
      <c r="F15363" s="4" t="str">
        <f>HYPERLINK("http://141.218.60.56/~jnz1568/getInfo.php?workbook=10_05.xlsx&amp;sheet=U0&amp;row=15363&amp;col=6&amp;number=4.9&amp;sourceID=14","4.9")</f>
        <v>4.9</v>
      </c>
      <c r="G15363" s="4" t="str">
        <f>HYPERLINK("http://141.218.60.56/~jnz1568/getInfo.php?workbook=10_05.xlsx&amp;sheet=U0&amp;row=15363&amp;col=7&amp;number=0.00956&amp;sourceID=14","0.00956")</f>
        <v>0.00956</v>
      </c>
    </row>
    <row r="15364" spans="1:7">
      <c r="A15364" s="3">
        <v>10</v>
      </c>
      <c r="B15364" s="3">
        <v>5</v>
      </c>
      <c r="C15364" s="3">
        <v>5</v>
      </c>
      <c r="D15364" s="3">
        <v>64</v>
      </c>
      <c r="E15364" s="3">
        <v>1</v>
      </c>
      <c r="F15364" s="4" t="str">
        <f>HYPERLINK("http://141.218.60.56/~jnz1568/getInfo.php?workbook=10_05.xlsx&amp;sheet=U0&amp;row=15364&amp;col=6&amp;number=3&amp;sourceID=14","3")</f>
        <v>3</v>
      </c>
      <c r="G15364" s="4" t="str">
        <f>HYPERLINK("http://141.218.60.56/~jnz1568/getInfo.php?workbook=10_05.xlsx&amp;sheet=U0&amp;row=15364&amp;col=7&amp;number=0.0052&amp;sourceID=14","0.0052")</f>
        <v>0.0052</v>
      </c>
    </row>
    <row r="15365" spans="1:7">
      <c r="A15365" s="3"/>
      <c r="B15365" s="3"/>
      <c r="C15365" s="3"/>
      <c r="D15365" s="3"/>
      <c r="E15365" s="3">
        <v>2</v>
      </c>
      <c r="F15365" s="4" t="str">
        <f>HYPERLINK("http://141.218.60.56/~jnz1568/getInfo.php?workbook=10_05.xlsx&amp;sheet=U0&amp;row=15365&amp;col=6&amp;number=3.1&amp;sourceID=14","3.1")</f>
        <v>3.1</v>
      </c>
      <c r="G15365" s="4" t="str">
        <f>HYPERLINK("http://141.218.60.56/~jnz1568/getInfo.php?workbook=10_05.xlsx&amp;sheet=U0&amp;row=15365&amp;col=7&amp;number=0.00526&amp;sourceID=14","0.00526")</f>
        <v>0.00526</v>
      </c>
    </row>
    <row r="15366" spans="1:7">
      <c r="A15366" s="3"/>
      <c r="B15366" s="3"/>
      <c r="C15366" s="3"/>
      <c r="D15366" s="3"/>
      <c r="E15366" s="3">
        <v>3</v>
      </c>
      <c r="F15366" s="4" t="str">
        <f>HYPERLINK("http://141.218.60.56/~jnz1568/getInfo.php?workbook=10_05.xlsx&amp;sheet=U0&amp;row=15366&amp;col=6&amp;number=3.2&amp;sourceID=14","3.2")</f>
        <v>3.2</v>
      </c>
      <c r="G15366" s="4" t="str">
        <f>HYPERLINK("http://141.218.60.56/~jnz1568/getInfo.php?workbook=10_05.xlsx&amp;sheet=U0&amp;row=15366&amp;col=7&amp;number=0.00534&amp;sourceID=14","0.00534")</f>
        <v>0.00534</v>
      </c>
    </row>
    <row r="15367" spans="1:7">
      <c r="A15367" s="3"/>
      <c r="B15367" s="3"/>
      <c r="C15367" s="3"/>
      <c r="D15367" s="3"/>
      <c r="E15367" s="3">
        <v>4</v>
      </c>
      <c r="F15367" s="4" t="str">
        <f>HYPERLINK("http://141.218.60.56/~jnz1568/getInfo.php?workbook=10_05.xlsx&amp;sheet=U0&amp;row=15367&amp;col=6&amp;number=3.3&amp;sourceID=14","3.3")</f>
        <v>3.3</v>
      </c>
      <c r="G15367" s="4" t="str">
        <f>HYPERLINK("http://141.218.60.56/~jnz1568/getInfo.php?workbook=10_05.xlsx&amp;sheet=U0&amp;row=15367&amp;col=7&amp;number=0.00543&amp;sourceID=14","0.00543")</f>
        <v>0.00543</v>
      </c>
    </row>
    <row r="15368" spans="1:7">
      <c r="A15368" s="3"/>
      <c r="B15368" s="3"/>
      <c r="C15368" s="3"/>
      <c r="D15368" s="3"/>
      <c r="E15368" s="3">
        <v>5</v>
      </c>
      <c r="F15368" s="4" t="str">
        <f>HYPERLINK("http://141.218.60.56/~jnz1568/getInfo.php?workbook=10_05.xlsx&amp;sheet=U0&amp;row=15368&amp;col=6&amp;number=3.4&amp;sourceID=14","3.4")</f>
        <v>3.4</v>
      </c>
      <c r="G15368" s="4" t="str">
        <f>HYPERLINK("http://141.218.60.56/~jnz1568/getInfo.php?workbook=10_05.xlsx&amp;sheet=U0&amp;row=15368&amp;col=7&amp;number=0.00555&amp;sourceID=14","0.00555")</f>
        <v>0.00555</v>
      </c>
    </row>
    <row r="15369" spans="1:7">
      <c r="A15369" s="3"/>
      <c r="B15369" s="3"/>
      <c r="C15369" s="3"/>
      <c r="D15369" s="3"/>
      <c r="E15369" s="3">
        <v>6</v>
      </c>
      <c r="F15369" s="4" t="str">
        <f>HYPERLINK("http://141.218.60.56/~jnz1568/getInfo.php?workbook=10_05.xlsx&amp;sheet=U0&amp;row=15369&amp;col=6&amp;number=3.5&amp;sourceID=14","3.5")</f>
        <v>3.5</v>
      </c>
      <c r="G15369" s="4" t="str">
        <f>HYPERLINK("http://141.218.60.56/~jnz1568/getInfo.php?workbook=10_05.xlsx&amp;sheet=U0&amp;row=15369&amp;col=7&amp;number=0.00569&amp;sourceID=14","0.00569")</f>
        <v>0.00569</v>
      </c>
    </row>
    <row r="15370" spans="1:7">
      <c r="A15370" s="3"/>
      <c r="B15370" s="3"/>
      <c r="C15370" s="3"/>
      <c r="D15370" s="3"/>
      <c r="E15370" s="3">
        <v>7</v>
      </c>
      <c r="F15370" s="4" t="str">
        <f>HYPERLINK("http://141.218.60.56/~jnz1568/getInfo.php?workbook=10_05.xlsx&amp;sheet=U0&amp;row=15370&amp;col=6&amp;number=3.6&amp;sourceID=14","3.6")</f>
        <v>3.6</v>
      </c>
      <c r="G15370" s="4" t="str">
        <f>HYPERLINK("http://141.218.60.56/~jnz1568/getInfo.php?workbook=10_05.xlsx&amp;sheet=U0&amp;row=15370&amp;col=7&amp;number=0.00586&amp;sourceID=14","0.00586")</f>
        <v>0.00586</v>
      </c>
    </row>
    <row r="15371" spans="1:7">
      <c r="A15371" s="3"/>
      <c r="B15371" s="3"/>
      <c r="C15371" s="3"/>
      <c r="D15371" s="3"/>
      <c r="E15371" s="3">
        <v>8</v>
      </c>
      <c r="F15371" s="4" t="str">
        <f>HYPERLINK("http://141.218.60.56/~jnz1568/getInfo.php?workbook=10_05.xlsx&amp;sheet=U0&amp;row=15371&amp;col=6&amp;number=3.7&amp;sourceID=14","3.7")</f>
        <v>3.7</v>
      </c>
      <c r="G15371" s="4" t="str">
        <f>HYPERLINK("http://141.218.60.56/~jnz1568/getInfo.php?workbook=10_05.xlsx&amp;sheet=U0&amp;row=15371&amp;col=7&amp;number=0.00606&amp;sourceID=14","0.00606")</f>
        <v>0.00606</v>
      </c>
    </row>
    <row r="15372" spans="1:7">
      <c r="A15372" s="3"/>
      <c r="B15372" s="3"/>
      <c r="C15372" s="3"/>
      <c r="D15372" s="3"/>
      <c r="E15372" s="3">
        <v>9</v>
      </c>
      <c r="F15372" s="4" t="str">
        <f>HYPERLINK("http://141.218.60.56/~jnz1568/getInfo.php?workbook=10_05.xlsx&amp;sheet=U0&amp;row=15372&amp;col=6&amp;number=3.8&amp;sourceID=14","3.8")</f>
        <v>3.8</v>
      </c>
      <c r="G15372" s="4" t="str">
        <f>HYPERLINK("http://141.218.60.56/~jnz1568/getInfo.php?workbook=10_05.xlsx&amp;sheet=U0&amp;row=15372&amp;col=7&amp;number=0.00629&amp;sourceID=14","0.00629")</f>
        <v>0.00629</v>
      </c>
    </row>
    <row r="15373" spans="1:7">
      <c r="A15373" s="3"/>
      <c r="B15373" s="3"/>
      <c r="C15373" s="3"/>
      <c r="D15373" s="3"/>
      <c r="E15373" s="3">
        <v>10</v>
      </c>
      <c r="F15373" s="4" t="str">
        <f>HYPERLINK("http://141.218.60.56/~jnz1568/getInfo.php?workbook=10_05.xlsx&amp;sheet=U0&amp;row=15373&amp;col=6&amp;number=3.9&amp;sourceID=14","3.9")</f>
        <v>3.9</v>
      </c>
      <c r="G15373" s="4" t="str">
        <f>HYPERLINK("http://141.218.60.56/~jnz1568/getInfo.php?workbook=10_05.xlsx&amp;sheet=U0&amp;row=15373&amp;col=7&amp;number=0.00653&amp;sourceID=14","0.00653")</f>
        <v>0.00653</v>
      </c>
    </row>
    <row r="15374" spans="1:7">
      <c r="A15374" s="3"/>
      <c r="B15374" s="3"/>
      <c r="C15374" s="3"/>
      <c r="D15374" s="3"/>
      <c r="E15374" s="3">
        <v>11</v>
      </c>
      <c r="F15374" s="4" t="str">
        <f>HYPERLINK("http://141.218.60.56/~jnz1568/getInfo.php?workbook=10_05.xlsx&amp;sheet=U0&amp;row=15374&amp;col=6&amp;number=4&amp;sourceID=14","4")</f>
        <v>4</v>
      </c>
      <c r="G15374" s="4" t="str">
        <f>HYPERLINK("http://141.218.60.56/~jnz1568/getInfo.php?workbook=10_05.xlsx&amp;sheet=U0&amp;row=15374&amp;col=7&amp;number=0.00675&amp;sourceID=14","0.00675")</f>
        <v>0.00675</v>
      </c>
    </row>
    <row r="15375" spans="1:7">
      <c r="A15375" s="3"/>
      <c r="B15375" s="3"/>
      <c r="C15375" s="3"/>
      <c r="D15375" s="3"/>
      <c r="E15375" s="3">
        <v>12</v>
      </c>
      <c r="F15375" s="4" t="str">
        <f>HYPERLINK("http://141.218.60.56/~jnz1568/getInfo.php?workbook=10_05.xlsx&amp;sheet=U0&amp;row=15375&amp;col=6&amp;number=4.1&amp;sourceID=14","4.1")</f>
        <v>4.1</v>
      </c>
      <c r="G15375" s="4" t="str">
        <f>HYPERLINK("http://141.218.60.56/~jnz1568/getInfo.php?workbook=10_05.xlsx&amp;sheet=U0&amp;row=15375&amp;col=7&amp;number=0.0069&amp;sourceID=14","0.0069")</f>
        <v>0.0069</v>
      </c>
    </row>
    <row r="15376" spans="1:7">
      <c r="A15376" s="3"/>
      <c r="B15376" s="3"/>
      <c r="C15376" s="3"/>
      <c r="D15376" s="3"/>
      <c r="E15376" s="3">
        <v>13</v>
      </c>
      <c r="F15376" s="4" t="str">
        <f>HYPERLINK("http://141.218.60.56/~jnz1568/getInfo.php?workbook=10_05.xlsx&amp;sheet=U0&amp;row=15376&amp;col=6&amp;number=4.2&amp;sourceID=14","4.2")</f>
        <v>4.2</v>
      </c>
      <c r="G15376" s="4" t="str">
        <f>HYPERLINK("http://141.218.60.56/~jnz1568/getInfo.php?workbook=10_05.xlsx&amp;sheet=U0&amp;row=15376&amp;col=7&amp;number=0.00692&amp;sourceID=14","0.00692")</f>
        <v>0.00692</v>
      </c>
    </row>
    <row r="15377" spans="1:7">
      <c r="A15377" s="3"/>
      <c r="B15377" s="3"/>
      <c r="C15377" s="3"/>
      <c r="D15377" s="3"/>
      <c r="E15377" s="3">
        <v>14</v>
      </c>
      <c r="F15377" s="4" t="str">
        <f>HYPERLINK("http://141.218.60.56/~jnz1568/getInfo.php?workbook=10_05.xlsx&amp;sheet=U0&amp;row=15377&amp;col=6&amp;number=4.3&amp;sourceID=14","4.3")</f>
        <v>4.3</v>
      </c>
      <c r="G15377" s="4" t="str">
        <f>HYPERLINK("http://141.218.60.56/~jnz1568/getInfo.php?workbook=10_05.xlsx&amp;sheet=U0&amp;row=15377&amp;col=7&amp;number=0.00681&amp;sourceID=14","0.00681")</f>
        <v>0.00681</v>
      </c>
    </row>
    <row r="15378" spans="1:7">
      <c r="A15378" s="3"/>
      <c r="B15378" s="3"/>
      <c r="C15378" s="3"/>
      <c r="D15378" s="3"/>
      <c r="E15378" s="3">
        <v>15</v>
      </c>
      <c r="F15378" s="4" t="str">
        <f>HYPERLINK("http://141.218.60.56/~jnz1568/getInfo.php?workbook=10_05.xlsx&amp;sheet=U0&amp;row=15378&amp;col=6&amp;number=4.4&amp;sourceID=14","4.4")</f>
        <v>4.4</v>
      </c>
      <c r="G15378" s="4" t="str">
        <f>HYPERLINK("http://141.218.60.56/~jnz1568/getInfo.php?workbook=10_05.xlsx&amp;sheet=U0&amp;row=15378&amp;col=7&amp;number=0.00657&amp;sourceID=14","0.00657")</f>
        <v>0.00657</v>
      </c>
    </row>
    <row r="15379" spans="1:7">
      <c r="A15379" s="3"/>
      <c r="B15379" s="3"/>
      <c r="C15379" s="3"/>
      <c r="D15379" s="3"/>
      <c r="E15379" s="3">
        <v>16</v>
      </c>
      <c r="F15379" s="4" t="str">
        <f>HYPERLINK("http://141.218.60.56/~jnz1568/getInfo.php?workbook=10_05.xlsx&amp;sheet=U0&amp;row=15379&amp;col=6&amp;number=4.5&amp;sourceID=14","4.5")</f>
        <v>4.5</v>
      </c>
      <c r="G15379" s="4" t="str">
        <f>HYPERLINK("http://141.218.60.56/~jnz1568/getInfo.php?workbook=10_05.xlsx&amp;sheet=U0&amp;row=15379&amp;col=7&amp;number=0.0063&amp;sourceID=14","0.0063")</f>
        <v>0.0063</v>
      </c>
    </row>
    <row r="15380" spans="1:7">
      <c r="A15380" s="3"/>
      <c r="B15380" s="3"/>
      <c r="C15380" s="3"/>
      <c r="D15380" s="3"/>
      <c r="E15380" s="3">
        <v>17</v>
      </c>
      <c r="F15380" s="4" t="str">
        <f>HYPERLINK("http://141.218.60.56/~jnz1568/getInfo.php?workbook=10_05.xlsx&amp;sheet=U0&amp;row=15380&amp;col=6&amp;number=4.6&amp;sourceID=14","4.6")</f>
        <v>4.6</v>
      </c>
      <c r="G15380" s="4" t="str">
        <f>HYPERLINK("http://141.218.60.56/~jnz1568/getInfo.php?workbook=10_05.xlsx&amp;sheet=U0&amp;row=15380&amp;col=7&amp;number=0.00599&amp;sourceID=14","0.00599")</f>
        <v>0.00599</v>
      </c>
    </row>
    <row r="15381" spans="1:7">
      <c r="A15381" s="3"/>
      <c r="B15381" s="3"/>
      <c r="C15381" s="3"/>
      <c r="D15381" s="3"/>
      <c r="E15381" s="3">
        <v>18</v>
      </c>
      <c r="F15381" s="4" t="str">
        <f>HYPERLINK("http://141.218.60.56/~jnz1568/getInfo.php?workbook=10_05.xlsx&amp;sheet=U0&amp;row=15381&amp;col=6&amp;number=4.7&amp;sourceID=14","4.7")</f>
        <v>4.7</v>
      </c>
      <c r="G15381" s="4" t="str">
        <f>HYPERLINK("http://141.218.60.56/~jnz1568/getInfo.php?workbook=10_05.xlsx&amp;sheet=U0&amp;row=15381&amp;col=7&amp;number=0.00561&amp;sourceID=14","0.00561")</f>
        <v>0.00561</v>
      </c>
    </row>
    <row r="15382" spans="1:7">
      <c r="A15382" s="3"/>
      <c r="B15382" s="3"/>
      <c r="C15382" s="3"/>
      <c r="D15382" s="3"/>
      <c r="E15382" s="3">
        <v>19</v>
      </c>
      <c r="F15382" s="4" t="str">
        <f>HYPERLINK("http://141.218.60.56/~jnz1568/getInfo.php?workbook=10_05.xlsx&amp;sheet=U0&amp;row=15382&amp;col=6&amp;number=4.8&amp;sourceID=14","4.8")</f>
        <v>4.8</v>
      </c>
      <c r="G15382" s="4" t="str">
        <f>HYPERLINK("http://141.218.60.56/~jnz1568/getInfo.php?workbook=10_05.xlsx&amp;sheet=U0&amp;row=15382&amp;col=7&amp;number=0.00513&amp;sourceID=14","0.00513")</f>
        <v>0.00513</v>
      </c>
    </row>
    <row r="15383" spans="1:7">
      <c r="A15383" s="3"/>
      <c r="B15383" s="3"/>
      <c r="C15383" s="3"/>
      <c r="D15383" s="3"/>
      <c r="E15383" s="3">
        <v>20</v>
      </c>
      <c r="F15383" s="4" t="str">
        <f>HYPERLINK("http://141.218.60.56/~jnz1568/getInfo.php?workbook=10_05.xlsx&amp;sheet=U0&amp;row=15383&amp;col=6&amp;number=4.9&amp;sourceID=14","4.9")</f>
        <v>4.9</v>
      </c>
      <c r="G15383" s="4" t="str">
        <f>HYPERLINK("http://141.218.60.56/~jnz1568/getInfo.php?workbook=10_05.xlsx&amp;sheet=U0&amp;row=15383&amp;col=7&amp;number=0.00462&amp;sourceID=14","0.00462")</f>
        <v>0.00462</v>
      </c>
    </row>
    <row r="15384" spans="1:7">
      <c r="A15384" s="3">
        <v>10</v>
      </c>
      <c r="B15384" s="3">
        <v>5</v>
      </c>
      <c r="C15384" s="3">
        <v>5</v>
      </c>
      <c r="D15384" s="3">
        <v>65</v>
      </c>
      <c r="E15384" s="3">
        <v>1</v>
      </c>
      <c r="F15384" s="4" t="str">
        <f>HYPERLINK("http://141.218.60.56/~jnz1568/getInfo.php?workbook=10_05.xlsx&amp;sheet=U0&amp;row=15384&amp;col=6&amp;number=3&amp;sourceID=14","3")</f>
        <v>3</v>
      </c>
      <c r="G15384" s="4" t="str">
        <f>HYPERLINK("http://141.218.60.56/~jnz1568/getInfo.php?workbook=10_05.xlsx&amp;sheet=U0&amp;row=15384&amp;col=7&amp;number=0.0137&amp;sourceID=14","0.0137")</f>
        <v>0.0137</v>
      </c>
    </row>
    <row r="15385" spans="1:7">
      <c r="A15385" s="3"/>
      <c r="B15385" s="3"/>
      <c r="C15385" s="3"/>
      <c r="D15385" s="3"/>
      <c r="E15385" s="3">
        <v>2</v>
      </c>
      <c r="F15385" s="4" t="str">
        <f>HYPERLINK("http://141.218.60.56/~jnz1568/getInfo.php?workbook=10_05.xlsx&amp;sheet=U0&amp;row=15385&amp;col=6&amp;number=3.1&amp;sourceID=14","3.1")</f>
        <v>3.1</v>
      </c>
      <c r="G15385" s="4" t="str">
        <f>HYPERLINK("http://141.218.60.56/~jnz1568/getInfo.php?workbook=10_05.xlsx&amp;sheet=U0&amp;row=15385&amp;col=7&amp;number=0.0138&amp;sourceID=14","0.0138")</f>
        <v>0.0138</v>
      </c>
    </row>
    <row r="15386" spans="1:7">
      <c r="A15386" s="3"/>
      <c r="B15386" s="3"/>
      <c r="C15386" s="3"/>
      <c r="D15386" s="3"/>
      <c r="E15386" s="3">
        <v>3</v>
      </c>
      <c r="F15386" s="4" t="str">
        <f>HYPERLINK("http://141.218.60.56/~jnz1568/getInfo.php?workbook=10_05.xlsx&amp;sheet=U0&amp;row=15386&amp;col=6&amp;number=3.2&amp;sourceID=14","3.2")</f>
        <v>3.2</v>
      </c>
      <c r="G15386" s="4" t="str">
        <f>HYPERLINK("http://141.218.60.56/~jnz1568/getInfo.php?workbook=10_05.xlsx&amp;sheet=U0&amp;row=15386&amp;col=7&amp;number=0.0139&amp;sourceID=14","0.0139")</f>
        <v>0.0139</v>
      </c>
    </row>
    <row r="15387" spans="1:7">
      <c r="A15387" s="3"/>
      <c r="B15387" s="3"/>
      <c r="C15387" s="3"/>
      <c r="D15387" s="3"/>
      <c r="E15387" s="3">
        <v>4</v>
      </c>
      <c r="F15387" s="4" t="str">
        <f>HYPERLINK("http://141.218.60.56/~jnz1568/getInfo.php?workbook=10_05.xlsx&amp;sheet=U0&amp;row=15387&amp;col=6&amp;number=3.3&amp;sourceID=14","3.3")</f>
        <v>3.3</v>
      </c>
      <c r="G15387" s="4" t="str">
        <f>HYPERLINK("http://141.218.60.56/~jnz1568/getInfo.php?workbook=10_05.xlsx&amp;sheet=U0&amp;row=15387&amp;col=7&amp;number=0.014&amp;sourceID=14","0.014")</f>
        <v>0.014</v>
      </c>
    </row>
    <row r="15388" spans="1:7">
      <c r="A15388" s="3"/>
      <c r="B15388" s="3"/>
      <c r="C15388" s="3"/>
      <c r="D15388" s="3"/>
      <c r="E15388" s="3">
        <v>5</v>
      </c>
      <c r="F15388" s="4" t="str">
        <f>HYPERLINK("http://141.218.60.56/~jnz1568/getInfo.php?workbook=10_05.xlsx&amp;sheet=U0&amp;row=15388&amp;col=6&amp;number=3.4&amp;sourceID=14","3.4")</f>
        <v>3.4</v>
      </c>
      <c r="G15388" s="4" t="str">
        <f>HYPERLINK("http://141.218.60.56/~jnz1568/getInfo.php?workbook=10_05.xlsx&amp;sheet=U0&amp;row=15388&amp;col=7&amp;number=0.0142&amp;sourceID=14","0.0142")</f>
        <v>0.0142</v>
      </c>
    </row>
    <row r="15389" spans="1:7">
      <c r="A15389" s="3"/>
      <c r="B15389" s="3"/>
      <c r="C15389" s="3"/>
      <c r="D15389" s="3"/>
      <c r="E15389" s="3">
        <v>6</v>
      </c>
      <c r="F15389" s="4" t="str">
        <f>HYPERLINK("http://141.218.60.56/~jnz1568/getInfo.php?workbook=10_05.xlsx&amp;sheet=U0&amp;row=15389&amp;col=6&amp;number=3.5&amp;sourceID=14","3.5")</f>
        <v>3.5</v>
      </c>
      <c r="G15389" s="4" t="str">
        <f>HYPERLINK("http://141.218.60.56/~jnz1568/getInfo.php?workbook=10_05.xlsx&amp;sheet=U0&amp;row=15389&amp;col=7&amp;number=0.0144&amp;sourceID=14","0.0144")</f>
        <v>0.0144</v>
      </c>
    </row>
    <row r="15390" spans="1:7">
      <c r="A15390" s="3"/>
      <c r="B15390" s="3"/>
      <c r="C15390" s="3"/>
      <c r="D15390" s="3"/>
      <c r="E15390" s="3">
        <v>7</v>
      </c>
      <c r="F15390" s="4" t="str">
        <f>HYPERLINK("http://141.218.60.56/~jnz1568/getInfo.php?workbook=10_05.xlsx&amp;sheet=U0&amp;row=15390&amp;col=6&amp;number=3.6&amp;sourceID=14","3.6")</f>
        <v>3.6</v>
      </c>
      <c r="G15390" s="4" t="str">
        <f>HYPERLINK("http://141.218.60.56/~jnz1568/getInfo.php?workbook=10_05.xlsx&amp;sheet=U0&amp;row=15390&amp;col=7&amp;number=0.0147&amp;sourceID=14","0.0147")</f>
        <v>0.0147</v>
      </c>
    </row>
    <row r="15391" spans="1:7">
      <c r="A15391" s="3"/>
      <c r="B15391" s="3"/>
      <c r="C15391" s="3"/>
      <c r="D15391" s="3"/>
      <c r="E15391" s="3">
        <v>8</v>
      </c>
      <c r="F15391" s="4" t="str">
        <f>HYPERLINK("http://141.218.60.56/~jnz1568/getInfo.php?workbook=10_05.xlsx&amp;sheet=U0&amp;row=15391&amp;col=6&amp;number=3.7&amp;sourceID=14","3.7")</f>
        <v>3.7</v>
      </c>
      <c r="G15391" s="4" t="str">
        <f>HYPERLINK("http://141.218.60.56/~jnz1568/getInfo.php?workbook=10_05.xlsx&amp;sheet=U0&amp;row=15391&amp;col=7&amp;number=0.015&amp;sourceID=14","0.015")</f>
        <v>0.015</v>
      </c>
    </row>
    <row r="15392" spans="1:7">
      <c r="A15392" s="3"/>
      <c r="B15392" s="3"/>
      <c r="C15392" s="3"/>
      <c r="D15392" s="3"/>
      <c r="E15392" s="3">
        <v>9</v>
      </c>
      <c r="F15392" s="4" t="str">
        <f>HYPERLINK("http://141.218.60.56/~jnz1568/getInfo.php?workbook=10_05.xlsx&amp;sheet=U0&amp;row=15392&amp;col=6&amp;number=3.8&amp;sourceID=14","3.8")</f>
        <v>3.8</v>
      </c>
      <c r="G15392" s="4" t="str">
        <f>HYPERLINK("http://141.218.60.56/~jnz1568/getInfo.php?workbook=10_05.xlsx&amp;sheet=U0&amp;row=15392&amp;col=7&amp;number=0.0154&amp;sourceID=14","0.0154")</f>
        <v>0.0154</v>
      </c>
    </row>
    <row r="15393" spans="1:7">
      <c r="A15393" s="3"/>
      <c r="B15393" s="3"/>
      <c r="C15393" s="3"/>
      <c r="D15393" s="3"/>
      <c r="E15393" s="3">
        <v>10</v>
      </c>
      <c r="F15393" s="4" t="str">
        <f>HYPERLINK("http://141.218.60.56/~jnz1568/getInfo.php?workbook=10_05.xlsx&amp;sheet=U0&amp;row=15393&amp;col=6&amp;number=3.9&amp;sourceID=14","3.9")</f>
        <v>3.9</v>
      </c>
      <c r="G15393" s="4" t="str">
        <f>HYPERLINK("http://141.218.60.56/~jnz1568/getInfo.php?workbook=10_05.xlsx&amp;sheet=U0&amp;row=15393&amp;col=7&amp;number=0.0158&amp;sourceID=14","0.0158")</f>
        <v>0.0158</v>
      </c>
    </row>
    <row r="15394" spans="1:7">
      <c r="A15394" s="3"/>
      <c r="B15394" s="3"/>
      <c r="C15394" s="3"/>
      <c r="D15394" s="3"/>
      <c r="E15394" s="3">
        <v>11</v>
      </c>
      <c r="F15394" s="4" t="str">
        <f>HYPERLINK("http://141.218.60.56/~jnz1568/getInfo.php?workbook=10_05.xlsx&amp;sheet=U0&amp;row=15394&amp;col=6&amp;number=4&amp;sourceID=14","4")</f>
        <v>4</v>
      </c>
      <c r="G15394" s="4" t="str">
        <f>HYPERLINK("http://141.218.60.56/~jnz1568/getInfo.php?workbook=10_05.xlsx&amp;sheet=U0&amp;row=15394&amp;col=7&amp;number=0.0162&amp;sourceID=14","0.0162")</f>
        <v>0.0162</v>
      </c>
    </row>
    <row r="15395" spans="1:7">
      <c r="A15395" s="3"/>
      <c r="B15395" s="3"/>
      <c r="C15395" s="3"/>
      <c r="D15395" s="3"/>
      <c r="E15395" s="3">
        <v>12</v>
      </c>
      <c r="F15395" s="4" t="str">
        <f>HYPERLINK("http://141.218.60.56/~jnz1568/getInfo.php?workbook=10_05.xlsx&amp;sheet=U0&amp;row=15395&amp;col=6&amp;number=4.1&amp;sourceID=14","4.1")</f>
        <v>4.1</v>
      </c>
      <c r="G15395" s="4" t="str">
        <f>HYPERLINK("http://141.218.60.56/~jnz1568/getInfo.php?workbook=10_05.xlsx&amp;sheet=U0&amp;row=15395&amp;col=7&amp;number=0.0166&amp;sourceID=14","0.0166")</f>
        <v>0.0166</v>
      </c>
    </row>
    <row r="15396" spans="1:7">
      <c r="A15396" s="3"/>
      <c r="B15396" s="3"/>
      <c r="C15396" s="3"/>
      <c r="D15396" s="3"/>
      <c r="E15396" s="3">
        <v>13</v>
      </c>
      <c r="F15396" s="4" t="str">
        <f>HYPERLINK("http://141.218.60.56/~jnz1568/getInfo.php?workbook=10_05.xlsx&amp;sheet=U0&amp;row=15396&amp;col=6&amp;number=4.2&amp;sourceID=14","4.2")</f>
        <v>4.2</v>
      </c>
      <c r="G15396" s="4" t="str">
        <f>HYPERLINK("http://141.218.60.56/~jnz1568/getInfo.php?workbook=10_05.xlsx&amp;sheet=U0&amp;row=15396&amp;col=7&amp;number=0.0168&amp;sourceID=14","0.0168")</f>
        <v>0.0168</v>
      </c>
    </row>
    <row r="15397" spans="1:7">
      <c r="A15397" s="3"/>
      <c r="B15397" s="3"/>
      <c r="C15397" s="3"/>
      <c r="D15397" s="3"/>
      <c r="E15397" s="3">
        <v>14</v>
      </c>
      <c r="F15397" s="4" t="str">
        <f>HYPERLINK("http://141.218.60.56/~jnz1568/getInfo.php?workbook=10_05.xlsx&amp;sheet=U0&amp;row=15397&amp;col=6&amp;number=4.3&amp;sourceID=14","4.3")</f>
        <v>4.3</v>
      </c>
      <c r="G15397" s="4" t="str">
        <f>HYPERLINK("http://141.218.60.56/~jnz1568/getInfo.php?workbook=10_05.xlsx&amp;sheet=U0&amp;row=15397&amp;col=7&amp;number=0.0168&amp;sourceID=14","0.0168")</f>
        <v>0.0168</v>
      </c>
    </row>
    <row r="15398" spans="1:7">
      <c r="A15398" s="3"/>
      <c r="B15398" s="3"/>
      <c r="C15398" s="3"/>
      <c r="D15398" s="3"/>
      <c r="E15398" s="3">
        <v>15</v>
      </c>
      <c r="F15398" s="4" t="str">
        <f>HYPERLINK("http://141.218.60.56/~jnz1568/getInfo.php?workbook=10_05.xlsx&amp;sheet=U0&amp;row=15398&amp;col=6&amp;number=4.4&amp;sourceID=14","4.4")</f>
        <v>4.4</v>
      </c>
      <c r="G15398" s="4" t="str">
        <f>HYPERLINK("http://141.218.60.56/~jnz1568/getInfo.php?workbook=10_05.xlsx&amp;sheet=U0&amp;row=15398&amp;col=7&amp;number=0.0163&amp;sourceID=14","0.0163")</f>
        <v>0.0163</v>
      </c>
    </row>
    <row r="15399" spans="1:7">
      <c r="A15399" s="3"/>
      <c r="B15399" s="3"/>
      <c r="C15399" s="3"/>
      <c r="D15399" s="3"/>
      <c r="E15399" s="3">
        <v>16</v>
      </c>
      <c r="F15399" s="4" t="str">
        <f>HYPERLINK("http://141.218.60.56/~jnz1568/getInfo.php?workbook=10_05.xlsx&amp;sheet=U0&amp;row=15399&amp;col=6&amp;number=4.5&amp;sourceID=14","4.5")</f>
        <v>4.5</v>
      </c>
      <c r="G15399" s="4" t="str">
        <f>HYPERLINK("http://141.218.60.56/~jnz1568/getInfo.php?workbook=10_05.xlsx&amp;sheet=U0&amp;row=15399&amp;col=7&amp;number=0.0155&amp;sourceID=14","0.0155")</f>
        <v>0.0155</v>
      </c>
    </row>
    <row r="15400" spans="1:7">
      <c r="A15400" s="3"/>
      <c r="B15400" s="3"/>
      <c r="C15400" s="3"/>
      <c r="D15400" s="3"/>
      <c r="E15400" s="3">
        <v>17</v>
      </c>
      <c r="F15400" s="4" t="str">
        <f>HYPERLINK("http://141.218.60.56/~jnz1568/getInfo.php?workbook=10_05.xlsx&amp;sheet=U0&amp;row=15400&amp;col=6&amp;number=4.6&amp;sourceID=14","4.6")</f>
        <v>4.6</v>
      </c>
      <c r="G15400" s="4" t="str">
        <f>HYPERLINK("http://141.218.60.56/~jnz1568/getInfo.php?workbook=10_05.xlsx&amp;sheet=U0&amp;row=15400&amp;col=7&amp;number=0.0146&amp;sourceID=14","0.0146")</f>
        <v>0.0146</v>
      </c>
    </row>
    <row r="15401" spans="1:7">
      <c r="A15401" s="3"/>
      <c r="B15401" s="3"/>
      <c r="C15401" s="3"/>
      <c r="D15401" s="3"/>
      <c r="E15401" s="3">
        <v>18</v>
      </c>
      <c r="F15401" s="4" t="str">
        <f>HYPERLINK("http://141.218.60.56/~jnz1568/getInfo.php?workbook=10_05.xlsx&amp;sheet=U0&amp;row=15401&amp;col=6&amp;number=4.7&amp;sourceID=14","4.7")</f>
        <v>4.7</v>
      </c>
      <c r="G15401" s="4" t="str">
        <f>HYPERLINK("http://141.218.60.56/~jnz1568/getInfo.php?workbook=10_05.xlsx&amp;sheet=U0&amp;row=15401&amp;col=7&amp;number=0.0137&amp;sourceID=14","0.0137")</f>
        <v>0.0137</v>
      </c>
    </row>
    <row r="15402" spans="1:7">
      <c r="A15402" s="3"/>
      <c r="B15402" s="3"/>
      <c r="C15402" s="3"/>
      <c r="D15402" s="3"/>
      <c r="E15402" s="3">
        <v>19</v>
      </c>
      <c r="F15402" s="4" t="str">
        <f>HYPERLINK("http://141.218.60.56/~jnz1568/getInfo.php?workbook=10_05.xlsx&amp;sheet=U0&amp;row=15402&amp;col=6&amp;number=4.8&amp;sourceID=14","4.8")</f>
        <v>4.8</v>
      </c>
      <c r="G15402" s="4" t="str">
        <f>HYPERLINK("http://141.218.60.56/~jnz1568/getInfo.php?workbook=10_05.xlsx&amp;sheet=U0&amp;row=15402&amp;col=7&amp;number=0.0127&amp;sourceID=14","0.0127")</f>
        <v>0.0127</v>
      </c>
    </row>
    <row r="15403" spans="1:7">
      <c r="A15403" s="3"/>
      <c r="B15403" s="3"/>
      <c r="C15403" s="3"/>
      <c r="D15403" s="3"/>
      <c r="E15403" s="3">
        <v>20</v>
      </c>
      <c r="F15403" s="4" t="str">
        <f>HYPERLINK("http://141.218.60.56/~jnz1568/getInfo.php?workbook=10_05.xlsx&amp;sheet=U0&amp;row=15403&amp;col=6&amp;number=4.9&amp;sourceID=14","4.9")</f>
        <v>4.9</v>
      </c>
      <c r="G15403" s="4" t="str">
        <f>HYPERLINK("http://141.218.60.56/~jnz1568/getInfo.php?workbook=10_05.xlsx&amp;sheet=U0&amp;row=15403&amp;col=7&amp;number=0.0115&amp;sourceID=14","0.0115")</f>
        <v>0.0115</v>
      </c>
    </row>
    <row r="15404" spans="1:7">
      <c r="A15404" s="3">
        <v>10</v>
      </c>
      <c r="B15404" s="3">
        <v>5</v>
      </c>
      <c r="C15404" s="3">
        <v>5</v>
      </c>
      <c r="D15404" s="3">
        <v>66</v>
      </c>
      <c r="E15404" s="3">
        <v>1</v>
      </c>
      <c r="F15404" s="4" t="str">
        <f>HYPERLINK("http://141.218.60.56/~jnz1568/getInfo.php?workbook=10_05.xlsx&amp;sheet=U0&amp;row=15404&amp;col=6&amp;number=3&amp;sourceID=14","3")</f>
        <v>3</v>
      </c>
      <c r="G15404" s="4" t="str">
        <f>HYPERLINK("http://141.218.60.56/~jnz1568/getInfo.php?workbook=10_05.xlsx&amp;sheet=U0&amp;row=15404&amp;col=7&amp;number=0.0159&amp;sourceID=14","0.0159")</f>
        <v>0.0159</v>
      </c>
    </row>
    <row r="15405" spans="1:7">
      <c r="A15405" s="3"/>
      <c r="B15405" s="3"/>
      <c r="C15405" s="3"/>
      <c r="D15405" s="3"/>
      <c r="E15405" s="3">
        <v>2</v>
      </c>
      <c r="F15405" s="4" t="str">
        <f>HYPERLINK("http://141.218.60.56/~jnz1568/getInfo.php?workbook=10_05.xlsx&amp;sheet=U0&amp;row=15405&amp;col=6&amp;number=3.1&amp;sourceID=14","3.1")</f>
        <v>3.1</v>
      </c>
      <c r="G15405" s="4" t="str">
        <f>HYPERLINK("http://141.218.60.56/~jnz1568/getInfo.php?workbook=10_05.xlsx&amp;sheet=U0&amp;row=15405&amp;col=7&amp;number=0.0156&amp;sourceID=14","0.0156")</f>
        <v>0.0156</v>
      </c>
    </row>
    <row r="15406" spans="1:7">
      <c r="A15406" s="3"/>
      <c r="B15406" s="3"/>
      <c r="C15406" s="3"/>
      <c r="D15406" s="3"/>
      <c r="E15406" s="3">
        <v>3</v>
      </c>
      <c r="F15406" s="4" t="str">
        <f>HYPERLINK("http://141.218.60.56/~jnz1568/getInfo.php?workbook=10_05.xlsx&amp;sheet=U0&amp;row=15406&amp;col=6&amp;number=3.2&amp;sourceID=14","3.2")</f>
        <v>3.2</v>
      </c>
      <c r="G15406" s="4" t="str">
        <f>HYPERLINK("http://141.218.60.56/~jnz1568/getInfo.php?workbook=10_05.xlsx&amp;sheet=U0&amp;row=15406&amp;col=7&amp;number=0.0151&amp;sourceID=14","0.0151")</f>
        <v>0.0151</v>
      </c>
    </row>
    <row r="15407" spans="1:7">
      <c r="A15407" s="3"/>
      <c r="B15407" s="3"/>
      <c r="C15407" s="3"/>
      <c r="D15407" s="3"/>
      <c r="E15407" s="3">
        <v>4</v>
      </c>
      <c r="F15407" s="4" t="str">
        <f>HYPERLINK("http://141.218.60.56/~jnz1568/getInfo.php?workbook=10_05.xlsx&amp;sheet=U0&amp;row=15407&amp;col=6&amp;number=3.3&amp;sourceID=14","3.3")</f>
        <v>3.3</v>
      </c>
      <c r="G15407" s="4" t="str">
        <f>HYPERLINK("http://141.218.60.56/~jnz1568/getInfo.php?workbook=10_05.xlsx&amp;sheet=U0&amp;row=15407&amp;col=7&amp;number=0.0147&amp;sourceID=14","0.0147")</f>
        <v>0.0147</v>
      </c>
    </row>
    <row r="15408" spans="1:7">
      <c r="A15408" s="3"/>
      <c r="B15408" s="3"/>
      <c r="C15408" s="3"/>
      <c r="D15408" s="3"/>
      <c r="E15408" s="3">
        <v>5</v>
      </c>
      <c r="F15408" s="4" t="str">
        <f>HYPERLINK("http://141.218.60.56/~jnz1568/getInfo.php?workbook=10_05.xlsx&amp;sheet=U0&amp;row=15408&amp;col=6&amp;number=3.4&amp;sourceID=14","3.4")</f>
        <v>3.4</v>
      </c>
      <c r="G15408" s="4" t="str">
        <f>HYPERLINK("http://141.218.60.56/~jnz1568/getInfo.php?workbook=10_05.xlsx&amp;sheet=U0&amp;row=15408&amp;col=7&amp;number=0.0141&amp;sourceID=14","0.0141")</f>
        <v>0.0141</v>
      </c>
    </row>
    <row r="15409" spans="1:7">
      <c r="A15409" s="3"/>
      <c r="B15409" s="3"/>
      <c r="C15409" s="3"/>
      <c r="D15409" s="3"/>
      <c r="E15409" s="3">
        <v>6</v>
      </c>
      <c r="F15409" s="4" t="str">
        <f>HYPERLINK("http://141.218.60.56/~jnz1568/getInfo.php?workbook=10_05.xlsx&amp;sheet=U0&amp;row=15409&amp;col=6&amp;number=3.5&amp;sourceID=14","3.5")</f>
        <v>3.5</v>
      </c>
      <c r="G15409" s="4" t="str">
        <f>HYPERLINK("http://141.218.60.56/~jnz1568/getInfo.php?workbook=10_05.xlsx&amp;sheet=U0&amp;row=15409&amp;col=7&amp;number=0.0133&amp;sourceID=14","0.0133")</f>
        <v>0.0133</v>
      </c>
    </row>
    <row r="15410" spans="1:7">
      <c r="A15410" s="3"/>
      <c r="B15410" s="3"/>
      <c r="C15410" s="3"/>
      <c r="D15410" s="3"/>
      <c r="E15410" s="3">
        <v>7</v>
      </c>
      <c r="F15410" s="4" t="str">
        <f>HYPERLINK("http://141.218.60.56/~jnz1568/getInfo.php?workbook=10_05.xlsx&amp;sheet=U0&amp;row=15410&amp;col=6&amp;number=3.6&amp;sourceID=14","3.6")</f>
        <v>3.6</v>
      </c>
      <c r="G15410" s="4" t="str">
        <f>HYPERLINK("http://141.218.60.56/~jnz1568/getInfo.php?workbook=10_05.xlsx&amp;sheet=U0&amp;row=15410&amp;col=7&amp;number=0.0125&amp;sourceID=14","0.0125")</f>
        <v>0.0125</v>
      </c>
    </row>
    <row r="15411" spans="1:7">
      <c r="A15411" s="3"/>
      <c r="B15411" s="3"/>
      <c r="C15411" s="3"/>
      <c r="D15411" s="3"/>
      <c r="E15411" s="3">
        <v>8</v>
      </c>
      <c r="F15411" s="4" t="str">
        <f>HYPERLINK("http://141.218.60.56/~jnz1568/getInfo.php?workbook=10_05.xlsx&amp;sheet=U0&amp;row=15411&amp;col=6&amp;number=3.7&amp;sourceID=14","3.7")</f>
        <v>3.7</v>
      </c>
      <c r="G15411" s="4" t="str">
        <f>HYPERLINK("http://141.218.60.56/~jnz1568/getInfo.php?workbook=10_05.xlsx&amp;sheet=U0&amp;row=15411&amp;col=7&amp;number=0.0116&amp;sourceID=14","0.0116")</f>
        <v>0.0116</v>
      </c>
    </row>
    <row r="15412" spans="1:7">
      <c r="A15412" s="3"/>
      <c r="B15412" s="3"/>
      <c r="C15412" s="3"/>
      <c r="D15412" s="3"/>
      <c r="E15412" s="3">
        <v>9</v>
      </c>
      <c r="F15412" s="4" t="str">
        <f>HYPERLINK("http://141.218.60.56/~jnz1568/getInfo.php?workbook=10_05.xlsx&amp;sheet=U0&amp;row=15412&amp;col=6&amp;number=3.8&amp;sourceID=14","3.8")</f>
        <v>3.8</v>
      </c>
      <c r="G15412" s="4" t="str">
        <f>HYPERLINK("http://141.218.60.56/~jnz1568/getInfo.php?workbook=10_05.xlsx&amp;sheet=U0&amp;row=15412&amp;col=7&amp;number=0.0106&amp;sourceID=14","0.0106")</f>
        <v>0.0106</v>
      </c>
    </row>
    <row r="15413" spans="1:7">
      <c r="A15413" s="3"/>
      <c r="B15413" s="3"/>
      <c r="C15413" s="3"/>
      <c r="D15413" s="3"/>
      <c r="E15413" s="3">
        <v>10</v>
      </c>
      <c r="F15413" s="4" t="str">
        <f>HYPERLINK("http://141.218.60.56/~jnz1568/getInfo.php?workbook=10_05.xlsx&amp;sheet=U0&amp;row=15413&amp;col=6&amp;number=3.9&amp;sourceID=14","3.9")</f>
        <v>3.9</v>
      </c>
      <c r="G15413" s="4" t="str">
        <f>HYPERLINK("http://141.218.60.56/~jnz1568/getInfo.php?workbook=10_05.xlsx&amp;sheet=U0&amp;row=15413&amp;col=7&amp;number=0.00977&amp;sourceID=14","0.00977")</f>
        <v>0.00977</v>
      </c>
    </row>
    <row r="15414" spans="1:7">
      <c r="A15414" s="3"/>
      <c r="B15414" s="3"/>
      <c r="C15414" s="3"/>
      <c r="D15414" s="3"/>
      <c r="E15414" s="3">
        <v>11</v>
      </c>
      <c r="F15414" s="4" t="str">
        <f>HYPERLINK("http://141.218.60.56/~jnz1568/getInfo.php?workbook=10_05.xlsx&amp;sheet=U0&amp;row=15414&amp;col=6&amp;number=4&amp;sourceID=14","4")</f>
        <v>4</v>
      </c>
      <c r="G15414" s="4" t="str">
        <f>HYPERLINK("http://141.218.60.56/~jnz1568/getInfo.php?workbook=10_05.xlsx&amp;sheet=U0&amp;row=15414&amp;col=7&amp;number=0.00917&amp;sourceID=14","0.00917")</f>
        <v>0.00917</v>
      </c>
    </row>
    <row r="15415" spans="1:7">
      <c r="A15415" s="3"/>
      <c r="B15415" s="3"/>
      <c r="C15415" s="3"/>
      <c r="D15415" s="3"/>
      <c r="E15415" s="3">
        <v>12</v>
      </c>
      <c r="F15415" s="4" t="str">
        <f>HYPERLINK("http://141.218.60.56/~jnz1568/getInfo.php?workbook=10_05.xlsx&amp;sheet=U0&amp;row=15415&amp;col=6&amp;number=4.1&amp;sourceID=14","4.1")</f>
        <v>4.1</v>
      </c>
      <c r="G15415" s="4" t="str">
        <f>HYPERLINK("http://141.218.60.56/~jnz1568/getInfo.php?workbook=10_05.xlsx&amp;sheet=U0&amp;row=15415&amp;col=7&amp;number=0.00888&amp;sourceID=14","0.00888")</f>
        <v>0.00888</v>
      </c>
    </row>
    <row r="15416" spans="1:7">
      <c r="A15416" s="3"/>
      <c r="B15416" s="3"/>
      <c r="C15416" s="3"/>
      <c r="D15416" s="3"/>
      <c r="E15416" s="3">
        <v>13</v>
      </c>
      <c r="F15416" s="4" t="str">
        <f>HYPERLINK("http://141.218.60.56/~jnz1568/getInfo.php?workbook=10_05.xlsx&amp;sheet=U0&amp;row=15416&amp;col=6&amp;number=4.2&amp;sourceID=14","4.2")</f>
        <v>4.2</v>
      </c>
      <c r="G15416" s="4" t="str">
        <f>HYPERLINK("http://141.218.60.56/~jnz1568/getInfo.php?workbook=10_05.xlsx&amp;sheet=U0&amp;row=15416&amp;col=7&amp;number=0.00887&amp;sourceID=14","0.00887")</f>
        <v>0.00887</v>
      </c>
    </row>
    <row r="15417" spans="1:7">
      <c r="A15417" s="3"/>
      <c r="B15417" s="3"/>
      <c r="C15417" s="3"/>
      <c r="D15417" s="3"/>
      <c r="E15417" s="3">
        <v>14</v>
      </c>
      <c r="F15417" s="4" t="str">
        <f>HYPERLINK("http://141.218.60.56/~jnz1568/getInfo.php?workbook=10_05.xlsx&amp;sheet=U0&amp;row=15417&amp;col=6&amp;number=4.3&amp;sourceID=14","4.3")</f>
        <v>4.3</v>
      </c>
      <c r="G15417" s="4" t="str">
        <f>HYPERLINK("http://141.218.60.56/~jnz1568/getInfo.php?workbook=10_05.xlsx&amp;sheet=U0&amp;row=15417&amp;col=7&amp;number=0.00889&amp;sourceID=14","0.00889")</f>
        <v>0.00889</v>
      </c>
    </row>
    <row r="15418" spans="1:7">
      <c r="A15418" s="3"/>
      <c r="B15418" s="3"/>
      <c r="C15418" s="3"/>
      <c r="D15418" s="3"/>
      <c r="E15418" s="3">
        <v>15</v>
      </c>
      <c r="F15418" s="4" t="str">
        <f>HYPERLINK("http://141.218.60.56/~jnz1568/getInfo.php?workbook=10_05.xlsx&amp;sheet=U0&amp;row=15418&amp;col=6&amp;number=4.4&amp;sourceID=14","4.4")</f>
        <v>4.4</v>
      </c>
      <c r="G15418" s="4" t="str">
        <f>HYPERLINK("http://141.218.60.56/~jnz1568/getInfo.php?workbook=10_05.xlsx&amp;sheet=U0&amp;row=15418&amp;col=7&amp;number=0.00877&amp;sourceID=14","0.00877")</f>
        <v>0.00877</v>
      </c>
    </row>
    <row r="15419" spans="1:7">
      <c r="A15419" s="3"/>
      <c r="B15419" s="3"/>
      <c r="C15419" s="3"/>
      <c r="D15419" s="3"/>
      <c r="E15419" s="3">
        <v>16</v>
      </c>
      <c r="F15419" s="4" t="str">
        <f>HYPERLINK("http://141.218.60.56/~jnz1568/getInfo.php?workbook=10_05.xlsx&amp;sheet=U0&amp;row=15419&amp;col=6&amp;number=4.5&amp;sourceID=14","4.5")</f>
        <v>4.5</v>
      </c>
      <c r="G15419" s="4" t="str">
        <f>HYPERLINK("http://141.218.60.56/~jnz1568/getInfo.php?workbook=10_05.xlsx&amp;sheet=U0&amp;row=15419&amp;col=7&amp;number=0.00855&amp;sourceID=14","0.00855")</f>
        <v>0.00855</v>
      </c>
    </row>
    <row r="15420" spans="1:7">
      <c r="A15420" s="3"/>
      <c r="B15420" s="3"/>
      <c r="C15420" s="3"/>
      <c r="D15420" s="3"/>
      <c r="E15420" s="3">
        <v>17</v>
      </c>
      <c r="F15420" s="4" t="str">
        <f>HYPERLINK("http://141.218.60.56/~jnz1568/getInfo.php?workbook=10_05.xlsx&amp;sheet=U0&amp;row=15420&amp;col=6&amp;number=4.6&amp;sourceID=14","4.6")</f>
        <v>4.6</v>
      </c>
      <c r="G15420" s="4" t="str">
        <f>HYPERLINK("http://141.218.60.56/~jnz1568/getInfo.php?workbook=10_05.xlsx&amp;sheet=U0&amp;row=15420&amp;col=7&amp;number=0.00829&amp;sourceID=14","0.00829")</f>
        <v>0.00829</v>
      </c>
    </row>
    <row r="15421" spans="1:7">
      <c r="A15421" s="3"/>
      <c r="B15421" s="3"/>
      <c r="C15421" s="3"/>
      <c r="D15421" s="3"/>
      <c r="E15421" s="3">
        <v>18</v>
      </c>
      <c r="F15421" s="4" t="str">
        <f>HYPERLINK("http://141.218.60.56/~jnz1568/getInfo.php?workbook=10_05.xlsx&amp;sheet=U0&amp;row=15421&amp;col=6&amp;number=4.7&amp;sourceID=14","4.7")</f>
        <v>4.7</v>
      </c>
      <c r="G15421" s="4" t="str">
        <f>HYPERLINK("http://141.218.60.56/~jnz1568/getInfo.php?workbook=10_05.xlsx&amp;sheet=U0&amp;row=15421&amp;col=7&amp;number=0.00794&amp;sourceID=14","0.00794")</f>
        <v>0.00794</v>
      </c>
    </row>
    <row r="15422" spans="1:7">
      <c r="A15422" s="3"/>
      <c r="B15422" s="3"/>
      <c r="C15422" s="3"/>
      <c r="D15422" s="3"/>
      <c r="E15422" s="3">
        <v>19</v>
      </c>
      <c r="F15422" s="4" t="str">
        <f>HYPERLINK("http://141.218.60.56/~jnz1568/getInfo.php?workbook=10_05.xlsx&amp;sheet=U0&amp;row=15422&amp;col=6&amp;number=4.8&amp;sourceID=14","4.8")</f>
        <v>4.8</v>
      </c>
      <c r="G15422" s="4" t="str">
        <f>HYPERLINK("http://141.218.60.56/~jnz1568/getInfo.php?workbook=10_05.xlsx&amp;sheet=U0&amp;row=15422&amp;col=7&amp;number=0.00745&amp;sourceID=14","0.00745")</f>
        <v>0.00745</v>
      </c>
    </row>
    <row r="15423" spans="1:7">
      <c r="A15423" s="3"/>
      <c r="B15423" s="3"/>
      <c r="C15423" s="3"/>
      <c r="D15423" s="3"/>
      <c r="E15423" s="3">
        <v>20</v>
      </c>
      <c r="F15423" s="4" t="str">
        <f>HYPERLINK("http://141.218.60.56/~jnz1568/getInfo.php?workbook=10_05.xlsx&amp;sheet=U0&amp;row=15423&amp;col=6&amp;number=4.9&amp;sourceID=14","4.9")</f>
        <v>4.9</v>
      </c>
      <c r="G15423" s="4" t="str">
        <f>HYPERLINK("http://141.218.60.56/~jnz1568/getInfo.php?workbook=10_05.xlsx&amp;sheet=U0&amp;row=15423&amp;col=7&amp;number=0.00682&amp;sourceID=14","0.00682")</f>
        <v>0.00682</v>
      </c>
    </row>
    <row r="15424" spans="1:7">
      <c r="A15424" s="3">
        <v>10</v>
      </c>
      <c r="B15424" s="3">
        <v>5</v>
      </c>
      <c r="C15424" s="3">
        <v>5</v>
      </c>
      <c r="D15424" s="3">
        <v>67</v>
      </c>
      <c r="E15424" s="3">
        <v>1</v>
      </c>
      <c r="F15424" s="4" t="str">
        <f>HYPERLINK("http://141.218.60.56/~jnz1568/getInfo.php?workbook=10_05.xlsx&amp;sheet=U0&amp;row=15424&amp;col=6&amp;number=3&amp;sourceID=14","3")</f>
        <v>3</v>
      </c>
      <c r="G15424" s="4" t="str">
        <f>HYPERLINK("http://141.218.60.56/~jnz1568/getInfo.php?workbook=10_05.xlsx&amp;sheet=U0&amp;row=15424&amp;col=7&amp;number=0.0272&amp;sourceID=14","0.0272")</f>
        <v>0.0272</v>
      </c>
    </row>
    <row r="15425" spans="1:7">
      <c r="A15425" s="3"/>
      <c r="B15425" s="3"/>
      <c r="C15425" s="3"/>
      <c r="D15425" s="3"/>
      <c r="E15425" s="3">
        <v>2</v>
      </c>
      <c r="F15425" s="4" t="str">
        <f>HYPERLINK("http://141.218.60.56/~jnz1568/getInfo.php?workbook=10_05.xlsx&amp;sheet=U0&amp;row=15425&amp;col=6&amp;number=3.1&amp;sourceID=14","3.1")</f>
        <v>3.1</v>
      </c>
      <c r="G15425" s="4" t="str">
        <f>HYPERLINK("http://141.218.60.56/~jnz1568/getInfo.php?workbook=10_05.xlsx&amp;sheet=U0&amp;row=15425&amp;col=7&amp;number=0.0266&amp;sourceID=14","0.0266")</f>
        <v>0.0266</v>
      </c>
    </row>
    <row r="15426" spans="1:7">
      <c r="A15426" s="3"/>
      <c r="B15426" s="3"/>
      <c r="C15426" s="3"/>
      <c r="D15426" s="3"/>
      <c r="E15426" s="3">
        <v>3</v>
      </c>
      <c r="F15426" s="4" t="str">
        <f>HYPERLINK("http://141.218.60.56/~jnz1568/getInfo.php?workbook=10_05.xlsx&amp;sheet=U0&amp;row=15426&amp;col=6&amp;number=3.2&amp;sourceID=14","3.2")</f>
        <v>3.2</v>
      </c>
      <c r="G15426" s="4" t="str">
        <f>HYPERLINK("http://141.218.60.56/~jnz1568/getInfo.php?workbook=10_05.xlsx&amp;sheet=U0&amp;row=15426&amp;col=7&amp;number=0.026&amp;sourceID=14","0.026")</f>
        <v>0.026</v>
      </c>
    </row>
    <row r="15427" spans="1:7">
      <c r="A15427" s="3"/>
      <c r="B15427" s="3"/>
      <c r="C15427" s="3"/>
      <c r="D15427" s="3"/>
      <c r="E15427" s="3">
        <v>4</v>
      </c>
      <c r="F15427" s="4" t="str">
        <f>HYPERLINK("http://141.218.60.56/~jnz1568/getInfo.php?workbook=10_05.xlsx&amp;sheet=U0&amp;row=15427&amp;col=6&amp;number=3.3&amp;sourceID=14","3.3")</f>
        <v>3.3</v>
      </c>
      <c r="G15427" s="4" t="str">
        <f>HYPERLINK("http://141.218.60.56/~jnz1568/getInfo.php?workbook=10_05.xlsx&amp;sheet=U0&amp;row=15427&amp;col=7&amp;number=0.0252&amp;sourceID=14","0.0252")</f>
        <v>0.0252</v>
      </c>
    </row>
    <row r="15428" spans="1:7">
      <c r="A15428" s="3"/>
      <c r="B15428" s="3"/>
      <c r="C15428" s="3"/>
      <c r="D15428" s="3"/>
      <c r="E15428" s="3">
        <v>5</v>
      </c>
      <c r="F15428" s="4" t="str">
        <f>HYPERLINK("http://141.218.60.56/~jnz1568/getInfo.php?workbook=10_05.xlsx&amp;sheet=U0&amp;row=15428&amp;col=6&amp;number=3.4&amp;sourceID=14","3.4")</f>
        <v>3.4</v>
      </c>
      <c r="G15428" s="4" t="str">
        <f>HYPERLINK("http://141.218.60.56/~jnz1568/getInfo.php?workbook=10_05.xlsx&amp;sheet=U0&amp;row=15428&amp;col=7&amp;number=0.0243&amp;sourceID=14","0.0243")</f>
        <v>0.0243</v>
      </c>
    </row>
    <row r="15429" spans="1:7">
      <c r="A15429" s="3"/>
      <c r="B15429" s="3"/>
      <c r="C15429" s="3"/>
      <c r="D15429" s="3"/>
      <c r="E15429" s="3">
        <v>6</v>
      </c>
      <c r="F15429" s="4" t="str">
        <f>HYPERLINK("http://141.218.60.56/~jnz1568/getInfo.php?workbook=10_05.xlsx&amp;sheet=U0&amp;row=15429&amp;col=6&amp;number=3.5&amp;sourceID=14","3.5")</f>
        <v>3.5</v>
      </c>
      <c r="G15429" s="4" t="str">
        <f>HYPERLINK("http://141.218.60.56/~jnz1568/getInfo.php?workbook=10_05.xlsx&amp;sheet=U0&amp;row=15429&amp;col=7&amp;number=0.0231&amp;sourceID=14","0.0231")</f>
        <v>0.0231</v>
      </c>
    </row>
    <row r="15430" spans="1:7">
      <c r="A15430" s="3"/>
      <c r="B15430" s="3"/>
      <c r="C15430" s="3"/>
      <c r="D15430" s="3"/>
      <c r="E15430" s="3">
        <v>7</v>
      </c>
      <c r="F15430" s="4" t="str">
        <f>HYPERLINK("http://141.218.60.56/~jnz1568/getInfo.php?workbook=10_05.xlsx&amp;sheet=U0&amp;row=15430&amp;col=6&amp;number=3.6&amp;sourceID=14","3.6")</f>
        <v>3.6</v>
      </c>
      <c r="G15430" s="4" t="str">
        <f>HYPERLINK("http://141.218.60.56/~jnz1568/getInfo.php?workbook=10_05.xlsx&amp;sheet=U0&amp;row=15430&amp;col=7&amp;number=0.0218&amp;sourceID=14","0.0218")</f>
        <v>0.0218</v>
      </c>
    </row>
    <row r="15431" spans="1:7">
      <c r="A15431" s="3"/>
      <c r="B15431" s="3"/>
      <c r="C15431" s="3"/>
      <c r="D15431" s="3"/>
      <c r="E15431" s="3">
        <v>8</v>
      </c>
      <c r="F15431" s="4" t="str">
        <f>HYPERLINK("http://141.218.60.56/~jnz1568/getInfo.php?workbook=10_05.xlsx&amp;sheet=U0&amp;row=15431&amp;col=6&amp;number=3.7&amp;sourceID=14","3.7")</f>
        <v>3.7</v>
      </c>
      <c r="G15431" s="4" t="str">
        <f>HYPERLINK("http://141.218.60.56/~jnz1568/getInfo.php?workbook=10_05.xlsx&amp;sheet=U0&amp;row=15431&amp;col=7&amp;number=0.0204&amp;sourceID=14","0.0204")</f>
        <v>0.0204</v>
      </c>
    </row>
    <row r="15432" spans="1:7">
      <c r="A15432" s="3"/>
      <c r="B15432" s="3"/>
      <c r="C15432" s="3"/>
      <c r="D15432" s="3"/>
      <c r="E15432" s="3">
        <v>9</v>
      </c>
      <c r="F15432" s="4" t="str">
        <f>HYPERLINK("http://141.218.60.56/~jnz1568/getInfo.php?workbook=10_05.xlsx&amp;sheet=U0&amp;row=15432&amp;col=6&amp;number=3.8&amp;sourceID=14","3.8")</f>
        <v>3.8</v>
      </c>
      <c r="G15432" s="4" t="str">
        <f>HYPERLINK("http://141.218.60.56/~jnz1568/getInfo.php?workbook=10_05.xlsx&amp;sheet=U0&amp;row=15432&amp;col=7&amp;number=0.0189&amp;sourceID=14","0.0189")</f>
        <v>0.0189</v>
      </c>
    </row>
    <row r="15433" spans="1:7">
      <c r="A15433" s="3"/>
      <c r="B15433" s="3"/>
      <c r="C15433" s="3"/>
      <c r="D15433" s="3"/>
      <c r="E15433" s="3">
        <v>10</v>
      </c>
      <c r="F15433" s="4" t="str">
        <f>HYPERLINK("http://141.218.60.56/~jnz1568/getInfo.php?workbook=10_05.xlsx&amp;sheet=U0&amp;row=15433&amp;col=6&amp;number=3.9&amp;sourceID=14","3.9")</f>
        <v>3.9</v>
      </c>
      <c r="G15433" s="4" t="str">
        <f>HYPERLINK("http://141.218.60.56/~jnz1568/getInfo.php?workbook=10_05.xlsx&amp;sheet=U0&amp;row=15433&amp;col=7&amp;number=0.0176&amp;sourceID=14","0.0176")</f>
        <v>0.0176</v>
      </c>
    </row>
    <row r="15434" spans="1:7">
      <c r="A15434" s="3"/>
      <c r="B15434" s="3"/>
      <c r="C15434" s="3"/>
      <c r="D15434" s="3"/>
      <c r="E15434" s="3">
        <v>11</v>
      </c>
      <c r="F15434" s="4" t="str">
        <f>HYPERLINK("http://141.218.60.56/~jnz1568/getInfo.php?workbook=10_05.xlsx&amp;sheet=U0&amp;row=15434&amp;col=6&amp;number=4&amp;sourceID=14","4")</f>
        <v>4</v>
      </c>
      <c r="G15434" s="4" t="str">
        <f>HYPERLINK("http://141.218.60.56/~jnz1568/getInfo.php?workbook=10_05.xlsx&amp;sheet=U0&amp;row=15434&amp;col=7&amp;number=0.0168&amp;sourceID=14","0.0168")</f>
        <v>0.0168</v>
      </c>
    </row>
    <row r="15435" spans="1:7">
      <c r="A15435" s="3"/>
      <c r="B15435" s="3"/>
      <c r="C15435" s="3"/>
      <c r="D15435" s="3"/>
      <c r="E15435" s="3">
        <v>12</v>
      </c>
      <c r="F15435" s="4" t="str">
        <f>HYPERLINK("http://141.218.60.56/~jnz1568/getInfo.php?workbook=10_05.xlsx&amp;sheet=U0&amp;row=15435&amp;col=6&amp;number=4.1&amp;sourceID=14","4.1")</f>
        <v>4.1</v>
      </c>
      <c r="G15435" s="4" t="str">
        <f>HYPERLINK("http://141.218.60.56/~jnz1568/getInfo.php?workbook=10_05.xlsx&amp;sheet=U0&amp;row=15435&amp;col=7&amp;number=0.0166&amp;sourceID=14","0.0166")</f>
        <v>0.0166</v>
      </c>
    </row>
    <row r="15436" spans="1:7">
      <c r="A15436" s="3"/>
      <c r="B15436" s="3"/>
      <c r="C15436" s="3"/>
      <c r="D15436" s="3"/>
      <c r="E15436" s="3">
        <v>13</v>
      </c>
      <c r="F15436" s="4" t="str">
        <f>HYPERLINK("http://141.218.60.56/~jnz1568/getInfo.php?workbook=10_05.xlsx&amp;sheet=U0&amp;row=15436&amp;col=6&amp;number=4.2&amp;sourceID=14","4.2")</f>
        <v>4.2</v>
      </c>
      <c r="G15436" s="4" t="str">
        <f>HYPERLINK("http://141.218.60.56/~jnz1568/getInfo.php?workbook=10_05.xlsx&amp;sheet=U0&amp;row=15436&amp;col=7&amp;number=0.0169&amp;sourceID=14","0.0169")</f>
        <v>0.0169</v>
      </c>
    </row>
    <row r="15437" spans="1:7">
      <c r="A15437" s="3"/>
      <c r="B15437" s="3"/>
      <c r="C15437" s="3"/>
      <c r="D15437" s="3"/>
      <c r="E15437" s="3">
        <v>14</v>
      </c>
      <c r="F15437" s="4" t="str">
        <f>HYPERLINK("http://141.218.60.56/~jnz1568/getInfo.php?workbook=10_05.xlsx&amp;sheet=U0&amp;row=15437&amp;col=6&amp;number=4.3&amp;sourceID=14","4.3")</f>
        <v>4.3</v>
      </c>
      <c r="G15437" s="4" t="str">
        <f>HYPERLINK("http://141.218.60.56/~jnz1568/getInfo.php?workbook=10_05.xlsx&amp;sheet=U0&amp;row=15437&amp;col=7&amp;number=0.0172&amp;sourceID=14","0.0172")</f>
        <v>0.0172</v>
      </c>
    </row>
    <row r="15438" spans="1:7">
      <c r="A15438" s="3"/>
      <c r="B15438" s="3"/>
      <c r="C15438" s="3"/>
      <c r="D15438" s="3"/>
      <c r="E15438" s="3">
        <v>15</v>
      </c>
      <c r="F15438" s="4" t="str">
        <f>HYPERLINK("http://141.218.60.56/~jnz1568/getInfo.php?workbook=10_05.xlsx&amp;sheet=U0&amp;row=15438&amp;col=6&amp;number=4.4&amp;sourceID=14","4.4")</f>
        <v>4.4</v>
      </c>
      <c r="G15438" s="4" t="str">
        <f>HYPERLINK("http://141.218.60.56/~jnz1568/getInfo.php?workbook=10_05.xlsx&amp;sheet=U0&amp;row=15438&amp;col=7&amp;number=0.0173&amp;sourceID=14","0.0173")</f>
        <v>0.0173</v>
      </c>
    </row>
    <row r="15439" spans="1:7">
      <c r="A15439" s="3"/>
      <c r="B15439" s="3"/>
      <c r="C15439" s="3"/>
      <c r="D15439" s="3"/>
      <c r="E15439" s="3">
        <v>16</v>
      </c>
      <c r="F15439" s="4" t="str">
        <f>HYPERLINK("http://141.218.60.56/~jnz1568/getInfo.php?workbook=10_05.xlsx&amp;sheet=U0&amp;row=15439&amp;col=6&amp;number=4.5&amp;sourceID=14","4.5")</f>
        <v>4.5</v>
      </c>
      <c r="G15439" s="4" t="str">
        <f>HYPERLINK("http://141.218.60.56/~jnz1568/getInfo.php?workbook=10_05.xlsx&amp;sheet=U0&amp;row=15439&amp;col=7&amp;number=0.017&amp;sourceID=14","0.017")</f>
        <v>0.017</v>
      </c>
    </row>
    <row r="15440" spans="1:7">
      <c r="A15440" s="3"/>
      <c r="B15440" s="3"/>
      <c r="C15440" s="3"/>
      <c r="D15440" s="3"/>
      <c r="E15440" s="3">
        <v>17</v>
      </c>
      <c r="F15440" s="4" t="str">
        <f>HYPERLINK("http://141.218.60.56/~jnz1568/getInfo.php?workbook=10_05.xlsx&amp;sheet=U0&amp;row=15440&amp;col=6&amp;number=4.6&amp;sourceID=14","4.6")</f>
        <v>4.6</v>
      </c>
      <c r="G15440" s="4" t="str">
        <f>HYPERLINK("http://141.218.60.56/~jnz1568/getInfo.php?workbook=10_05.xlsx&amp;sheet=U0&amp;row=15440&amp;col=7&amp;number=0.0166&amp;sourceID=14","0.0166")</f>
        <v>0.0166</v>
      </c>
    </row>
    <row r="15441" spans="1:7">
      <c r="A15441" s="3"/>
      <c r="B15441" s="3"/>
      <c r="C15441" s="3"/>
      <c r="D15441" s="3"/>
      <c r="E15441" s="3">
        <v>18</v>
      </c>
      <c r="F15441" s="4" t="str">
        <f>HYPERLINK("http://141.218.60.56/~jnz1568/getInfo.php?workbook=10_05.xlsx&amp;sheet=U0&amp;row=15441&amp;col=6&amp;number=4.7&amp;sourceID=14","4.7")</f>
        <v>4.7</v>
      </c>
      <c r="G15441" s="4" t="str">
        <f>HYPERLINK("http://141.218.60.56/~jnz1568/getInfo.php?workbook=10_05.xlsx&amp;sheet=U0&amp;row=15441&amp;col=7&amp;number=0.016&amp;sourceID=14","0.016")</f>
        <v>0.016</v>
      </c>
    </row>
    <row r="15442" spans="1:7">
      <c r="A15442" s="3"/>
      <c r="B15442" s="3"/>
      <c r="C15442" s="3"/>
      <c r="D15442" s="3"/>
      <c r="E15442" s="3">
        <v>19</v>
      </c>
      <c r="F15442" s="4" t="str">
        <f>HYPERLINK("http://141.218.60.56/~jnz1568/getInfo.php?workbook=10_05.xlsx&amp;sheet=U0&amp;row=15442&amp;col=6&amp;number=4.8&amp;sourceID=14","4.8")</f>
        <v>4.8</v>
      </c>
      <c r="G15442" s="4" t="str">
        <f>HYPERLINK("http://141.218.60.56/~jnz1568/getInfo.php?workbook=10_05.xlsx&amp;sheet=U0&amp;row=15442&amp;col=7&amp;number=0.015&amp;sourceID=14","0.015")</f>
        <v>0.015</v>
      </c>
    </row>
    <row r="15443" spans="1:7">
      <c r="A15443" s="3"/>
      <c r="B15443" s="3"/>
      <c r="C15443" s="3"/>
      <c r="D15443" s="3"/>
      <c r="E15443" s="3">
        <v>20</v>
      </c>
      <c r="F15443" s="4" t="str">
        <f>HYPERLINK("http://141.218.60.56/~jnz1568/getInfo.php?workbook=10_05.xlsx&amp;sheet=U0&amp;row=15443&amp;col=6&amp;number=4.9&amp;sourceID=14","4.9")</f>
        <v>4.9</v>
      </c>
      <c r="G15443" s="4" t="str">
        <f>HYPERLINK("http://141.218.60.56/~jnz1568/getInfo.php?workbook=10_05.xlsx&amp;sheet=U0&amp;row=15443&amp;col=7&amp;number=0.0138&amp;sourceID=14","0.0138")</f>
        <v>0.0138</v>
      </c>
    </row>
    <row r="15444" spans="1:7">
      <c r="A15444" s="3">
        <v>10</v>
      </c>
      <c r="B15444" s="3">
        <v>5</v>
      </c>
      <c r="C15444" s="3">
        <v>5</v>
      </c>
      <c r="D15444" s="3">
        <v>68</v>
      </c>
      <c r="E15444" s="3">
        <v>1</v>
      </c>
      <c r="F15444" s="4" t="str">
        <f>HYPERLINK("http://141.218.60.56/~jnz1568/getInfo.php?workbook=10_05.xlsx&amp;sheet=U0&amp;row=15444&amp;col=6&amp;number=3&amp;sourceID=14","3")</f>
        <v>3</v>
      </c>
      <c r="G15444" s="4" t="str">
        <f>HYPERLINK("http://141.218.60.56/~jnz1568/getInfo.php?workbook=10_05.xlsx&amp;sheet=U0&amp;row=15444&amp;col=7&amp;number=0.022&amp;sourceID=14","0.022")</f>
        <v>0.022</v>
      </c>
    </row>
    <row r="15445" spans="1:7">
      <c r="A15445" s="3"/>
      <c r="B15445" s="3"/>
      <c r="C15445" s="3"/>
      <c r="D15445" s="3"/>
      <c r="E15445" s="3">
        <v>2</v>
      </c>
      <c r="F15445" s="4" t="str">
        <f>HYPERLINK("http://141.218.60.56/~jnz1568/getInfo.php?workbook=10_05.xlsx&amp;sheet=U0&amp;row=15445&amp;col=6&amp;number=3.1&amp;sourceID=14","3.1")</f>
        <v>3.1</v>
      </c>
      <c r="G15445" s="4" t="str">
        <f>HYPERLINK("http://141.218.60.56/~jnz1568/getInfo.php?workbook=10_05.xlsx&amp;sheet=U0&amp;row=15445&amp;col=7&amp;number=0.0217&amp;sourceID=14","0.0217")</f>
        <v>0.0217</v>
      </c>
    </row>
    <row r="15446" spans="1:7">
      <c r="A15446" s="3"/>
      <c r="B15446" s="3"/>
      <c r="C15446" s="3"/>
      <c r="D15446" s="3"/>
      <c r="E15446" s="3">
        <v>3</v>
      </c>
      <c r="F15446" s="4" t="str">
        <f>HYPERLINK("http://141.218.60.56/~jnz1568/getInfo.php?workbook=10_05.xlsx&amp;sheet=U0&amp;row=15446&amp;col=6&amp;number=3.2&amp;sourceID=14","3.2")</f>
        <v>3.2</v>
      </c>
      <c r="G15446" s="4" t="str">
        <f>HYPERLINK("http://141.218.60.56/~jnz1568/getInfo.php?workbook=10_05.xlsx&amp;sheet=U0&amp;row=15446&amp;col=7&amp;number=0.0214&amp;sourceID=14","0.0214")</f>
        <v>0.0214</v>
      </c>
    </row>
    <row r="15447" spans="1:7">
      <c r="A15447" s="3"/>
      <c r="B15447" s="3"/>
      <c r="C15447" s="3"/>
      <c r="D15447" s="3"/>
      <c r="E15447" s="3">
        <v>4</v>
      </c>
      <c r="F15447" s="4" t="str">
        <f>HYPERLINK("http://141.218.60.56/~jnz1568/getInfo.php?workbook=10_05.xlsx&amp;sheet=U0&amp;row=15447&amp;col=6&amp;number=3.3&amp;sourceID=14","3.3")</f>
        <v>3.3</v>
      </c>
      <c r="G15447" s="4" t="str">
        <f>HYPERLINK("http://141.218.60.56/~jnz1568/getInfo.php?workbook=10_05.xlsx&amp;sheet=U0&amp;row=15447&amp;col=7&amp;number=0.021&amp;sourceID=14","0.021")</f>
        <v>0.021</v>
      </c>
    </row>
    <row r="15448" spans="1:7">
      <c r="A15448" s="3"/>
      <c r="B15448" s="3"/>
      <c r="C15448" s="3"/>
      <c r="D15448" s="3"/>
      <c r="E15448" s="3">
        <v>5</v>
      </c>
      <c r="F15448" s="4" t="str">
        <f>HYPERLINK("http://141.218.60.56/~jnz1568/getInfo.php?workbook=10_05.xlsx&amp;sheet=U0&amp;row=15448&amp;col=6&amp;number=3.4&amp;sourceID=14","3.4")</f>
        <v>3.4</v>
      </c>
      <c r="G15448" s="4" t="str">
        <f>HYPERLINK("http://141.218.60.56/~jnz1568/getInfo.php?workbook=10_05.xlsx&amp;sheet=U0&amp;row=15448&amp;col=7&amp;number=0.0206&amp;sourceID=14","0.0206")</f>
        <v>0.0206</v>
      </c>
    </row>
    <row r="15449" spans="1:7">
      <c r="A15449" s="3"/>
      <c r="B15449" s="3"/>
      <c r="C15449" s="3"/>
      <c r="D15449" s="3"/>
      <c r="E15449" s="3">
        <v>6</v>
      </c>
      <c r="F15449" s="4" t="str">
        <f>HYPERLINK("http://141.218.60.56/~jnz1568/getInfo.php?workbook=10_05.xlsx&amp;sheet=U0&amp;row=15449&amp;col=6&amp;number=3.5&amp;sourceID=14","3.5")</f>
        <v>3.5</v>
      </c>
      <c r="G15449" s="4" t="str">
        <f>HYPERLINK("http://141.218.60.56/~jnz1568/getInfo.php?workbook=10_05.xlsx&amp;sheet=U0&amp;row=15449&amp;col=7&amp;number=0.02&amp;sourceID=14","0.02")</f>
        <v>0.02</v>
      </c>
    </row>
    <row r="15450" spans="1:7">
      <c r="A15450" s="3"/>
      <c r="B15450" s="3"/>
      <c r="C15450" s="3"/>
      <c r="D15450" s="3"/>
      <c r="E15450" s="3">
        <v>7</v>
      </c>
      <c r="F15450" s="4" t="str">
        <f>HYPERLINK("http://141.218.60.56/~jnz1568/getInfo.php?workbook=10_05.xlsx&amp;sheet=U0&amp;row=15450&amp;col=6&amp;number=3.6&amp;sourceID=14","3.6")</f>
        <v>3.6</v>
      </c>
      <c r="G15450" s="4" t="str">
        <f>HYPERLINK("http://141.218.60.56/~jnz1568/getInfo.php?workbook=10_05.xlsx&amp;sheet=U0&amp;row=15450&amp;col=7&amp;number=0.0192&amp;sourceID=14","0.0192")</f>
        <v>0.0192</v>
      </c>
    </row>
    <row r="15451" spans="1:7">
      <c r="A15451" s="3"/>
      <c r="B15451" s="3"/>
      <c r="C15451" s="3"/>
      <c r="D15451" s="3"/>
      <c r="E15451" s="3">
        <v>8</v>
      </c>
      <c r="F15451" s="4" t="str">
        <f>HYPERLINK("http://141.218.60.56/~jnz1568/getInfo.php?workbook=10_05.xlsx&amp;sheet=U0&amp;row=15451&amp;col=6&amp;number=3.7&amp;sourceID=14","3.7")</f>
        <v>3.7</v>
      </c>
      <c r="G15451" s="4" t="str">
        <f>HYPERLINK("http://141.218.60.56/~jnz1568/getInfo.php?workbook=10_05.xlsx&amp;sheet=U0&amp;row=15451&amp;col=7&amp;number=0.0184&amp;sourceID=14","0.0184")</f>
        <v>0.0184</v>
      </c>
    </row>
    <row r="15452" spans="1:7">
      <c r="A15452" s="3"/>
      <c r="B15452" s="3"/>
      <c r="C15452" s="3"/>
      <c r="D15452" s="3"/>
      <c r="E15452" s="3">
        <v>9</v>
      </c>
      <c r="F15452" s="4" t="str">
        <f>HYPERLINK("http://141.218.60.56/~jnz1568/getInfo.php?workbook=10_05.xlsx&amp;sheet=U0&amp;row=15452&amp;col=6&amp;number=3.8&amp;sourceID=14","3.8")</f>
        <v>3.8</v>
      </c>
      <c r="G15452" s="4" t="str">
        <f>HYPERLINK("http://141.218.60.56/~jnz1568/getInfo.php?workbook=10_05.xlsx&amp;sheet=U0&amp;row=15452&amp;col=7&amp;number=0.0174&amp;sourceID=14","0.0174")</f>
        <v>0.0174</v>
      </c>
    </row>
    <row r="15453" spans="1:7">
      <c r="A15453" s="3"/>
      <c r="B15453" s="3"/>
      <c r="C15453" s="3"/>
      <c r="D15453" s="3"/>
      <c r="E15453" s="3">
        <v>10</v>
      </c>
      <c r="F15453" s="4" t="str">
        <f>HYPERLINK("http://141.218.60.56/~jnz1568/getInfo.php?workbook=10_05.xlsx&amp;sheet=U0&amp;row=15453&amp;col=6&amp;number=3.9&amp;sourceID=14","3.9")</f>
        <v>3.9</v>
      </c>
      <c r="G15453" s="4" t="str">
        <f>HYPERLINK("http://141.218.60.56/~jnz1568/getInfo.php?workbook=10_05.xlsx&amp;sheet=U0&amp;row=15453&amp;col=7&amp;number=0.0164&amp;sourceID=14","0.0164")</f>
        <v>0.0164</v>
      </c>
    </row>
    <row r="15454" spans="1:7">
      <c r="A15454" s="3"/>
      <c r="B15454" s="3"/>
      <c r="C15454" s="3"/>
      <c r="D15454" s="3"/>
      <c r="E15454" s="3">
        <v>11</v>
      </c>
      <c r="F15454" s="4" t="str">
        <f>HYPERLINK("http://141.218.60.56/~jnz1568/getInfo.php?workbook=10_05.xlsx&amp;sheet=U0&amp;row=15454&amp;col=6&amp;number=4&amp;sourceID=14","4")</f>
        <v>4</v>
      </c>
      <c r="G15454" s="4" t="str">
        <f>HYPERLINK("http://141.218.60.56/~jnz1568/getInfo.php?workbook=10_05.xlsx&amp;sheet=U0&amp;row=15454&amp;col=7&amp;number=0.0153&amp;sourceID=14","0.0153")</f>
        <v>0.0153</v>
      </c>
    </row>
    <row r="15455" spans="1:7">
      <c r="A15455" s="3"/>
      <c r="B15455" s="3"/>
      <c r="C15455" s="3"/>
      <c r="D15455" s="3"/>
      <c r="E15455" s="3">
        <v>12</v>
      </c>
      <c r="F15455" s="4" t="str">
        <f>HYPERLINK("http://141.218.60.56/~jnz1568/getInfo.php?workbook=10_05.xlsx&amp;sheet=U0&amp;row=15455&amp;col=6&amp;number=4.1&amp;sourceID=14","4.1")</f>
        <v>4.1</v>
      </c>
      <c r="G15455" s="4" t="str">
        <f>HYPERLINK("http://141.218.60.56/~jnz1568/getInfo.php?workbook=10_05.xlsx&amp;sheet=U0&amp;row=15455&amp;col=7&amp;number=0.0144&amp;sourceID=14","0.0144")</f>
        <v>0.0144</v>
      </c>
    </row>
    <row r="15456" spans="1:7">
      <c r="A15456" s="3"/>
      <c r="B15456" s="3"/>
      <c r="C15456" s="3"/>
      <c r="D15456" s="3"/>
      <c r="E15456" s="3">
        <v>13</v>
      </c>
      <c r="F15456" s="4" t="str">
        <f>HYPERLINK("http://141.218.60.56/~jnz1568/getInfo.php?workbook=10_05.xlsx&amp;sheet=U0&amp;row=15456&amp;col=6&amp;number=4.2&amp;sourceID=14","4.2")</f>
        <v>4.2</v>
      </c>
      <c r="G15456" s="4" t="str">
        <f>HYPERLINK("http://141.218.60.56/~jnz1568/getInfo.php?workbook=10_05.xlsx&amp;sheet=U0&amp;row=15456&amp;col=7&amp;number=0.0135&amp;sourceID=14","0.0135")</f>
        <v>0.0135</v>
      </c>
    </row>
    <row r="15457" spans="1:7">
      <c r="A15457" s="3"/>
      <c r="B15457" s="3"/>
      <c r="C15457" s="3"/>
      <c r="D15457" s="3"/>
      <c r="E15457" s="3">
        <v>14</v>
      </c>
      <c r="F15457" s="4" t="str">
        <f>HYPERLINK("http://141.218.60.56/~jnz1568/getInfo.php?workbook=10_05.xlsx&amp;sheet=U0&amp;row=15457&amp;col=6&amp;number=4.3&amp;sourceID=14","4.3")</f>
        <v>4.3</v>
      </c>
      <c r="G15457" s="4" t="str">
        <f>HYPERLINK("http://141.218.60.56/~jnz1568/getInfo.php?workbook=10_05.xlsx&amp;sheet=U0&amp;row=15457&amp;col=7&amp;number=0.0128&amp;sourceID=14","0.0128")</f>
        <v>0.0128</v>
      </c>
    </row>
    <row r="15458" spans="1:7">
      <c r="A15458" s="3"/>
      <c r="B15458" s="3"/>
      <c r="C15458" s="3"/>
      <c r="D15458" s="3"/>
      <c r="E15458" s="3">
        <v>15</v>
      </c>
      <c r="F15458" s="4" t="str">
        <f>HYPERLINK("http://141.218.60.56/~jnz1568/getInfo.php?workbook=10_05.xlsx&amp;sheet=U0&amp;row=15458&amp;col=6&amp;number=4.4&amp;sourceID=14","4.4")</f>
        <v>4.4</v>
      </c>
      <c r="G15458" s="4" t="str">
        <f>HYPERLINK("http://141.218.60.56/~jnz1568/getInfo.php?workbook=10_05.xlsx&amp;sheet=U0&amp;row=15458&amp;col=7&amp;number=0.0121&amp;sourceID=14","0.0121")</f>
        <v>0.0121</v>
      </c>
    </row>
    <row r="15459" spans="1:7">
      <c r="A15459" s="3"/>
      <c r="B15459" s="3"/>
      <c r="C15459" s="3"/>
      <c r="D15459" s="3"/>
      <c r="E15459" s="3">
        <v>16</v>
      </c>
      <c r="F15459" s="4" t="str">
        <f>HYPERLINK("http://141.218.60.56/~jnz1568/getInfo.php?workbook=10_05.xlsx&amp;sheet=U0&amp;row=15459&amp;col=6&amp;number=4.5&amp;sourceID=14","4.5")</f>
        <v>4.5</v>
      </c>
      <c r="G15459" s="4" t="str">
        <f>HYPERLINK("http://141.218.60.56/~jnz1568/getInfo.php?workbook=10_05.xlsx&amp;sheet=U0&amp;row=15459&amp;col=7&amp;number=0.0113&amp;sourceID=14","0.0113")</f>
        <v>0.0113</v>
      </c>
    </row>
    <row r="15460" spans="1:7">
      <c r="A15460" s="3"/>
      <c r="B15460" s="3"/>
      <c r="C15460" s="3"/>
      <c r="D15460" s="3"/>
      <c r="E15460" s="3">
        <v>17</v>
      </c>
      <c r="F15460" s="4" t="str">
        <f>HYPERLINK("http://141.218.60.56/~jnz1568/getInfo.php?workbook=10_05.xlsx&amp;sheet=U0&amp;row=15460&amp;col=6&amp;number=4.6&amp;sourceID=14","4.6")</f>
        <v>4.6</v>
      </c>
      <c r="G15460" s="4" t="str">
        <f>HYPERLINK("http://141.218.60.56/~jnz1568/getInfo.php?workbook=10_05.xlsx&amp;sheet=U0&amp;row=15460&amp;col=7&amp;number=0.0105&amp;sourceID=14","0.0105")</f>
        <v>0.0105</v>
      </c>
    </row>
    <row r="15461" spans="1:7">
      <c r="A15461" s="3"/>
      <c r="B15461" s="3"/>
      <c r="C15461" s="3"/>
      <c r="D15461" s="3"/>
      <c r="E15461" s="3">
        <v>18</v>
      </c>
      <c r="F15461" s="4" t="str">
        <f>HYPERLINK("http://141.218.60.56/~jnz1568/getInfo.php?workbook=10_05.xlsx&amp;sheet=U0&amp;row=15461&amp;col=6&amp;number=4.7&amp;sourceID=14","4.7")</f>
        <v>4.7</v>
      </c>
      <c r="G15461" s="4" t="str">
        <f>HYPERLINK("http://141.218.60.56/~jnz1568/getInfo.php?workbook=10_05.xlsx&amp;sheet=U0&amp;row=15461&amp;col=7&amp;number=0.00963&amp;sourceID=14","0.00963")</f>
        <v>0.00963</v>
      </c>
    </row>
    <row r="15462" spans="1:7">
      <c r="A15462" s="3"/>
      <c r="B15462" s="3"/>
      <c r="C15462" s="3"/>
      <c r="D15462" s="3"/>
      <c r="E15462" s="3">
        <v>19</v>
      </c>
      <c r="F15462" s="4" t="str">
        <f>HYPERLINK("http://141.218.60.56/~jnz1568/getInfo.php?workbook=10_05.xlsx&amp;sheet=U0&amp;row=15462&amp;col=6&amp;number=4.8&amp;sourceID=14","4.8")</f>
        <v>4.8</v>
      </c>
      <c r="G15462" s="4" t="str">
        <f>HYPERLINK("http://141.218.60.56/~jnz1568/getInfo.php?workbook=10_05.xlsx&amp;sheet=U0&amp;row=15462&amp;col=7&amp;number=0.00874&amp;sourceID=14","0.00874")</f>
        <v>0.00874</v>
      </c>
    </row>
    <row r="15463" spans="1:7">
      <c r="A15463" s="3"/>
      <c r="B15463" s="3"/>
      <c r="C15463" s="3"/>
      <c r="D15463" s="3"/>
      <c r="E15463" s="3">
        <v>20</v>
      </c>
      <c r="F15463" s="4" t="str">
        <f>HYPERLINK("http://141.218.60.56/~jnz1568/getInfo.php?workbook=10_05.xlsx&amp;sheet=U0&amp;row=15463&amp;col=6&amp;number=4.9&amp;sourceID=14","4.9")</f>
        <v>4.9</v>
      </c>
      <c r="G15463" s="4" t="str">
        <f>HYPERLINK("http://141.218.60.56/~jnz1568/getInfo.php?workbook=10_05.xlsx&amp;sheet=U0&amp;row=15463&amp;col=7&amp;number=0.00784&amp;sourceID=14","0.00784")</f>
        <v>0.00784</v>
      </c>
    </row>
    <row r="15464" spans="1:7">
      <c r="A15464" s="3">
        <v>10</v>
      </c>
      <c r="B15464" s="3">
        <v>5</v>
      </c>
      <c r="C15464" s="3">
        <v>5</v>
      </c>
      <c r="D15464" s="3">
        <v>69</v>
      </c>
      <c r="E15464" s="3">
        <v>1</v>
      </c>
      <c r="F15464" s="4" t="str">
        <f>HYPERLINK("http://141.218.60.56/~jnz1568/getInfo.php?workbook=10_05.xlsx&amp;sheet=U0&amp;row=15464&amp;col=6&amp;number=3&amp;sourceID=14","3")</f>
        <v>3</v>
      </c>
      <c r="G15464" s="4" t="str">
        <f>HYPERLINK("http://141.218.60.56/~jnz1568/getInfo.php?workbook=10_05.xlsx&amp;sheet=U0&amp;row=15464&amp;col=7&amp;number=0.0452&amp;sourceID=14","0.0452")</f>
        <v>0.0452</v>
      </c>
    </row>
    <row r="15465" spans="1:7">
      <c r="A15465" s="3"/>
      <c r="B15465" s="3"/>
      <c r="C15465" s="3"/>
      <c r="D15465" s="3"/>
      <c r="E15465" s="3">
        <v>2</v>
      </c>
      <c r="F15465" s="4" t="str">
        <f>HYPERLINK("http://141.218.60.56/~jnz1568/getInfo.php?workbook=10_05.xlsx&amp;sheet=U0&amp;row=15465&amp;col=6&amp;number=3.1&amp;sourceID=14","3.1")</f>
        <v>3.1</v>
      </c>
      <c r="G15465" s="4" t="str">
        <f>HYPERLINK("http://141.218.60.56/~jnz1568/getInfo.php?workbook=10_05.xlsx&amp;sheet=U0&amp;row=15465&amp;col=7&amp;number=0.0444&amp;sourceID=14","0.0444")</f>
        <v>0.0444</v>
      </c>
    </row>
    <row r="15466" spans="1:7">
      <c r="A15466" s="3"/>
      <c r="B15466" s="3"/>
      <c r="C15466" s="3"/>
      <c r="D15466" s="3"/>
      <c r="E15466" s="3">
        <v>3</v>
      </c>
      <c r="F15466" s="4" t="str">
        <f>HYPERLINK("http://141.218.60.56/~jnz1568/getInfo.php?workbook=10_05.xlsx&amp;sheet=U0&amp;row=15466&amp;col=6&amp;number=3.2&amp;sourceID=14","3.2")</f>
        <v>3.2</v>
      </c>
      <c r="G15466" s="4" t="str">
        <f>HYPERLINK("http://141.218.60.56/~jnz1568/getInfo.php?workbook=10_05.xlsx&amp;sheet=U0&amp;row=15466&amp;col=7&amp;number=0.0435&amp;sourceID=14","0.0435")</f>
        <v>0.0435</v>
      </c>
    </row>
    <row r="15467" spans="1:7">
      <c r="A15467" s="3"/>
      <c r="B15467" s="3"/>
      <c r="C15467" s="3"/>
      <c r="D15467" s="3"/>
      <c r="E15467" s="3">
        <v>4</v>
      </c>
      <c r="F15467" s="4" t="str">
        <f>HYPERLINK("http://141.218.60.56/~jnz1568/getInfo.php?workbook=10_05.xlsx&amp;sheet=U0&amp;row=15467&amp;col=6&amp;number=3.3&amp;sourceID=14","3.3")</f>
        <v>3.3</v>
      </c>
      <c r="G15467" s="4" t="str">
        <f>HYPERLINK("http://141.218.60.56/~jnz1568/getInfo.php?workbook=10_05.xlsx&amp;sheet=U0&amp;row=15467&amp;col=7&amp;number=0.0423&amp;sourceID=14","0.0423")</f>
        <v>0.0423</v>
      </c>
    </row>
    <row r="15468" spans="1:7">
      <c r="A15468" s="3"/>
      <c r="B15468" s="3"/>
      <c r="C15468" s="3"/>
      <c r="D15468" s="3"/>
      <c r="E15468" s="3">
        <v>5</v>
      </c>
      <c r="F15468" s="4" t="str">
        <f>HYPERLINK("http://141.218.60.56/~jnz1568/getInfo.php?workbook=10_05.xlsx&amp;sheet=U0&amp;row=15468&amp;col=6&amp;number=3.4&amp;sourceID=14","3.4")</f>
        <v>3.4</v>
      </c>
      <c r="G15468" s="4" t="str">
        <f>HYPERLINK("http://141.218.60.56/~jnz1568/getInfo.php?workbook=10_05.xlsx&amp;sheet=U0&amp;row=15468&amp;col=7&amp;number=0.0408&amp;sourceID=14","0.0408")</f>
        <v>0.0408</v>
      </c>
    </row>
    <row r="15469" spans="1:7">
      <c r="A15469" s="3"/>
      <c r="B15469" s="3"/>
      <c r="C15469" s="3"/>
      <c r="D15469" s="3"/>
      <c r="E15469" s="3">
        <v>6</v>
      </c>
      <c r="F15469" s="4" t="str">
        <f>HYPERLINK("http://141.218.60.56/~jnz1568/getInfo.php?workbook=10_05.xlsx&amp;sheet=U0&amp;row=15469&amp;col=6&amp;number=3.5&amp;sourceID=14","3.5")</f>
        <v>3.5</v>
      </c>
      <c r="G15469" s="4" t="str">
        <f>HYPERLINK("http://141.218.60.56/~jnz1568/getInfo.php?workbook=10_05.xlsx&amp;sheet=U0&amp;row=15469&amp;col=7&amp;number=0.0391&amp;sourceID=14","0.0391")</f>
        <v>0.0391</v>
      </c>
    </row>
    <row r="15470" spans="1:7">
      <c r="A15470" s="3"/>
      <c r="B15470" s="3"/>
      <c r="C15470" s="3"/>
      <c r="D15470" s="3"/>
      <c r="E15470" s="3">
        <v>7</v>
      </c>
      <c r="F15470" s="4" t="str">
        <f>HYPERLINK("http://141.218.60.56/~jnz1568/getInfo.php?workbook=10_05.xlsx&amp;sheet=U0&amp;row=15470&amp;col=6&amp;number=3.6&amp;sourceID=14","3.6")</f>
        <v>3.6</v>
      </c>
      <c r="G15470" s="4" t="str">
        <f>HYPERLINK("http://141.218.60.56/~jnz1568/getInfo.php?workbook=10_05.xlsx&amp;sheet=U0&amp;row=15470&amp;col=7&amp;number=0.0371&amp;sourceID=14","0.0371")</f>
        <v>0.0371</v>
      </c>
    </row>
    <row r="15471" spans="1:7">
      <c r="A15471" s="3"/>
      <c r="B15471" s="3"/>
      <c r="C15471" s="3"/>
      <c r="D15471" s="3"/>
      <c r="E15471" s="3">
        <v>8</v>
      </c>
      <c r="F15471" s="4" t="str">
        <f>HYPERLINK("http://141.218.60.56/~jnz1568/getInfo.php?workbook=10_05.xlsx&amp;sheet=U0&amp;row=15471&amp;col=6&amp;number=3.7&amp;sourceID=14","3.7")</f>
        <v>3.7</v>
      </c>
      <c r="G15471" s="4" t="str">
        <f>HYPERLINK("http://141.218.60.56/~jnz1568/getInfo.php?workbook=10_05.xlsx&amp;sheet=U0&amp;row=15471&amp;col=7&amp;number=0.0348&amp;sourceID=14","0.0348")</f>
        <v>0.0348</v>
      </c>
    </row>
    <row r="15472" spans="1:7">
      <c r="A15472" s="3"/>
      <c r="B15472" s="3"/>
      <c r="C15472" s="3"/>
      <c r="D15472" s="3"/>
      <c r="E15472" s="3">
        <v>9</v>
      </c>
      <c r="F15472" s="4" t="str">
        <f>HYPERLINK("http://141.218.60.56/~jnz1568/getInfo.php?workbook=10_05.xlsx&amp;sheet=U0&amp;row=15472&amp;col=6&amp;number=3.8&amp;sourceID=14","3.8")</f>
        <v>3.8</v>
      </c>
      <c r="G15472" s="4" t="str">
        <f>HYPERLINK("http://141.218.60.56/~jnz1568/getInfo.php?workbook=10_05.xlsx&amp;sheet=U0&amp;row=15472&amp;col=7&amp;number=0.0322&amp;sourceID=14","0.0322")</f>
        <v>0.0322</v>
      </c>
    </row>
    <row r="15473" spans="1:7">
      <c r="A15473" s="3"/>
      <c r="B15473" s="3"/>
      <c r="C15473" s="3"/>
      <c r="D15473" s="3"/>
      <c r="E15473" s="3">
        <v>10</v>
      </c>
      <c r="F15473" s="4" t="str">
        <f>HYPERLINK("http://141.218.60.56/~jnz1568/getInfo.php?workbook=10_05.xlsx&amp;sheet=U0&amp;row=15473&amp;col=6&amp;number=3.9&amp;sourceID=14","3.9")</f>
        <v>3.9</v>
      </c>
      <c r="G15473" s="4" t="str">
        <f>HYPERLINK("http://141.218.60.56/~jnz1568/getInfo.php?workbook=10_05.xlsx&amp;sheet=U0&amp;row=15473&amp;col=7&amp;number=0.0297&amp;sourceID=14","0.0297")</f>
        <v>0.0297</v>
      </c>
    </row>
    <row r="15474" spans="1:7">
      <c r="A15474" s="3"/>
      <c r="B15474" s="3"/>
      <c r="C15474" s="3"/>
      <c r="D15474" s="3"/>
      <c r="E15474" s="3">
        <v>11</v>
      </c>
      <c r="F15474" s="4" t="str">
        <f>HYPERLINK("http://141.218.60.56/~jnz1568/getInfo.php?workbook=10_05.xlsx&amp;sheet=U0&amp;row=15474&amp;col=6&amp;number=4&amp;sourceID=14","4")</f>
        <v>4</v>
      </c>
      <c r="G15474" s="4" t="str">
        <f>HYPERLINK("http://141.218.60.56/~jnz1568/getInfo.php?workbook=10_05.xlsx&amp;sheet=U0&amp;row=15474&amp;col=7&amp;number=0.0274&amp;sourceID=14","0.0274")</f>
        <v>0.0274</v>
      </c>
    </row>
    <row r="15475" spans="1:7">
      <c r="A15475" s="3"/>
      <c r="B15475" s="3"/>
      <c r="C15475" s="3"/>
      <c r="D15475" s="3"/>
      <c r="E15475" s="3">
        <v>12</v>
      </c>
      <c r="F15475" s="4" t="str">
        <f>HYPERLINK("http://141.218.60.56/~jnz1568/getInfo.php?workbook=10_05.xlsx&amp;sheet=U0&amp;row=15475&amp;col=6&amp;number=4.1&amp;sourceID=14","4.1")</f>
        <v>4.1</v>
      </c>
      <c r="G15475" s="4" t="str">
        <f>HYPERLINK("http://141.218.60.56/~jnz1568/getInfo.php?workbook=10_05.xlsx&amp;sheet=U0&amp;row=15475&amp;col=7&amp;number=0.0256&amp;sourceID=14","0.0256")</f>
        <v>0.0256</v>
      </c>
    </row>
    <row r="15476" spans="1:7">
      <c r="A15476" s="3"/>
      <c r="B15476" s="3"/>
      <c r="C15476" s="3"/>
      <c r="D15476" s="3"/>
      <c r="E15476" s="3">
        <v>13</v>
      </c>
      <c r="F15476" s="4" t="str">
        <f>HYPERLINK("http://141.218.60.56/~jnz1568/getInfo.php?workbook=10_05.xlsx&amp;sheet=U0&amp;row=15476&amp;col=6&amp;number=4.2&amp;sourceID=14","4.2")</f>
        <v>4.2</v>
      </c>
      <c r="G15476" s="4" t="str">
        <f>HYPERLINK("http://141.218.60.56/~jnz1568/getInfo.php?workbook=10_05.xlsx&amp;sheet=U0&amp;row=15476&amp;col=7&amp;number=0.0242&amp;sourceID=14","0.0242")</f>
        <v>0.0242</v>
      </c>
    </row>
    <row r="15477" spans="1:7">
      <c r="A15477" s="3"/>
      <c r="B15477" s="3"/>
      <c r="C15477" s="3"/>
      <c r="D15477" s="3"/>
      <c r="E15477" s="3">
        <v>14</v>
      </c>
      <c r="F15477" s="4" t="str">
        <f>HYPERLINK("http://141.218.60.56/~jnz1568/getInfo.php?workbook=10_05.xlsx&amp;sheet=U0&amp;row=15477&amp;col=6&amp;number=4.3&amp;sourceID=14","4.3")</f>
        <v>4.3</v>
      </c>
      <c r="G15477" s="4" t="str">
        <f>HYPERLINK("http://141.218.60.56/~jnz1568/getInfo.php?workbook=10_05.xlsx&amp;sheet=U0&amp;row=15477&amp;col=7&amp;number=0.0228&amp;sourceID=14","0.0228")</f>
        <v>0.0228</v>
      </c>
    </row>
    <row r="15478" spans="1:7">
      <c r="A15478" s="3"/>
      <c r="B15478" s="3"/>
      <c r="C15478" s="3"/>
      <c r="D15478" s="3"/>
      <c r="E15478" s="3">
        <v>15</v>
      </c>
      <c r="F15478" s="4" t="str">
        <f>HYPERLINK("http://141.218.60.56/~jnz1568/getInfo.php?workbook=10_05.xlsx&amp;sheet=U0&amp;row=15478&amp;col=6&amp;number=4.4&amp;sourceID=14","4.4")</f>
        <v>4.4</v>
      </c>
      <c r="G15478" s="4" t="str">
        <f>HYPERLINK("http://141.218.60.56/~jnz1568/getInfo.php?workbook=10_05.xlsx&amp;sheet=U0&amp;row=15478&amp;col=7&amp;number=0.0213&amp;sourceID=14","0.0213")</f>
        <v>0.0213</v>
      </c>
    </row>
    <row r="15479" spans="1:7">
      <c r="A15479" s="3"/>
      <c r="B15479" s="3"/>
      <c r="C15479" s="3"/>
      <c r="D15479" s="3"/>
      <c r="E15479" s="3">
        <v>16</v>
      </c>
      <c r="F15479" s="4" t="str">
        <f>HYPERLINK("http://141.218.60.56/~jnz1568/getInfo.php?workbook=10_05.xlsx&amp;sheet=U0&amp;row=15479&amp;col=6&amp;number=4.5&amp;sourceID=14","4.5")</f>
        <v>4.5</v>
      </c>
      <c r="G15479" s="4" t="str">
        <f>HYPERLINK("http://141.218.60.56/~jnz1568/getInfo.php?workbook=10_05.xlsx&amp;sheet=U0&amp;row=15479&amp;col=7&amp;number=0.0198&amp;sourceID=14","0.0198")</f>
        <v>0.0198</v>
      </c>
    </row>
    <row r="15480" spans="1:7">
      <c r="A15480" s="3"/>
      <c r="B15480" s="3"/>
      <c r="C15480" s="3"/>
      <c r="D15480" s="3"/>
      <c r="E15480" s="3">
        <v>17</v>
      </c>
      <c r="F15480" s="4" t="str">
        <f>HYPERLINK("http://141.218.60.56/~jnz1568/getInfo.php?workbook=10_05.xlsx&amp;sheet=U0&amp;row=15480&amp;col=6&amp;number=4.6&amp;sourceID=14","4.6")</f>
        <v>4.6</v>
      </c>
      <c r="G15480" s="4" t="str">
        <f>HYPERLINK("http://141.218.60.56/~jnz1568/getInfo.php?workbook=10_05.xlsx&amp;sheet=U0&amp;row=15480&amp;col=7&amp;number=0.0184&amp;sourceID=14","0.0184")</f>
        <v>0.0184</v>
      </c>
    </row>
    <row r="15481" spans="1:7">
      <c r="A15481" s="3"/>
      <c r="B15481" s="3"/>
      <c r="C15481" s="3"/>
      <c r="D15481" s="3"/>
      <c r="E15481" s="3">
        <v>18</v>
      </c>
      <c r="F15481" s="4" t="str">
        <f>HYPERLINK("http://141.218.60.56/~jnz1568/getInfo.php?workbook=10_05.xlsx&amp;sheet=U0&amp;row=15481&amp;col=6&amp;number=4.7&amp;sourceID=14","4.7")</f>
        <v>4.7</v>
      </c>
      <c r="G15481" s="4" t="str">
        <f>HYPERLINK("http://141.218.60.56/~jnz1568/getInfo.php?workbook=10_05.xlsx&amp;sheet=U0&amp;row=15481&amp;col=7&amp;number=0.017&amp;sourceID=14","0.017")</f>
        <v>0.017</v>
      </c>
    </row>
    <row r="15482" spans="1:7">
      <c r="A15482" s="3"/>
      <c r="B15482" s="3"/>
      <c r="C15482" s="3"/>
      <c r="D15482" s="3"/>
      <c r="E15482" s="3">
        <v>19</v>
      </c>
      <c r="F15482" s="4" t="str">
        <f>HYPERLINK("http://141.218.60.56/~jnz1568/getInfo.php?workbook=10_05.xlsx&amp;sheet=U0&amp;row=15482&amp;col=6&amp;number=4.8&amp;sourceID=14","4.8")</f>
        <v>4.8</v>
      </c>
      <c r="G15482" s="4" t="str">
        <f>HYPERLINK("http://141.218.60.56/~jnz1568/getInfo.php?workbook=10_05.xlsx&amp;sheet=U0&amp;row=15482&amp;col=7&amp;number=0.0155&amp;sourceID=14","0.0155")</f>
        <v>0.0155</v>
      </c>
    </row>
    <row r="15483" spans="1:7">
      <c r="A15483" s="3"/>
      <c r="B15483" s="3"/>
      <c r="C15483" s="3"/>
      <c r="D15483" s="3"/>
      <c r="E15483" s="3">
        <v>20</v>
      </c>
      <c r="F15483" s="4" t="str">
        <f>HYPERLINK("http://141.218.60.56/~jnz1568/getInfo.php?workbook=10_05.xlsx&amp;sheet=U0&amp;row=15483&amp;col=6&amp;number=4.9&amp;sourceID=14","4.9")</f>
        <v>4.9</v>
      </c>
      <c r="G15483" s="4" t="str">
        <f>HYPERLINK("http://141.218.60.56/~jnz1568/getInfo.php?workbook=10_05.xlsx&amp;sheet=U0&amp;row=15483&amp;col=7&amp;number=0.0139&amp;sourceID=14","0.0139")</f>
        <v>0.0139</v>
      </c>
    </row>
    <row r="15484" spans="1:7">
      <c r="A15484" s="3">
        <v>10</v>
      </c>
      <c r="B15484" s="3">
        <v>5</v>
      </c>
      <c r="C15484" s="3">
        <v>5</v>
      </c>
      <c r="D15484" s="3">
        <v>70</v>
      </c>
      <c r="E15484" s="3">
        <v>1</v>
      </c>
      <c r="F15484" s="4" t="str">
        <f>HYPERLINK("http://141.218.60.56/~jnz1568/getInfo.php?workbook=10_05.xlsx&amp;sheet=U0&amp;row=15484&amp;col=6&amp;number=3&amp;sourceID=14","3")</f>
        <v>3</v>
      </c>
      <c r="G15484" s="4" t="str">
        <f>HYPERLINK("http://141.218.60.56/~jnz1568/getInfo.php?workbook=10_05.xlsx&amp;sheet=U0&amp;row=15484&amp;col=7&amp;number=0.03&amp;sourceID=14","0.03")</f>
        <v>0.03</v>
      </c>
    </row>
    <row r="15485" spans="1:7">
      <c r="A15485" s="3"/>
      <c r="B15485" s="3"/>
      <c r="C15485" s="3"/>
      <c r="D15485" s="3"/>
      <c r="E15485" s="3">
        <v>2</v>
      </c>
      <c r="F15485" s="4" t="str">
        <f>HYPERLINK("http://141.218.60.56/~jnz1568/getInfo.php?workbook=10_05.xlsx&amp;sheet=U0&amp;row=15485&amp;col=6&amp;number=3.1&amp;sourceID=14","3.1")</f>
        <v>3.1</v>
      </c>
      <c r="G15485" s="4" t="str">
        <f>HYPERLINK("http://141.218.60.56/~jnz1568/getInfo.php?workbook=10_05.xlsx&amp;sheet=U0&amp;row=15485&amp;col=7&amp;number=0.0296&amp;sourceID=14","0.0296")</f>
        <v>0.0296</v>
      </c>
    </row>
    <row r="15486" spans="1:7">
      <c r="A15486" s="3"/>
      <c r="B15486" s="3"/>
      <c r="C15486" s="3"/>
      <c r="D15486" s="3"/>
      <c r="E15486" s="3">
        <v>3</v>
      </c>
      <c r="F15486" s="4" t="str">
        <f>HYPERLINK("http://141.218.60.56/~jnz1568/getInfo.php?workbook=10_05.xlsx&amp;sheet=U0&amp;row=15486&amp;col=6&amp;number=3.2&amp;sourceID=14","3.2")</f>
        <v>3.2</v>
      </c>
      <c r="G15486" s="4" t="str">
        <f>HYPERLINK("http://141.218.60.56/~jnz1568/getInfo.php?workbook=10_05.xlsx&amp;sheet=U0&amp;row=15486&amp;col=7&amp;number=0.0292&amp;sourceID=14","0.0292")</f>
        <v>0.0292</v>
      </c>
    </row>
    <row r="15487" spans="1:7">
      <c r="A15487" s="3"/>
      <c r="B15487" s="3"/>
      <c r="C15487" s="3"/>
      <c r="D15487" s="3"/>
      <c r="E15487" s="3">
        <v>4</v>
      </c>
      <c r="F15487" s="4" t="str">
        <f>HYPERLINK("http://141.218.60.56/~jnz1568/getInfo.php?workbook=10_05.xlsx&amp;sheet=U0&amp;row=15487&amp;col=6&amp;number=3.3&amp;sourceID=14","3.3")</f>
        <v>3.3</v>
      </c>
      <c r="G15487" s="4" t="str">
        <f>HYPERLINK("http://141.218.60.56/~jnz1568/getInfo.php?workbook=10_05.xlsx&amp;sheet=U0&amp;row=15487&amp;col=7&amp;number=0.0287&amp;sourceID=14","0.0287")</f>
        <v>0.0287</v>
      </c>
    </row>
    <row r="15488" spans="1:7">
      <c r="A15488" s="3"/>
      <c r="B15488" s="3"/>
      <c r="C15488" s="3"/>
      <c r="D15488" s="3"/>
      <c r="E15488" s="3">
        <v>5</v>
      </c>
      <c r="F15488" s="4" t="str">
        <f>HYPERLINK("http://141.218.60.56/~jnz1568/getInfo.php?workbook=10_05.xlsx&amp;sheet=U0&amp;row=15488&amp;col=6&amp;number=3.4&amp;sourceID=14","3.4")</f>
        <v>3.4</v>
      </c>
      <c r="G15488" s="4" t="str">
        <f>HYPERLINK("http://141.218.60.56/~jnz1568/getInfo.php?workbook=10_05.xlsx&amp;sheet=U0&amp;row=15488&amp;col=7&amp;number=0.0281&amp;sourceID=14","0.0281")</f>
        <v>0.0281</v>
      </c>
    </row>
    <row r="15489" spans="1:7">
      <c r="A15489" s="3"/>
      <c r="B15489" s="3"/>
      <c r="C15489" s="3"/>
      <c r="D15489" s="3"/>
      <c r="E15489" s="3">
        <v>6</v>
      </c>
      <c r="F15489" s="4" t="str">
        <f>HYPERLINK("http://141.218.60.56/~jnz1568/getInfo.php?workbook=10_05.xlsx&amp;sheet=U0&amp;row=15489&amp;col=6&amp;number=3.5&amp;sourceID=14","3.5")</f>
        <v>3.5</v>
      </c>
      <c r="G15489" s="4" t="str">
        <f>HYPERLINK("http://141.218.60.56/~jnz1568/getInfo.php?workbook=10_05.xlsx&amp;sheet=U0&amp;row=15489&amp;col=7&amp;number=0.0274&amp;sourceID=14","0.0274")</f>
        <v>0.0274</v>
      </c>
    </row>
    <row r="15490" spans="1:7">
      <c r="A15490" s="3"/>
      <c r="B15490" s="3"/>
      <c r="C15490" s="3"/>
      <c r="D15490" s="3"/>
      <c r="E15490" s="3">
        <v>7</v>
      </c>
      <c r="F15490" s="4" t="str">
        <f>HYPERLINK("http://141.218.60.56/~jnz1568/getInfo.php?workbook=10_05.xlsx&amp;sheet=U0&amp;row=15490&amp;col=6&amp;number=3.6&amp;sourceID=14","3.6")</f>
        <v>3.6</v>
      </c>
      <c r="G15490" s="4" t="str">
        <f>HYPERLINK("http://141.218.60.56/~jnz1568/getInfo.php?workbook=10_05.xlsx&amp;sheet=U0&amp;row=15490&amp;col=7&amp;number=0.0267&amp;sourceID=14","0.0267")</f>
        <v>0.0267</v>
      </c>
    </row>
    <row r="15491" spans="1:7">
      <c r="A15491" s="3"/>
      <c r="B15491" s="3"/>
      <c r="C15491" s="3"/>
      <c r="D15491" s="3"/>
      <c r="E15491" s="3">
        <v>8</v>
      </c>
      <c r="F15491" s="4" t="str">
        <f>HYPERLINK("http://141.218.60.56/~jnz1568/getInfo.php?workbook=10_05.xlsx&amp;sheet=U0&amp;row=15491&amp;col=6&amp;number=3.7&amp;sourceID=14","3.7")</f>
        <v>3.7</v>
      </c>
      <c r="G15491" s="4" t="str">
        <f>HYPERLINK("http://141.218.60.56/~jnz1568/getInfo.php?workbook=10_05.xlsx&amp;sheet=U0&amp;row=15491&amp;col=7&amp;number=0.0259&amp;sourceID=14","0.0259")</f>
        <v>0.0259</v>
      </c>
    </row>
    <row r="15492" spans="1:7">
      <c r="A15492" s="3"/>
      <c r="B15492" s="3"/>
      <c r="C15492" s="3"/>
      <c r="D15492" s="3"/>
      <c r="E15492" s="3">
        <v>9</v>
      </c>
      <c r="F15492" s="4" t="str">
        <f>HYPERLINK("http://141.218.60.56/~jnz1568/getInfo.php?workbook=10_05.xlsx&amp;sheet=U0&amp;row=15492&amp;col=6&amp;number=3.8&amp;sourceID=14","3.8")</f>
        <v>3.8</v>
      </c>
      <c r="G15492" s="4" t="str">
        <f>HYPERLINK("http://141.218.60.56/~jnz1568/getInfo.php?workbook=10_05.xlsx&amp;sheet=U0&amp;row=15492&amp;col=7&amp;number=0.0252&amp;sourceID=14","0.0252")</f>
        <v>0.0252</v>
      </c>
    </row>
    <row r="15493" spans="1:7">
      <c r="A15493" s="3"/>
      <c r="B15493" s="3"/>
      <c r="C15493" s="3"/>
      <c r="D15493" s="3"/>
      <c r="E15493" s="3">
        <v>10</v>
      </c>
      <c r="F15493" s="4" t="str">
        <f>HYPERLINK("http://141.218.60.56/~jnz1568/getInfo.php?workbook=10_05.xlsx&amp;sheet=U0&amp;row=15493&amp;col=6&amp;number=3.9&amp;sourceID=14","3.9")</f>
        <v>3.9</v>
      </c>
      <c r="G15493" s="4" t="str">
        <f>HYPERLINK("http://141.218.60.56/~jnz1568/getInfo.php?workbook=10_05.xlsx&amp;sheet=U0&amp;row=15493&amp;col=7&amp;number=0.0248&amp;sourceID=14","0.0248")</f>
        <v>0.0248</v>
      </c>
    </row>
    <row r="15494" spans="1:7">
      <c r="A15494" s="3"/>
      <c r="B15494" s="3"/>
      <c r="C15494" s="3"/>
      <c r="D15494" s="3"/>
      <c r="E15494" s="3">
        <v>11</v>
      </c>
      <c r="F15494" s="4" t="str">
        <f>HYPERLINK("http://141.218.60.56/~jnz1568/getInfo.php?workbook=10_05.xlsx&amp;sheet=U0&amp;row=15494&amp;col=6&amp;number=4&amp;sourceID=14","4")</f>
        <v>4</v>
      </c>
      <c r="G15494" s="4" t="str">
        <f>HYPERLINK("http://141.218.60.56/~jnz1568/getInfo.php?workbook=10_05.xlsx&amp;sheet=U0&amp;row=15494&amp;col=7&amp;number=0.0246&amp;sourceID=14","0.0246")</f>
        <v>0.0246</v>
      </c>
    </row>
    <row r="15495" spans="1:7">
      <c r="A15495" s="3"/>
      <c r="B15495" s="3"/>
      <c r="C15495" s="3"/>
      <c r="D15495" s="3"/>
      <c r="E15495" s="3">
        <v>12</v>
      </c>
      <c r="F15495" s="4" t="str">
        <f>HYPERLINK("http://141.218.60.56/~jnz1568/getInfo.php?workbook=10_05.xlsx&amp;sheet=U0&amp;row=15495&amp;col=6&amp;number=4.1&amp;sourceID=14","4.1")</f>
        <v>4.1</v>
      </c>
      <c r="G15495" s="4" t="str">
        <f>HYPERLINK("http://141.218.60.56/~jnz1568/getInfo.php?workbook=10_05.xlsx&amp;sheet=U0&amp;row=15495&amp;col=7&amp;number=0.0246&amp;sourceID=14","0.0246")</f>
        <v>0.0246</v>
      </c>
    </row>
    <row r="15496" spans="1:7">
      <c r="A15496" s="3"/>
      <c r="B15496" s="3"/>
      <c r="C15496" s="3"/>
      <c r="D15496" s="3"/>
      <c r="E15496" s="3">
        <v>13</v>
      </c>
      <c r="F15496" s="4" t="str">
        <f>HYPERLINK("http://141.218.60.56/~jnz1568/getInfo.php?workbook=10_05.xlsx&amp;sheet=U0&amp;row=15496&amp;col=6&amp;number=4.2&amp;sourceID=14","4.2")</f>
        <v>4.2</v>
      </c>
      <c r="G15496" s="4" t="str">
        <f>HYPERLINK("http://141.218.60.56/~jnz1568/getInfo.php?workbook=10_05.xlsx&amp;sheet=U0&amp;row=15496&amp;col=7&amp;number=0.0244&amp;sourceID=14","0.0244")</f>
        <v>0.0244</v>
      </c>
    </row>
    <row r="15497" spans="1:7">
      <c r="A15497" s="3"/>
      <c r="B15497" s="3"/>
      <c r="C15497" s="3"/>
      <c r="D15497" s="3"/>
      <c r="E15497" s="3">
        <v>14</v>
      </c>
      <c r="F15497" s="4" t="str">
        <f>HYPERLINK("http://141.218.60.56/~jnz1568/getInfo.php?workbook=10_05.xlsx&amp;sheet=U0&amp;row=15497&amp;col=6&amp;number=4.3&amp;sourceID=14","4.3")</f>
        <v>4.3</v>
      </c>
      <c r="G15497" s="4" t="str">
        <f>HYPERLINK("http://141.218.60.56/~jnz1568/getInfo.php?workbook=10_05.xlsx&amp;sheet=U0&amp;row=15497&amp;col=7&amp;number=0.0239&amp;sourceID=14","0.0239")</f>
        <v>0.0239</v>
      </c>
    </row>
    <row r="15498" spans="1:7">
      <c r="A15498" s="3"/>
      <c r="B15498" s="3"/>
      <c r="C15498" s="3"/>
      <c r="D15498" s="3"/>
      <c r="E15498" s="3">
        <v>15</v>
      </c>
      <c r="F15498" s="4" t="str">
        <f>HYPERLINK("http://141.218.60.56/~jnz1568/getInfo.php?workbook=10_05.xlsx&amp;sheet=U0&amp;row=15498&amp;col=6&amp;number=4.4&amp;sourceID=14","4.4")</f>
        <v>4.4</v>
      </c>
      <c r="G15498" s="4" t="str">
        <f>HYPERLINK("http://141.218.60.56/~jnz1568/getInfo.php?workbook=10_05.xlsx&amp;sheet=U0&amp;row=15498&amp;col=7&amp;number=0.0232&amp;sourceID=14","0.0232")</f>
        <v>0.0232</v>
      </c>
    </row>
    <row r="15499" spans="1:7">
      <c r="A15499" s="3"/>
      <c r="B15499" s="3"/>
      <c r="C15499" s="3"/>
      <c r="D15499" s="3"/>
      <c r="E15499" s="3">
        <v>16</v>
      </c>
      <c r="F15499" s="4" t="str">
        <f>HYPERLINK("http://141.218.60.56/~jnz1568/getInfo.php?workbook=10_05.xlsx&amp;sheet=U0&amp;row=15499&amp;col=6&amp;number=4.5&amp;sourceID=14","4.5")</f>
        <v>4.5</v>
      </c>
      <c r="G15499" s="4" t="str">
        <f>HYPERLINK("http://141.218.60.56/~jnz1568/getInfo.php?workbook=10_05.xlsx&amp;sheet=U0&amp;row=15499&amp;col=7&amp;number=0.0223&amp;sourceID=14","0.0223")</f>
        <v>0.0223</v>
      </c>
    </row>
    <row r="15500" spans="1:7">
      <c r="A15500" s="3"/>
      <c r="B15500" s="3"/>
      <c r="C15500" s="3"/>
      <c r="D15500" s="3"/>
      <c r="E15500" s="3">
        <v>17</v>
      </c>
      <c r="F15500" s="4" t="str">
        <f>HYPERLINK("http://141.218.60.56/~jnz1568/getInfo.php?workbook=10_05.xlsx&amp;sheet=U0&amp;row=15500&amp;col=6&amp;number=4.6&amp;sourceID=14","4.6")</f>
        <v>4.6</v>
      </c>
      <c r="G15500" s="4" t="str">
        <f>HYPERLINK("http://141.218.60.56/~jnz1568/getInfo.php?workbook=10_05.xlsx&amp;sheet=U0&amp;row=15500&amp;col=7&amp;number=0.021&amp;sourceID=14","0.021")</f>
        <v>0.021</v>
      </c>
    </row>
    <row r="15501" spans="1:7">
      <c r="A15501" s="3"/>
      <c r="B15501" s="3"/>
      <c r="C15501" s="3"/>
      <c r="D15501" s="3"/>
      <c r="E15501" s="3">
        <v>18</v>
      </c>
      <c r="F15501" s="4" t="str">
        <f>HYPERLINK("http://141.218.60.56/~jnz1568/getInfo.php?workbook=10_05.xlsx&amp;sheet=U0&amp;row=15501&amp;col=6&amp;number=4.7&amp;sourceID=14","4.7")</f>
        <v>4.7</v>
      </c>
      <c r="G15501" s="4" t="str">
        <f>HYPERLINK("http://141.218.60.56/~jnz1568/getInfo.php?workbook=10_05.xlsx&amp;sheet=U0&amp;row=15501&amp;col=7&amp;number=0.0194&amp;sourceID=14","0.0194")</f>
        <v>0.0194</v>
      </c>
    </row>
    <row r="15502" spans="1:7">
      <c r="A15502" s="3"/>
      <c r="B15502" s="3"/>
      <c r="C15502" s="3"/>
      <c r="D15502" s="3"/>
      <c r="E15502" s="3">
        <v>19</v>
      </c>
      <c r="F15502" s="4" t="str">
        <f>HYPERLINK("http://141.218.60.56/~jnz1568/getInfo.php?workbook=10_05.xlsx&amp;sheet=U0&amp;row=15502&amp;col=6&amp;number=4.8&amp;sourceID=14","4.8")</f>
        <v>4.8</v>
      </c>
      <c r="G15502" s="4" t="str">
        <f>HYPERLINK("http://141.218.60.56/~jnz1568/getInfo.php?workbook=10_05.xlsx&amp;sheet=U0&amp;row=15502&amp;col=7&amp;number=0.0176&amp;sourceID=14","0.0176")</f>
        <v>0.0176</v>
      </c>
    </row>
    <row r="15503" spans="1:7">
      <c r="A15503" s="3"/>
      <c r="B15503" s="3"/>
      <c r="C15503" s="3"/>
      <c r="D15503" s="3"/>
      <c r="E15503" s="3">
        <v>20</v>
      </c>
      <c r="F15503" s="4" t="str">
        <f>HYPERLINK("http://141.218.60.56/~jnz1568/getInfo.php?workbook=10_05.xlsx&amp;sheet=U0&amp;row=15503&amp;col=6&amp;number=4.9&amp;sourceID=14","4.9")</f>
        <v>4.9</v>
      </c>
      <c r="G15503" s="4" t="str">
        <f>HYPERLINK("http://141.218.60.56/~jnz1568/getInfo.php?workbook=10_05.xlsx&amp;sheet=U0&amp;row=15503&amp;col=7&amp;number=0.0156&amp;sourceID=14","0.0156")</f>
        <v>0.0156</v>
      </c>
    </row>
    <row r="15504" spans="1:7">
      <c r="A15504" s="3">
        <v>10</v>
      </c>
      <c r="B15504" s="3">
        <v>5</v>
      </c>
      <c r="C15504" s="3">
        <v>5</v>
      </c>
      <c r="D15504" s="3">
        <v>71</v>
      </c>
      <c r="E15504" s="3">
        <v>1</v>
      </c>
      <c r="F15504" s="4" t="str">
        <f>HYPERLINK("http://141.218.60.56/~jnz1568/getInfo.php?workbook=10_05.xlsx&amp;sheet=U0&amp;row=15504&amp;col=6&amp;number=3&amp;sourceID=14","3")</f>
        <v>3</v>
      </c>
      <c r="G15504" s="4" t="str">
        <f>HYPERLINK("http://141.218.60.56/~jnz1568/getInfo.php?workbook=10_05.xlsx&amp;sheet=U0&amp;row=15504&amp;col=7&amp;number=0.0673&amp;sourceID=14","0.0673")</f>
        <v>0.0673</v>
      </c>
    </row>
    <row r="15505" spans="1:7">
      <c r="A15505" s="3"/>
      <c r="B15505" s="3"/>
      <c r="C15505" s="3"/>
      <c r="D15505" s="3"/>
      <c r="E15505" s="3">
        <v>2</v>
      </c>
      <c r="F15505" s="4" t="str">
        <f>HYPERLINK("http://141.218.60.56/~jnz1568/getInfo.php?workbook=10_05.xlsx&amp;sheet=U0&amp;row=15505&amp;col=6&amp;number=3.1&amp;sourceID=14","3.1")</f>
        <v>3.1</v>
      </c>
      <c r="G15505" s="4" t="str">
        <f>HYPERLINK("http://141.218.60.56/~jnz1568/getInfo.php?workbook=10_05.xlsx&amp;sheet=U0&amp;row=15505&amp;col=7&amp;number=0.0669&amp;sourceID=14","0.0669")</f>
        <v>0.0669</v>
      </c>
    </row>
    <row r="15506" spans="1:7">
      <c r="A15506" s="3"/>
      <c r="B15506" s="3"/>
      <c r="C15506" s="3"/>
      <c r="D15506" s="3"/>
      <c r="E15506" s="3">
        <v>3</v>
      </c>
      <c r="F15506" s="4" t="str">
        <f>HYPERLINK("http://141.218.60.56/~jnz1568/getInfo.php?workbook=10_05.xlsx&amp;sheet=U0&amp;row=15506&amp;col=6&amp;number=3.2&amp;sourceID=14","3.2")</f>
        <v>3.2</v>
      </c>
      <c r="G15506" s="4" t="str">
        <f>HYPERLINK("http://141.218.60.56/~jnz1568/getInfo.php?workbook=10_05.xlsx&amp;sheet=U0&amp;row=15506&amp;col=7&amp;number=0.0664&amp;sourceID=14","0.0664")</f>
        <v>0.0664</v>
      </c>
    </row>
    <row r="15507" spans="1:7">
      <c r="A15507" s="3"/>
      <c r="B15507" s="3"/>
      <c r="C15507" s="3"/>
      <c r="D15507" s="3"/>
      <c r="E15507" s="3">
        <v>4</v>
      </c>
      <c r="F15507" s="4" t="str">
        <f>HYPERLINK("http://141.218.60.56/~jnz1568/getInfo.php?workbook=10_05.xlsx&amp;sheet=U0&amp;row=15507&amp;col=6&amp;number=3.3&amp;sourceID=14","3.3")</f>
        <v>3.3</v>
      </c>
      <c r="G15507" s="4" t="str">
        <f>HYPERLINK("http://141.218.60.56/~jnz1568/getInfo.php?workbook=10_05.xlsx&amp;sheet=U0&amp;row=15507&amp;col=7&amp;number=0.0658&amp;sourceID=14","0.0658")</f>
        <v>0.0658</v>
      </c>
    </row>
    <row r="15508" spans="1:7">
      <c r="A15508" s="3"/>
      <c r="B15508" s="3"/>
      <c r="C15508" s="3"/>
      <c r="D15508" s="3"/>
      <c r="E15508" s="3">
        <v>5</v>
      </c>
      <c r="F15508" s="4" t="str">
        <f>HYPERLINK("http://141.218.60.56/~jnz1568/getInfo.php?workbook=10_05.xlsx&amp;sheet=U0&amp;row=15508&amp;col=6&amp;number=3.4&amp;sourceID=14","3.4")</f>
        <v>3.4</v>
      </c>
      <c r="G15508" s="4" t="str">
        <f>HYPERLINK("http://141.218.60.56/~jnz1568/getInfo.php?workbook=10_05.xlsx&amp;sheet=U0&amp;row=15508&amp;col=7&amp;number=0.065&amp;sourceID=14","0.065")</f>
        <v>0.065</v>
      </c>
    </row>
    <row r="15509" spans="1:7">
      <c r="A15509" s="3"/>
      <c r="B15509" s="3"/>
      <c r="C15509" s="3"/>
      <c r="D15509" s="3"/>
      <c r="E15509" s="3">
        <v>6</v>
      </c>
      <c r="F15509" s="4" t="str">
        <f>HYPERLINK("http://141.218.60.56/~jnz1568/getInfo.php?workbook=10_05.xlsx&amp;sheet=U0&amp;row=15509&amp;col=6&amp;number=3.5&amp;sourceID=14","3.5")</f>
        <v>3.5</v>
      </c>
      <c r="G15509" s="4" t="str">
        <f>HYPERLINK("http://141.218.60.56/~jnz1568/getInfo.php?workbook=10_05.xlsx&amp;sheet=U0&amp;row=15509&amp;col=7&amp;number=0.064&amp;sourceID=14","0.064")</f>
        <v>0.064</v>
      </c>
    </row>
    <row r="15510" spans="1:7">
      <c r="A15510" s="3"/>
      <c r="B15510" s="3"/>
      <c r="C15510" s="3"/>
      <c r="D15510" s="3"/>
      <c r="E15510" s="3">
        <v>7</v>
      </c>
      <c r="F15510" s="4" t="str">
        <f>HYPERLINK("http://141.218.60.56/~jnz1568/getInfo.php?workbook=10_05.xlsx&amp;sheet=U0&amp;row=15510&amp;col=6&amp;number=3.6&amp;sourceID=14","3.6")</f>
        <v>3.6</v>
      </c>
      <c r="G15510" s="4" t="str">
        <f>HYPERLINK("http://141.218.60.56/~jnz1568/getInfo.php?workbook=10_05.xlsx&amp;sheet=U0&amp;row=15510&amp;col=7&amp;number=0.0629&amp;sourceID=14","0.0629")</f>
        <v>0.0629</v>
      </c>
    </row>
    <row r="15511" spans="1:7">
      <c r="A15511" s="3"/>
      <c r="B15511" s="3"/>
      <c r="C15511" s="3"/>
      <c r="D15511" s="3"/>
      <c r="E15511" s="3">
        <v>8</v>
      </c>
      <c r="F15511" s="4" t="str">
        <f>HYPERLINK("http://141.218.60.56/~jnz1568/getInfo.php?workbook=10_05.xlsx&amp;sheet=U0&amp;row=15511&amp;col=6&amp;number=3.7&amp;sourceID=14","3.7")</f>
        <v>3.7</v>
      </c>
      <c r="G15511" s="4" t="str">
        <f>HYPERLINK("http://141.218.60.56/~jnz1568/getInfo.php?workbook=10_05.xlsx&amp;sheet=U0&amp;row=15511&amp;col=7&amp;number=0.0616&amp;sourceID=14","0.0616")</f>
        <v>0.0616</v>
      </c>
    </row>
    <row r="15512" spans="1:7">
      <c r="A15512" s="3"/>
      <c r="B15512" s="3"/>
      <c r="C15512" s="3"/>
      <c r="D15512" s="3"/>
      <c r="E15512" s="3">
        <v>9</v>
      </c>
      <c r="F15512" s="4" t="str">
        <f>HYPERLINK("http://141.218.60.56/~jnz1568/getInfo.php?workbook=10_05.xlsx&amp;sheet=U0&amp;row=15512&amp;col=6&amp;number=3.8&amp;sourceID=14","3.8")</f>
        <v>3.8</v>
      </c>
      <c r="G15512" s="4" t="str">
        <f>HYPERLINK("http://141.218.60.56/~jnz1568/getInfo.php?workbook=10_05.xlsx&amp;sheet=U0&amp;row=15512&amp;col=7&amp;number=0.0601&amp;sourceID=14","0.0601")</f>
        <v>0.0601</v>
      </c>
    </row>
    <row r="15513" spans="1:7">
      <c r="A15513" s="3"/>
      <c r="B15513" s="3"/>
      <c r="C15513" s="3"/>
      <c r="D15513" s="3"/>
      <c r="E15513" s="3">
        <v>10</v>
      </c>
      <c r="F15513" s="4" t="str">
        <f>HYPERLINK("http://141.218.60.56/~jnz1568/getInfo.php?workbook=10_05.xlsx&amp;sheet=U0&amp;row=15513&amp;col=6&amp;number=3.9&amp;sourceID=14","3.9")</f>
        <v>3.9</v>
      </c>
      <c r="G15513" s="4" t="str">
        <f>HYPERLINK("http://141.218.60.56/~jnz1568/getInfo.php?workbook=10_05.xlsx&amp;sheet=U0&amp;row=15513&amp;col=7&amp;number=0.0587&amp;sourceID=14","0.0587")</f>
        <v>0.0587</v>
      </c>
    </row>
    <row r="15514" spans="1:7">
      <c r="A15514" s="3"/>
      <c r="B15514" s="3"/>
      <c r="C15514" s="3"/>
      <c r="D15514" s="3"/>
      <c r="E15514" s="3">
        <v>11</v>
      </c>
      <c r="F15514" s="4" t="str">
        <f>HYPERLINK("http://141.218.60.56/~jnz1568/getInfo.php?workbook=10_05.xlsx&amp;sheet=U0&amp;row=15514&amp;col=6&amp;number=4&amp;sourceID=14","4")</f>
        <v>4</v>
      </c>
      <c r="G15514" s="4" t="str">
        <f>HYPERLINK("http://141.218.60.56/~jnz1568/getInfo.php?workbook=10_05.xlsx&amp;sheet=U0&amp;row=15514&amp;col=7&amp;number=0.0574&amp;sourceID=14","0.0574")</f>
        <v>0.0574</v>
      </c>
    </row>
    <row r="15515" spans="1:7">
      <c r="A15515" s="3"/>
      <c r="B15515" s="3"/>
      <c r="C15515" s="3"/>
      <c r="D15515" s="3"/>
      <c r="E15515" s="3">
        <v>12</v>
      </c>
      <c r="F15515" s="4" t="str">
        <f>HYPERLINK("http://141.218.60.56/~jnz1568/getInfo.php?workbook=10_05.xlsx&amp;sheet=U0&amp;row=15515&amp;col=6&amp;number=4.1&amp;sourceID=14","4.1")</f>
        <v>4.1</v>
      </c>
      <c r="G15515" s="4" t="str">
        <f>HYPERLINK("http://141.218.60.56/~jnz1568/getInfo.php?workbook=10_05.xlsx&amp;sheet=U0&amp;row=15515&amp;col=7&amp;number=0.0567&amp;sourceID=14","0.0567")</f>
        <v>0.0567</v>
      </c>
    </row>
    <row r="15516" spans="1:7">
      <c r="A15516" s="3"/>
      <c r="B15516" s="3"/>
      <c r="C15516" s="3"/>
      <c r="D15516" s="3"/>
      <c r="E15516" s="3">
        <v>13</v>
      </c>
      <c r="F15516" s="4" t="str">
        <f>HYPERLINK("http://141.218.60.56/~jnz1568/getInfo.php?workbook=10_05.xlsx&amp;sheet=U0&amp;row=15516&amp;col=6&amp;number=4.2&amp;sourceID=14","4.2")</f>
        <v>4.2</v>
      </c>
      <c r="G15516" s="4" t="str">
        <f>HYPERLINK("http://141.218.60.56/~jnz1568/getInfo.php?workbook=10_05.xlsx&amp;sheet=U0&amp;row=15516&amp;col=7&amp;number=0.0563&amp;sourceID=14","0.0563")</f>
        <v>0.0563</v>
      </c>
    </row>
    <row r="15517" spans="1:7">
      <c r="A15517" s="3"/>
      <c r="B15517" s="3"/>
      <c r="C15517" s="3"/>
      <c r="D15517" s="3"/>
      <c r="E15517" s="3">
        <v>14</v>
      </c>
      <c r="F15517" s="4" t="str">
        <f>HYPERLINK("http://141.218.60.56/~jnz1568/getInfo.php?workbook=10_05.xlsx&amp;sheet=U0&amp;row=15517&amp;col=6&amp;number=4.3&amp;sourceID=14","4.3")</f>
        <v>4.3</v>
      </c>
      <c r="G15517" s="4" t="str">
        <f>HYPERLINK("http://141.218.60.56/~jnz1568/getInfo.php?workbook=10_05.xlsx&amp;sheet=U0&amp;row=15517&amp;col=7&amp;number=0.056&amp;sourceID=14","0.056")</f>
        <v>0.056</v>
      </c>
    </row>
    <row r="15518" spans="1:7">
      <c r="A15518" s="3"/>
      <c r="B15518" s="3"/>
      <c r="C15518" s="3"/>
      <c r="D15518" s="3"/>
      <c r="E15518" s="3">
        <v>15</v>
      </c>
      <c r="F15518" s="4" t="str">
        <f>HYPERLINK("http://141.218.60.56/~jnz1568/getInfo.php?workbook=10_05.xlsx&amp;sheet=U0&amp;row=15518&amp;col=6&amp;number=4.4&amp;sourceID=14","4.4")</f>
        <v>4.4</v>
      </c>
      <c r="G15518" s="4" t="str">
        <f>HYPERLINK("http://141.218.60.56/~jnz1568/getInfo.php?workbook=10_05.xlsx&amp;sheet=U0&amp;row=15518&amp;col=7&amp;number=0.0548&amp;sourceID=14","0.0548")</f>
        <v>0.0548</v>
      </c>
    </row>
    <row r="15519" spans="1:7">
      <c r="A15519" s="3"/>
      <c r="B15519" s="3"/>
      <c r="C15519" s="3"/>
      <c r="D15519" s="3"/>
      <c r="E15519" s="3">
        <v>16</v>
      </c>
      <c r="F15519" s="4" t="str">
        <f>HYPERLINK("http://141.218.60.56/~jnz1568/getInfo.php?workbook=10_05.xlsx&amp;sheet=U0&amp;row=15519&amp;col=6&amp;number=4.5&amp;sourceID=14","4.5")</f>
        <v>4.5</v>
      </c>
      <c r="G15519" s="4" t="str">
        <f>HYPERLINK("http://141.218.60.56/~jnz1568/getInfo.php?workbook=10_05.xlsx&amp;sheet=U0&amp;row=15519&amp;col=7&amp;number=0.0523&amp;sourceID=14","0.0523")</f>
        <v>0.0523</v>
      </c>
    </row>
    <row r="15520" spans="1:7">
      <c r="A15520" s="3"/>
      <c r="B15520" s="3"/>
      <c r="C15520" s="3"/>
      <c r="D15520" s="3"/>
      <c r="E15520" s="3">
        <v>17</v>
      </c>
      <c r="F15520" s="4" t="str">
        <f>HYPERLINK("http://141.218.60.56/~jnz1568/getInfo.php?workbook=10_05.xlsx&amp;sheet=U0&amp;row=15520&amp;col=6&amp;number=4.6&amp;sourceID=14","4.6")</f>
        <v>4.6</v>
      </c>
      <c r="G15520" s="4" t="str">
        <f>HYPERLINK("http://141.218.60.56/~jnz1568/getInfo.php?workbook=10_05.xlsx&amp;sheet=U0&amp;row=15520&amp;col=7&amp;number=0.0488&amp;sourceID=14","0.0488")</f>
        <v>0.0488</v>
      </c>
    </row>
    <row r="15521" spans="1:7">
      <c r="A15521" s="3"/>
      <c r="B15521" s="3"/>
      <c r="C15521" s="3"/>
      <c r="D15521" s="3"/>
      <c r="E15521" s="3">
        <v>18</v>
      </c>
      <c r="F15521" s="4" t="str">
        <f>HYPERLINK("http://141.218.60.56/~jnz1568/getInfo.php?workbook=10_05.xlsx&amp;sheet=U0&amp;row=15521&amp;col=6&amp;number=4.7&amp;sourceID=14","4.7")</f>
        <v>4.7</v>
      </c>
      <c r="G15521" s="4" t="str">
        <f>HYPERLINK("http://141.218.60.56/~jnz1568/getInfo.php?workbook=10_05.xlsx&amp;sheet=U0&amp;row=15521&amp;col=7&amp;number=0.045&amp;sourceID=14","0.045")</f>
        <v>0.045</v>
      </c>
    </row>
    <row r="15522" spans="1:7">
      <c r="A15522" s="3"/>
      <c r="B15522" s="3"/>
      <c r="C15522" s="3"/>
      <c r="D15522" s="3"/>
      <c r="E15522" s="3">
        <v>19</v>
      </c>
      <c r="F15522" s="4" t="str">
        <f>HYPERLINK("http://141.218.60.56/~jnz1568/getInfo.php?workbook=10_05.xlsx&amp;sheet=U0&amp;row=15522&amp;col=6&amp;number=4.8&amp;sourceID=14","4.8")</f>
        <v>4.8</v>
      </c>
      <c r="G15522" s="4" t="str">
        <f>HYPERLINK("http://141.218.60.56/~jnz1568/getInfo.php?workbook=10_05.xlsx&amp;sheet=U0&amp;row=15522&amp;col=7&amp;number=0.0411&amp;sourceID=14","0.0411")</f>
        <v>0.0411</v>
      </c>
    </row>
    <row r="15523" spans="1:7">
      <c r="A15523" s="3"/>
      <c r="B15523" s="3"/>
      <c r="C15523" s="3"/>
      <c r="D15523" s="3"/>
      <c r="E15523" s="3">
        <v>20</v>
      </c>
      <c r="F15523" s="4" t="str">
        <f>HYPERLINK("http://141.218.60.56/~jnz1568/getInfo.php?workbook=10_05.xlsx&amp;sheet=U0&amp;row=15523&amp;col=6&amp;number=4.9&amp;sourceID=14","4.9")</f>
        <v>4.9</v>
      </c>
      <c r="G15523" s="4" t="str">
        <f>HYPERLINK("http://141.218.60.56/~jnz1568/getInfo.php?workbook=10_05.xlsx&amp;sheet=U0&amp;row=15523&amp;col=7&amp;number=0.037&amp;sourceID=14","0.037")</f>
        <v>0.037</v>
      </c>
    </row>
    <row r="15524" spans="1:7">
      <c r="A15524" s="3">
        <v>10</v>
      </c>
      <c r="B15524" s="3">
        <v>5</v>
      </c>
      <c r="C15524" s="3">
        <v>5</v>
      </c>
      <c r="D15524" s="3">
        <v>72</v>
      </c>
      <c r="E15524" s="3">
        <v>1</v>
      </c>
      <c r="F15524" s="4" t="str">
        <f>HYPERLINK("http://141.218.60.56/~jnz1568/getInfo.php?workbook=10_05.xlsx&amp;sheet=U0&amp;row=15524&amp;col=6&amp;number=3&amp;sourceID=14","3")</f>
        <v>3</v>
      </c>
      <c r="G15524" s="4" t="str">
        <f>HYPERLINK("http://141.218.60.56/~jnz1568/getInfo.php?workbook=10_05.xlsx&amp;sheet=U0&amp;row=15524&amp;col=7&amp;number=0.312&amp;sourceID=14","0.312")</f>
        <v>0.312</v>
      </c>
    </row>
    <row r="15525" spans="1:7">
      <c r="A15525" s="3"/>
      <c r="B15525" s="3"/>
      <c r="C15525" s="3"/>
      <c r="D15525" s="3"/>
      <c r="E15525" s="3">
        <v>2</v>
      </c>
      <c r="F15525" s="4" t="str">
        <f>HYPERLINK("http://141.218.60.56/~jnz1568/getInfo.php?workbook=10_05.xlsx&amp;sheet=U0&amp;row=15525&amp;col=6&amp;number=3.1&amp;sourceID=14","3.1")</f>
        <v>3.1</v>
      </c>
      <c r="G15525" s="4" t="str">
        <f>HYPERLINK("http://141.218.60.56/~jnz1568/getInfo.php?workbook=10_05.xlsx&amp;sheet=U0&amp;row=15525&amp;col=7&amp;number=0.313&amp;sourceID=14","0.313")</f>
        <v>0.313</v>
      </c>
    </row>
    <row r="15526" spans="1:7">
      <c r="A15526" s="3"/>
      <c r="B15526" s="3"/>
      <c r="C15526" s="3"/>
      <c r="D15526" s="3"/>
      <c r="E15526" s="3">
        <v>3</v>
      </c>
      <c r="F15526" s="4" t="str">
        <f>HYPERLINK("http://141.218.60.56/~jnz1568/getInfo.php?workbook=10_05.xlsx&amp;sheet=U0&amp;row=15526&amp;col=6&amp;number=3.2&amp;sourceID=14","3.2")</f>
        <v>3.2</v>
      </c>
      <c r="G15526" s="4" t="str">
        <f>HYPERLINK("http://141.218.60.56/~jnz1568/getInfo.php?workbook=10_05.xlsx&amp;sheet=U0&amp;row=15526&amp;col=7&amp;number=0.314&amp;sourceID=14","0.314")</f>
        <v>0.314</v>
      </c>
    </row>
    <row r="15527" spans="1:7">
      <c r="A15527" s="3"/>
      <c r="B15527" s="3"/>
      <c r="C15527" s="3"/>
      <c r="D15527" s="3"/>
      <c r="E15527" s="3">
        <v>4</v>
      </c>
      <c r="F15527" s="4" t="str">
        <f>HYPERLINK("http://141.218.60.56/~jnz1568/getInfo.php?workbook=10_05.xlsx&amp;sheet=U0&amp;row=15527&amp;col=6&amp;number=3.3&amp;sourceID=14","3.3")</f>
        <v>3.3</v>
      </c>
      <c r="G15527" s="4" t="str">
        <f>HYPERLINK("http://141.218.60.56/~jnz1568/getInfo.php?workbook=10_05.xlsx&amp;sheet=U0&amp;row=15527&amp;col=7&amp;number=0.316&amp;sourceID=14","0.316")</f>
        <v>0.316</v>
      </c>
    </row>
    <row r="15528" spans="1:7">
      <c r="A15528" s="3"/>
      <c r="B15528" s="3"/>
      <c r="C15528" s="3"/>
      <c r="D15528" s="3"/>
      <c r="E15528" s="3">
        <v>5</v>
      </c>
      <c r="F15528" s="4" t="str">
        <f>HYPERLINK("http://141.218.60.56/~jnz1568/getInfo.php?workbook=10_05.xlsx&amp;sheet=U0&amp;row=15528&amp;col=6&amp;number=3.4&amp;sourceID=14","3.4")</f>
        <v>3.4</v>
      </c>
      <c r="G15528" s="4" t="str">
        <f>HYPERLINK("http://141.218.60.56/~jnz1568/getInfo.php?workbook=10_05.xlsx&amp;sheet=U0&amp;row=15528&amp;col=7&amp;number=0.319&amp;sourceID=14","0.319")</f>
        <v>0.319</v>
      </c>
    </row>
    <row r="15529" spans="1:7">
      <c r="A15529" s="3"/>
      <c r="B15529" s="3"/>
      <c r="C15529" s="3"/>
      <c r="D15529" s="3"/>
      <c r="E15529" s="3">
        <v>6</v>
      </c>
      <c r="F15529" s="4" t="str">
        <f>HYPERLINK("http://141.218.60.56/~jnz1568/getInfo.php?workbook=10_05.xlsx&amp;sheet=U0&amp;row=15529&amp;col=6&amp;number=3.5&amp;sourceID=14","3.5")</f>
        <v>3.5</v>
      </c>
      <c r="G15529" s="4" t="str">
        <f>HYPERLINK("http://141.218.60.56/~jnz1568/getInfo.php?workbook=10_05.xlsx&amp;sheet=U0&amp;row=15529&amp;col=7&amp;number=0.321&amp;sourceID=14","0.321")</f>
        <v>0.321</v>
      </c>
    </row>
    <row r="15530" spans="1:7">
      <c r="A15530" s="3"/>
      <c r="B15530" s="3"/>
      <c r="C15530" s="3"/>
      <c r="D15530" s="3"/>
      <c r="E15530" s="3">
        <v>7</v>
      </c>
      <c r="F15530" s="4" t="str">
        <f>HYPERLINK("http://141.218.60.56/~jnz1568/getInfo.php?workbook=10_05.xlsx&amp;sheet=U0&amp;row=15530&amp;col=6&amp;number=3.6&amp;sourceID=14","3.6")</f>
        <v>3.6</v>
      </c>
      <c r="G15530" s="4" t="str">
        <f>HYPERLINK("http://141.218.60.56/~jnz1568/getInfo.php?workbook=10_05.xlsx&amp;sheet=U0&amp;row=15530&amp;col=7&amp;number=0.325&amp;sourceID=14","0.325")</f>
        <v>0.325</v>
      </c>
    </row>
    <row r="15531" spans="1:7">
      <c r="A15531" s="3"/>
      <c r="B15531" s="3"/>
      <c r="C15531" s="3"/>
      <c r="D15531" s="3"/>
      <c r="E15531" s="3">
        <v>8</v>
      </c>
      <c r="F15531" s="4" t="str">
        <f>HYPERLINK("http://141.218.60.56/~jnz1568/getInfo.php?workbook=10_05.xlsx&amp;sheet=U0&amp;row=15531&amp;col=6&amp;number=3.7&amp;sourceID=14","3.7")</f>
        <v>3.7</v>
      </c>
      <c r="G15531" s="4" t="str">
        <f>HYPERLINK("http://141.218.60.56/~jnz1568/getInfo.php?workbook=10_05.xlsx&amp;sheet=U0&amp;row=15531&amp;col=7&amp;number=0.329&amp;sourceID=14","0.329")</f>
        <v>0.329</v>
      </c>
    </row>
    <row r="15532" spans="1:7">
      <c r="A15532" s="3"/>
      <c r="B15532" s="3"/>
      <c r="C15532" s="3"/>
      <c r="D15532" s="3"/>
      <c r="E15532" s="3">
        <v>9</v>
      </c>
      <c r="F15532" s="4" t="str">
        <f>HYPERLINK("http://141.218.60.56/~jnz1568/getInfo.php?workbook=10_05.xlsx&amp;sheet=U0&amp;row=15532&amp;col=6&amp;number=3.8&amp;sourceID=14","3.8")</f>
        <v>3.8</v>
      </c>
      <c r="G15532" s="4" t="str">
        <f>HYPERLINK("http://141.218.60.56/~jnz1568/getInfo.php?workbook=10_05.xlsx&amp;sheet=U0&amp;row=15532&amp;col=7&amp;number=0.333&amp;sourceID=14","0.333")</f>
        <v>0.333</v>
      </c>
    </row>
    <row r="15533" spans="1:7">
      <c r="A15533" s="3"/>
      <c r="B15533" s="3"/>
      <c r="C15533" s="3"/>
      <c r="D15533" s="3"/>
      <c r="E15533" s="3">
        <v>10</v>
      </c>
      <c r="F15533" s="4" t="str">
        <f>HYPERLINK("http://141.218.60.56/~jnz1568/getInfo.php?workbook=10_05.xlsx&amp;sheet=U0&amp;row=15533&amp;col=6&amp;number=3.9&amp;sourceID=14","3.9")</f>
        <v>3.9</v>
      </c>
      <c r="G15533" s="4" t="str">
        <f>HYPERLINK("http://141.218.60.56/~jnz1568/getInfo.php?workbook=10_05.xlsx&amp;sheet=U0&amp;row=15533&amp;col=7&amp;number=0.338&amp;sourceID=14","0.338")</f>
        <v>0.338</v>
      </c>
    </row>
    <row r="15534" spans="1:7">
      <c r="A15534" s="3"/>
      <c r="B15534" s="3"/>
      <c r="C15534" s="3"/>
      <c r="D15534" s="3"/>
      <c r="E15534" s="3">
        <v>11</v>
      </c>
      <c r="F15534" s="4" t="str">
        <f>HYPERLINK("http://141.218.60.56/~jnz1568/getInfo.php?workbook=10_05.xlsx&amp;sheet=U0&amp;row=15534&amp;col=6&amp;number=4&amp;sourceID=14","4")</f>
        <v>4</v>
      </c>
      <c r="G15534" s="4" t="str">
        <f>HYPERLINK("http://141.218.60.56/~jnz1568/getInfo.php?workbook=10_05.xlsx&amp;sheet=U0&amp;row=15534&amp;col=7&amp;number=0.343&amp;sourceID=14","0.343")</f>
        <v>0.343</v>
      </c>
    </row>
    <row r="15535" spans="1:7">
      <c r="A15535" s="3"/>
      <c r="B15535" s="3"/>
      <c r="C15535" s="3"/>
      <c r="D15535" s="3"/>
      <c r="E15535" s="3">
        <v>12</v>
      </c>
      <c r="F15535" s="4" t="str">
        <f>HYPERLINK("http://141.218.60.56/~jnz1568/getInfo.php?workbook=10_05.xlsx&amp;sheet=U0&amp;row=15535&amp;col=6&amp;number=4.1&amp;sourceID=14","4.1")</f>
        <v>4.1</v>
      </c>
      <c r="G15535" s="4" t="str">
        <f>HYPERLINK("http://141.218.60.56/~jnz1568/getInfo.php?workbook=10_05.xlsx&amp;sheet=U0&amp;row=15535&amp;col=7&amp;number=0.346&amp;sourceID=14","0.346")</f>
        <v>0.346</v>
      </c>
    </row>
    <row r="15536" spans="1:7">
      <c r="A15536" s="3"/>
      <c r="B15536" s="3"/>
      <c r="C15536" s="3"/>
      <c r="D15536" s="3"/>
      <c r="E15536" s="3">
        <v>13</v>
      </c>
      <c r="F15536" s="4" t="str">
        <f>HYPERLINK("http://141.218.60.56/~jnz1568/getInfo.php?workbook=10_05.xlsx&amp;sheet=U0&amp;row=15536&amp;col=6&amp;number=4.2&amp;sourceID=14","4.2")</f>
        <v>4.2</v>
      </c>
      <c r="G15536" s="4" t="str">
        <f>HYPERLINK("http://141.218.60.56/~jnz1568/getInfo.php?workbook=10_05.xlsx&amp;sheet=U0&amp;row=15536&amp;col=7&amp;number=0.348&amp;sourceID=14","0.348")</f>
        <v>0.348</v>
      </c>
    </row>
    <row r="15537" spans="1:7">
      <c r="A15537" s="3"/>
      <c r="B15537" s="3"/>
      <c r="C15537" s="3"/>
      <c r="D15537" s="3"/>
      <c r="E15537" s="3">
        <v>14</v>
      </c>
      <c r="F15537" s="4" t="str">
        <f>HYPERLINK("http://141.218.60.56/~jnz1568/getInfo.php?workbook=10_05.xlsx&amp;sheet=U0&amp;row=15537&amp;col=6&amp;number=4.3&amp;sourceID=14","4.3")</f>
        <v>4.3</v>
      </c>
      <c r="G15537" s="4" t="str">
        <f>HYPERLINK("http://141.218.60.56/~jnz1568/getInfo.php?workbook=10_05.xlsx&amp;sheet=U0&amp;row=15537&amp;col=7&amp;number=0.348&amp;sourceID=14","0.348")</f>
        <v>0.348</v>
      </c>
    </row>
    <row r="15538" spans="1:7">
      <c r="A15538" s="3"/>
      <c r="B15538" s="3"/>
      <c r="C15538" s="3"/>
      <c r="D15538" s="3"/>
      <c r="E15538" s="3">
        <v>15</v>
      </c>
      <c r="F15538" s="4" t="str">
        <f>HYPERLINK("http://141.218.60.56/~jnz1568/getInfo.php?workbook=10_05.xlsx&amp;sheet=U0&amp;row=15538&amp;col=6&amp;number=4.4&amp;sourceID=14","4.4")</f>
        <v>4.4</v>
      </c>
      <c r="G15538" s="4" t="str">
        <f>HYPERLINK("http://141.218.60.56/~jnz1568/getInfo.php?workbook=10_05.xlsx&amp;sheet=U0&amp;row=15538&amp;col=7&amp;number=0.345&amp;sourceID=14","0.345")</f>
        <v>0.345</v>
      </c>
    </row>
    <row r="15539" spans="1:7">
      <c r="A15539" s="3"/>
      <c r="B15539" s="3"/>
      <c r="C15539" s="3"/>
      <c r="D15539" s="3"/>
      <c r="E15539" s="3">
        <v>16</v>
      </c>
      <c r="F15539" s="4" t="str">
        <f>HYPERLINK("http://141.218.60.56/~jnz1568/getInfo.php?workbook=10_05.xlsx&amp;sheet=U0&amp;row=15539&amp;col=6&amp;number=4.5&amp;sourceID=14","4.5")</f>
        <v>4.5</v>
      </c>
      <c r="G15539" s="4" t="str">
        <f>HYPERLINK("http://141.218.60.56/~jnz1568/getInfo.php?workbook=10_05.xlsx&amp;sheet=U0&amp;row=15539&amp;col=7&amp;number=0.341&amp;sourceID=14","0.341")</f>
        <v>0.341</v>
      </c>
    </row>
    <row r="15540" spans="1:7">
      <c r="A15540" s="3"/>
      <c r="B15540" s="3"/>
      <c r="C15540" s="3"/>
      <c r="D15540" s="3"/>
      <c r="E15540" s="3">
        <v>17</v>
      </c>
      <c r="F15540" s="4" t="str">
        <f>HYPERLINK("http://141.218.60.56/~jnz1568/getInfo.php?workbook=10_05.xlsx&amp;sheet=U0&amp;row=15540&amp;col=6&amp;number=4.6&amp;sourceID=14","4.6")</f>
        <v>4.6</v>
      </c>
      <c r="G15540" s="4" t="str">
        <f>HYPERLINK("http://141.218.60.56/~jnz1568/getInfo.php?workbook=10_05.xlsx&amp;sheet=U0&amp;row=15540&amp;col=7&amp;number=0.336&amp;sourceID=14","0.336")</f>
        <v>0.336</v>
      </c>
    </row>
    <row r="15541" spans="1:7">
      <c r="A15541" s="3"/>
      <c r="B15541" s="3"/>
      <c r="C15541" s="3"/>
      <c r="D15541" s="3"/>
      <c r="E15541" s="3">
        <v>18</v>
      </c>
      <c r="F15541" s="4" t="str">
        <f>HYPERLINK("http://141.218.60.56/~jnz1568/getInfo.php?workbook=10_05.xlsx&amp;sheet=U0&amp;row=15541&amp;col=6&amp;number=4.7&amp;sourceID=14","4.7")</f>
        <v>4.7</v>
      </c>
      <c r="G15541" s="4" t="str">
        <f>HYPERLINK("http://141.218.60.56/~jnz1568/getInfo.php?workbook=10_05.xlsx&amp;sheet=U0&amp;row=15541&amp;col=7&amp;number=0.329&amp;sourceID=14","0.329")</f>
        <v>0.329</v>
      </c>
    </row>
    <row r="15542" spans="1:7">
      <c r="A15542" s="3"/>
      <c r="B15542" s="3"/>
      <c r="C15542" s="3"/>
      <c r="D15542" s="3"/>
      <c r="E15542" s="3">
        <v>19</v>
      </c>
      <c r="F15542" s="4" t="str">
        <f>HYPERLINK("http://141.218.60.56/~jnz1568/getInfo.php?workbook=10_05.xlsx&amp;sheet=U0&amp;row=15542&amp;col=6&amp;number=4.8&amp;sourceID=14","4.8")</f>
        <v>4.8</v>
      </c>
      <c r="G15542" s="4" t="str">
        <f>HYPERLINK("http://141.218.60.56/~jnz1568/getInfo.php?workbook=10_05.xlsx&amp;sheet=U0&amp;row=15542&amp;col=7&amp;number=0.321&amp;sourceID=14","0.321")</f>
        <v>0.321</v>
      </c>
    </row>
    <row r="15543" spans="1:7">
      <c r="A15543" s="3"/>
      <c r="B15543" s="3"/>
      <c r="C15543" s="3"/>
      <c r="D15543" s="3"/>
      <c r="E15543" s="3">
        <v>20</v>
      </c>
      <c r="F15543" s="4" t="str">
        <f>HYPERLINK("http://141.218.60.56/~jnz1568/getInfo.php?workbook=10_05.xlsx&amp;sheet=U0&amp;row=15543&amp;col=6&amp;number=4.9&amp;sourceID=14","4.9")</f>
        <v>4.9</v>
      </c>
      <c r="G15543" s="4" t="str">
        <f>HYPERLINK("http://141.218.60.56/~jnz1568/getInfo.php?workbook=10_05.xlsx&amp;sheet=U0&amp;row=15543&amp;col=7&amp;number=0.312&amp;sourceID=14","0.312")</f>
        <v>0.312</v>
      </c>
    </row>
    <row r="15544" spans="1:7">
      <c r="A15544" s="3">
        <v>10</v>
      </c>
      <c r="B15544" s="3">
        <v>5</v>
      </c>
      <c r="C15544" s="3">
        <v>5</v>
      </c>
      <c r="D15544" s="3">
        <v>73</v>
      </c>
      <c r="E15544" s="3">
        <v>1</v>
      </c>
      <c r="F15544" s="4" t="str">
        <f>HYPERLINK("http://141.218.60.56/~jnz1568/getInfo.php?workbook=10_05.xlsx&amp;sheet=U0&amp;row=15544&amp;col=6&amp;number=3&amp;sourceID=14","3")</f>
        <v>3</v>
      </c>
      <c r="G15544" s="4" t="str">
        <f>HYPERLINK("http://141.218.60.56/~jnz1568/getInfo.php?workbook=10_05.xlsx&amp;sheet=U0&amp;row=15544&amp;col=7&amp;number=0.0152&amp;sourceID=14","0.0152")</f>
        <v>0.0152</v>
      </c>
    </row>
    <row r="15545" spans="1:7">
      <c r="A15545" s="3"/>
      <c r="B15545" s="3"/>
      <c r="C15545" s="3"/>
      <c r="D15545" s="3"/>
      <c r="E15545" s="3">
        <v>2</v>
      </c>
      <c r="F15545" s="4" t="str">
        <f>HYPERLINK("http://141.218.60.56/~jnz1568/getInfo.php?workbook=10_05.xlsx&amp;sheet=U0&amp;row=15545&amp;col=6&amp;number=3.1&amp;sourceID=14","3.1")</f>
        <v>3.1</v>
      </c>
      <c r="G15545" s="4" t="str">
        <f>HYPERLINK("http://141.218.60.56/~jnz1568/getInfo.php?workbook=10_05.xlsx&amp;sheet=U0&amp;row=15545&amp;col=7&amp;number=0.015&amp;sourceID=14","0.015")</f>
        <v>0.015</v>
      </c>
    </row>
    <row r="15546" spans="1:7">
      <c r="A15546" s="3"/>
      <c r="B15546" s="3"/>
      <c r="C15546" s="3"/>
      <c r="D15546" s="3"/>
      <c r="E15546" s="3">
        <v>3</v>
      </c>
      <c r="F15546" s="4" t="str">
        <f>HYPERLINK("http://141.218.60.56/~jnz1568/getInfo.php?workbook=10_05.xlsx&amp;sheet=U0&amp;row=15546&amp;col=6&amp;number=3.2&amp;sourceID=14","3.2")</f>
        <v>3.2</v>
      </c>
      <c r="G15546" s="4" t="str">
        <f>HYPERLINK("http://141.218.60.56/~jnz1568/getInfo.php?workbook=10_05.xlsx&amp;sheet=U0&amp;row=15546&amp;col=7&amp;number=0.0148&amp;sourceID=14","0.0148")</f>
        <v>0.0148</v>
      </c>
    </row>
    <row r="15547" spans="1:7">
      <c r="A15547" s="3"/>
      <c r="B15547" s="3"/>
      <c r="C15547" s="3"/>
      <c r="D15547" s="3"/>
      <c r="E15547" s="3">
        <v>4</v>
      </c>
      <c r="F15547" s="4" t="str">
        <f>HYPERLINK("http://141.218.60.56/~jnz1568/getInfo.php?workbook=10_05.xlsx&amp;sheet=U0&amp;row=15547&amp;col=6&amp;number=3.3&amp;sourceID=14","3.3")</f>
        <v>3.3</v>
      </c>
      <c r="G15547" s="4" t="str">
        <f>HYPERLINK("http://141.218.60.56/~jnz1568/getInfo.php?workbook=10_05.xlsx&amp;sheet=U0&amp;row=15547&amp;col=7&amp;number=0.0145&amp;sourceID=14","0.0145")</f>
        <v>0.0145</v>
      </c>
    </row>
    <row r="15548" spans="1:7">
      <c r="A15548" s="3"/>
      <c r="B15548" s="3"/>
      <c r="C15548" s="3"/>
      <c r="D15548" s="3"/>
      <c r="E15548" s="3">
        <v>5</v>
      </c>
      <c r="F15548" s="4" t="str">
        <f>HYPERLINK("http://141.218.60.56/~jnz1568/getInfo.php?workbook=10_05.xlsx&amp;sheet=U0&amp;row=15548&amp;col=6&amp;number=3.4&amp;sourceID=14","3.4")</f>
        <v>3.4</v>
      </c>
      <c r="G15548" s="4" t="str">
        <f>HYPERLINK("http://141.218.60.56/~jnz1568/getInfo.php?workbook=10_05.xlsx&amp;sheet=U0&amp;row=15548&amp;col=7&amp;number=0.0142&amp;sourceID=14","0.0142")</f>
        <v>0.0142</v>
      </c>
    </row>
    <row r="15549" spans="1:7">
      <c r="A15549" s="3"/>
      <c r="B15549" s="3"/>
      <c r="C15549" s="3"/>
      <c r="D15549" s="3"/>
      <c r="E15549" s="3">
        <v>6</v>
      </c>
      <c r="F15549" s="4" t="str">
        <f>HYPERLINK("http://141.218.60.56/~jnz1568/getInfo.php?workbook=10_05.xlsx&amp;sheet=U0&amp;row=15549&amp;col=6&amp;number=3.5&amp;sourceID=14","3.5")</f>
        <v>3.5</v>
      </c>
      <c r="G15549" s="4" t="str">
        <f>HYPERLINK("http://141.218.60.56/~jnz1568/getInfo.php?workbook=10_05.xlsx&amp;sheet=U0&amp;row=15549&amp;col=7&amp;number=0.0139&amp;sourceID=14","0.0139")</f>
        <v>0.0139</v>
      </c>
    </row>
    <row r="15550" spans="1:7">
      <c r="A15550" s="3"/>
      <c r="B15550" s="3"/>
      <c r="C15550" s="3"/>
      <c r="D15550" s="3"/>
      <c r="E15550" s="3">
        <v>7</v>
      </c>
      <c r="F15550" s="4" t="str">
        <f>HYPERLINK("http://141.218.60.56/~jnz1568/getInfo.php?workbook=10_05.xlsx&amp;sheet=U0&amp;row=15550&amp;col=6&amp;number=3.6&amp;sourceID=14","3.6")</f>
        <v>3.6</v>
      </c>
      <c r="G15550" s="4" t="str">
        <f>HYPERLINK("http://141.218.60.56/~jnz1568/getInfo.php?workbook=10_05.xlsx&amp;sheet=U0&amp;row=15550&amp;col=7&amp;number=0.0135&amp;sourceID=14","0.0135")</f>
        <v>0.0135</v>
      </c>
    </row>
    <row r="15551" spans="1:7">
      <c r="A15551" s="3"/>
      <c r="B15551" s="3"/>
      <c r="C15551" s="3"/>
      <c r="D15551" s="3"/>
      <c r="E15551" s="3">
        <v>8</v>
      </c>
      <c r="F15551" s="4" t="str">
        <f>HYPERLINK("http://141.218.60.56/~jnz1568/getInfo.php?workbook=10_05.xlsx&amp;sheet=U0&amp;row=15551&amp;col=6&amp;number=3.7&amp;sourceID=14","3.7")</f>
        <v>3.7</v>
      </c>
      <c r="G15551" s="4" t="str">
        <f>HYPERLINK("http://141.218.60.56/~jnz1568/getInfo.php?workbook=10_05.xlsx&amp;sheet=U0&amp;row=15551&amp;col=7&amp;number=0.013&amp;sourceID=14","0.013")</f>
        <v>0.013</v>
      </c>
    </row>
    <row r="15552" spans="1:7">
      <c r="A15552" s="3"/>
      <c r="B15552" s="3"/>
      <c r="C15552" s="3"/>
      <c r="D15552" s="3"/>
      <c r="E15552" s="3">
        <v>9</v>
      </c>
      <c r="F15552" s="4" t="str">
        <f>HYPERLINK("http://141.218.60.56/~jnz1568/getInfo.php?workbook=10_05.xlsx&amp;sheet=U0&amp;row=15552&amp;col=6&amp;number=3.8&amp;sourceID=14","3.8")</f>
        <v>3.8</v>
      </c>
      <c r="G15552" s="4" t="str">
        <f>HYPERLINK("http://141.218.60.56/~jnz1568/getInfo.php?workbook=10_05.xlsx&amp;sheet=U0&amp;row=15552&amp;col=7&amp;number=0.0126&amp;sourceID=14","0.0126")</f>
        <v>0.0126</v>
      </c>
    </row>
    <row r="15553" spans="1:7">
      <c r="A15553" s="3"/>
      <c r="B15553" s="3"/>
      <c r="C15553" s="3"/>
      <c r="D15553" s="3"/>
      <c r="E15553" s="3">
        <v>10</v>
      </c>
      <c r="F15553" s="4" t="str">
        <f>HYPERLINK("http://141.218.60.56/~jnz1568/getInfo.php?workbook=10_05.xlsx&amp;sheet=U0&amp;row=15553&amp;col=6&amp;number=3.9&amp;sourceID=14","3.9")</f>
        <v>3.9</v>
      </c>
      <c r="G15553" s="4" t="str">
        <f>HYPERLINK("http://141.218.60.56/~jnz1568/getInfo.php?workbook=10_05.xlsx&amp;sheet=U0&amp;row=15553&amp;col=7&amp;number=0.0123&amp;sourceID=14","0.0123")</f>
        <v>0.0123</v>
      </c>
    </row>
    <row r="15554" spans="1:7">
      <c r="A15554" s="3"/>
      <c r="B15554" s="3"/>
      <c r="C15554" s="3"/>
      <c r="D15554" s="3"/>
      <c r="E15554" s="3">
        <v>11</v>
      </c>
      <c r="F15554" s="4" t="str">
        <f>HYPERLINK("http://141.218.60.56/~jnz1568/getInfo.php?workbook=10_05.xlsx&amp;sheet=U0&amp;row=15554&amp;col=6&amp;number=4&amp;sourceID=14","4")</f>
        <v>4</v>
      </c>
      <c r="G15554" s="4" t="str">
        <f>HYPERLINK("http://141.218.60.56/~jnz1568/getInfo.php?workbook=10_05.xlsx&amp;sheet=U0&amp;row=15554&amp;col=7&amp;number=0.0121&amp;sourceID=14","0.0121")</f>
        <v>0.0121</v>
      </c>
    </row>
    <row r="15555" spans="1:7">
      <c r="A15555" s="3"/>
      <c r="B15555" s="3"/>
      <c r="C15555" s="3"/>
      <c r="D15555" s="3"/>
      <c r="E15555" s="3">
        <v>12</v>
      </c>
      <c r="F15555" s="4" t="str">
        <f>HYPERLINK("http://141.218.60.56/~jnz1568/getInfo.php?workbook=10_05.xlsx&amp;sheet=U0&amp;row=15555&amp;col=6&amp;number=4.1&amp;sourceID=14","4.1")</f>
        <v>4.1</v>
      </c>
      <c r="G15555" s="4" t="str">
        <f>HYPERLINK("http://141.218.60.56/~jnz1568/getInfo.php?workbook=10_05.xlsx&amp;sheet=U0&amp;row=15555&amp;col=7&amp;number=0.0122&amp;sourceID=14","0.0122")</f>
        <v>0.0122</v>
      </c>
    </row>
    <row r="15556" spans="1:7">
      <c r="A15556" s="3"/>
      <c r="B15556" s="3"/>
      <c r="C15556" s="3"/>
      <c r="D15556" s="3"/>
      <c r="E15556" s="3">
        <v>13</v>
      </c>
      <c r="F15556" s="4" t="str">
        <f>HYPERLINK("http://141.218.60.56/~jnz1568/getInfo.php?workbook=10_05.xlsx&amp;sheet=U0&amp;row=15556&amp;col=6&amp;number=4.2&amp;sourceID=14","4.2")</f>
        <v>4.2</v>
      </c>
      <c r="G15556" s="4" t="str">
        <f>HYPERLINK("http://141.218.60.56/~jnz1568/getInfo.php?workbook=10_05.xlsx&amp;sheet=U0&amp;row=15556&amp;col=7&amp;number=0.0124&amp;sourceID=14","0.0124")</f>
        <v>0.0124</v>
      </c>
    </row>
    <row r="15557" spans="1:7">
      <c r="A15557" s="3"/>
      <c r="B15557" s="3"/>
      <c r="C15557" s="3"/>
      <c r="D15557" s="3"/>
      <c r="E15557" s="3">
        <v>14</v>
      </c>
      <c r="F15557" s="4" t="str">
        <f>HYPERLINK("http://141.218.60.56/~jnz1568/getInfo.php?workbook=10_05.xlsx&amp;sheet=U0&amp;row=15557&amp;col=6&amp;number=4.3&amp;sourceID=14","4.3")</f>
        <v>4.3</v>
      </c>
      <c r="G15557" s="4" t="str">
        <f>HYPERLINK("http://141.218.60.56/~jnz1568/getInfo.php?workbook=10_05.xlsx&amp;sheet=U0&amp;row=15557&amp;col=7&amp;number=0.0125&amp;sourceID=14","0.0125")</f>
        <v>0.0125</v>
      </c>
    </row>
    <row r="15558" spans="1:7">
      <c r="A15558" s="3"/>
      <c r="B15558" s="3"/>
      <c r="C15558" s="3"/>
      <c r="D15558" s="3"/>
      <c r="E15558" s="3">
        <v>15</v>
      </c>
      <c r="F15558" s="4" t="str">
        <f>HYPERLINK("http://141.218.60.56/~jnz1568/getInfo.php?workbook=10_05.xlsx&amp;sheet=U0&amp;row=15558&amp;col=6&amp;number=4.4&amp;sourceID=14","4.4")</f>
        <v>4.4</v>
      </c>
      <c r="G15558" s="4" t="str">
        <f>HYPERLINK("http://141.218.60.56/~jnz1568/getInfo.php?workbook=10_05.xlsx&amp;sheet=U0&amp;row=15558&amp;col=7&amp;number=0.0124&amp;sourceID=14","0.0124")</f>
        <v>0.0124</v>
      </c>
    </row>
    <row r="15559" spans="1:7">
      <c r="A15559" s="3"/>
      <c r="B15559" s="3"/>
      <c r="C15559" s="3"/>
      <c r="D15559" s="3"/>
      <c r="E15559" s="3">
        <v>16</v>
      </c>
      <c r="F15559" s="4" t="str">
        <f>HYPERLINK("http://141.218.60.56/~jnz1568/getInfo.php?workbook=10_05.xlsx&amp;sheet=U0&amp;row=15559&amp;col=6&amp;number=4.5&amp;sourceID=14","4.5")</f>
        <v>4.5</v>
      </c>
      <c r="G15559" s="4" t="str">
        <f>HYPERLINK("http://141.218.60.56/~jnz1568/getInfo.php?workbook=10_05.xlsx&amp;sheet=U0&amp;row=15559&amp;col=7&amp;number=0.0121&amp;sourceID=14","0.0121")</f>
        <v>0.0121</v>
      </c>
    </row>
    <row r="15560" spans="1:7">
      <c r="A15560" s="3"/>
      <c r="B15560" s="3"/>
      <c r="C15560" s="3"/>
      <c r="D15560" s="3"/>
      <c r="E15560" s="3">
        <v>17</v>
      </c>
      <c r="F15560" s="4" t="str">
        <f>HYPERLINK("http://141.218.60.56/~jnz1568/getInfo.php?workbook=10_05.xlsx&amp;sheet=U0&amp;row=15560&amp;col=6&amp;number=4.6&amp;sourceID=14","4.6")</f>
        <v>4.6</v>
      </c>
      <c r="G15560" s="4" t="str">
        <f>HYPERLINK("http://141.218.60.56/~jnz1568/getInfo.php?workbook=10_05.xlsx&amp;sheet=U0&amp;row=15560&amp;col=7&amp;number=0.0116&amp;sourceID=14","0.0116")</f>
        <v>0.0116</v>
      </c>
    </row>
    <row r="15561" spans="1:7">
      <c r="A15561" s="3"/>
      <c r="B15561" s="3"/>
      <c r="C15561" s="3"/>
      <c r="D15561" s="3"/>
      <c r="E15561" s="3">
        <v>18</v>
      </c>
      <c r="F15561" s="4" t="str">
        <f>HYPERLINK("http://141.218.60.56/~jnz1568/getInfo.php?workbook=10_05.xlsx&amp;sheet=U0&amp;row=15561&amp;col=6&amp;number=4.7&amp;sourceID=14","4.7")</f>
        <v>4.7</v>
      </c>
      <c r="G15561" s="4" t="str">
        <f>HYPERLINK("http://141.218.60.56/~jnz1568/getInfo.php?workbook=10_05.xlsx&amp;sheet=U0&amp;row=15561&amp;col=7&amp;number=0.011&amp;sourceID=14","0.011")</f>
        <v>0.011</v>
      </c>
    </row>
    <row r="15562" spans="1:7">
      <c r="A15562" s="3"/>
      <c r="B15562" s="3"/>
      <c r="C15562" s="3"/>
      <c r="D15562" s="3"/>
      <c r="E15562" s="3">
        <v>19</v>
      </c>
      <c r="F15562" s="4" t="str">
        <f>HYPERLINK("http://141.218.60.56/~jnz1568/getInfo.php?workbook=10_05.xlsx&amp;sheet=U0&amp;row=15562&amp;col=6&amp;number=4.8&amp;sourceID=14","4.8")</f>
        <v>4.8</v>
      </c>
      <c r="G15562" s="4" t="str">
        <f>HYPERLINK("http://141.218.60.56/~jnz1568/getInfo.php?workbook=10_05.xlsx&amp;sheet=U0&amp;row=15562&amp;col=7&amp;number=0.0102&amp;sourceID=14","0.0102")</f>
        <v>0.0102</v>
      </c>
    </row>
    <row r="15563" spans="1:7">
      <c r="A15563" s="3"/>
      <c r="B15563" s="3"/>
      <c r="C15563" s="3"/>
      <c r="D15563" s="3"/>
      <c r="E15563" s="3">
        <v>20</v>
      </c>
      <c r="F15563" s="4" t="str">
        <f>HYPERLINK("http://141.218.60.56/~jnz1568/getInfo.php?workbook=10_05.xlsx&amp;sheet=U0&amp;row=15563&amp;col=6&amp;number=4.9&amp;sourceID=14","4.9")</f>
        <v>4.9</v>
      </c>
      <c r="G15563" s="4" t="str">
        <f>HYPERLINK("http://141.218.60.56/~jnz1568/getInfo.php?workbook=10_05.xlsx&amp;sheet=U0&amp;row=15563&amp;col=7&amp;number=0.00925&amp;sourceID=14","0.00925")</f>
        <v>0.00925</v>
      </c>
    </row>
    <row r="15564" spans="1:7">
      <c r="A15564" s="3">
        <v>10</v>
      </c>
      <c r="B15564" s="3">
        <v>5</v>
      </c>
      <c r="C15564" s="3">
        <v>5</v>
      </c>
      <c r="D15564" s="3">
        <v>74</v>
      </c>
      <c r="E15564" s="3">
        <v>1</v>
      </c>
      <c r="F15564" s="4" t="str">
        <f>HYPERLINK("http://141.218.60.56/~jnz1568/getInfo.php?workbook=10_05.xlsx&amp;sheet=U0&amp;row=15564&amp;col=6&amp;number=3&amp;sourceID=14","3")</f>
        <v>3</v>
      </c>
      <c r="G15564" s="4" t="str">
        <f>HYPERLINK("http://141.218.60.56/~jnz1568/getInfo.php?workbook=10_05.xlsx&amp;sheet=U0&amp;row=15564&amp;col=7&amp;number=0.0277&amp;sourceID=14","0.0277")</f>
        <v>0.0277</v>
      </c>
    </row>
    <row r="15565" spans="1:7">
      <c r="A15565" s="3"/>
      <c r="B15565" s="3"/>
      <c r="C15565" s="3"/>
      <c r="D15565" s="3"/>
      <c r="E15565" s="3">
        <v>2</v>
      </c>
      <c r="F15565" s="4" t="str">
        <f>HYPERLINK("http://141.218.60.56/~jnz1568/getInfo.php?workbook=10_05.xlsx&amp;sheet=U0&amp;row=15565&amp;col=6&amp;number=3.1&amp;sourceID=14","3.1")</f>
        <v>3.1</v>
      </c>
      <c r="G15565" s="4" t="str">
        <f>HYPERLINK("http://141.218.60.56/~jnz1568/getInfo.php?workbook=10_05.xlsx&amp;sheet=U0&amp;row=15565&amp;col=7&amp;number=0.0275&amp;sourceID=14","0.0275")</f>
        <v>0.0275</v>
      </c>
    </row>
    <row r="15566" spans="1:7">
      <c r="A15566" s="3"/>
      <c r="B15566" s="3"/>
      <c r="C15566" s="3"/>
      <c r="D15566" s="3"/>
      <c r="E15566" s="3">
        <v>3</v>
      </c>
      <c r="F15566" s="4" t="str">
        <f>HYPERLINK("http://141.218.60.56/~jnz1568/getInfo.php?workbook=10_05.xlsx&amp;sheet=U0&amp;row=15566&amp;col=6&amp;number=3.2&amp;sourceID=14","3.2")</f>
        <v>3.2</v>
      </c>
      <c r="G15566" s="4" t="str">
        <f>HYPERLINK("http://141.218.60.56/~jnz1568/getInfo.php?workbook=10_05.xlsx&amp;sheet=U0&amp;row=15566&amp;col=7&amp;number=0.0274&amp;sourceID=14","0.0274")</f>
        <v>0.0274</v>
      </c>
    </row>
    <row r="15567" spans="1:7">
      <c r="A15567" s="3"/>
      <c r="B15567" s="3"/>
      <c r="C15567" s="3"/>
      <c r="D15567" s="3"/>
      <c r="E15567" s="3">
        <v>4</v>
      </c>
      <c r="F15567" s="4" t="str">
        <f>HYPERLINK("http://141.218.60.56/~jnz1568/getInfo.php?workbook=10_05.xlsx&amp;sheet=U0&amp;row=15567&amp;col=6&amp;number=3.3&amp;sourceID=14","3.3")</f>
        <v>3.3</v>
      </c>
      <c r="G15567" s="4" t="str">
        <f>HYPERLINK("http://141.218.60.56/~jnz1568/getInfo.php?workbook=10_05.xlsx&amp;sheet=U0&amp;row=15567&amp;col=7&amp;number=0.0271&amp;sourceID=14","0.0271")</f>
        <v>0.0271</v>
      </c>
    </row>
    <row r="15568" spans="1:7">
      <c r="A15568" s="3"/>
      <c r="B15568" s="3"/>
      <c r="C15568" s="3"/>
      <c r="D15568" s="3"/>
      <c r="E15568" s="3">
        <v>5</v>
      </c>
      <c r="F15568" s="4" t="str">
        <f>HYPERLINK("http://141.218.60.56/~jnz1568/getInfo.php?workbook=10_05.xlsx&amp;sheet=U0&amp;row=15568&amp;col=6&amp;number=3.4&amp;sourceID=14","3.4")</f>
        <v>3.4</v>
      </c>
      <c r="G15568" s="4" t="str">
        <f>HYPERLINK("http://141.218.60.56/~jnz1568/getInfo.php?workbook=10_05.xlsx&amp;sheet=U0&amp;row=15568&amp;col=7&amp;number=0.0269&amp;sourceID=14","0.0269")</f>
        <v>0.0269</v>
      </c>
    </row>
    <row r="15569" spans="1:7">
      <c r="A15569" s="3"/>
      <c r="B15569" s="3"/>
      <c r="C15569" s="3"/>
      <c r="D15569" s="3"/>
      <c r="E15569" s="3">
        <v>6</v>
      </c>
      <c r="F15569" s="4" t="str">
        <f>HYPERLINK("http://141.218.60.56/~jnz1568/getInfo.php?workbook=10_05.xlsx&amp;sheet=U0&amp;row=15569&amp;col=6&amp;number=3.5&amp;sourceID=14","3.5")</f>
        <v>3.5</v>
      </c>
      <c r="G15569" s="4" t="str">
        <f>HYPERLINK("http://141.218.60.56/~jnz1568/getInfo.php?workbook=10_05.xlsx&amp;sheet=U0&amp;row=15569&amp;col=7&amp;number=0.0266&amp;sourceID=14","0.0266")</f>
        <v>0.0266</v>
      </c>
    </row>
    <row r="15570" spans="1:7">
      <c r="A15570" s="3"/>
      <c r="B15570" s="3"/>
      <c r="C15570" s="3"/>
      <c r="D15570" s="3"/>
      <c r="E15570" s="3">
        <v>7</v>
      </c>
      <c r="F15570" s="4" t="str">
        <f>HYPERLINK("http://141.218.60.56/~jnz1568/getInfo.php?workbook=10_05.xlsx&amp;sheet=U0&amp;row=15570&amp;col=6&amp;number=3.6&amp;sourceID=14","3.6")</f>
        <v>3.6</v>
      </c>
      <c r="G15570" s="4" t="str">
        <f>HYPERLINK("http://141.218.60.56/~jnz1568/getInfo.php?workbook=10_05.xlsx&amp;sheet=U0&amp;row=15570&amp;col=7&amp;number=0.0262&amp;sourceID=14","0.0262")</f>
        <v>0.0262</v>
      </c>
    </row>
    <row r="15571" spans="1:7">
      <c r="A15571" s="3"/>
      <c r="B15571" s="3"/>
      <c r="C15571" s="3"/>
      <c r="D15571" s="3"/>
      <c r="E15571" s="3">
        <v>8</v>
      </c>
      <c r="F15571" s="4" t="str">
        <f>HYPERLINK("http://141.218.60.56/~jnz1568/getInfo.php?workbook=10_05.xlsx&amp;sheet=U0&amp;row=15571&amp;col=6&amp;number=3.7&amp;sourceID=14","3.7")</f>
        <v>3.7</v>
      </c>
      <c r="G15571" s="4" t="str">
        <f>HYPERLINK("http://141.218.60.56/~jnz1568/getInfo.php?workbook=10_05.xlsx&amp;sheet=U0&amp;row=15571&amp;col=7&amp;number=0.0258&amp;sourceID=14","0.0258")</f>
        <v>0.0258</v>
      </c>
    </row>
    <row r="15572" spans="1:7">
      <c r="A15572" s="3"/>
      <c r="B15572" s="3"/>
      <c r="C15572" s="3"/>
      <c r="D15572" s="3"/>
      <c r="E15572" s="3">
        <v>9</v>
      </c>
      <c r="F15572" s="4" t="str">
        <f>HYPERLINK("http://141.218.60.56/~jnz1568/getInfo.php?workbook=10_05.xlsx&amp;sheet=U0&amp;row=15572&amp;col=6&amp;number=3.8&amp;sourceID=14","3.8")</f>
        <v>3.8</v>
      </c>
      <c r="G15572" s="4" t="str">
        <f>HYPERLINK("http://141.218.60.56/~jnz1568/getInfo.php?workbook=10_05.xlsx&amp;sheet=U0&amp;row=15572&amp;col=7&amp;number=0.0252&amp;sourceID=14","0.0252")</f>
        <v>0.0252</v>
      </c>
    </row>
    <row r="15573" spans="1:7">
      <c r="A15573" s="3"/>
      <c r="B15573" s="3"/>
      <c r="C15573" s="3"/>
      <c r="D15573" s="3"/>
      <c r="E15573" s="3">
        <v>10</v>
      </c>
      <c r="F15573" s="4" t="str">
        <f>HYPERLINK("http://141.218.60.56/~jnz1568/getInfo.php?workbook=10_05.xlsx&amp;sheet=U0&amp;row=15573&amp;col=6&amp;number=3.9&amp;sourceID=14","3.9")</f>
        <v>3.9</v>
      </c>
      <c r="G15573" s="4" t="str">
        <f>HYPERLINK("http://141.218.60.56/~jnz1568/getInfo.php?workbook=10_05.xlsx&amp;sheet=U0&amp;row=15573&amp;col=7&amp;number=0.0247&amp;sourceID=14","0.0247")</f>
        <v>0.0247</v>
      </c>
    </row>
    <row r="15574" spans="1:7">
      <c r="A15574" s="3"/>
      <c r="B15574" s="3"/>
      <c r="C15574" s="3"/>
      <c r="D15574" s="3"/>
      <c r="E15574" s="3">
        <v>11</v>
      </c>
      <c r="F15574" s="4" t="str">
        <f>HYPERLINK("http://141.218.60.56/~jnz1568/getInfo.php?workbook=10_05.xlsx&amp;sheet=U0&amp;row=15574&amp;col=6&amp;number=4&amp;sourceID=14","4")</f>
        <v>4</v>
      </c>
      <c r="G15574" s="4" t="str">
        <f>HYPERLINK("http://141.218.60.56/~jnz1568/getInfo.php?workbook=10_05.xlsx&amp;sheet=U0&amp;row=15574&amp;col=7&amp;number=0.0241&amp;sourceID=14","0.0241")</f>
        <v>0.0241</v>
      </c>
    </row>
    <row r="15575" spans="1:7">
      <c r="A15575" s="3"/>
      <c r="B15575" s="3"/>
      <c r="C15575" s="3"/>
      <c r="D15575" s="3"/>
      <c r="E15575" s="3">
        <v>12</v>
      </c>
      <c r="F15575" s="4" t="str">
        <f>HYPERLINK("http://141.218.60.56/~jnz1568/getInfo.php?workbook=10_05.xlsx&amp;sheet=U0&amp;row=15575&amp;col=6&amp;number=4.1&amp;sourceID=14","4.1")</f>
        <v>4.1</v>
      </c>
      <c r="G15575" s="4" t="str">
        <f>HYPERLINK("http://141.218.60.56/~jnz1568/getInfo.php?workbook=10_05.xlsx&amp;sheet=U0&amp;row=15575&amp;col=7&amp;number=0.0237&amp;sourceID=14","0.0237")</f>
        <v>0.0237</v>
      </c>
    </row>
    <row r="15576" spans="1:7">
      <c r="A15576" s="3"/>
      <c r="B15576" s="3"/>
      <c r="C15576" s="3"/>
      <c r="D15576" s="3"/>
      <c r="E15576" s="3">
        <v>13</v>
      </c>
      <c r="F15576" s="4" t="str">
        <f>HYPERLINK("http://141.218.60.56/~jnz1568/getInfo.php?workbook=10_05.xlsx&amp;sheet=U0&amp;row=15576&amp;col=6&amp;number=4.2&amp;sourceID=14","4.2")</f>
        <v>4.2</v>
      </c>
      <c r="G15576" s="4" t="str">
        <f>HYPERLINK("http://141.218.60.56/~jnz1568/getInfo.php?workbook=10_05.xlsx&amp;sheet=U0&amp;row=15576&amp;col=7&amp;number=0.0234&amp;sourceID=14","0.0234")</f>
        <v>0.0234</v>
      </c>
    </row>
    <row r="15577" spans="1:7">
      <c r="A15577" s="3"/>
      <c r="B15577" s="3"/>
      <c r="C15577" s="3"/>
      <c r="D15577" s="3"/>
      <c r="E15577" s="3">
        <v>14</v>
      </c>
      <c r="F15577" s="4" t="str">
        <f>HYPERLINK("http://141.218.60.56/~jnz1568/getInfo.php?workbook=10_05.xlsx&amp;sheet=U0&amp;row=15577&amp;col=6&amp;number=4.3&amp;sourceID=14","4.3")</f>
        <v>4.3</v>
      </c>
      <c r="G15577" s="4" t="str">
        <f>HYPERLINK("http://141.218.60.56/~jnz1568/getInfo.php?workbook=10_05.xlsx&amp;sheet=U0&amp;row=15577&amp;col=7&amp;number=0.0233&amp;sourceID=14","0.0233")</f>
        <v>0.0233</v>
      </c>
    </row>
    <row r="15578" spans="1:7">
      <c r="A15578" s="3"/>
      <c r="B15578" s="3"/>
      <c r="C15578" s="3"/>
      <c r="D15578" s="3"/>
      <c r="E15578" s="3">
        <v>15</v>
      </c>
      <c r="F15578" s="4" t="str">
        <f>HYPERLINK("http://141.218.60.56/~jnz1568/getInfo.php?workbook=10_05.xlsx&amp;sheet=U0&amp;row=15578&amp;col=6&amp;number=4.4&amp;sourceID=14","4.4")</f>
        <v>4.4</v>
      </c>
      <c r="G15578" s="4" t="str">
        <f>HYPERLINK("http://141.218.60.56/~jnz1568/getInfo.php?workbook=10_05.xlsx&amp;sheet=U0&amp;row=15578&amp;col=7&amp;number=0.0231&amp;sourceID=14","0.0231")</f>
        <v>0.0231</v>
      </c>
    </row>
    <row r="15579" spans="1:7">
      <c r="A15579" s="3"/>
      <c r="B15579" s="3"/>
      <c r="C15579" s="3"/>
      <c r="D15579" s="3"/>
      <c r="E15579" s="3">
        <v>16</v>
      </c>
      <c r="F15579" s="4" t="str">
        <f>HYPERLINK("http://141.218.60.56/~jnz1568/getInfo.php?workbook=10_05.xlsx&amp;sheet=U0&amp;row=15579&amp;col=6&amp;number=4.5&amp;sourceID=14","4.5")</f>
        <v>4.5</v>
      </c>
      <c r="G15579" s="4" t="str">
        <f>HYPERLINK("http://141.218.60.56/~jnz1568/getInfo.php?workbook=10_05.xlsx&amp;sheet=U0&amp;row=15579&amp;col=7&amp;number=0.0225&amp;sourceID=14","0.0225")</f>
        <v>0.0225</v>
      </c>
    </row>
    <row r="15580" spans="1:7">
      <c r="A15580" s="3"/>
      <c r="B15580" s="3"/>
      <c r="C15580" s="3"/>
      <c r="D15580" s="3"/>
      <c r="E15580" s="3">
        <v>17</v>
      </c>
      <c r="F15580" s="4" t="str">
        <f>HYPERLINK("http://141.218.60.56/~jnz1568/getInfo.php?workbook=10_05.xlsx&amp;sheet=U0&amp;row=15580&amp;col=6&amp;number=4.6&amp;sourceID=14","4.6")</f>
        <v>4.6</v>
      </c>
      <c r="G15580" s="4" t="str">
        <f>HYPERLINK("http://141.218.60.56/~jnz1568/getInfo.php?workbook=10_05.xlsx&amp;sheet=U0&amp;row=15580&amp;col=7&amp;number=0.0214&amp;sourceID=14","0.0214")</f>
        <v>0.0214</v>
      </c>
    </row>
    <row r="15581" spans="1:7">
      <c r="A15581" s="3"/>
      <c r="B15581" s="3"/>
      <c r="C15581" s="3"/>
      <c r="D15581" s="3"/>
      <c r="E15581" s="3">
        <v>18</v>
      </c>
      <c r="F15581" s="4" t="str">
        <f>HYPERLINK("http://141.218.60.56/~jnz1568/getInfo.php?workbook=10_05.xlsx&amp;sheet=U0&amp;row=15581&amp;col=6&amp;number=4.7&amp;sourceID=14","4.7")</f>
        <v>4.7</v>
      </c>
      <c r="G15581" s="4" t="str">
        <f>HYPERLINK("http://141.218.60.56/~jnz1568/getInfo.php?workbook=10_05.xlsx&amp;sheet=U0&amp;row=15581&amp;col=7&amp;number=0.02&amp;sourceID=14","0.02")</f>
        <v>0.02</v>
      </c>
    </row>
    <row r="15582" spans="1:7">
      <c r="A15582" s="3"/>
      <c r="B15582" s="3"/>
      <c r="C15582" s="3"/>
      <c r="D15582" s="3"/>
      <c r="E15582" s="3">
        <v>19</v>
      </c>
      <c r="F15582" s="4" t="str">
        <f>HYPERLINK("http://141.218.60.56/~jnz1568/getInfo.php?workbook=10_05.xlsx&amp;sheet=U0&amp;row=15582&amp;col=6&amp;number=4.8&amp;sourceID=14","4.8")</f>
        <v>4.8</v>
      </c>
      <c r="G15582" s="4" t="str">
        <f>HYPERLINK("http://141.218.60.56/~jnz1568/getInfo.php?workbook=10_05.xlsx&amp;sheet=U0&amp;row=15582&amp;col=7&amp;number=0.0185&amp;sourceID=14","0.0185")</f>
        <v>0.0185</v>
      </c>
    </row>
    <row r="15583" spans="1:7">
      <c r="A15583" s="3"/>
      <c r="B15583" s="3"/>
      <c r="C15583" s="3"/>
      <c r="D15583" s="3"/>
      <c r="E15583" s="3">
        <v>20</v>
      </c>
      <c r="F15583" s="4" t="str">
        <f>HYPERLINK("http://141.218.60.56/~jnz1568/getInfo.php?workbook=10_05.xlsx&amp;sheet=U0&amp;row=15583&amp;col=6&amp;number=4.9&amp;sourceID=14","4.9")</f>
        <v>4.9</v>
      </c>
      <c r="G15583" s="4" t="str">
        <f>HYPERLINK("http://141.218.60.56/~jnz1568/getInfo.php?workbook=10_05.xlsx&amp;sheet=U0&amp;row=15583&amp;col=7&amp;number=0.0169&amp;sourceID=14","0.0169")</f>
        <v>0.0169</v>
      </c>
    </row>
    <row r="15584" spans="1:7">
      <c r="A15584" s="3">
        <v>10</v>
      </c>
      <c r="B15584" s="3">
        <v>5</v>
      </c>
      <c r="C15584" s="3">
        <v>5</v>
      </c>
      <c r="D15584" s="3">
        <v>75</v>
      </c>
      <c r="E15584" s="3">
        <v>1</v>
      </c>
      <c r="F15584" s="4" t="str">
        <f>HYPERLINK("http://141.218.60.56/~jnz1568/getInfo.php?workbook=10_05.xlsx&amp;sheet=U0&amp;row=15584&amp;col=6&amp;number=3&amp;sourceID=14","3")</f>
        <v>3</v>
      </c>
      <c r="G15584" s="4" t="str">
        <f>HYPERLINK("http://141.218.60.56/~jnz1568/getInfo.php?workbook=10_05.xlsx&amp;sheet=U0&amp;row=15584&amp;col=7&amp;number=0.00527&amp;sourceID=14","0.00527")</f>
        <v>0.00527</v>
      </c>
    </row>
    <row r="15585" spans="1:7">
      <c r="A15585" s="3"/>
      <c r="B15585" s="3"/>
      <c r="C15585" s="3"/>
      <c r="D15585" s="3"/>
      <c r="E15585" s="3">
        <v>2</v>
      </c>
      <c r="F15585" s="4" t="str">
        <f>HYPERLINK("http://141.218.60.56/~jnz1568/getInfo.php?workbook=10_05.xlsx&amp;sheet=U0&amp;row=15585&amp;col=6&amp;number=3.1&amp;sourceID=14","3.1")</f>
        <v>3.1</v>
      </c>
      <c r="G15585" s="4" t="str">
        <f>HYPERLINK("http://141.218.60.56/~jnz1568/getInfo.php?workbook=10_05.xlsx&amp;sheet=U0&amp;row=15585&amp;col=7&amp;number=0.00529&amp;sourceID=14","0.00529")</f>
        <v>0.00529</v>
      </c>
    </row>
    <row r="15586" spans="1:7">
      <c r="A15586" s="3"/>
      <c r="B15586" s="3"/>
      <c r="C15586" s="3"/>
      <c r="D15586" s="3"/>
      <c r="E15586" s="3">
        <v>3</v>
      </c>
      <c r="F15586" s="4" t="str">
        <f>HYPERLINK("http://141.218.60.56/~jnz1568/getInfo.php?workbook=10_05.xlsx&amp;sheet=U0&amp;row=15586&amp;col=6&amp;number=3.2&amp;sourceID=14","3.2")</f>
        <v>3.2</v>
      </c>
      <c r="G15586" s="4" t="str">
        <f>HYPERLINK("http://141.218.60.56/~jnz1568/getInfo.php?workbook=10_05.xlsx&amp;sheet=U0&amp;row=15586&amp;col=7&amp;number=0.00532&amp;sourceID=14","0.00532")</f>
        <v>0.00532</v>
      </c>
    </row>
    <row r="15587" spans="1:7">
      <c r="A15587" s="3"/>
      <c r="B15587" s="3"/>
      <c r="C15587" s="3"/>
      <c r="D15587" s="3"/>
      <c r="E15587" s="3">
        <v>4</v>
      </c>
      <c r="F15587" s="4" t="str">
        <f>HYPERLINK("http://141.218.60.56/~jnz1568/getInfo.php?workbook=10_05.xlsx&amp;sheet=U0&amp;row=15587&amp;col=6&amp;number=3.3&amp;sourceID=14","3.3")</f>
        <v>3.3</v>
      </c>
      <c r="G15587" s="4" t="str">
        <f>HYPERLINK("http://141.218.60.56/~jnz1568/getInfo.php?workbook=10_05.xlsx&amp;sheet=U0&amp;row=15587&amp;col=7&amp;number=0.00536&amp;sourceID=14","0.00536")</f>
        <v>0.00536</v>
      </c>
    </row>
    <row r="15588" spans="1:7">
      <c r="A15588" s="3"/>
      <c r="B15588" s="3"/>
      <c r="C15588" s="3"/>
      <c r="D15588" s="3"/>
      <c r="E15588" s="3">
        <v>5</v>
      </c>
      <c r="F15588" s="4" t="str">
        <f>HYPERLINK("http://141.218.60.56/~jnz1568/getInfo.php?workbook=10_05.xlsx&amp;sheet=U0&amp;row=15588&amp;col=6&amp;number=3.4&amp;sourceID=14","3.4")</f>
        <v>3.4</v>
      </c>
      <c r="G15588" s="4" t="str">
        <f>HYPERLINK("http://141.218.60.56/~jnz1568/getInfo.php?workbook=10_05.xlsx&amp;sheet=U0&amp;row=15588&amp;col=7&amp;number=0.0054&amp;sourceID=14","0.0054")</f>
        <v>0.0054</v>
      </c>
    </row>
    <row r="15589" spans="1:7">
      <c r="A15589" s="3"/>
      <c r="B15589" s="3"/>
      <c r="C15589" s="3"/>
      <c r="D15589" s="3"/>
      <c r="E15589" s="3">
        <v>6</v>
      </c>
      <c r="F15589" s="4" t="str">
        <f>HYPERLINK("http://141.218.60.56/~jnz1568/getInfo.php?workbook=10_05.xlsx&amp;sheet=U0&amp;row=15589&amp;col=6&amp;number=3.5&amp;sourceID=14","3.5")</f>
        <v>3.5</v>
      </c>
      <c r="G15589" s="4" t="str">
        <f>HYPERLINK("http://141.218.60.56/~jnz1568/getInfo.php?workbook=10_05.xlsx&amp;sheet=U0&amp;row=15589&amp;col=7&amp;number=0.00545&amp;sourceID=14","0.00545")</f>
        <v>0.00545</v>
      </c>
    </row>
    <row r="15590" spans="1:7">
      <c r="A15590" s="3"/>
      <c r="B15590" s="3"/>
      <c r="C15590" s="3"/>
      <c r="D15590" s="3"/>
      <c r="E15590" s="3">
        <v>7</v>
      </c>
      <c r="F15590" s="4" t="str">
        <f>HYPERLINK("http://141.218.60.56/~jnz1568/getInfo.php?workbook=10_05.xlsx&amp;sheet=U0&amp;row=15590&amp;col=6&amp;number=3.6&amp;sourceID=14","3.6")</f>
        <v>3.6</v>
      </c>
      <c r="G15590" s="4" t="str">
        <f>HYPERLINK("http://141.218.60.56/~jnz1568/getInfo.php?workbook=10_05.xlsx&amp;sheet=U0&amp;row=15590&amp;col=7&amp;number=0.00552&amp;sourceID=14","0.00552")</f>
        <v>0.00552</v>
      </c>
    </row>
    <row r="15591" spans="1:7">
      <c r="A15591" s="3"/>
      <c r="B15591" s="3"/>
      <c r="C15591" s="3"/>
      <c r="D15591" s="3"/>
      <c r="E15591" s="3">
        <v>8</v>
      </c>
      <c r="F15591" s="4" t="str">
        <f>HYPERLINK("http://141.218.60.56/~jnz1568/getInfo.php?workbook=10_05.xlsx&amp;sheet=U0&amp;row=15591&amp;col=6&amp;number=3.7&amp;sourceID=14","3.7")</f>
        <v>3.7</v>
      </c>
      <c r="G15591" s="4" t="str">
        <f>HYPERLINK("http://141.218.60.56/~jnz1568/getInfo.php?workbook=10_05.xlsx&amp;sheet=U0&amp;row=15591&amp;col=7&amp;number=0.00559&amp;sourceID=14","0.00559")</f>
        <v>0.00559</v>
      </c>
    </row>
    <row r="15592" spans="1:7">
      <c r="A15592" s="3"/>
      <c r="B15592" s="3"/>
      <c r="C15592" s="3"/>
      <c r="D15592" s="3"/>
      <c r="E15592" s="3">
        <v>9</v>
      </c>
      <c r="F15592" s="4" t="str">
        <f>HYPERLINK("http://141.218.60.56/~jnz1568/getInfo.php?workbook=10_05.xlsx&amp;sheet=U0&amp;row=15592&amp;col=6&amp;number=3.8&amp;sourceID=14","3.8")</f>
        <v>3.8</v>
      </c>
      <c r="G15592" s="4" t="str">
        <f>HYPERLINK("http://141.218.60.56/~jnz1568/getInfo.php?workbook=10_05.xlsx&amp;sheet=U0&amp;row=15592&amp;col=7&amp;number=0.00567&amp;sourceID=14","0.00567")</f>
        <v>0.00567</v>
      </c>
    </row>
    <row r="15593" spans="1:7">
      <c r="A15593" s="3"/>
      <c r="B15593" s="3"/>
      <c r="C15593" s="3"/>
      <c r="D15593" s="3"/>
      <c r="E15593" s="3">
        <v>10</v>
      </c>
      <c r="F15593" s="4" t="str">
        <f>HYPERLINK("http://141.218.60.56/~jnz1568/getInfo.php?workbook=10_05.xlsx&amp;sheet=U0&amp;row=15593&amp;col=6&amp;number=3.9&amp;sourceID=14","3.9")</f>
        <v>3.9</v>
      </c>
      <c r="G15593" s="4" t="str">
        <f>HYPERLINK("http://141.218.60.56/~jnz1568/getInfo.php?workbook=10_05.xlsx&amp;sheet=U0&amp;row=15593&amp;col=7&amp;number=0.00575&amp;sourceID=14","0.00575")</f>
        <v>0.00575</v>
      </c>
    </row>
    <row r="15594" spans="1:7">
      <c r="A15594" s="3"/>
      <c r="B15594" s="3"/>
      <c r="C15594" s="3"/>
      <c r="D15594" s="3"/>
      <c r="E15594" s="3">
        <v>11</v>
      </c>
      <c r="F15594" s="4" t="str">
        <f>HYPERLINK("http://141.218.60.56/~jnz1568/getInfo.php?workbook=10_05.xlsx&amp;sheet=U0&amp;row=15594&amp;col=6&amp;number=4&amp;sourceID=14","4")</f>
        <v>4</v>
      </c>
      <c r="G15594" s="4" t="str">
        <f>HYPERLINK("http://141.218.60.56/~jnz1568/getInfo.php?workbook=10_05.xlsx&amp;sheet=U0&amp;row=15594&amp;col=7&amp;number=0.00583&amp;sourceID=14","0.00583")</f>
        <v>0.00583</v>
      </c>
    </row>
    <row r="15595" spans="1:7">
      <c r="A15595" s="3"/>
      <c r="B15595" s="3"/>
      <c r="C15595" s="3"/>
      <c r="D15595" s="3"/>
      <c r="E15595" s="3">
        <v>12</v>
      </c>
      <c r="F15595" s="4" t="str">
        <f>HYPERLINK("http://141.218.60.56/~jnz1568/getInfo.php?workbook=10_05.xlsx&amp;sheet=U0&amp;row=15595&amp;col=6&amp;number=4.1&amp;sourceID=14","4.1")</f>
        <v>4.1</v>
      </c>
      <c r="G15595" s="4" t="str">
        <f>HYPERLINK("http://141.218.60.56/~jnz1568/getInfo.php?workbook=10_05.xlsx&amp;sheet=U0&amp;row=15595&amp;col=7&amp;number=0.00588&amp;sourceID=14","0.00588")</f>
        <v>0.00588</v>
      </c>
    </row>
    <row r="15596" spans="1:7">
      <c r="A15596" s="3"/>
      <c r="B15596" s="3"/>
      <c r="C15596" s="3"/>
      <c r="D15596" s="3"/>
      <c r="E15596" s="3">
        <v>13</v>
      </c>
      <c r="F15596" s="4" t="str">
        <f>HYPERLINK("http://141.218.60.56/~jnz1568/getInfo.php?workbook=10_05.xlsx&amp;sheet=U0&amp;row=15596&amp;col=6&amp;number=4.2&amp;sourceID=14","4.2")</f>
        <v>4.2</v>
      </c>
      <c r="G15596" s="4" t="str">
        <f>HYPERLINK("http://141.218.60.56/~jnz1568/getInfo.php?workbook=10_05.xlsx&amp;sheet=U0&amp;row=15596&amp;col=7&amp;number=0.0059&amp;sourceID=14","0.0059")</f>
        <v>0.0059</v>
      </c>
    </row>
    <row r="15597" spans="1:7">
      <c r="A15597" s="3"/>
      <c r="B15597" s="3"/>
      <c r="C15597" s="3"/>
      <c r="D15597" s="3"/>
      <c r="E15597" s="3">
        <v>14</v>
      </c>
      <c r="F15597" s="4" t="str">
        <f>HYPERLINK("http://141.218.60.56/~jnz1568/getInfo.php?workbook=10_05.xlsx&amp;sheet=U0&amp;row=15597&amp;col=6&amp;number=4.3&amp;sourceID=14","4.3")</f>
        <v>4.3</v>
      </c>
      <c r="G15597" s="4" t="str">
        <f>HYPERLINK("http://141.218.60.56/~jnz1568/getInfo.php?workbook=10_05.xlsx&amp;sheet=U0&amp;row=15597&amp;col=7&amp;number=0.00585&amp;sourceID=14","0.00585")</f>
        <v>0.00585</v>
      </c>
    </row>
    <row r="15598" spans="1:7">
      <c r="A15598" s="3"/>
      <c r="B15598" s="3"/>
      <c r="C15598" s="3"/>
      <c r="D15598" s="3"/>
      <c r="E15598" s="3">
        <v>15</v>
      </c>
      <c r="F15598" s="4" t="str">
        <f>HYPERLINK("http://141.218.60.56/~jnz1568/getInfo.php?workbook=10_05.xlsx&amp;sheet=U0&amp;row=15598&amp;col=6&amp;number=4.4&amp;sourceID=14","4.4")</f>
        <v>4.4</v>
      </c>
      <c r="G15598" s="4" t="str">
        <f>HYPERLINK("http://141.218.60.56/~jnz1568/getInfo.php?workbook=10_05.xlsx&amp;sheet=U0&amp;row=15598&amp;col=7&amp;number=0.00573&amp;sourceID=14","0.00573")</f>
        <v>0.00573</v>
      </c>
    </row>
    <row r="15599" spans="1:7">
      <c r="A15599" s="3"/>
      <c r="B15599" s="3"/>
      <c r="C15599" s="3"/>
      <c r="D15599" s="3"/>
      <c r="E15599" s="3">
        <v>16</v>
      </c>
      <c r="F15599" s="4" t="str">
        <f>HYPERLINK("http://141.218.60.56/~jnz1568/getInfo.php?workbook=10_05.xlsx&amp;sheet=U0&amp;row=15599&amp;col=6&amp;number=4.5&amp;sourceID=14","4.5")</f>
        <v>4.5</v>
      </c>
      <c r="G15599" s="4" t="str">
        <f>HYPERLINK("http://141.218.60.56/~jnz1568/getInfo.php?workbook=10_05.xlsx&amp;sheet=U0&amp;row=15599&amp;col=7&amp;number=0.00552&amp;sourceID=14","0.00552")</f>
        <v>0.00552</v>
      </c>
    </row>
    <row r="15600" spans="1:7">
      <c r="A15600" s="3"/>
      <c r="B15600" s="3"/>
      <c r="C15600" s="3"/>
      <c r="D15600" s="3"/>
      <c r="E15600" s="3">
        <v>17</v>
      </c>
      <c r="F15600" s="4" t="str">
        <f>HYPERLINK("http://141.218.60.56/~jnz1568/getInfo.php?workbook=10_05.xlsx&amp;sheet=U0&amp;row=15600&amp;col=6&amp;number=4.6&amp;sourceID=14","4.6")</f>
        <v>4.6</v>
      </c>
      <c r="G15600" s="4" t="str">
        <f>HYPERLINK("http://141.218.60.56/~jnz1568/getInfo.php?workbook=10_05.xlsx&amp;sheet=U0&amp;row=15600&amp;col=7&amp;number=0.00524&amp;sourceID=14","0.00524")</f>
        <v>0.00524</v>
      </c>
    </row>
    <row r="15601" spans="1:7">
      <c r="A15601" s="3"/>
      <c r="B15601" s="3"/>
      <c r="C15601" s="3"/>
      <c r="D15601" s="3"/>
      <c r="E15601" s="3">
        <v>18</v>
      </c>
      <c r="F15601" s="4" t="str">
        <f>HYPERLINK("http://141.218.60.56/~jnz1568/getInfo.php?workbook=10_05.xlsx&amp;sheet=U0&amp;row=15601&amp;col=6&amp;number=4.7&amp;sourceID=14","4.7")</f>
        <v>4.7</v>
      </c>
      <c r="G15601" s="4" t="str">
        <f>HYPERLINK("http://141.218.60.56/~jnz1568/getInfo.php?workbook=10_05.xlsx&amp;sheet=U0&amp;row=15601&amp;col=7&amp;number=0.00488&amp;sourceID=14","0.00488")</f>
        <v>0.00488</v>
      </c>
    </row>
    <row r="15602" spans="1:7">
      <c r="A15602" s="3"/>
      <c r="B15602" s="3"/>
      <c r="C15602" s="3"/>
      <c r="D15602" s="3"/>
      <c r="E15602" s="3">
        <v>19</v>
      </c>
      <c r="F15602" s="4" t="str">
        <f>HYPERLINK("http://141.218.60.56/~jnz1568/getInfo.php?workbook=10_05.xlsx&amp;sheet=U0&amp;row=15602&amp;col=6&amp;number=4.8&amp;sourceID=14","4.8")</f>
        <v>4.8</v>
      </c>
      <c r="G15602" s="4" t="str">
        <f>HYPERLINK("http://141.218.60.56/~jnz1568/getInfo.php?workbook=10_05.xlsx&amp;sheet=U0&amp;row=15602&amp;col=7&amp;number=0.00448&amp;sourceID=14","0.00448")</f>
        <v>0.00448</v>
      </c>
    </row>
    <row r="15603" spans="1:7">
      <c r="A15603" s="3"/>
      <c r="B15603" s="3"/>
      <c r="C15603" s="3"/>
      <c r="D15603" s="3"/>
      <c r="E15603" s="3">
        <v>20</v>
      </c>
      <c r="F15603" s="4" t="str">
        <f>HYPERLINK("http://141.218.60.56/~jnz1568/getInfo.php?workbook=10_05.xlsx&amp;sheet=U0&amp;row=15603&amp;col=6&amp;number=4.9&amp;sourceID=14","4.9")</f>
        <v>4.9</v>
      </c>
      <c r="G15603" s="4" t="str">
        <f>HYPERLINK("http://141.218.60.56/~jnz1568/getInfo.php?workbook=10_05.xlsx&amp;sheet=U0&amp;row=15603&amp;col=7&amp;number=0.00404&amp;sourceID=14","0.00404")</f>
        <v>0.00404</v>
      </c>
    </row>
    <row r="15604" spans="1:7">
      <c r="A15604" s="3">
        <v>10</v>
      </c>
      <c r="B15604" s="3">
        <v>5</v>
      </c>
      <c r="C15604" s="3">
        <v>5</v>
      </c>
      <c r="D15604" s="3">
        <v>76</v>
      </c>
      <c r="E15604" s="3">
        <v>1</v>
      </c>
      <c r="F15604" s="4" t="str">
        <f>HYPERLINK("http://141.218.60.56/~jnz1568/getInfo.php?workbook=10_05.xlsx&amp;sheet=U0&amp;row=15604&amp;col=6&amp;number=3&amp;sourceID=14","3")</f>
        <v>3</v>
      </c>
      <c r="G15604" s="4" t="str">
        <f>HYPERLINK("http://141.218.60.56/~jnz1568/getInfo.php?workbook=10_05.xlsx&amp;sheet=U0&amp;row=15604&amp;col=7&amp;number=0.0112&amp;sourceID=14","0.0112")</f>
        <v>0.0112</v>
      </c>
    </row>
    <row r="15605" spans="1:7">
      <c r="A15605" s="3"/>
      <c r="B15605" s="3"/>
      <c r="C15605" s="3"/>
      <c r="D15605" s="3"/>
      <c r="E15605" s="3">
        <v>2</v>
      </c>
      <c r="F15605" s="4" t="str">
        <f>HYPERLINK("http://141.218.60.56/~jnz1568/getInfo.php?workbook=10_05.xlsx&amp;sheet=U0&amp;row=15605&amp;col=6&amp;number=3.1&amp;sourceID=14","3.1")</f>
        <v>3.1</v>
      </c>
      <c r="G15605" s="4" t="str">
        <f>HYPERLINK("http://141.218.60.56/~jnz1568/getInfo.php?workbook=10_05.xlsx&amp;sheet=U0&amp;row=15605&amp;col=7&amp;number=0.0113&amp;sourceID=14","0.0113")</f>
        <v>0.0113</v>
      </c>
    </row>
    <row r="15606" spans="1:7">
      <c r="A15606" s="3"/>
      <c r="B15606" s="3"/>
      <c r="C15606" s="3"/>
      <c r="D15606" s="3"/>
      <c r="E15606" s="3">
        <v>3</v>
      </c>
      <c r="F15606" s="4" t="str">
        <f>HYPERLINK("http://141.218.60.56/~jnz1568/getInfo.php?workbook=10_05.xlsx&amp;sheet=U0&amp;row=15606&amp;col=6&amp;number=3.2&amp;sourceID=14","3.2")</f>
        <v>3.2</v>
      </c>
      <c r="G15606" s="4" t="str">
        <f>HYPERLINK("http://141.218.60.56/~jnz1568/getInfo.php?workbook=10_05.xlsx&amp;sheet=U0&amp;row=15606&amp;col=7&amp;number=0.0113&amp;sourceID=14","0.0113")</f>
        <v>0.0113</v>
      </c>
    </row>
    <row r="15607" spans="1:7">
      <c r="A15607" s="3"/>
      <c r="B15607" s="3"/>
      <c r="C15607" s="3"/>
      <c r="D15607" s="3"/>
      <c r="E15607" s="3">
        <v>4</v>
      </c>
      <c r="F15607" s="4" t="str">
        <f>HYPERLINK("http://141.218.60.56/~jnz1568/getInfo.php?workbook=10_05.xlsx&amp;sheet=U0&amp;row=15607&amp;col=6&amp;number=3.3&amp;sourceID=14","3.3")</f>
        <v>3.3</v>
      </c>
      <c r="G15607" s="4" t="str">
        <f>HYPERLINK("http://141.218.60.56/~jnz1568/getInfo.php?workbook=10_05.xlsx&amp;sheet=U0&amp;row=15607&amp;col=7&amp;number=0.0114&amp;sourceID=14","0.0114")</f>
        <v>0.0114</v>
      </c>
    </row>
    <row r="15608" spans="1:7">
      <c r="A15608" s="3"/>
      <c r="B15608" s="3"/>
      <c r="C15608" s="3"/>
      <c r="D15608" s="3"/>
      <c r="E15608" s="3">
        <v>5</v>
      </c>
      <c r="F15608" s="4" t="str">
        <f>HYPERLINK("http://141.218.60.56/~jnz1568/getInfo.php?workbook=10_05.xlsx&amp;sheet=U0&amp;row=15608&amp;col=6&amp;number=3.4&amp;sourceID=14","3.4")</f>
        <v>3.4</v>
      </c>
      <c r="G15608" s="4" t="str">
        <f>HYPERLINK("http://141.218.60.56/~jnz1568/getInfo.php?workbook=10_05.xlsx&amp;sheet=U0&amp;row=15608&amp;col=7&amp;number=0.0114&amp;sourceID=14","0.0114")</f>
        <v>0.0114</v>
      </c>
    </row>
    <row r="15609" spans="1:7">
      <c r="A15609" s="3"/>
      <c r="B15609" s="3"/>
      <c r="C15609" s="3"/>
      <c r="D15609" s="3"/>
      <c r="E15609" s="3">
        <v>6</v>
      </c>
      <c r="F15609" s="4" t="str">
        <f>HYPERLINK("http://141.218.60.56/~jnz1568/getInfo.php?workbook=10_05.xlsx&amp;sheet=U0&amp;row=15609&amp;col=6&amp;number=3.5&amp;sourceID=14","3.5")</f>
        <v>3.5</v>
      </c>
      <c r="G15609" s="4" t="str">
        <f>HYPERLINK("http://141.218.60.56/~jnz1568/getInfo.php?workbook=10_05.xlsx&amp;sheet=U0&amp;row=15609&amp;col=7&amp;number=0.0115&amp;sourceID=14","0.0115")</f>
        <v>0.0115</v>
      </c>
    </row>
    <row r="15610" spans="1:7">
      <c r="A15610" s="3"/>
      <c r="B15610" s="3"/>
      <c r="C15610" s="3"/>
      <c r="D15610" s="3"/>
      <c r="E15610" s="3">
        <v>7</v>
      </c>
      <c r="F15610" s="4" t="str">
        <f>HYPERLINK("http://141.218.60.56/~jnz1568/getInfo.php?workbook=10_05.xlsx&amp;sheet=U0&amp;row=15610&amp;col=6&amp;number=3.6&amp;sourceID=14","3.6")</f>
        <v>3.6</v>
      </c>
      <c r="G15610" s="4" t="str">
        <f>HYPERLINK("http://141.218.60.56/~jnz1568/getInfo.php?workbook=10_05.xlsx&amp;sheet=U0&amp;row=15610&amp;col=7&amp;number=0.0116&amp;sourceID=14","0.0116")</f>
        <v>0.0116</v>
      </c>
    </row>
    <row r="15611" spans="1:7">
      <c r="A15611" s="3"/>
      <c r="B15611" s="3"/>
      <c r="C15611" s="3"/>
      <c r="D15611" s="3"/>
      <c r="E15611" s="3">
        <v>8</v>
      </c>
      <c r="F15611" s="4" t="str">
        <f>HYPERLINK("http://141.218.60.56/~jnz1568/getInfo.php?workbook=10_05.xlsx&amp;sheet=U0&amp;row=15611&amp;col=6&amp;number=3.7&amp;sourceID=14","3.7")</f>
        <v>3.7</v>
      </c>
      <c r="G15611" s="4" t="str">
        <f>HYPERLINK("http://141.218.60.56/~jnz1568/getInfo.php?workbook=10_05.xlsx&amp;sheet=U0&amp;row=15611&amp;col=7&amp;number=0.0118&amp;sourceID=14","0.0118")</f>
        <v>0.0118</v>
      </c>
    </row>
    <row r="15612" spans="1:7">
      <c r="A15612" s="3"/>
      <c r="B15612" s="3"/>
      <c r="C15612" s="3"/>
      <c r="D15612" s="3"/>
      <c r="E15612" s="3">
        <v>9</v>
      </c>
      <c r="F15612" s="4" t="str">
        <f>HYPERLINK("http://141.218.60.56/~jnz1568/getInfo.php?workbook=10_05.xlsx&amp;sheet=U0&amp;row=15612&amp;col=6&amp;number=3.8&amp;sourceID=14","3.8")</f>
        <v>3.8</v>
      </c>
      <c r="G15612" s="4" t="str">
        <f>HYPERLINK("http://141.218.60.56/~jnz1568/getInfo.php?workbook=10_05.xlsx&amp;sheet=U0&amp;row=15612&amp;col=7&amp;number=0.0119&amp;sourceID=14","0.0119")</f>
        <v>0.0119</v>
      </c>
    </row>
    <row r="15613" spans="1:7">
      <c r="A15613" s="3"/>
      <c r="B15613" s="3"/>
      <c r="C15613" s="3"/>
      <c r="D15613" s="3"/>
      <c r="E15613" s="3">
        <v>10</v>
      </c>
      <c r="F15613" s="4" t="str">
        <f>HYPERLINK("http://141.218.60.56/~jnz1568/getInfo.php?workbook=10_05.xlsx&amp;sheet=U0&amp;row=15613&amp;col=6&amp;number=3.9&amp;sourceID=14","3.9")</f>
        <v>3.9</v>
      </c>
      <c r="G15613" s="4" t="str">
        <f>HYPERLINK("http://141.218.60.56/~jnz1568/getInfo.php?workbook=10_05.xlsx&amp;sheet=U0&amp;row=15613&amp;col=7&amp;number=0.0121&amp;sourceID=14","0.0121")</f>
        <v>0.0121</v>
      </c>
    </row>
    <row r="15614" spans="1:7">
      <c r="A15614" s="3"/>
      <c r="B15614" s="3"/>
      <c r="C15614" s="3"/>
      <c r="D15614" s="3"/>
      <c r="E15614" s="3">
        <v>11</v>
      </c>
      <c r="F15614" s="4" t="str">
        <f>HYPERLINK("http://141.218.60.56/~jnz1568/getInfo.php?workbook=10_05.xlsx&amp;sheet=U0&amp;row=15614&amp;col=6&amp;number=4&amp;sourceID=14","4")</f>
        <v>4</v>
      </c>
      <c r="G15614" s="4" t="str">
        <f>HYPERLINK("http://141.218.60.56/~jnz1568/getInfo.php?workbook=10_05.xlsx&amp;sheet=U0&amp;row=15614&amp;col=7&amp;number=0.0122&amp;sourceID=14","0.0122")</f>
        <v>0.0122</v>
      </c>
    </row>
    <row r="15615" spans="1:7">
      <c r="A15615" s="3"/>
      <c r="B15615" s="3"/>
      <c r="C15615" s="3"/>
      <c r="D15615" s="3"/>
      <c r="E15615" s="3">
        <v>12</v>
      </c>
      <c r="F15615" s="4" t="str">
        <f>HYPERLINK("http://141.218.60.56/~jnz1568/getInfo.php?workbook=10_05.xlsx&amp;sheet=U0&amp;row=15615&amp;col=6&amp;number=4.1&amp;sourceID=14","4.1")</f>
        <v>4.1</v>
      </c>
      <c r="G15615" s="4" t="str">
        <f>HYPERLINK("http://141.218.60.56/~jnz1568/getInfo.php?workbook=10_05.xlsx&amp;sheet=U0&amp;row=15615&amp;col=7&amp;number=0.0123&amp;sourceID=14","0.0123")</f>
        <v>0.0123</v>
      </c>
    </row>
    <row r="15616" spans="1:7">
      <c r="A15616" s="3"/>
      <c r="B15616" s="3"/>
      <c r="C15616" s="3"/>
      <c r="D15616" s="3"/>
      <c r="E15616" s="3">
        <v>13</v>
      </c>
      <c r="F15616" s="4" t="str">
        <f>HYPERLINK("http://141.218.60.56/~jnz1568/getInfo.php?workbook=10_05.xlsx&amp;sheet=U0&amp;row=15616&amp;col=6&amp;number=4.2&amp;sourceID=14","4.2")</f>
        <v>4.2</v>
      </c>
      <c r="G15616" s="4" t="str">
        <f>HYPERLINK("http://141.218.60.56/~jnz1568/getInfo.php?workbook=10_05.xlsx&amp;sheet=U0&amp;row=15616&amp;col=7&amp;number=0.0123&amp;sourceID=14","0.0123")</f>
        <v>0.0123</v>
      </c>
    </row>
    <row r="15617" spans="1:7">
      <c r="A15617" s="3"/>
      <c r="B15617" s="3"/>
      <c r="C15617" s="3"/>
      <c r="D15617" s="3"/>
      <c r="E15617" s="3">
        <v>14</v>
      </c>
      <c r="F15617" s="4" t="str">
        <f>HYPERLINK("http://141.218.60.56/~jnz1568/getInfo.php?workbook=10_05.xlsx&amp;sheet=U0&amp;row=15617&amp;col=6&amp;number=4.3&amp;sourceID=14","4.3")</f>
        <v>4.3</v>
      </c>
      <c r="G15617" s="4" t="str">
        <f>HYPERLINK("http://141.218.60.56/~jnz1568/getInfo.php?workbook=10_05.xlsx&amp;sheet=U0&amp;row=15617&amp;col=7&amp;number=0.0121&amp;sourceID=14","0.0121")</f>
        <v>0.0121</v>
      </c>
    </row>
    <row r="15618" spans="1:7">
      <c r="A15618" s="3"/>
      <c r="B15618" s="3"/>
      <c r="C15618" s="3"/>
      <c r="D15618" s="3"/>
      <c r="E15618" s="3">
        <v>15</v>
      </c>
      <c r="F15618" s="4" t="str">
        <f>HYPERLINK("http://141.218.60.56/~jnz1568/getInfo.php?workbook=10_05.xlsx&amp;sheet=U0&amp;row=15618&amp;col=6&amp;number=4.4&amp;sourceID=14","4.4")</f>
        <v>4.4</v>
      </c>
      <c r="G15618" s="4" t="str">
        <f>HYPERLINK("http://141.218.60.56/~jnz1568/getInfo.php?workbook=10_05.xlsx&amp;sheet=U0&amp;row=15618&amp;col=7&amp;number=0.0119&amp;sourceID=14","0.0119")</f>
        <v>0.0119</v>
      </c>
    </row>
    <row r="15619" spans="1:7">
      <c r="A15619" s="3"/>
      <c r="B15619" s="3"/>
      <c r="C15619" s="3"/>
      <c r="D15619" s="3"/>
      <c r="E15619" s="3">
        <v>16</v>
      </c>
      <c r="F15619" s="4" t="str">
        <f>HYPERLINK("http://141.218.60.56/~jnz1568/getInfo.php?workbook=10_05.xlsx&amp;sheet=U0&amp;row=15619&amp;col=6&amp;number=4.5&amp;sourceID=14","4.5")</f>
        <v>4.5</v>
      </c>
      <c r="G15619" s="4" t="str">
        <f>HYPERLINK("http://141.218.60.56/~jnz1568/getInfo.php?workbook=10_05.xlsx&amp;sheet=U0&amp;row=15619&amp;col=7&amp;number=0.0115&amp;sourceID=14","0.0115")</f>
        <v>0.0115</v>
      </c>
    </row>
    <row r="15620" spans="1:7">
      <c r="A15620" s="3"/>
      <c r="B15620" s="3"/>
      <c r="C15620" s="3"/>
      <c r="D15620" s="3"/>
      <c r="E15620" s="3">
        <v>17</v>
      </c>
      <c r="F15620" s="4" t="str">
        <f>HYPERLINK("http://141.218.60.56/~jnz1568/getInfo.php?workbook=10_05.xlsx&amp;sheet=U0&amp;row=15620&amp;col=6&amp;number=4.6&amp;sourceID=14","4.6")</f>
        <v>4.6</v>
      </c>
      <c r="G15620" s="4" t="str">
        <f>HYPERLINK("http://141.218.60.56/~jnz1568/getInfo.php?workbook=10_05.xlsx&amp;sheet=U0&amp;row=15620&amp;col=7&amp;number=0.011&amp;sourceID=14","0.011")</f>
        <v>0.011</v>
      </c>
    </row>
    <row r="15621" spans="1:7">
      <c r="A15621" s="3"/>
      <c r="B15621" s="3"/>
      <c r="C15621" s="3"/>
      <c r="D15621" s="3"/>
      <c r="E15621" s="3">
        <v>18</v>
      </c>
      <c r="F15621" s="4" t="str">
        <f>HYPERLINK("http://141.218.60.56/~jnz1568/getInfo.php?workbook=10_05.xlsx&amp;sheet=U0&amp;row=15621&amp;col=6&amp;number=4.7&amp;sourceID=14","4.7")</f>
        <v>4.7</v>
      </c>
      <c r="G15621" s="4" t="str">
        <f>HYPERLINK("http://141.218.60.56/~jnz1568/getInfo.php?workbook=10_05.xlsx&amp;sheet=U0&amp;row=15621&amp;col=7&amp;number=0.0103&amp;sourceID=14","0.0103")</f>
        <v>0.0103</v>
      </c>
    </row>
    <row r="15622" spans="1:7">
      <c r="A15622" s="3"/>
      <c r="B15622" s="3"/>
      <c r="C15622" s="3"/>
      <c r="D15622" s="3"/>
      <c r="E15622" s="3">
        <v>19</v>
      </c>
      <c r="F15622" s="4" t="str">
        <f>HYPERLINK("http://141.218.60.56/~jnz1568/getInfo.php?workbook=10_05.xlsx&amp;sheet=U0&amp;row=15622&amp;col=6&amp;number=4.8&amp;sourceID=14","4.8")</f>
        <v>4.8</v>
      </c>
      <c r="G15622" s="4" t="str">
        <f>HYPERLINK("http://141.218.60.56/~jnz1568/getInfo.php?workbook=10_05.xlsx&amp;sheet=U0&amp;row=15622&amp;col=7&amp;number=0.00948&amp;sourceID=14","0.00948")</f>
        <v>0.00948</v>
      </c>
    </row>
    <row r="15623" spans="1:7">
      <c r="A15623" s="3"/>
      <c r="B15623" s="3"/>
      <c r="C15623" s="3"/>
      <c r="D15623" s="3"/>
      <c r="E15623" s="3">
        <v>20</v>
      </c>
      <c r="F15623" s="4" t="str">
        <f>HYPERLINK("http://141.218.60.56/~jnz1568/getInfo.php?workbook=10_05.xlsx&amp;sheet=U0&amp;row=15623&amp;col=6&amp;number=4.9&amp;sourceID=14","4.9")</f>
        <v>4.9</v>
      </c>
      <c r="G15623" s="4" t="str">
        <f>HYPERLINK("http://141.218.60.56/~jnz1568/getInfo.php?workbook=10_05.xlsx&amp;sheet=U0&amp;row=15623&amp;col=7&amp;number=0.00858&amp;sourceID=14","0.00858")</f>
        <v>0.00858</v>
      </c>
    </row>
    <row r="15624" spans="1:7">
      <c r="A15624" s="3">
        <v>10</v>
      </c>
      <c r="B15624" s="3">
        <v>5</v>
      </c>
      <c r="C15624" s="3">
        <v>5</v>
      </c>
      <c r="D15624" s="3">
        <v>77</v>
      </c>
      <c r="E15624" s="3">
        <v>1</v>
      </c>
      <c r="F15624" s="4" t="str">
        <f>HYPERLINK("http://141.218.60.56/~jnz1568/getInfo.php?workbook=10_05.xlsx&amp;sheet=U0&amp;row=15624&amp;col=6&amp;number=3&amp;sourceID=14","3")</f>
        <v>3</v>
      </c>
      <c r="G15624" s="4" t="str">
        <f>HYPERLINK("http://141.218.60.56/~jnz1568/getInfo.php?workbook=10_05.xlsx&amp;sheet=U0&amp;row=15624&amp;col=7&amp;number=0.0301&amp;sourceID=14","0.0301")</f>
        <v>0.0301</v>
      </c>
    </row>
    <row r="15625" spans="1:7">
      <c r="A15625" s="3"/>
      <c r="B15625" s="3"/>
      <c r="C15625" s="3"/>
      <c r="D15625" s="3"/>
      <c r="E15625" s="3">
        <v>2</v>
      </c>
      <c r="F15625" s="4" t="str">
        <f>HYPERLINK("http://141.218.60.56/~jnz1568/getInfo.php?workbook=10_05.xlsx&amp;sheet=U0&amp;row=15625&amp;col=6&amp;number=3.1&amp;sourceID=14","3.1")</f>
        <v>3.1</v>
      </c>
      <c r="G15625" s="4" t="str">
        <f>HYPERLINK("http://141.218.60.56/~jnz1568/getInfo.php?workbook=10_05.xlsx&amp;sheet=U0&amp;row=15625&amp;col=7&amp;number=0.0299&amp;sourceID=14","0.0299")</f>
        <v>0.0299</v>
      </c>
    </row>
    <row r="15626" spans="1:7">
      <c r="A15626" s="3"/>
      <c r="B15626" s="3"/>
      <c r="C15626" s="3"/>
      <c r="D15626" s="3"/>
      <c r="E15626" s="3">
        <v>3</v>
      </c>
      <c r="F15626" s="4" t="str">
        <f>HYPERLINK("http://141.218.60.56/~jnz1568/getInfo.php?workbook=10_05.xlsx&amp;sheet=U0&amp;row=15626&amp;col=6&amp;number=3.2&amp;sourceID=14","3.2")</f>
        <v>3.2</v>
      </c>
      <c r="G15626" s="4" t="str">
        <f>HYPERLINK("http://141.218.60.56/~jnz1568/getInfo.php?workbook=10_05.xlsx&amp;sheet=U0&amp;row=15626&amp;col=7&amp;number=0.0296&amp;sourceID=14","0.0296")</f>
        <v>0.0296</v>
      </c>
    </row>
    <row r="15627" spans="1:7">
      <c r="A15627" s="3"/>
      <c r="B15627" s="3"/>
      <c r="C15627" s="3"/>
      <c r="D15627" s="3"/>
      <c r="E15627" s="3">
        <v>4</v>
      </c>
      <c r="F15627" s="4" t="str">
        <f>HYPERLINK("http://141.218.60.56/~jnz1568/getInfo.php?workbook=10_05.xlsx&amp;sheet=U0&amp;row=15627&amp;col=6&amp;number=3.3&amp;sourceID=14","3.3")</f>
        <v>3.3</v>
      </c>
      <c r="G15627" s="4" t="str">
        <f>HYPERLINK("http://141.218.60.56/~jnz1568/getInfo.php?workbook=10_05.xlsx&amp;sheet=U0&amp;row=15627&amp;col=7&amp;number=0.0293&amp;sourceID=14","0.0293")</f>
        <v>0.0293</v>
      </c>
    </row>
    <row r="15628" spans="1:7">
      <c r="A15628" s="3"/>
      <c r="B15628" s="3"/>
      <c r="C15628" s="3"/>
      <c r="D15628" s="3"/>
      <c r="E15628" s="3">
        <v>5</v>
      </c>
      <c r="F15628" s="4" t="str">
        <f>HYPERLINK("http://141.218.60.56/~jnz1568/getInfo.php?workbook=10_05.xlsx&amp;sheet=U0&amp;row=15628&amp;col=6&amp;number=3.4&amp;sourceID=14","3.4")</f>
        <v>3.4</v>
      </c>
      <c r="G15628" s="4" t="str">
        <f>HYPERLINK("http://141.218.60.56/~jnz1568/getInfo.php?workbook=10_05.xlsx&amp;sheet=U0&amp;row=15628&amp;col=7&amp;number=0.0289&amp;sourceID=14","0.0289")</f>
        <v>0.0289</v>
      </c>
    </row>
    <row r="15629" spans="1:7">
      <c r="A15629" s="3"/>
      <c r="B15629" s="3"/>
      <c r="C15629" s="3"/>
      <c r="D15629" s="3"/>
      <c r="E15629" s="3">
        <v>6</v>
      </c>
      <c r="F15629" s="4" t="str">
        <f>HYPERLINK("http://141.218.60.56/~jnz1568/getInfo.php?workbook=10_05.xlsx&amp;sheet=U0&amp;row=15629&amp;col=6&amp;number=3.5&amp;sourceID=14","3.5")</f>
        <v>3.5</v>
      </c>
      <c r="G15629" s="4" t="str">
        <f>HYPERLINK("http://141.218.60.56/~jnz1568/getInfo.php?workbook=10_05.xlsx&amp;sheet=U0&amp;row=15629&amp;col=7&amp;number=0.0284&amp;sourceID=14","0.0284")</f>
        <v>0.0284</v>
      </c>
    </row>
    <row r="15630" spans="1:7">
      <c r="A15630" s="3"/>
      <c r="B15630" s="3"/>
      <c r="C15630" s="3"/>
      <c r="D15630" s="3"/>
      <c r="E15630" s="3">
        <v>7</v>
      </c>
      <c r="F15630" s="4" t="str">
        <f>HYPERLINK("http://141.218.60.56/~jnz1568/getInfo.php?workbook=10_05.xlsx&amp;sheet=U0&amp;row=15630&amp;col=6&amp;number=3.6&amp;sourceID=14","3.6")</f>
        <v>3.6</v>
      </c>
      <c r="G15630" s="4" t="str">
        <f>HYPERLINK("http://141.218.60.56/~jnz1568/getInfo.php?workbook=10_05.xlsx&amp;sheet=U0&amp;row=15630&amp;col=7&amp;number=0.0278&amp;sourceID=14","0.0278")</f>
        <v>0.0278</v>
      </c>
    </row>
    <row r="15631" spans="1:7">
      <c r="A15631" s="3"/>
      <c r="B15631" s="3"/>
      <c r="C15631" s="3"/>
      <c r="D15631" s="3"/>
      <c r="E15631" s="3">
        <v>8</v>
      </c>
      <c r="F15631" s="4" t="str">
        <f>HYPERLINK("http://141.218.60.56/~jnz1568/getInfo.php?workbook=10_05.xlsx&amp;sheet=U0&amp;row=15631&amp;col=6&amp;number=3.7&amp;sourceID=14","3.7")</f>
        <v>3.7</v>
      </c>
      <c r="G15631" s="4" t="str">
        <f>HYPERLINK("http://141.218.60.56/~jnz1568/getInfo.php?workbook=10_05.xlsx&amp;sheet=U0&amp;row=15631&amp;col=7&amp;number=0.0271&amp;sourceID=14","0.0271")</f>
        <v>0.0271</v>
      </c>
    </row>
    <row r="15632" spans="1:7">
      <c r="A15632" s="3"/>
      <c r="B15632" s="3"/>
      <c r="C15632" s="3"/>
      <c r="D15632" s="3"/>
      <c r="E15632" s="3">
        <v>9</v>
      </c>
      <c r="F15632" s="4" t="str">
        <f>HYPERLINK("http://141.218.60.56/~jnz1568/getInfo.php?workbook=10_05.xlsx&amp;sheet=U0&amp;row=15632&amp;col=6&amp;number=3.8&amp;sourceID=14","3.8")</f>
        <v>3.8</v>
      </c>
      <c r="G15632" s="4" t="str">
        <f>HYPERLINK("http://141.218.60.56/~jnz1568/getInfo.php?workbook=10_05.xlsx&amp;sheet=U0&amp;row=15632&amp;col=7&amp;number=0.0262&amp;sourceID=14","0.0262")</f>
        <v>0.0262</v>
      </c>
    </row>
    <row r="15633" spans="1:7">
      <c r="A15633" s="3"/>
      <c r="B15633" s="3"/>
      <c r="C15633" s="3"/>
      <c r="D15633" s="3"/>
      <c r="E15633" s="3">
        <v>10</v>
      </c>
      <c r="F15633" s="4" t="str">
        <f>HYPERLINK("http://141.218.60.56/~jnz1568/getInfo.php?workbook=10_05.xlsx&amp;sheet=U0&amp;row=15633&amp;col=6&amp;number=3.9&amp;sourceID=14","3.9")</f>
        <v>3.9</v>
      </c>
      <c r="G15633" s="4" t="str">
        <f>HYPERLINK("http://141.218.60.56/~jnz1568/getInfo.php?workbook=10_05.xlsx&amp;sheet=U0&amp;row=15633&amp;col=7&amp;number=0.0252&amp;sourceID=14","0.0252")</f>
        <v>0.0252</v>
      </c>
    </row>
    <row r="15634" spans="1:7">
      <c r="A15634" s="3"/>
      <c r="B15634" s="3"/>
      <c r="C15634" s="3"/>
      <c r="D15634" s="3"/>
      <c r="E15634" s="3">
        <v>11</v>
      </c>
      <c r="F15634" s="4" t="str">
        <f>HYPERLINK("http://141.218.60.56/~jnz1568/getInfo.php?workbook=10_05.xlsx&amp;sheet=U0&amp;row=15634&amp;col=6&amp;number=4&amp;sourceID=14","4")</f>
        <v>4</v>
      </c>
      <c r="G15634" s="4" t="str">
        <f>HYPERLINK("http://141.218.60.56/~jnz1568/getInfo.php?workbook=10_05.xlsx&amp;sheet=U0&amp;row=15634&amp;col=7&amp;number=0.024&amp;sourceID=14","0.024")</f>
        <v>0.024</v>
      </c>
    </row>
    <row r="15635" spans="1:7">
      <c r="A15635" s="3"/>
      <c r="B15635" s="3"/>
      <c r="C15635" s="3"/>
      <c r="D15635" s="3"/>
      <c r="E15635" s="3">
        <v>12</v>
      </c>
      <c r="F15635" s="4" t="str">
        <f>HYPERLINK("http://141.218.60.56/~jnz1568/getInfo.php?workbook=10_05.xlsx&amp;sheet=U0&amp;row=15635&amp;col=6&amp;number=4.1&amp;sourceID=14","4.1")</f>
        <v>4.1</v>
      </c>
      <c r="G15635" s="4" t="str">
        <f>HYPERLINK("http://141.218.60.56/~jnz1568/getInfo.php?workbook=10_05.xlsx&amp;sheet=U0&amp;row=15635&amp;col=7&amp;number=0.0227&amp;sourceID=14","0.0227")</f>
        <v>0.0227</v>
      </c>
    </row>
    <row r="15636" spans="1:7">
      <c r="A15636" s="3"/>
      <c r="B15636" s="3"/>
      <c r="C15636" s="3"/>
      <c r="D15636" s="3"/>
      <c r="E15636" s="3">
        <v>13</v>
      </c>
      <c r="F15636" s="4" t="str">
        <f>HYPERLINK("http://141.218.60.56/~jnz1568/getInfo.php?workbook=10_05.xlsx&amp;sheet=U0&amp;row=15636&amp;col=6&amp;number=4.2&amp;sourceID=14","4.2")</f>
        <v>4.2</v>
      </c>
      <c r="G15636" s="4" t="str">
        <f>HYPERLINK("http://141.218.60.56/~jnz1568/getInfo.php?workbook=10_05.xlsx&amp;sheet=U0&amp;row=15636&amp;col=7&amp;number=0.0213&amp;sourceID=14","0.0213")</f>
        <v>0.0213</v>
      </c>
    </row>
    <row r="15637" spans="1:7">
      <c r="A15637" s="3"/>
      <c r="B15637" s="3"/>
      <c r="C15637" s="3"/>
      <c r="D15637" s="3"/>
      <c r="E15637" s="3">
        <v>14</v>
      </c>
      <c r="F15637" s="4" t="str">
        <f>HYPERLINK("http://141.218.60.56/~jnz1568/getInfo.php?workbook=10_05.xlsx&amp;sheet=U0&amp;row=15637&amp;col=6&amp;number=4.3&amp;sourceID=14","4.3")</f>
        <v>4.3</v>
      </c>
      <c r="G15637" s="4" t="str">
        <f>HYPERLINK("http://141.218.60.56/~jnz1568/getInfo.php?workbook=10_05.xlsx&amp;sheet=U0&amp;row=15637&amp;col=7&amp;number=0.02&amp;sourceID=14","0.02")</f>
        <v>0.02</v>
      </c>
    </row>
    <row r="15638" spans="1:7">
      <c r="A15638" s="3"/>
      <c r="B15638" s="3"/>
      <c r="C15638" s="3"/>
      <c r="D15638" s="3"/>
      <c r="E15638" s="3">
        <v>15</v>
      </c>
      <c r="F15638" s="4" t="str">
        <f>HYPERLINK("http://141.218.60.56/~jnz1568/getInfo.php?workbook=10_05.xlsx&amp;sheet=U0&amp;row=15638&amp;col=6&amp;number=4.4&amp;sourceID=14","4.4")</f>
        <v>4.4</v>
      </c>
      <c r="G15638" s="4" t="str">
        <f>HYPERLINK("http://141.218.60.56/~jnz1568/getInfo.php?workbook=10_05.xlsx&amp;sheet=U0&amp;row=15638&amp;col=7&amp;number=0.0186&amp;sourceID=14","0.0186")</f>
        <v>0.0186</v>
      </c>
    </row>
    <row r="15639" spans="1:7">
      <c r="A15639" s="3"/>
      <c r="B15639" s="3"/>
      <c r="C15639" s="3"/>
      <c r="D15639" s="3"/>
      <c r="E15639" s="3">
        <v>16</v>
      </c>
      <c r="F15639" s="4" t="str">
        <f>HYPERLINK("http://141.218.60.56/~jnz1568/getInfo.php?workbook=10_05.xlsx&amp;sheet=U0&amp;row=15639&amp;col=6&amp;number=4.5&amp;sourceID=14","4.5")</f>
        <v>4.5</v>
      </c>
      <c r="G15639" s="4" t="str">
        <f>HYPERLINK("http://141.218.60.56/~jnz1568/getInfo.php?workbook=10_05.xlsx&amp;sheet=U0&amp;row=15639&amp;col=7&amp;number=0.0172&amp;sourceID=14","0.0172")</f>
        <v>0.0172</v>
      </c>
    </row>
    <row r="15640" spans="1:7">
      <c r="A15640" s="3"/>
      <c r="B15640" s="3"/>
      <c r="C15640" s="3"/>
      <c r="D15640" s="3"/>
      <c r="E15640" s="3">
        <v>17</v>
      </c>
      <c r="F15640" s="4" t="str">
        <f>HYPERLINK("http://141.218.60.56/~jnz1568/getInfo.php?workbook=10_05.xlsx&amp;sheet=U0&amp;row=15640&amp;col=6&amp;number=4.6&amp;sourceID=14","4.6")</f>
        <v>4.6</v>
      </c>
      <c r="G15640" s="4" t="str">
        <f>HYPERLINK("http://141.218.60.56/~jnz1568/getInfo.php?workbook=10_05.xlsx&amp;sheet=U0&amp;row=15640&amp;col=7&amp;number=0.0157&amp;sourceID=14","0.0157")</f>
        <v>0.0157</v>
      </c>
    </row>
    <row r="15641" spans="1:7">
      <c r="A15641" s="3"/>
      <c r="B15641" s="3"/>
      <c r="C15641" s="3"/>
      <c r="D15641" s="3"/>
      <c r="E15641" s="3">
        <v>18</v>
      </c>
      <c r="F15641" s="4" t="str">
        <f>HYPERLINK("http://141.218.60.56/~jnz1568/getInfo.php?workbook=10_05.xlsx&amp;sheet=U0&amp;row=15641&amp;col=6&amp;number=4.7&amp;sourceID=14","4.7")</f>
        <v>4.7</v>
      </c>
      <c r="G15641" s="4" t="str">
        <f>HYPERLINK("http://141.218.60.56/~jnz1568/getInfo.php?workbook=10_05.xlsx&amp;sheet=U0&amp;row=15641&amp;col=7&amp;number=0.0141&amp;sourceID=14","0.0141")</f>
        <v>0.0141</v>
      </c>
    </row>
    <row r="15642" spans="1:7">
      <c r="A15642" s="3"/>
      <c r="B15642" s="3"/>
      <c r="C15642" s="3"/>
      <c r="D15642" s="3"/>
      <c r="E15642" s="3">
        <v>19</v>
      </c>
      <c r="F15642" s="4" t="str">
        <f>HYPERLINK("http://141.218.60.56/~jnz1568/getInfo.php?workbook=10_05.xlsx&amp;sheet=U0&amp;row=15642&amp;col=6&amp;number=4.8&amp;sourceID=14","4.8")</f>
        <v>4.8</v>
      </c>
      <c r="G15642" s="4" t="str">
        <f>HYPERLINK("http://141.218.60.56/~jnz1568/getInfo.php?workbook=10_05.xlsx&amp;sheet=U0&amp;row=15642&amp;col=7&amp;number=0.0125&amp;sourceID=14","0.0125")</f>
        <v>0.0125</v>
      </c>
    </row>
    <row r="15643" spans="1:7">
      <c r="A15643" s="3"/>
      <c r="B15643" s="3"/>
      <c r="C15643" s="3"/>
      <c r="D15643" s="3"/>
      <c r="E15643" s="3">
        <v>20</v>
      </c>
      <c r="F15643" s="4" t="str">
        <f>HYPERLINK("http://141.218.60.56/~jnz1568/getInfo.php?workbook=10_05.xlsx&amp;sheet=U0&amp;row=15643&amp;col=6&amp;number=4.9&amp;sourceID=14","4.9")</f>
        <v>4.9</v>
      </c>
      <c r="G15643" s="4" t="str">
        <f>HYPERLINK("http://141.218.60.56/~jnz1568/getInfo.php?workbook=10_05.xlsx&amp;sheet=U0&amp;row=15643&amp;col=7&amp;number=0.0109&amp;sourceID=14","0.0109")</f>
        <v>0.0109</v>
      </c>
    </row>
    <row r="15644" spans="1:7">
      <c r="A15644" s="3">
        <v>10</v>
      </c>
      <c r="B15644" s="3">
        <v>5</v>
      </c>
      <c r="C15644" s="3">
        <v>5</v>
      </c>
      <c r="D15644" s="3">
        <v>78</v>
      </c>
      <c r="E15644" s="3">
        <v>1</v>
      </c>
      <c r="F15644" s="4" t="str">
        <f>HYPERLINK("http://141.218.60.56/~jnz1568/getInfo.php?workbook=10_05.xlsx&amp;sheet=U0&amp;row=15644&amp;col=6&amp;number=3&amp;sourceID=14","3")</f>
        <v>3</v>
      </c>
      <c r="G15644" s="4" t="str">
        <f>HYPERLINK("http://141.218.60.56/~jnz1568/getInfo.php?workbook=10_05.xlsx&amp;sheet=U0&amp;row=15644&amp;col=7&amp;number=0.0776&amp;sourceID=14","0.0776")</f>
        <v>0.0776</v>
      </c>
    </row>
    <row r="15645" spans="1:7">
      <c r="A15645" s="3"/>
      <c r="B15645" s="3"/>
      <c r="C15645" s="3"/>
      <c r="D15645" s="3"/>
      <c r="E15645" s="3">
        <v>2</v>
      </c>
      <c r="F15645" s="4" t="str">
        <f>HYPERLINK("http://141.218.60.56/~jnz1568/getInfo.php?workbook=10_05.xlsx&amp;sheet=U0&amp;row=15645&amp;col=6&amp;number=3.1&amp;sourceID=14","3.1")</f>
        <v>3.1</v>
      </c>
      <c r="G15645" s="4" t="str">
        <f>HYPERLINK("http://141.218.60.56/~jnz1568/getInfo.php?workbook=10_05.xlsx&amp;sheet=U0&amp;row=15645&amp;col=7&amp;number=0.0774&amp;sourceID=14","0.0774")</f>
        <v>0.0774</v>
      </c>
    </row>
    <row r="15646" spans="1:7">
      <c r="A15646" s="3"/>
      <c r="B15646" s="3"/>
      <c r="C15646" s="3"/>
      <c r="D15646" s="3"/>
      <c r="E15646" s="3">
        <v>3</v>
      </c>
      <c r="F15646" s="4" t="str">
        <f>HYPERLINK("http://141.218.60.56/~jnz1568/getInfo.php?workbook=10_05.xlsx&amp;sheet=U0&amp;row=15646&amp;col=6&amp;number=3.2&amp;sourceID=14","3.2")</f>
        <v>3.2</v>
      </c>
      <c r="G15646" s="4" t="str">
        <f>HYPERLINK("http://141.218.60.56/~jnz1568/getInfo.php?workbook=10_05.xlsx&amp;sheet=U0&amp;row=15646&amp;col=7&amp;number=0.0772&amp;sourceID=14","0.0772")</f>
        <v>0.0772</v>
      </c>
    </row>
    <row r="15647" spans="1:7">
      <c r="A15647" s="3"/>
      <c r="B15647" s="3"/>
      <c r="C15647" s="3"/>
      <c r="D15647" s="3"/>
      <c r="E15647" s="3">
        <v>4</v>
      </c>
      <c r="F15647" s="4" t="str">
        <f>HYPERLINK("http://141.218.60.56/~jnz1568/getInfo.php?workbook=10_05.xlsx&amp;sheet=U0&amp;row=15647&amp;col=6&amp;number=3.3&amp;sourceID=14","3.3")</f>
        <v>3.3</v>
      </c>
      <c r="G15647" s="4" t="str">
        <f>HYPERLINK("http://141.218.60.56/~jnz1568/getInfo.php?workbook=10_05.xlsx&amp;sheet=U0&amp;row=15647&amp;col=7&amp;number=0.0769&amp;sourceID=14","0.0769")</f>
        <v>0.0769</v>
      </c>
    </row>
    <row r="15648" spans="1:7">
      <c r="A15648" s="3"/>
      <c r="B15648" s="3"/>
      <c r="C15648" s="3"/>
      <c r="D15648" s="3"/>
      <c r="E15648" s="3">
        <v>5</v>
      </c>
      <c r="F15648" s="4" t="str">
        <f>HYPERLINK("http://141.218.60.56/~jnz1568/getInfo.php?workbook=10_05.xlsx&amp;sheet=U0&amp;row=15648&amp;col=6&amp;number=3.4&amp;sourceID=14","3.4")</f>
        <v>3.4</v>
      </c>
      <c r="G15648" s="4" t="str">
        <f>HYPERLINK("http://141.218.60.56/~jnz1568/getInfo.php?workbook=10_05.xlsx&amp;sheet=U0&amp;row=15648&amp;col=7&amp;number=0.0765&amp;sourceID=14","0.0765")</f>
        <v>0.0765</v>
      </c>
    </row>
    <row r="15649" spans="1:7">
      <c r="A15649" s="3"/>
      <c r="B15649" s="3"/>
      <c r="C15649" s="3"/>
      <c r="D15649" s="3"/>
      <c r="E15649" s="3">
        <v>6</v>
      </c>
      <c r="F15649" s="4" t="str">
        <f>HYPERLINK("http://141.218.60.56/~jnz1568/getInfo.php?workbook=10_05.xlsx&amp;sheet=U0&amp;row=15649&amp;col=6&amp;number=3.5&amp;sourceID=14","3.5")</f>
        <v>3.5</v>
      </c>
      <c r="G15649" s="4" t="str">
        <f>HYPERLINK("http://141.218.60.56/~jnz1568/getInfo.php?workbook=10_05.xlsx&amp;sheet=U0&amp;row=15649&amp;col=7&amp;number=0.076&amp;sourceID=14","0.076")</f>
        <v>0.076</v>
      </c>
    </row>
    <row r="15650" spans="1:7">
      <c r="A15650" s="3"/>
      <c r="B15650" s="3"/>
      <c r="C15650" s="3"/>
      <c r="D15650" s="3"/>
      <c r="E15650" s="3">
        <v>7</v>
      </c>
      <c r="F15650" s="4" t="str">
        <f>HYPERLINK("http://141.218.60.56/~jnz1568/getInfo.php?workbook=10_05.xlsx&amp;sheet=U0&amp;row=15650&amp;col=6&amp;number=3.6&amp;sourceID=14","3.6")</f>
        <v>3.6</v>
      </c>
      <c r="G15650" s="4" t="str">
        <f>HYPERLINK("http://141.218.60.56/~jnz1568/getInfo.php?workbook=10_05.xlsx&amp;sheet=U0&amp;row=15650&amp;col=7&amp;number=0.0754&amp;sourceID=14","0.0754")</f>
        <v>0.0754</v>
      </c>
    </row>
    <row r="15651" spans="1:7">
      <c r="A15651" s="3"/>
      <c r="B15651" s="3"/>
      <c r="C15651" s="3"/>
      <c r="D15651" s="3"/>
      <c r="E15651" s="3">
        <v>8</v>
      </c>
      <c r="F15651" s="4" t="str">
        <f>HYPERLINK("http://141.218.60.56/~jnz1568/getInfo.php?workbook=10_05.xlsx&amp;sheet=U0&amp;row=15651&amp;col=6&amp;number=3.7&amp;sourceID=14","3.7")</f>
        <v>3.7</v>
      </c>
      <c r="G15651" s="4" t="str">
        <f>HYPERLINK("http://141.218.60.56/~jnz1568/getInfo.php?workbook=10_05.xlsx&amp;sheet=U0&amp;row=15651&amp;col=7&amp;number=0.0747&amp;sourceID=14","0.0747")</f>
        <v>0.0747</v>
      </c>
    </row>
    <row r="15652" spans="1:7">
      <c r="A15652" s="3"/>
      <c r="B15652" s="3"/>
      <c r="C15652" s="3"/>
      <c r="D15652" s="3"/>
      <c r="E15652" s="3">
        <v>9</v>
      </c>
      <c r="F15652" s="4" t="str">
        <f>HYPERLINK("http://141.218.60.56/~jnz1568/getInfo.php?workbook=10_05.xlsx&amp;sheet=U0&amp;row=15652&amp;col=6&amp;number=3.8&amp;sourceID=14","3.8")</f>
        <v>3.8</v>
      </c>
      <c r="G15652" s="4" t="str">
        <f>HYPERLINK("http://141.218.60.56/~jnz1568/getInfo.php?workbook=10_05.xlsx&amp;sheet=U0&amp;row=15652&amp;col=7&amp;number=0.0738&amp;sourceID=14","0.0738")</f>
        <v>0.0738</v>
      </c>
    </row>
    <row r="15653" spans="1:7">
      <c r="A15653" s="3"/>
      <c r="B15653" s="3"/>
      <c r="C15653" s="3"/>
      <c r="D15653" s="3"/>
      <c r="E15653" s="3">
        <v>10</v>
      </c>
      <c r="F15653" s="4" t="str">
        <f>HYPERLINK("http://141.218.60.56/~jnz1568/getInfo.php?workbook=10_05.xlsx&amp;sheet=U0&amp;row=15653&amp;col=6&amp;number=3.9&amp;sourceID=14","3.9")</f>
        <v>3.9</v>
      </c>
      <c r="G15653" s="4" t="str">
        <f>HYPERLINK("http://141.218.60.56/~jnz1568/getInfo.php?workbook=10_05.xlsx&amp;sheet=U0&amp;row=15653&amp;col=7&amp;number=0.0727&amp;sourceID=14","0.0727")</f>
        <v>0.0727</v>
      </c>
    </row>
    <row r="15654" spans="1:7">
      <c r="A15654" s="3"/>
      <c r="B15654" s="3"/>
      <c r="C15654" s="3"/>
      <c r="D15654" s="3"/>
      <c r="E15654" s="3">
        <v>11</v>
      </c>
      <c r="F15654" s="4" t="str">
        <f>HYPERLINK("http://141.218.60.56/~jnz1568/getInfo.php?workbook=10_05.xlsx&amp;sheet=U0&amp;row=15654&amp;col=6&amp;number=4&amp;sourceID=14","4")</f>
        <v>4</v>
      </c>
      <c r="G15654" s="4" t="str">
        <f>HYPERLINK("http://141.218.60.56/~jnz1568/getInfo.php?workbook=10_05.xlsx&amp;sheet=U0&amp;row=15654&amp;col=7&amp;number=0.0713&amp;sourceID=14","0.0713")</f>
        <v>0.0713</v>
      </c>
    </row>
    <row r="15655" spans="1:7">
      <c r="A15655" s="3"/>
      <c r="B15655" s="3"/>
      <c r="C15655" s="3"/>
      <c r="D15655" s="3"/>
      <c r="E15655" s="3">
        <v>12</v>
      </c>
      <c r="F15655" s="4" t="str">
        <f>HYPERLINK("http://141.218.60.56/~jnz1568/getInfo.php?workbook=10_05.xlsx&amp;sheet=U0&amp;row=15655&amp;col=6&amp;number=4.1&amp;sourceID=14","4.1")</f>
        <v>4.1</v>
      </c>
      <c r="G15655" s="4" t="str">
        <f>HYPERLINK("http://141.218.60.56/~jnz1568/getInfo.php?workbook=10_05.xlsx&amp;sheet=U0&amp;row=15655&amp;col=7&amp;number=0.0694&amp;sourceID=14","0.0694")</f>
        <v>0.0694</v>
      </c>
    </row>
    <row r="15656" spans="1:7">
      <c r="A15656" s="3"/>
      <c r="B15656" s="3"/>
      <c r="C15656" s="3"/>
      <c r="D15656" s="3"/>
      <c r="E15656" s="3">
        <v>13</v>
      </c>
      <c r="F15656" s="4" t="str">
        <f>HYPERLINK("http://141.218.60.56/~jnz1568/getInfo.php?workbook=10_05.xlsx&amp;sheet=U0&amp;row=15656&amp;col=6&amp;number=4.2&amp;sourceID=14","4.2")</f>
        <v>4.2</v>
      </c>
      <c r="G15656" s="4" t="str">
        <f>HYPERLINK("http://141.218.60.56/~jnz1568/getInfo.php?workbook=10_05.xlsx&amp;sheet=U0&amp;row=15656&amp;col=7&amp;number=0.0671&amp;sourceID=14","0.0671")</f>
        <v>0.0671</v>
      </c>
    </row>
    <row r="15657" spans="1:7">
      <c r="A15657" s="3"/>
      <c r="B15657" s="3"/>
      <c r="C15657" s="3"/>
      <c r="D15657" s="3"/>
      <c r="E15657" s="3">
        <v>14</v>
      </c>
      <c r="F15657" s="4" t="str">
        <f>HYPERLINK("http://141.218.60.56/~jnz1568/getInfo.php?workbook=10_05.xlsx&amp;sheet=U0&amp;row=15657&amp;col=6&amp;number=4.3&amp;sourceID=14","4.3")</f>
        <v>4.3</v>
      </c>
      <c r="G15657" s="4" t="str">
        <f>HYPERLINK("http://141.218.60.56/~jnz1568/getInfo.php?workbook=10_05.xlsx&amp;sheet=U0&amp;row=15657&amp;col=7&amp;number=0.0642&amp;sourceID=14","0.0642")</f>
        <v>0.0642</v>
      </c>
    </row>
    <row r="15658" spans="1:7">
      <c r="A15658" s="3"/>
      <c r="B15658" s="3"/>
      <c r="C15658" s="3"/>
      <c r="D15658" s="3"/>
      <c r="E15658" s="3">
        <v>15</v>
      </c>
      <c r="F15658" s="4" t="str">
        <f>HYPERLINK("http://141.218.60.56/~jnz1568/getInfo.php?workbook=10_05.xlsx&amp;sheet=U0&amp;row=15658&amp;col=6&amp;number=4.4&amp;sourceID=14","4.4")</f>
        <v>4.4</v>
      </c>
      <c r="G15658" s="4" t="str">
        <f>HYPERLINK("http://141.218.60.56/~jnz1568/getInfo.php?workbook=10_05.xlsx&amp;sheet=U0&amp;row=15658&amp;col=7&amp;number=0.0606&amp;sourceID=14","0.0606")</f>
        <v>0.0606</v>
      </c>
    </row>
    <row r="15659" spans="1:7">
      <c r="A15659" s="3"/>
      <c r="B15659" s="3"/>
      <c r="C15659" s="3"/>
      <c r="D15659" s="3"/>
      <c r="E15659" s="3">
        <v>16</v>
      </c>
      <c r="F15659" s="4" t="str">
        <f>HYPERLINK("http://141.218.60.56/~jnz1568/getInfo.php?workbook=10_05.xlsx&amp;sheet=U0&amp;row=15659&amp;col=6&amp;number=4.5&amp;sourceID=14","4.5")</f>
        <v>4.5</v>
      </c>
      <c r="G15659" s="4" t="str">
        <f>HYPERLINK("http://141.218.60.56/~jnz1568/getInfo.php?workbook=10_05.xlsx&amp;sheet=U0&amp;row=15659&amp;col=7&amp;number=0.0564&amp;sourceID=14","0.0564")</f>
        <v>0.0564</v>
      </c>
    </row>
    <row r="15660" spans="1:7">
      <c r="A15660" s="3"/>
      <c r="B15660" s="3"/>
      <c r="C15660" s="3"/>
      <c r="D15660" s="3"/>
      <c r="E15660" s="3">
        <v>17</v>
      </c>
      <c r="F15660" s="4" t="str">
        <f>HYPERLINK("http://141.218.60.56/~jnz1568/getInfo.php?workbook=10_05.xlsx&amp;sheet=U0&amp;row=15660&amp;col=6&amp;number=4.6&amp;sourceID=14","4.6")</f>
        <v>4.6</v>
      </c>
      <c r="G15660" s="4" t="str">
        <f>HYPERLINK("http://141.218.60.56/~jnz1568/getInfo.php?workbook=10_05.xlsx&amp;sheet=U0&amp;row=15660&amp;col=7&amp;number=0.0521&amp;sourceID=14","0.0521")</f>
        <v>0.0521</v>
      </c>
    </row>
    <row r="15661" spans="1:7">
      <c r="A15661" s="3"/>
      <c r="B15661" s="3"/>
      <c r="C15661" s="3"/>
      <c r="D15661" s="3"/>
      <c r="E15661" s="3">
        <v>18</v>
      </c>
      <c r="F15661" s="4" t="str">
        <f>HYPERLINK("http://141.218.60.56/~jnz1568/getInfo.php?workbook=10_05.xlsx&amp;sheet=U0&amp;row=15661&amp;col=6&amp;number=4.7&amp;sourceID=14","4.7")</f>
        <v>4.7</v>
      </c>
      <c r="G15661" s="4" t="str">
        <f>HYPERLINK("http://141.218.60.56/~jnz1568/getInfo.php?workbook=10_05.xlsx&amp;sheet=U0&amp;row=15661&amp;col=7&amp;number=0.0479&amp;sourceID=14","0.0479")</f>
        <v>0.0479</v>
      </c>
    </row>
    <row r="15662" spans="1:7">
      <c r="A15662" s="3"/>
      <c r="B15662" s="3"/>
      <c r="C15662" s="3"/>
      <c r="D15662" s="3"/>
      <c r="E15662" s="3">
        <v>19</v>
      </c>
      <c r="F15662" s="4" t="str">
        <f>HYPERLINK("http://141.218.60.56/~jnz1568/getInfo.php?workbook=10_05.xlsx&amp;sheet=U0&amp;row=15662&amp;col=6&amp;number=4.8&amp;sourceID=14","4.8")</f>
        <v>4.8</v>
      </c>
      <c r="G15662" s="4" t="str">
        <f>HYPERLINK("http://141.218.60.56/~jnz1568/getInfo.php?workbook=10_05.xlsx&amp;sheet=U0&amp;row=15662&amp;col=7&amp;number=0.0438&amp;sourceID=14","0.0438")</f>
        <v>0.0438</v>
      </c>
    </row>
    <row r="15663" spans="1:7">
      <c r="A15663" s="3"/>
      <c r="B15663" s="3"/>
      <c r="C15663" s="3"/>
      <c r="D15663" s="3"/>
      <c r="E15663" s="3">
        <v>20</v>
      </c>
      <c r="F15663" s="4" t="str">
        <f>HYPERLINK("http://141.218.60.56/~jnz1568/getInfo.php?workbook=10_05.xlsx&amp;sheet=U0&amp;row=15663&amp;col=6&amp;number=4.9&amp;sourceID=14","4.9")</f>
        <v>4.9</v>
      </c>
      <c r="G15663" s="4" t="str">
        <f>HYPERLINK("http://141.218.60.56/~jnz1568/getInfo.php?workbook=10_05.xlsx&amp;sheet=U0&amp;row=15663&amp;col=7&amp;number=0.0395&amp;sourceID=14","0.0395")</f>
        <v>0.0395</v>
      </c>
    </row>
    <row r="15664" spans="1:7">
      <c r="A15664" s="3">
        <v>10</v>
      </c>
      <c r="B15664" s="3">
        <v>5</v>
      </c>
      <c r="C15664" s="3">
        <v>5</v>
      </c>
      <c r="D15664" s="3">
        <v>79</v>
      </c>
      <c r="E15664" s="3">
        <v>1</v>
      </c>
      <c r="F15664" s="4" t="str">
        <f>HYPERLINK("http://141.218.60.56/~jnz1568/getInfo.php?workbook=10_05.xlsx&amp;sheet=U0&amp;row=15664&amp;col=6&amp;number=3&amp;sourceID=14","3")</f>
        <v>3</v>
      </c>
      <c r="G15664" s="4" t="str">
        <f>HYPERLINK("http://141.218.60.56/~jnz1568/getInfo.php?workbook=10_05.xlsx&amp;sheet=U0&amp;row=15664&amp;col=7&amp;number=0.0113&amp;sourceID=14","0.0113")</f>
        <v>0.0113</v>
      </c>
    </row>
    <row r="15665" spans="1:7">
      <c r="A15665" s="3"/>
      <c r="B15665" s="3"/>
      <c r="C15665" s="3"/>
      <c r="D15665" s="3"/>
      <c r="E15665" s="3">
        <v>2</v>
      </c>
      <c r="F15665" s="4" t="str">
        <f>HYPERLINK("http://141.218.60.56/~jnz1568/getInfo.php?workbook=10_05.xlsx&amp;sheet=U0&amp;row=15665&amp;col=6&amp;number=3.1&amp;sourceID=14","3.1")</f>
        <v>3.1</v>
      </c>
      <c r="G15665" s="4" t="str">
        <f>HYPERLINK("http://141.218.60.56/~jnz1568/getInfo.php?workbook=10_05.xlsx&amp;sheet=U0&amp;row=15665&amp;col=7&amp;number=0.0115&amp;sourceID=14","0.0115")</f>
        <v>0.0115</v>
      </c>
    </row>
    <row r="15666" spans="1:7">
      <c r="A15666" s="3"/>
      <c r="B15666" s="3"/>
      <c r="C15666" s="3"/>
      <c r="D15666" s="3"/>
      <c r="E15666" s="3">
        <v>3</v>
      </c>
      <c r="F15666" s="4" t="str">
        <f>HYPERLINK("http://141.218.60.56/~jnz1568/getInfo.php?workbook=10_05.xlsx&amp;sheet=U0&amp;row=15666&amp;col=6&amp;number=3.2&amp;sourceID=14","3.2")</f>
        <v>3.2</v>
      </c>
      <c r="G15666" s="4" t="str">
        <f>HYPERLINK("http://141.218.60.56/~jnz1568/getInfo.php?workbook=10_05.xlsx&amp;sheet=U0&amp;row=15666&amp;col=7&amp;number=0.0117&amp;sourceID=14","0.0117")</f>
        <v>0.0117</v>
      </c>
    </row>
    <row r="15667" spans="1:7">
      <c r="A15667" s="3"/>
      <c r="B15667" s="3"/>
      <c r="C15667" s="3"/>
      <c r="D15667" s="3"/>
      <c r="E15667" s="3">
        <v>4</v>
      </c>
      <c r="F15667" s="4" t="str">
        <f>HYPERLINK("http://141.218.60.56/~jnz1568/getInfo.php?workbook=10_05.xlsx&amp;sheet=U0&amp;row=15667&amp;col=6&amp;number=3.3&amp;sourceID=14","3.3")</f>
        <v>3.3</v>
      </c>
      <c r="G15667" s="4" t="str">
        <f>HYPERLINK("http://141.218.60.56/~jnz1568/getInfo.php?workbook=10_05.xlsx&amp;sheet=U0&amp;row=15667&amp;col=7&amp;number=0.0119&amp;sourceID=14","0.0119")</f>
        <v>0.0119</v>
      </c>
    </row>
    <row r="15668" spans="1:7">
      <c r="A15668" s="3"/>
      <c r="B15668" s="3"/>
      <c r="C15668" s="3"/>
      <c r="D15668" s="3"/>
      <c r="E15668" s="3">
        <v>5</v>
      </c>
      <c r="F15668" s="4" t="str">
        <f>HYPERLINK("http://141.218.60.56/~jnz1568/getInfo.php?workbook=10_05.xlsx&amp;sheet=U0&amp;row=15668&amp;col=6&amp;number=3.4&amp;sourceID=14","3.4")</f>
        <v>3.4</v>
      </c>
      <c r="G15668" s="4" t="str">
        <f>HYPERLINK("http://141.218.60.56/~jnz1568/getInfo.php?workbook=10_05.xlsx&amp;sheet=U0&amp;row=15668&amp;col=7&amp;number=0.0122&amp;sourceID=14","0.0122")</f>
        <v>0.0122</v>
      </c>
    </row>
    <row r="15669" spans="1:7">
      <c r="A15669" s="3"/>
      <c r="B15669" s="3"/>
      <c r="C15669" s="3"/>
      <c r="D15669" s="3"/>
      <c r="E15669" s="3">
        <v>6</v>
      </c>
      <c r="F15669" s="4" t="str">
        <f>HYPERLINK("http://141.218.60.56/~jnz1568/getInfo.php?workbook=10_05.xlsx&amp;sheet=U0&amp;row=15669&amp;col=6&amp;number=3.5&amp;sourceID=14","3.5")</f>
        <v>3.5</v>
      </c>
      <c r="G15669" s="4" t="str">
        <f>HYPERLINK("http://141.218.60.56/~jnz1568/getInfo.php?workbook=10_05.xlsx&amp;sheet=U0&amp;row=15669&amp;col=7&amp;number=0.0126&amp;sourceID=14","0.0126")</f>
        <v>0.0126</v>
      </c>
    </row>
    <row r="15670" spans="1:7">
      <c r="A15670" s="3"/>
      <c r="B15670" s="3"/>
      <c r="C15670" s="3"/>
      <c r="D15670" s="3"/>
      <c r="E15670" s="3">
        <v>7</v>
      </c>
      <c r="F15670" s="4" t="str">
        <f>HYPERLINK("http://141.218.60.56/~jnz1568/getInfo.php?workbook=10_05.xlsx&amp;sheet=U0&amp;row=15670&amp;col=6&amp;number=3.6&amp;sourceID=14","3.6")</f>
        <v>3.6</v>
      </c>
      <c r="G15670" s="4" t="str">
        <f>HYPERLINK("http://141.218.60.56/~jnz1568/getInfo.php?workbook=10_05.xlsx&amp;sheet=U0&amp;row=15670&amp;col=7&amp;number=0.0131&amp;sourceID=14","0.0131")</f>
        <v>0.0131</v>
      </c>
    </row>
    <row r="15671" spans="1:7">
      <c r="A15671" s="3"/>
      <c r="B15671" s="3"/>
      <c r="C15671" s="3"/>
      <c r="D15671" s="3"/>
      <c r="E15671" s="3">
        <v>8</v>
      </c>
      <c r="F15671" s="4" t="str">
        <f>HYPERLINK("http://141.218.60.56/~jnz1568/getInfo.php?workbook=10_05.xlsx&amp;sheet=U0&amp;row=15671&amp;col=6&amp;number=3.7&amp;sourceID=14","3.7")</f>
        <v>3.7</v>
      </c>
      <c r="G15671" s="4" t="str">
        <f>HYPERLINK("http://141.218.60.56/~jnz1568/getInfo.php?workbook=10_05.xlsx&amp;sheet=U0&amp;row=15671&amp;col=7&amp;number=0.0136&amp;sourceID=14","0.0136")</f>
        <v>0.0136</v>
      </c>
    </row>
    <row r="15672" spans="1:7">
      <c r="A15672" s="3"/>
      <c r="B15672" s="3"/>
      <c r="C15672" s="3"/>
      <c r="D15672" s="3"/>
      <c r="E15672" s="3">
        <v>9</v>
      </c>
      <c r="F15672" s="4" t="str">
        <f>HYPERLINK("http://141.218.60.56/~jnz1568/getInfo.php?workbook=10_05.xlsx&amp;sheet=U0&amp;row=15672&amp;col=6&amp;number=3.8&amp;sourceID=14","3.8")</f>
        <v>3.8</v>
      </c>
      <c r="G15672" s="4" t="str">
        <f>HYPERLINK("http://141.218.60.56/~jnz1568/getInfo.php?workbook=10_05.xlsx&amp;sheet=U0&amp;row=15672&amp;col=7&amp;number=0.0142&amp;sourceID=14","0.0142")</f>
        <v>0.0142</v>
      </c>
    </row>
    <row r="15673" spans="1:7">
      <c r="A15673" s="3"/>
      <c r="B15673" s="3"/>
      <c r="C15673" s="3"/>
      <c r="D15673" s="3"/>
      <c r="E15673" s="3">
        <v>10</v>
      </c>
      <c r="F15673" s="4" t="str">
        <f>HYPERLINK("http://141.218.60.56/~jnz1568/getInfo.php?workbook=10_05.xlsx&amp;sheet=U0&amp;row=15673&amp;col=6&amp;number=3.9&amp;sourceID=14","3.9")</f>
        <v>3.9</v>
      </c>
      <c r="G15673" s="4" t="str">
        <f>HYPERLINK("http://141.218.60.56/~jnz1568/getInfo.php?workbook=10_05.xlsx&amp;sheet=U0&amp;row=15673&amp;col=7&amp;number=0.0149&amp;sourceID=14","0.0149")</f>
        <v>0.0149</v>
      </c>
    </row>
    <row r="15674" spans="1:7">
      <c r="A15674" s="3"/>
      <c r="B15674" s="3"/>
      <c r="C15674" s="3"/>
      <c r="D15674" s="3"/>
      <c r="E15674" s="3">
        <v>11</v>
      </c>
      <c r="F15674" s="4" t="str">
        <f>HYPERLINK("http://141.218.60.56/~jnz1568/getInfo.php?workbook=10_05.xlsx&amp;sheet=U0&amp;row=15674&amp;col=6&amp;number=4&amp;sourceID=14","4")</f>
        <v>4</v>
      </c>
      <c r="G15674" s="4" t="str">
        <f>HYPERLINK("http://141.218.60.56/~jnz1568/getInfo.php?workbook=10_05.xlsx&amp;sheet=U0&amp;row=15674&amp;col=7&amp;number=0.0156&amp;sourceID=14","0.0156")</f>
        <v>0.0156</v>
      </c>
    </row>
    <row r="15675" spans="1:7">
      <c r="A15675" s="3"/>
      <c r="B15675" s="3"/>
      <c r="C15675" s="3"/>
      <c r="D15675" s="3"/>
      <c r="E15675" s="3">
        <v>12</v>
      </c>
      <c r="F15675" s="4" t="str">
        <f>HYPERLINK("http://141.218.60.56/~jnz1568/getInfo.php?workbook=10_05.xlsx&amp;sheet=U0&amp;row=15675&amp;col=6&amp;number=4.1&amp;sourceID=14","4.1")</f>
        <v>4.1</v>
      </c>
      <c r="G15675" s="4" t="str">
        <f>HYPERLINK("http://141.218.60.56/~jnz1568/getInfo.php?workbook=10_05.xlsx&amp;sheet=U0&amp;row=15675&amp;col=7&amp;number=0.0161&amp;sourceID=14","0.0161")</f>
        <v>0.0161</v>
      </c>
    </row>
    <row r="15676" spans="1:7">
      <c r="A15676" s="3"/>
      <c r="B15676" s="3"/>
      <c r="C15676" s="3"/>
      <c r="D15676" s="3"/>
      <c r="E15676" s="3">
        <v>13</v>
      </c>
      <c r="F15676" s="4" t="str">
        <f>HYPERLINK("http://141.218.60.56/~jnz1568/getInfo.php?workbook=10_05.xlsx&amp;sheet=U0&amp;row=15676&amp;col=6&amp;number=4.2&amp;sourceID=14","4.2")</f>
        <v>4.2</v>
      </c>
      <c r="G15676" s="4" t="str">
        <f>HYPERLINK("http://141.218.60.56/~jnz1568/getInfo.php?workbook=10_05.xlsx&amp;sheet=U0&amp;row=15676&amp;col=7&amp;number=0.0164&amp;sourceID=14","0.0164")</f>
        <v>0.0164</v>
      </c>
    </row>
    <row r="15677" spans="1:7">
      <c r="A15677" s="3"/>
      <c r="B15677" s="3"/>
      <c r="C15677" s="3"/>
      <c r="D15677" s="3"/>
      <c r="E15677" s="3">
        <v>14</v>
      </c>
      <c r="F15677" s="4" t="str">
        <f>HYPERLINK("http://141.218.60.56/~jnz1568/getInfo.php?workbook=10_05.xlsx&amp;sheet=U0&amp;row=15677&amp;col=6&amp;number=4.3&amp;sourceID=14","4.3")</f>
        <v>4.3</v>
      </c>
      <c r="G15677" s="4" t="str">
        <f>HYPERLINK("http://141.218.60.56/~jnz1568/getInfo.php?workbook=10_05.xlsx&amp;sheet=U0&amp;row=15677&amp;col=7&amp;number=0.0164&amp;sourceID=14","0.0164")</f>
        <v>0.0164</v>
      </c>
    </row>
    <row r="15678" spans="1:7">
      <c r="A15678" s="3"/>
      <c r="B15678" s="3"/>
      <c r="C15678" s="3"/>
      <c r="D15678" s="3"/>
      <c r="E15678" s="3">
        <v>15</v>
      </c>
      <c r="F15678" s="4" t="str">
        <f>HYPERLINK("http://141.218.60.56/~jnz1568/getInfo.php?workbook=10_05.xlsx&amp;sheet=U0&amp;row=15678&amp;col=6&amp;number=4.4&amp;sourceID=14","4.4")</f>
        <v>4.4</v>
      </c>
      <c r="G15678" s="4" t="str">
        <f>HYPERLINK("http://141.218.60.56/~jnz1568/getInfo.php?workbook=10_05.xlsx&amp;sheet=U0&amp;row=15678&amp;col=7&amp;number=0.016&amp;sourceID=14","0.016")</f>
        <v>0.016</v>
      </c>
    </row>
    <row r="15679" spans="1:7">
      <c r="A15679" s="3"/>
      <c r="B15679" s="3"/>
      <c r="C15679" s="3"/>
      <c r="D15679" s="3"/>
      <c r="E15679" s="3">
        <v>16</v>
      </c>
      <c r="F15679" s="4" t="str">
        <f>HYPERLINK("http://141.218.60.56/~jnz1568/getInfo.php?workbook=10_05.xlsx&amp;sheet=U0&amp;row=15679&amp;col=6&amp;number=4.5&amp;sourceID=14","4.5")</f>
        <v>4.5</v>
      </c>
      <c r="G15679" s="4" t="str">
        <f>HYPERLINK("http://141.218.60.56/~jnz1568/getInfo.php?workbook=10_05.xlsx&amp;sheet=U0&amp;row=15679&amp;col=7&amp;number=0.0155&amp;sourceID=14","0.0155")</f>
        <v>0.0155</v>
      </c>
    </row>
    <row r="15680" spans="1:7">
      <c r="A15680" s="3"/>
      <c r="B15680" s="3"/>
      <c r="C15680" s="3"/>
      <c r="D15680" s="3"/>
      <c r="E15680" s="3">
        <v>17</v>
      </c>
      <c r="F15680" s="4" t="str">
        <f>HYPERLINK("http://141.218.60.56/~jnz1568/getInfo.php?workbook=10_05.xlsx&amp;sheet=U0&amp;row=15680&amp;col=6&amp;number=4.6&amp;sourceID=14","4.6")</f>
        <v>4.6</v>
      </c>
      <c r="G15680" s="4" t="str">
        <f>HYPERLINK("http://141.218.60.56/~jnz1568/getInfo.php?workbook=10_05.xlsx&amp;sheet=U0&amp;row=15680&amp;col=7&amp;number=0.0148&amp;sourceID=14","0.0148")</f>
        <v>0.0148</v>
      </c>
    </row>
    <row r="15681" spans="1:7">
      <c r="A15681" s="3"/>
      <c r="B15681" s="3"/>
      <c r="C15681" s="3"/>
      <c r="D15681" s="3"/>
      <c r="E15681" s="3">
        <v>18</v>
      </c>
      <c r="F15681" s="4" t="str">
        <f>HYPERLINK("http://141.218.60.56/~jnz1568/getInfo.php?workbook=10_05.xlsx&amp;sheet=U0&amp;row=15681&amp;col=6&amp;number=4.7&amp;sourceID=14","4.7")</f>
        <v>4.7</v>
      </c>
      <c r="G15681" s="4" t="str">
        <f>HYPERLINK("http://141.218.60.56/~jnz1568/getInfo.php?workbook=10_05.xlsx&amp;sheet=U0&amp;row=15681&amp;col=7&amp;number=0.0139&amp;sourceID=14","0.0139")</f>
        <v>0.0139</v>
      </c>
    </row>
    <row r="15682" spans="1:7">
      <c r="A15682" s="3"/>
      <c r="B15682" s="3"/>
      <c r="C15682" s="3"/>
      <c r="D15682" s="3"/>
      <c r="E15682" s="3">
        <v>19</v>
      </c>
      <c r="F15682" s="4" t="str">
        <f>HYPERLINK("http://141.218.60.56/~jnz1568/getInfo.php?workbook=10_05.xlsx&amp;sheet=U0&amp;row=15682&amp;col=6&amp;number=4.8&amp;sourceID=14","4.8")</f>
        <v>4.8</v>
      </c>
      <c r="G15682" s="4" t="str">
        <f>HYPERLINK("http://141.218.60.56/~jnz1568/getInfo.php?workbook=10_05.xlsx&amp;sheet=U0&amp;row=15682&amp;col=7&amp;number=0.0129&amp;sourceID=14","0.0129")</f>
        <v>0.0129</v>
      </c>
    </row>
    <row r="15683" spans="1:7">
      <c r="A15683" s="3"/>
      <c r="B15683" s="3"/>
      <c r="C15683" s="3"/>
      <c r="D15683" s="3"/>
      <c r="E15683" s="3">
        <v>20</v>
      </c>
      <c r="F15683" s="4" t="str">
        <f>HYPERLINK("http://141.218.60.56/~jnz1568/getInfo.php?workbook=10_05.xlsx&amp;sheet=U0&amp;row=15683&amp;col=6&amp;number=4.9&amp;sourceID=14","4.9")</f>
        <v>4.9</v>
      </c>
      <c r="G15683" s="4" t="str">
        <f>HYPERLINK("http://141.218.60.56/~jnz1568/getInfo.php?workbook=10_05.xlsx&amp;sheet=U0&amp;row=15683&amp;col=7&amp;number=0.0117&amp;sourceID=14","0.0117")</f>
        <v>0.0117</v>
      </c>
    </row>
    <row r="15684" spans="1:7">
      <c r="A15684" s="3">
        <v>10</v>
      </c>
      <c r="B15684" s="3">
        <v>5</v>
      </c>
      <c r="C15684" s="3">
        <v>5</v>
      </c>
      <c r="D15684" s="3">
        <v>80</v>
      </c>
      <c r="E15684" s="3">
        <v>1</v>
      </c>
      <c r="F15684" s="4" t="str">
        <f>HYPERLINK("http://141.218.60.56/~jnz1568/getInfo.php?workbook=10_05.xlsx&amp;sheet=U0&amp;row=15684&amp;col=6&amp;number=3&amp;sourceID=14","3")</f>
        <v>3</v>
      </c>
      <c r="G15684" s="4" t="str">
        <f>HYPERLINK("http://141.218.60.56/~jnz1568/getInfo.php?workbook=10_05.xlsx&amp;sheet=U0&amp;row=15684&amp;col=7&amp;number=0.00992&amp;sourceID=14","0.00992")</f>
        <v>0.00992</v>
      </c>
    </row>
    <row r="15685" spans="1:7">
      <c r="A15685" s="3"/>
      <c r="B15685" s="3"/>
      <c r="C15685" s="3"/>
      <c r="D15685" s="3"/>
      <c r="E15685" s="3">
        <v>2</v>
      </c>
      <c r="F15685" s="4" t="str">
        <f>HYPERLINK("http://141.218.60.56/~jnz1568/getInfo.php?workbook=10_05.xlsx&amp;sheet=U0&amp;row=15685&amp;col=6&amp;number=3.1&amp;sourceID=14","3.1")</f>
        <v>3.1</v>
      </c>
      <c r="G15685" s="4" t="str">
        <f>HYPERLINK("http://141.218.60.56/~jnz1568/getInfo.php?workbook=10_05.xlsx&amp;sheet=U0&amp;row=15685&amp;col=7&amp;number=0.0102&amp;sourceID=14","0.0102")</f>
        <v>0.0102</v>
      </c>
    </row>
    <row r="15686" spans="1:7">
      <c r="A15686" s="3"/>
      <c r="B15686" s="3"/>
      <c r="C15686" s="3"/>
      <c r="D15686" s="3"/>
      <c r="E15686" s="3">
        <v>3</v>
      </c>
      <c r="F15686" s="4" t="str">
        <f>HYPERLINK("http://141.218.60.56/~jnz1568/getInfo.php?workbook=10_05.xlsx&amp;sheet=U0&amp;row=15686&amp;col=6&amp;number=3.2&amp;sourceID=14","3.2")</f>
        <v>3.2</v>
      </c>
      <c r="G15686" s="4" t="str">
        <f>HYPERLINK("http://141.218.60.56/~jnz1568/getInfo.php?workbook=10_05.xlsx&amp;sheet=U0&amp;row=15686&amp;col=7&amp;number=0.0106&amp;sourceID=14","0.0106")</f>
        <v>0.0106</v>
      </c>
    </row>
    <row r="15687" spans="1:7">
      <c r="A15687" s="3"/>
      <c r="B15687" s="3"/>
      <c r="C15687" s="3"/>
      <c r="D15687" s="3"/>
      <c r="E15687" s="3">
        <v>4</v>
      </c>
      <c r="F15687" s="4" t="str">
        <f>HYPERLINK("http://141.218.60.56/~jnz1568/getInfo.php?workbook=10_05.xlsx&amp;sheet=U0&amp;row=15687&amp;col=6&amp;number=3.3&amp;sourceID=14","3.3")</f>
        <v>3.3</v>
      </c>
      <c r="G15687" s="4" t="str">
        <f>HYPERLINK("http://141.218.60.56/~jnz1568/getInfo.php?workbook=10_05.xlsx&amp;sheet=U0&amp;row=15687&amp;col=7&amp;number=0.011&amp;sourceID=14","0.011")</f>
        <v>0.011</v>
      </c>
    </row>
    <row r="15688" spans="1:7">
      <c r="A15688" s="3"/>
      <c r="B15688" s="3"/>
      <c r="C15688" s="3"/>
      <c r="D15688" s="3"/>
      <c r="E15688" s="3">
        <v>5</v>
      </c>
      <c r="F15688" s="4" t="str">
        <f>HYPERLINK("http://141.218.60.56/~jnz1568/getInfo.php?workbook=10_05.xlsx&amp;sheet=U0&amp;row=15688&amp;col=6&amp;number=3.4&amp;sourceID=14","3.4")</f>
        <v>3.4</v>
      </c>
      <c r="G15688" s="4" t="str">
        <f>HYPERLINK("http://141.218.60.56/~jnz1568/getInfo.php?workbook=10_05.xlsx&amp;sheet=U0&amp;row=15688&amp;col=7&amp;number=0.0116&amp;sourceID=14","0.0116")</f>
        <v>0.0116</v>
      </c>
    </row>
    <row r="15689" spans="1:7">
      <c r="A15689" s="3"/>
      <c r="B15689" s="3"/>
      <c r="C15689" s="3"/>
      <c r="D15689" s="3"/>
      <c r="E15689" s="3">
        <v>6</v>
      </c>
      <c r="F15689" s="4" t="str">
        <f>HYPERLINK("http://141.218.60.56/~jnz1568/getInfo.php?workbook=10_05.xlsx&amp;sheet=U0&amp;row=15689&amp;col=6&amp;number=3.5&amp;sourceID=14","3.5")</f>
        <v>3.5</v>
      </c>
      <c r="G15689" s="4" t="str">
        <f>HYPERLINK("http://141.218.60.56/~jnz1568/getInfo.php?workbook=10_05.xlsx&amp;sheet=U0&amp;row=15689&amp;col=7&amp;number=0.0122&amp;sourceID=14","0.0122")</f>
        <v>0.0122</v>
      </c>
    </row>
    <row r="15690" spans="1:7">
      <c r="A15690" s="3"/>
      <c r="B15690" s="3"/>
      <c r="C15690" s="3"/>
      <c r="D15690" s="3"/>
      <c r="E15690" s="3">
        <v>7</v>
      </c>
      <c r="F15690" s="4" t="str">
        <f>HYPERLINK("http://141.218.60.56/~jnz1568/getInfo.php?workbook=10_05.xlsx&amp;sheet=U0&amp;row=15690&amp;col=6&amp;number=3.6&amp;sourceID=14","3.6")</f>
        <v>3.6</v>
      </c>
      <c r="G15690" s="4" t="str">
        <f>HYPERLINK("http://141.218.60.56/~jnz1568/getInfo.php?workbook=10_05.xlsx&amp;sheet=U0&amp;row=15690&amp;col=7&amp;number=0.0129&amp;sourceID=14","0.0129")</f>
        <v>0.0129</v>
      </c>
    </row>
    <row r="15691" spans="1:7">
      <c r="A15691" s="3"/>
      <c r="B15691" s="3"/>
      <c r="C15691" s="3"/>
      <c r="D15691" s="3"/>
      <c r="E15691" s="3">
        <v>8</v>
      </c>
      <c r="F15691" s="4" t="str">
        <f>HYPERLINK("http://141.218.60.56/~jnz1568/getInfo.php?workbook=10_05.xlsx&amp;sheet=U0&amp;row=15691&amp;col=6&amp;number=3.7&amp;sourceID=14","3.7")</f>
        <v>3.7</v>
      </c>
      <c r="G15691" s="4" t="str">
        <f>HYPERLINK("http://141.218.60.56/~jnz1568/getInfo.php?workbook=10_05.xlsx&amp;sheet=U0&amp;row=15691&amp;col=7&amp;number=0.0138&amp;sourceID=14","0.0138")</f>
        <v>0.0138</v>
      </c>
    </row>
    <row r="15692" spans="1:7">
      <c r="A15692" s="3"/>
      <c r="B15692" s="3"/>
      <c r="C15692" s="3"/>
      <c r="D15692" s="3"/>
      <c r="E15692" s="3">
        <v>9</v>
      </c>
      <c r="F15692" s="4" t="str">
        <f>HYPERLINK("http://141.218.60.56/~jnz1568/getInfo.php?workbook=10_05.xlsx&amp;sheet=U0&amp;row=15692&amp;col=6&amp;number=3.8&amp;sourceID=14","3.8")</f>
        <v>3.8</v>
      </c>
      <c r="G15692" s="4" t="str">
        <f>HYPERLINK("http://141.218.60.56/~jnz1568/getInfo.php?workbook=10_05.xlsx&amp;sheet=U0&amp;row=15692&amp;col=7&amp;number=0.0147&amp;sourceID=14","0.0147")</f>
        <v>0.0147</v>
      </c>
    </row>
    <row r="15693" spans="1:7">
      <c r="A15693" s="3"/>
      <c r="B15693" s="3"/>
      <c r="C15693" s="3"/>
      <c r="D15693" s="3"/>
      <c r="E15693" s="3">
        <v>10</v>
      </c>
      <c r="F15693" s="4" t="str">
        <f>HYPERLINK("http://141.218.60.56/~jnz1568/getInfo.php?workbook=10_05.xlsx&amp;sheet=U0&amp;row=15693&amp;col=6&amp;number=3.9&amp;sourceID=14","3.9")</f>
        <v>3.9</v>
      </c>
      <c r="G15693" s="4" t="str">
        <f>HYPERLINK("http://141.218.60.56/~jnz1568/getInfo.php?workbook=10_05.xlsx&amp;sheet=U0&amp;row=15693&amp;col=7&amp;number=0.0155&amp;sourceID=14","0.0155")</f>
        <v>0.0155</v>
      </c>
    </row>
    <row r="15694" spans="1:7">
      <c r="A15694" s="3"/>
      <c r="B15694" s="3"/>
      <c r="C15694" s="3"/>
      <c r="D15694" s="3"/>
      <c r="E15694" s="3">
        <v>11</v>
      </c>
      <c r="F15694" s="4" t="str">
        <f>HYPERLINK("http://141.218.60.56/~jnz1568/getInfo.php?workbook=10_05.xlsx&amp;sheet=U0&amp;row=15694&amp;col=6&amp;number=4&amp;sourceID=14","4")</f>
        <v>4</v>
      </c>
      <c r="G15694" s="4" t="str">
        <f>HYPERLINK("http://141.218.60.56/~jnz1568/getInfo.php?workbook=10_05.xlsx&amp;sheet=U0&amp;row=15694&amp;col=7&amp;number=0.0162&amp;sourceID=14","0.0162")</f>
        <v>0.0162</v>
      </c>
    </row>
    <row r="15695" spans="1:7">
      <c r="A15695" s="3"/>
      <c r="B15695" s="3"/>
      <c r="C15695" s="3"/>
      <c r="D15695" s="3"/>
      <c r="E15695" s="3">
        <v>12</v>
      </c>
      <c r="F15695" s="4" t="str">
        <f>HYPERLINK("http://141.218.60.56/~jnz1568/getInfo.php?workbook=10_05.xlsx&amp;sheet=U0&amp;row=15695&amp;col=6&amp;number=4.1&amp;sourceID=14","4.1")</f>
        <v>4.1</v>
      </c>
      <c r="G15695" s="4" t="str">
        <f>HYPERLINK("http://141.218.60.56/~jnz1568/getInfo.php?workbook=10_05.xlsx&amp;sheet=U0&amp;row=15695&amp;col=7&amp;number=0.0166&amp;sourceID=14","0.0166")</f>
        <v>0.0166</v>
      </c>
    </row>
    <row r="15696" spans="1:7">
      <c r="A15696" s="3"/>
      <c r="B15696" s="3"/>
      <c r="C15696" s="3"/>
      <c r="D15696" s="3"/>
      <c r="E15696" s="3">
        <v>13</v>
      </c>
      <c r="F15696" s="4" t="str">
        <f>HYPERLINK("http://141.218.60.56/~jnz1568/getInfo.php?workbook=10_05.xlsx&amp;sheet=U0&amp;row=15696&amp;col=6&amp;number=4.2&amp;sourceID=14","4.2")</f>
        <v>4.2</v>
      </c>
      <c r="G15696" s="4" t="str">
        <f>HYPERLINK("http://141.218.60.56/~jnz1568/getInfo.php?workbook=10_05.xlsx&amp;sheet=U0&amp;row=15696&amp;col=7&amp;number=0.0166&amp;sourceID=14","0.0166")</f>
        <v>0.0166</v>
      </c>
    </row>
    <row r="15697" spans="1:7">
      <c r="A15697" s="3"/>
      <c r="B15697" s="3"/>
      <c r="C15697" s="3"/>
      <c r="D15697" s="3"/>
      <c r="E15697" s="3">
        <v>14</v>
      </c>
      <c r="F15697" s="4" t="str">
        <f>HYPERLINK("http://141.218.60.56/~jnz1568/getInfo.php?workbook=10_05.xlsx&amp;sheet=U0&amp;row=15697&amp;col=6&amp;number=4.3&amp;sourceID=14","4.3")</f>
        <v>4.3</v>
      </c>
      <c r="G15697" s="4" t="str">
        <f>HYPERLINK("http://141.218.60.56/~jnz1568/getInfo.php?workbook=10_05.xlsx&amp;sheet=U0&amp;row=15697&amp;col=7&amp;number=0.0165&amp;sourceID=14","0.0165")</f>
        <v>0.0165</v>
      </c>
    </row>
    <row r="15698" spans="1:7">
      <c r="A15698" s="3"/>
      <c r="B15698" s="3"/>
      <c r="C15698" s="3"/>
      <c r="D15698" s="3"/>
      <c r="E15698" s="3">
        <v>15</v>
      </c>
      <c r="F15698" s="4" t="str">
        <f>HYPERLINK("http://141.218.60.56/~jnz1568/getInfo.php?workbook=10_05.xlsx&amp;sheet=U0&amp;row=15698&amp;col=6&amp;number=4.4&amp;sourceID=14","4.4")</f>
        <v>4.4</v>
      </c>
      <c r="G15698" s="4" t="str">
        <f>HYPERLINK("http://141.218.60.56/~jnz1568/getInfo.php?workbook=10_05.xlsx&amp;sheet=U0&amp;row=15698&amp;col=7&amp;number=0.0162&amp;sourceID=14","0.0162")</f>
        <v>0.0162</v>
      </c>
    </row>
    <row r="15699" spans="1:7">
      <c r="A15699" s="3"/>
      <c r="B15699" s="3"/>
      <c r="C15699" s="3"/>
      <c r="D15699" s="3"/>
      <c r="E15699" s="3">
        <v>16</v>
      </c>
      <c r="F15699" s="4" t="str">
        <f>HYPERLINK("http://141.218.60.56/~jnz1568/getInfo.php?workbook=10_05.xlsx&amp;sheet=U0&amp;row=15699&amp;col=6&amp;number=4.5&amp;sourceID=14","4.5")</f>
        <v>4.5</v>
      </c>
      <c r="G15699" s="4" t="str">
        <f>HYPERLINK("http://141.218.60.56/~jnz1568/getInfo.php?workbook=10_05.xlsx&amp;sheet=U0&amp;row=15699&amp;col=7&amp;number=0.0157&amp;sourceID=14","0.0157")</f>
        <v>0.0157</v>
      </c>
    </row>
    <row r="15700" spans="1:7">
      <c r="A15700" s="3"/>
      <c r="B15700" s="3"/>
      <c r="C15700" s="3"/>
      <c r="D15700" s="3"/>
      <c r="E15700" s="3">
        <v>17</v>
      </c>
      <c r="F15700" s="4" t="str">
        <f>HYPERLINK("http://141.218.60.56/~jnz1568/getInfo.php?workbook=10_05.xlsx&amp;sheet=U0&amp;row=15700&amp;col=6&amp;number=4.6&amp;sourceID=14","4.6")</f>
        <v>4.6</v>
      </c>
      <c r="G15700" s="4" t="str">
        <f>HYPERLINK("http://141.218.60.56/~jnz1568/getInfo.php?workbook=10_05.xlsx&amp;sheet=U0&amp;row=15700&amp;col=7&amp;number=0.0147&amp;sourceID=14","0.0147")</f>
        <v>0.0147</v>
      </c>
    </row>
    <row r="15701" spans="1:7">
      <c r="A15701" s="3"/>
      <c r="B15701" s="3"/>
      <c r="C15701" s="3"/>
      <c r="D15701" s="3"/>
      <c r="E15701" s="3">
        <v>18</v>
      </c>
      <c r="F15701" s="4" t="str">
        <f>HYPERLINK("http://141.218.60.56/~jnz1568/getInfo.php?workbook=10_05.xlsx&amp;sheet=U0&amp;row=15701&amp;col=6&amp;number=4.7&amp;sourceID=14","4.7")</f>
        <v>4.7</v>
      </c>
      <c r="G15701" s="4" t="str">
        <f>HYPERLINK("http://141.218.60.56/~jnz1568/getInfo.php?workbook=10_05.xlsx&amp;sheet=U0&amp;row=15701&amp;col=7&amp;number=0.0135&amp;sourceID=14","0.0135")</f>
        <v>0.0135</v>
      </c>
    </row>
    <row r="15702" spans="1:7">
      <c r="A15702" s="3"/>
      <c r="B15702" s="3"/>
      <c r="C15702" s="3"/>
      <c r="D15702" s="3"/>
      <c r="E15702" s="3">
        <v>19</v>
      </c>
      <c r="F15702" s="4" t="str">
        <f>HYPERLINK("http://141.218.60.56/~jnz1568/getInfo.php?workbook=10_05.xlsx&amp;sheet=U0&amp;row=15702&amp;col=6&amp;number=4.8&amp;sourceID=14","4.8")</f>
        <v>4.8</v>
      </c>
      <c r="G15702" s="4" t="str">
        <f>HYPERLINK("http://141.218.60.56/~jnz1568/getInfo.php?workbook=10_05.xlsx&amp;sheet=U0&amp;row=15702&amp;col=7&amp;number=0.0121&amp;sourceID=14","0.0121")</f>
        <v>0.0121</v>
      </c>
    </row>
    <row r="15703" spans="1:7">
      <c r="A15703" s="3"/>
      <c r="B15703" s="3"/>
      <c r="C15703" s="3"/>
      <c r="D15703" s="3"/>
      <c r="E15703" s="3">
        <v>20</v>
      </c>
      <c r="F15703" s="4" t="str">
        <f>HYPERLINK("http://141.218.60.56/~jnz1568/getInfo.php?workbook=10_05.xlsx&amp;sheet=U0&amp;row=15703&amp;col=6&amp;number=4.9&amp;sourceID=14","4.9")</f>
        <v>4.9</v>
      </c>
      <c r="G15703" s="4" t="str">
        <f>HYPERLINK("http://141.218.60.56/~jnz1568/getInfo.php?workbook=10_05.xlsx&amp;sheet=U0&amp;row=15703&amp;col=7&amp;number=0.0108&amp;sourceID=14","0.0108")</f>
        <v>0.0108</v>
      </c>
    </row>
    <row r="15704" spans="1:7">
      <c r="A15704" s="3">
        <v>10</v>
      </c>
      <c r="B15704" s="3">
        <v>5</v>
      </c>
      <c r="C15704" s="3">
        <v>5</v>
      </c>
      <c r="D15704" s="3">
        <v>81</v>
      </c>
      <c r="E15704" s="3">
        <v>1</v>
      </c>
      <c r="F15704" s="4" t="str">
        <f>HYPERLINK("http://141.218.60.56/~jnz1568/getInfo.php?workbook=10_05.xlsx&amp;sheet=U0&amp;row=15704&amp;col=6&amp;number=3&amp;sourceID=14","3")</f>
        <v>3</v>
      </c>
      <c r="G15704" s="4" t="str">
        <f>HYPERLINK("http://141.218.60.56/~jnz1568/getInfo.php?workbook=10_05.xlsx&amp;sheet=U0&amp;row=15704&amp;col=7&amp;number=0.0206&amp;sourceID=14","0.0206")</f>
        <v>0.0206</v>
      </c>
    </row>
    <row r="15705" spans="1:7">
      <c r="A15705" s="3"/>
      <c r="B15705" s="3"/>
      <c r="C15705" s="3"/>
      <c r="D15705" s="3"/>
      <c r="E15705" s="3">
        <v>2</v>
      </c>
      <c r="F15705" s="4" t="str">
        <f>HYPERLINK("http://141.218.60.56/~jnz1568/getInfo.php?workbook=10_05.xlsx&amp;sheet=U0&amp;row=15705&amp;col=6&amp;number=3.1&amp;sourceID=14","3.1")</f>
        <v>3.1</v>
      </c>
      <c r="G15705" s="4" t="str">
        <f>HYPERLINK("http://141.218.60.56/~jnz1568/getInfo.php?workbook=10_05.xlsx&amp;sheet=U0&amp;row=15705&amp;col=7&amp;number=0.021&amp;sourceID=14","0.021")</f>
        <v>0.021</v>
      </c>
    </row>
    <row r="15706" spans="1:7">
      <c r="A15706" s="3"/>
      <c r="B15706" s="3"/>
      <c r="C15706" s="3"/>
      <c r="D15706" s="3"/>
      <c r="E15706" s="3">
        <v>3</v>
      </c>
      <c r="F15706" s="4" t="str">
        <f>HYPERLINK("http://141.218.60.56/~jnz1568/getInfo.php?workbook=10_05.xlsx&amp;sheet=U0&amp;row=15706&amp;col=6&amp;number=3.2&amp;sourceID=14","3.2")</f>
        <v>3.2</v>
      </c>
      <c r="G15706" s="4" t="str">
        <f>HYPERLINK("http://141.218.60.56/~jnz1568/getInfo.php?workbook=10_05.xlsx&amp;sheet=U0&amp;row=15706&amp;col=7&amp;number=0.0215&amp;sourceID=14","0.0215")</f>
        <v>0.0215</v>
      </c>
    </row>
    <row r="15707" spans="1:7">
      <c r="A15707" s="3"/>
      <c r="B15707" s="3"/>
      <c r="C15707" s="3"/>
      <c r="D15707" s="3"/>
      <c r="E15707" s="3">
        <v>4</v>
      </c>
      <c r="F15707" s="4" t="str">
        <f>HYPERLINK("http://141.218.60.56/~jnz1568/getInfo.php?workbook=10_05.xlsx&amp;sheet=U0&amp;row=15707&amp;col=6&amp;number=3.3&amp;sourceID=14","3.3")</f>
        <v>3.3</v>
      </c>
      <c r="G15707" s="4" t="str">
        <f>HYPERLINK("http://141.218.60.56/~jnz1568/getInfo.php?workbook=10_05.xlsx&amp;sheet=U0&amp;row=15707&amp;col=7&amp;number=0.0221&amp;sourceID=14","0.0221")</f>
        <v>0.0221</v>
      </c>
    </row>
    <row r="15708" spans="1:7">
      <c r="A15708" s="3"/>
      <c r="B15708" s="3"/>
      <c r="C15708" s="3"/>
      <c r="D15708" s="3"/>
      <c r="E15708" s="3">
        <v>5</v>
      </c>
      <c r="F15708" s="4" t="str">
        <f>HYPERLINK("http://141.218.60.56/~jnz1568/getInfo.php?workbook=10_05.xlsx&amp;sheet=U0&amp;row=15708&amp;col=6&amp;number=3.4&amp;sourceID=14","3.4")</f>
        <v>3.4</v>
      </c>
      <c r="G15708" s="4" t="str">
        <f>HYPERLINK("http://141.218.60.56/~jnz1568/getInfo.php?workbook=10_05.xlsx&amp;sheet=U0&amp;row=15708&amp;col=7&amp;number=0.0228&amp;sourceID=14","0.0228")</f>
        <v>0.0228</v>
      </c>
    </row>
    <row r="15709" spans="1:7">
      <c r="A15709" s="3"/>
      <c r="B15709" s="3"/>
      <c r="C15709" s="3"/>
      <c r="D15709" s="3"/>
      <c r="E15709" s="3">
        <v>6</v>
      </c>
      <c r="F15709" s="4" t="str">
        <f>HYPERLINK("http://141.218.60.56/~jnz1568/getInfo.php?workbook=10_05.xlsx&amp;sheet=U0&amp;row=15709&amp;col=6&amp;number=3.5&amp;sourceID=14","3.5")</f>
        <v>3.5</v>
      </c>
      <c r="G15709" s="4" t="str">
        <f>HYPERLINK("http://141.218.60.56/~jnz1568/getInfo.php?workbook=10_05.xlsx&amp;sheet=U0&amp;row=15709&amp;col=7&amp;number=0.0236&amp;sourceID=14","0.0236")</f>
        <v>0.0236</v>
      </c>
    </row>
    <row r="15710" spans="1:7">
      <c r="A15710" s="3"/>
      <c r="B15710" s="3"/>
      <c r="C15710" s="3"/>
      <c r="D15710" s="3"/>
      <c r="E15710" s="3">
        <v>7</v>
      </c>
      <c r="F15710" s="4" t="str">
        <f>HYPERLINK("http://141.218.60.56/~jnz1568/getInfo.php?workbook=10_05.xlsx&amp;sheet=U0&amp;row=15710&amp;col=6&amp;number=3.6&amp;sourceID=14","3.6")</f>
        <v>3.6</v>
      </c>
      <c r="G15710" s="4" t="str">
        <f>HYPERLINK("http://141.218.60.56/~jnz1568/getInfo.php?workbook=10_05.xlsx&amp;sheet=U0&amp;row=15710&amp;col=7&amp;number=0.0246&amp;sourceID=14","0.0246")</f>
        <v>0.0246</v>
      </c>
    </row>
    <row r="15711" spans="1:7">
      <c r="A15711" s="3"/>
      <c r="B15711" s="3"/>
      <c r="C15711" s="3"/>
      <c r="D15711" s="3"/>
      <c r="E15711" s="3">
        <v>8</v>
      </c>
      <c r="F15711" s="4" t="str">
        <f>HYPERLINK("http://141.218.60.56/~jnz1568/getInfo.php?workbook=10_05.xlsx&amp;sheet=U0&amp;row=15711&amp;col=6&amp;number=3.7&amp;sourceID=14","3.7")</f>
        <v>3.7</v>
      </c>
      <c r="G15711" s="4" t="str">
        <f>HYPERLINK("http://141.218.60.56/~jnz1568/getInfo.php?workbook=10_05.xlsx&amp;sheet=U0&amp;row=15711&amp;col=7&amp;number=0.0258&amp;sourceID=14","0.0258")</f>
        <v>0.0258</v>
      </c>
    </row>
    <row r="15712" spans="1:7">
      <c r="A15712" s="3"/>
      <c r="B15712" s="3"/>
      <c r="C15712" s="3"/>
      <c r="D15712" s="3"/>
      <c r="E15712" s="3">
        <v>9</v>
      </c>
      <c r="F15712" s="4" t="str">
        <f>HYPERLINK("http://141.218.60.56/~jnz1568/getInfo.php?workbook=10_05.xlsx&amp;sheet=U0&amp;row=15712&amp;col=6&amp;number=3.8&amp;sourceID=14","3.8")</f>
        <v>3.8</v>
      </c>
      <c r="G15712" s="4" t="str">
        <f>HYPERLINK("http://141.218.60.56/~jnz1568/getInfo.php?workbook=10_05.xlsx&amp;sheet=U0&amp;row=15712&amp;col=7&amp;number=0.027&amp;sourceID=14","0.027")</f>
        <v>0.027</v>
      </c>
    </row>
    <row r="15713" spans="1:7">
      <c r="A15713" s="3"/>
      <c r="B15713" s="3"/>
      <c r="C15713" s="3"/>
      <c r="D15713" s="3"/>
      <c r="E15713" s="3">
        <v>10</v>
      </c>
      <c r="F15713" s="4" t="str">
        <f>HYPERLINK("http://141.218.60.56/~jnz1568/getInfo.php?workbook=10_05.xlsx&amp;sheet=U0&amp;row=15713&amp;col=6&amp;number=3.9&amp;sourceID=14","3.9")</f>
        <v>3.9</v>
      </c>
      <c r="G15713" s="4" t="str">
        <f>HYPERLINK("http://141.218.60.56/~jnz1568/getInfo.php?workbook=10_05.xlsx&amp;sheet=U0&amp;row=15713&amp;col=7&amp;number=0.0283&amp;sourceID=14","0.0283")</f>
        <v>0.0283</v>
      </c>
    </row>
    <row r="15714" spans="1:7">
      <c r="A15714" s="3"/>
      <c r="B15714" s="3"/>
      <c r="C15714" s="3"/>
      <c r="D15714" s="3"/>
      <c r="E15714" s="3">
        <v>11</v>
      </c>
      <c r="F15714" s="4" t="str">
        <f>HYPERLINK("http://141.218.60.56/~jnz1568/getInfo.php?workbook=10_05.xlsx&amp;sheet=U0&amp;row=15714&amp;col=6&amp;number=4&amp;sourceID=14","4")</f>
        <v>4</v>
      </c>
      <c r="G15714" s="4" t="str">
        <f>HYPERLINK("http://141.218.60.56/~jnz1568/getInfo.php?workbook=10_05.xlsx&amp;sheet=U0&amp;row=15714&amp;col=7&amp;number=0.0295&amp;sourceID=14","0.0295")</f>
        <v>0.0295</v>
      </c>
    </row>
    <row r="15715" spans="1:7">
      <c r="A15715" s="3"/>
      <c r="B15715" s="3"/>
      <c r="C15715" s="3"/>
      <c r="D15715" s="3"/>
      <c r="E15715" s="3">
        <v>12</v>
      </c>
      <c r="F15715" s="4" t="str">
        <f>HYPERLINK("http://141.218.60.56/~jnz1568/getInfo.php?workbook=10_05.xlsx&amp;sheet=U0&amp;row=15715&amp;col=6&amp;number=4.1&amp;sourceID=14","4.1")</f>
        <v>4.1</v>
      </c>
      <c r="G15715" s="4" t="str">
        <f>HYPERLINK("http://141.218.60.56/~jnz1568/getInfo.php?workbook=10_05.xlsx&amp;sheet=U0&amp;row=15715&amp;col=7&amp;number=0.0301&amp;sourceID=14","0.0301")</f>
        <v>0.0301</v>
      </c>
    </row>
    <row r="15716" spans="1:7">
      <c r="A15716" s="3"/>
      <c r="B15716" s="3"/>
      <c r="C15716" s="3"/>
      <c r="D15716" s="3"/>
      <c r="E15716" s="3">
        <v>13</v>
      </c>
      <c r="F15716" s="4" t="str">
        <f>HYPERLINK("http://141.218.60.56/~jnz1568/getInfo.php?workbook=10_05.xlsx&amp;sheet=U0&amp;row=15716&amp;col=6&amp;number=4.2&amp;sourceID=14","4.2")</f>
        <v>4.2</v>
      </c>
      <c r="G15716" s="4" t="str">
        <f>HYPERLINK("http://141.218.60.56/~jnz1568/getInfo.php?workbook=10_05.xlsx&amp;sheet=U0&amp;row=15716&amp;col=7&amp;number=0.0301&amp;sourceID=14","0.0301")</f>
        <v>0.0301</v>
      </c>
    </row>
    <row r="15717" spans="1:7">
      <c r="A15717" s="3"/>
      <c r="B15717" s="3"/>
      <c r="C15717" s="3"/>
      <c r="D15717" s="3"/>
      <c r="E15717" s="3">
        <v>14</v>
      </c>
      <c r="F15717" s="4" t="str">
        <f>HYPERLINK("http://141.218.60.56/~jnz1568/getInfo.php?workbook=10_05.xlsx&amp;sheet=U0&amp;row=15717&amp;col=6&amp;number=4.3&amp;sourceID=14","4.3")</f>
        <v>4.3</v>
      </c>
      <c r="G15717" s="4" t="str">
        <f>HYPERLINK("http://141.218.60.56/~jnz1568/getInfo.php?workbook=10_05.xlsx&amp;sheet=U0&amp;row=15717&amp;col=7&amp;number=0.0295&amp;sourceID=14","0.0295")</f>
        <v>0.0295</v>
      </c>
    </row>
    <row r="15718" spans="1:7">
      <c r="A15718" s="3"/>
      <c r="B15718" s="3"/>
      <c r="C15718" s="3"/>
      <c r="D15718" s="3"/>
      <c r="E15718" s="3">
        <v>15</v>
      </c>
      <c r="F15718" s="4" t="str">
        <f>HYPERLINK("http://141.218.60.56/~jnz1568/getInfo.php?workbook=10_05.xlsx&amp;sheet=U0&amp;row=15718&amp;col=6&amp;number=4.4&amp;sourceID=14","4.4")</f>
        <v>4.4</v>
      </c>
      <c r="G15718" s="4" t="str">
        <f>HYPERLINK("http://141.218.60.56/~jnz1568/getInfo.php?workbook=10_05.xlsx&amp;sheet=U0&amp;row=15718&amp;col=7&amp;number=0.0286&amp;sourceID=14","0.0286")</f>
        <v>0.0286</v>
      </c>
    </row>
    <row r="15719" spans="1:7">
      <c r="A15719" s="3"/>
      <c r="B15719" s="3"/>
      <c r="C15719" s="3"/>
      <c r="D15719" s="3"/>
      <c r="E15719" s="3">
        <v>16</v>
      </c>
      <c r="F15719" s="4" t="str">
        <f>HYPERLINK("http://141.218.60.56/~jnz1568/getInfo.php?workbook=10_05.xlsx&amp;sheet=U0&amp;row=15719&amp;col=6&amp;number=4.5&amp;sourceID=14","4.5")</f>
        <v>4.5</v>
      </c>
      <c r="G15719" s="4" t="str">
        <f>HYPERLINK("http://141.218.60.56/~jnz1568/getInfo.php?workbook=10_05.xlsx&amp;sheet=U0&amp;row=15719&amp;col=7&amp;number=0.0276&amp;sourceID=14","0.0276")</f>
        <v>0.0276</v>
      </c>
    </row>
    <row r="15720" spans="1:7">
      <c r="A15720" s="3"/>
      <c r="B15720" s="3"/>
      <c r="C15720" s="3"/>
      <c r="D15720" s="3"/>
      <c r="E15720" s="3">
        <v>17</v>
      </c>
      <c r="F15720" s="4" t="str">
        <f>HYPERLINK("http://141.218.60.56/~jnz1568/getInfo.php?workbook=10_05.xlsx&amp;sheet=U0&amp;row=15720&amp;col=6&amp;number=4.6&amp;sourceID=14","4.6")</f>
        <v>4.6</v>
      </c>
      <c r="G15720" s="4" t="str">
        <f>HYPERLINK("http://141.218.60.56/~jnz1568/getInfo.php?workbook=10_05.xlsx&amp;sheet=U0&amp;row=15720&amp;col=7&amp;number=0.0263&amp;sourceID=14","0.0263")</f>
        <v>0.0263</v>
      </c>
    </row>
    <row r="15721" spans="1:7">
      <c r="A15721" s="3"/>
      <c r="B15721" s="3"/>
      <c r="C15721" s="3"/>
      <c r="D15721" s="3"/>
      <c r="E15721" s="3">
        <v>18</v>
      </c>
      <c r="F15721" s="4" t="str">
        <f>HYPERLINK("http://141.218.60.56/~jnz1568/getInfo.php?workbook=10_05.xlsx&amp;sheet=U0&amp;row=15721&amp;col=6&amp;number=4.7&amp;sourceID=14","4.7")</f>
        <v>4.7</v>
      </c>
      <c r="G15721" s="4" t="str">
        <f>HYPERLINK("http://141.218.60.56/~jnz1568/getInfo.php?workbook=10_05.xlsx&amp;sheet=U0&amp;row=15721&amp;col=7&amp;number=0.0243&amp;sourceID=14","0.0243")</f>
        <v>0.0243</v>
      </c>
    </row>
    <row r="15722" spans="1:7">
      <c r="A15722" s="3"/>
      <c r="B15722" s="3"/>
      <c r="C15722" s="3"/>
      <c r="D15722" s="3"/>
      <c r="E15722" s="3">
        <v>19</v>
      </c>
      <c r="F15722" s="4" t="str">
        <f>HYPERLINK("http://141.218.60.56/~jnz1568/getInfo.php?workbook=10_05.xlsx&amp;sheet=U0&amp;row=15722&amp;col=6&amp;number=4.8&amp;sourceID=14","4.8")</f>
        <v>4.8</v>
      </c>
      <c r="G15722" s="4" t="str">
        <f>HYPERLINK("http://141.218.60.56/~jnz1568/getInfo.php?workbook=10_05.xlsx&amp;sheet=U0&amp;row=15722&amp;col=7&amp;number=0.0218&amp;sourceID=14","0.0218")</f>
        <v>0.0218</v>
      </c>
    </row>
    <row r="15723" spans="1:7">
      <c r="A15723" s="3"/>
      <c r="B15723" s="3"/>
      <c r="C15723" s="3"/>
      <c r="D15723" s="3"/>
      <c r="E15723" s="3">
        <v>20</v>
      </c>
      <c r="F15723" s="4" t="str">
        <f>HYPERLINK("http://141.218.60.56/~jnz1568/getInfo.php?workbook=10_05.xlsx&amp;sheet=U0&amp;row=15723&amp;col=6&amp;number=4.9&amp;sourceID=14","4.9")</f>
        <v>4.9</v>
      </c>
      <c r="G15723" s="4" t="str">
        <f>HYPERLINK("http://141.218.60.56/~jnz1568/getInfo.php?workbook=10_05.xlsx&amp;sheet=U0&amp;row=15723&amp;col=7&amp;number=0.0193&amp;sourceID=14","0.0193")</f>
        <v>0.0193</v>
      </c>
    </row>
    <row r="15724" spans="1:7">
      <c r="A15724" s="3">
        <v>10</v>
      </c>
      <c r="B15724" s="3">
        <v>5</v>
      </c>
      <c r="C15724" s="3">
        <v>5</v>
      </c>
      <c r="D15724" s="3">
        <v>82</v>
      </c>
      <c r="E15724" s="3">
        <v>1</v>
      </c>
      <c r="F15724" s="4" t="str">
        <f>HYPERLINK("http://141.218.60.56/~jnz1568/getInfo.php?workbook=10_05.xlsx&amp;sheet=U0&amp;row=15724&amp;col=6&amp;number=3&amp;sourceID=14","3")</f>
        <v>3</v>
      </c>
      <c r="G15724" s="4" t="str">
        <f>HYPERLINK("http://141.218.60.56/~jnz1568/getInfo.php?workbook=10_05.xlsx&amp;sheet=U0&amp;row=15724&amp;col=7&amp;number=0.0103&amp;sourceID=14","0.0103")</f>
        <v>0.0103</v>
      </c>
    </row>
    <row r="15725" spans="1:7">
      <c r="A15725" s="3"/>
      <c r="B15725" s="3"/>
      <c r="C15725" s="3"/>
      <c r="D15725" s="3"/>
      <c r="E15725" s="3">
        <v>2</v>
      </c>
      <c r="F15725" s="4" t="str">
        <f>HYPERLINK("http://141.218.60.56/~jnz1568/getInfo.php?workbook=10_05.xlsx&amp;sheet=U0&amp;row=15725&amp;col=6&amp;number=3.1&amp;sourceID=14","3.1")</f>
        <v>3.1</v>
      </c>
      <c r="G15725" s="4" t="str">
        <f>HYPERLINK("http://141.218.60.56/~jnz1568/getInfo.php?workbook=10_05.xlsx&amp;sheet=U0&amp;row=15725&amp;col=7&amp;number=0.0102&amp;sourceID=14","0.0102")</f>
        <v>0.0102</v>
      </c>
    </row>
    <row r="15726" spans="1:7">
      <c r="A15726" s="3"/>
      <c r="B15726" s="3"/>
      <c r="C15726" s="3"/>
      <c r="D15726" s="3"/>
      <c r="E15726" s="3">
        <v>3</v>
      </c>
      <c r="F15726" s="4" t="str">
        <f>HYPERLINK("http://141.218.60.56/~jnz1568/getInfo.php?workbook=10_05.xlsx&amp;sheet=U0&amp;row=15726&amp;col=6&amp;number=3.2&amp;sourceID=14","3.2")</f>
        <v>3.2</v>
      </c>
      <c r="G15726" s="4" t="str">
        <f>HYPERLINK("http://141.218.60.56/~jnz1568/getInfo.php?workbook=10_05.xlsx&amp;sheet=U0&amp;row=15726&amp;col=7&amp;number=0.0102&amp;sourceID=14","0.0102")</f>
        <v>0.0102</v>
      </c>
    </row>
    <row r="15727" spans="1:7">
      <c r="A15727" s="3"/>
      <c r="B15727" s="3"/>
      <c r="C15727" s="3"/>
      <c r="D15727" s="3"/>
      <c r="E15727" s="3">
        <v>4</v>
      </c>
      <c r="F15727" s="4" t="str">
        <f>HYPERLINK("http://141.218.60.56/~jnz1568/getInfo.php?workbook=10_05.xlsx&amp;sheet=U0&amp;row=15727&amp;col=6&amp;number=3.3&amp;sourceID=14","3.3")</f>
        <v>3.3</v>
      </c>
      <c r="G15727" s="4" t="str">
        <f>HYPERLINK("http://141.218.60.56/~jnz1568/getInfo.php?workbook=10_05.xlsx&amp;sheet=U0&amp;row=15727&amp;col=7&amp;number=0.0101&amp;sourceID=14","0.0101")</f>
        <v>0.0101</v>
      </c>
    </row>
    <row r="15728" spans="1:7">
      <c r="A15728" s="3"/>
      <c r="B15728" s="3"/>
      <c r="C15728" s="3"/>
      <c r="D15728" s="3"/>
      <c r="E15728" s="3">
        <v>5</v>
      </c>
      <c r="F15728" s="4" t="str">
        <f>HYPERLINK("http://141.218.60.56/~jnz1568/getInfo.php?workbook=10_05.xlsx&amp;sheet=U0&amp;row=15728&amp;col=6&amp;number=3.4&amp;sourceID=14","3.4")</f>
        <v>3.4</v>
      </c>
      <c r="G15728" s="4" t="str">
        <f>HYPERLINK("http://141.218.60.56/~jnz1568/getInfo.php?workbook=10_05.xlsx&amp;sheet=U0&amp;row=15728&amp;col=7&amp;number=0.01&amp;sourceID=14","0.01")</f>
        <v>0.01</v>
      </c>
    </row>
    <row r="15729" spans="1:7">
      <c r="A15729" s="3"/>
      <c r="B15729" s="3"/>
      <c r="C15729" s="3"/>
      <c r="D15729" s="3"/>
      <c r="E15729" s="3">
        <v>6</v>
      </c>
      <c r="F15729" s="4" t="str">
        <f>HYPERLINK("http://141.218.60.56/~jnz1568/getInfo.php?workbook=10_05.xlsx&amp;sheet=U0&amp;row=15729&amp;col=6&amp;number=3.5&amp;sourceID=14","3.5")</f>
        <v>3.5</v>
      </c>
      <c r="G15729" s="4" t="str">
        <f>HYPERLINK("http://141.218.60.56/~jnz1568/getInfo.php?workbook=10_05.xlsx&amp;sheet=U0&amp;row=15729&amp;col=7&amp;number=0.00988&amp;sourceID=14","0.00988")</f>
        <v>0.00988</v>
      </c>
    </row>
    <row r="15730" spans="1:7">
      <c r="A15730" s="3"/>
      <c r="B15730" s="3"/>
      <c r="C15730" s="3"/>
      <c r="D15730" s="3"/>
      <c r="E15730" s="3">
        <v>7</v>
      </c>
      <c r="F15730" s="4" t="str">
        <f>HYPERLINK("http://141.218.60.56/~jnz1568/getInfo.php?workbook=10_05.xlsx&amp;sheet=U0&amp;row=15730&amp;col=6&amp;number=3.6&amp;sourceID=14","3.6")</f>
        <v>3.6</v>
      </c>
      <c r="G15730" s="4" t="str">
        <f>HYPERLINK("http://141.218.60.56/~jnz1568/getInfo.php?workbook=10_05.xlsx&amp;sheet=U0&amp;row=15730&amp;col=7&amp;number=0.00972&amp;sourceID=14","0.00972")</f>
        <v>0.00972</v>
      </c>
    </row>
    <row r="15731" spans="1:7">
      <c r="A15731" s="3"/>
      <c r="B15731" s="3"/>
      <c r="C15731" s="3"/>
      <c r="D15731" s="3"/>
      <c r="E15731" s="3">
        <v>8</v>
      </c>
      <c r="F15731" s="4" t="str">
        <f>HYPERLINK("http://141.218.60.56/~jnz1568/getInfo.php?workbook=10_05.xlsx&amp;sheet=U0&amp;row=15731&amp;col=6&amp;number=3.7&amp;sourceID=14","3.7")</f>
        <v>3.7</v>
      </c>
      <c r="G15731" s="4" t="str">
        <f>HYPERLINK("http://141.218.60.56/~jnz1568/getInfo.php?workbook=10_05.xlsx&amp;sheet=U0&amp;row=15731&amp;col=7&amp;number=0.00954&amp;sourceID=14","0.00954")</f>
        <v>0.00954</v>
      </c>
    </row>
    <row r="15732" spans="1:7">
      <c r="A15732" s="3"/>
      <c r="B15732" s="3"/>
      <c r="C15732" s="3"/>
      <c r="D15732" s="3"/>
      <c r="E15732" s="3">
        <v>9</v>
      </c>
      <c r="F15732" s="4" t="str">
        <f>HYPERLINK("http://141.218.60.56/~jnz1568/getInfo.php?workbook=10_05.xlsx&amp;sheet=U0&amp;row=15732&amp;col=6&amp;number=3.8&amp;sourceID=14","3.8")</f>
        <v>3.8</v>
      </c>
      <c r="G15732" s="4" t="str">
        <f>HYPERLINK("http://141.218.60.56/~jnz1568/getInfo.php?workbook=10_05.xlsx&amp;sheet=U0&amp;row=15732&amp;col=7&amp;number=0.00931&amp;sourceID=14","0.00931")</f>
        <v>0.00931</v>
      </c>
    </row>
    <row r="15733" spans="1:7">
      <c r="A15733" s="3"/>
      <c r="B15733" s="3"/>
      <c r="C15733" s="3"/>
      <c r="D15733" s="3"/>
      <c r="E15733" s="3">
        <v>10</v>
      </c>
      <c r="F15733" s="4" t="str">
        <f>HYPERLINK("http://141.218.60.56/~jnz1568/getInfo.php?workbook=10_05.xlsx&amp;sheet=U0&amp;row=15733&amp;col=6&amp;number=3.9&amp;sourceID=14","3.9")</f>
        <v>3.9</v>
      </c>
      <c r="G15733" s="4" t="str">
        <f>HYPERLINK("http://141.218.60.56/~jnz1568/getInfo.php?workbook=10_05.xlsx&amp;sheet=U0&amp;row=15733&amp;col=7&amp;number=0.00904&amp;sourceID=14","0.00904")</f>
        <v>0.00904</v>
      </c>
    </row>
    <row r="15734" spans="1:7">
      <c r="A15734" s="3"/>
      <c r="B15734" s="3"/>
      <c r="C15734" s="3"/>
      <c r="D15734" s="3"/>
      <c r="E15734" s="3">
        <v>11</v>
      </c>
      <c r="F15734" s="4" t="str">
        <f>HYPERLINK("http://141.218.60.56/~jnz1568/getInfo.php?workbook=10_05.xlsx&amp;sheet=U0&amp;row=15734&amp;col=6&amp;number=4&amp;sourceID=14","4")</f>
        <v>4</v>
      </c>
      <c r="G15734" s="4" t="str">
        <f>HYPERLINK("http://141.218.60.56/~jnz1568/getInfo.php?workbook=10_05.xlsx&amp;sheet=U0&amp;row=15734&amp;col=7&amp;number=0.00872&amp;sourceID=14","0.00872")</f>
        <v>0.00872</v>
      </c>
    </row>
    <row r="15735" spans="1:7">
      <c r="A15735" s="3"/>
      <c r="B15735" s="3"/>
      <c r="C15735" s="3"/>
      <c r="D15735" s="3"/>
      <c r="E15735" s="3">
        <v>12</v>
      </c>
      <c r="F15735" s="4" t="str">
        <f>HYPERLINK("http://141.218.60.56/~jnz1568/getInfo.php?workbook=10_05.xlsx&amp;sheet=U0&amp;row=15735&amp;col=6&amp;number=4.1&amp;sourceID=14","4.1")</f>
        <v>4.1</v>
      </c>
      <c r="G15735" s="4" t="str">
        <f>HYPERLINK("http://141.218.60.56/~jnz1568/getInfo.php?workbook=10_05.xlsx&amp;sheet=U0&amp;row=15735&amp;col=7&amp;number=0.00836&amp;sourceID=14","0.00836")</f>
        <v>0.00836</v>
      </c>
    </row>
    <row r="15736" spans="1:7">
      <c r="A15736" s="3"/>
      <c r="B15736" s="3"/>
      <c r="C15736" s="3"/>
      <c r="D15736" s="3"/>
      <c r="E15736" s="3">
        <v>13</v>
      </c>
      <c r="F15736" s="4" t="str">
        <f>HYPERLINK("http://141.218.60.56/~jnz1568/getInfo.php?workbook=10_05.xlsx&amp;sheet=U0&amp;row=15736&amp;col=6&amp;number=4.2&amp;sourceID=14","4.2")</f>
        <v>4.2</v>
      </c>
      <c r="G15736" s="4" t="str">
        <f>HYPERLINK("http://141.218.60.56/~jnz1568/getInfo.php?workbook=10_05.xlsx&amp;sheet=U0&amp;row=15736&amp;col=7&amp;number=0.00797&amp;sourceID=14","0.00797")</f>
        <v>0.00797</v>
      </c>
    </row>
    <row r="15737" spans="1:7">
      <c r="A15737" s="3"/>
      <c r="B15737" s="3"/>
      <c r="C15737" s="3"/>
      <c r="D15737" s="3"/>
      <c r="E15737" s="3">
        <v>14</v>
      </c>
      <c r="F15737" s="4" t="str">
        <f>HYPERLINK("http://141.218.60.56/~jnz1568/getInfo.php?workbook=10_05.xlsx&amp;sheet=U0&amp;row=15737&amp;col=6&amp;number=4.3&amp;sourceID=14","4.3")</f>
        <v>4.3</v>
      </c>
      <c r="G15737" s="4" t="str">
        <f>HYPERLINK("http://141.218.60.56/~jnz1568/getInfo.php?workbook=10_05.xlsx&amp;sheet=U0&amp;row=15737&amp;col=7&amp;number=0.00755&amp;sourceID=14","0.00755")</f>
        <v>0.00755</v>
      </c>
    </row>
    <row r="15738" spans="1:7">
      <c r="A15738" s="3"/>
      <c r="B15738" s="3"/>
      <c r="C15738" s="3"/>
      <c r="D15738" s="3"/>
      <c r="E15738" s="3">
        <v>15</v>
      </c>
      <c r="F15738" s="4" t="str">
        <f>HYPERLINK("http://141.218.60.56/~jnz1568/getInfo.php?workbook=10_05.xlsx&amp;sheet=U0&amp;row=15738&amp;col=6&amp;number=4.4&amp;sourceID=14","4.4")</f>
        <v>4.4</v>
      </c>
      <c r="G15738" s="4" t="str">
        <f>HYPERLINK("http://141.218.60.56/~jnz1568/getInfo.php?workbook=10_05.xlsx&amp;sheet=U0&amp;row=15738&amp;col=7&amp;number=0.0071&amp;sourceID=14","0.0071")</f>
        <v>0.0071</v>
      </c>
    </row>
    <row r="15739" spans="1:7">
      <c r="A15739" s="3"/>
      <c r="B15739" s="3"/>
      <c r="C15739" s="3"/>
      <c r="D15739" s="3"/>
      <c r="E15739" s="3">
        <v>16</v>
      </c>
      <c r="F15739" s="4" t="str">
        <f>HYPERLINK("http://141.218.60.56/~jnz1568/getInfo.php?workbook=10_05.xlsx&amp;sheet=U0&amp;row=15739&amp;col=6&amp;number=4.5&amp;sourceID=14","4.5")</f>
        <v>4.5</v>
      </c>
      <c r="G15739" s="4" t="str">
        <f>HYPERLINK("http://141.218.60.56/~jnz1568/getInfo.php?workbook=10_05.xlsx&amp;sheet=U0&amp;row=15739&amp;col=7&amp;number=0.0066&amp;sourceID=14","0.0066")</f>
        <v>0.0066</v>
      </c>
    </row>
    <row r="15740" spans="1:7">
      <c r="A15740" s="3"/>
      <c r="B15740" s="3"/>
      <c r="C15740" s="3"/>
      <c r="D15740" s="3"/>
      <c r="E15740" s="3">
        <v>17</v>
      </c>
      <c r="F15740" s="4" t="str">
        <f>HYPERLINK("http://141.218.60.56/~jnz1568/getInfo.php?workbook=10_05.xlsx&amp;sheet=U0&amp;row=15740&amp;col=6&amp;number=4.6&amp;sourceID=14","4.6")</f>
        <v>4.6</v>
      </c>
      <c r="G15740" s="4" t="str">
        <f>HYPERLINK("http://141.218.60.56/~jnz1568/getInfo.php?workbook=10_05.xlsx&amp;sheet=U0&amp;row=15740&amp;col=7&amp;number=0.00602&amp;sourceID=14","0.00602")</f>
        <v>0.00602</v>
      </c>
    </row>
    <row r="15741" spans="1:7">
      <c r="A15741" s="3"/>
      <c r="B15741" s="3"/>
      <c r="C15741" s="3"/>
      <c r="D15741" s="3"/>
      <c r="E15741" s="3">
        <v>18</v>
      </c>
      <c r="F15741" s="4" t="str">
        <f>HYPERLINK("http://141.218.60.56/~jnz1568/getInfo.php?workbook=10_05.xlsx&amp;sheet=U0&amp;row=15741&amp;col=6&amp;number=4.7&amp;sourceID=14","4.7")</f>
        <v>4.7</v>
      </c>
      <c r="G15741" s="4" t="str">
        <f>HYPERLINK("http://141.218.60.56/~jnz1568/getInfo.php?workbook=10_05.xlsx&amp;sheet=U0&amp;row=15741&amp;col=7&amp;number=0.00536&amp;sourceID=14","0.00536")</f>
        <v>0.00536</v>
      </c>
    </row>
    <row r="15742" spans="1:7">
      <c r="A15742" s="3"/>
      <c r="B15742" s="3"/>
      <c r="C15742" s="3"/>
      <c r="D15742" s="3"/>
      <c r="E15742" s="3">
        <v>19</v>
      </c>
      <c r="F15742" s="4" t="str">
        <f>HYPERLINK("http://141.218.60.56/~jnz1568/getInfo.php?workbook=10_05.xlsx&amp;sheet=U0&amp;row=15742&amp;col=6&amp;number=4.8&amp;sourceID=14","4.8")</f>
        <v>4.8</v>
      </c>
      <c r="G15742" s="4" t="str">
        <f>HYPERLINK("http://141.218.60.56/~jnz1568/getInfo.php?workbook=10_05.xlsx&amp;sheet=U0&amp;row=15742&amp;col=7&amp;number=0.00471&amp;sourceID=14","0.00471")</f>
        <v>0.00471</v>
      </c>
    </row>
    <row r="15743" spans="1:7">
      <c r="A15743" s="3"/>
      <c r="B15743" s="3"/>
      <c r="C15743" s="3"/>
      <c r="D15743" s="3"/>
      <c r="E15743" s="3">
        <v>20</v>
      </c>
      <c r="F15743" s="4" t="str">
        <f>HYPERLINK("http://141.218.60.56/~jnz1568/getInfo.php?workbook=10_05.xlsx&amp;sheet=U0&amp;row=15743&amp;col=6&amp;number=4.9&amp;sourceID=14","4.9")</f>
        <v>4.9</v>
      </c>
      <c r="G15743" s="4" t="str">
        <f>HYPERLINK("http://141.218.60.56/~jnz1568/getInfo.php?workbook=10_05.xlsx&amp;sheet=U0&amp;row=15743&amp;col=7&amp;number=0.00411&amp;sourceID=14","0.00411")</f>
        <v>0.00411</v>
      </c>
    </row>
    <row r="15744" spans="1:7">
      <c r="A15744" s="3">
        <v>10</v>
      </c>
      <c r="B15744" s="3">
        <v>5</v>
      </c>
      <c r="C15744" s="3">
        <v>5</v>
      </c>
      <c r="D15744" s="3">
        <v>83</v>
      </c>
      <c r="E15744" s="3">
        <v>1</v>
      </c>
      <c r="F15744" s="4" t="str">
        <f>HYPERLINK("http://141.218.60.56/~jnz1568/getInfo.php?workbook=10_05.xlsx&amp;sheet=U0&amp;row=15744&amp;col=6&amp;number=3&amp;sourceID=14","3")</f>
        <v>3</v>
      </c>
      <c r="G15744" s="4" t="str">
        <f>HYPERLINK("http://141.218.60.56/~jnz1568/getInfo.php?workbook=10_05.xlsx&amp;sheet=U0&amp;row=15744&amp;col=7&amp;number=0.0236&amp;sourceID=14","0.0236")</f>
        <v>0.0236</v>
      </c>
    </row>
    <row r="15745" spans="1:7">
      <c r="A15745" s="3"/>
      <c r="B15745" s="3"/>
      <c r="C15745" s="3"/>
      <c r="D15745" s="3"/>
      <c r="E15745" s="3">
        <v>2</v>
      </c>
      <c r="F15745" s="4" t="str">
        <f>HYPERLINK("http://141.218.60.56/~jnz1568/getInfo.php?workbook=10_05.xlsx&amp;sheet=U0&amp;row=15745&amp;col=6&amp;number=3.1&amp;sourceID=14","3.1")</f>
        <v>3.1</v>
      </c>
      <c r="G15745" s="4" t="str">
        <f>HYPERLINK("http://141.218.60.56/~jnz1568/getInfo.php?workbook=10_05.xlsx&amp;sheet=U0&amp;row=15745&amp;col=7&amp;number=0.0236&amp;sourceID=14","0.0236")</f>
        <v>0.0236</v>
      </c>
    </row>
    <row r="15746" spans="1:7">
      <c r="A15746" s="3"/>
      <c r="B15746" s="3"/>
      <c r="C15746" s="3"/>
      <c r="D15746" s="3"/>
      <c r="E15746" s="3">
        <v>3</v>
      </c>
      <c r="F15746" s="4" t="str">
        <f>HYPERLINK("http://141.218.60.56/~jnz1568/getInfo.php?workbook=10_05.xlsx&amp;sheet=U0&amp;row=15746&amp;col=6&amp;number=3.2&amp;sourceID=14","3.2")</f>
        <v>3.2</v>
      </c>
      <c r="G15746" s="4" t="str">
        <f>HYPERLINK("http://141.218.60.56/~jnz1568/getInfo.php?workbook=10_05.xlsx&amp;sheet=U0&amp;row=15746&amp;col=7&amp;number=0.0235&amp;sourceID=14","0.0235")</f>
        <v>0.0235</v>
      </c>
    </row>
    <row r="15747" spans="1:7">
      <c r="A15747" s="3"/>
      <c r="B15747" s="3"/>
      <c r="C15747" s="3"/>
      <c r="D15747" s="3"/>
      <c r="E15747" s="3">
        <v>4</v>
      </c>
      <c r="F15747" s="4" t="str">
        <f>HYPERLINK("http://141.218.60.56/~jnz1568/getInfo.php?workbook=10_05.xlsx&amp;sheet=U0&amp;row=15747&amp;col=6&amp;number=3.3&amp;sourceID=14","3.3")</f>
        <v>3.3</v>
      </c>
      <c r="G15747" s="4" t="str">
        <f>HYPERLINK("http://141.218.60.56/~jnz1568/getInfo.php?workbook=10_05.xlsx&amp;sheet=U0&amp;row=15747&amp;col=7&amp;number=0.0234&amp;sourceID=14","0.0234")</f>
        <v>0.0234</v>
      </c>
    </row>
    <row r="15748" spans="1:7">
      <c r="A15748" s="3"/>
      <c r="B15748" s="3"/>
      <c r="C15748" s="3"/>
      <c r="D15748" s="3"/>
      <c r="E15748" s="3">
        <v>5</v>
      </c>
      <c r="F15748" s="4" t="str">
        <f>HYPERLINK("http://141.218.60.56/~jnz1568/getInfo.php?workbook=10_05.xlsx&amp;sheet=U0&amp;row=15748&amp;col=6&amp;number=3.4&amp;sourceID=14","3.4")</f>
        <v>3.4</v>
      </c>
      <c r="G15748" s="4" t="str">
        <f>HYPERLINK("http://141.218.60.56/~jnz1568/getInfo.php?workbook=10_05.xlsx&amp;sheet=U0&amp;row=15748&amp;col=7&amp;number=0.0233&amp;sourceID=14","0.0233")</f>
        <v>0.0233</v>
      </c>
    </row>
    <row r="15749" spans="1:7">
      <c r="A15749" s="3"/>
      <c r="B15749" s="3"/>
      <c r="C15749" s="3"/>
      <c r="D15749" s="3"/>
      <c r="E15749" s="3">
        <v>6</v>
      </c>
      <c r="F15749" s="4" t="str">
        <f>HYPERLINK("http://141.218.60.56/~jnz1568/getInfo.php?workbook=10_05.xlsx&amp;sheet=U0&amp;row=15749&amp;col=6&amp;number=3.5&amp;sourceID=14","3.5")</f>
        <v>3.5</v>
      </c>
      <c r="G15749" s="4" t="str">
        <f>HYPERLINK("http://141.218.60.56/~jnz1568/getInfo.php?workbook=10_05.xlsx&amp;sheet=U0&amp;row=15749&amp;col=7&amp;number=0.0231&amp;sourceID=14","0.0231")</f>
        <v>0.0231</v>
      </c>
    </row>
    <row r="15750" spans="1:7">
      <c r="A15750" s="3"/>
      <c r="B15750" s="3"/>
      <c r="C15750" s="3"/>
      <c r="D15750" s="3"/>
      <c r="E15750" s="3">
        <v>7</v>
      </c>
      <c r="F15750" s="4" t="str">
        <f>HYPERLINK("http://141.218.60.56/~jnz1568/getInfo.php?workbook=10_05.xlsx&amp;sheet=U0&amp;row=15750&amp;col=6&amp;number=3.6&amp;sourceID=14","3.6")</f>
        <v>3.6</v>
      </c>
      <c r="G15750" s="4" t="str">
        <f>HYPERLINK("http://141.218.60.56/~jnz1568/getInfo.php?workbook=10_05.xlsx&amp;sheet=U0&amp;row=15750&amp;col=7&amp;number=0.0229&amp;sourceID=14","0.0229")</f>
        <v>0.0229</v>
      </c>
    </row>
    <row r="15751" spans="1:7">
      <c r="A15751" s="3"/>
      <c r="B15751" s="3"/>
      <c r="C15751" s="3"/>
      <c r="D15751" s="3"/>
      <c r="E15751" s="3">
        <v>8</v>
      </c>
      <c r="F15751" s="4" t="str">
        <f>HYPERLINK("http://141.218.60.56/~jnz1568/getInfo.php?workbook=10_05.xlsx&amp;sheet=U0&amp;row=15751&amp;col=6&amp;number=3.7&amp;sourceID=14","3.7")</f>
        <v>3.7</v>
      </c>
      <c r="G15751" s="4" t="str">
        <f>HYPERLINK("http://141.218.60.56/~jnz1568/getInfo.php?workbook=10_05.xlsx&amp;sheet=U0&amp;row=15751&amp;col=7&amp;number=0.0227&amp;sourceID=14","0.0227")</f>
        <v>0.0227</v>
      </c>
    </row>
    <row r="15752" spans="1:7">
      <c r="A15752" s="3"/>
      <c r="B15752" s="3"/>
      <c r="C15752" s="3"/>
      <c r="D15752" s="3"/>
      <c r="E15752" s="3">
        <v>9</v>
      </c>
      <c r="F15752" s="4" t="str">
        <f>HYPERLINK("http://141.218.60.56/~jnz1568/getInfo.php?workbook=10_05.xlsx&amp;sheet=U0&amp;row=15752&amp;col=6&amp;number=3.8&amp;sourceID=14","3.8")</f>
        <v>3.8</v>
      </c>
      <c r="G15752" s="4" t="str">
        <f>HYPERLINK("http://141.218.60.56/~jnz1568/getInfo.php?workbook=10_05.xlsx&amp;sheet=U0&amp;row=15752&amp;col=7&amp;number=0.0224&amp;sourceID=14","0.0224")</f>
        <v>0.0224</v>
      </c>
    </row>
    <row r="15753" spans="1:7">
      <c r="A15753" s="3"/>
      <c r="B15753" s="3"/>
      <c r="C15753" s="3"/>
      <c r="D15753" s="3"/>
      <c r="E15753" s="3">
        <v>10</v>
      </c>
      <c r="F15753" s="4" t="str">
        <f>HYPERLINK("http://141.218.60.56/~jnz1568/getInfo.php?workbook=10_05.xlsx&amp;sheet=U0&amp;row=15753&amp;col=6&amp;number=3.9&amp;sourceID=14","3.9")</f>
        <v>3.9</v>
      </c>
      <c r="G15753" s="4" t="str">
        <f>HYPERLINK("http://141.218.60.56/~jnz1568/getInfo.php?workbook=10_05.xlsx&amp;sheet=U0&amp;row=15753&amp;col=7&amp;number=0.022&amp;sourceID=14","0.022")</f>
        <v>0.022</v>
      </c>
    </row>
    <row r="15754" spans="1:7">
      <c r="A15754" s="3"/>
      <c r="B15754" s="3"/>
      <c r="C15754" s="3"/>
      <c r="D15754" s="3"/>
      <c r="E15754" s="3">
        <v>11</v>
      </c>
      <c r="F15754" s="4" t="str">
        <f>HYPERLINK("http://141.218.60.56/~jnz1568/getInfo.php?workbook=10_05.xlsx&amp;sheet=U0&amp;row=15754&amp;col=6&amp;number=4&amp;sourceID=14","4")</f>
        <v>4</v>
      </c>
      <c r="G15754" s="4" t="str">
        <f>HYPERLINK("http://141.218.60.56/~jnz1568/getInfo.php?workbook=10_05.xlsx&amp;sheet=U0&amp;row=15754&amp;col=7&amp;number=0.0216&amp;sourceID=14","0.0216")</f>
        <v>0.0216</v>
      </c>
    </row>
    <row r="15755" spans="1:7">
      <c r="A15755" s="3"/>
      <c r="B15755" s="3"/>
      <c r="C15755" s="3"/>
      <c r="D15755" s="3"/>
      <c r="E15755" s="3">
        <v>12</v>
      </c>
      <c r="F15755" s="4" t="str">
        <f>HYPERLINK("http://141.218.60.56/~jnz1568/getInfo.php?workbook=10_05.xlsx&amp;sheet=U0&amp;row=15755&amp;col=6&amp;number=4.1&amp;sourceID=14","4.1")</f>
        <v>4.1</v>
      </c>
      <c r="G15755" s="4" t="str">
        <f>HYPERLINK("http://141.218.60.56/~jnz1568/getInfo.php?workbook=10_05.xlsx&amp;sheet=U0&amp;row=15755&amp;col=7&amp;number=0.021&amp;sourceID=14","0.021")</f>
        <v>0.021</v>
      </c>
    </row>
    <row r="15756" spans="1:7">
      <c r="A15756" s="3"/>
      <c r="B15756" s="3"/>
      <c r="C15756" s="3"/>
      <c r="D15756" s="3"/>
      <c r="E15756" s="3">
        <v>13</v>
      </c>
      <c r="F15756" s="4" t="str">
        <f>HYPERLINK("http://141.218.60.56/~jnz1568/getInfo.php?workbook=10_05.xlsx&amp;sheet=U0&amp;row=15756&amp;col=6&amp;number=4.2&amp;sourceID=14","4.2")</f>
        <v>4.2</v>
      </c>
      <c r="G15756" s="4" t="str">
        <f>HYPERLINK("http://141.218.60.56/~jnz1568/getInfo.php?workbook=10_05.xlsx&amp;sheet=U0&amp;row=15756&amp;col=7&amp;number=0.0203&amp;sourceID=14","0.0203")</f>
        <v>0.0203</v>
      </c>
    </row>
    <row r="15757" spans="1:7">
      <c r="A15757" s="3"/>
      <c r="B15757" s="3"/>
      <c r="C15757" s="3"/>
      <c r="D15757" s="3"/>
      <c r="E15757" s="3">
        <v>14</v>
      </c>
      <c r="F15757" s="4" t="str">
        <f>HYPERLINK("http://141.218.60.56/~jnz1568/getInfo.php?workbook=10_05.xlsx&amp;sheet=U0&amp;row=15757&amp;col=6&amp;number=4.3&amp;sourceID=14","4.3")</f>
        <v>4.3</v>
      </c>
      <c r="G15757" s="4" t="str">
        <f>HYPERLINK("http://141.218.60.56/~jnz1568/getInfo.php?workbook=10_05.xlsx&amp;sheet=U0&amp;row=15757&amp;col=7&amp;number=0.0195&amp;sourceID=14","0.0195")</f>
        <v>0.0195</v>
      </c>
    </row>
    <row r="15758" spans="1:7">
      <c r="A15758" s="3"/>
      <c r="B15758" s="3"/>
      <c r="C15758" s="3"/>
      <c r="D15758" s="3"/>
      <c r="E15758" s="3">
        <v>15</v>
      </c>
      <c r="F15758" s="4" t="str">
        <f>HYPERLINK("http://141.218.60.56/~jnz1568/getInfo.php?workbook=10_05.xlsx&amp;sheet=U0&amp;row=15758&amp;col=6&amp;number=4.4&amp;sourceID=14","4.4")</f>
        <v>4.4</v>
      </c>
      <c r="G15758" s="4" t="str">
        <f>HYPERLINK("http://141.218.60.56/~jnz1568/getInfo.php?workbook=10_05.xlsx&amp;sheet=U0&amp;row=15758&amp;col=7&amp;number=0.0185&amp;sourceID=14","0.0185")</f>
        <v>0.0185</v>
      </c>
    </row>
    <row r="15759" spans="1:7">
      <c r="A15759" s="3"/>
      <c r="B15759" s="3"/>
      <c r="C15759" s="3"/>
      <c r="D15759" s="3"/>
      <c r="E15759" s="3">
        <v>16</v>
      </c>
      <c r="F15759" s="4" t="str">
        <f>HYPERLINK("http://141.218.60.56/~jnz1568/getInfo.php?workbook=10_05.xlsx&amp;sheet=U0&amp;row=15759&amp;col=6&amp;number=4.5&amp;sourceID=14","4.5")</f>
        <v>4.5</v>
      </c>
      <c r="G15759" s="4" t="str">
        <f>HYPERLINK("http://141.218.60.56/~jnz1568/getInfo.php?workbook=10_05.xlsx&amp;sheet=U0&amp;row=15759&amp;col=7&amp;number=0.0173&amp;sourceID=14","0.0173")</f>
        <v>0.0173</v>
      </c>
    </row>
    <row r="15760" spans="1:7">
      <c r="A15760" s="3"/>
      <c r="B15760" s="3"/>
      <c r="C15760" s="3"/>
      <c r="D15760" s="3"/>
      <c r="E15760" s="3">
        <v>17</v>
      </c>
      <c r="F15760" s="4" t="str">
        <f>HYPERLINK("http://141.218.60.56/~jnz1568/getInfo.php?workbook=10_05.xlsx&amp;sheet=U0&amp;row=15760&amp;col=6&amp;number=4.6&amp;sourceID=14","4.6")</f>
        <v>4.6</v>
      </c>
      <c r="G15760" s="4" t="str">
        <f>HYPERLINK("http://141.218.60.56/~jnz1568/getInfo.php?workbook=10_05.xlsx&amp;sheet=U0&amp;row=15760&amp;col=7&amp;number=0.016&amp;sourceID=14","0.016")</f>
        <v>0.016</v>
      </c>
    </row>
    <row r="15761" spans="1:7">
      <c r="A15761" s="3"/>
      <c r="B15761" s="3"/>
      <c r="C15761" s="3"/>
      <c r="D15761" s="3"/>
      <c r="E15761" s="3">
        <v>18</v>
      </c>
      <c r="F15761" s="4" t="str">
        <f>HYPERLINK("http://141.218.60.56/~jnz1568/getInfo.php?workbook=10_05.xlsx&amp;sheet=U0&amp;row=15761&amp;col=6&amp;number=4.7&amp;sourceID=14","4.7")</f>
        <v>4.7</v>
      </c>
      <c r="G15761" s="4" t="str">
        <f>HYPERLINK("http://141.218.60.56/~jnz1568/getInfo.php?workbook=10_05.xlsx&amp;sheet=U0&amp;row=15761&amp;col=7&amp;number=0.0145&amp;sourceID=14","0.0145")</f>
        <v>0.0145</v>
      </c>
    </row>
    <row r="15762" spans="1:7">
      <c r="A15762" s="3"/>
      <c r="B15762" s="3"/>
      <c r="C15762" s="3"/>
      <c r="D15762" s="3"/>
      <c r="E15762" s="3">
        <v>19</v>
      </c>
      <c r="F15762" s="4" t="str">
        <f>HYPERLINK("http://141.218.60.56/~jnz1568/getInfo.php?workbook=10_05.xlsx&amp;sheet=U0&amp;row=15762&amp;col=6&amp;number=4.8&amp;sourceID=14","4.8")</f>
        <v>4.8</v>
      </c>
      <c r="G15762" s="4" t="str">
        <f>HYPERLINK("http://141.218.60.56/~jnz1568/getInfo.php?workbook=10_05.xlsx&amp;sheet=U0&amp;row=15762&amp;col=7&amp;number=0.013&amp;sourceID=14","0.013")</f>
        <v>0.013</v>
      </c>
    </row>
    <row r="15763" spans="1:7">
      <c r="A15763" s="3"/>
      <c r="B15763" s="3"/>
      <c r="C15763" s="3"/>
      <c r="D15763" s="3"/>
      <c r="E15763" s="3">
        <v>20</v>
      </c>
      <c r="F15763" s="4" t="str">
        <f>HYPERLINK("http://141.218.60.56/~jnz1568/getInfo.php?workbook=10_05.xlsx&amp;sheet=U0&amp;row=15763&amp;col=6&amp;number=4.9&amp;sourceID=14","4.9")</f>
        <v>4.9</v>
      </c>
      <c r="G15763" s="4" t="str">
        <f>HYPERLINK("http://141.218.60.56/~jnz1568/getInfo.php?workbook=10_05.xlsx&amp;sheet=U0&amp;row=15763&amp;col=7&amp;number=0.0115&amp;sourceID=14","0.0115")</f>
        <v>0.0115</v>
      </c>
    </row>
    <row r="15764" spans="1:7">
      <c r="A15764" s="3">
        <v>10</v>
      </c>
      <c r="B15764" s="3">
        <v>5</v>
      </c>
      <c r="C15764" s="3">
        <v>5</v>
      </c>
      <c r="D15764" s="3">
        <v>84</v>
      </c>
      <c r="E15764" s="3">
        <v>1</v>
      </c>
      <c r="F15764" s="4" t="str">
        <f>HYPERLINK("http://141.218.60.56/~jnz1568/getInfo.php?workbook=10_05.xlsx&amp;sheet=U0&amp;row=15764&amp;col=6&amp;number=3&amp;sourceID=14","3")</f>
        <v>3</v>
      </c>
      <c r="G15764" s="4" t="str">
        <f>HYPERLINK("http://141.218.60.56/~jnz1568/getInfo.php?workbook=10_05.xlsx&amp;sheet=U0&amp;row=15764&amp;col=7&amp;number=0.0549&amp;sourceID=14","0.0549")</f>
        <v>0.0549</v>
      </c>
    </row>
    <row r="15765" spans="1:7">
      <c r="A15765" s="3"/>
      <c r="B15765" s="3"/>
      <c r="C15765" s="3"/>
      <c r="D15765" s="3"/>
      <c r="E15765" s="3">
        <v>2</v>
      </c>
      <c r="F15765" s="4" t="str">
        <f>HYPERLINK("http://141.218.60.56/~jnz1568/getInfo.php?workbook=10_05.xlsx&amp;sheet=U0&amp;row=15765&amp;col=6&amp;number=3.1&amp;sourceID=14","3.1")</f>
        <v>3.1</v>
      </c>
      <c r="G15765" s="4" t="str">
        <f>HYPERLINK("http://141.218.60.56/~jnz1568/getInfo.php?workbook=10_05.xlsx&amp;sheet=U0&amp;row=15765&amp;col=7&amp;number=0.0548&amp;sourceID=14","0.0548")</f>
        <v>0.0548</v>
      </c>
    </row>
    <row r="15766" spans="1:7">
      <c r="A15766" s="3"/>
      <c r="B15766" s="3"/>
      <c r="C15766" s="3"/>
      <c r="D15766" s="3"/>
      <c r="E15766" s="3">
        <v>3</v>
      </c>
      <c r="F15766" s="4" t="str">
        <f>HYPERLINK("http://141.218.60.56/~jnz1568/getInfo.php?workbook=10_05.xlsx&amp;sheet=U0&amp;row=15766&amp;col=6&amp;number=3.2&amp;sourceID=14","3.2")</f>
        <v>3.2</v>
      </c>
      <c r="G15766" s="4" t="str">
        <f>HYPERLINK("http://141.218.60.56/~jnz1568/getInfo.php?workbook=10_05.xlsx&amp;sheet=U0&amp;row=15766&amp;col=7&amp;number=0.0547&amp;sourceID=14","0.0547")</f>
        <v>0.0547</v>
      </c>
    </row>
    <row r="15767" spans="1:7">
      <c r="A15767" s="3"/>
      <c r="B15767" s="3"/>
      <c r="C15767" s="3"/>
      <c r="D15767" s="3"/>
      <c r="E15767" s="3">
        <v>4</v>
      </c>
      <c r="F15767" s="4" t="str">
        <f>HYPERLINK("http://141.218.60.56/~jnz1568/getInfo.php?workbook=10_05.xlsx&amp;sheet=U0&amp;row=15767&amp;col=6&amp;number=3.3&amp;sourceID=14","3.3")</f>
        <v>3.3</v>
      </c>
      <c r="G15767" s="4" t="str">
        <f>HYPERLINK("http://141.218.60.56/~jnz1568/getInfo.php?workbook=10_05.xlsx&amp;sheet=U0&amp;row=15767&amp;col=7&amp;number=0.0545&amp;sourceID=14","0.0545")</f>
        <v>0.0545</v>
      </c>
    </row>
    <row r="15768" spans="1:7">
      <c r="A15768" s="3"/>
      <c r="B15768" s="3"/>
      <c r="C15768" s="3"/>
      <c r="D15768" s="3"/>
      <c r="E15768" s="3">
        <v>5</v>
      </c>
      <c r="F15768" s="4" t="str">
        <f>HYPERLINK("http://141.218.60.56/~jnz1568/getInfo.php?workbook=10_05.xlsx&amp;sheet=U0&amp;row=15768&amp;col=6&amp;number=3.4&amp;sourceID=14","3.4")</f>
        <v>3.4</v>
      </c>
      <c r="G15768" s="4" t="str">
        <f>HYPERLINK("http://141.218.60.56/~jnz1568/getInfo.php?workbook=10_05.xlsx&amp;sheet=U0&amp;row=15768&amp;col=7&amp;number=0.0542&amp;sourceID=14","0.0542")</f>
        <v>0.0542</v>
      </c>
    </row>
    <row r="15769" spans="1:7">
      <c r="A15769" s="3"/>
      <c r="B15769" s="3"/>
      <c r="C15769" s="3"/>
      <c r="D15769" s="3"/>
      <c r="E15769" s="3">
        <v>6</v>
      </c>
      <c r="F15769" s="4" t="str">
        <f>HYPERLINK("http://141.218.60.56/~jnz1568/getInfo.php?workbook=10_05.xlsx&amp;sheet=U0&amp;row=15769&amp;col=6&amp;number=3.5&amp;sourceID=14","3.5")</f>
        <v>3.5</v>
      </c>
      <c r="G15769" s="4" t="str">
        <f>HYPERLINK("http://141.218.60.56/~jnz1568/getInfo.php?workbook=10_05.xlsx&amp;sheet=U0&amp;row=15769&amp;col=7&amp;number=0.0539&amp;sourceID=14","0.0539")</f>
        <v>0.0539</v>
      </c>
    </row>
    <row r="15770" spans="1:7">
      <c r="A15770" s="3"/>
      <c r="B15770" s="3"/>
      <c r="C15770" s="3"/>
      <c r="D15770" s="3"/>
      <c r="E15770" s="3">
        <v>7</v>
      </c>
      <c r="F15770" s="4" t="str">
        <f>HYPERLINK("http://141.218.60.56/~jnz1568/getInfo.php?workbook=10_05.xlsx&amp;sheet=U0&amp;row=15770&amp;col=6&amp;number=3.6&amp;sourceID=14","3.6")</f>
        <v>3.6</v>
      </c>
      <c r="G15770" s="4" t="str">
        <f>HYPERLINK("http://141.218.60.56/~jnz1568/getInfo.php?workbook=10_05.xlsx&amp;sheet=U0&amp;row=15770&amp;col=7&amp;number=0.0536&amp;sourceID=14","0.0536")</f>
        <v>0.0536</v>
      </c>
    </row>
    <row r="15771" spans="1:7">
      <c r="A15771" s="3"/>
      <c r="B15771" s="3"/>
      <c r="C15771" s="3"/>
      <c r="D15771" s="3"/>
      <c r="E15771" s="3">
        <v>8</v>
      </c>
      <c r="F15771" s="4" t="str">
        <f>HYPERLINK("http://141.218.60.56/~jnz1568/getInfo.php?workbook=10_05.xlsx&amp;sheet=U0&amp;row=15771&amp;col=6&amp;number=3.7&amp;sourceID=14","3.7")</f>
        <v>3.7</v>
      </c>
      <c r="G15771" s="4" t="str">
        <f>HYPERLINK("http://141.218.60.56/~jnz1568/getInfo.php?workbook=10_05.xlsx&amp;sheet=U0&amp;row=15771&amp;col=7&amp;number=0.0531&amp;sourceID=14","0.0531")</f>
        <v>0.0531</v>
      </c>
    </row>
    <row r="15772" spans="1:7">
      <c r="A15772" s="3"/>
      <c r="B15772" s="3"/>
      <c r="C15772" s="3"/>
      <c r="D15772" s="3"/>
      <c r="E15772" s="3">
        <v>9</v>
      </c>
      <c r="F15772" s="4" t="str">
        <f>HYPERLINK("http://141.218.60.56/~jnz1568/getInfo.php?workbook=10_05.xlsx&amp;sheet=U0&amp;row=15772&amp;col=6&amp;number=3.8&amp;sourceID=14","3.8")</f>
        <v>3.8</v>
      </c>
      <c r="G15772" s="4" t="str">
        <f>HYPERLINK("http://141.218.60.56/~jnz1568/getInfo.php?workbook=10_05.xlsx&amp;sheet=U0&amp;row=15772&amp;col=7&amp;number=0.0525&amp;sourceID=14","0.0525")</f>
        <v>0.0525</v>
      </c>
    </row>
    <row r="15773" spans="1:7">
      <c r="A15773" s="3"/>
      <c r="B15773" s="3"/>
      <c r="C15773" s="3"/>
      <c r="D15773" s="3"/>
      <c r="E15773" s="3">
        <v>10</v>
      </c>
      <c r="F15773" s="4" t="str">
        <f>HYPERLINK("http://141.218.60.56/~jnz1568/getInfo.php?workbook=10_05.xlsx&amp;sheet=U0&amp;row=15773&amp;col=6&amp;number=3.9&amp;sourceID=14","3.9")</f>
        <v>3.9</v>
      </c>
      <c r="G15773" s="4" t="str">
        <f>HYPERLINK("http://141.218.60.56/~jnz1568/getInfo.php?workbook=10_05.xlsx&amp;sheet=U0&amp;row=15773&amp;col=7&amp;number=0.0518&amp;sourceID=14","0.0518")</f>
        <v>0.0518</v>
      </c>
    </row>
    <row r="15774" spans="1:7">
      <c r="A15774" s="3"/>
      <c r="B15774" s="3"/>
      <c r="C15774" s="3"/>
      <c r="D15774" s="3"/>
      <c r="E15774" s="3">
        <v>11</v>
      </c>
      <c r="F15774" s="4" t="str">
        <f>HYPERLINK("http://141.218.60.56/~jnz1568/getInfo.php?workbook=10_05.xlsx&amp;sheet=U0&amp;row=15774&amp;col=6&amp;number=4&amp;sourceID=14","4")</f>
        <v>4</v>
      </c>
      <c r="G15774" s="4" t="str">
        <f>HYPERLINK("http://141.218.60.56/~jnz1568/getInfo.php?workbook=10_05.xlsx&amp;sheet=U0&amp;row=15774&amp;col=7&amp;number=0.0509&amp;sourceID=14","0.0509")</f>
        <v>0.0509</v>
      </c>
    </row>
    <row r="15775" spans="1:7">
      <c r="A15775" s="3"/>
      <c r="B15775" s="3"/>
      <c r="C15775" s="3"/>
      <c r="D15775" s="3"/>
      <c r="E15775" s="3">
        <v>12</v>
      </c>
      <c r="F15775" s="4" t="str">
        <f>HYPERLINK("http://141.218.60.56/~jnz1568/getInfo.php?workbook=10_05.xlsx&amp;sheet=U0&amp;row=15775&amp;col=6&amp;number=4.1&amp;sourceID=14","4.1")</f>
        <v>4.1</v>
      </c>
      <c r="G15775" s="4" t="str">
        <f>HYPERLINK("http://141.218.60.56/~jnz1568/getInfo.php?workbook=10_05.xlsx&amp;sheet=U0&amp;row=15775&amp;col=7&amp;number=0.0498&amp;sourceID=14","0.0498")</f>
        <v>0.0498</v>
      </c>
    </row>
    <row r="15776" spans="1:7">
      <c r="A15776" s="3"/>
      <c r="B15776" s="3"/>
      <c r="C15776" s="3"/>
      <c r="D15776" s="3"/>
      <c r="E15776" s="3">
        <v>13</v>
      </c>
      <c r="F15776" s="4" t="str">
        <f>HYPERLINK("http://141.218.60.56/~jnz1568/getInfo.php?workbook=10_05.xlsx&amp;sheet=U0&amp;row=15776&amp;col=6&amp;number=4.2&amp;sourceID=14","4.2")</f>
        <v>4.2</v>
      </c>
      <c r="G15776" s="4" t="str">
        <f>HYPERLINK("http://141.218.60.56/~jnz1568/getInfo.php?workbook=10_05.xlsx&amp;sheet=U0&amp;row=15776&amp;col=7&amp;number=0.0485&amp;sourceID=14","0.0485")</f>
        <v>0.0485</v>
      </c>
    </row>
    <row r="15777" spans="1:7">
      <c r="A15777" s="3"/>
      <c r="B15777" s="3"/>
      <c r="C15777" s="3"/>
      <c r="D15777" s="3"/>
      <c r="E15777" s="3">
        <v>14</v>
      </c>
      <c r="F15777" s="4" t="str">
        <f>HYPERLINK("http://141.218.60.56/~jnz1568/getInfo.php?workbook=10_05.xlsx&amp;sheet=U0&amp;row=15777&amp;col=6&amp;number=4.3&amp;sourceID=14","4.3")</f>
        <v>4.3</v>
      </c>
      <c r="G15777" s="4" t="str">
        <f>HYPERLINK("http://141.218.60.56/~jnz1568/getInfo.php?workbook=10_05.xlsx&amp;sheet=U0&amp;row=15777&amp;col=7&amp;number=0.0468&amp;sourceID=14","0.0468")</f>
        <v>0.0468</v>
      </c>
    </row>
    <row r="15778" spans="1:7">
      <c r="A15778" s="3"/>
      <c r="B15778" s="3"/>
      <c r="C15778" s="3"/>
      <c r="D15778" s="3"/>
      <c r="E15778" s="3">
        <v>15</v>
      </c>
      <c r="F15778" s="4" t="str">
        <f>HYPERLINK("http://141.218.60.56/~jnz1568/getInfo.php?workbook=10_05.xlsx&amp;sheet=U0&amp;row=15778&amp;col=6&amp;number=4.4&amp;sourceID=14","4.4")</f>
        <v>4.4</v>
      </c>
      <c r="G15778" s="4" t="str">
        <f>HYPERLINK("http://141.218.60.56/~jnz1568/getInfo.php?workbook=10_05.xlsx&amp;sheet=U0&amp;row=15778&amp;col=7&amp;number=0.0449&amp;sourceID=14","0.0449")</f>
        <v>0.0449</v>
      </c>
    </row>
    <row r="15779" spans="1:7">
      <c r="A15779" s="3"/>
      <c r="B15779" s="3"/>
      <c r="C15779" s="3"/>
      <c r="D15779" s="3"/>
      <c r="E15779" s="3">
        <v>16</v>
      </c>
      <c r="F15779" s="4" t="str">
        <f>HYPERLINK("http://141.218.60.56/~jnz1568/getInfo.php?workbook=10_05.xlsx&amp;sheet=U0&amp;row=15779&amp;col=6&amp;number=4.5&amp;sourceID=14","4.5")</f>
        <v>4.5</v>
      </c>
      <c r="G15779" s="4" t="str">
        <f>HYPERLINK("http://141.218.60.56/~jnz1568/getInfo.php?workbook=10_05.xlsx&amp;sheet=U0&amp;row=15779&amp;col=7&amp;number=0.0425&amp;sourceID=14","0.0425")</f>
        <v>0.0425</v>
      </c>
    </row>
    <row r="15780" spans="1:7">
      <c r="A15780" s="3"/>
      <c r="B15780" s="3"/>
      <c r="C15780" s="3"/>
      <c r="D15780" s="3"/>
      <c r="E15780" s="3">
        <v>17</v>
      </c>
      <c r="F15780" s="4" t="str">
        <f>HYPERLINK("http://141.218.60.56/~jnz1568/getInfo.php?workbook=10_05.xlsx&amp;sheet=U0&amp;row=15780&amp;col=6&amp;number=4.6&amp;sourceID=14","4.6")</f>
        <v>4.6</v>
      </c>
      <c r="G15780" s="4" t="str">
        <f>HYPERLINK("http://141.218.60.56/~jnz1568/getInfo.php?workbook=10_05.xlsx&amp;sheet=U0&amp;row=15780&amp;col=7&amp;number=0.0398&amp;sourceID=14","0.0398")</f>
        <v>0.0398</v>
      </c>
    </row>
    <row r="15781" spans="1:7">
      <c r="A15781" s="3"/>
      <c r="B15781" s="3"/>
      <c r="C15781" s="3"/>
      <c r="D15781" s="3"/>
      <c r="E15781" s="3">
        <v>18</v>
      </c>
      <c r="F15781" s="4" t="str">
        <f>HYPERLINK("http://141.218.60.56/~jnz1568/getInfo.php?workbook=10_05.xlsx&amp;sheet=U0&amp;row=15781&amp;col=6&amp;number=4.7&amp;sourceID=14","4.7")</f>
        <v>4.7</v>
      </c>
      <c r="G15781" s="4" t="str">
        <f>HYPERLINK("http://141.218.60.56/~jnz1568/getInfo.php?workbook=10_05.xlsx&amp;sheet=U0&amp;row=15781&amp;col=7&amp;number=0.0368&amp;sourceID=14","0.0368")</f>
        <v>0.0368</v>
      </c>
    </row>
    <row r="15782" spans="1:7">
      <c r="A15782" s="3"/>
      <c r="B15782" s="3"/>
      <c r="C15782" s="3"/>
      <c r="D15782" s="3"/>
      <c r="E15782" s="3">
        <v>19</v>
      </c>
      <c r="F15782" s="4" t="str">
        <f>HYPERLINK("http://141.218.60.56/~jnz1568/getInfo.php?workbook=10_05.xlsx&amp;sheet=U0&amp;row=15782&amp;col=6&amp;number=4.8&amp;sourceID=14","4.8")</f>
        <v>4.8</v>
      </c>
      <c r="G15782" s="4" t="str">
        <f>HYPERLINK("http://141.218.60.56/~jnz1568/getInfo.php?workbook=10_05.xlsx&amp;sheet=U0&amp;row=15782&amp;col=7&amp;number=0.0336&amp;sourceID=14","0.0336")</f>
        <v>0.0336</v>
      </c>
    </row>
    <row r="15783" spans="1:7">
      <c r="A15783" s="3"/>
      <c r="B15783" s="3"/>
      <c r="C15783" s="3"/>
      <c r="D15783" s="3"/>
      <c r="E15783" s="3">
        <v>20</v>
      </c>
      <c r="F15783" s="4" t="str">
        <f>HYPERLINK("http://141.218.60.56/~jnz1568/getInfo.php?workbook=10_05.xlsx&amp;sheet=U0&amp;row=15783&amp;col=6&amp;number=4.9&amp;sourceID=14","4.9")</f>
        <v>4.9</v>
      </c>
      <c r="G15783" s="4" t="str">
        <f>HYPERLINK("http://141.218.60.56/~jnz1568/getInfo.php?workbook=10_05.xlsx&amp;sheet=U0&amp;row=15783&amp;col=7&amp;number=0.0303&amp;sourceID=14","0.0303")</f>
        <v>0.0303</v>
      </c>
    </row>
    <row r="15784" spans="1:7">
      <c r="A15784" s="3">
        <v>10</v>
      </c>
      <c r="B15784" s="3">
        <v>5</v>
      </c>
      <c r="C15784" s="3">
        <v>5</v>
      </c>
      <c r="D15784" s="3">
        <v>85</v>
      </c>
      <c r="E15784" s="3">
        <v>1</v>
      </c>
      <c r="F15784" s="4" t="str">
        <f>HYPERLINK("http://141.218.60.56/~jnz1568/getInfo.php?workbook=10_05.xlsx&amp;sheet=U0&amp;row=15784&amp;col=6&amp;number=3&amp;sourceID=14","3")</f>
        <v>3</v>
      </c>
      <c r="G15784" s="4" t="str">
        <f>HYPERLINK("http://141.218.60.56/~jnz1568/getInfo.php?workbook=10_05.xlsx&amp;sheet=U0&amp;row=15784&amp;col=7&amp;number=0.129&amp;sourceID=14","0.129")</f>
        <v>0.129</v>
      </c>
    </row>
    <row r="15785" spans="1:7">
      <c r="A15785" s="3"/>
      <c r="B15785" s="3"/>
      <c r="C15785" s="3"/>
      <c r="D15785" s="3"/>
      <c r="E15785" s="3">
        <v>2</v>
      </c>
      <c r="F15785" s="4" t="str">
        <f>HYPERLINK("http://141.218.60.56/~jnz1568/getInfo.php?workbook=10_05.xlsx&amp;sheet=U0&amp;row=15785&amp;col=6&amp;number=3.1&amp;sourceID=14","3.1")</f>
        <v>3.1</v>
      </c>
      <c r="G15785" s="4" t="str">
        <f>HYPERLINK("http://141.218.60.56/~jnz1568/getInfo.php?workbook=10_05.xlsx&amp;sheet=U0&amp;row=15785&amp;col=7&amp;number=0.129&amp;sourceID=14","0.129")</f>
        <v>0.129</v>
      </c>
    </row>
    <row r="15786" spans="1:7">
      <c r="A15786" s="3"/>
      <c r="B15786" s="3"/>
      <c r="C15786" s="3"/>
      <c r="D15786" s="3"/>
      <c r="E15786" s="3">
        <v>3</v>
      </c>
      <c r="F15786" s="4" t="str">
        <f>HYPERLINK("http://141.218.60.56/~jnz1568/getInfo.php?workbook=10_05.xlsx&amp;sheet=U0&amp;row=15786&amp;col=6&amp;number=3.2&amp;sourceID=14","3.2")</f>
        <v>3.2</v>
      </c>
      <c r="G15786" s="4" t="str">
        <f>HYPERLINK("http://141.218.60.56/~jnz1568/getInfo.php?workbook=10_05.xlsx&amp;sheet=U0&amp;row=15786&amp;col=7&amp;number=0.128&amp;sourceID=14","0.128")</f>
        <v>0.128</v>
      </c>
    </row>
    <row r="15787" spans="1:7">
      <c r="A15787" s="3"/>
      <c r="B15787" s="3"/>
      <c r="C15787" s="3"/>
      <c r="D15787" s="3"/>
      <c r="E15787" s="3">
        <v>4</v>
      </c>
      <c r="F15787" s="4" t="str">
        <f>HYPERLINK("http://141.218.60.56/~jnz1568/getInfo.php?workbook=10_05.xlsx&amp;sheet=U0&amp;row=15787&amp;col=6&amp;number=3.3&amp;sourceID=14","3.3")</f>
        <v>3.3</v>
      </c>
      <c r="G15787" s="4" t="str">
        <f>HYPERLINK("http://141.218.60.56/~jnz1568/getInfo.php?workbook=10_05.xlsx&amp;sheet=U0&amp;row=15787&amp;col=7&amp;number=0.128&amp;sourceID=14","0.128")</f>
        <v>0.128</v>
      </c>
    </row>
    <row r="15788" spans="1:7">
      <c r="A15788" s="3"/>
      <c r="B15788" s="3"/>
      <c r="C15788" s="3"/>
      <c r="D15788" s="3"/>
      <c r="E15788" s="3">
        <v>5</v>
      </c>
      <c r="F15788" s="4" t="str">
        <f>HYPERLINK("http://141.218.60.56/~jnz1568/getInfo.php?workbook=10_05.xlsx&amp;sheet=U0&amp;row=15788&amp;col=6&amp;number=3.4&amp;sourceID=14","3.4")</f>
        <v>3.4</v>
      </c>
      <c r="G15788" s="4" t="str">
        <f>HYPERLINK("http://141.218.60.56/~jnz1568/getInfo.php?workbook=10_05.xlsx&amp;sheet=U0&amp;row=15788&amp;col=7&amp;number=0.128&amp;sourceID=14","0.128")</f>
        <v>0.128</v>
      </c>
    </row>
    <row r="15789" spans="1:7">
      <c r="A15789" s="3"/>
      <c r="B15789" s="3"/>
      <c r="C15789" s="3"/>
      <c r="D15789" s="3"/>
      <c r="E15789" s="3">
        <v>6</v>
      </c>
      <c r="F15789" s="4" t="str">
        <f>HYPERLINK("http://141.218.60.56/~jnz1568/getInfo.php?workbook=10_05.xlsx&amp;sheet=U0&amp;row=15789&amp;col=6&amp;number=3.5&amp;sourceID=14","3.5")</f>
        <v>3.5</v>
      </c>
      <c r="G15789" s="4" t="str">
        <f>HYPERLINK("http://141.218.60.56/~jnz1568/getInfo.php?workbook=10_05.xlsx&amp;sheet=U0&amp;row=15789&amp;col=7&amp;number=0.127&amp;sourceID=14","0.127")</f>
        <v>0.127</v>
      </c>
    </row>
    <row r="15790" spans="1:7">
      <c r="A15790" s="3"/>
      <c r="B15790" s="3"/>
      <c r="C15790" s="3"/>
      <c r="D15790" s="3"/>
      <c r="E15790" s="3">
        <v>7</v>
      </c>
      <c r="F15790" s="4" t="str">
        <f>HYPERLINK("http://141.218.60.56/~jnz1568/getInfo.php?workbook=10_05.xlsx&amp;sheet=U0&amp;row=15790&amp;col=6&amp;number=3.6&amp;sourceID=14","3.6")</f>
        <v>3.6</v>
      </c>
      <c r="G15790" s="4" t="str">
        <f>HYPERLINK("http://141.218.60.56/~jnz1568/getInfo.php?workbook=10_05.xlsx&amp;sheet=U0&amp;row=15790&amp;col=7&amp;number=0.126&amp;sourceID=14","0.126")</f>
        <v>0.126</v>
      </c>
    </row>
    <row r="15791" spans="1:7">
      <c r="A15791" s="3"/>
      <c r="B15791" s="3"/>
      <c r="C15791" s="3"/>
      <c r="D15791" s="3"/>
      <c r="E15791" s="3">
        <v>8</v>
      </c>
      <c r="F15791" s="4" t="str">
        <f>HYPERLINK("http://141.218.60.56/~jnz1568/getInfo.php?workbook=10_05.xlsx&amp;sheet=U0&amp;row=15791&amp;col=6&amp;number=3.7&amp;sourceID=14","3.7")</f>
        <v>3.7</v>
      </c>
      <c r="G15791" s="4" t="str">
        <f>HYPERLINK("http://141.218.60.56/~jnz1568/getInfo.php?workbook=10_05.xlsx&amp;sheet=U0&amp;row=15791&amp;col=7&amp;number=0.125&amp;sourceID=14","0.125")</f>
        <v>0.125</v>
      </c>
    </row>
    <row r="15792" spans="1:7">
      <c r="A15792" s="3"/>
      <c r="B15792" s="3"/>
      <c r="C15792" s="3"/>
      <c r="D15792" s="3"/>
      <c r="E15792" s="3">
        <v>9</v>
      </c>
      <c r="F15792" s="4" t="str">
        <f>HYPERLINK("http://141.218.60.56/~jnz1568/getInfo.php?workbook=10_05.xlsx&amp;sheet=U0&amp;row=15792&amp;col=6&amp;number=3.8&amp;sourceID=14","3.8")</f>
        <v>3.8</v>
      </c>
      <c r="G15792" s="4" t="str">
        <f>HYPERLINK("http://141.218.60.56/~jnz1568/getInfo.php?workbook=10_05.xlsx&amp;sheet=U0&amp;row=15792&amp;col=7&amp;number=0.124&amp;sourceID=14","0.124")</f>
        <v>0.124</v>
      </c>
    </row>
    <row r="15793" spans="1:7">
      <c r="A15793" s="3"/>
      <c r="B15793" s="3"/>
      <c r="C15793" s="3"/>
      <c r="D15793" s="3"/>
      <c r="E15793" s="3">
        <v>10</v>
      </c>
      <c r="F15793" s="4" t="str">
        <f>HYPERLINK("http://141.218.60.56/~jnz1568/getInfo.php?workbook=10_05.xlsx&amp;sheet=U0&amp;row=15793&amp;col=6&amp;number=3.9&amp;sourceID=14","3.9")</f>
        <v>3.9</v>
      </c>
      <c r="G15793" s="4" t="str">
        <f>HYPERLINK("http://141.218.60.56/~jnz1568/getInfo.php?workbook=10_05.xlsx&amp;sheet=U0&amp;row=15793&amp;col=7&amp;number=0.123&amp;sourceID=14","0.123")</f>
        <v>0.123</v>
      </c>
    </row>
    <row r="15794" spans="1:7">
      <c r="A15794" s="3"/>
      <c r="B15794" s="3"/>
      <c r="C15794" s="3"/>
      <c r="D15794" s="3"/>
      <c r="E15794" s="3">
        <v>11</v>
      </c>
      <c r="F15794" s="4" t="str">
        <f>HYPERLINK("http://141.218.60.56/~jnz1568/getInfo.php?workbook=10_05.xlsx&amp;sheet=U0&amp;row=15794&amp;col=6&amp;number=4&amp;sourceID=14","4")</f>
        <v>4</v>
      </c>
      <c r="G15794" s="4" t="str">
        <f>HYPERLINK("http://141.218.60.56/~jnz1568/getInfo.php?workbook=10_05.xlsx&amp;sheet=U0&amp;row=15794&amp;col=7&amp;number=0.121&amp;sourceID=14","0.121")</f>
        <v>0.121</v>
      </c>
    </row>
    <row r="15795" spans="1:7">
      <c r="A15795" s="3"/>
      <c r="B15795" s="3"/>
      <c r="C15795" s="3"/>
      <c r="D15795" s="3"/>
      <c r="E15795" s="3">
        <v>12</v>
      </c>
      <c r="F15795" s="4" t="str">
        <f>HYPERLINK("http://141.218.60.56/~jnz1568/getInfo.php?workbook=10_05.xlsx&amp;sheet=U0&amp;row=15795&amp;col=6&amp;number=4.1&amp;sourceID=14","4.1")</f>
        <v>4.1</v>
      </c>
      <c r="G15795" s="4" t="str">
        <f>HYPERLINK("http://141.218.60.56/~jnz1568/getInfo.php?workbook=10_05.xlsx&amp;sheet=U0&amp;row=15795&amp;col=7&amp;number=0.119&amp;sourceID=14","0.119")</f>
        <v>0.119</v>
      </c>
    </row>
    <row r="15796" spans="1:7">
      <c r="A15796" s="3"/>
      <c r="B15796" s="3"/>
      <c r="C15796" s="3"/>
      <c r="D15796" s="3"/>
      <c r="E15796" s="3">
        <v>13</v>
      </c>
      <c r="F15796" s="4" t="str">
        <f>HYPERLINK("http://141.218.60.56/~jnz1568/getInfo.php?workbook=10_05.xlsx&amp;sheet=U0&amp;row=15796&amp;col=6&amp;number=4.2&amp;sourceID=14","4.2")</f>
        <v>4.2</v>
      </c>
      <c r="G15796" s="4" t="str">
        <f>HYPERLINK("http://141.218.60.56/~jnz1568/getInfo.php?workbook=10_05.xlsx&amp;sheet=U0&amp;row=15796&amp;col=7&amp;number=0.117&amp;sourceID=14","0.117")</f>
        <v>0.117</v>
      </c>
    </row>
    <row r="15797" spans="1:7">
      <c r="A15797" s="3"/>
      <c r="B15797" s="3"/>
      <c r="C15797" s="3"/>
      <c r="D15797" s="3"/>
      <c r="E15797" s="3">
        <v>14</v>
      </c>
      <c r="F15797" s="4" t="str">
        <f>HYPERLINK("http://141.218.60.56/~jnz1568/getInfo.php?workbook=10_05.xlsx&amp;sheet=U0&amp;row=15797&amp;col=6&amp;number=4.3&amp;sourceID=14","4.3")</f>
        <v>4.3</v>
      </c>
      <c r="G15797" s="4" t="str">
        <f>HYPERLINK("http://141.218.60.56/~jnz1568/getInfo.php?workbook=10_05.xlsx&amp;sheet=U0&amp;row=15797&amp;col=7&amp;number=0.114&amp;sourceID=14","0.114")</f>
        <v>0.114</v>
      </c>
    </row>
    <row r="15798" spans="1:7">
      <c r="A15798" s="3"/>
      <c r="B15798" s="3"/>
      <c r="C15798" s="3"/>
      <c r="D15798" s="3"/>
      <c r="E15798" s="3">
        <v>15</v>
      </c>
      <c r="F15798" s="4" t="str">
        <f>HYPERLINK("http://141.218.60.56/~jnz1568/getInfo.php?workbook=10_05.xlsx&amp;sheet=U0&amp;row=15798&amp;col=6&amp;number=4.4&amp;sourceID=14","4.4")</f>
        <v>4.4</v>
      </c>
      <c r="G15798" s="4" t="str">
        <f>HYPERLINK("http://141.218.60.56/~jnz1568/getInfo.php?workbook=10_05.xlsx&amp;sheet=U0&amp;row=15798&amp;col=7&amp;number=0.11&amp;sourceID=14","0.11")</f>
        <v>0.11</v>
      </c>
    </row>
    <row r="15799" spans="1:7">
      <c r="A15799" s="3"/>
      <c r="B15799" s="3"/>
      <c r="C15799" s="3"/>
      <c r="D15799" s="3"/>
      <c r="E15799" s="3">
        <v>16</v>
      </c>
      <c r="F15799" s="4" t="str">
        <f>HYPERLINK("http://141.218.60.56/~jnz1568/getInfo.php?workbook=10_05.xlsx&amp;sheet=U0&amp;row=15799&amp;col=6&amp;number=4.5&amp;sourceID=14","4.5")</f>
        <v>4.5</v>
      </c>
      <c r="G15799" s="4" t="str">
        <f>HYPERLINK("http://141.218.60.56/~jnz1568/getInfo.php?workbook=10_05.xlsx&amp;sheet=U0&amp;row=15799&amp;col=7&amp;number=0.106&amp;sourceID=14","0.106")</f>
        <v>0.106</v>
      </c>
    </row>
    <row r="15800" spans="1:7">
      <c r="A15800" s="3"/>
      <c r="B15800" s="3"/>
      <c r="C15800" s="3"/>
      <c r="D15800" s="3"/>
      <c r="E15800" s="3">
        <v>17</v>
      </c>
      <c r="F15800" s="4" t="str">
        <f>HYPERLINK("http://141.218.60.56/~jnz1568/getInfo.php?workbook=10_05.xlsx&amp;sheet=U0&amp;row=15800&amp;col=6&amp;number=4.6&amp;sourceID=14","4.6")</f>
        <v>4.6</v>
      </c>
      <c r="G15800" s="4" t="str">
        <f>HYPERLINK("http://141.218.60.56/~jnz1568/getInfo.php?workbook=10_05.xlsx&amp;sheet=U0&amp;row=15800&amp;col=7&amp;number=0.101&amp;sourceID=14","0.101")</f>
        <v>0.101</v>
      </c>
    </row>
    <row r="15801" spans="1:7">
      <c r="A15801" s="3"/>
      <c r="B15801" s="3"/>
      <c r="C15801" s="3"/>
      <c r="D15801" s="3"/>
      <c r="E15801" s="3">
        <v>18</v>
      </c>
      <c r="F15801" s="4" t="str">
        <f>HYPERLINK("http://141.218.60.56/~jnz1568/getInfo.php?workbook=10_05.xlsx&amp;sheet=U0&amp;row=15801&amp;col=6&amp;number=4.7&amp;sourceID=14","4.7")</f>
        <v>4.7</v>
      </c>
      <c r="G15801" s="4" t="str">
        <f>HYPERLINK("http://141.218.60.56/~jnz1568/getInfo.php?workbook=10_05.xlsx&amp;sheet=U0&amp;row=15801&amp;col=7&amp;number=0.0947&amp;sourceID=14","0.0947")</f>
        <v>0.0947</v>
      </c>
    </row>
    <row r="15802" spans="1:7">
      <c r="A15802" s="3"/>
      <c r="B15802" s="3"/>
      <c r="C15802" s="3"/>
      <c r="D15802" s="3"/>
      <c r="E15802" s="3">
        <v>19</v>
      </c>
      <c r="F15802" s="4" t="str">
        <f>HYPERLINK("http://141.218.60.56/~jnz1568/getInfo.php?workbook=10_05.xlsx&amp;sheet=U0&amp;row=15802&amp;col=6&amp;number=4.8&amp;sourceID=14","4.8")</f>
        <v>4.8</v>
      </c>
      <c r="G15802" s="4" t="str">
        <f>HYPERLINK("http://141.218.60.56/~jnz1568/getInfo.php?workbook=10_05.xlsx&amp;sheet=U0&amp;row=15802&amp;col=7&amp;number=0.0879&amp;sourceID=14","0.0879")</f>
        <v>0.0879</v>
      </c>
    </row>
    <row r="15803" spans="1:7">
      <c r="A15803" s="3"/>
      <c r="B15803" s="3"/>
      <c r="C15803" s="3"/>
      <c r="D15803" s="3"/>
      <c r="E15803" s="3">
        <v>20</v>
      </c>
      <c r="F15803" s="4" t="str">
        <f>HYPERLINK("http://141.218.60.56/~jnz1568/getInfo.php?workbook=10_05.xlsx&amp;sheet=U0&amp;row=15803&amp;col=6&amp;number=4.9&amp;sourceID=14","4.9")</f>
        <v>4.9</v>
      </c>
      <c r="G15803" s="4" t="str">
        <f>HYPERLINK("http://141.218.60.56/~jnz1568/getInfo.php?workbook=10_05.xlsx&amp;sheet=U0&amp;row=15803&amp;col=7&amp;number=0.0808&amp;sourceID=14","0.0808")</f>
        <v>0.0808</v>
      </c>
    </row>
    <row r="15804" spans="1:7">
      <c r="A15804" s="3">
        <v>10</v>
      </c>
      <c r="B15804" s="3">
        <v>5</v>
      </c>
      <c r="C15804" s="3">
        <v>5</v>
      </c>
      <c r="D15804" s="3">
        <v>86</v>
      </c>
      <c r="E15804" s="3">
        <v>1</v>
      </c>
      <c r="F15804" s="4" t="str">
        <f>HYPERLINK("http://141.218.60.56/~jnz1568/getInfo.php?workbook=10_05.xlsx&amp;sheet=U0&amp;row=15804&amp;col=6&amp;number=3&amp;sourceID=14","3")</f>
        <v>3</v>
      </c>
      <c r="G15804" s="4" t="str">
        <f>HYPERLINK("http://141.218.60.56/~jnz1568/getInfo.php?workbook=10_05.xlsx&amp;sheet=U0&amp;row=15804&amp;col=7&amp;number=0.00436&amp;sourceID=14","0.00436")</f>
        <v>0.00436</v>
      </c>
    </row>
    <row r="15805" spans="1:7">
      <c r="A15805" s="3"/>
      <c r="B15805" s="3"/>
      <c r="C15805" s="3"/>
      <c r="D15805" s="3"/>
      <c r="E15805" s="3">
        <v>2</v>
      </c>
      <c r="F15805" s="4" t="str">
        <f>HYPERLINK("http://141.218.60.56/~jnz1568/getInfo.php?workbook=10_05.xlsx&amp;sheet=U0&amp;row=15805&amp;col=6&amp;number=3.1&amp;sourceID=14","3.1")</f>
        <v>3.1</v>
      </c>
      <c r="G15805" s="4" t="str">
        <f>HYPERLINK("http://141.218.60.56/~jnz1568/getInfo.php?workbook=10_05.xlsx&amp;sheet=U0&amp;row=15805&amp;col=7&amp;number=0.00438&amp;sourceID=14","0.00438")</f>
        <v>0.00438</v>
      </c>
    </row>
    <row r="15806" spans="1:7">
      <c r="A15806" s="3"/>
      <c r="B15806" s="3"/>
      <c r="C15806" s="3"/>
      <c r="D15806" s="3"/>
      <c r="E15806" s="3">
        <v>3</v>
      </c>
      <c r="F15806" s="4" t="str">
        <f>HYPERLINK("http://141.218.60.56/~jnz1568/getInfo.php?workbook=10_05.xlsx&amp;sheet=U0&amp;row=15806&amp;col=6&amp;number=3.2&amp;sourceID=14","3.2")</f>
        <v>3.2</v>
      </c>
      <c r="G15806" s="4" t="str">
        <f>HYPERLINK("http://141.218.60.56/~jnz1568/getInfo.php?workbook=10_05.xlsx&amp;sheet=U0&amp;row=15806&amp;col=7&amp;number=0.0044&amp;sourceID=14","0.0044")</f>
        <v>0.0044</v>
      </c>
    </row>
    <row r="15807" spans="1:7">
      <c r="A15807" s="3"/>
      <c r="B15807" s="3"/>
      <c r="C15807" s="3"/>
      <c r="D15807" s="3"/>
      <c r="E15807" s="3">
        <v>4</v>
      </c>
      <c r="F15807" s="4" t="str">
        <f>HYPERLINK("http://141.218.60.56/~jnz1568/getInfo.php?workbook=10_05.xlsx&amp;sheet=U0&amp;row=15807&amp;col=6&amp;number=3.3&amp;sourceID=14","3.3")</f>
        <v>3.3</v>
      </c>
      <c r="G15807" s="4" t="str">
        <f>HYPERLINK("http://141.218.60.56/~jnz1568/getInfo.php?workbook=10_05.xlsx&amp;sheet=U0&amp;row=15807&amp;col=7&amp;number=0.00443&amp;sourceID=14","0.00443")</f>
        <v>0.00443</v>
      </c>
    </row>
    <row r="15808" spans="1:7">
      <c r="A15808" s="3"/>
      <c r="B15808" s="3"/>
      <c r="C15808" s="3"/>
      <c r="D15808" s="3"/>
      <c r="E15808" s="3">
        <v>5</v>
      </c>
      <c r="F15808" s="4" t="str">
        <f>HYPERLINK("http://141.218.60.56/~jnz1568/getInfo.php?workbook=10_05.xlsx&amp;sheet=U0&amp;row=15808&amp;col=6&amp;number=3.4&amp;sourceID=14","3.4")</f>
        <v>3.4</v>
      </c>
      <c r="G15808" s="4" t="str">
        <f>HYPERLINK("http://141.218.60.56/~jnz1568/getInfo.php?workbook=10_05.xlsx&amp;sheet=U0&amp;row=15808&amp;col=7&amp;number=0.00447&amp;sourceID=14","0.00447")</f>
        <v>0.00447</v>
      </c>
    </row>
    <row r="15809" spans="1:7">
      <c r="A15809" s="3"/>
      <c r="B15809" s="3"/>
      <c r="C15809" s="3"/>
      <c r="D15809" s="3"/>
      <c r="E15809" s="3">
        <v>6</v>
      </c>
      <c r="F15809" s="4" t="str">
        <f>HYPERLINK("http://141.218.60.56/~jnz1568/getInfo.php?workbook=10_05.xlsx&amp;sheet=U0&amp;row=15809&amp;col=6&amp;number=3.5&amp;sourceID=14","3.5")</f>
        <v>3.5</v>
      </c>
      <c r="G15809" s="4" t="str">
        <f>HYPERLINK("http://141.218.60.56/~jnz1568/getInfo.php?workbook=10_05.xlsx&amp;sheet=U0&amp;row=15809&amp;col=7&amp;number=0.00451&amp;sourceID=14","0.00451")</f>
        <v>0.00451</v>
      </c>
    </row>
    <row r="15810" spans="1:7">
      <c r="A15810" s="3"/>
      <c r="B15810" s="3"/>
      <c r="C15810" s="3"/>
      <c r="D15810" s="3"/>
      <c r="E15810" s="3">
        <v>7</v>
      </c>
      <c r="F15810" s="4" t="str">
        <f>HYPERLINK("http://141.218.60.56/~jnz1568/getInfo.php?workbook=10_05.xlsx&amp;sheet=U0&amp;row=15810&amp;col=6&amp;number=3.6&amp;sourceID=14","3.6")</f>
        <v>3.6</v>
      </c>
      <c r="G15810" s="4" t="str">
        <f>HYPERLINK("http://141.218.60.56/~jnz1568/getInfo.php?workbook=10_05.xlsx&amp;sheet=U0&amp;row=15810&amp;col=7&amp;number=0.00456&amp;sourceID=14","0.00456")</f>
        <v>0.00456</v>
      </c>
    </row>
    <row r="15811" spans="1:7">
      <c r="A15811" s="3"/>
      <c r="B15811" s="3"/>
      <c r="C15811" s="3"/>
      <c r="D15811" s="3"/>
      <c r="E15811" s="3">
        <v>8</v>
      </c>
      <c r="F15811" s="4" t="str">
        <f>HYPERLINK("http://141.218.60.56/~jnz1568/getInfo.php?workbook=10_05.xlsx&amp;sheet=U0&amp;row=15811&amp;col=6&amp;number=3.7&amp;sourceID=14","3.7")</f>
        <v>3.7</v>
      </c>
      <c r="G15811" s="4" t="str">
        <f>HYPERLINK("http://141.218.60.56/~jnz1568/getInfo.php?workbook=10_05.xlsx&amp;sheet=U0&amp;row=15811&amp;col=7&amp;number=0.00462&amp;sourceID=14","0.00462")</f>
        <v>0.00462</v>
      </c>
    </row>
    <row r="15812" spans="1:7">
      <c r="A15812" s="3"/>
      <c r="B15812" s="3"/>
      <c r="C15812" s="3"/>
      <c r="D15812" s="3"/>
      <c r="E15812" s="3">
        <v>9</v>
      </c>
      <c r="F15812" s="4" t="str">
        <f>HYPERLINK("http://141.218.60.56/~jnz1568/getInfo.php?workbook=10_05.xlsx&amp;sheet=U0&amp;row=15812&amp;col=6&amp;number=3.8&amp;sourceID=14","3.8")</f>
        <v>3.8</v>
      </c>
      <c r="G15812" s="4" t="str">
        <f>HYPERLINK("http://141.218.60.56/~jnz1568/getInfo.php?workbook=10_05.xlsx&amp;sheet=U0&amp;row=15812&amp;col=7&amp;number=0.00468&amp;sourceID=14","0.00468")</f>
        <v>0.00468</v>
      </c>
    </row>
    <row r="15813" spans="1:7">
      <c r="A15813" s="3"/>
      <c r="B15813" s="3"/>
      <c r="C15813" s="3"/>
      <c r="D15813" s="3"/>
      <c r="E15813" s="3">
        <v>10</v>
      </c>
      <c r="F15813" s="4" t="str">
        <f>HYPERLINK("http://141.218.60.56/~jnz1568/getInfo.php?workbook=10_05.xlsx&amp;sheet=U0&amp;row=15813&amp;col=6&amp;number=3.9&amp;sourceID=14","3.9")</f>
        <v>3.9</v>
      </c>
      <c r="G15813" s="4" t="str">
        <f>HYPERLINK("http://141.218.60.56/~jnz1568/getInfo.php?workbook=10_05.xlsx&amp;sheet=U0&amp;row=15813&amp;col=7&amp;number=0.00474&amp;sourceID=14","0.00474")</f>
        <v>0.00474</v>
      </c>
    </row>
    <row r="15814" spans="1:7">
      <c r="A15814" s="3"/>
      <c r="B15814" s="3"/>
      <c r="C15814" s="3"/>
      <c r="D15814" s="3"/>
      <c r="E15814" s="3">
        <v>11</v>
      </c>
      <c r="F15814" s="4" t="str">
        <f>HYPERLINK("http://141.218.60.56/~jnz1568/getInfo.php?workbook=10_05.xlsx&amp;sheet=U0&amp;row=15814&amp;col=6&amp;number=4&amp;sourceID=14","4")</f>
        <v>4</v>
      </c>
      <c r="G15814" s="4" t="str">
        <f>HYPERLINK("http://141.218.60.56/~jnz1568/getInfo.php?workbook=10_05.xlsx&amp;sheet=U0&amp;row=15814&amp;col=7&amp;number=0.00478&amp;sourceID=14","0.00478")</f>
        <v>0.00478</v>
      </c>
    </row>
    <row r="15815" spans="1:7">
      <c r="A15815" s="3"/>
      <c r="B15815" s="3"/>
      <c r="C15815" s="3"/>
      <c r="D15815" s="3"/>
      <c r="E15815" s="3">
        <v>12</v>
      </c>
      <c r="F15815" s="4" t="str">
        <f>HYPERLINK("http://141.218.60.56/~jnz1568/getInfo.php?workbook=10_05.xlsx&amp;sheet=U0&amp;row=15815&amp;col=6&amp;number=4.1&amp;sourceID=14","4.1")</f>
        <v>4.1</v>
      </c>
      <c r="G15815" s="4" t="str">
        <f>HYPERLINK("http://141.218.60.56/~jnz1568/getInfo.php?workbook=10_05.xlsx&amp;sheet=U0&amp;row=15815&amp;col=7&amp;number=0.00476&amp;sourceID=14","0.00476")</f>
        <v>0.00476</v>
      </c>
    </row>
    <row r="15816" spans="1:7">
      <c r="A15816" s="3"/>
      <c r="B15816" s="3"/>
      <c r="C15816" s="3"/>
      <c r="D15816" s="3"/>
      <c r="E15816" s="3">
        <v>13</v>
      </c>
      <c r="F15816" s="4" t="str">
        <f>HYPERLINK("http://141.218.60.56/~jnz1568/getInfo.php?workbook=10_05.xlsx&amp;sheet=U0&amp;row=15816&amp;col=6&amp;number=4.2&amp;sourceID=14","4.2")</f>
        <v>4.2</v>
      </c>
      <c r="G15816" s="4" t="str">
        <f>HYPERLINK("http://141.218.60.56/~jnz1568/getInfo.php?workbook=10_05.xlsx&amp;sheet=U0&amp;row=15816&amp;col=7&amp;number=0.00466&amp;sourceID=14","0.00466")</f>
        <v>0.00466</v>
      </c>
    </row>
    <row r="15817" spans="1:7">
      <c r="A15817" s="3"/>
      <c r="B15817" s="3"/>
      <c r="C15817" s="3"/>
      <c r="D15817" s="3"/>
      <c r="E15817" s="3">
        <v>14</v>
      </c>
      <c r="F15817" s="4" t="str">
        <f>HYPERLINK("http://141.218.60.56/~jnz1568/getInfo.php?workbook=10_05.xlsx&amp;sheet=U0&amp;row=15817&amp;col=6&amp;number=4.3&amp;sourceID=14","4.3")</f>
        <v>4.3</v>
      </c>
      <c r="G15817" s="4" t="str">
        <f>HYPERLINK("http://141.218.60.56/~jnz1568/getInfo.php?workbook=10_05.xlsx&amp;sheet=U0&amp;row=15817&amp;col=7&amp;number=0.00447&amp;sourceID=14","0.00447")</f>
        <v>0.00447</v>
      </c>
    </row>
    <row r="15818" spans="1:7">
      <c r="A15818" s="3"/>
      <c r="B15818" s="3"/>
      <c r="C15818" s="3"/>
      <c r="D15818" s="3"/>
      <c r="E15818" s="3">
        <v>15</v>
      </c>
      <c r="F15818" s="4" t="str">
        <f>HYPERLINK("http://141.218.60.56/~jnz1568/getInfo.php?workbook=10_05.xlsx&amp;sheet=U0&amp;row=15818&amp;col=6&amp;number=4.4&amp;sourceID=14","4.4")</f>
        <v>4.4</v>
      </c>
      <c r="G15818" s="4" t="str">
        <f>HYPERLINK("http://141.218.60.56/~jnz1568/getInfo.php?workbook=10_05.xlsx&amp;sheet=U0&amp;row=15818&amp;col=7&amp;number=0.00419&amp;sourceID=14","0.00419")</f>
        <v>0.00419</v>
      </c>
    </row>
    <row r="15819" spans="1:7">
      <c r="A15819" s="3"/>
      <c r="B15819" s="3"/>
      <c r="C15819" s="3"/>
      <c r="D15819" s="3"/>
      <c r="E15819" s="3">
        <v>16</v>
      </c>
      <c r="F15819" s="4" t="str">
        <f>HYPERLINK("http://141.218.60.56/~jnz1568/getInfo.php?workbook=10_05.xlsx&amp;sheet=U0&amp;row=15819&amp;col=6&amp;number=4.5&amp;sourceID=14","4.5")</f>
        <v>4.5</v>
      </c>
      <c r="G15819" s="4" t="str">
        <f>HYPERLINK("http://141.218.60.56/~jnz1568/getInfo.php?workbook=10_05.xlsx&amp;sheet=U0&amp;row=15819&amp;col=7&amp;number=0.00389&amp;sourceID=14","0.00389")</f>
        <v>0.00389</v>
      </c>
    </row>
    <row r="15820" spans="1:7">
      <c r="A15820" s="3"/>
      <c r="B15820" s="3"/>
      <c r="C15820" s="3"/>
      <c r="D15820" s="3"/>
      <c r="E15820" s="3">
        <v>17</v>
      </c>
      <c r="F15820" s="4" t="str">
        <f>HYPERLINK("http://141.218.60.56/~jnz1568/getInfo.php?workbook=10_05.xlsx&amp;sheet=U0&amp;row=15820&amp;col=6&amp;number=4.6&amp;sourceID=14","4.6")</f>
        <v>4.6</v>
      </c>
      <c r="G15820" s="4" t="str">
        <f>HYPERLINK("http://141.218.60.56/~jnz1568/getInfo.php?workbook=10_05.xlsx&amp;sheet=U0&amp;row=15820&amp;col=7&amp;number=0.0036&amp;sourceID=14","0.0036")</f>
        <v>0.0036</v>
      </c>
    </row>
    <row r="15821" spans="1:7">
      <c r="A15821" s="3"/>
      <c r="B15821" s="3"/>
      <c r="C15821" s="3"/>
      <c r="D15821" s="3"/>
      <c r="E15821" s="3">
        <v>18</v>
      </c>
      <c r="F15821" s="4" t="str">
        <f>HYPERLINK("http://141.218.60.56/~jnz1568/getInfo.php?workbook=10_05.xlsx&amp;sheet=U0&amp;row=15821&amp;col=6&amp;number=4.7&amp;sourceID=14","4.7")</f>
        <v>4.7</v>
      </c>
      <c r="G15821" s="4" t="str">
        <f>HYPERLINK("http://141.218.60.56/~jnz1568/getInfo.php?workbook=10_05.xlsx&amp;sheet=U0&amp;row=15821&amp;col=7&amp;number=0.0033&amp;sourceID=14","0.0033")</f>
        <v>0.0033</v>
      </c>
    </row>
    <row r="15822" spans="1:7">
      <c r="A15822" s="3"/>
      <c r="B15822" s="3"/>
      <c r="C15822" s="3"/>
      <c r="D15822" s="3"/>
      <c r="E15822" s="3">
        <v>19</v>
      </c>
      <c r="F15822" s="4" t="str">
        <f>HYPERLINK("http://141.218.60.56/~jnz1568/getInfo.php?workbook=10_05.xlsx&amp;sheet=U0&amp;row=15822&amp;col=6&amp;number=4.8&amp;sourceID=14","4.8")</f>
        <v>4.8</v>
      </c>
      <c r="G15822" s="4" t="str">
        <f>HYPERLINK("http://141.218.60.56/~jnz1568/getInfo.php?workbook=10_05.xlsx&amp;sheet=U0&amp;row=15822&amp;col=7&amp;number=0.00298&amp;sourceID=14","0.00298")</f>
        <v>0.00298</v>
      </c>
    </row>
    <row r="15823" spans="1:7">
      <c r="A15823" s="3"/>
      <c r="B15823" s="3"/>
      <c r="C15823" s="3"/>
      <c r="D15823" s="3"/>
      <c r="E15823" s="3">
        <v>20</v>
      </c>
      <c r="F15823" s="4" t="str">
        <f>HYPERLINK("http://141.218.60.56/~jnz1568/getInfo.php?workbook=10_05.xlsx&amp;sheet=U0&amp;row=15823&amp;col=6&amp;number=4.9&amp;sourceID=14","4.9")</f>
        <v>4.9</v>
      </c>
      <c r="G15823" s="4" t="str">
        <f>HYPERLINK("http://141.218.60.56/~jnz1568/getInfo.php?workbook=10_05.xlsx&amp;sheet=U0&amp;row=15823&amp;col=7&amp;number=0.00263&amp;sourceID=14","0.00263")</f>
        <v>0.00263</v>
      </c>
    </row>
    <row r="15824" spans="1:7">
      <c r="A15824" s="3">
        <v>10</v>
      </c>
      <c r="B15824" s="3">
        <v>5</v>
      </c>
      <c r="C15824" s="3">
        <v>5</v>
      </c>
      <c r="D15824" s="3">
        <v>87</v>
      </c>
      <c r="E15824" s="3">
        <v>1</v>
      </c>
      <c r="F15824" s="4" t="str">
        <f>HYPERLINK("http://141.218.60.56/~jnz1568/getInfo.php?workbook=10_05.xlsx&amp;sheet=U0&amp;row=15824&amp;col=6&amp;number=3&amp;sourceID=14","3")</f>
        <v>3</v>
      </c>
      <c r="G15824" s="4" t="str">
        <f>HYPERLINK("http://141.218.60.56/~jnz1568/getInfo.php?workbook=10_05.xlsx&amp;sheet=U0&amp;row=15824&amp;col=7&amp;number=0.00687&amp;sourceID=14","0.00687")</f>
        <v>0.00687</v>
      </c>
    </row>
    <row r="15825" spans="1:7">
      <c r="A15825" s="3"/>
      <c r="B15825" s="3"/>
      <c r="C15825" s="3"/>
      <c r="D15825" s="3"/>
      <c r="E15825" s="3">
        <v>2</v>
      </c>
      <c r="F15825" s="4" t="str">
        <f>HYPERLINK("http://141.218.60.56/~jnz1568/getInfo.php?workbook=10_05.xlsx&amp;sheet=U0&amp;row=15825&amp;col=6&amp;number=3.1&amp;sourceID=14","3.1")</f>
        <v>3.1</v>
      </c>
      <c r="G15825" s="4" t="str">
        <f>HYPERLINK("http://141.218.60.56/~jnz1568/getInfo.php?workbook=10_05.xlsx&amp;sheet=U0&amp;row=15825&amp;col=7&amp;number=0.00695&amp;sourceID=14","0.00695")</f>
        <v>0.00695</v>
      </c>
    </row>
    <row r="15826" spans="1:7">
      <c r="A15826" s="3"/>
      <c r="B15826" s="3"/>
      <c r="C15826" s="3"/>
      <c r="D15826" s="3"/>
      <c r="E15826" s="3">
        <v>3</v>
      </c>
      <c r="F15826" s="4" t="str">
        <f>HYPERLINK("http://141.218.60.56/~jnz1568/getInfo.php?workbook=10_05.xlsx&amp;sheet=U0&amp;row=15826&amp;col=6&amp;number=3.2&amp;sourceID=14","3.2")</f>
        <v>3.2</v>
      </c>
      <c r="G15826" s="4" t="str">
        <f>HYPERLINK("http://141.218.60.56/~jnz1568/getInfo.php?workbook=10_05.xlsx&amp;sheet=U0&amp;row=15826&amp;col=7&amp;number=0.00704&amp;sourceID=14","0.00704")</f>
        <v>0.00704</v>
      </c>
    </row>
    <row r="15827" spans="1:7">
      <c r="A15827" s="3"/>
      <c r="B15827" s="3"/>
      <c r="C15827" s="3"/>
      <c r="D15827" s="3"/>
      <c r="E15827" s="3">
        <v>4</v>
      </c>
      <c r="F15827" s="4" t="str">
        <f>HYPERLINK("http://141.218.60.56/~jnz1568/getInfo.php?workbook=10_05.xlsx&amp;sheet=U0&amp;row=15827&amp;col=6&amp;number=3.3&amp;sourceID=14","3.3")</f>
        <v>3.3</v>
      </c>
      <c r="G15827" s="4" t="str">
        <f>HYPERLINK("http://141.218.60.56/~jnz1568/getInfo.php?workbook=10_05.xlsx&amp;sheet=U0&amp;row=15827&amp;col=7&amp;number=0.00715&amp;sourceID=14","0.00715")</f>
        <v>0.00715</v>
      </c>
    </row>
    <row r="15828" spans="1:7">
      <c r="A15828" s="3"/>
      <c r="B15828" s="3"/>
      <c r="C15828" s="3"/>
      <c r="D15828" s="3"/>
      <c r="E15828" s="3">
        <v>5</v>
      </c>
      <c r="F15828" s="4" t="str">
        <f>HYPERLINK("http://141.218.60.56/~jnz1568/getInfo.php?workbook=10_05.xlsx&amp;sheet=U0&amp;row=15828&amp;col=6&amp;number=3.4&amp;sourceID=14","3.4")</f>
        <v>3.4</v>
      </c>
      <c r="G15828" s="4" t="str">
        <f>HYPERLINK("http://141.218.60.56/~jnz1568/getInfo.php?workbook=10_05.xlsx&amp;sheet=U0&amp;row=15828&amp;col=7&amp;number=0.00729&amp;sourceID=14","0.00729")</f>
        <v>0.00729</v>
      </c>
    </row>
    <row r="15829" spans="1:7">
      <c r="A15829" s="3"/>
      <c r="B15829" s="3"/>
      <c r="C15829" s="3"/>
      <c r="D15829" s="3"/>
      <c r="E15829" s="3">
        <v>6</v>
      </c>
      <c r="F15829" s="4" t="str">
        <f>HYPERLINK("http://141.218.60.56/~jnz1568/getInfo.php?workbook=10_05.xlsx&amp;sheet=U0&amp;row=15829&amp;col=6&amp;number=3.5&amp;sourceID=14","3.5")</f>
        <v>3.5</v>
      </c>
      <c r="G15829" s="4" t="str">
        <f>HYPERLINK("http://141.218.60.56/~jnz1568/getInfo.php?workbook=10_05.xlsx&amp;sheet=U0&amp;row=15829&amp;col=7&amp;number=0.00745&amp;sourceID=14","0.00745")</f>
        <v>0.00745</v>
      </c>
    </row>
    <row r="15830" spans="1:7">
      <c r="A15830" s="3"/>
      <c r="B15830" s="3"/>
      <c r="C15830" s="3"/>
      <c r="D15830" s="3"/>
      <c r="E15830" s="3">
        <v>7</v>
      </c>
      <c r="F15830" s="4" t="str">
        <f>HYPERLINK("http://141.218.60.56/~jnz1568/getInfo.php?workbook=10_05.xlsx&amp;sheet=U0&amp;row=15830&amp;col=6&amp;number=3.6&amp;sourceID=14","3.6")</f>
        <v>3.6</v>
      </c>
      <c r="G15830" s="4" t="str">
        <f>HYPERLINK("http://141.218.60.56/~jnz1568/getInfo.php?workbook=10_05.xlsx&amp;sheet=U0&amp;row=15830&amp;col=7&amp;number=0.00763&amp;sourceID=14","0.00763")</f>
        <v>0.00763</v>
      </c>
    </row>
    <row r="15831" spans="1:7">
      <c r="A15831" s="3"/>
      <c r="B15831" s="3"/>
      <c r="C15831" s="3"/>
      <c r="D15831" s="3"/>
      <c r="E15831" s="3">
        <v>8</v>
      </c>
      <c r="F15831" s="4" t="str">
        <f>HYPERLINK("http://141.218.60.56/~jnz1568/getInfo.php?workbook=10_05.xlsx&amp;sheet=U0&amp;row=15831&amp;col=6&amp;number=3.7&amp;sourceID=14","3.7")</f>
        <v>3.7</v>
      </c>
      <c r="G15831" s="4" t="str">
        <f>HYPERLINK("http://141.218.60.56/~jnz1568/getInfo.php?workbook=10_05.xlsx&amp;sheet=U0&amp;row=15831&amp;col=7&amp;number=0.00783&amp;sourceID=14","0.00783")</f>
        <v>0.00783</v>
      </c>
    </row>
    <row r="15832" spans="1:7">
      <c r="A15832" s="3"/>
      <c r="B15832" s="3"/>
      <c r="C15832" s="3"/>
      <c r="D15832" s="3"/>
      <c r="E15832" s="3">
        <v>9</v>
      </c>
      <c r="F15832" s="4" t="str">
        <f>HYPERLINK("http://141.218.60.56/~jnz1568/getInfo.php?workbook=10_05.xlsx&amp;sheet=U0&amp;row=15832&amp;col=6&amp;number=3.8&amp;sourceID=14","3.8")</f>
        <v>3.8</v>
      </c>
      <c r="G15832" s="4" t="str">
        <f>HYPERLINK("http://141.218.60.56/~jnz1568/getInfo.php?workbook=10_05.xlsx&amp;sheet=U0&amp;row=15832&amp;col=7&amp;number=0.00803&amp;sourceID=14","0.00803")</f>
        <v>0.00803</v>
      </c>
    </row>
    <row r="15833" spans="1:7">
      <c r="A15833" s="3"/>
      <c r="B15833" s="3"/>
      <c r="C15833" s="3"/>
      <c r="D15833" s="3"/>
      <c r="E15833" s="3">
        <v>10</v>
      </c>
      <c r="F15833" s="4" t="str">
        <f>HYPERLINK("http://141.218.60.56/~jnz1568/getInfo.php?workbook=10_05.xlsx&amp;sheet=U0&amp;row=15833&amp;col=6&amp;number=3.9&amp;sourceID=14","3.9")</f>
        <v>3.9</v>
      </c>
      <c r="G15833" s="4" t="str">
        <f>HYPERLINK("http://141.218.60.56/~jnz1568/getInfo.php?workbook=10_05.xlsx&amp;sheet=U0&amp;row=15833&amp;col=7&amp;number=0.00819&amp;sourceID=14","0.00819")</f>
        <v>0.00819</v>
      </c>
    </row>
    <row r="15834" spans="1:7">
      <c r="A15834" s="3"/>
      <c r="B15834" s="3"/>
      <c r="C15834" s="3"/>
      <c r="D15834" s="3"/>
      <c r="E15834" s="3">
        <v>11</v>
      </c>
      <c r="F15834" s="4" t="str">
        <f>HYPERLINK("http://141.218.60.56/~jnz1568/getInfo.php?workbook=10_05.xlsx&amp;sheet=U0&amp;row=15834&amp;col=6&amp;number=4&amp;sourceID=14","4")</f>
        <v>4</v>
      </c>
      <c r="G15834" s="4" t="str">
        <f>HYPERLINK("http://141.218.60.56/~jnz1568/getInfo.php?workbook=10_05.xlsx&amp;sheet=U0&amp;row=15834&amp;col=7&amp;number=0.00825&amp;sourceID=14","0.00825")</f>
        <v>0.00825</v>
      </c>
    </row>
    <row r="15835" spans="1:7">
      <c r="A15835" s="3"/>
      <c r="B15835" s="3"/>
      <c r="C15835" s="3"/>
      <c r="D15835" s="3"/>
      <c r="E15835" s="3">
        <v>12</v>
      </c>
      <c r="F15835" s="4" t="str">
        <f>HYPERLINK("http://141.218.60.56/~jnz1568/getInfo.php?workbook=10_05.xlsx&amp;sheet=U0&amp;row=15835&amp;col=6&amp;number=4.1&amp;sourceID=14","4.1")</f>
        <v>4.1</v>
      </c>
      <c r="G15835" s="4" t="str">
        <f>HYPERLINK("http://141.218.60.56/~jnz1568/getInfo.php?workbook=10_05.xlsx&amp;sheet=U0&amp;row=15835&amp;col=7&amp;number=0.00819&amp;sourceID=14","0.00819")</f>
        <v>0.00819</v>
      </c>
    </row>
    <row r="15836" spans="1:7">
      <c r="A15836" s="3"/>
      <c r="B15836" s="3"/>
      <c r="C15836" s="3"/>
      <c r="D15836" s="3"/>
      <c r="E15836" s="3">
        <v>13</v>
      </c>
      <c r="F15836" s="4" t="str">
        <f>HYPERLINK("http://141.218.60.56/~jnz1568/getInfo.php?workbook=10_05.xlsx&amp;sheet=U0&amp;row=15836&amp;col=6&amp;number=4.2&amp;sourceID=14","4.2")</f>
        <v>4.2</v>
      </c>
      <c r="G15836" s="4" t="str">
        <f>HYPERLINK("http://141.218.60.56/~jnz1568/getInfo.php?workbook=10_05.xlsx&amp;sheet=U0&amp;row=15836&amp;col=7&amp;number=0.00798&amp;sourceID=14","0.00798")</f>
        <v>0.00798</v>
      </c>
    </row>
    <row r="15837" spans="1:7">
      <c r="A15837" s="3"/>
      <c r="B15837" s="3"/>
      <c r="C15837" s="3"/>
      <c r="D15837" s="3"/>
      <c r="E15837" s="3">
        <v>14</v>
      </c>
      <c r="F15837" s="4" t="str">
        <f>HYPERLINK("http://141.218.60.56/~jnz1568/getInfo.php?workbook=10_05.xlsx&amp;sheet=U0&amp;row=15837&amp;col=6&amp;number=4.3&amp;sourceID=14","4.3")</f>
        <v>4.3</v>
      </c>
      <c r="G15837" s="4" t="str">
        <f>HYPERLINK("http://141.218.60.56/~jnz1568/getInfo.php?workbook=10_05.xlsx&amp;sheet=U0&amp;row=15837&amp;col=7&amp;number=0.00767&amp;sourceID=14","0.00767")</f>
        <v>0.00767</v>
      </c>
    </row>
    <row r="15838" spans="1:7">
      <c r="A15838" s="3"/>
      <c r="B15838" s="3"/>
      <c r="C15838" s="3"/>
      <c r="D15838" s="3"/>
      <c r="E15838" s="3">
        <v>15</v>
      </c>
      <c r="F15838" s="4" t="str">
        <f>HYPERLINK("http://141.218.60.56/~jnz1568/getInfo.php?workbook=10_05.xlsx&amp;sheet=U0&amp;row=15838&amp;col=6&amp;number=4.4&amp;sourceID=14","4.4")</f>
        <v>4.4</v>
      </c>
      <c r="G15838" s="4" t="str">
        <f>HYPERLINK("http://141.218.60.56/~jnz1568/getInfo.php?workbook=10_05.xlsx&amp;sheet=U0&amp;row=15838&amp;col=7&amp;number=0.0073&amp;sourceID=14","0.0073")</f>
        <v>0.0073</v>
      </c>
    </row>
    <row r="15839" spans="1:7">
      <c r="A15839" s="3"/>
      <c r="B15839" s="3"/>
      <c r="C15839" s="3"/>
      <c r="D15839" s="3"/>
      <c r="E15839" s="3">
        <v>16</v>
      </c>
      <c r="F15839" s="4" t="str">
        <f>HYPERLINK("http://141.218.60.56/~jnz1568/getInfo.php?workbook=10_05.xlsx&amp;sheet=U0&amp;row=15839&amp;col=6&amp;number=4.5&amp;sourceID=14","4.5")</f>
        <v>4.5</v>
      </c>
      <c r="G15839" s="4" t="str">
        <f>HYPERLINK("http://141.218.60.56/~jnz1568/getInfo.php?workbook=10_05.xlsx&amp;sheet=U0&amp;row=15839&amp;col=7&amp;number=0.00688&amp;sourceID=14","0.00688")</f>
        <v>0.00688</v>
      </c>
    </row>
    <row r="15840" spans="1:7">
      <c r="A15840" s="3"/>
      <c r="B15840" s="3"/>
      <c r="C15840" s="3"/>
      <c r="D15840" s="3"/>
      <c r="E15840" s="3">
        <v>17</v>
      </c>
      <c r="F15840" s="4" t="str">
        <f>HYPERLINK("http://141.218.60.56/~jnz1568/getInfo.php?workbook=10_05.xlsx&amp;sheet=U0&amp;row=15840&amp;col=6&amp;number=4.6&amp;sourceID=14","4.6")</f>
        <v>4.6</v>
      </c>
      <c r="G15840" s="4" t="str">
        <f>HYPERLINK("http://141.218.60.56/~jnz1568/getInfo.php?workbook=10_05.xlsx&amp;sheet=U0&amp;row=15840&amp;col=7&amp;number=0.00639&amp;sourceID=14","0.00639")</f>
        <v>0.00639</v>
      </c>
    </row>
    <row r="15841" spans="1:7">
      <c r="A15841" s="3"/>
      <c r="B15841" s="3"/>
      <c r="C15841" s="3"/>
      <c r="D15841" s="3"/>
      <c r="E15841" s="3">
        <v>18</v>
      </c>
      <c r="F15841" s="4" t="str">
        <f>HYPERLINK("http://141.218.60.56/~jnz1568/getInfo.php?workbook=10_05.xlsx&amp;sheet=U0&amp;row=15841&amp;col=6&amp;number=4.7&amp;sourceID=14","4.7")</f>
        <v>4.7</v>
      </c>
      <c r="G15841" s="4" t="str">
        <f>HYPERLINK("http://141.218.60.56/~jnz1568/getInfo.php?workbook=10_05.xlsx&amp;sheet=U0&amp;row=15841&amp;col=7&amp;number=0.00586&amp;sourceID=14","0.00586")</f>
        <v>0.00586</v>
      </c>
    </row>
    <row r="15842" spans="1:7">
      <c r="A15842" s="3"/>
      <c r="B15842" s="3"/>
      <c r="C15842" s="3"/>
      <c r="D15842" s="3"/>
      <c r="E15842" s="3">
        <v>19</v>
      </c>
      <c r="F15842" s="4" t="str">
        <f>HYPERLINK("http://141.218.60.56/~jnz1568/getInfo.php?workbook=10_05.xlsx&amp;sheet=U0&amp;row=15842&amp;col=6&amp;number=4.8&amp;sourceID=14","4.8")</f>
        <v>4.8</v>
      </c>
      <c r="G15842" s="4" t="str">
        <f>HYPERLINK("http://141.218.60.56/~jnz1568/getInfo.php?workbook=10_05.xlsx&amp;sheet=U0&amp;row=15842&amp;col=7&amp;number=0.00529&amp;sourceID=14","0.00529")</f>
        <v>0.00529</v>
      </c>
    </row>
    <row r="15843" spans="1:7">
      <c r="A15843" s="3"/>
      <c r="B15843" s="3"/>
      <c r="C15843" s="3"/>
      <c r="D15843" s="3"/>
      <c r="E15843" s="3">
        <v>20</v>
      </c>
      <c r="F15843" s="4" t="str">
        <f>HYPERLINK("http://141.218.60.56/~jnz1568/getInfo.php?workbook=10_05.xlsx&amp;sheet=U0&amp;row=15843&amp;col=6&amp;number=4.9&amp;sourceID=14","4.9")</f>
        <v>4.9</v>
      </c>
      <c r="G15843" s="4" t="str">
        <f>HYPERLINK("http://141.218.60.56/~jnz1568/getInfo.php?workbook=10_05.xlsx&amp;sheet=U0&amp;row=15843&amp;col=7&amp;number=0.00471&amp;sourceID=14","0.00471")</f>
        <v>0.00471</v>
      </c>
    </row>
    <row r="15844" spans="1:7">
      <c r="A15844" s="3">
        <v>10</v>
      </c>
      <c r="B15844" s="3">
        <v>5</v>
      </c>
      <c r="C15844" s="3">
        <v>5</v>
      </c>
      <c r="D15844" s="3">
        <v>88</v>
      </c>
      <c r="E15844" s="3">
        <v>1</v>
      </c>
      <c r="F15844" s="4" t="str">
        <f>HYPERLINK("http://141.218.60.56/~jnz1568/getInfo.php?workbook=10_05.xlsx&amp;sheet=U0&amp;row=15844&amp;col=6&amp;number=3&amp;sourceID=14","3")</f>
        <v>3</v>
      </c>
      <c r="G15844" s="4" t="str">
        <f>HYPERLINK("http://141.218.60.56/~jnz1568/getInfo.php?workbook=10_05.xlsx&amp;sheet=U0&amp;row=15844&amp;col=7&amp;number=0.0132&amp;sourceID=14","0.0132")</f>
        <v>0.0132</v>
      </c>
    </row>
    <row r="15845" spans="1:7">
      <c r="A15845" s="3"/>
      <c r="B15845" s="3"/>
      <c r="C15845" s="3"/>
      <c r="D15845" s="3"/>
      <c r="E15845" s="3">
        <v>2</v>
      </c>
      <c r="F15845" s="4" t="str">
        <f>HYPERLINK("http://141.218.60.56/~jnz1568/getInfo.php?workbook=10_05.xlsx&amp;sheet=U0&amp;row=15845&amp;col=6&amp;number=3.1&amp;sourceID=14","3.1")</f>
        <v>3.1</v>
      </c>
      <c r="G15845" s="4" t="str">
        <f>HYPERLINK("http://141.218.60.56/~jnz1568/getInfo.php?workbook=10_05.xlsx&amp;sheet=U0&amp;row=15845&amp;col=7&amp;number=0.0133&amp;sourceID=14","0.0133")</f>
        <v>0.0133</v>
      </c>
    </row>
    <row r="15846" spans="1:7">
      <c r="A15846" s="3"/>
      <c r="B15846" s="3"/>
      <c r="C15846" s="3"/>
      <c r="D15846" s="3"/>
      <c r="E15846" s="3">
        <v>3</v>
      </c>
      <c r="F15846" s="4" t="str">
        <f>HYPERLINK("http://141.218.60.56/~jnz1568/getInfo.php?workbook=10_05.xlsx&amp;sheet=U0&amp;row=15846&amp;col=6&amp;number=3.2&amp;sourceID=14","3.2")</f>
        <v>3.2</v>
      </c>
      <c r="G15846" s="4" t="str">
        <f>HYPERLINK("http://141.218.60.56/~jnz1568/getInfo.php?workbook=10_05.xlsx&amp;sheet=U0&amp;row=15846&amp;col=7&amp;number=0.0135&amp;sourceID=14","0.0135")</f>
        <v>0.0135</v>
      </c>
    </row>
    <row r="15847" spans="1:7">
      <c r="A15847" s="3"/>
      <c r="B15847" s="3"/>
      <c r="C15847" s="3"/>
      <c r="D15847" s="3"/>
      <c r="E15847" s="3">
        <v>4</v>
      </c>
      <c r="F15847" s="4" t="str">
        <f>HYPERLINK("http://141.218.60.56/~jnz1568/getInfo.php?workbook=10_05.xlsx&amp;sheet=U0&amp;row=15847&amp;col=6&amp;number=3.3&amp;sourceID=14","3.3")</f>
        <v>3.3</v>
      </c>
      <c r="G15847" s="4" t="str">
        <f>HYPERLINK("http://141.218.60.56/~jnz1568/getInfo.php?workbook=10_05.xlsx&amp;sheet=U0&amp;row=15847&amp;col=7&amp;number=0.0137&amp;sourceID=14","0.0137")</f>
        <v>0.0137</v>
      </c>
    </row>
    <row r="15848" spans="1:7">
      <c r="A15848" s="3"/>
      <c r="B15848" s="3"/>
      <c r="C15848" s="3"/>
      <c r="D15848" s="3"/>
      <c r="E15848" s="3">
        <v>5</v>
      </c>
      <c r="F15848" s="4" t="str">
        <f>HYPERLINK("http://141.218.60.56/~jnz1568/getInfo.php?workbook=10_05.xlsx&amp;sheet=U0&amp;row=15848&amp;col=6&amp;number=3.4&amp;sourceID=14","3.4")</f>
        <v>3.4</v>
      </c>
      <c r="G15848" s="4" t="str">
        <f>HYPERLINK("http://141.218.60.56/~jnz1568/getInfo.php?workbook=10_05.xlsx&amp;sheet=U0&amp;row=15848&amp;col=7&amp;number=0.0139&amp;sourceID=14","0.0139")</f>
        <v>0.0139</v>
      </c>
    </row>
    <row r="15849" spans="1:7">
      <c r="A15849" s="3"/>
      <c r="B15849" s="3"/>
      <c r="C15849" s="3"/>
      <c r="D15849" s="3"/>
      <c r="E15849" s="3">
        <v>6</v>
      </c>
      <c r="F15849" s="4" t="str">
        <f>HYPERLINK("http://141.218.60.56/~jnz1568/getInfo.php?workbook=10_05.xlsx&amp;sheet=U0&amp;row=15849&amp;col=6&amp;number=3.5&amp;sourceID=14","3.5")</f>
        <v>3.5</v>
      </c>
      <c r="G15849" s="4" t="str">
        <f>HYPERLINK("http://141.218.60.56/~jnz1568/getInfo.php?workbook=10_05.xlsx&amp;sheet=U0&amp;row=15849&amp;col=7&amp;number=0.0142&amp;sourceID=14","0.0142")</f>
        <v>0.0142</v>
      </c>
    </row>
    <row r="15850" spans="1:7">
      <c r="A15850" s="3"/>
      <c r="B15850" s="3"/>
      <c r="C15850" s="3"/>
      <c r="D15850" s="3"/>
      <c r="E15850" s="3">
        <v>7</v>
      </c>
      <c r="F15850" s="4" t="str">
        <f>HYPERLINK("http://141.218.60.56/~jnz1568/getInfo.php?workbook=10_05.xlsx&amp;sheet=U0&amp;row=15850&amp;col=6&amp;number=3.6&amp;sourceID=14","3.6")</f>
        <v>3.6</v>
      </c>
      <c r="G15850" s="4" t="str">
        <f>HYPERLINK("http://141.218.60.56/~jnz1568/getInfo.php?workbook=10_05.xlsx&amp;sheet=U0&amp;row=15850&amp;col=7&amp;number=0.0146&amp;sourceID=14","0.0146")</f>
        <v>0.0146</v>
      </c>
    </row>
    <row r="15851" spans="1:7">
      <c r="A15851" s="3"/>
      <c r="B15851" s="3"/>
      <c r="C15851" s="3"/>
      <c r="D15851" s="3"/>
      <c r="E15851" s="3">
        <v>8</v>
      </c>
      <c r="F15851" s="4" t="str">
        <f>HYPERLINK("http://141.218.60.56/~jnz1568/getInfo.php?workbook=10_05.xlsx&amp;sheet=U0&amp;row=15851&amp;col=6&amp;number=3.7&amp;sourceID=14","3.7")</f>
        <v>3.7</v>
      </c>
      <c r="G15851" s="4" t="str">
        <f>HYPERLINK("http://141.218.60.56/~jnz1568/getInfo.php?workbook=10_05.xlsx&amp;sheet=U0&amp;row=15851&amp;col=7&amp;number=0.015&amp;sourceID=14","0.015")</f>
        <v>0.015</v>
      </c>
    </row>
    <row r="15852" spans="1:7">
      <c r="A15852" s="3"/>
      <c r="B15852" s="3"/>
      <c r="C15852" s="3"/>
      <c r="D15852" s="3"/>
      <c r="E15852" s="3">
        <v>9</v>
      </c>
      <c r="F15852" s="4" t="str">
        <f>HYPERLINK("http://141.218.60.56/~jnz1568/getInfo.php?workbook=10_05.xlsx&amp;sheet=U0&amp;row=15852&amp;col=6&amp;number=3.8&amp;sourceID=14","3.8")</f>
        <v>3.8</v>
      </c>
      <c r="G15852" s="4" t="str">
        <f>HYPERLINK("http://141.218.60.56/~jnz1568/getInfo.php?workbook=10_05.xlsx&amp;sheet=U0&amp;row=15852&amp;col=7&amp;number=0.0155&amp;sourceID=14","0.0155")</f>
        <v>0.0155</v>
      </c>
    </row>
    <row r="15853" spans="1:7">
      <c r="A15853" s="3"/>
      <c r="B15853" s="3"/>
      <c r="C15853" s="3"/>
      <c r="D15853" s="3"/>
      <c r="E15853" s="3">
        <v>10</v>
      </c>
      <c r="F15853" s="4" t="str">
        <f>HYPERLINK("http://141.218.60.56/~jnz1568/getInfo.php?workbook=10_05.xlsx&amp;sheet=U0&amp;row=15853&amp;col=6&amp;number=3.9&amp;sourceID=14","3.9")</f>
        <v>3.9</v>
      </c>
      <c r="G15853" s="4" t="str">
        <f>HYPERLINK("http://141.218.60.56/~jnz1568/getInfo.php?workbook=10_05.xlsx&amp;sheet=U0&amp;row=15853&amp;col=7&amp;number=0.016&amp;sourceID=14","0.016")</f>
        <v>0.016</v>
      </c>
    </row>
    <row r="15854" spans="1:7">
      <c r="A15854" s="3"/>
      <c r="B15854" s="3"/>
      <c r="C15854" s="3"/>
      <c r="D15854" s="3"/>
      <c r="E15854" s="3">
        <v>11</v>
      </c>
      <c r="F15854" s="4" t="str">
        <f>HYPERLINK("http://141.218.60.56/~jnz1568/getInfo.php?workbook=10_05.xlsx&amp;sheet=U0&amp;row=15854&amp;col=6&amp;number=4&amp;sourceID=14","4")</f>
        <v>4</v>
      </c>
      <c r="G15854" s="4" t="str">
        <f>HYPERLINK("http://141.218.60.56/~jnz1568/getInfo.php?workbook=10_05.xlsx&amp;sheet=U0&amp;row=15854&amp;col=7&amp;number=0.0164&amp;sourceID=14","0.0164")</f>
        <v>0.0164</v>
      </c>
    </row>
    <row r="15855" spans="1:7">
      <c r="A15855" s="3"/>
      <c r="B15855" s="3"/>
      <c r="C15855" s="3"/>
      <c r="D15855" s="3"/>
      <c r="E15855" s="3">
        <v>12</v>
      </c>
      <c r="F15855" s="4" t="str">
        <f>HYPERLINK("http://141.218.60.56/~jnz1568/getInfo.php?workbook=10_05.xlsx&amp;sheet=U0&amp;row=15855&amp;col=6&amp;number=4.1&amp;sourceID=14","4.1")</f>
        <v>4.1</v>
      </c>
      <c r="G15855" s="4" t="str">
        <f>HYPERLINK("http://141.218.60.56/~jnz1568/getInfo.php?workbook=10_05.xlsx&amp;sheet=U0&amp;row=15855&amp;col=7&amp;number=0.0167&amp;sourceID=14","0.0167")</f>
        <v>0.0167</v>
      </c>
    </row>
    <row r="15856" spans="1:7">
      <c r="A15856" s="3"/>
      <c r="B15856" s="3"/>
      <c r="C15856" s="3"/>
      <c r="D15856" s="3"/>
      <c r="E15856" s="3">
        <v>13</v>
      </c>
      <c r="F15856" s="4" t="str">
        <f>HYPERLINK("http://141.218.60.56/~jnz1568/getInfo.php?workbook=10_05.xlsx&amp;sheet=U0&amp;row=15856&amp;col=6&amp;number=4.2&amp;sourceID=14","4.2")</f>
        <v>4.2</v>
      </c>
      <c r="G15856" s="4" t="str">
        <f>HYPERLINK("http://141.218.60.56/~jnz1568/getInfo.php?workbook=10_05.xlsx&amp;sheet=U0&amp;row=15856&amp;col=7&amp;number=0.0166&amp;sourceID=14","0.0166")</f>
        <v>0.0166</v>
      </c>
    </row>
    <row r="15857" spans="1:7">
      <c r="A15857" s="3"/>
      <c r="B15857" s="3"/>
      <c r="C15857" s="3"/>
      <c r="D15857" s="3"/>
      <c r="E15857" s="3">
        <v>14</v>
      </c>
      <c r="F15857" s="4" t="str">
        <f>HYPERLINK("http://141.218.60.56/~jnz1568/getInfo.php?workbook=10_05.xlsx&amp;sheet=U0&amp;row=15857&amp;col=6&amp;number=4.3&amp;sourceID=14","4.3")</f>
        <v>4.3</v>
      </c>
      <c r="G15857" s="4" t="str">
        <f>HYPERLINK("http://141.218.60.56/~jnz1568/getInfo.php?workbook=10_05.xlsx&amp;sheet=U0&amp;row=15857&amp;col=7&amp;number=0.0161&amp;sourceID=14","0.0161")</f>
        <v>0.0161</v>
      </c>
    </row>
    <row r="15858" spans="1:7">
      <c r="A15858" s="3"/>
      <c r="B15858" s="3"/>
      <c r="C15858" s="3"/>
      <c r="D15858" s="3"/>
      <c r="E15858" s="3">
        <v>15</v>
      </c>
      <c r="F15858" s="4" t="str">
        <f>HYPERLINK("http://141.218.60.56/~jnz1568/getInfo.php?workbook=10_05.xlsx&amp;sheet=U0&amp;row=15858&amp;col=6&amp;number=4.4&amp;sourceID=14","4.4")</f>
        <v>4.4</v>
      </c>
      <c r="G15858" s="4" t="str">
        <f>HYPERLINK("http://141.218.60.56/~jnz1568/getInfo.php?workbook=10_05.xlsx&amp;sheet=U0&amp;row=15858&amp;col=7&amp;number=0.0153&amp;sourceID=14","0.0153")</f>
        <v>0.0153</v>
      </c>
    </row>
    <row r="15859" spans="1:7">
      <c r="A15859" s="3"/>
      <c r="B15859" s="3"/>
      <c r="C15859" s="3"/>
      <c r="D15859" s="3"/>
      <c r="E15859" s="3">
        <v>16</v>
      </c>
      <c r="F15859" s="4" t="str">
        <f>HYPERLINK("http://141.218.60.56/~jnz1568/getInfo.php?workbook=10_05.xlsx&amp;sheet=U0&amp;row=15859&amp;col=6&amp;number=4.5&amp;sourceID=14","4.5")</f>
        <v>4.5</v>
      </c>
      <c r="G15859" s="4" t="str">
        <f>HYPERLINK("http://141.218.60.56/~jnz1568/getInfo.php?workbook=10_05.xlsx&amp;sheet=U0&amp;row=15859&amp;col=7&amp;number=0.0142&amp;sourceID=14","0.0142")</f>
        <v>0.0142</v>
      </c>
    </row>
    <row r="15860" spans="1:7">
      <c r="A15860" s="3"/>
      <c r="B15860" s="3"/>
      <c r="C15860" s="3"/>
      <c r="D15860" s="3"/>
      <c r="E15860" s="3">
        <v>17</v>
      </c>
      <c r="F15860" s="4" t="str">
        <f>HYPERLINK("http://141.218.60.56/~jnz1568/getInfo.php?workbook=10_05.xlsx&amp;sheet=U0&amp;row=15860&amp;col=6&amp;number=4.6&amp;sourceID=14","4.6")</f>
        <v>4.6</v>
      </c>
      <c r="G15860" s="4" t="str">
        <f>HYPERLINK("http://141.218.60.56/~jnz1568/getInfo.php?workbook=10_05.xlsx&amp;sheet=U0&amp;row=15860&amp;col=7&amp;number=0.0132&amp;sourceID=14","0.0132")</f>
        <v>0.0132</v>
      </c>
    </row>
    <row r="15861" spans="1:7">
      <c r="A15861" s="3"/>
      <c r="B15861" s="3"/>
      <c r="C15861" s="3"/>
      <c r="D15861" s="3"/>
      <c r="E15861" s="3">
        <v>18</v>
      </c>
      <c r="F15861" s="4" t="str">
        <f>HYPERLINK("http://141.218.60.56/~jnz1568/getInfo.php?workbook=10_05.xlsx&amp;sheet=U0&amp;row=15861&amp;col=6&amp;number=4.7&amp;sourceID=14","4.7")</f>
        <v>4.7</v>
      </c>
      <c r="G15861" s="4" t="str">
        <f>HYPERLINK("http://141.218.60.56/~jnz1568/getInfo.php?workbook=10_05.xlsx&amp;sheet=U0&amp;row=15861&amp;col=7&amp;number=0.012&amp;sourceID=14","0.012")</f>
        <v>0.012</v>
      </c>
    </row>
    <row r="15862" spans="1:7">
      <c r="A15862" s="3"/>
      <c r="B15862" s="3"/>
      <c r="C15862" s="3"/>
      <c r="D15862" s="3"/>
      <c r="E15862" s="3">
        <v>19</v>
      </c>
      <c r="F15862" s="4" t="str">
        <f>HYPERLINK("http://141.218.60.56/~jnz1568/getInfo.php?workbook=10_05.xlsx&amp;sheet=U0&amp;row=15862&amp;col=6&amp;number=4.8&amp;sourceID=14","4.8")</f>
        <v>4.8</v>
      </c>
      <c r="G15862" s="4" t="str">
        <f>HYPERLINK("http://141.218.60.56/~jnz1568/getInfo.php?workbook=10_05.xlsx&amp;sheet=U0&amp;row=15862&amp;col=7&amp;number=0.0107&amp;sourceID=14","0.0107")</f>
        <v>0.0107</v>
      </c>
    </row>
    <row r="15863" spans="1:7">
      <c r="A15863" s="3"/>
      <c r="B15863" s="3"/>
      <c r="C15863" s="3"/>
      <c r="D15863" s="3"/>
      <c r="E15863" s="3">
        <v>20</v>
      </c>
      <c r="F15863" s="4" t="str">
        <f>HYPERLINK("http://141.218.60.56/~jnz1568/getInfo.php?workbook=10_05.xlsx&amp;sheet=U0&amp;row=15863&amp;col=6&amp;number=4.9&amp;sourceID=14","4.9")</f>
        <v>4.9</v>
      </c>
      <c r="G15863" s="4" t="str">
        <f>HYPERLINK("http://141.218.60.56/~jnz1568/getInfo.php?workbook=10_05.xlsx&amp;sheet=U0&amp;row=15863&amp;col=7&amp;number=0.0094&amp;sourceID=14","0.0094")</f>
        <v>0.0094</v>
      </c>
    </row>
    <row r="15864" spans="1:7">
      <c r="A15864" s="3">
        <v>10</v>
      </c>
      <c r="B15864" s="3">
        <v>5</v>
      </c>
      <c r="C15864" s="3">
        <v>5</v>
      </c>
      <c r="D15864" s="3">
        <v>89</v>
      </c>
      <c r="E15864" s="3">
        <v>1</v>
      </c>
      <c r="F15864" s="4" t="str">
        <f>HYPERLINK("http://141.218.60.56/~jnz1568/getInfo.php?workbook=10_05.xlsx&amp;sheet=U0&amp;row=15864&amp;col=6&amp;number=3&amp;sourceID=14","3")</f>
        <v>3</v>
      </c>
      <c r="G15864" s="4" t="str">
        <f>HYPERLINK("http://141.218.60.56/~jnz1568/getInfo.php?workbook=10_05.xlsx&amp;sheet=U0&amp;row=15864&amp;col=7&amp;number=0.0643&amp;sourceID=14","0.0643")</f>
        <v>0.0643</v>
      </c>
    </row>
    <row r="15865" spans="1:7">
      <c r="A15865" s="3"/>
      <c r="B15865" s="3"/>
      <c r="C15865" s="3"/>
      <c r="D15865" s="3"/>
      <c r="E15865" s="3">
        <v>2</v>
      </c>
      <c r="F15865" s="4" t="str">
        <f>HYPERLINK("http://141.218.60.56/~jnz1568/getInfo.php?workbook=10_05.xlsx&amp;sheet=U0&amp;row=15865&amp;col=6&amp;number=3.1&amp;sourceID=14","3.1")</f>
        <v>3.1</v>
      </c>
      <c r="G15865" s="4" t="str">
        <f>HYPERLINK("http://141.218.60.56/~jnz1568/getInfo.php?workbook=10_05.xlsx&amp;sheet=U0&amp;row=15865&amp;col=7&amp;number=0.0641&amp;sourceID=14","0.0641")</f>
        <v>0.0641</v>
      </c>
    </row>
    <row r="15866" spans="1:7">
      <c r="A15866" s="3"/>
      <c r="B15866" s="3"/>
      <c r="C15866" s="3"/>
      <c r="D15866" s="3"/>
      <c r="E15866" s="3">
        <v>3</v>
      </c>
      <c r="F15866" s="4" t="str">
        <f>HYPERLINK("http://141.218.60.56/~jnz1568/getInfo.php?workbook=10_05.xlsx&amp;sheet=U0&amp;row=15866&amp;col=6&amp;number=3.2&amp;sourceID=14","3.2")</f>
        <v>3.2</v>
      </c>
      <c r="G15866" s="4" t="str">
        <f>HYPERLINK("http://141.218.60.56/~jnz1568/getInfo.php?workbook=10_05.xlsx&amp;sheet=U0&amp;row=15866&amp;col=7&amp;number=0.0639&amp;sourceID=14","0.0639")</f>
        <v>0.0639</v>
      </c>
    </row>
    <row r="15867" spans="1:7">
      <c r="A15867" s="3"/>
      <c r="B15867" s="3"/>
      <c r="C15867" s="3"/>
      <c r="D15867" s="3"/>
      <c r="E15867" s="3">
        <v>4</v>
      </c>
      <c r="F15867" s="4" t="str">
        <f>HYPERLINK("http://141.218.60.56/~jnz1568/getInfo.php?workbook=10_05.xlsx&amp;sheet=U0&amp;row=15867&amp;col=6&amp;number=3.3&amp;sourceID=14","3.3")</f>
        <v>3.3</v>
      </c>
      <c r="G15867" s="4" t="str">
        <f>HYPERLINK("http://141.218.60.56/~jnz1568/getInfo.php?workbook=10_05.xlsx&amp;sheet=U0&amp;row=15867&amp;col=7&amp;number=0.0637&amp;sourceID=14","0.0637")</f>
        <v>0.0637</v>
      </c>
    </row>
    <row r="15868" spans="1:7">
      <c r="A15868" s="3"/>
      <c r="B15868" s="3"/>
      <c r="C15868" s="3"/>
      <c r="D15868" s="3"/>
      <c r="E15868" s="3">
        <v>5</v>
      </c>
      <c r="F15868" s="4" t="str">
        <f>HYPERLINK("http://141.218.60.56/~jnz1568/getInfo.php?workbook=10_05.xlsx&amp;sheet=U0&amp;row=15868&amp;col=6&amp;number=3.4&amp;sourceID=14","3.4")</f>
        <v>3.4</v>
      </c>
      <c r="G15868" s="4" t="str">
        <f>HYPERLINK("http://141.218.60.56/~jnz1568/getInfo.php?workbook=10_05.xlsx&amp;sheet=U0&amp;row=15868&amp;col=7&amp;number=0.0634&amp;sourceID=14","0.0634")</f>
        <v>0.0634</v>
      </c>
    </row>
    <row r="15869" spans="1:7">
      <c r="A15869" s="3"/>
      <c r="B15869" s="3"/>
      <c r="C15869" s="3"/>
      <c r="D15869" s="3"/>
      <c r="E15869" s="3">
        <v>6</v>
      </c>
      <c r="F15869" s="4" t="str">
        <f>HYPERLINK("http://141.218.60.56/~jnz1568/getInfo.php?workbook=10_05.xlsx&amp;sheet=U0&amp;row=15869&amp;col=6&amp;number=3.5&amp;sourceID=14","3.5")</f>
        <v>3.5</v>
      </c>
      <c r="G15869" s="4" t="str">
        <f>HYPERLINK("http://141.218.60.56/~jnz1568/getInfo.php?workbook=10_05.xlsx&amp;sheet=U0&amp;row=15869&amp;col=7&amp;number=0.063&amp;sourceID=14","0.063")</f>
        <v>0.063</v>
      </c>
    </row>
    <row r="15870" spans="1:7">
      <c r="A15870" s="3"/>
      <c r="B15870" s="3"/>
      <c r="C15870" s="3"/>
      <c r="D15870" s="3"/>
      <c r="E15870" s="3">
        <v>7</v>
      </c>
      <c r="F15870" s="4" t="str">
        <f>HYPERLINK("http://141.218.60.56/~jnz1568/getInfo.php?workbook=10_05.xlsx&amp;sheet=U0&amp;row=15870&amp;col=6&amp;number=3.6&amp;sourceID=14","3.6")</f>
        <v>3.6</v>
      </c>
      <c r="G15870" s="4" t="str">
        <f>HYPERLINK("http://141.218.60.56/~jnz1568/getInfo.php?workbook=10_05.xlsx&amp;sheet=U0&amp;row=15870&amp;col=7&amp;number=0.0626&amp;sourceID=14","0.0626")</f>
        <v>0.0626</v>
      </c>
    </row>
    <row r="15871" spans="1:7">
      <c r="A15871" s="3"/>
      <c r="B15871" s="3"/>
      <c r="C15871" s="3"/>
      <c r="D15871" s="3"/>
      <c r="E15871" s="3">
        <v>8</v>
      </c>
      <c r="F15871" s="4" t="str">
        <f>HYPERLINK("http://141.218.60.56/~jnz1568/getInfo.php?workbook=10_05.xlsx&amp;sheet=U0&amp;row=15871&amp;col=6&amp;number=3.7&amp;sourceID=14","3.7")</f>
        <v>3.7</v>
      </c>
      <c r="G15871" s="4" t="str">
        <f>HYPERLINK("http://141.218.60.56/~jnz1568/getInfo.php?workbook=10_05.xlsx&amp;sheet=U0&amp;row=15871&amp;col=7&amp;number=0.062&amp;sourceID=14","0.062")</f>
        <v>0.062</v>
      </c>
    </row>
    <row r="15872" spans="1:7">
      <c r="A15872" s="3"/>
      <c r="B15872" s="3"/>
      <c r="C15872" s="3"/>
      <c r="D15872" s="3"/>
      <c r="E15872" s="3">
        <v>9</v>
      </c>
      <c r="F15872" s="4" t="str">
        <f>HYPERLINK("http://141.218.60.56/~jnz1568/getInfo.php?workbook=10_05.xlsx&amp;sheet=U0&amp;row=15872&amp;col=6&amp;number=3.8&amp;sourceID=14","3.8")</f>
        <v>3.8</v>
      </c>
      <c r="G15872" s="4" t="str">
        <f>HYPERLINK("http://141.218.60.56/~jnz1568/getInfo.php?workbook=10_05.xlsx&amp;sheet=U0&amp;row=15872&amp;col=7&amp;number=0.0613&amp;sourceID=14","0.0613")</f>
        <v>0.0613</v>
      </c>
    </row>
    <row r="15873" spans="1:7">
      <c r="A15873" s="3"/>
      <c r="B15873" s="3"/>
      <c r="C15873" s="3"/>
      <c r="D15873" s="3"/>
      <c r="E15873" s="3">
        <v>10</v>
      </c>
      <c r="F15873" s="4" t="str">
        <f>HYPERLINK("http://141.218.60.56/~jnz1568/getInfo.php?workbook=10_05.xlsx&amp;sheet=U0&amp;row=15873&amp;col=6&amp;number=3.9&amp;sourceID=14","3.9")</f>
        <v>3.9</v>
      </c>
      <c r="G15873" s="4" t="str">
        <f>HYPERLINK("http://141.218.60.56/~jnz1568/getInfo.php?workbook=10_05.xlsx&amp;sheet=U0&amp;row=15873&amp;col=7&amp;number=0.0604&amp;sourceID=14","0.0604")</f>
        <v>0.0604</v>
      </c>
    </row>
    <row r="15874" spans="1:7">
      <c r="A15874" s="3"/>
      <c r="B15874" s="3"/>
      <c r="C15874" s="3"/>
      <c r="D15874" s="3"/>
      <c r="E15874" s="3">
        <v>11</v>
      </c>
      <c r="F15874" s="4" t="str">
        <f>HYPERLINK("http://141.218.60.56/~jnz1568/getInfo.php?workbook=10_05.xlsx&amp;sheet=U0&amp;row=15874&amp;col=6&amp;number=4&amp;sourceID=14","4")</f>
        <v>4</v>
      </c>
      <c r="G15874" s="4" t="str">
        <f>HYPERLINK("http://141.218.60.56/~jnz1568/getInfo.php?workbook=10_05.xlsx&amp;sheet=U0&amp;row=15874&amp;col=7&amp;number=0.0593&amp;sourceID=14","0.0593")</f>
        <v>0.0593</v>
      </c>
    </row>
    <row r="15875" spans="1:7">
      <c r="A15875" s="3"/>
      <c r="B15875" s="3"/>
      <c r="C15875" s="3"/>
      <c r="D15875" s="3"/>
      <c r="E15875" s="3">
        <v>12</v>
      </c>
      <c r="F15875" s="4" t="str">
        <f>HYPERLINK("http://141.218.60.56/~jnz1568/getInfo.php?workbook=10_05.xlsx&amp;sheet=U0&amp;row=15875&amp;col=6&amp;number=4.1&amp;sourceID=14","4.1")</f>
        <v>4.1</v>
      </c>
      <c r="G15875" s="4" t="str">
        <f>HYPERLINK("http://141.218.60.56/~jnz1568/getInfo.php?workbook=10_05.xlsx&amp;sheet=U0&amp;row=15875&amp;col=7&amp;number=0.058&amp;sourceID=14","0.058")</f>
        <v>0.058</v>
      </c>
    </row>
    <row r="15876" spans="1:7">
      <c r="A15876" s="3"/>
      <c r="B15876" s="3"/>
      <c r="C15876" s="3"/>
      <c r="D15876" s="3"/>
      <c r="E15876" s="3">
        <v>13</v>
      </c>
      <c r="F15876" s="4" t="str">
        <f>HYPERLINK("http://141.218.60.56/~jnz1568/getInfo.php?workbook=10_05.xlsx&amp;sheet=U0&amp;row=15876&amp;col=6&amp;number=4.2&amp;sourceID=14","4.2")</f>
        <v>4.2</v>
      </c>
      <c r="G15876" s="4" t="str">
        <f>HYPERLINK("http://141.218.60.56/~jnz1568/getInfo.php?workbook=10_05.xlsx&amp;sheet=U0&amp;row=15876&amp;col=7&amp;number=0.0563&amp;sourceID=14","0.0563")</f>
        <v>0.0563</v>
      </c>
    </row>
    <row r="15877" spans="1:7">
      <c r="A15877" s="3"/>
      <c r="B15877" s="3"/>
      <c r="C15877" s="3"/>
      <c r="D15877" s="3"/>
      <c r="E15877" s="3">
        <v>14</v>
      </c>
      <c r="F15877" s="4" t="str">
        <f>HYPERLINK("http://141.218.60.56/~jnz1568/getInfo.php?workbook=10_05.xlsx&amp;sheet=U0&amp;row=15877&amp;col=6&amp;number=4.3&amp;sourceID=14","4.3")</f>
        <v>4.3</v>
      </c>
      <c r="G15877" s="4" t="str">
        <f>HYPERLINK("http://141.218.60.56/~jnz1568/getInfo.php?workbook=10_05.xlsx&amp;sheet=U0&amp;row=15877&amp;col=7&amp;number=0.0543&amp;sourceID=14","0.0543")</f>
        <v>0.0543</v>
      </c>
    </row>
    <row r="15878" spans="1:7">
      <c r="A15878" s="3"/>
      <c r="B15878" s="3"/>
      <c r="C15878" s="3"/>
      <c r="D15878" s="3"/>
      <c r="E15878" s="3">
        <v>15</v>
      </c>
      <c r="F15878" s="4" t="str">
        <f>HYPERLINK("http://141.218.60.56/~jnz1568/getInfo.php?workbook=10_05.xlsx&amp;sheet=U0&amp;row=15878&amp;col=6&amp;number=4.4&amp;sourceID=14","4.4")</f>
        <v>4.4</v>
      </c>
      <c r="G15878" s="4" t="str">
        <f>HYPERLINK("http://141.218.60.56/~jnz1568/getInfo.php?workbook=10_05.xlsx&amp;sheet=U0&amp;row=15878&amp;col=7&amp;number=0.0519&amp;sourceID=14","0.0519")</f>
        <v>0.0519</v>
      </c>
    </row>
    <row r="15879" spans="1:7">
      <c r="A15879" s="3"/>
      <c r="B15879" s="3"/>
      <c r="C15879" s="3"/>
      <c r="D15879" s="3"/>
      <c r="E15879" s="3">
        <v>16</v>
      </c>
      <c r="F15879" s="4" t="str">
        <f>HYPERLINK("http://141.218.60.56/~jnz1568/getInfo.php?workbook=10_05.xlsx&amp;sheet=U0&amp;row=15879&amp;col=6&amp;number=4.5&amp;sourceID=14","4.5")</f>
        <v>4.5</v>
      </c>
      <c r="G15879" s="4" t="str">
        <f>HYPERLINK("http://141.218.60.56/~jnz1568/getInfo.php?workbook=10_05.xlsx&amp;sheet=U0&amp;row=15879&amp;col=7&amp;number=0.0491&amp;sourceID=14","0.0491")</f>
        <v>0.0491</v>
      </c>
    </row>
    <row r="15880" spans="1:7">
      <c r="A15880" s="3"/>
      <c r="B15880" s="3"/>
      <c r="C15880" s="3"/>
      <c r="D15880" s="3"/>
      <c r="E15880" s="3">
        <v>17</v>
      </c>
      <c r="F15880" s="4" t="str">
        <f>HYPERLINK("http://141.218.60.56/~jnz1568/getInfo.php?workbook=10_05.xlsx&amp;sheet=U0&amp;row=15880&amp;col=6&amp;number=4.6&amp;sourceID=14","4.6")</f>
        <v>4.6</v>
      </c>
      <c r="G15880" s="4" t="str">
        <f>HYPERLINK("http://141.218.60.56/~jnz1568/getInfo.php?workbook=10_05.xlsx&amp;sheet=U0&amp;row=15880&amp;col=7&amp;number=0.0459&amp;sourceID=14","0.0459")</f>
        <v>0.0459</v>
      </c>
    </row>
    <row r="15881" spans="1:7">
      <c r="A15881" s="3"/>
      <c r="B15881" s="3"/>
      <c r="C15881" s="3"/>
      <c r="D15881" s="3"/>
      <c r="E15881" s="3">
        <v>18</v>
      </c>
      <c r="F15881" s="4" t="str">
        <f>HYPERLINK("http://141.218.60.56/~jnz1568/getInfo.php?workbook=10_05.xlsx&amp;sheet=U0&amp;row=15881&amp;col=6&amp;number=4.7&amp;sourceID=14","4.7")</f>
        <v>4.7</v>
      </c>
      <c r="G15881" s="4" t="str">
        <f>HYPERLINK("http://141.218.60.56/~jnz1568/getInfo.php?workbook=10_05.xlsx&amp;sheet=U0&amp;row=15881&amp;col=7&amp;number=0.0424&amp;sourceID=14","0.0424")</f>
        <v>0.0424</v>
      </c>
    </row>
    <row r="15882" spans="1:7">
      <c r="A15882" s="3"/>
      <c r="B15882" s="3"/>
      <c r="C15882" s="3"/>
      <c r="D15882" s="3"/>
      <c r="E15882" s="3">
        <v>19</v>
      </c>
      <c r="F15882" s="4" t="str">
        <f>HYPERLINK("http://141.218.60.56/~jnz1568/getInfo.php?workbook=10_05.xlsx&amp;sheet=U0&amp;row=15882&amp;col=6&amp;number=4.8&amp;sourceID=14","4.8")</f>
        <v>4.8</v>
      </c>
      <c r="G15882" s="4" t="str">
        <f>HYPERLINK("http://141.218.60.56/~jnz1568/getInfo.php?workbook=10_05.xlsx&amp;sheet=U0&amp;row=15882&amp;col=7&amp;number=0.0388&amp;sourceID=14","0.0388")</f>
        <v>0.0388</v>
      </c>
    </row>
    <row r="15883" spans="1:7">
      <c r="A15883" s="3"/>
      <c r="B15883" s="3"/>
      <c r="C15883" s="3"/>
      <c r="D15883" s="3"/>
      <c r="E15883" s="3">
        <v>20</v>
      </c>
      <c r="F15883" s="4" t="str">
        <f>HYPERLINK("http://141.218.60.56/~jnz1568/getInfo.php?workbook=10_05.xlsx&amp;sheet=U0&amp;row=15883&amp;col=6&amp;number=4.9&amp;sourceID=14","4.9")</f>
        <v>4.9</v>
      </c>
      <c r="G15883" s="4" t="str">
        <f>HYPERLINK("http://141.218.60.56/~jnz1568/getInfo.php?workbook=10_05.xlsx&amp;sheet=U0&amp;row=15883&amp;col=7&amp;number=0.0351&amp;sourceID=14","0.0351")</f>
        <v>0.0351</v>
      </c>
    </row>
    <row r="15884" spans="1:7">
      <c r="A15884" s="3">
        <v>10</v>
      </c>
      <c r="B15884" s="3">
        <v>5</v>
      </c>
      <c r="C15884" s="3">
        <v>5</v>
      </c>
      <c r="D15884" s="3">
        <v>90</v>
      </c>
      <c r="E15884" s="3">
        <v>1</v>
      </c>
      <c r="F15884" s="4" t="str">
        <f>HYPERLINK("http://141.218.60.56/~jnz1568/getInfo.php?workbook=10_05.xlsx&amp;sheet=U0&amp;row=15884&amp;col=6&amp;number=3&amp;sourceID=14","3")</f>
        <v>3</v>
      </c>
      <c r="G15884" s="4" t="str">
        <f>HYPERLINK("http://141.218.60.56/~jnz1568/getInfo.php?workbook=10_05.xlsx&amp;sheet=U0&amp;row=15884&amp;col=7&amp;number=0.117&amp;sourceID=14","0.117")</f>
        <v>0.117</v>
      </c>
    </row>
    <row r="15885" spans="1:7">
      <c r="A15885" s="3"/>
      <c r="B15885" s="3"/>
      <c r="C15885" s="3"/>
      <c r="D15885" s="3"/>
      <c r="E15885" s="3">
        <v>2</v>
      </c>
      <c r="F15885" s="4" t="str">
        <f>HYPERLINK("http://141.218.60.56/~jnz1568/getInfo.php?workbook=10_05.xlsx&amp;sheet=U0&amp;row=15885&amp;col=6&amp;number=3.1&amp;sourceID=14","3.1")</f>
        <v>3.1</v>
      </c>
      <c r="G15885" s="4" t="str">
        <f>HYPERLINK("http://141.218.60.56/~jnz1568/getInfo.php?workbook=10_05.xlsx&amp;sheet=U0&amp;row=15885&amp;col=7&amp;number=0.116&amp;sourceID=14","0.116")</f>
        <v>0.116</v>
      </c>
    </row>
    <row r="15886" spans="1:7">
      <c r="A15886" s="3"/>
      <c r="B15886" s="3"/>
      <c r="C15886" s="3"/>
      <c r="D15886" s="3"/>
      <c r="E15886" s="3">
        <v>3</v>
      </c>
      <c r="F15886" s="4" t="str">
        <f>HYPERLINK("http://141.218.60.56/~jnz1568/getInfo.php?workbook=10_05.xlsx&amp;sheet=U0&amp;row=15886&amp;col=6&amp;number=3.2&amp;sourceID=14","3.2")</f>
        <v>3.2</v>
      </c>
      <c r="G15886" s="4" t="str">
        <f>HYPERLINK("http://141.218.60.56/~jnz1568/getInfo.php?workbook=10_05.xlsx&amp;sheet=U0&amp;row=15886&amp;col=7&amp;number=0.116&amp;sourceID=14","0.116")</f>
        <v>0.116</v>
      </c>
    </row>
    <row r="15887" spans="1:7">
      <c r="A15887" s="3"/>
      <c r="B15887" s="3"/>
      <c r="C15887" s="3"/>
      <c r="D15887" s="3"/>
      <c r="E15887" s="3">
        <v>4</v>
      </c>
      <c r="F15887" s="4" t="str">
        <f>HYPERLINK("http://141.218.60.56/~jnz1568/getInfo.php?workbook=10_05.xlsx&amp;sheet=U0&amp;row=15887&amp;col=6&amp;number=3.3&amp;sourceID=14","3.3")</f>
        <v>3.3</v>
      </c>
      <c r="G15887" s="4" t="str">
        <f>HYPERLINK("http://141.218.60.56/~jnz1568/getInfo.php?workbook=10_05.xlsx&amp;sheet=U0&amp;row=15887&amp;col=7&amp;number=0.116&amp;sourceID=14","0.116")</f>
        <v>0.116</v>
      </c>
    </row>
    <row r="15888" spans="1:7">
      <c r="A15888" s="3"/>
      <c r="B15888" s="3"/>
      <c r="C15888" s="3"/>
      <c r="D15888" s="3"/>
      <c r="E15888" s="3">
        <v>5</v>
      </c>
      <c r="F15888" s="4" t="str">
        <f>HYPERLINK("http://141.218.60.56/~jnz1568/getInfo.php?workbook=10_05.xlsx&amp;sheet=U0&amp;row=15888&amp;col=6&amp;number=3.4&amp;sourceID=14","3.4")</f>
        <v>3.4</v>
      </c>
      <c r="G15888" s="4" t="str">
        <f>HYPERLINK("http://141.218.60.56/~jnz1568/getInfo.php?workbook=10_05.xlsx&amp;sheet=U0&amp;row=15888&amp;col=7&amp;number=0.115&amp;sourceID=14","0.115")</f>
        <v>0.115</v>
      </c>
    </row>
    <row r="15889" spans="1:7">
      <c r="A15889" s="3"/>
      <c r="B15889" s="3"/>
      <c r="C15889" s="3"/>
      <c r="D15889" s="3"/>
      <c r="E15889" s="3">
        <v>6</v>
      </c>
      <c r="F15889" s="4" t="str">
        <f>HYPERLINK("http://141.218.60.56/~jnz1568/getInfo.php?workbook=10_05.xlsx&amp;sheet=U0&amp;row=15889&amp;col=6&amp;number=3.5&amp;sourceID=14","3.5")</f>
        <v>3.5</v>
      </c>
      <c r="G15889" s="4" t="str">
        <f>HYPERLINK("http://141.218.60.56/~jnz1568/getInfo.php?workbook=10_05.xlsx&amp;sheet=U0&amp;row=15889&amp;col=7&amp;number=0.115&amp;sourceID=14","0.115")</f>
        <v>0.115</v>
      </c>
    </row>
    <row r="15890" spans="1:7">
      <c r="A15890" s="3"/>
      <c r="B15890" s="3"/>
      <c r="C15890" s="3"/>
      <c r="D15890" s="3"/>
      <c r="E15890" s="3">
        <v>7</v>
      </c>
      <c r="F15890" s="4" t="str">
        <f>HYPERLINK("http://141.218.60.56/~jnz1568/getInfo.php?workbook=10_05.xlsx&amp;sheet=U0&amp;row=15890&amp;col=6&amp;number=3.6&amp;sourceID=14","3.6")</f>
        <v>3.6</v>
      </c>
      <c r="G15890" s="4" t="str">
        <f>HYPERLINK("http://141.218.60.56/~jnz1568/getInfo.php?workbook=10_05.xlsx&amp;sheet=U0&amp;row=15890&amp;col=7&amp;number=0.114&amp;sourceID=14","0.114")</f>
        <v>0.114</v>
      </c>
    </row>
    <row r="15891" spans="1:7">
      <c r="A15891" s="3"/>
      <c r="B15891" s="3"/>
      <c r="C15891" s="3"/>
      <c r="D15891" s="3"/>
      <c r="E15891" s="3">
        <v>8</v>
      </c>
      <c r="F15891" s="4" t="str">
        <f>HYPERLINK("http://141.218.60.56/~jnz1568/getInfo.php?workbook=10_05.xlsx&amp;sheet=U0&amp;row=15891&amp;col=6&amp;number=3.7&amp;sourceID=14","3.7")</f>
        <v>3.7</v>
      </c>
      <c r="G15891" s="4" t="str">
        <f>HYPERLINK("http://141.218.60.56/~jnz1568/getInfo.php?workbook=10_05.xlsx&amp;sheet=U0&amp;row=15891&amp;col=7&amp;number=0.113&amp;sourceID=14","0.113")</f>
        <v>0.113</v>
      </c>
    </row>
    <row r="15892" spans="1:7">
      <c r="A15892" s="3"/>
      <c r="B15892" s="3"/>
      <c r="C15892" s="3"/>
      <c r="D15892" s="3"/>
      <c r="E15892" s="3">
        <v>9</v>
      </c>
      <c r="F15892" s="4" t="str">
        <f>HYPERLINK("http://141.218.60.56/~jnz1568/getInfo.php?workbook=10_05.xlsx&amp;sheet=U0&amp;row=15892&amp;col=6&amp;number=3.8&amp;sourceID=14","3.8")</f>
        <v>3.8</v>
      </c>
      <c r="G15892" s="4" t="str">
        <f>HYPERLINK("http://141.218.60.56/~jnz1568/getInfo.php?workbook=10_05.xlsx&amp;sheet=U0&amp;row=15892&amp;col=7&amp;number=0.112&amp;sourceID=14","0.112")</f>
        <v>0.112</v>
      </c>
    </row>
    <row r="15893" spans="1:7">
      <c r="A15893" s="3"/>
      <c r="B15893" s="3"/>
      <c r="C15893" s="3"/>
      <c r="D15893" s="3"/>
      <c r="E15893" s="3">
        <v>10</v>
      </c>
      <c r="F15893" s="4" t="str">
        <f>HYPERLINK("http://141.218.60.56/~jnz1568/getInfo.php?workbook=10_05.xlsx&amp;sheet=U0&amp;row=15893&amp;col=6&amp;number=3.9&amp;sourceID=14","3.9")</f>
        <v>3.9</v>
      </c>
      <c r="G15893" s="4" t="str">
        <f>HYPERLINK("http://141.218.60.56/~jnz1568/getInfo.php?workbook=10_05.xlsx&amp;sheet=U0&amp;row=15893&amp;col=7&amp;number=0.111&amp;sourceID=14","0.111")</f>
        <v>0.111</v>
      </c>
    </row>
    <row r="15894" spans="1:7">
      <c r="A15894" s="3"/>
      <c r="B15894" s="3"/>
      <c r="C15894" s="3"/>
      <c r="D15894" s="3"/>
      <c r="E15894" s="3">
        <v>11</v>
      </c>
      <c r="F15894" s="4" t="str">
        <f>HYPERLINK("http://141.218.60.56/~jnz1568/getInfo.php?workbook=10_05.xlsx&amp;sheet=U0&amp;row=15894&amp;col=6&amp;number=4&amp;sourceID=14","4")</f>
        <v>4</v>
      </c>
      <c r="G15894" s="4" t="str">
        <f>HYPERLINK("http://141.218.60.56/~jnz1568/getInfo.php?workbook=10_05.xlsx&amp;sheet=U0&amp;row=15894&amp;col=7&amp;number=0.109&amp;sourceID=14","0.109")</f>
        <v>0.109</v>
      </c>
    </row>
    <row r="15895" spans="1:7">
      <c r="A15895" s="3"/>
      <c r="B15895" s="3"/>
      <c r="C15895" s="3"/>
      <c r="D15895" s="3"/>
      <c r="E15895" s="3">
        <v>12</v>
      </c>
      <c r="F15895" s="4" t="str">
        <f>HYPERLINK("http://141.218.60.56/~jnz1568/getInfo.php?workbook=10_05.xlsx&amp;sheet=U0&amp;row=15895&amp;col=6&amp;number=4.1&amp;sourceID=14","4.1")</f>
        <v>4.1</v>
      </c>
      <c r="G15895" s="4" t="str">
        <f>HYPERLINK("http://141.218.60.56/~jnz1568/getInfo.php?workbook=10_05.xlsx&amp;sheet=U0&amp;row=15895&amp;col=7&amp;number=0.107&amp;sourceID=14","0.107")</f>
        <v>0.107</v>
      </c>
    </row>
    <row r="15896" spans="1:7">
      <c r="A15896" s="3"/>
      <c r="B15896" s="3"/>
      <c r="C15896" s="3"/>
      <c r="D15896" s="3"/>
      <c r="E15896" s="3">
        <v>13</v>
      </c>
      <c r="F15896" s="4" t="str">
        <f>HYPERLINK("http://141.218.60.56/~jnz1568/getInfo.php?workbook=10_05.xlsx&amp;sheet=U0&amp;row=15896&amp;col=6&amp;number=4.2&amp;sourceID=14","4.2")</f>
        <v>4.2</v>
      </c>
      <c r="G15896" s="4" t="str">
        <f>HYPERLINK("http://141.218.60.56/~jnz1568/getInfo.php?workbook=10_05.xlsx&amp;sheet=U0&amp;row=15896&amp;col=7&amp;number=0.105&amp;sourceID=14","0.105")</f>
        <v>0.105</v>
      </c>
    </row>
    <row r="15897" spans="1:7">
      <c r="A15897" s="3"/>
      <c r="B15897" s="3"/>
      <c r="C15897" s="3"/>
      <c r="D15897" s="3"/>
      <c r="E15897" s="3">
        <v>14</v>
      </c>
      <c r="F15897" s="4" t="str">
        <f>HYPERLINK("http://141.218.60.56/~jnz1568/getInfo.php?workbook=10_05.xlsx&amp;sheet=U0&amp;row=15897&amp;col=6&amp;number=4.3&amp;sourceID=14","4.3")</f>
        <v>4.3</v>
      </c>
      <c r="G15897" s="4" t="str">
        <f>HYPERLINK("http://141.218.60.56/~jnz1568/getInfo.php?workbook=10_05.xlsx&amp;sheet=U0&amp;row=15897&amp;col=7&amp;number=0.102&amp;sourceID=14","0.102")</f>
        <v>0.102</v>
      </c>
    </row>
    <row r="15898" spans="1:7">
      <c r="A15898" s="3"/>
      <c r="B15898" s="3"/>
      <c r="C15898" s="3"/>
      <c r="D15898" s="3"/>
      <c r="E15898" s="3">
        <v>15</v>
      </c>
      <c r="F15898" s="4" t="str">
        <f>HYPERLINK("http://141.218.60.56/~jnz1568/getInfo.php?workbook=10_05.xlsx&amp;sheet=U0&amp;row=15898&amp;col=6&amp;number=4.4&amp;sourceID=14","4.4")</f>
        <v>4.4</v>
      </c>
      <c r="G15898" s="4" t="str">
        <f>HYPERLINK("http://141.218.60.56/~jnz1568/getInfo.php?workbook=10_05.xlsx&amp;sheet=U0&amp;row=15898&amp;col=7&amp;number=0.0979&amp;sourceID=14","0.0979")</f>
        <v>0.0979</v>
      </c>
    </row>
    <row r="15899" spans="1:7">
      <c r="A15899" s="3"/>
      <c r="B15899" s="3"/>
      <c r="C15899" s="3"/>
      <c r="D15899" s="3"/>
      <c r="E15899" s="3">
        <v>16</v>
      </c>
      <c r="F15899" s="4" t="str">
        <f>HYPERLINK("http://141.218.60.56/~jnz1568/getInfo.php?workbook=10_05.xlsx&amp;sheet=U0&amp;row=15899&amp;col=6&amp;number=4.5&amp;sourceID=14","4.5")</f>
        <v>4.5</v>
      </c>
      <c r="G15899" s="4" t="str">
        <f>HYPERLINK("http://141.218.60.56/~jnz1568/getInfo.php?workbook=10_05.xlsx&amp;sheet=U0&amp;row=15899&amp;col=7&amp;number=0.0935&amp;sourceID=14","0.0935")</f>
        <v>0.0935</v>
      </c>
    </row>
    <row r="15900" spans="1:7">
      <c r="A15900" s="3"/>
      <c r="B15900" s="3"/>
      <c r="C15900" s="3"/>
      <c r="D15900" s="3"/>
      <c r="E15900" s="3">
        <v>17</v>
      </c>
      <c r="F15900" s="4" t="str">
        <f>HYPERLINK("http://141.218.60.56/~jnz1568/getInfo.php?workbook=10_05.xlsx&amp;sheet=U0&amp;row=15900&amp;col=6&amp;number=4.6&amp;sourceID=14","4.6")</f>
        <v>4.6</v>
      </c>
      <c r="G15900" s="4" t="str">
        <f>HYPERLINK("http://141.218.60.56/~jnz1568/getInfo.php?workbook=10_05.xlsx&amp;sheet=U0&amp;row=15900&amp;col=7&amp;number=0.0884&amp;sourceID=14","0.0884")</f>
        <v>0.0884</v>
      </c>
    </row>
    <row r="15901" spans="1:7">
      <c r="A15901" s="3"/>
      <c r="B15901" s="3"/>
      <c r="C15901" s="3"/>
      <c r="D15901" s="3"/>
      <c r="E15901" s="3">
        <v>18</v>
      </c>
      <c r="F15901" s="4" t="str">
        <f>HYPERLINK("http://141.218.60.56/~jnz1568/getInfo.php?workbook=10_05.xlsx&amp;sheet=U0&amp;row=15901&amp;col=6&amp;number=4.7&amp;sourceID=14","4.7")</f>
        <v>4.7</v>
      </c>
      <c r="G15901" s="4" t="str">
        <f>HYPERLINK("http://141.218.60.56/~jnz1568/getInfo.php?workbook=10_05.xlsx&amp;sheet=U0&amp;row=15901&amp;col=7&amp;number=0.0826&amp;sourceID=14","0.0826")</f>
        <v>0.0826</v>
      </c>
    </row>
    <row r="15902" spans="1:7">
      <c r="A15902" s="3"/>
      <c r="B15902" s="3"/>
      <c r="C15902" s="3"/>
      <c r="D15902" s="3"/>
      <c r="E15902" s="3">
        <v>19</v>
      </c>
      <c r="F15902" s="4" t="str">
        <f>HYPERLINK("http://141.218.60.56/~jnz1568/getInfo.php?workbook=10_05.xlsx&amp;sheet=U0&amp;row=15902&amp;col=6&amp;number=4.8&amp;sourceID=14","4.8")</f>
        <v>4.8</v>
      </c>
      <c r="G15902" s="4" t="str">
        <f>HYPERLINK("http://141.218.60.56/~jnz1568/getInfo.php?workbook=10_05.xlsx&amp;sheet=U0&amp;row=15902&amp;col=7&amp;number=0.0762&amp;sourceID=14","0.0762")</f>
        <v>0.0762</v>
      </c>
    </row>
    <row r="15903" spans="1:7">
      <c r="A15903" s="3"/>
      <c r="B15903" s="3"/>
      <c r="C15903" s="3"/>
      <c r="D15903" s="3"/>
      <c r="E15903" s="3">
        <v>20</v>
      </c>
      <c r="F15903" s="4" t="str">
        <f>HYPERLINK("http://141.218.60.56/~jnz1568/getInfo.php?workbook=10_05.xlsx&amp;sheet=U0&amp;row=15903&amp;col=6&amp;number=4.9&amp;sourceID=14","4.9")</f>
        <v>4.9</v>
      </c>
      <c r="G15903" s="4" t="str">
        <f>HYPERLINK("http://141.218.60.56/~jnz1568/getInfo.php?workbook=10_05.xlsx&amp;sheet=U0&amp;row=15903&amp;col=7&amp;number=0.0695&amp;sourceID=14","0.0695")</f>
        <v>0.0695</v>
      </c>
    </row>
    <row r="15904" spans="1:7">
      <c r="A15904" s="3">
        <v>10</v>
      </c>
      <c r="B15904" s="3">
        <v>5</v>
      </c>
      <c r="C15904" s="3">
        <v>5</v>
      </c>
      <c r="D15904" s="3">
        <v>91</v>
      </c>
      <c r="E15904" s="3">
        <v>1</v>
      </c>
      <c r="F15904" s="4" t="str">
        <f>HYPERLINK("http://141.218.60.56/~jnz1568/getInfo.php?workbook=10_05.xlsx&amp;sheet=U0&amp;row=15904&amp;col=6&amp;number=3&amp;sourceID=14","3")</f>
        <v>3</v>
      </c>
      <c r="G15904" s="4" t="str">
        <f>HYPERLINK("http://141.218.60.56/~jnz1568/getInfo.php?workbook=10_05.xlsx&amp;sheet=U0&amp;row=15904&amp;col=7&amp;number=0.0107&amp;sourceID=14","0.0107")</f>
        <v>0.0107</v>
      </c>
    </row>
    <row r="15905" spans="1:7">
      <c r="A15905" s="3"/>
      <c r="B15905" s="3"/>
      <c r="C15905" s="3"/>
      <c r="D15905" s="3"/>
      <c r="E15905" s="3">
        <v>2</v>
      </c>
      <c r="F15905" s="4" t="str">
        <f>HYPERLINK("http://141.218.60.56/~jnz1568/getInfo.php?workbook=10_05.xlsx&amp;sheet=U0&amp;row=15905&amp;col=6&amp;number=3.1&amp;sourceID=14","3.1")</f>
        <v>3.1</v>
      </c>
      <c r="G15905" s="4" t="str">
        <f>HYPERLINK("http://141.218.60.56/~jnz1568/getInfo.php?workbook=10_05.xlsx&amp;sheet=U0&amp;row=15905&amp;col=7&amp;number=0.0109&amp;sourceID=14","0.0109")</f>
        <v>0.0109</v>
      </c>
    </row>
    <row r="15906" spans="1:7">
      <c r="A15906" s="3"/>
      <c r="B15906" s="3"/>
      <c r="C15906" s="3"/>
      <c r="D15906" s="3"/>
      <c r="E15906" s="3">
        <v>3</v>
      </c>
      <c r="F15906" s="4" t="str">
        <f>HYPERLINK("http://141.218.60.56/~jnz1568/getInfo.php?workbook=10_05.xlsx&amp;sheet=U0&amp;row=15906&amp;col=6&amp;number=3.2&amp;sourceID=14","3.2")</f>
        <v>3.2</v>
      </c>
      <c r="G15906" s="4" t="str">
        <f>HYPERLINK("http://141.218.60.56/~jnz1568/getInfo.php?workbook=10_05.xlsx&amp;sheet=U0&amp;row=15906&amp;col=7&amp;number=0.0111&amp;sourceID=14","0.0111")</f>
        <v>0.0111</v>
      </c>
    </row>
    <row r="15907" spans="1:7">
      <c r="A15907" s="3"/>
      <c r="B15907" s="3"/>
      <c r="C15907" s="3"/>
      <c r="D15907" s="3"/>
      <c r="E15907" s="3">
        <v>4</v>
      </c>
      <c r="F15907" s="4" t="str">
        <f>HYPERLINK("http://141.218.60.56/~jnz1568/getInfo.php?workbook=10_05.xlsx&amp;sheet=U0&amp;row=15907&amp;col=6&amp;number=3.3&amp;sourceID=14","3.3")</f>
        <v>3.3</v>
      </c>
      <c r="G15907" s="4" t="str">
        <f>HYPERLINK("http://141.218.60.56/~jnz1568/getInfo.php?workbook=10_05.xlsx&amp;sheet=U0&amp;row=15907&amp;col=7&amp;number=0.0114&amp;sourceID=14","0.0114")</f>
        <v>0.0114</v>
      </c>
    </row>
    <row r="15908" spans="1:7">
      <c r="A15908" s="3"/>
      <c r="B15908" s="3"/>
      <c r="C15908" s="3"/>
      <c r="D15908" s="3"/>
      <c r="E15908" s="3">
        <v>5</v>
      </c>
      <c r="F15908" s="4" t="str">
        <f>HYPERLINK("http://141.218.60.56/~jnz1568/getInfo.php?workbook=10_05.xlsx&amp;sheet=U0&amp;row=15908&amp;col=6&amp;number=3.4&amp;sourceID=14","3.4")</f>
        <v>3.4</v>
      </c>
      <c r="G15908" s="4" t="str">
        <f>HYPERLINK("http://141.218.60.56/~jnz1568/getInfo.php?workbook=10_05.xlsx&amp;sheet=U0&amp;row=15908&amp;col=7&amp;number=0.0118&amp;sourceID=14","0.0118")</f>
        <v>0.0118</v>
      </c>
    </row>
    <row r="15909" spans="1:7">
      <c r="A15909" s="3"/>
      <c r="B15909" s="3"/>
      <c r="C15909" s="3"/>
      <c r="D15909" s="3"/>
      <c r="E15909" s="3">
        <v>6</v>
      </c>
      <c r="F15909" s="4" t="str">
        <f>HYPERLINK("http://141.218.60.56/~jnz1568/getInfo.php?workbook=10_05.xlsx&amp;sheet=U0&amp;row=15909&amp;col=6&amp;number=3.5&amp;sourceID=14","3.5")</f>
        <v>3.5</v>
      </c>
      <c r="G15909" s="4" t="str">
        <f>HYPERLINK("http://141.218.60.56/~jnz1568/getInfo.php?workbook=10_05.xlsx&amp;sheet=U0&amp;row=15909&amp;col=7&amp;number=0.0123&amp;sourceID=14","0.0123")</f>
        <v>0.0123</v>
      </c>
    </row>
    <row r="15910" spans="1:7">
      <c r="A15910" s="3"/>
      <c r="B15910" s="3"/>
      <c r="C15910" s="3"/>
      <c r="D15910" s="3"/>
      <c r="E15910" s="3">
        <v>7</v>
      </c>
      <c r="F15910" s="4" t="str">
        <f>HYPERLINK("http://141.218.60.56/~jnz1568/getInfo.php?workbook=10_05.xlsx&amp;sheet=U0&amp;row=15910&amp;col=6&amp;number=3.6&amp;sourceID=14","3.6")</f>
        <v>3.6</v>
      </c>
      <c r="G15910" s="4" t="str">
        <f>HYPERLINK("http://141.218.60.56/~jnz1568/getInfo.php?workbook=10_05.xlsx&amp;sheet=U0&amp;row=15910&amp;col=7&amp;number=0.0128&amp;sourceID=14","0.0128")</f>
        <v>0.0128</v>
      </c>
    </row>
    <row r="15911" spans="1:7">
      <c r="A15911" s="3"/>
      <c r="B15911" s="3"/>
      <c r="C15911" s="3"/>
      <c r="D15911" s="3"/>
      <c r="E15911" s="3">
        <v>8</v>
      </c>
      <c r="F15911" s="4" t="str">
        <f>HYPERLINK("http://141.218.60.56/~jnz1568/getInfo.php?workbook=10_05.xlsx&amp;sheet=U0&amp;row=15911&amp;col=6&amp;number=3.7&amp;sourceID=14","3.7")</f>
        <v>3.7</v>
      </c>
      <c r="G15911" s="4" t="str">
        <f>HYPERLINK("http://141.218.60.56/~jnz1568/getInfo.php?workbook=10_05.xlsx&amp;sheet=U0&amp;row=15911&amp;col=7&amp;number=0.0133&amp;sourceID=14","0.0133")</f>
        <v>0.0133</v>
      </c>
    </row>
    <row r="15912" spans="1:7">
      <c r="A15912" s="3"/>
      <c r="B15912" s="3"/>
      <c r="C15912" s="3"/>
      <c r="D15912" s="3"/>
      <c r="E15912" s="3">
        <v>9</v>
      </c>
      <c r="F15912" s="4" t="str">
        <f>HYPERLINK("http://141.218.60.56/~jnz1568/getInfo.php?workbook=10_05.xlsx&amp;sheet=U0&amp;row=15912&amp;col=6&amp;number=3.8&amp;sourceID=14","3.8")</f>
        <v>3.8</v>
      </c>
      <c r="G15912" s="4" t="str">
        <f>HYPERLINK("http://141.218.60.56/~jnz1568/getInfo.php?workbook=10_05.xlsx&amp;sheet=U0&amp;row=15912&amp;col=7&amp;number=0.0139&amp;sourceID=14","0.0139")</f>
        <v>0.0139</v>
      </c>
    </row>
    <row r="15913" spans="1:7">
      <c r="A15913" s="3"/>
      <c r="B15913" s="3"/>
      <c r="C15913" s="3"/>
      <c r="D15913" s="3"/>
      <c r="E15913" s="3">
        <v>10</v>
      </c>
      <c r="F15913" s="4" t="str">
        <f>HYPERLINK("http://141.218.60.56/~jnz1568/getInfo.php?workbook=10_05.xlsx&amp;sheet=U0&amp;row=15913&amp;col=6&amp;number=3.9&amp;sourceID=14","3.9")</f>
        <v>3.9</v>
      </c>
      <c r="G15913" s="4" t="str">
        <f>HYPERLINK("http://141.218.60.56/~jnz1568/getInfo.php?workbook=10_05.xlsx&amp;sheet=U0&amp;row=15913&amp;col=7&amp;number=0.0144&amp;sourceID=14","0.0144")</f>
        <v>0.0144</v>
      </c>
    </row>
    <row r="15914" spans="1:7">
      <c r="A15914" s="3"/>
      <c r="B15914" s="3"/>
      <c r="C15914" s="3"/>
      <c r="D15914" s="3"/>
      <c r="E15914" s="3">
        <v>11</v>
      </c>
      <c r="F15914" s="4" t="str">
        <f>HYPERLINK("http://141.218.60.56/~jnz1568/getInfo.php?workbook=10_05.xlsx&amp;sheet=U0&amp;row=15914&amp;col=6&amp;number=4&amp;sourceID=14","4")</f>
        <v>4</v>
      </c>
      <c r="G15914" s="4" t="str">
        <f>HYPERLINK("http://141.218.60.56/~jnz1568/getInfo.php?workbook=10_05.xlsx&amp;sheet=U0&amp;row=15914&amp;col=7&amp;number=0.0146&amp;sourceID=14","0.0146")</f>
        <v>0.0146</v>
      </c>
    </row>
    <row r="15915" spans="1:7">
      <c r="A15915" s="3"/>
      <c r="B15915" s="3"/>
      <c r="C15915" s="3"/>
      <c r="D15915" s="3"/>
      <c r="E15915" s="3">
        <v>12</v>
      </c>
      <c r="F15915" s="4" t="str">
        <f>HYPERLINK("http://141.218.60.56/~jnz1568/getInfo.php?workbook=10_05.xlsx&amp;sheet=U0&amp;row=15915&amp;col=6&amp;number=4.1&amp;sourceID=14","4.1")</f>
        <v>4.1</v>
      </c>
      <c r="G15915" s="4" t="str">
        <f>HYPERLINK("http://141.218.60.56/~jnz1568/getInfo.php?workbook=10_05.xlsx&amp;sheet=U0&amp;row=15915&amp;col=7&amp;number=0.0145&amp;sourceID=14","0.0145")</f>
        <v>0.0145</v>
      </c>
    </row>
    <row r="15916" spans="1:7">
      <c r="A15916" s="3"/>
      <c r="B15916" s="3"/>
      <c r="C15916" s="3"/>
      <c r="D15916" s="3"/>
      <c r="E15916" s="3">
        <v>13</v>
      </c>
      <c r="F15916" s="4" t="str">
        <f>HYPERLINK("http://141.218.60.56/~jnz1568/getInfo.php?workbook=10_05.xlsx&amp;sheet=U0&amp;row=15916&amp;col=6&amp;number=4.2&amp;sourceID=14","4.2")</f>
        <v>4.2</v>
      </c>
      <c r="G15916" s="4" t="str">
        <f>HYPERLINK("http://141.218.60.56/~jnz1568/getInfo.php?workbook=10_05.xlsx&amp;sheet=U0&amp;row=15916&amp;col=7&amp;number=0.0141&amp;sourceID=14","0.0141")</f>
        <v>0.0141</v>
      </c>
    </row>
    <row r="15917" spans="1:7">
      <c r="A15917" s="3"/>
      <c r="B15917" s="3"/>
      <c r="C15917" s="3"/>
      <c r="D15917" s="3"/>
      <c r="E15917" s="3">
        <v>14</v>
      </c>
      <c r="F15917" s="4" t="str">
        <f>HYPERLINK("http://141.218.60.56/~jnz1568/getInfo.php?workbook=10_05.xlsx&amp;sheet=U0&amp;row=15917&amp;col=6&amp;number=4.3&amp;sourceID=14","4.3")</f>
        <v>4.3</v>
      </c>
      <c r="G15917" s="4" t="str">
        <f>HYPERLINK("http://141.218.60.56/~jnz1568/getInfo.php?workbook=10_05.xlsx&amp;sheet=U0&amp;row=15917&amp;col=7&amp;number=0.0134&amp;sourceID=14","0.0134")</f>
        <v>0.0134</v>
      </c>
    </row>
    <row r="15918" spans="1:7">
      <c r="A15918" s="3"/>
      <c r="B15918" s="3"/>
      <c r="C15918" s="3"/>
      <c r="D15918" s="3"/>
      <c r="E15918" s="3">
        <v>15</v>
      </c>
      <c r="F15918" s="4" t="str">
        <f>HYPERLINK("http://141.218.60.56/~jnz1568/getInfo.php?workbook=10_05.xlsx&amp;sheet=U0&amp;row=15918&amp;col=6&amp;number=4.4&amp;sourceID=14","4.4")</f>
        <v>4.4</v>
      </c>
      <c r="G15918" s="4" t="str">
        <f>HYPERLINK("http://141.218.60.56/~jnz1568/getInfo.php?workbook=10_05.xlsx&amp;sheet=U0&amp;row=15918&amp;col=7&amp;number=0.0128&amp;sourceID=14","0.0128")</f>
        <v>0.0128</v>
      </c>
    </row>
    <row r="15919" spans="1:7">
      <c r="A15919" s="3"/>
      <c r="B15919" s="3"/>
      <c r="C15919" s="3"/>
      <c r="D15919" s="3"/>
      <c r="E15919" s="3">
        <v>16</v>
      </c>
      <c r="F15919" s="4" t="str">
        <f>HYPERLINK("http://141.218.60.56/~jnz1568/getInfo.php?workbook=10_05.xlsx&amp;sheet=U0&amp;row=15919&amp;col=6&amp;number=4.5&amp;sourceID=14","4.5")</f>
        <v>4.5</v>
      </c>
      <c r="G15919" s="4" t="str">
        <f>HYPERLINK("http://141.218.60.56/~jnz1568/getInfo.php?workbook=10_05.xlsx&amp;sheet=U0&amp;row=15919&amp;col=7&amp;number=0.0121&amp;sourceID=14","0.0121")</f>
        <v>0.0121</v>
      </c>
    </row>
    <row r="15920" spans="1:7">
      <c r="A15920" s="3"/>
      <c r="B15920" s="3"/>
      <c r="C15920" s="3"/>
      <c r="D15920" s="3"/>
      <c r="E15920" s="3">
        <v>17</v>
      </c>
      <c r="F15920" s="4" t="str">
        <f>HYPERLINK("http://141.218.60.56/~jnz1568/getInfo.php?workbook=10_05.xlsx&amp;sheet=U0&amp;row=15920&amp;col=6&amp;number=4.6&amp;sourceID=14","4.6")</f>
        <v>4.6</v>
      </c>
      <c r="G15920" s="4" t="str">
        <f>HYPERLINK("http://141.218.60.56/~jnz1568/getInfo.php?workbook=10_05.xlsx&amp;sheet=U0&amp;row=15920&amp;col=7&amp;number=0.0111&amp;sourceID=14","0.0111")</f>
        <v>0.0111</v>
      </c>
    </row>
    <row r="15921" spans="1:7">
      <c r="A15921" s="3"/>
      <c r="B15921" s="3"/>
      <c r="C15921" s="3"/>
      <c r="D15921" s="3"/>
      <c r="E15921" s="3">
        <v>18</v>
      </c>
      <c r="F15921" s="4" t="str">
        <f>HYPERLINK("http://141.218.60.56/~jnz1568/getInfo.php?workbook=10_05.xlsx&amp;sheet=U0&amp;row=15921&amp;col=6&amp;number=4.7&amp;sourceID=14","4.7")</f>
        <v>4.7</v>
      </c>
      <c r="G15921" s="4" t="str">
        <f>HYPERLINK("http://141.218.60.56/~jnz1568/getInfo.php?workbook=10_05.xlsx&amp;sheet=U0&amp;row=15921&amp;col=7&amp;number=0.00996&amp;sourceID=14","0.00996")</f>
        <v>0.00996</v>
      </c>
    </row>
    <row r="15922" spans="1:7">
      <c r="A15922" s="3"/>
      <c r="B15922" s="3"/>
      <c r="C15922" s="3"/>
      <c r="D15922" s="3"/>
      <c r="E15922" s="3">
        <v>19</v>
      </c>
      <c r="F15922" s="4" t="str">
        <f>HYPERLINK("http://141.218.60.56/~jnz1568/getInfo.php?workbook=10_05.xlsx&amp;sheet=U0&amp;row=15922&amp;col=6&amp;number=4.8&amp;sourceID=14","4.8")</f>
        <v>4.8</v>
      </c>
      <c r="G15922" s="4" t="str">
        <f>HYPERLINK("http://141.218.60.56/~jnz1568/getInfo.php?workbook=10_05.xlsx&amp;sheet=U0&amp;row=15922&amp;col=7&amp;number=0.00892&amp;sourceID=14","0.00892")</f>
        <v>0.00892</v>
      </c>
    </row>
    <row r="15923" spans="1:7">
      <c r="A15923" s="3"/>
      <c r="B15923" s="3"/>
      <c r="C15923" s="3"/>
      <c r="D15923" s="3"/>
      <c r="E15923" s="3">
        <v>20</v>
      </c>
      <c r="F15923" s="4" t="str">
        <f>HYPERLINK("http://141.218.60.56/~jnz1568/getInfo.php?workbook=10_05.xlsx&amp;sheet=U0&amp;row=15923&amp;col=6&amp;number=4.9&amp;sourceID=14","4.9")</f>
        <v>4.9</v>
      </c>
      <c r="G15923" s="4" t="str">
        <f>HYPERLINK("http://141.218.60.56/~jnz1568/getInfo.php?workbook=10_05.xlsx&amp;sheet=U0&amp;row=15923&amp;col=7&amp;number=0.00802&amp;sourceID=14","0.00802")</f>
        <v>0.00802</v>
      </c>
    </row>
    <row r="15924" spans="1:7">
      <c r="A15924" s="3">
        <v>10</v>
      </c>
      <c r="B15924" s="3">
        <v>5</v>
      </c>
      <c r="C15924" s="3">
        <v>5</v>
      </c>
      <c r="D15924" s="3">
        <v>92</v>
      </c>
      <c r="E15924" s="3">
        <v>1</v>
      </c>
      <c r="F15924" s="4" t="str">
        <f>HYPERLINK("http://141.218.60.56/~jnz1568/getInfo.php?workbook=10_05.xlsx&amp;sheet=U0&amp;row=15924&amp;col=6&amp;number=3&amp;sourceID=14","3")</f>
        <v>3</v>
      </c>
      <c r="G15924" s="4" t="str">
        <f>HYPERLINK("http://141.218.60.56/~jnz1568/getInfo.php?workbook=10_05.xlsx&amp;sheet=U0&amp;row=15924&amp;col=7&amp;number=0.0474&amp;sourceID=14","0.0474")</f>
        <v>0.0474</v>
      </c>
    </row>
    <row r="15925" spans="1:7">
      <c r="A15925" s="3"/>
      <c r="B15925" s="3"/>
      <c r="C15925" s="3"/>
      <c r="D15925" s="3"/>
      <c r="E15925" s="3">
        <v>2</v>
      </c>
      <c r="F15925" s="4" t="str">
        <f>HYPERLINK("http://141.218.60.56/~jnz1568/getInfo.php?workbook=10_05.xlsx&amp;sheet=U0&amp;row=15925&amp;col=6&amp;number=3.1&amp;sourceID=14","3.1")</f>
        <v>3.1</v>
      </c>
      <c r="G15925" s="4" t="str">
        <f>HYPERLINK("http://141.218.60.56/~jnz1568/getInfo.php?workbook=10_05.xlsx&amp;sheet=U0&amp;row=15925&amp;col=7&amp;number=0.0474&amp;sourceID=14","0.0474")</f>
        <v>0.0474</v>
      </c>
    </row>
    <row r="15926" spans="1:7">
      <c r="A15926" s="3"/>
      <c r="B15926" s="3"/>
      <c r="C15926" s="3"/>
      <c r="D15926" s="3"/>
      <c r="E15926" s="3">
        <v>3</v>
      </c>
      <c r="F15926" s="4" t="str">
        <f>HYPERLINK("http://141.218.60.56/~jnz1568/getInfo.php?workbook=10_05.xlsx&amp;sheet=U0&amp;row=15926&amp;col=6&amp;number=3.2&amp;sourceID=14","3.2")</f>
        <v>3.2</v>
      </c>
      <c r="G15926" s="4" t="str">
        <f>HYPERLINK("http://141.218.60.56/~jnz1568/getInfo.php?workbook=10_05.xlsx&amp;sheet=U0&amp;row=15926&amp;col=7&amp;number=0.0473&amp;sourceID=14","0.0473")</f>
        <v>0.0473</v>
      </c>
    </row>
    <row r="15927" spans="1:7">
      <c r="A15927" s="3"/>
      <c r="B15927" s="3"/>
      <c r="C15927" s="3"/>
      <c r="D15927" s="3"/>
      <c r="E15927" s="3">
        <v>4</v>
      </c>
      <c r="F15927" s="4" t="str">
        <f>HYPERLINK("http://141.218.60.56/~jnz1568/getInfo.php?workbook=10_05.xlsx&amp;sheet=U0&amp;row=15927&amp;col=6&amp;number=3.3&amp;sourceID=14","3.3")</f>
        <v>3.3</v>
      </c>
      <c r="G15927" s="4" t="str">
        <f>HYPERLINK("http://141.218.60.56/~jnz1568/getInfo.php?workbook=10_05.xlsx&amp;sheet=U0&amp;row=15927&amp;col=7&amp;number=0.0473&amp;sourceID=14","0.0473")</f>
        <v>0.0473</v>
      </c>
    </row>
    <row r="15928" spans="1:7">
      <c r="A15928" s="3"/>
      <c r="B15928" s="3"/>
      <c r="C15928" s="3"/>
      <c r="D15928" s="3"/>
      <c r="E15928" s="3">
        <v>5</v>
      </c>
      <c r="F15928" s="4" t="str">
        <f>HYPERLINK("http://141.218.60.56/~jnz1568/getInfo.php?workbook=10_05.xlsx&amp;sheet=U0&amp;row=15928&amp;col=6&amp;number=3.4&amp;sourceID=14","3.4")</f>
        <v>3.4</v>
      </c>
      <c r="G15928" s="4" t="str">
        <f>HYPERLINK("http://141.218.60.56/~jnz1568/getInfo.php?workbook=10_05.xlsx&amp;sheet=U0&amp;row=15928&amp;col=7&amp;number=0.0473&amp;sourceID=14","0.0473")</f>
        <v>0.0473</v>
      </c>
    </row>
    <row r="15929" spans="1:7">
      <c r="A15929" s="3"/>
      <c r="B15929" s="3"/>
      <c r="C15929" s="3"/>
      <c r="D15929" s="3"/>
      <c r="E15929" s="3">
        <v>6</v>
      </c>
      <c r="F15929" s="4" t="str">
        <f>HYPERLINK("http://141.218.60.56/~jnz1568/getInfo.php?workbook=10_05.xlsx&amp;sheet=U0&amp;row=15929&amp;col=6&amp;number=3.5&amp;sourceID=14","3.5")</f>
        <v>3.5</v>
      </c>
      <c r="G15929" s="4" t="str">
        <f>HYPERLINK("http://141.218.60.56/~jnz1568/getInfo.php?workbook=10_05.xlsx&amp;sheet=U0&amp;row=15929&amp;col=7&amp;number=0.0472&amp;sourceID=14","0.0472")</f>
        <v>0.0472</v>
      </c>
    </row>
    <row r="15930" spans="1:7">
      <c r="A15930" s="3"/>
      <c r="B15930" s="3"/>
      <c r="C15930" s="3"/>
      <c r="D15930" s="3"/>
      <c r="E15930" s="3">
        <v>7</v>
      </c>
      <c r="F15930" s="4" t="str">
        <f>HYPERLINK("http://141.218.60.56/~jnz1568/getInfo.php?workbook=10_05.xlsx&amp;sheet=U0&amp;row=15930&amp;col=6&amp;number=3.6&amp;sourceID=14","3.6")</f>
        <v>3.6</v>
      </c>
      <c r="G15930" s="4" t="str">
        <f>HYPERLINK("http://141.218.60.56/~jnz1568/getInfo.php?workbook=10_05.xlsx&amp;sheet=U0&amp;row=15930&amp;col=7&amp;number=0.0472&amp;sourceID=14","0.0472")</f>
        <v>0.0472</v>
      </c>
    </row>
    <row r="15931" spans="1:7">
      <c r="A15931" s="3"/>
      <c r="B15931" s="3"/>
      <c r="C15931" s="3"/>
      <c r="D15931" s="3"/>
      <c r="E15931" s="3">
        <v>8</v>
      </c>
      <c r="F15931" s="4" t="str">
        <f>HYPERLINK("http://141.218.60.56/~jnz1568/getInfo.php?workbook=10_05.xlsx&amp;sheet=U0&amp;row=15931&amp;col=6&amp;number=3.7&amp;sourceID=14","3.7")</f>
        <v>3.7</v>
      </c>
      <c r="G15931" s="4" t="str">
        <f>HYPERLINK("http://141.218.60.56/~jnz1568/getInfo.php?workbook=10_05.xlsx&amp;sheet=U0&amp;row=15931&amp;col=7&amp;number=0.0471&amp;sourceID=14","0.0471")</f>
        <v>0.0471</v>
      </c>
    </row>
    <row r="15932" spans="1:7">
      <c r="A15932" s="3"/>
      <c r="B15932" s="3"/>
      <c r="C15932" s="3"/>
      <c r="D15932" s="3"/>
      <c r="E15932" s="3">
        <v>9</v>
      </c>
      <c r="F15932" s="4" t="str">
        <f>HYPERLINK("http://141.218.60.56/~jnz1568/getInfo.php?workbook=10_05.xlsx&amp;sheet=U0&amp;row=15932&amp;col=6&amp;number=3.8&amp;sourceID=14","3.8")</f>
        <v>3.8</v>
      </c>
      <c r="G15932" s="4" t="str">
        <f>HYPERLINK("http://141.218.60.56/~jnz1568/getInfo.php?workbook=10_05.xlsx&amp;sheet=U0&amp;row=15932&amp;col=7&amp;number=0.047&amp;sourceID=14","0.047")</f>
        <v>0.047</v>
      </c>
    </row>
    <row r="15933" spans="1:7">
      <c r="A15933" s="3"/>
      <c r="B15933" s="3"/>
      <c r="C15933" s="3"/>
      <c r="D15933" s="3"/>
      <c r="E15933" s="3">
        <v>10</v>
      </c>
      <c r="F15933" s="4" t="str">
        <f>HYPERLINK("http://141.218.60.56/~jnz1568/getInfo.php?workbook=10_05.xlsx&amp;sheet=U0&amp;row=15933&amp;col=6&amp;number=3.9&amp;sourceID=14","3.9")</f>
        <v>3.9</v>
      </c>
      <c r="G15933" s="4" t="str">
        <f>HYPERLINK("http://141.218.60.56/~jnz1568/getInfo.php?workbook=10_05.xlsx&amp;sheet=U0&amp;row=15933&amp;col=7&amp;number=0.0468&amp;sourceID=14","0.0468")</f>
        <v>0.0468</v>
      </c>
    </row>
    <row r="15934" spans="1:7">
      <c r="A15934" s="3"/>
      <c r="B15934" s="3"/>
      <c r="C15934" s="3"/>
      <c r="D15934" s="3"/>
      <c r="E15934" s="3">
        <v>11</v>
      </c>
      <c r="F15934" s="4" t="str">
        <f>HYPERLINK("http://141.218.60.56/~jnz1568/getInfo.php?workbook=10_05.xlsx&amp;sheet=U0&amp;row=15934&amp;col=6&amp;number=4&amp;sourceID=14","4")</f>
        <v>4</v>
      </c>
      <c r="G15934" s="4" t="str">
        <f>HYPERLINK("http://141.218.60.56/~jnz1568/getInfo.php?workbook=10_05.xlsx&amp;sheet=U0&amp;row=15934&amp;col=7&amp;number=0.0464&amp;sourceID=14","0.0464")</f>
        <v>0.0464</v>
      </c>
    </row>
    <row r="15935" spans="1:7">
      <c r="A15935" s="3"/>
      <c r="B15935" s="3"/>
      <c r="C15935" s="3"/>
      <c r="D15935" s="3"/>
      <c r="E15935" s="3">
        <v>12</v>
      </c>
      <c r="F15935" s="4" t="str">
        <f>HYPERLINK("http://141.218.60.56/~jnz1568/getInfo.php?workbook=10_05.xlsx&amp;sheet=U0&amp;row=15935&amp;col=6&amp;number=4.1&amp;sourceID=14","4.1")</f>
        <v>4.1</v>
      </c>
      <c r="G15935" s="4" t="str">
        <f>HYPERLINK("http://141.218.60.56/~jnz1568/getInfo.php?workbook=10_05.xlsx&amp;sheet=U0&amp;row=15935&amp;col=7&amp;number=0.0459&amp;sourceID=14","0.0459")</f>
        <v>0.0459</v>
      </c>
    </row>
    <row r="15936" spans="1:7">
      <c r="A15936" s="3"/>
      <c r="B15936" s="3"/>
      <c r="C15936" s="3"/>
      <c r="D15936" s="3"/>
      <c r="E15936" s="3">
        <v>13</v>
      </c>
      <c r="F15936" s="4" t="str">
        <f>HYPERLINK("http://141.218.60.56/~jnz1568/getInfo.php?workbook=10_05.xlsx&amp;sheet=U0&amp;row=15936&amp;col=6&amp;number=4.2&amp;sourceID=14","4.2")</f>
        <v>4.2</v>
      </c>
      <c r="G15936" s="4" t="str">
        <f>HYPERLINK("http://141.218.60.56/~jnz1568/getInfo.php?workbook=10_05.xlsx&amp;sheet=U0&amp;row=15936&amp;col=7&amp;number=0.0451&amp;sourceID=14","0.0451")</f>
        <v>0.0451</v>
      </c>
    </row>
    <row r="15937" spans="1:7">
      <c r="A15937" s="3"/>
      <c r="B15937" s="3"/>
      <c r="C15937" s="3"/>
      <c r="D15937" s="3"/>
      <c r="E15937" s="3">
        <v>14</v>
      </c>
      <c r="F15937" s="4" t="str">
        <f>HYPERLINK("http://141.218.60.56/~jnz1568/getInfo.php?workbook=10_05.xlsx&amp;sheet=U0&amp;row=15937&amp;col=6&amp;number=4.3&amp;sourceID=14","4.3")</f>
        <v>4.3</v>
      </c>
      <c r="G15937" s="4" t="str">
        <f>HYPERLINK("http://141.218.60.56/~jnz1568/getInfo.php?workbook=10_05.xlsx&amp;sheet=U0&amp;row=15937&amp;col=7&amp;number=0.0438&amp;sourceID=14","0.0438")</f>
        <v>0.0438</v>
      </c>
    </row>
    <row r="15938" spans="1:7">
      <c r="A15938" s="3"/>
      <c r="B15938" s="3"/>
      <c r="C15938" s="3"/>
      <c r="D15938" s="3"/>
      <c r="E15938" s="3">
        <v>15</v>
      </c>
      <c r="F15938" s="4" t="str">
        <f>HYPERLINK("http://141.218.60.56/~jnz1568/getInfo.php?workbook=10_05.xlsx&amp;sheet=U0&amp;row=15938&amp;col=6&amp;number=4.4&amp;sourceID=14","4.4")</f>
        <v>4.4</v>
      </c>
      <c r="G15938" s="4" t="str">
        <f>HYPERLINK("http://141.218.60.56/~jnz1568/getInfo.php?workbook=10_05.xlsx&amp;sheet=U0&amp;row=15938&amp;col=7&amp;number=0.042&amp;sourceID=14","0.042")</f>
        <v>0.042</v>
      </c>
    </row>
    <row r="15939" spans="1:7">
      <c r="A15939" s="3"/>
      <c r="B15939" s="3"/>
      <c r="C15939" s="3"/>
      <c r="D15939" s="3"/>
      <c r="E15939" s="3">
        <v>16</v>
      </c>
      <c r="F15939" s="4" t="str">
        <f>HYPERLINK("http://141.218.60.56/~jnz1568/getInfo.php?workbook=10_05.xlsx&amp;sheet=U0&amp;row=15939&amp;col=6&amp;number=4.5&amp;sourceID=14","4.5")</f>
        <v>4.5</v>
      </c>
      <c r="G15939" s="4" t="str">
        <f>HYPERLINK("http://141.218.60.56/~jnz1568/getInfo.php?workbook=10_05.xlsx&amp;sheet=U0&amp;row=15939&amp;col=7&amp;number=0.0398&amp;sourceID=14","0.0398")</f>
        <v>0.0398</v>
      </c>
    </row>
    <row r="15940" spans="1:7">
      <c r="A15940" s="3"/>
      <c r="B15940" s="3"/>
      <c r="C15940" s="3"/>
      <c r="D15940" s="3"/>
      <c r="E15940" s="3">
        <v>17</v>
      </c>
      <c r="F15940" s="4" t="str">
        <f>HYPERLINK("http://141.218.60.56/~jnz1568/getInfo.php?workbook=10_05.xlsx&amp;sheet=U0&amp;row=15940&amp;col=6&amp;number=4.6&amp;sourceID=14","4.6")</f>
        <v>4.6</v>
      </c>
      <c r="G15940" s="4" t="str">
        <f>HYPERLINK("http://141.218.60.56/~jnz1568/getInfo.php?workbook=10_05.xlsx&amp;sheet=U0&amp;row=15940&amp;col=7&amp;number=0.0374&amp;sourceID=14","0.0374")</f>
        <v>0.0374</v>
      </c>
    </row>
    <row r="15941" spans="1:7">
      <c r="A15941" s="3"/>
      <c r="B15941" s="3"/>
      <c r="C15941" s="3"/>
      <c r="D15941" s="3"/>
      <c r="E15941" s="3">
        <v>18</v>
      </c>
      <c r="F15941" s="4" t="str">
        <f>HYPERLINK("http://141.218.60.56/~jnz1568/getInfo.php?workbook=10_05.xlsx&amp;sheet=U0&amp;row=15941&amp;col=6&amp;number=4.7&amp;sourceID=14","4.7")</f>
        <v>4.7</v>
      </c>
      <c r="G15941" s="4" t="str">
        <f>HYPERLINK("http://141.218.60.56/~jnz1568/getInfo.php?workbook=10_05.xlsx&amp;sheet=U0&amp;row=15941&amp;col=7&amp;number=0.035&amp;sourceID=14","0.035")</f>
        <v>0.035</v>
      </c>
    </row>
    <row r="15942" spans="1:7">
      <c r="A15942" s="3"/>
      <c r="B15942" s="3"/>
      <c r="C15942" s="3"/>
      <c r="D15942" s="3"/>
      <c r="E15942" s="3">
        <v>19</v>
      </c>
      <c r="F15942" s="4" t="str">
        <f>HYPERLINK("http://141.218.60.56/~jnz1568/getInfo.php?workbook=10_05.xlsx&amp;sheet=U0&amp;row=15942&amp;col=6&amp;number=4.8&amp;sourceID=14","4.8")</f>
        <v>4.8</v>
      </c>
      <c r="G15942" s="4" t="str">
        <f>HYPERLINK("http://141.218.60.56/~jnz1568/getInfo.php?workbook=10_05.xlsx&amp;sheet=U0&amp;row=15942&amp;col=7&amp;number=0.0325&amp;sourceID=14","0.0325")</f>
        <v>0.0325</v>
      </c>
    </row>
    <row r="15943" spans="1:7">
      <c r="A15943" s="3"/>
      <c r="B15943" s="3"/>
      <c r="C15943" s="3"/>
      <c r="D15943" s="3"/>
      <c r="E15943" s="3">
        <v>20</v>
      </c>
      <c r="F15943" s="4" t="str">
        <f>HYPERLINK("http://141.218.60.56/~jnz1568/getInfo.php?workbook=10_05.xlsx&amp;sheet=U0&amp;row=15943&amp;col=6&amp;number=4.9&amp;sourceID=14","4.9")</f>
        <v>4.9</v>
      </c>
      <c r="G15943" s="4" t="str">
        <f>HYPERLINK("http://141.218.60.56/~jnz1568/getInfo.php?workbook=10_05.xlsx&amp;sheet=U0&amp;row=15943&amp;col=7&amp;number=0.0299&amp;sourceID=14","0.0299")</f>
        <v>0.0299</v>
      </c>
    </row>
    <row r="15944" spans="1:7">
      <c r="A15944" s="3">
        <v>10</v>
      </c>
      <c r="B15944" s="3">
        <v>5</v>
      </c>
      <c r="C15944" s="3">
        <v>5</v>
      </c>
      <c r="D15944" s="3">
        <v>93</v>
      </c>
      <c r="E15944" s="3">
        <v>1</v>
      </c>
      <c r="F15944" s="4" t="str">
        <f>HYPERLINK("http://141.218.60.56/~jnz1568/getInfo.php?workbook=10_05.xlsx&amp;sheet=U0&amp;row=15944&amp;col=6&amp;number=3&amp;sourceID=14","3")</f>
        <v>3</v>
      </c>
      <c r="G15944" s="4" t="str">
        <f>HYPERLINK("http://141.218.60.56/~jnz1568/getInfo.php?workbook=10_05.xlsx&amp;sheet=U0&amp;row=15944&amp;col=7&amp;number=0.0217&amp;sourceID=14","0.0217")</f>
        <v>0.0217</v>
      </c>
    </row>
    <row r="15945" spans="1:7">
      <c r="A15945" s="3"/>
      <c r="B15945" s="3"/>
      <c r="C15945" s="3"/>
      <c r="D15945" s="3"/>
      <c r="E15945" s="3">
        <v>2</v>
      </c>
      <c r="F15945" s="4" t="str">
        <f>HYPERLINK("http://141.218.60.56/~jnz1568/getInfo.php?workbook=10_05.xlsx&amp;sheet=U0&amp;row=15945&amp;col=6&amp;number=3.1&amp;sourceID=14","3.1")</f>
        <v>3.1</v>
      </c>
      <c r="G15945" s="4" t="str">
        <f>HYPERLINK("http://141.218.60.56/~jnz1568/getInfo.php?workbook=10_05.xlsx&amp;sheet=U0&amp;row=15945&amp;col=7&amp;number=0.0217&amp;sourceID=14","0.0217")</f>
        <v>0.0217</v>
      </c>
    </row>
    <row r="15946" spans="1:7">
      <c r="A15946" s="3"/>
      <c r="B15946" s="3"/>
      <c r="C15946" s="3"/>
      <c r="D15946" s="3"/>
      <c r="E15946" s="3">
        <v>3</v>
      </c>
      <c r="F15946" s="4" t="str">
        <f>HYPERLINK("http://141.218.60.56/~jnz1568/getInfo.php?workbook=10_05.xlsx&amp;sheet=U0&amp;row=15946&amp;col=6&amp;number=3.2&amp;sourceID=14","3.2")</f>
        <v>3.2</v>
      </c>
      <c r="G15946" s="4" t="str">
        <f>HYPERLINK("http://141.218.60.56/~jnz1568/getInfo.php?workbook=10_05.xlsx&amp;sheet=U0&amp;row=15946&amp;col=7&amp;number=0.0216&amp;sourceID=14","0.0216")</f>
        <v>0.0216</v>
      </c>
    </row>
    <row r="15947" spans="1:7">
      <c r="A15947" s="3"/>
      <c r="B15947" s="3"/>
      <c r="C15947" s="3"/>
      <c r="D15947" s="3"/>
      <c r="E15947" s="3">
        <v>4</v>
      </c>
      <c r="F15947" s="4" t="str">
        <f>HYPERLINK("http://141.218.60.56/~jnz1568/getInfo.php?workbook=10_05.xlsx&amp;sheet=U0&amp;row=15947&amp;col=6&amp;number=3.3&amp;sourceID=14","3.3")</f>
        <v>3.3</v>
      </c>
      <c r="G15947" s="4" t="str">
        <f>HYPERLINK("http://141.218.60.56/~jnz1568/getInfo.php?workbook=10_05.xlsx&amp;sheet=U0&amp;row=15947&amp;col=7&amp;number=0.0215&amp;sourceID=14","0.0215")</f>
        <v>0.0215</v>
      </c>
    </row>
    <row r="15948" spans="1:7">
      <c r="A15948" s="3"/>
      <c r="B15948" s="3"/>
      <c r="C15948" s="3"/>
      <c r="D15948" s="3"/>
      <c r="E15948" s="3">
        <v>5</v>
      </c>
      <c r="F15948" s="4" t="str">
        <f>HYPERLINK("http://141.218.60.56/~jnz1568/getInfo.php?workbook=10_05.xlsx&amp;sheet=U0&amp;row=15948&amp;col=6&amp;number=3.4&amp;sourceID=14","3.4")</f>
        <v>3.4</v>
      </c>
      <c r="G15948" s="4" t="str">
        <f>HYPERLINK("http://141.218.60.56/~jnz1568/getInfo.php?workbook=10_05.xlsx&amp;sheet=U0&amp;row=15948&amp;col=7&amp;number=0.0215&amp;sourceID=14","0.0215")</f>
        <v>0.0215</v>
      </c>
    </row>
    <row r="15949" spans="1:7">
      <c r="A15949" s="3"/>
      <c r="B15949" s="3"/>
      <c r="C15949" s="3"/>
      <c r="D15949" s="3"/>
      <c r="E15949" s="3">
        <v>6</v>
      </c>
      <c r="F15949" s="4" t="str">
        <f>HYPERLINK("http://141.218.60.56/~jnz1568/getInfo.php?workbook=10_05.xlsx&amp;sheet=U0&amp;row=15949&amp;col=6&amp;number=3.5&amp;sourceID=14","3.5")</f>
        <v>3.5</v>
      </c>
      <c r="G15949" s="4" t="str">
        <f>HYPERLINK("http://141.218.60.56/~jnz1568/getInfo.php?workbook=10_05.xlsx&amp;sheet=U0&amp;row=15949&amp;col=7&amp;number=0.0213&amp;sourceID=14","0.0213")</f>
        <v>0.0213</v>
      </c>
    </row>
    <row r="15950" spans="1:7">
      <c r="A15950" s="3"/>
      <c r="B15950" s="3"/>
      <c r="C15950" s="3"/>
      <c r="D15950" s="3"/>
      <c r="E15950" s="3">
        <v>7</v>
      </c>
      <c r="F15950" s="4" t="str">
        <f>HYPERLINK("http://141.218.60.56/~jnz1568/getInfo.php?workbook=10_05.xlsx&amp;sheet=U0&amp;row=15950&amp;col=6&amp;number=3.6&amp;sourceID=14","3.6")</f>
        <v>3.6</v>
      </c>
      <c r="G15950" s="4" t="str">
        <f>HYPERLINK("http://141.218.60.56/~jnz1568/getInfo.php?workbook=10_05.xlsx&amp;sheet=U0&amp;row=15950&amp;col=7&amp;number=0.0212&amp;sourceID=14","0.0212")</f>
        <v>0.0212</v>
      </c>
    </row>
    <row r="15951" spans="1:7">
      <c r="A15951" s="3"/>
      <c r="B15951" s="3"/>
      <c r="C15951" s="3"/>
      <c r="D15951" s="3"/>
      <c r="E15951" s="3">
        <v>8</v>
      </c>
      <c r="F15951" s="4" t="str">
        <f>HYPERLINK("http://141.218.60.56/~jnz1568/getInfo.php?workbook=10_05.xlsx&amp;sheet=U0&amp;row=15951&amp;col=6&amp;number=3.7&amp;sourceID=14","3.7")</f>
        <v>3.7</v>
      </c>
      <c r="G15951" s="4" t="str">
        <f>HYPERLINK("http://141.218.60.56/~jnz1568/getInfo.php?workbook=10_05.xlsx&amp;sheet=U0&amp;row=15951&amp;col=7&amp;number=0.021&amp;sourceID=14","0.021")</f>
        <v>0.021</v>
      </c>
    </row>
    <row r="15952" spans="1:7">
      <c r="A15952" s="3"/>
      <c r="B15952" s="3"/>
      <c r="C15952" s="3"/>
      <c r="D15952" s="3"/>
      <c r="E15952" s="3">
        <v>9</v>
      </c>
      <c r="F15952" s="4" t="str">
        <f>HYPERLINK("http://141.218.60.56/~jnz1568/getInfo.php?workbook=10_05.xlsx&amp;sheet=U0&amp;row=15952&amp;col=6&amp;number=3.8&amp;sourceID=14","3.8")</f>
        <v>3.8</v>
      </c>
      <c r="G15952" s="4" t="str">
        <f>HYPERLINK("http://141.218.60.56/~jnz1568/getInfo.php?workbook=10_05.xlsx&amp;sheet=U0&amp;row=15952&amp;col=7&amp;number=0.0208&amp;sourceID=14","0.0208")</f>
        <v>0.0208</v>
      </c>
    </row>
    <row r="15953" spans="1:7">
      <c r="A15953" s="3"/>
      <c r="B15953" s="3"/>
      <c r="C15953" s="3"/>
      <c r="D15953" s="3"/>
      <c r="E15953" s="3">
        <v>10</v>
      </c>
      <c r="F15953" s="4" t="str">
        <f>HYPERLINK("http://141.218.60.56/~jnz1568/getInfo.php?workbook=10_05.xlsx&amp;sheet=U0&amp;row=15953&amp;col=6&amp;number=3.9&amp;sourceID=14","3.9")</f>
        <v>3.9</v>
      </c>
      <c r="G15953" s="4" t="str">
        <f>HYPERLINK("http://141.218.60.56/~jnz1568/getInfo.php?workbook=10_05.xlsx&amp;sheet=U0&amp;row=15953&amp;col=7&amp;number=0.0205&amp;sourceID=14","0.0205")</f>
        <v>0.0205</v>
      </c>
    </row>
    <row r="15954" spans="1:7">
      <c r="A15954" s="3"/>
      <c r="B15954" s="3"/>
      <c r="C15954" s="3"/>
      <c r="D15954" s="3"/>
      <c r="E15954" s="3">
        <v>11</v>
      </c>
      <c r="F15954" s="4" t="str">
        <f>HYPERLINK("http://141.218.60.56/~jnz1568/getInfo.php?workbook=10_05.xlsx&amp;sheet=U0&amp;row=15954&amp;col=6&amp;number=4&amp;sourceID=14","4")</f>
        <v>4</v>
      </c>
      <c r="G15954" s="4" t="str">
        <f>HYPERLINK("http://141.218.60.56/~jnz1568/getInfo.php?workbook=10_05.xlsx&amp;sheet=U0&amp;row=15954&amp;col=7&amp;number=0.0201&amp;sourceID=14","0.0201")</f>
        <v>0.0201</v>
      </c>
    </row>
    <row r="15955" spans="1:7">
      <c r="A15955" s="3"/>
      <c r="B15955" s="3"/>
      <c r="C15955" s="3"/>
      <c r="D15955" s="3"/>
      <c r="E15955" s="3">
        <v>12</v>
      </c>
      <c r="F15955" s="4" t="str">
        <f>HYPERLINK("http://141.218.60.56/~jnz1568/getInfo.php?workbook=10_05.xlsx&amp;sheet=U0&amp;row=15955&amp;col=6&amp;number=4.1&amp;sourceID=14","4.1")</f>
        <v>4.1</v>
      </c>
      <c r="G15955" s="4" t="str">
        <f>HYPERLINK("http://141.218.60.56/~jnz1568/getInfo.php?workbook=10_05.xlsx&amp;sheet=U0&amp;row=15955&amp;col=7&amp;number=0.0196&amp;sourceID=14","0.0196")</f>
        <v>0.0196</v>
      </c>
    </row>
    <row r="15956" spans="1:7">
      <c r="A15956" s="3"/>
      <c r="B15956" s="3"/>
      <c r="C15956" s="3"/>
      <c r="D15956" s="3"/>
      <c r="E15956" s="3">
        <v>13</v>
      </c>
      <c r="F15956" s="4" t="str">
        <f>HYPERLINK("http://141.218.60.56/~jnz1568/getInfo.php?workbook=10_05.xlsx&amp;sheet=U0&amp;row=15956&amp;col=6&amp;number=4.2&amp;sourceID=14","4.2")</f>
        <v>4.2</v>
      </c>
      <c r="G15956" s="4" t="str">
        <f>HYPERLINK("http://141.218.60.56/~jnz1568/getInfo.php?workbook=10_05.xlsx&amp;sheet=U0&amp;row=15956&amp;col=7&amp;number=0.019&amp;sourceID=14","0.019")</f>
        <v>0.019</v>
      </c>
    </row>
    <row r="15957" spans="1:7">
      <c r="A15957" s="3"/>
      <c r="B15957" s="3"/>
      <c r="C15957" s="3"/>
      <c r="D15957" s="3"/>
      <c r="E15957" s="3">
        <v>14</v>
      </c>
      <c r="F15957" s="4" t="str">
        <f>HYPERLINK("http://141.218.60.56/~jnz1568/getInfo.php?workbook=10_05.xlsx&amp;sheet=U0&amp;row=15957&amp;col=6&amp;number=4.3&amp;sourceID=14","4.3")</f>
        <v>4.3</v>
      </c>
      <c r="G15957" s="4" t="str">
        <f>HYPERLINK("http://141.218.60.56/~jnz1568/getInfo.php?workbook=10_05.xlsx&amp;sheet=U0&amp;row=15957&amp;col=7&amp;number=0.0182&amp;sourceID=14","0.0182")</f>
        <v>0.0182</v>
      </c>
    </row>
    <row r="15958" spans="1:7">
      <c r="A15958" s="3"/>
      <c r="B15958" s="3"/>
      <c r="C15958" s="3"/>
      <c r="D15958" s="3"/>
      <c r="E15958" s="3">
        <v>15</v>
      </c>
      <c r="F15958" s="4" t="str">
        <f>HYPERLINK("http://141.218.60.56/~jnz1568/getInfo.php?workbook=10_05.xlsx&amp;sheet=U0&amp;row=15958&amp;col=6&amp;number=4.4&amp;sourceID=14","4.4")</f>
        <v>4.4</v>
      </c>
      <c r="G15958" s="4" t="str">
        <f>HYPERLINK("http://141.218.60.56/~jnz1568/getInfo.php?workbook=10_05.xlsx&amp;sheet=U0&amp;row=15958&amp;col=7&amp;number=0.0171&amp;sourceID=14","0.0171")</f>
        <v>0.0171</v>
      </c>
    </row>
    <row r="15959" spans="1:7">
      <c r="A15959" s="3"/>
      <c r="B15959" s="3"/>
      <c r="C15959" s="3"/>
      <c r="D15959" s="3"/>
      <c r="E15959" s="3">
        <v>16</v>
      </c>
      <c r="F15959" s="4" t="str">
        <f>HYPERLINK("http://141.218.60.56/~jnz1568/getInfo.php?workbook=10_05.xlsx&amp;sheet=U0&amp;row=15959&amp;col=6&amp;number=4.5&amp;sourceID=14","4.5")</f>
        <v>4.5</v>
      </c>
      <c r="G15959" s="4" t="str">
        <f>HYPERLINK("http://141.218.60.56/~jnz1568/getInfo.php?workbook=10_05.xlsx&amp;sheet=U0&amp;row=15959&amp;col=7&amp;number=0.0158&amp;sourceID=14","0.0158")</f>
        <v>0.0158</v>
      </c>
    </row>
    <row r="15960" spans="1:7">
      <c r="A15960" s="3"/>
      <c r="B15960" s="3"/>
      <c r="C15960" s="3"/>
      <c r="D15960" s="3"/>
      <c r="E15960" s="3">
        <v>17</v>
      </c>
      <c r="F15960" s="4" t="str">
        <f>HYPERLINK("http://141.218.60.56/~jnz1568/getInfo.php?workbook=10_05.xlsx&amp;sheet=U0&amp;row=15960&amp;col=6&amp;number=4.6&amp;sourceID=14","4.6")</f>
        <v>4.6</v>
      </c>
      <c r="G15960" s="4" t="str">
        <f>HYPERLINK("http://141.218.60.56/~jnz1568/getInfo.php?workbook=10_05.xlsx&amp;sheet=U0&amp;row=15960&amp;col=7&amp;number=0.0143&amp;sourceID=14","0.0143")</f>
        <v>0.0143</v>
      </c>
    </row>
    <row r="15961" spans="1:7">
      <c r="A15961" s="3"/>
      <c r="B15961" s="3"/>
      <c r="C15961" s="3"/>
      <c r="D15961" s="3"/>
      <c r="E15961" s="3">
        <v>18</v>
      </c>
      <c r="F15961" s="4" t="str">
        <f>HYPERLINK("http://141.218.60.56/~jnz1568/getInfo.php?workbook=10_05.xlsx&amp;sheet=U0&amp;row=15961&amp;col=6&amp;number=4.7&amp;sourceID=14","4.7")</f>
        <v>4.7</v>
      </c>
      <c r="G15961" s="4" t="str">
        <f>HYPERLINK("http://141.218.60.56/~jnz1568/getInfo.php?workbook=10_05.xlsx&amp;sheet=U0&amp;row=15961&amp;col=7&amp;number=0.0129&amp;sourceID=14","0.0129")</f>
        <v>0.0129</v>
      </c>
    </row>
    <row r="15962" spans="1:7">
      <c r="A15962" s="3"/>
      <c r="B15962" s="3"/>
      <c r="C15962" s="3"/>
      <c r="D15962" s="3"/>
      <c r="E15962" s="3">
        <v>19</v>
      </c>
      <c r="F15962" s="4" t="str">
        <f>HYPERLINK("http://141.218.60.56/~jnz1568/getInfo.php?workbook=10_05.xlsx&amp;sheet=U0&amp;row=15962&amp;col=6&amp;number=4.8&amp;sourceID=14","4.8")</f>
        <v>4.8</v>
      </c>
      <c r="G15962" s="4" t="str">
        <f>HYPERLINK("http://141.218.60.56/~jnz1568/getInfo.php?workbook=10_05.xlsx&amp;sheet=U0&amp;row=15962&amp;col=7&amp;number=0.0115&amp;sourceID=14","0.0115")</f>
        <v>0.0115</v>
      </c>
    </row>
    <row r="15963" spans="1:7">
      <c r="A15963" s="3"/>
      <c r="B15963" s="3"/>
      <c r="C15963" s="3"/>
      <c r="D15963" s="3"/>
      <c r="E15963" s="3">
        <v>20</v>
      </c>
      <c r="F15963" s="4" t="str">
        <f>HYPERLINK("http://141.218.60.56/~jnz1568/getInfo.php?workbook=10_05.xlsx&amp;sheet=U0&amp;row=15963&amp;col=6&amp;number=4.9&amp;sourceID=14","4.9")</f>
        <v>4.9</v>
      </c>
      <c r="G15963" s="4" t="str">
        <f>HYPERLINK("http://141.218.60.56/~jnz1568/getInfo.php?workbook=10_05.xlsx&amp;sheet=U0&amp;row=15963&amp;col=7&amp;number=0.0101&amp;sourceID=14","0.0101")</f>
        <v>0.0101</v>
      </c>
    </row>
    <row r="15964" spans="1:7">
      <c r="A15964" s="3">
        <v>10</v>
      </c>
      <c r="B15964" s="3">
        <v>5</v>
      </c>
      <c r="C15964" s="3">
        <v>5</v>
      </c>
      <c r="D15964" s="3">
        <v>94</v>
      </c>
      <c r="E15964" s="3">
        <v>1</v>
      </c>
      <c r="F15964" s="4" t="str">
        <f>HYPERLINK("http://141.218.60.56/~jnz1568/getInfo.php?workbook=10_05.xlsx&amp;sheet=U0&amp;row=15964&amp;col=6&amp;number=3&amp;sourceID=14","3")</f>
        <v>3</v>
      </c>
      <c r="G15964" s="4" t="str">
        <f>HYPERLINK("http://141.218.60.56/~jnz1568/getInfo.php?workbook=10_05.xlsx&amp;sheet=U0&amp;row=15964&amp;col=7&amp;number=0.0497&amp;sourceID=14","0.0497")</f>
        <v>0.0497</v>
      </c>
    </row>
    <row r="15965" spans="1:7">
      <c r="A15965" s="3"/>
      <c r="B15965" s="3"/>
      <c r="C15965" s="3"/>
      <c r="D15965" s="3"/>
      <c r="E15965" s="3">
        <v>2</v>
      </c>
      <c r="F15965" s="4" t="str">
        <f>HYPERLINK("http://141.218.60.56/~jnz1568/getInfo.php?workbook=10_05.xlsx&amp;sheet=U0&amp;row=15965&amp;col=6&amp;number=3.1&amp;sourceID=14","3.1")</f>
        <v>3.1</v>
      </c>
      <c r="G15965" s="4" t="str">
        <f>HYPERLINK("http://141.218.60.56/~jnz1568/getInfo.php?workbook=10_05.xlsx&amp;sheet=U0&amp;row=15965&amp;col=7&amp;number=0.0499&amp;sourceID=14","0.0499")</f>
        <v>0.0499</v>
      </c>
    </row>
    <row r="15966" spans="1:7">
      <c r="A15966" s="3"/>
      <c r="B15966" s="3"/>
      <c r="C15966" s="3"/>
      <c r="D15966" s="3"/>
      <c r="E15966" s="3">
        <v>3</v>
      </c>
      <c r="F15966" s="4" t="str">
        <f>HYPERLINK("http://141.218.60.56/~jnz1568/getInfo.php?workbook=10_05.xlsx&amp;sheet=U0&amp;row=15966&amp;col=6&amp;number=3.2&amp;sourceID=14","3.2")</f>
        <v>3.2</v>
      </c>
      <c r="G15966" s="4" t="str">
        <f>HYPERLINK("http://141.218.60.56/~jnz1568/getInfo.php?workbook=10_05.xlsx&amp;sheet=U0&amp;row=15966&amp;col=7&amp;number=0.0502&amp;sourceID=14","0.0502")</f>
        <v>0.0502</v>
      </c>
    </row>
    <row r="15967" spans="1:7">
      <c r="A15967" s="3"/>
      <c r="B15967" s="3"/>
      <c r="C15967" s="3"/>
      <c r="D15967" s="3"/>
      <c r="E15967" s="3">
        <v>4</v>
      </c>
      <c r="F15967" s="4" t="str">
        <f>HYPERLINK("http://141.218.60.56/~jnz1568/getInfo.php?workbook=10_05.xlsx&amp;sheet=U0&amp;row=15967&amp;col=6&amp;number=3.3&amp;sourceID=14","3.3")</f>
        <v>3.3</v>
      </c>
      <c r="G15967" s="4" t="str">
        <f>HYPERLINK("http://141.218.60.56/~jnz1568/getInfo.php?workbook=10_05.xlsx&amp;sheet=U0&amp;row=15967&amp;col=7&amp;number=0.0506&amp;sourceID=14","0.0506")</f>
        <v>0.0506</v>
      </c>
    </row>
    <row r="15968" spans="1:7">
      <c r="A15968" s="3"/>
      <c r="B15968" s="3"/>
      <c r="C15968" s="3"/>
      <c r="D15968" s="3"/>
      <c r="E15968" s="3">
        <v>5</v>
      </c>
      <c r="F15968" s="4" t="str">
        <f>HYPERLINK("http://141.218.60.56/~jnz1568/getInfo.php?workbook=10_05.xlsx&amp;sheet=U0&amp;row=15968&amp;col=6&amp;number=3.4&amp;sourceID=14","3.4")</f>
        <v>3.4</v>
      </c>
      <c r="G15968" s="4" t="str">
        <f>HYPERLINK("http://141.218.60.56/~jnz1568/getInfo.php?workbook=10_05.xlsx&amp;sheet=U0&amp;row=15968&amp;col=7&amp;number=0.0511&amp;sourceID=14","0.0511")</f>
        <v>0.0511</v>
      </c>
    </row>
    <row r="15969" spans="1:7">
      <c r="A15969" s="3"/>
      <c r="B15969" s="3"/>
      <c r="C15969" s="3"/>
      <c r="D15969" s="3"/>
      <c r="E15969" s="3">
        <v>6</v>
      </c>
      <c r="F15969" s="4" t="str">
        <f>HYPERLINK("http://141.218.60.56/~jnz1568/getInfo.php?workbook=10_05.xlsx&amp;sheet=U0&amp;row=15969&amp;col=6&amp;number=3.5&amp;sourceID=14","3.5")</f>
        <v>3.5</v>
      </c>
      <c r="G15969" s="4" t="str">
        <f>HYPERLINK("http://141.218.60.56/~jnz1568/getInfo.php?workbook=10_05.xlsx&amp;sheet=U0&amp;row=15969&amp;col=7&amp;number=0.0516&amp;sourceID=14","0.0516")</f>
        <v>0.0516</v>
      </c>
    </row>
    <row r="15970" spans="1:7">
      <c r="A15970" s="3"/>
      <c r="B15970" s="3"/>
      <c r="C15970" s="3"/>
      <c r="D15970" s="3"/>
      <c r="E15970" s="3">
        <v>7</v>
      </c>
      <c r="F15970" s="4" t="str">
        <f>HYPERLINK("http://141.218.60.56/~jnz1568/getInfo.php?workbook=10_05.xlsx&amp;sheet=U0&amp;row=15970&amp;col=6&amp;number=3.6&amp;sourceID=14","3.6")</f>
        <v>3.6</v>
      </c>
      <c r="G15970" s="4" t="str">
        <f>HYPERLINK("http://141.218.60.56/~jnz1568/getInfo.php?workbook=10_05.xlsx&amp;sheet=U0&amp;row=15970&amp;col=7&amp;number=0.0523&amp;sourceID=14","0.0523")</f>
        <v>0.0523</v>
      </c>
    </row>
    <row r="15971" spans="1:7">
      <c r="A15971" s="3"/>
      <c r="B15971" s="3"/>
      <c r="C15971" s="3"/>
      <c r="D15971" s="3"/>
      <c r="E15971" s="3">
        <v>8</v>
      </c>
      <c r="F15971" s="4" t="str">
        <f>HYPERLINK("http://141.218.60.56/~jnz1568/getInfo.php?workbook=10_05.xlsx&amp;sheet=U0&amp;row=15971&amp;col=6&amp;number=3.7&amp;sourceID=14","3.7")</f>
        <v>3.7</v>
      </c>
      <c r="G15971" s="4" t="str">
        <f>HYPERLINK("http://141.218.60.56/~jnz1568/getInfo.php?workbook=10_05.xlsx&amp;sheet=U0&amp;row=15971&amp;col=7&amp;number=0.053&amp;sourceID=14","0.053")</f>
        <v>0.053</v>
      </c>
    </row>
    <row r="15972" spans="1:7">
      <c r="A15972" s="3"/>
      <c r="B15972" s="3"/>
      <c r="C15972" s="3"/>
      <c r="D15972" s="3"/>
      <c r="E15972" s="3">
        <v>9</v>
      </c>
      <c r="F15972" s="4" t="str">
        <f>HYPERLINK("http://141.218.60.56/~jnz1568/getInfo.php?workbook=10_05.xlsx&amp;sheet=U0&amp;row=15972&amp;col=6&amp;number=3.8&amp;sourceID=14","3.8")</f>
        <v>3.8</v>
      </c>
      <c r="G15972" s="4" t="str">
        <f>HYPERLINK("http://141.218.60.56/~jnz1568/getInfo.php?workbook=10_05.xlsx&amp;sheet=U0&amp;row=15972&amp;col=7&amp;number=0.0538&amp;sourceID=14","0.0538")</f>
        <v>0.0538</v>
      </c>
    </row>
    <row r="15973" spans="1:7">
      <c r="A15973" s="3"/>
      <c r="B15973" s="3"/>
      <c r="C15973" s="3"/>
      <c r="D15973" s="3"/>
      <c r="E15973" s="3">
        <v>10</v>
      </c>
      <c r="F15973" s="4" t="str">
        <f>HYPERLINK("http://141.218.60.56/~jnz1568/getInfo.php?workbook=10_05.xlsx&amp;sheet=U0&amp;row=15973&amp;col=6&amp;number=3.9&amp;sourceID=14","3.9")</f>
        <v>3.9</v>
      </c>
      <c r="G15973" s="4" t="str">
        <f>HYPERLINK("http://141.218.60.56/~jnz1568/getInfo.php?workbook=10_05.xlsx&amp;sheet=U0&amp;row=15973&amp;col=7&amp;number=0.0547&amp;sourceID=14","0.0547")</f>
        <v>0.0547</v>
      </c>
    </row>
    <row r="15974" spans="1:7">
      <c r="A15974" s="3"/>
      <c r="B15974" s="3"/>
      <c r="C15974" s="3"/>
      <c r="D15974" s="3"/>
      <c r="E15974" s="3">
        <v>11</v>
      </c>
      <c r="F15974" s="4" t="str">
        <f>HYPERLINK("http://141.218.60.56/~jnz1568/getInfo.php?workbook=10_05.xlsx&amp;sheet=U0&amp;row=15974&amp;col=6&amp;number=4&amp;sourceID=14","4")</f>
        <v>4</v>
      </c>
      <c r="G15974" s="4" t="str">
        <f>HYPERLINK("http://141.218.60.56/~jnz1568/getInfo.php?workbook=10_05.xlsx&amp;sheet=U0&amp;row=15974&amp;col=7&amp;number=0.0553&amp;sourceID=14","0.0553")</f>
        <v>0.0553</v>
      </c>
    </row>
    <row r="15975" spans="1:7">
      <c r="A15975" s="3"/>
      <c r="B15975" s="3"/>
      <c r="C15975" s="3"/>
      <c r="D15975" s="3"/>
      <c r="E15975" s="3">
        <v>12</v>
      </c>
      <c r="F15975" s="4" t="str">
        <f>HYPERLINK("http://141.218.60.56/~jnz1568/getInfo.php?workbook=10_05.xlsx&amp;sheet=U0&amp;row=15975&amp;col=6&amp;number=4.1&amp;sourceID=14","4.1")</f>
        <v>4.1</v>
      </c>
      <c r="G15975" s="4" t="str">
        <f>HYPERLINK("http://141.218.60.56/~jnz1568/getInfo.php?workbook=10_05.xlsx&amp;sheet=U0&amp;row=15975&amp;col=7&amp;number=0.0555&amp;sourceID=14","0.0555")</f>
        <v>0.0555</v>
      </c>
    </row>
    <row r="15976" spans="1:7">
      <c r="A15976" s="3"/>
      <c r="B15976" s="3"/>
      <c r="C15976" s="3"/>
      <c r="D15976" s="3"/>
      <c r="E15976" s="3">
        <v>13</v>
      </c>
      <c r="F15976" s="4" t="str">
        <f>HYPERLINK("http://141.218.60.56/~jnz1568/getInfo.php?workbook=10_05.xlsx&amp;sheet=U0&amp;row=15976&amp;col=6&amp;number=4.2&amp;sourceID=14","4.2")</f>
        <v>4.2</v>
      </c>
      <c r="G15976" s="4" t="str">
        <f>HYPERLINK("http://141.218.60.56/~jnz1568/getInfo.php?workbook=10_05.xlsx&amp;sheet=U0&amp;row=15976&amp;col=7&amp;number=0.0548&amp;sourceID=14","0.0548")</f>
        <v>0.0548</v>
      </c>
    </row>
    <row r="15977" spans="1:7">
      <c r="A15977" s="3"/>
      <c r="B15977" s="3"/>
      <c r="C15977" s="3"/>
      <c r="D15977" s="3"/>
      <c r="E15977" s="3">
        <v>14</v>
      </c>
      <c r="F15977" s="4" t="str">
        <f>HYPERLINK("http://141.218.60.56/~jnz1568/getInfo.php?workbook=10_05.xlsx&amp;sheet=U0&amp;row=15977&amp;col=6&amp;number=4.3&amp;sourceID=14","4.3")</f>
        <v>4.3</v>
      </c>
      <c r="G15977" s="4" t="str">
        <f>HYPERLINK("http://141.218.60.56/~jnz1568/getInfo.php?workbook=10_05.xlsx&amp;sheet=U0&amp;row=15977&amp;col=7&amp;number=0.0529&amp;sourceID=14","0.0529")</f>
        <v>0.0529</v>
      </c>
    </row>
    <row r="15978" spans="1:7">
      <c r="A15978" s="3"/>
      <c r="B15978" s="3"/>
      <c r="C15978" s="3"/>
      <c r="D15978" s="3"/>
      <c r="E15978" s="3">
        <v>15</v>
      </c>
      <c r="F15978" s="4" t="str">
        <f>HYPERLINK("http://141.218.60.56/~jnz1568/getInfo.php?workbook=10_05.xlsx&amp;sheet=U0&amp;row=15978&amp;col=6&amp;number=4.4&amp;sourceID=14","4.4")</f>
        <v>4.4</v>
      </c>
      <c r="G15978" s="4" t="str">
        <f>HYPERLINK("http://141.218.60.56/~jnz1568/getInfo.php?workbook=10_05.xlsx&amp;sheet=U0&amp;row=15978&amp;col=7&amp;number=0.0502&amp;sourceID=14","0.0502")</f>
        <v>0.0502</v>
      </c>
    </row>
    <row r="15979" spans="1:7">
      <c r="A15979" s="3"/>
      <c r="B15979" s="3"/>
      <c r="C15979" s="3"/>
      <c r="D15979" s="3"/>
      <c r="E15979" s="3">
        <v>16</v>
      </c>
      <c r="F15979" s="4" t="str">
        <f>HYPERLINK("http://141.218.60.56/~jnz1568/getInfo.php?workbook=10_05.xlsx&amp;sheet=U0&amp;row=15979&amp;col=6&amp;number=4.5&amp;sourceID=14","4.5")</f>
        <v>4.5</v>
      </c>
      <c r="G15979" s="4" t="str">
        <f>HYPERLINK("http://141.218.60.56/~jnz1568/getInfo.php?workbook=10_05.xlsx&amp;sheet=U0&amp;row=15979&amp;col=7&amp;number=0.0469&amp;sourceID=14","0.0469")</f>
        <v>0.0469</v>
      </c>
    </row>
    <row r="15980" spans="1:7">
      <c r="A15980" s="3"/>
      <c r="B15980" s="3"/>
      <c r="C15980" s="3"/>
      <c r="D15980" s="3"/>
      <c r="E15980" s="3">
        <v>17</v>
      </c>
      <c r="F15980" s="4" t="str">
        <f>HYPERLINK("http://141.218.60.56/~jnz1568/getInfo.php?workbook=10_05.xlsx&amp;sheet=U0&amp;row=15980&amp;col=6&amp;number=4.6&amp;sourceID=14","4.6")</f>
        <v>4.6</v>
      </c>
      <c r="G15980" s="4" t="str">
        <f>HYPERLINK("http://141.218.60.56/~jnz1568/getInfo.php?workbook=10_05.xlsx&amp;sheet=U0&amp;row=15980&amp;col=7&amp;number=0.0436&amp;sourceID=14","0.0436")</f>
        <v>0.0436</v>
      </c>
    </row>
    <row r="15981" spans="1:7">
      <c r="A15981" s="3"/>
      <c r="B15981" s="3"/>
      <c r="C15981" s="3"/>
      <c r="D15981" s="3"/>
      <c r="E15981" s="3">
        <v>18</v>
      </c>
      <c r="F15981" s="4" t="str">
        <f>HYPERLINK("http://141.218.60.56/~jnz1568/getInfo.php?workbook=10_05.xlsx&amp;sheet=U0&amp;row=15981&amp;col=6&amp;number=4.7&amp;sourceID=14","4.7")</f>
        <v>4.7</v>
      </c>
      <c r="G15981" s="4" t="str">
        <f>HYPERLINK("http://141.218.60.56/~jnz1568/getInfo.php?workbook=10_05.xlsx&amp;sheet=U0&amp;row=15981&amp;col=7&amp;number=0.0401&amp;sourceID=14","0.0401")</f>
        <v>0.0401</v>
      </c>
    </row>
    <row r="15982" spans="1:7">
      <c r="A15982" s="3"/>
      <c r="B15982" s="3"/>
      <c r="C15982" s="3"/>
      <c r="D15982" s="3"/>
      <c r="E15982" s="3">
        <v>19</v>
      </c>
      <c r="F15982" s="4" t="str">
        <f>HYPERLINK("http://141.218.60.56/~jnz1568/getInfo.php?workbook=10_05.xlsx&amp;sheet=U0&amp;row=15982&amp;col=6&amp;number=4.8&amp;sourceID=14","4.8")</f>
        <v>4.8</v>
      </c>
      <c r="G15982" s="4" t="str">
        <f>HYPERLINK("http://141.218.60.56/~jnz1568/getInfo.php?workbook=10_05.xlsx&amp;sheet=U0&amp;row=15982&amp;col=7&amp;number=0.0363&amp;sourceID=14","0.0363")</f>
        <v>0.0363</v>
      </c>
    </row>
    <row r="15983" spans="1:7">
      <c r="A15983" s="3"/>
      <c r="B15983" s="3"/>
      <c r="C15983" s="3"/>
      <c r="D15983" s="3"/>
      <c r="E15983" s="3">
        <v>20</v>
      </c>
      <c r="F15983" s="4" t="str">
        <f>HYPERLINK("http://141.218.60.56/~jnz1568/getInfo.php?workbook=10_05.xlsx&amp;sheet=U0&amp;row=15983&amp;col=6&amp;number=4.9&amp;sourceID=14","4.9")</f>
        <v>4.9</v>
      </c>
      <c r="G15983" s="4" t="str">
        <f>HYPERLINK("http://141.218.60.56/~jnz1568/getInfo.php?workbook=10_05.xlsx&amp;sheet=U0&amp;row=15983&amp;col=7&amp;number=0.0326&amp;sourceID=14","0.0326")</f>
        <v>0.0326</v>
      </c>
    </row>
    <row r="15984" spans="1:7">
      <c r="A15984" s="3">
        <v>10</v>
      </c>
      <c r="B15984" s="3">
        <v>5</v>
      </c>
      <c r="C15984" s="3">
        <v>5</v>
      </c>
      <c r="D15984" s="3">
        <v>95</v>
      </c>
      <c r="E15984" s="3">
        <v>1</v>
      </c>
      <c r="F15984" s="4" t="str">
        <f>HYPERLINK("http://141.218.60.56/~jnz1568/getInfo.php?workbook=10_05.xlsx&amp;sheet=U0&amp;row=15984&amp;col=6&amp;number=3&amp;sourceID=14","3")</f>
        <v>3</v>
      </c>
      <c r="G15984" s="4" t="str">
        <f>HYPERLINK("http://141.218.60.56/~jnz1568/getInfo.php?workbook=10_05.xlsx&amp;sheet=U0&amp;row=15984&amp;col=7&amp;number=0.084&amp;sourceID=14","0.084")</f>
        <v>0.084</v>
      </c>
    </row>
    <row r="15985" spans="1:7">
      <c r="A15985" s="3"/>
      <c r="B15985" s="3"/>
      <c r="C15985" s="3"/>
      <c r="D15985" s="3"/>
      <c r="E15985" s="3">
        <v>2</v>
      </c>
      <c r="F15985" s="4" t="str">
        <f>HYPERLINK("http://141.218.60.56/~jnz1568/getInfo.php?workbook=10_05.xlsx&amp;sheet=U0&amp;row=15985&amp;col=6&amp;number=3.1&amp;sourceID=14","3.1")</f>
        <v>3.1</v>
      </c>
      <c r="G15985" s="4" t="str">
        <f>HYPERLINK("http://141.218.60.56/~jnz1568/getInfo.php?workbook=10_05.xlsx&amp;sheet=U0&amp;row=15985&amp;col=7&amp;number=0.0837&amp;sourceID=14","0.0837")</f>
        <v>0.0837</v>
      </c>
    </row>
    <row r="15986" spans="1:7">
      <c r="A15986" s="3"/>
      <c r="B15986" s="3"/>
      <c r="C15986" s="3"/>
      <c r="D15986" s="3"/>
      <c r="E15986" s="3">
        <v>3</v>
      </c>
      <c r="F15986" s="4" t="str">
        <f>HYPERLINK("http://141.218.60.56/~jnz1568/getInfo.php?workbook=10_05.xlsx&amp;sheet=U0&amp;row=15986&amp;col=6&amp;number=3.2&amp;sourceID=14","3.2")</f>
        <v>3.2</v>
      </c>
      <c r="G15986" s="4" t="str">
        <f>HYPERLINK("http://141.218.60.56/~jnz1568/getInfo.php?workbook=10_05.xlsx&amp;sheet=U0&amp;row=15986&amp;col=7&amp;number=0.0833&amp;sourceID=14","0.0833")</f>
        <v>0.0833</v>
      </c>
    </row>
    <row r="15987" spans="1:7">
      <c r="A15987" s="3"/>
      <c r="B15987" s="3"/>
      <c r="C15987" s="3"/>
      <c r="D15987" s="3"/>
      <c r="E15987" s="3">
        <v>4</v>
      </c>
      <c r="F15987" s="4" t="str">
        <f>HYPERLINK("http://141.218.60.56/~jnz1568/getInfo.php?workbook=10_05.xlsx&amp;sheet=U0&amp;row=15987&amp;col=6&amp;number=3.3&amp;sourceID=14","3.3")</f>
        <v>3.3</v>
      </c>
      <c r="G15987" s="4" t="str">
        <f>HYPERLINK("http://141.218.60.56/~jnz1568/getInfo.php?workbook=10_05.xlsx&amp;sheet=U0&amp;row=15987&amp;col=7&amp;number=0.0828&amp;sourceID=14","0.0828")</f>
        <v>0.0828</v>
      </c>
    </row>
    <row r="15988" spans="1:7">
      <c r="A15988" s="3"/>
      <c r="B15988" s="3"/>
      <c r="C15988" s="3"/>
      <c r="D15988" s="3"/>
      <c r="E15988" s="3">
        <v>5</v>
      </c>
      <c r="F15988" s="4" t="str">
        <f>HYPERLINK("http://141.218.60.56/~jnz1568/getInfo.php?workbook=10_05.xlsx&amp;sheet=U0&amp;row=15988&amp;col=6&amp;number=3.4&amp;sourceID=14","3.4")</f>
        <v>3.4</v>
      </c>
      <c r="G15988" s="4" t="str">
        <f>HYPERLINK("http://141.218.60.56/~jnz1568/getInfo.php?workbook=10_05.xlsx&amp;sheet=U0&amp;row=15988&amp;col=7&amp;number=0.0822&amp;sourceID=14","0.0822")</f>
        <v>0.0822</v>
      </c>
    </row>
    <row r="15989" spans="1:7">
      <c r="A15989" s="3"/>
      <c r="B15989" s="3"/>
      <c r="C15989" s="3"/>
      <c r="D15989" s="3"/>
      <c r="E15989" s="3">
        <v>6</v>
      </c>
      <c r="F15989" s="4" t="str">
        <f>HYPERLINK("http://141.218.60.56/~jnz1568/getInfo.php?workbook=10_05.xlsx&amp;sheet=U0&amp;row=15989&amp;col=6&amp;number=3.5&amp;sourceID=14","3.5")</f>
        <v>3.5</v>
      </c>
      <c r="G15989" s="4" t="str">
        <f>HYPERLINK("http://141.218.60.56/~jnz1568/getInfo.php?workbook=10_05.xlsx&amp;sheet=U0&amp;row=15989&amp;col=7&amp;number=0.0814&amp;sourceID=14","0.0814")</f>
        <v>0.0814</v>
      </c>
    </row>
    <row r="15990" spans="1:7">
      <c r="A15990" s="3"/>
      <c r="B15990" s="3"/>
      <c r="C15990" s="3"/>
      <c r="D15990" s="3"/>
      <c r="E15990" s="3">
        <v>7</v>
      </c>
      <c r="F15990" s="4" t="str">
        <f>HYPERLINK("http://141.218.60.56/~jnz1568/getInfo.php?workbook=10_05.xlsx&amp;sheet=U0&amp;row=15990&amp;col=6&amp;number=3.6&amp;sourceID=14","3.6")</f>
        <v>3.6</v>
      </c>
      <c r="G15990" s="4" t="str">
        <f>HYPERLINK("http://141.218.60.56/~jnz1568/getInfo.php?workbook=10_05.xlsx&amp;sheet=U0&amp;row=15990&amp;col=7&amp;number=0.0804&amp;sourceID=14","0.0804")</f>
        <v>0.0804</v>
      </c>
    </row>
    <row r="15991" spans="1:7">
      <c r="A15991" s="3"/>
      <c r="B15991" s="3"/>
      <c r="C15991" s="3"/>
      <c r="D15991" s="3"/>
      <c r="E15991" s="3">
        <v>8</v>
      </c>
      <c r="F15991" s="4" t="str">
        <f>HYPERLINK("http://141.218.60.56/~jnz1568/getInfo.php?workbook=10_05.xlsx&amp;sheet=U0&amp;row=15991&amp;col=6&amp;number=3.7&amp;sourceID=14","3.7")</f>
        <v>3.7</v>
      </c>
      <c r="G15991" s="4" t="str">
        <f>HYPERLINK("http://141.218.60.56/~jnz1568/getInfo.php?workbook=10_05.xlsx&amp;sheet=U0&amp;row=15991&amp;col=7&amp;number=0.0792&amp;sourceID=14","0.0792")</f>
        <v>0.0792</v>
      </c>
    </row>
    <row r="15992" spans="1:7">
      <c r="A15992" s="3"/>
      <c r="B15992" s="3"/>
      <c r="C15992" s="3"/>
      <c r="D15992" s="3"/>
      <c r="E15992" s="3">
        <v>9</v>
      </c>
      <c r="F15992" s="4" t="str">
        <f>HYPERLINK("http://141.218.60.56/~jnz1568/getInfo.php?workbook=10_05.xlsx&amp;sheet=U0&amp;row=15992&amp;col=6&amp;number=3.8&amp;sourceID=14","3.8")</f>
        <v>3.8</v>
      </c>
      <c r="G15992" s="4" t="str">
        <f>HYPERLINK("http://141.218.60.56/~jnz1568/getInfo.php?workbook=10_05.xlsx&amp;sheet=U0&amp;row=15992&amp;col=7&amp;number=0.0777&amp;sourceID=14","0.0777")</f>
        <v>0.0777</v>
      </c>
    </row>
    <row r="15993" spans="1:7">
      <c r="A15993" s="3"/>
      <c r="B15993" s="3"/>
      <c r="C15993" s="3"/>
      <c r="D15993" s="3"/>
      <c r="E15993" s="3">
        <v>10</v>
      </c>
      <c r="F15993" s="4" t="str">
        <f>HYPERLINK("http://141.218.60.56/~jnz1568/getInfo.php?workbook=10_05.xlsx&amp;sheet=U0&amp;row=15993&amp;col=6&amp;number=3.9&amp;sourceID=14","3.9")</f>
        <v>3.9</v>
      </c>
      <c r="G15993" s="4" t="str">
        <f>HYPERLINK("http://141.218.60.56/~jnz1568/getInfo.php?workbook=10_05.xlsx&amp;sheet=U0&amp;row=15993&amp;col=7&amp;number=0.0759&amp;sourceID=14","0.0759")</f>
        <v>0.0759</v>
      </c>
    </row>
    <row r="15994" spans="1:7">
      <c r="A15994" s="3"/>
      <c r="B15994" s="3"/>
      <c r="C15994" s="3"/>
      <c r="D15994" s="3"/>
      <c r="E15994" s="3">
        <v>11</v>
      </c>
      <c r="F15994" s="4" t="str">
        <f>HYPERLINK("http://141.218.60.56/~jnz1568/getInfo.php?workbook=10_05.xlsx&amp;sheet=U0&amp;row=15994&amp;col=6&amp;number=4&amp;sourceID=14","4")</f>
        <v>4</v>
      </c>
      <c r="G15994" s="4" t="str">
        <f>HYPERLINK("http://141.218.60.56/~jnz1568/getInfo.php?workbook=10_05.xlsx&amp;sheet=U0&amp;row=15994&amp;col=7&amp;number=0.0736&amp;sourceID=14","0.0736")</f>
        <v>0.0736</v>
      </c>
    </row>
    <row r="15995" spans="1:7">
      <c r="A15995" s="3"/>
      <c r="B15995" s="3"/>
      <c r="C15995" s="3"/>
      <c r="D15995" s="3"/>
      <c r="E15995" s="3">
        <v>12</v>
      </c>
      <c r="F15995" s="4" t="str">
        <f>HYPERLINK("http://141.218.60.56/~jnz1568/getInfo.php?workbook=10_05.xlsx&amp;sheet=U0&amp;row=15995&amp;col=6&amp;number=4.1&amp;sourceID=14","4.1")</f>
        <v>4.1</v>
      </c>
      <c r="G15995" s="4" t="str">
        <f>HYPERLINK("http://141.218.60.56/~jnz1568/getInfo.php?workbook=10_05.xlsx&amp;sheet=U0&amp;row=15995&amp;col=7&amp;number=0.0708&amp;sourceID=14","0.0708")</f>
        <v>0.0708</v>
      </c>
    </row>
    <row r="15996" spans="1:7">
      <c r="A15996" s="3"/>
      <c r="B15996" s="3"/>
      <c r="C15996" s="3"/>
      <c r="D15996" s="3"/>
      <c r="E15996" s="3">
        <v>13</v>
      </c>
      <c r="F15996" s="4" t="str">
        <f>HYPERLINK("http://141.218.60.56/~jnz1568/getInfo.php?workbook=10_05.xlsx&amp;sheet=U0&amp;row=15996&amp;col=6&amp;number=4.2&amp;sourceID=14","4.2")</f>
        <v>4.2</v>
      </c>
      <c r="G15996" s="4" t="str">
        <f>HYPERLINK("http://141.218.60.56/~jnz1568/getInfo.php?workbook=10_05.xlsx&amp;sheet=U0&amp;row=15996&amp;col=7&amp;number=0.0675&amp;sourceID=14","0.0675")</f>
        <v>0.0675</v>
      </c>
    </row>
    <row r="15997" spans="1:7">
      <c r="A15997" s="3"/>
      <c r="B15997" s="3"/>
      <c r="C15997" s="3"/>
      <c r="D15997" s="3"/>
      <c r="E15997" s="3">
        <v>14</v>
      </c>
      <c r="F15997" s="4" t="str">
        <f>HYPERLINK("http://141.218.60.56/~jnz1568/getInfo.php?workbook=10_05.xlsx&amp;sheet=U0&amp;row=15997&amp;col=6&amp;number=4.3&amp;sourceID=14","4.3")</f>
        <v>4.3</v>
      </c>
      <c r="G15997" s="4" t="str">
        <f>HYPERLINK("http://141.218.60.56/~jnz1568/getInfo.php?workbook=10_05.xlsx&amp;sheet=U0&amp;row=15997&amp;col=7&amp;number=0.0637&amp;sourceID=14","0.0637")</f>
        <v>0.0637</v>
      </c>
    </row>
    <row r="15998" spans="1:7">
      <c r="A15998" s="3"/>
      <c r="B15998" s="3"/>
      <c r="C15998" s="3"/>
      <c r="D15998" s="3"/>
      <c r="E15998" s="3">
        <v>15</v>
      </c>
      <c r="F15998" s="4" t="str">
        <f>HYPERLINK("http://141.218.60.56/~jnz1568/getInfo.php?workbook=10_05.xlsx&amp;sheet=U0&amp;row=15998&amp;col=6&amp;number=4.4&amp;sourceID=14","4.4")</f>
        <v>4.4</v>
      </c>
      <c r="G15998" s="4" t="str">
        <f>HYPERLINK("http://141.218.60.56/~jnz1568/getInfo.php?workbook=10_05.xlsx&amp;sheet=U0&amp;row=15998&amp;col=7&amp;number=0.0593&amp;sourceID=14","0.0593")</f>
        <v>0.0593</v>
      </c>
    </row>
    <row r="15999" spans="1:7">
      <c r="A15999" s="3"/>
      <c r="B15999" s="3"/>
      <c r="C15999" s="3"/>
      <c r="D15999" s="3"/>
      <c r="E15999" s="3">
        <v>16</v>
      </c>
      <c r="F15999" s="4" t="str">
        <f>HYPERLINK("http://141.218.60.56/~jnz1568/getInfo.php?workbook=10_05.xlsx&amp;sheet=U0&amp;row=15999&amp;col=6&amp;number=4.5&amp;sourceID=14","4.5")</f>
        <v>4.5</v>
      </c>
      <c r="G15999" s="4" t="str">
        <f>HYPERLINK("http://141.218.60.56/~jnz1568/getInfo.php?workbook=10_05.xlsx&amp;sheet=U0&amp;row=15999&amp;col=7&amp;number=0.0545&amp;sourceID=14","0.0545")</f>
        <v>0.0545</v>
      </c>
    </row>
    <row r="16000" spans="1:7">
      <c r="A16000" s="3"/>
      <c r="B16000" s="3"/>
      <c r="C16000" s="3"/>
      <c r="D16000" s="3"/>
      <c r="E16000" s="3">
        <v>17</v>
      </c>
      <c r="F16000" s="4" t="str">
        <f>HYPERLINK("http://141.218.60.56/~jnz1568/getInfo.php?workbook=10_05.xlsx&amp;sheet=U0&amp;row=16000&amp;col=6&amp;number=4.6&amp;sourceID=14","4.6")</f>
        <v>4.6</v>
      </c>
      <c r="G16000" s="4" t="str">
        <f>HYPERLINK("http://141.218.60.56/~jnz1568/getInfo.php?workbook=10_05.xlsx&amp;sheet=U0&amp;row=16000&amp;col=7&amp;number=0.0499&amp;sourceID=14","0.0499")</f>
        <v>0.0499</v>
      </c>
    </row>
    <row r="16001" spans="1:7">
      <c r="A16001" s="3"/>
      <c r="B16001" s="3"/>
      <c r="C16001" s="3"/>
      <c r="D16001" s="3"/>
      <c r="E16001" s="3">
        <v>18</v>
      </c>
      <c r="F16001" s="4" t="str">
        <f>HYPERLINK("http://141.218.60.56/~jnz1568/getInfo.php?workbook=10_05.xlsx&amp;sheet=U0&amp;row=16001&amp;col=6&amp;number=4.7&amp;sourceID=14","4.7")</f>
        <v>4.7</v>
      </c>
      <c r="G16001" s="4" t="str">
        <f>HYPERLINK("http://141.218.60.56/~jnz1568/getInfo.php?workbook=10_05.xlsx&amp;sheet=U0&amp;row=16001&amp;col=7&amp;number=0.0456&amp;sourceID=14","0.0456")</f>
        <v>0.0456</v>
      </c>
    </row>
    <row r="16002" spans="1:7">
      <c r="A16002" s="3"/>
      <c r="B16002" s="3"/>
      <c r="C16002" s="3"/>
      <c r="D16002" s="3"/>
      <c r="E16002" s="3">
        <v>19</v>
      </c>
      <c r="F16002" s="4" t="str">
        <f>HYPERLINK("http://141.218.60.56/~jnz1568/getInfo.php?workbook=10_05.xlsx&amp;sheet=U0&amp;row=16002&amp;col=6&amp;number=4.8&amp;sourceID=14","4.8")</f>
        <v>4.8</v>
      </c>
      <c r="G16002" s="4" t="str">
        <f>HYPERLINK("http://141.218.60.56/~jnz1568/getInfo.php?workbook=10_05.xlsx&amp;sheet=U0&amp;row=16002&amp;col=7&amp;number=0.042&amp;sourceID=14","0.042")</f>
        <v>0.042</v>
      </c>
    </row>
    <row r="16003" spans="1:7">
      <c r="A16003" s="3"/>
      <c r="B16003" s="3"/>
      <c r="C16003" s="3"/>
      <c r="D16003" s="3"/>
      <c r="E16003" s="3">
        <v>20</v>
      </c>
      <c r="F16003" s="4" t="str">
        <f>HYPERLINK("http://141.218.60.56/~jnz1568/getInfo.php?workbook=10_05.xlsx&amp;sheet=U0&amp;row=16003&amp;col=6&amp;number=4.9&amp;sourceID=14","4.9")</f>
        <v>4.9</v>
      </c>
      <c r="G16003" s="4" t="str">
        <f>HYPERLINK("http://141.218.60.56/~jnz1568/getInfo.php?workbook=10_05.xlsx&amp;sheet=U0&amp;row=16003&amp;col=7&amp;number=0.039&amp;sourceID=14","0.039")</f>
        <v>0.039</v>
      </c>
    </row>
    <row r="16004" spans="1:7">
      <c r="A16004" s="3">
        <v>10</v>
      </c>
      <c r="B16004" s="3">
        <v>5</v>
      </c>
      <c r="C16004" s="3">
        <v>5</v>
      </c>
      <c r="D16004" s="3">
        <v>96</v>
      </c>
      <c r="E16004" s="3">
        <v>1</v>
      </c>
      <c r="F16004" s="4" t="str">
        <f>HYPERLINK("http://141.218.60.56/~jnz1568/getInfo.php?workbook=10_05.xlsx&amp;sheet=U0&amp;row=16004&amp;col=6&amp;number=3&amp;sourceID=14","3")</f>
        <v>3</v>
      </c>
      <c r="G16004" s="4" t="str">
        <f>HYPERLINK("http://141.218.60.56/~jnz1568/getInfo.php?workbook=10_05.xlsx&amp;sheet=U0&amp;row=16004&amp;col=7&amp;number=0.0105&amp;sourceID=14","0.0105")</f>
        <v>0.0105</v>
      </c>
    </row>
    <row r="16005" spans="1:7">
      <c r="A16005" s="3"/>
      <c r="B16005" s="3"/>
      <c r="C16005" s="3"/>
      <c r="D16005" s="3"/>
      <c r="E16005" s="3">
        <v>2</v>
      </c>
      <c r="F16005" s="4" t="str">
        <f>HYPERLINK("http://141.218.60.56/~jnz1568/getInfo.php?workbook=10_05.xlsx&amp;sheet=U0&amp;row=16005&amp;col=6&amp;number=3.1&amp;sourceID=14","3.1")</f>
        <v>3.1</v>
      </c>
      <c r="G16005" s="4" t="str">
        <f>HYPERLINK("http://141.218.60.56/~jnz1568/getInfo.php?workbook=10_05.xlsx&amp;sheet=U0&amp;row=16005&amp;col=7&amp;number=0.0104&amp;sourceID=14","0.0104")</f>
        <v>0.0104</v>
      </c>
    </row>
    <row r="16006" spans="1:7">
      <c r="A16006" s="3"/>
      <c r="B16006" s="3"/>
      <c r="C16006" s="3"/>
      <c r="D16006" s="3"/>
      <c r="E16006" s="3">
        <v>3</v>
      </c>
      <c r="F16006" s="4" t="str">
        <f>HYPERLINK("http://141.218.60.56/~jnz1568/getInfo.php?workbook=10_05.xlsx&amp;sheet=U0&amp;row=16006&amp;col=6&amp;number=3.2&amp;sourceID=14","3.2")</f>
        <v>3.2</v>
      </c>
      <c r="G16006" s="4" t="str">
        <f>HYPERLINK("http://141.218.60.56/~jnz1568/getInfo.php?workbook=10_05.xlsx&amp;sheet=U0&amp;row=16006&amp;col=7&amp;number=0.0103&amp;sourceID=14","0.0103")</f>
        <v>0.0103</v>
      </c>
    </row>
    <row r="16007" spans="1:7">
      <c r="A16007" s="3"/>
      <c r="B16007" s="3"/>
      <c r="C16007" s="3"/>
      <c r="D16007" s="3"/>
      <c r="E16007" s="3">
        <v>4</v>
      </c>
      <c r="F16007" s="4" t="str">
        <f>HYPERLINK("http://141.218.60.56/~jnz1568/getInfo.php?workbook=10_05.xlsx&amp;sheet=U0&amp;row=16007&amp;col=6&amp;number=3.3&amp;sourceID=14","3.3")</f>
        <v>3.3</v>
      </c>
      <c r="G16007" s="4" t="str">
        <f>HYPERLINK("http://141.218.60.56/~jnz1568/getInfo.php?workbook=10_05.xlsx&amp;sheet=U0&amp;row=16007&amp;col=7&amp;number=0.0102&amp;sourceID=14","0.0102")</f>
        <v>0.0102</v>
      </c>
    </row>
    <row r="16008" spans="1:7">
      <c r="A16008" s="3"/>
      <c r="B16008" s="3"/>
      <c r="C16008" s="3"/>
      <c r="D16008" s="3"/>
      <c r="E16008" s="3">
        <v>5</v>
      </c>
      <c r="F16008" s="4" t="str">
        <f>HYPERLINK("http://141.218.60.56/~jnz1568/getInfo.php?workbook=10_05.xlsx&amp;sheet=U0&amp;row=16008&amp;col=6&amp;number=3.4&amp;sourceID=14","3.4")</f>
        <v>3.4</v>
      </c>
      <c r="G16008" s="4" t="str">
        <f>HYPERLINK("http://141.218.60.56/~jnz1568/getInfo.php?workbook=10_05.xlsx&amp;sheet=U0&amp;row=16008&amp;col=7&amp;number=0.01&amp;sourceID=14","0.01")</f>
        <v>0.01</v>
      </c>
    </row>
    <row r="16009" spans="1:7">
      <c r="A16009" s="3"/>
      <c r="B16009" s="3"/>
      <c r="C16009" s="3"/>
      <c r="D16009" s="3"/>
      <c r="E16009" s="3">
        <v>6</v>
      </c>
      <c r="F16009" s="4" t="str">
        <f>HYPERLINK("http://141.218.60.56/~jnz1568/getInfo.php?workbook=10_05.xlsx&amp;sheet=U0&amp;row=16009&amp;col=6&amp;number=3.5&amp;sourceID=14","3.5")</f>
        <v>3.5</v>
      </c>
      <c r="G16009" s="4" t="str">
        <f>HYPERLINK("http://141.218.60.56/~jnz1568/getInfo.php?workbook=10_05.xlsx&amp;sheet=U0&amp;row=16009&amp;col=7&amp;number=0.00983&amp;sourceID=14","0.00983")</f>
        <v>0.00983</v>
      </c>
    </row>
    <row r="16010" spans="1:7">
      <c r="A16010" s="3"/>
      <c r="B16010" s="3"/>
      <c r="C16010" s="3"/>
      <c r="D16010" s="3"/>
      <c r="E16010" s="3">
        <v>7</v>
      </c>
      <c r="F16010" s="4" t="str">
        <f>HYPERLINK("http://141.218.60.56/~jnz1568/getInfo.php?workbook=10_05.xlsx&amp;sheet=U0&amp;row=16010&amp;col=6&amp;number=3.6&amp;sourceID=14","3.6")</f>
        <v>3.6</v>
      </c>
      <c r="G16010" s="4" t="str">
        <f>HYPERLINK("http://141.218.60.56/~jnz1568/getInfo.php?workbook=10_05.xlsx&amp;sheet=U0&amp;row=16010&amp;col=7&amp;number=0.00958&amp;sourceID=14","0.00958")</f>
        <v>0.00958</v>
      </c>
    </row>
    <row r="16011" spans="1:7">
      <c r="A16011" s="3"/>
      <c r="B16011" s="3"/>
      <c r="C16011" s="3"/>
      <c r="D16011" s="3"/>
      <c r="E16011" s="3">
        <v>8</v>
      </c>
      <c r="F16011" s="4" t="str">
        <f>HYPERLINK("http://141.218.60.56/~jnz1568/getInfo.php?workbook=10_05.xlsx&amp;sheet=U0&amp;row=16011&amp;col=6&amp;number=3.7&amp;sourceID=14","3.7")</f>
        <v>3.7</v>
      </c>
      <c r="G16011" s="4" t="str">
        <f>HYPERLINK("http://141.218.60.56/~jnz1568/getInfo.php?workbook=10_05.xlsx&amp;sheet=U0&amp;row=16011&amp;col=7&amp;number=0.00928&amp;sourceID=14","0.00928")</f>
        <v>0.00928</v>
      </c>
    </row>
    <row r="16012" spans="1:7">
      <c r="A16012" s="3"/>
      <c r="B16012" s="3"/>
      <c r="C16012" s="3"/>
      <c r="D16012" s="3"/>
      <c r="E16012" s="3">
        <v>9</v>
      </c>
      <c r="F16012" s="4" t="str">
        <f>HYPERLINK("http://141.218.60.56/~jnz1568/getInfo.php?workbook=10_05.xlsx&amp;sheet=U0&amp;row=16012&amp;col=6&amp;number=3.8&amp;sourceID=14","3.8")</f>
        <v>3.8</v>
      </c>
      <c r="G16012" s="4" t="str">
        <f>HYPERLINK("http://141.218.60.56/~jnz1568/getInfo.php?workbook=10_05.xlsx&amp;sheet=U0&amp;row=16012&amp;col=7&amp;number=0.00892&amp;sourceID=14","0.00892")</f>
        <v>0.00892</v>
      </c>
    </row>
    <row r="16013" spans="1:7">
      <c r="A16013" s="3"/>
      <c r="B16013" s="3"/>
      <c r="C16013" s="3"/>
      <c r="D16013" s="3"/>
      <c r="E16013" s="3">
        <v>10</v>
      </c>
      <c r="F16013" s="4" t="str">
        <f>HYPERLINK("http://141.218.60.56/~jnz1568/getInfo.php?workbook=10_05.xlsx&amp;sheet=U0&amp;row=16013&amp;col=6&amp;number=3.9&amp;sourceID=14","3.9")</f>
        <v>3.9</v>
      </c>
      <c r="G16013" s="4" t="str">
        <f>HYPERLINK("http://141.218.60.56/~jnz1568/getInfo.php?workbook=10_05.xlsx&amp;sheet=U0&amp;row=16013&amp;col=7&amp;number=0.0085&amp;sourceID=14","0.0085")</f>
        <v>0.0085</v>
      </c>
    </row>
    <row r="16014" spans="1:7">
      <c r="A16014" s="3"/>
      <c r="B16014" s="3"/>
      <c r="C16014" s="3"/>
      <c r="D16014" s="3"/>
      <c r="E16014" s="3">
        <v>11</v>
      </c>
      <c r="F16014" s="4" t="str">
        <f>HYPERLINK("http://141.218.60.56/~jnz1568/getInfo.php?workbook=10_05.xlsx&amp;sheet=U0&amp;row=16014&amp;col=6&amp;number=4&amp;sourceID=14","4")</f>
        <v>4</v>
      </c>
      <c r="G16014" s="4" t="str">
        <f>HYPERLINK("http://141.218.60.56/~jnz1568/getInfo.php?workbook=10_05.xlsx&amp;sheet=U0&amp;row=16014&amp;col=7&amp;number=0.00803&amp;sourceID=14","0.00803")</f>
        <v>0.00803</v>
      </c>
    </row>
    <row r="16015" spans="1:7">
      <c r="A16015" s="3"/>
      <c r="B16015" s="3"/>
      <c r="C16015" s="3"/>
      <c r="D16015" s="3"/>
      <c r="E16015" s="3">
        <v>12</v>
      </c>
      <c r="F16015" s="4" t="str">
        <f>HYPERLINK("http://141.218.60.56/~jnz1568/getInfo.php?workbook=10_05.xlsx&amp;sheet=U0&amp;row=16015&amp;col=6&amp;number=4.1&amp;sourceID=14","4.1")</f>
        <v>4.1</v>
      </c>
      <c r="G16015" s="4" t="str">
        <f>HYPERLINK("http://141.218.60.56/~jnz1568/getInfo.php?workbook=10_05.xlsx&amp;sheet=U0&amp;row=16015&amp;col=7&amp;number=0.00752&amp;sourceID=14","0.00752")</f>
        <v>0.00752</v>
      </c>
    </row>
    <row r="16016" spans="1:7">
      <c r="A16016" s="3"/>
      <c r="B16016" s="3"/>
      <c r="C16016" s="3"/>
      <c r="D16016" s="3"/>
      <c r="E16016" s="3">
        <v>13</v>
      </c>
      <c r="F16016" s="4" t="str">
        <f>HYPERLINK("http://141.218.60.56/~jnz1568/getInfo.php?workbook=10_05.xlsx&amp;sheet=U0&amp;row=16016&amp;col=6&amp;number=4.2&amp;sourceID=14","4.2")</f>
        <v>4.2</v>
      </c>
      <c r="G16016" s="4" t="str">
        <f>HYPERLINK("http://141.218.60.56/~jnz1568/getInfo.php?workbook=10_05.xlsx&amp;sheet=U0&amp;row=16016&amp;col=7&amp;number=0.00698&amp;sourceID=14","0.00698")</f>
        <v>0.00698</v>
      </c>
    </row>
    <row r="16017" spans="1:7">
      <c r="A16017" s="3"/>
      <c r="B16017" s="3"/>
      <c r="C16017" s="3"/>
      <c r="D16017" s="3"/>
      <c r="E16017" s="3">
        <v>14</v>
      </c>
      <c r="F16017" s="4" t="str">
        <f>HYPERLINK("http://141.218.60.56/~jnz1568/getInfo.php?workbook=10_05.xlsx&amp;sheet=U0&amp;row=16017&amp;col=6&amp;number=4.3&amp;sourceID=14","4.3")</f>
        <v>4.3</v>
      </c>
      <c r="G16017" s="4" t="str">
        <f>HYPERLINK("http://141.218.60.56/~jnz1568/getInfo.php?workbook=10_05.xlsx&amp;sheet=U0&amp;row=16017&amp;col=7&amp;number=0.00641&amp;sourceID=14","0.00641")</f>
        <v>0.00641</v>
      </c>
    </row>
    <row r="16018" spans="1:7">
      <c r="A16018" s="3"/>
      <c r="B16018" s="3"/>
      <c r="C16018" s="3"/>
      <c r="D16018" s="3"/>
      <c r="E16018" s="3">
        <v>15</v>
      </c>
      <c r="F16018" s="4" t="str">
        <f>HYPERLINK("http://141.218.60.56/~jnz1568/getInfo.php?workbook=10_05.xlsx&amp;sheet=U0&amp;row=16018&amp;col=6&amp;number=4.4&amp;sourceID=14","4.4")</f>
        <v>4.4</v>
      </c>
      <c r="G16018" s="4" t="str">
        <f>HYPERLINK("http://141.218.60.56/~jnz1568/getInfo.php?workbook=10_05.xlsx&amp;sheet=U0&amp;row=16018&amp;col=7&amp;number=0.00579&amp;sourceID=14","0.00579")</f>
        <v>0.00579</v>
      </c>
    </row>
    <row r="16019" spans="1:7">
      <c r="A16019" s="3"/>
      <c r="B16019" s="3"/>
      <c r="C16019" s="3"/>
      <c r="D16019" s="3"/>
      <c r="E16019" s="3">
        <v>16</v>
      </c>
      <c r="F16019" s="4" t="str">
        <f>HYPERLINK("http://141.218.60.56/~jnz1568/getInfo.php?workbook=10_05.xlsx&amp;sheet=U0&amp;row=16019&amp;col=6&amp;number=4.5&amp;sourceID=14","4.5")</f>
        <v>4.5</v>
      </c>
      <c r="G16019" s="4" t="str">
        <f>HYPERLINK("http://141.218.60.56/~jnz1568/getInfo.php?workbook=10_05.xlsx&amp;sheet=U0&amp;row=16019&amp;col=7&amp;number=0.00514&amp;sourceID=14","0.00514")</f>
        <v>0.00514</v>
      </c>
    </row>
    <row r="16020" spans="1:7">
      <c r="A16020" s="3"/>
      <c r="B16020" s="3"/>
      <c r="C16020" s="3"/>
      <c r="D16020" s="3"/>
      <c r="E16020" s="3">
        <v>17</v>
      </c>
      <c r="F16020" s="4" t="str">
        <f>HYPERLINK("http://141.218.60.56/~jnz1568/getInfo.php?workbook=10_05.xlsx&amp;sheet=U0&amp;row=16020&amp;col=6&amp;number=4.6&amp;sourceID=14","4.6")</f>
        <v>4.6</v>
      </c>
      <c r="G16020" s="4" t="str">
        <f>HYPERLINK("http://141.218.60.56/~jnz1568/getInfo.php?workbook=10_05.xlsx&amp;sheet=U0&amp;row=16020&amp;col=7&amp;number=0.00447&amp;sourceID=14","0.00447")</f>
        <v>0.00447</v>
      </c>
    </row>
    <row r="16021" spans="1:7">
      <c r="A16021" s="3"/>
      <c r="B16021" s="3"/>
      <c r="C16021" s="3"/>
      <c r="D16021" s="3"/>
      <c r="E16021" s="3">
        <v>18</v>
      </c>
      <c r="F16021" s="4" t="str">
        <f>HYPERLINK("http://141.218.60.56/~jnz1568/getInfo.php?workbook=10_05.xlsx&amp;sheet=U0&amp;row=16021&amp;col=6&amp;number=4.7&amp;sourceID=14","4.7")</f>
        <v>4.7</v>
      </c>
      <c r="G16021" s="4" t="str">
        <f>HYPERLINK("http://141.218.60.56/~jnz1568/getInfo.php?workbook=10_05.xlsx&amp;sheet=U0&amp;row=16021&amp;col=7&amp;number=0.00384&amp;sourceID=14","0.00384")</f>
        <v>0.00384</v>
      </c>
    </row>
    <row r="16022" spans="1:7">
      <c r="A16022" s="3"/>
      <c r="B16022" s="3"/>
      <c r="C16022" s="3"/>
      <c r="D16022" s="3"/>
      <c r="E16022" s="3">
        <v>19</v>
      </c>
      <c r="F16022" s="4" t="str">
        <f>HYPERLINK("http://141.218.60.56/~jnz1568/getInfo.php?workbook=10_05.xlsx&amp;sheet=U0&amp;row=16022&amp;col=6&amp;number=4.8&amp;sourceID=14","4.8")</f>
        <v>4.8</v>
      </c>
      <c r="G16022" s="4" t="str">
        <f>HYPERLINK("http://141.218.60.56/~jnz1568/getInfo.php?workbook=10_05.xlsx&amp;sheet=U0&amp;row=16022&amp;col=7&amp;number=0.00329&amp;sourceID=14","0.00329")</f>
        <v>0.00329</v>
      </c>
    </row>
    <row r="16023" spans="1:7">
      <c r="A16023" s="3"/>
      <c r="B16023" s="3"/>
      <c r="C16023" s="3"/>
      <c r="D16023" s="3"/>
      <c r="E16023" s="3">
        <v>20</v>
      </c>
      <c r="F16023" s="4" t="str">
        <f>HYPERLINK("http://141.218.60.56/~jnz1568/getInfo.php?workbook=10_05.xlsx&amp;sheet=U0&amp;row=16023&amp;col=6&amp;number=4.9&amp;sourceID=14","4.9")</f>
        <v>4.9</v>
      </c>
      <c r="G16023" s="4" t="str">
        <f>HYPERLINK("http://141.218.60.56/~jnz1568/getInfo.php?workbook=10_05.xlsx&amp;sheet=U0&amp;row=16023&amp;col=7&amp;number=0.00278&amp;sourceID=14","0.00278")</f>
        <v>0.00278</v>
      </c>
    </row>
    <row r="16024" spans="1:7">
      <c r="A16024" s="3">
        <v>10</v>
      </c>
      <c r="B16024" s="3">
        <v>5</v>
      </c>
      <c r="C16024" s="3">
        <v>5</v>
      </c>
      <c r="D16024" s="3">
        <v>97</v>
      </c>
      <c r="E16024" s="3">
        <v>1</v>
      </c>
      <c r="F16024" s="4" t="str">
        <f>HYPERLINK("http://141.218.60.56/~jnz1568/getInfo.php?workbook=10_05.xlsx&amp;sheet=U0&amp;row=16024&amp;col=6&amp;number=3&amp;sourceID=14","3")</f>
        <v>3</v>
      </c>
      <c r="G16024" s="4" t="str">
        <f>HYPERLINK("http://141.218.60.56/~jnz1568/getInfo.php?workbook=10_05.xlsx&amp;sheet=U0&amp;row=16024&amp;col=7&amp;number=0.0186&amp;sourceID=14","0.0186")</f>
        <v>0.0186</v>
      </c>
    </row>
    <row r="16025" spans="1:7">
      <c r="A16025" s="3"/>
      <c r="B16025" s="3"/>
      <c r="C16025" s="3"/>
      <c r="D16025" s="3"/>
      <c r="E16025" s="3">
        <v>2</v>
      </c>
      <c r="F16025" s="4" t="str">
        <f>HYPERLINK("http://141.218.60.56/~jnz1568/getInfo.php?workbook=10_05.xlsx&amp;sheet=U0&amp;row=16025&amp;col=6&amp;number=3.1&amp;sourceID=14","3.1")</f>
        <v>3.1</v>
      </c>
      <c r="G16025" s="4" t="str">
        <f>HYPERLINK("http://141.218.60.56/~jnz1568/getInfo.php?workbook=10_05.xlsx&amp;sheet=U0&amp;row=16025&amp;col=7&amp;number=0.0184&amp;sourceID=14","0.0184")</f>
        <v>0.0184</v>
      </c>
    </row>
    <row r="16026" spans="1:7">
      <c r="A16026" s="3"/>
      <c r="B16026" s="3"/>
      <c r="C16026" s="3"/>
      <c r="D16026" s="3"/>
      <c r="E16026" s="3">
        <v>3</v>
      </c>
      <c r="F16026" s="4" t="str">
        <f>HYPERLINK("http://141.218.60.56/~jnz1568/getInfo.php?workbook=10_05.xlsx&amp;sheet=U0&amp;row=16026&amp;col=6&amp;number=3.2&amp;sourceID=14","3.2")</f>
        <v>3.2</v>
      </c>
      <c r="G16026" s="4" t="str">
        <f>HYPERLINK("http://141.218.60.56/~jnz1568/getInfo.php?workbook=10_05.xlsx&amp;sheet=U0&amp;row=16026&amp;col=7&amp;number=0.0182&amp;sourceID=14","0.0182")</f>
        <v>0.0182</v>
      </c>
    </row>
    <row r="16027" spans="1:7">
      <c r="A16027" s="3"/>
      <c r="B16027" s="3"/>
      <c r="C16027" s="3"/>
      <c r="D16027" s="3"/>
      <c r="E16027" s="3">
        <v>4</v>
      </c>
      <c r="F16027" s="4" t="str">
        <f>HYPERLINK("http://141.218.60.56/~jnz1568/getInfo.php?workbook=10_05.xlsx&amp;sheet=U0&amp;row=16027&amp;col=6&amp;number=3.3&amp;sourceID=14","3.3")</f>
        <v>3.3</v>
      </c>
      <c r="G16027" s="4" t="str">
        <f>HYPERLINK("http://141.218.60.56/~jnz1568/getInfo.php?workbook=10_05.xlsx&amp;sheet=U0&amp;row=16027&amp;col=7&amp;number=0.018&amp;sourceID=14","0.018")</f>
        <v>0.018</v>
      </c>
    </row>
    <row r="16028" spans="1:7">
      <c r="A16028" s="3"/>
      <c r="B16028" s="3"/>
      <c r="C16028" s="3"/>
      <c r="D16028" s="3"/>
      <c r="E16028" s="3">
        <v>5</v>
      </c>
      <c r="F16028" s="4" t="str">
        <f>HYPERLINK("http://141.218.60.56/~jnz1568/getInfo.php?workbook=10_05.xlsx&amp;sheet=U0&amp;row=16028&amp;col=6&amp;number=3.4&amp;sourceID=14","3.4")</f>
        <v>3.4</v>
      </c>
      <c r="G16028" s="4" t="str">
        <f>HYPERLINK("http://141.218.60.56/~jnz1568/getInfo.php?workbook=10_05.xlsx&amp;sheet=U0&amp;row=16028&amp;col=7&amp;number=0.0177&amp;sourceID=14","0.0177")</f>
        <v>0.0177</v>
      </c>
    </row>
    <row r="16029" spans="1:7">
      <c r="A16029" s="3"/>
      <c r="B16029" s="3"/>
      <c r="C16029" s="3"/>
      <c r="D16029" s="3"/>
      <c r="E16029" s="3">
        <v>6</v>
      </c>
      <c r="F16029" s="4" t="str">
        <f>HYPERLINK("http://141.218.60.56/~jnz1568/getInfo.php?workbook=10_05.xlsx&amp;sheet=U0&amp;row=16029&amp;col=6&amp;number=3.5&amp;sourceID=14","3.5")</f>
        <v>3.5</v>
      </c>
      <c r="G16029" s="4" t="str">
        <f>HYPERLINK("http://141.218.60.56/~jnz1568/getInfo.php?workbook=10_05.xlsx&amp;sheet=U0&amp;row=16029&amp;col=7&amp;number=0.0173&amp;sourceID=14","0.0173")</f>
        <v>0.0173</v>
      </c>
    </row>
    <row r="16030" spans="1:7">
      <c r="A16030" s="3"/>
      <c r="B16030" s="3"/>
      <c r="C16030" s="3"/>
      <c r="D16030" s="3"/>
      <c r="E16030" s="3">
        <v>7</v>
      </c>
      <c r="F16030" s="4" t="str">
        <f>HYPERLINK("http://141.218.60.56/~jnz1568/getInfo.php?workbook=10_05.xlsx&amp;sheet=U0&amp;row=16030&amp;col=6&amp;number=3.6&amp;sourceID=14","3.6")</f>
        <v>3.6</v>
      </c>
      <c r="G16030" s="4" t="str">
        <f>HYPERLINK("http://141.218.60.56/~jnz1568/getInfo.php?workbook=10_05.xlsx&amp;sheet=U0&amp;row=16030&amp;col=7&amp;number=0.0168&amp;sourceID=14","0.0168")</f>
        <v>0.0168</v>
      </c>
    </row>
    <row r="16031" spans="1:7">
      <c r="A16031" s="3"/>
      <c r="B16031" s="3"/>
      <c r="C16031" s="3"/>
      <c r="D16031" s="3"/>
      <c r="E16031" s="3">
        <v>8</v>
      </c>
      <c r="F16031" s="4" t="str">
        <f>HYPERLINK("http://141.218.60.56/~jnz1568/getInfo.php?workbook=10_05.xlsx&amp;sheet=U0&amp;row=16031&amp;col=6&amp;number=3.7&amp;sourceID=14","3.7")</f>
        <v>3.7</v>
      </c>
      <c r="G16031" s="4" t="str">
        <f>HYPERLINK("http://141.218.60.56/~jnz1568/getInfo.php?workbook=10_05.xlsx&amp;sheet=U0&amp;row=16031&amp;col=7&amp;number=0.0163&amp;sourceID=14","0.0163")</f>
        <v>0.0163</v>
      </c>
    </row>
    <row r="16032" spans="1:7">
      <c r="A16032" s="3"/>
      <c r="B16032" s="3"/>
      <c r="C16032" s="3"/>
      <c r="D16032" s="3"/>
      <c r="E16032" s="3">
        <v>9</v>
      </c>
      <c r="F16032" s="4" t="str">
        <f>HYPERLINK("http://141.218.60.56/~jnz1568/getInfo.php?workbook=10_05.xlsx&amp;sheet=U0&amp;row=16032&amp;col=6&amp;number=3.8&amp;sourceID=14","3.8")</f>
        <v>3.8</v>
      </c>
      <c r="G16032" s="4" t="str">
        <f>HYPERLINK("http://141.218.60.56/~jnz1568/getInfo.php?workbook=10_05.xlsx&amp;sheet=U0&amp;row=16032&amp;col=7&amp;number=0.0157&amp;sourceID=14","0.0157")</f>
        <v>0.0157</v>
      </c>
    </row>
    <row r="16033" spans="1:7">
      <c r="A16033" s="3"/>
      <c r="B16033" s="3"/>
      <c r="C16033" s="3"/>
      <c r="D16033" s="3"/>
      <c r="E16033" s="3">
        <v>10</v>
      </c>
      <c r="F16033" s="4" t="str">
        <f>HYPERLINK("http://141.218.60.56/~jnz1568/getInfo.php?workbook=10_05.xlsx&amp;sheet=U0&amp;row=16033&amp;col=6&amp;number=3.9&amp;sourceID=14","3.9")</f>
        <v>3.9</v>
      </c>
      <c r="G16033" s="4" t="str">
        <f>HYPERLINK("http://141.218.60.56/~jnz1568/getInfo.php?workbook=10_05.xlsx&amp;sheet=U0&amp;row=16033&amp;col=7&amp;number=0.0149&amp;sourceID=14","0.0149")</f>
        <v>0.0149</v>
      </c>
    </row>
    <row r="16034" spans="1:7">
      <c r="A16034" s="3"/>
      <c r="B16034" s="3"/>
      <c r="C16034" s="3"/>
      <c r="D16034" s="3"/>
      <c r="E16034" s="3">
        <v>11</v>
      </c>
      <c r="F16034" s="4" t="str">
        <f>HYPERLINK("http://141.218.60.56/~jnz1568/getInfo.php?workbook=10_05.xlsx&amp;sheet=U0&amp;row=16034&amp;col=6&amp;number=4&amp;sourceID=14","4")</f>
        <v>4</v>
      </c>
      <c r="G16034" s="4" t="str">
        <f>HYPERLINK("http://141.218.60.56/~jnz1568/getInfo.php?workbook=10_05.xlsx&amp;sheet=U0&amp;row=16034&amp;col=7&amp;number=0.0141&amp;sourceID=14","0.0141")</f>
        <v>0.0141</v>
      </c>
    </row>
    <row r="16035" spans="1:7">
      <c r="A16035" s="3"/>
      <c r="B16035" s="3"/>
      <c r="C16035" s="3"/>
      <c r="D16035" s="3"/>
      <c r="E16035" s="3">
        <v>12</v>
      </c>
      <c r="F16035" s="4" t="str">
        <f>HYPERLINK("http://141.218.60.56/~jnz1568/getInfo.php?workbook=10_05.xlsx&amp;sheet=U0&amp;row=16035&amp;col=6&amp;number=4.1&amp;sourceID=14","4.1")</f>
        <v>4.1</v>
      </c>
      <c r="G16035" s="4" t="str">
        <f>HYPERLINK("http://141.218.60.56/~jnz1568/getInfo.php?workbook=10_05.xlsx&amp;sheet=U0&amp;row=16035&amp;col=7&amp;number=0.0132&amp;sourceID=14","0.0132")</f>
        <v>0.0132</v>
      </c>
    </row>
    <row r="16036" spans="1:7">
      <c r="A16036" s="3"/>
      <c r="B16036" s="3"/>
      <c r="C16036" s="3"/>
      <c r="D16036" s="3"/>
      <c r="E16036" s="3">
        <v>13</v>
      </c>
      <c r="F16036" s="4" t="str">
        <f>HYPERLINK("http://141.218.60.56/~jnz1568/getInfo.php?workbook=10_05.xlsx&amp;sheet=U0&amp;row=16036&amp;col=6&amp;number=4.2&amp;sourceID=14","4.2")</f>
        <v>4.2</v>
      </c>
      <c r="G16036" s="4" t="str">
        <f>HYPERLINK("http://141.218.60.56/~jnz1568/getInfo.php?workbook=10_05.xlsx&amp;sheet=U0&amp;row=16036&amp;col=7&amp;number=0.0124&amp;sourceID=14","0.0124")</f>
        <v>0.0124</v>
      </c>
    </row>
    <row r="16037" spans="1:7">
      <c r="A16037" s="3"/>
      <c r="B16037" s="3"/>
      <c r="C16037" s="3"/>
      <c r="D16037" s="3"/>
      <c r="E16037" s="3">
        <v>14</v>
      </c>
      <c r="F16037" s="4" t="str">
        <f>HYPERLINK("http://141.218.60.56/~jnz1568/getInfo.php?workbook=10_05.xlsx&amp;sheet=U0&amp;row=16037&amp;col=6&amp;number=4.3&amp;sourceID=14","4.3")</f>
        <v>4.3</v>
      </c>
      <c r="G16037" s="4" t="str">
        <f>HYPERLINK("http://141.218.60.56/~jnz1568/getInfo.php?workbook=10_05.xlsx&amp;sheet=U0&amp;row=16037&amp;col=7&amp;number=0.0114&amp;sourceID=14","0.0114")</f>
        <v>0.0114</v>
      </c>
    </row>
    <row r="16038" spans="1:7">
      <c r="A16038" s="3"/>
      <c r="B16038" s="3"/>
      <c r="C16038" s="3"/>
      <c r="D16038" s="3"/>
      <c r="E16038" s="3">
        <v>15</v>
      </c>
      <c r="F16038" s="4" t="str">
        <f>HYPERLINK("http://141.218.60.56/~jnz1568/getInfo.php?workbook=10_05.xlsx&amp;sheet=U0&amp;row=16038&amp;col=6&amp;number=4.4&amp;sourceID=14","4.4")</f>
        <v>4.4</v>
      </c>
      <c r="G16038" s="4" t="str">
        <f>HYPERLINK("http://141.218.60.56/~jnz1568/getInfo.php?workbook=10_05.xlsx&amp;sheet=U0&amp;row=16038&amp;col=7&amp;number=0.0104&amp;sourceID=14","0.0104")</f>
        <v>0.0104</v>
      </c>
    </row>
    <row r="16039" spans="1:7">
      <c r="A16039" s="3"/>
      <c r="B16039" s="3"/>
      <c r="C16039" s="3"/>
      <c r="D16039" s="3"/>
      <c r="E16039" s="3">
        <v>16</v>
      </c>
      <c r="F16039" s="4" t="str">
        <f>HYPERLINK("http://141.218.60.56/~jnz1568/getInfo.php?workbook=10_05.xlsx&amp;sheet=U0&amp;row=16039&amp;col=6&amp;number=4.5&amp;sourceID=14","4.5")</f>
        <v>4.5</v>
      </c>
      <c r="G16039" s="4" t="str">
        <f>HYPERLINK("http://141.218.60.56/~jnz1568/getInfo.php?workbook=10_05.xlsx&amp;sheet=U0&amp;row=16039&amp;col=7&amp;number=0.00932&amp;sourceID=14","0.00932")</f>
        <v>0.00932</v>
      </c>
    </row>
    <row r="16040" spans="1:7">
      <c r="A16040" s="3"/>
      <c r="B16040" s="3"/>
      <c r="C16040" s="3"/>
      <c r="D16040" s="3"/>
      <c r="E16040" s="3">
        <v>17</v>
      </c>
      <c r="F16040" s="4" t="str">
        <f>HYPERLINK("http://141.218.60.56/~jnz1568/getInfo.php?workbook=10_05.xlsx&amp;sheet=U0&amp;row=16040&amp;col=6&amp;number=4.6&amp;sourceID=14","4.6")</f>
        <v>4.6</v>
      </c>
      <c r="G16040" s="4" t="str">
        <f>HYPERLINK("http://141.218.60.56/~jnz1568/getInfo.php?workbook=10_05.xlsx&amp;sheet=U0&amp;row=16040&amp;col=7&amp;number=0.00815&amp;sourceID=14","0.00815")</f>
        <v>0.00815</v>
      </c>
    </row>
    <row r="16041" spans="1:7">
      <c r="A16041" s="3"/>
      <c r="B16041" s="3"/>
      <c r="C16041" s="3"/>
      <c r="D16041" s="3"/>
      <c r="E16041" s="3">
        <v>18</v>
      </c>
      <c r="F16041" s="4" t="str">
        <f>HYPERLINK("http://141.218.60.56/~jnz1568/getInfo.php?workbook=10_05.xlsx&amp;sheet=U0&amp;row=16041&amp;col=6&amp;number=4.7&amp;sourceID=14","4.7")</f>
        <v>4.7</v>
      </c>
      <c r="G16041" s="4" t="str">
        <f>HYPERLINK("http://141.218.60.56/~jnz1568/getInfo.php?workbook=10_05.xlsx&amp;sheet=U0&amp;row=16041&amp;col=7&amp;number=0.00706&amp;sourceID=14","0.00706")</f>
        <v>0.00706</v>
      </c>
    </row>
    <row r="16042" spans="1:7">
      <c r="A16042" s="3"/>
      <c r="B16042" s="3"/>
      <c r="C16042" s="3"/>
      <c r="D16042" s="3"/>
      <c r="E16042" s="3">
        <v>19</v>
      </c>
      <c r="F16042" s="4" t="str">
        <f>HYPERLINK("http://141.218.60.56/~jnz1568/getInfo.php?workbook=10_05.xlsx&amp;sheet=U0&amp;row=16042&amp;col=6&amp;number=4.8&amp;sourceID=14","4.8")</f>
        <v>4.8</v>
      </c>
      <c r="G16042" s="4" t="str">
        <f>HYPERLINK("http://141.218.60.56/~jnz1568/getInfo.php?workbook=10_05.xlsx&amp;sheet=U0&amp;row=16042&amp;col=7&amp;number=0.00609&amp;sourceID=14","0.00609")</f>
        <v>0.00609</v>
      </c>
    </row>
    <row r="16043" spans="1:7">
      <c r="A16043" s="3"/>
      <c r="B16043" s="3"/>
      <c r="C16043" s="3"/>
      <c r="D16043" s="3"/>
      <c r="E16043" s="3">
        <v>20</v>
      </c>
      <c r="F16043" s="4" t="str">
        <f>HYPERLINK("http://141.218.60.56/~jnz1568/getInfo.php?workbook=10_05.xlsx&amp;sheet=U0&amp;row=16043&amp;col=6&amp;number=4.9&amp;sourceID=14","4.9")</f>
        <v>4.9</v>
      </c>
      <c r="G16043" s="4" t="str">
        <f>HYPERLINK("http://141.218.60.56/~jnz1568/getInfo.php?workbook=10_05.xlsx&amp;sheet=U0&amp;row=16043&amp;col=7&amp;number=0.00519&amp;sourceID=14","0.00519")</f>
        <v>0.00519</v>
      </c>
    </row>
    <row r="16044" spans="1:7">
      <c r="A16044" s="3">
        <v>10</v>
      </c>
      <c r="B16044" s="3">
        <v>5</v>
      </c>
      <c r="C16044" s="3">
        <v>5</v>
      </c>
      <c r="D16044" s="3">
        <v>98</v>
      </c>
      <c r="E16044" s="3">
        <v>1</v>
      </c>
      <c r="F16044" s="4" t="str">
        <f>HYPERLINK("http://141.218.60.56/~jnz1568/getInfo.php?workbook=10_05.xlsx&amp;sheet=U0&amp;row=16044&amp;col=6&amp;number=3&amp;sourceID=14","3")</f>
        <v>3</v>
      </c>
      <c r="G16044" s="4" t="str">
        <f>HYPERLINK("http://141.218.60.56/~jnz1568/getInfo.php?workbook=10_05.xlsx&amp;sheet=U0&amp;row=16044&amp;col=7&amp;number=0.0307&amp;sourceID=14","0.0307")</f>
        <v>0.0307</v>
      </c>
    </row>
    <row r="16045" spans="1:7">
      <c r="A16045" s="3"/>
      <c r="B16045" s="3"/>
      <c r="C16045" s="3"/>
      <c r="D16045" s="3"/>
      <c r="E16045" s="3">
        <v>2</v>
      </c>
      <c r="F16045" s="4" t="str">
        <f>HYPERLINK("http://141.218.60.56/~jnz1568/getInfo.php?workbook=10_05.xlsx&amp;sheet=U0&amp;row=16045&amp;col=6&amp;number=3.1&amp;sourceID=14","3.1")</f>
        <v>3.1</v>
      </c>
      <c r="G16045" s="4" t="str">
        <f>HYPERLINK("http://141.218.60.56/~jnz1568/getInfo.php?workbook=10_05.xlsx&amp;sheet=U0&amp;row=16045&amp;col=7&amp;number=0.0305&amp;sourceID=14","0.0305")</f>
        <v>0.0305</v>
      </c>
    </row>
    <row r="16046" spans="1:7">
      <c r="A16046" s="3"/>
      <c r="B16046" s="3"/>
      <c r="C16046" s="3"/>
      <c r="D16046" s="3"/>
      <c r="E16046" s="3">
        <v>3</v>
      </c>
      <c r="F16046" s="4" t="str">
        <f>HYPERLINK("http://141.218.60.56/~jnz1568/getInfo.php?workbook=10_05.xlsx&amp;sheet=U0&amp;row=16046&amp;col=6&amp;number=3.2&amp;sourceID=14","3.2")</f>
        <v>3.2</v>
      </c>
      <c r="G16046" s="4" t="str">
        <f>HYPERLINK("http://141.218.60.56/~jnz1568/getInfo.php?workbook=10_05.xlsx&amp;sheet=U0&amp;row=16046&amp;col=7&amp;number=0.0303&amp;sourceID=14","0.0303")</f>
        <v>0.0303</v>
      </c>
    </row>
    <row r="16047" spans="1:7">
      <c r="A16047" s="3"/>
      <c r="B16047" s="3"/>
      <c r="C16047" s="3"/>
      <c r="D16047" s="3"/>
      <c r="E16047" s="3">
        <v>4</v>
      </c>
      <c r="F16047" s="4" t="str">
        <f>HYPERLINK("http://141.218.60.56/~jnz1568/getInfo.php?workbook=10_05.xlsx&amp;sheet=U0&amp;row=16047&amp;col=6&amp;number=3.3&amp;sourceID=14","3.3")</f>
        <v>3.3</v>
      </c>
      <c r="G16047" s="4" t="str">
        <f>HYPERLINK("http://141.218.60.56/~jnz1568/getInfo.php?workbook=10_05.xlsx&amp;sheet=U0&amp;row=16047&amp;col=7&amp;number=0.03&amp;sourceID=14","0.03")</f>
        <v>0.03</v>
      </c>
    </row>
    <row r="16048" spans="1:7">
      <c r="A16048" s="3"/>
      <c r="B16048" s="3"/>
      <c r="C16048" s="3"/>
      <c r="D16048" s="3"/>
      <c r="E16048" s="3">
        <v>5</v>
      </c>
      <c r="F16048" s="4" t="str">
        <f>HYPERLINK("http://141.218.60.56/~jnz1568/getInfo.php?workbook=10_05.xlsx&amp;sheet=U0&amp;row=16048&amp;col=6&amp;number=3.4&amp;sourceID=14","3.4")</f>
        <v>3.4</v>
      </c>
      <c r="G16048" s="4" t="str">
        <f>HYPERLINK("http://141.218.60.56/~jnz1568/getInfo.php?workbook=10_05.xlsx&amp;sheet=U0&amp;row=16048&amp;col=7&amp;number=0.0297&amp;sourceID=14","0.0297")</f>
        <v>0.0297</v>
      </c>
    </row>
    <row r="16049" spans="1:7">
      <c r="A16049" s="3"/>
      <c r="B16049" s="3"/>
      <c r="C16049" s="3"/>
      <c r="D16049" s="3"/>
      <c r="E16049" s="3">
        <v>6</v>
      </c>
      <c r="F16049" s="4" t="str">
        <f>HYPERLINK("http://141.218.60.56/~jnz1568/getInfo.php?workbook=10_05.xlsx&amp;sheet=U0&amp;row=16049&amp;col=6&amp;number=3.5&amp;sourceID=14","3.5")</f>
        <v>3.5</v>
      </c>
      <c r="G16049" s="4" t="str">
        <f>HYPERLINK("http://141.218.60.56/~jnz1568/getInfo.php?workbook=10_05.xlsx&amp;sheet=U0&amp;row=16049&amp;col=7&amp;number=0.0293&amp;sourceID=14","0.0293")</f>
        <v>0.0293</v>
      </c>
    </row>
    <row r="16050" spans="1:7">
      <c r="A16050" s="3"/>
      <c r="B16050" s="3"/>
      <c r="C16050" s="3"/>
      <c r="D16050" s="3"/>
      <c r="E16050" s="3">
        <v>7</v>
      </c>
      <c r="F16050" s="4" t="str">
        <f>HYPERLINK("http://141.218.60.56/~jnz1568/getInfo.php?workbook=10_05.xlsx&amp;sheet=U0&amp;row=16050&amp;col=6&amp;number=3.6&amp;sourceID=14","3.6")</f>
        <v>3.6</v>
      </c>
      <c r="G16050" s="4" t="str">
        <f>HYPERLINK("http://141.218.60.56/~jnz1568/getInfo.php?workbook=10_05.xlsx&amp;sheet=U0&amp;row=16050&amp;col=7&amp;number=0.0287&amp;sourceID=14","0.0287")</f>
        <v>0.0287</v>
      </c>
    </row>
    <row r="16051" spans="1:7">
      <c r="A16051" s="3"/>
      <c r="B16051" s="3"/>
      <c r="C16051" s="3"/>
      <c r="D16051" s="3"/>
      <c r="E16051" s="3">
        <v>8</v>
      </c>
      <c r="F16051" s="4" t="str">
        <f>HYPERLINK("http://141.218.60.56/~jnz1568/getInfo.php?workbook=10_05.xlsx&amp;sheet=U0&amp;row=16051&amp;col=6&amp;number=3.7&amp;sourceID=14","3.7")</f>
        <v>3.7</v>
      </c>
      <c r="G16051" s="4" t="str">
        <f>HYPERLINK("http://141.218.60.56/~jnz1568/getInfo.php?workbook=10_05.xlsx&amp;sheet=U0&amp;row=16051&amp;col=7&amp;number=0.0281&amp;sourceID=14","0.0281")</f>
        <v>0.0281</v>
      </c>
    </row>
    <row r="16052" spans="1:7">
      <c r="A16052" s="3"/>
      <c r="B16052" s="3"/>
      <c r="C16052" s="3"/>
      <c r="D16052" s="3"/>
      <c r="E16052" s="3">
        <v>9</v>
      </c>
      <c r="F16052" s="4" t="str">
        <f>HYPERLINK("http://141.218.60.56/~jnz1568/getInfo.php?workbook=10_05.xlsx&amp;sheet=U0&amp;row=16052&amp;col=6&amp;number=3.8&amp;sourceID=14","3.8")</f>
        <v>3.8</v>
      </c>
      <c r="G16052" s="4" t="str">
        <f>HYPERLINK("http://141.218.60.56/~jnz1568/getInfo.php?workbook=10_05.xlsx&amp;sheet=U0&amp;row=16052&amp;col=7&amp;number=0.0273&amp;sourceID=14","0.0273")</f>
        <v>0.0273</v>
      </c>
    </row>
    <row r="16053" spans="1:7">
      <c r="A16053" s="3"/>
      <c r="B16053" s="3"/>
      <c r="C16053" s="3"/>
      <c r="D16053" s="3"/>
      <c r="E16053" s="3">
        <v>10</v>
      </c>
      <c r="F16053" s="4" t="str">
        <f>HYPERLINK("http://141.218.60.56/~jnz1568/getInfo.php?workbook=10_05.xlsx&amp;sheet=U0&amp;row=16053&amp;col=6&amp;number=3.9&amp;sourceID=14","3.9")</f>
        <v>3.9</v>
      </c>
      <c r="G16053" s="4" t="str">
        <f>HYPERLINK("http://141.218.60.56/~jnz1568/getInfo.php?workbook=10_05.xlsx&amp;sheet=U0&amp;row=16053&amp;col=7&amp;number=0.0263&amp;sourceID=14","0.0263")</f>
        <v>0.0263</v>
      </c>
    </row>
    <row r="16054" spans="1:7">
      <c r="A16054" s="3"/>
      <c r="B16054" s="3"/>
      <c r="C16054" s="3"/>
      <c r="D16054" s="3"/>
      <c r="E16054" s="3">
        <v>11</v>
      </c>
      <c r="F16054" s="4" t="str">
        <f>HYPERLINK("http://141.218.60.56/~jnz1568/getInfo.php?workbook=10_05.xlsx&amp;sheet=U0&amp;row=16054&amp;col=6&amp;number=4&amp;sourceID=14","4")</f>
        <v>4</v>
      </c>
      <c r="G16054" s="4" t="str">
        <f>HYPERLINK("http://141.218.60.56/~jnz1568/getInfo.php?workbook=10_05.xlsx&amp;sheet=U0&amp;row=16054&amp;col=7&amp;number=0.0252&amp;sourceID=14","0.0252")</f>
        <v>0.0252</v>
      </c>
    </row>
    <row r="16055" spans="1:7">
      <c r="A16055" s="3"/>
      <c r="B16055" s="3"/>
      <c r="C16055" s="3"/>
      <c r="D16055" s="3"/>
      <c r="E16055" s="3">
        <v>12</v>
      </c>
      <c r="F16055" s="4" t="str">
        <f>HYPERLINK("http://141.218.60.56/~jnz1568/getInfo.php?workbook=10_05.xlsx&amp;sheet=U0&amp;row=16055&amp;col=6&amp;number=4.1&amp;sourceID=14","4.1")</f>
        <v>4.1</v>
      </c>
      <c r="G16055" s="4" t="str">
        <f>HYPERLINK("http://141.218.60.56/~jnz1568/getInfo.php?workbook=10_05.xlsx&amp;sheet=U0&amp;row=16055&amp;col=7&amp;number=0.0238&amp;sourceID=14","0.0238")</f>
        <v>0.0238</v>
      </c>
    </row>
    <row r="16056" spans="1:7">
      <c r="A16056" s="3"/>
      <c r="B16056" s="3"/>
      <c r="C16056" s="3"/>
      <c r="D16056" s="3"/>
      <c r="E16056" s="3">
        <v>13</v>
      </c>
      <c r="F16056" s="4" t="str">
        <f>HYPERLINK("http://141.218.60.56/~jnz1568/getInfo.php?workbook=10_05.xlsx&amp;sheet=U0&amp;row=16056&amp;col=6&amp;number=4.2&amp;sourceID=14","4.2")</f>
        <v>4.2</v>
      </c>
      <c r="G16056" s="4" t="str">
        <f>HYPERLINK("http://141.218.60.56/~jnz1568/getInfo.php?workbook=10_05.xlsx&amp;sheet=U0&amp;row=16056&amp;col=7&amp;number=0.0221&amp;sourceID=14","0.0221")</f>
        <v>0.0221</v>
      </c>
    </row>
    <row r="16057" spans="1:7">
      <c r="A16057" s="3"/>
      <c r="B16057" s="3"/>
      <c r="C16057" s="3"/>
      <c r="D16057" s="3"/>
      <c r="E16057" s="3">
        <v>14</v>
      </c>
      <c r="F16057" s="4" t="str">
        <f>HYPERLINK("http://141.218.60.56/~jnz1568/getInfo.php?workbook=10_05.xlsx&amp;sheet=U0&amp;row=16057&amp;col=6&amp;number=4.3&amp;sourceID=14","4.3")</f>
        <v>4.3</v>
      </c>
      <c r="G16057" s="4" t="str">
        <f>HYPERLINK("http://141.218.60.56/~jnz1568/getInfo.php?workbook=10_05.xlsx&amp;sheet=U0&amp;row=16057&amp;col=7&amp;number=0.0203&amp;sourceID=14","0.0203")</f>
        <v>0.0203</v>
      </c>
    </row>
    <row r="16058" spans="1:7">
      <c r="A16058" s="3"/>
      <c r="B16058" s="3"/>
      <c r="C16058" s="3"/>
      <c r="D16058" s="3"/>
      <c r="E16058" s="3">
        <v>15</v>
      </c>
      <c r="F16058" s="4" t="str">
        <f>HYPERLINK("http://141.218.60.56/~jnz1568/getInfo.php?workbook=10_05.xlsx&amp;sheet=U0&amp;row=16058&amp;col=6&amp;number=4.4&amp;sourceID=14","4.4")</f>
        <v>4.4</v>
      </c>
      <c r="G16058" s="4" t="str">
        <f>HYPERLINK("http://141.218.60.56/~jnz1568/getInfo.php?workbook=10_05.xlsx&amp;sheet=U0&amp;row=16058&amp;col=7&amp;number=0.0183&amp;sourceID=14","0.0183")</f>
        <v>0.0183</v>
      </c>
    </row>
    <row r="16059" spans="1:7">
      <c r="A16059" s="3"/>
      <c r="B16059" s="3"/>
      <c r="C16059" s="3"/>
      <c r="D16059" s="3"/>
      <c r="E16059" s="3">
        <v>16</v>
      </c>
      <c r="F16059" s="4" t="str">
        <f>HYPERLINK("http://141.218.60.56/~jnz1568/getInfo.php?workbook=10_05.xlsx&amp;sheet=U0&amp;row=16059&amp;col=6&amp;number=4.5&amp;sourceID=14","4.5")</f>
        <v>4.5</v>
      </c>
      <c r="G16059" s="4" t="str">
        <f>HYPERLINK("http://141.218.60.56/~jnz1568/getInfo.php?workbook=10_05.xlsx&amp;sheet=U0&amp;row=16059&amp;col=7&amp;number=0.0161&amp;sourceID=14","0.0161")</f>
        <v>0.0161</v>
      </c>
    </row>
    <row r="16060" spans="1:7">
      <c r="A16060" s="3"/>
      <c r="B16060" s="3"/>
      <c r="C16060" s="3"/>
      <c r="D16060" s="3"/>
      <c r="E16060" s="3">
        <v>17</v>
      </c>
      <c r="F16060" s="4" t="str">
        <f>HYPERLINK("http://141.218.60.56/~jnz1568/getInfo.php?workbook=10_05.xlsx&amp;sheet=U0&amp;row=16060&amp;col=6&amp;number=4.6&amp;sourceID=14","4.6")</f>
        <v>4.6</v>
      </c>
      <c r="G16060" s="4" t="str">
        <f>HYPERLINK("http://141.218.60.56/~jnz1568/getInfo.php?workbook=10_05.xlsx&amp;sheet=U0&amp;row=16060&amp;col=7&amp;number=0.014&amp;sourceID=14","0.014")</f>
        <v>0.014</v>
      </c>
    </row>
    <row r="16061" spans="1:7">
      <c r="A16061" s="3"/>
      <c r="B16061" s="3"/>
      <c r="C16061" s="3"/>
      <c r="D16061" s="3"/>
      <c r="E16061" s="3">
        <v>18</v>
      </c>
      <c r="F16061" s="4" t="str">
        <f>HYPERLINK("http://141.218.60.56/~jnz1568/getInfo.php?workbook=10_05.xlsx&amp;sheet=U0&amp;row=16061&amp;col=6&amp;number=4.7&amp;sourceID=14","4.7")</f>
        <v>4.7</v>
      </c>
      <c r="G16061" s="4" t="str">
        <f>HYPERLINK("http://141.218.60.56/~jnz1568/getInfo.php?workbook=10_05.xlsx&amp;sheet=U0&amp;row=16061&amp;col=7&amp;number=0.012&amp;sourceID=14","0.012")</f>
        <v>0.012</v>
      </c>
    </row>
    <row r="16062" spans="1:7">
      <c r="A16062" s="3"/>
      <c r="B16062" s="3"/>
      <c r="C16062" s="3"/>
      <c r="D16062" s="3"/>
      <c r="E16062" s="3">
        <v>19</v>
      </c>
      <c r="F16062" s="4" t="str">
        <f>HYPERLINK("http://141.218.60.56/~jnz1568/getInfo.php?workbook=10_05.xlsx&amp;sheet=U0&amp;row=16062&amp;col=6&amp;number=4.8&amp;sourceID=14","4.8")</f>
        <v>4.8</v>
      </c>
      <c r="G16062" s="4" t="str">
        <f>HYPERLINK("http://141.218.60.56/~jnz1568/getInfo.php?workbook=10_05.xlsx&amp;sheet=U0&amp;row=16062&amp;col=7&amp;number=0.0103&amp;sourceID=14","0.0103")</f>
        <v>0.0103</v>
      </c>
    </row>
    <row r="16063" spans="1:7">
      <c r="A16063" s="3"/>
      <c r="B16063" s="3"/>
      <c r="C16063" s="3"/>
      <c r="D16063" s="3"/>
      <c r="E16063" s="3">
        <v>20</v>
      </c>
      <c r="F16063" s="4" t="str">
        <f>HYPERLINK("http://141.218.60.56/~jnz1568/getInfo.php?workbook=10_05.xlsx&amp;sheet=U0&amp;row=16063&amp;col=6&amp;number=4.9&amp;sourceID=14","4.9")</f>
        <v>4.9</v>
      </c>
      <c r="G16063" s="4" t="str">
        <f>HYPERLINK("http://141.218.60.56/~jnz1568/getInfo.php?workbook=10_05.xlsx&amp;sheet=U0&amp;row=16063&amp;col=7&amp;number=0.0088&amp;sourceID=14","0.0088")</f>
        <v>0.0088</v>
      </c>
    </row>
    <row r="16064" spans="1:7">
      <c r="A16064" s="3">
        <v>10</v>
      </c>
      <c r="B16064" s="3">
        <v>5</v>
      </c>
      <c r="C16064" s="3">
        <v>5</v>
      </c>
      <c r="D16064" s="3">
        <v>99</v>
      </c>
      <c r="E16064" s="3">
        <v>1</v>
      </c>
      <c r="F16064" s="4" t="str">
        <f>HYPERLINK("http://141.218.60.56/~jnz1568/getInfo.php?workbook=10_05.xlsx&amp;sheet=U0&amp;row=16064&amp;col=6&amp;number=3&amp;sourceID=14","3")</f>
        <v>3</v>
      </c>
      <c r="G16064" s="4" t="str">
        <f>HYPERLINK("http://141.218.60.56/~jnz1568/getInfo.php?workbook=10_05.xlsx&amp;sheet=U0&amp;row=16064&amp;col=7&amp;number=0.00696&amp;sourceID=14","0.00696")</f>
        <v>0.00696</v>
      </c>
    </row>
    <row r="16065" spans="1:7">
      <c r="A16065" s="3"/>
      <c r="B16065" s="3"/>
      <c r="C16065" s="3"/>
      <c r="D16065" s="3"/>
      <c r="E16065" s="3">
        <v>2</v>
      </c>
      <c r="F16065" s="4" t="str">
        <f>HYPERLINK("http://141.218.60.56/~jnz1568/getInfo.php?workbook=10_05.xlsx&amp;sheet=U0&amp;row=16065&amp;col=6&amp;number=3.1&amp;sourceID=14","3.1")</f>
        <v>3.1</v>
      </c>
      <c r="G16065" s="4" t="str">
        <f>HYPERLINK("http://141.218.60.56/~jnz1568/getInfo.php?workbook=10_05.xlsx&amp;sheet=U0&amp;row=16065&amp;col=7&amp;number=0.00692&amp;sourceID=14","0.00692")</f>
        <v>0.00692</v>
      </c>
    </row>
    <row r="16066" spans="1:7">
      <c r="A16066" s="3"/>
      <c r="B16066" s="3"/>
      <c r="C16066" s="3"/>
      <c r="D16066" s="3"/>
      <c r="E16066" s="3">
        <v>3</v>
      </c>
      <c r="F16066" s="4" t="str">
        <f>HYPERLINK("http://141.218.60.56/~jnz1568/getInfo.php?workbook=10_05.xlsx&amp;sheet=U0&amp;row=16066&amp;col=6&amp;number=3.2&amp;sourceID=14","3.2")</f>
        <v>3.2</v>
      </c>
      <c r="G16066" s="4" t="str">
        <f>HYPERLINK("http://141.218.60.56/~jnz1568/getInfo.php?workbook=10_05.xlsx&amp;sheet=U0&amp;row=16066&amp;col=7&amp;number=0.00688&amp;sourceID=14","0.00688")</f>
        <v>0.00688</v>
      </c>
    </row>
    <row r="16067" spans="1:7">
      <c r="A16067" s="3"/>
      <c r="B16067" s="3"/>
      <c r="C16067" s="3"/>
      <c r="D16067" s="3"/>
      <c r="E16067" s="3">
        <v>4</v>
      </c>
      <c r="F16067" s="4" t="str">
        <f>HYPERLINK("http://141.218.60.56/~jnz1568/getInfo.php?workbook=10_05.xlsx&amp;sheet=U0&amp;row=16067&amp;col=6&amp;number=3.3&amp;sourceID=14","3.3")</f>
        <v>3.3</v>
      </c>
      <c r="G16067" s="4" t="str">
        <f>HYPERLINK("http://141.218.60.56/~jnz1568/getInfo.php?workbook=10_05.xlsx&amp;sheet=U0&amp;row=16067&amp;col=7&amp;number=0.00682&amp;sourceID=14","0.00682")</f>
        <v>0.00682</v>
      </c>
    </row>
    <row r="16068" spans="1:7">
      <c r="A16068" s="3"/>
      <c r="B16068" s="3"/>
      <c r="C16068" s="3"/>
      <c r="D16068" s="3"/>
      <c r="E16068" s="3">
        <v>5</v>
      </c>
      <c r="F16068" s="4" t="str">
        <f>HYPERLINK("http://141.218.60.56/~jnz1568/getInfo.php?workbook=10_05.xlsx&amp;sheet=U0&amp;row=16068&amp;col=6&amp;number=3.4&amp;sourceID=14","3.4")</f>
        <v>3.4</v>
      </c>
      <c r="G16068" s="4" t="str">
        <f>HYPERLINK("http://141.218.60.56/~jnz1568/getInfo.php?workbook=10_05.xlsx&amp;sheet=U0&amp;row=16068&amp;col=7&amp;number=0.00675&amp;sourceID=14","0.00675")</f>
        <v>0.00675</v>
      </c>
    </row>
    <row r="16069" spans="1:7">
      <c r="A16069" s="3"/>
      <c r="B16069" s="3"/>
      <c r="C16069" s="3"/>
      <c r="D16069" s="3"/>
      <c r="E16069" s="3">
        <v>6</v>
      </c>
      <c r="F16069" s="4" t="str">
        <f>HYPERLINK("http://141.218.60.56/~jnz1568/getInfo.php?workbook=10_05.xlsx&amp;sheet=U0&amp;row=16069&amp;col=6&amp;number=3.5&amp;sourceID=14","3.5")</f>
        <v>3.5</v>
      </c>
      <c r="G16069" s="4" t="str">
        <f>HYPERLINK("http://141.218.60.56/~jnz1568/getInfo.php?workbook=10_05.xlsx&amp;sheet=U0&amp;row=16069&amp;col=7&amp;number=0.00667&amp;sourceID=14","0.00667")</f>
        <v>0.00667</v>
      </c>
    </row>
    <row r="16070" spans="1:7">
      <c r="A16070" s="3"/>
      <c r="B16070" s="3"/>
      <c r="C16070" s="3"/>
      <c r="D16070" s="3"/>
      <c r="E16070" s="3">
        <v>7</v>
      </c>
      <c r="F16070" s="4" t="str">
        <f>HYPERLINK("http://141.218.60.56/~jnz1568/getInfo.php?workbook=10_05.xlsx&amp;sheet=U0&amp;row=16070&amp;col=6&amp;number=3.6&amp;sourceID=14","3.6")</f>
        <v>3.6</v>
      </c>
      <c r="G16070" s="4" t="str">
        <f>HYPERLINK("http://141.218.60.56/~jnz1568/getInfo.php?workbook=10_05.xlsx&amp;sheet=U0&amp;row=16070&amp;col=7&amp;number=0.00656&amp;sourceID=14","0.00656")</f>
        <v>0.00656</v>
      </c>
    </row>
    <row r="16071" spans="1:7">
      <c r="A16071" s="3"/>
      <c r="B16071" s="3"/>
      <c r="C16071" s="3"/>
      <c r="D16071" s="3"/>
      <c r="E16071" s="3">
        <v>8</v>
      </c>
      <c r="F16071" s="4" t="str">
        <f>HYPERLINK("http://141.218.60.56/~jnz1568/getInfo.php?workbook=10_05.xlsx&amp;sheet=U0&amp;row=16071&amp;col=6&amp;number=3.7&amp;sourceID=14","3.7")</f>
        <v>3.7</v>
      </c>
      <c r="G16071" s="4" t="str">
        <f>HYPERLINK("http://141.218.60.56/~jnz1568/getInfo.php?workbook=10_05.xlsx&amp;sheet=U0&amp;row=16071&amp;col=7&amp;number=0.00642&amp;sourceID=14","0.00642")</f>
        <v>0.00642</v>
      </c>
    </row>
    <row r="16072" spans="1:7">
      <c r="A16072" s="3"/>
      <c r="B16072" s="3"/>
      <c r="C16072" s="3"/>
      <c r="D16072" s="3"/>
      <c r="E16072" s="3">
        <v>9</v>
      </c>
      <c r="F16072" s="4" t="str">
        <f>HYPERLINK("http://141.218.60.56/~jnz1568/getInfo.php?workbook=10_05.xlsx&amp;sheet=U0&amp;row=16072&amp;col=6&amp;number=3.8&amp;sourceID=14","3.8")</f>
        <v>3.8</v>
      </c>
      <c r="G16072" s="4" t="str">
        <f>HYPERLINK("http://141.218.60.56/~jnz1568/getInfo.php?workbook=10_05.xlsx&amp;sheet=U0&amp;row=16072&amp;col=7&amp;number=0.00626&amp;sourceID=14","0.00626")</f>
        <v>0.00626</v>
      </c>
    </row>
    <row r="16073" spans="1:7">
      <c r="A16073" s="3"/>
      <c r="B16073" s="3"/>
      <c r="C16073" s="3"/>
      <c r="D16073" s="3"/>
      <c r="E16073" s="3">
        <v>10</v>
      </c>
      <c r="F16073" s="4" t="str">
        <f>HYPERLINK("http://141.218.60.56/~jnz1568/getInfo.php?workbook=10_05.xlsx&amp;sheet=U0&amp;row=16073&amp;col=6&amp;number=3.9&amp;sourceID=14","3.9")</f>
        <v>3.9</v>
      </c>
      <c r="G16073" s="4" t="str">
        <f>HYPERLINK("http://141.218.60.56/~jnz1568/getInfo.php?workbook=10_05.xlsx&amp;sheet=U0&amp;row=16073&amp;col=7&amp;number=0.00606&amp;sourceID=14","0.00606")</f>
        <v>0.00606</v>
      </c>
    </row>
    <row r="16074" spans="1:7">
      <c r="A16074" s="3"/>
      <c r="B16074" s="3"/>
      <c r="C16074" s="3"/>
      <c r="D16074" s="3"/>
      <c r="E16074" s="3">
        <v>11</v>
      </c>
      <c r="F16074" s="4" t="str">
        <f>HYPERLINK("http://141.218.60.56/~jnz1568/getInfo.php?workbook=10_05.xlsx&amp;sheet=U0&amp;row=16074&amp;col=6&amp;number=4&amp;sourceID=14","4")</f>
        <v>4</v>
      </c>
      <c r="G16074" s="4" t="str">
        <f>HYPERLINK("http://141.218.60.56/~jnz1568/getInfo.php?workbook=10_05.xlsx&amp;sheet=U0&amp;row=16074&amp;col=7&amp;number=0.00583&amp;sourceID=14","0.00583")</f>
        <v>0.00583</v>
      </c>
    </row>
    <row r="16075" spans="1:7">
      <c r="A16075" s="3"/>
      <c r="B16075" s="3"/>
      <c r="C16075" s="3"/>
      <c r="D16075" s="3"/>
      <c r="E16075" s="3">
        <v>12</v>
      </c>
      <c r="F16075" s="4" t="str">
        <f>HYPERLINK("http://141.218.60.56/~jnz1568/getInfo.php?workbook=10_05.xlsx&amp;sheet=U0&amp;row=16075&amp;col=6&amp;number=4.1&amp;sourceID=14","4.1")</f>
        <v>4.1</v>
      </c>
      <c r="G16075" s="4" t="str">
        <f>HYPERLINK("http://141.218.60.56/~jnz1568/getInfo.php?workbook=10_05.xlsx&amp;sheet=U0&amp;row=16075&amp;col=7&amp;number=0.00555&amp;sourceID=14","0.00555")</f>
        <v>0.00555</v>
      </c>
    </row>
    <row r="16076" spans="1:7">
      <c r="A16076" s="3"/>
      <c r="B16076" s="3"/>
      <c r="C16076" s="3"/>
      <c r="D16076" s="3"/>
      <c r="E16076" s="3">
        <v>13</v>
      </c>
      <c r="F16076" s="4" t="str">
        <f>HYPERLINK("http://141.218.60.56/~jnz1568/getInfo.php?workbook=10_05.xlsx&amp;sheet=U0&amp;row=16076&amp;col=6&amp;number=4.2&amp;sourceID=14","4.2")</f>
        <v>4.2</v>
      </c>
      <c r="G16076" s="4" t="str">
        <f>HYPERLINK("http://141.218.60.56/~jnz1568/getInfo.php?workbook=10_05.xlsx&amp;sheet=U0&amp;row=16076&amp;col=7&amp;number=0.00523&amp;sourceID=14","0.00523")</f>
        <v>0.00523</v>
      </c>
    </row>
    <row r="16077" spans="1:7">
      <c r="A16077" s="3"/>
      <c r="B16077" s="3"/>
      <c r="C16077" s="3"/>
      <c r="D16077" s="3"/>
      <c r="E16077" s="3">
        <v>14</v>
      </c>
      <c r="F16077" s="4" t="str">
        <f>HYPERLINK("http://141.218.60.56/~jnz1568/getInfo.php?workbook=10_05.xlsx&amp;sheet=U0&amp;row=16077&amp;col=6&amp;number=4.3&amp;sourceID=14","4.3")</f>
        <v>4.3</v>
      </c>
      <c r="G16077" s="4" t="str">
        <f>HYPERLINK("http://141.218.60.56/~jnz1568/getInfo.php?workbook=10_05.xlsx&amp;sheet=U0&amp;row=16077&amp;col=7&amp;number=0.00489&amp;sourceID=14","0.00489")</f>
        <v>0.00489</v>
      </c>
    </row>
    <row r="16078" spans="1:7">
      <c r="A16078" s="3"/>
      <c r="B16078" s="3"/>
      <c r="C16078" s="3"/>
      <c r="D16078" s="3"/>
      <c r="E16078" s="3">
        <v>15</v>
      </c>
      <c r="F16078" s="4" t="str">
        <f>HYPERLINK("http://141.218.60.56/~jnz1568/getInfo.php?workbook=10_05.xlsx&amp;sheet=U0&amp;row=16078&amp;col=6&amp;number=4.4&amp;sourceID=14","4.4")</f>
        <v>4.4</v>
      </c>
      <c r="G16078" s="4" t="str">
        <f>HYPERLINK("http://141.218.60.56/~jnz1568/getInfo.php?workbook=10_05.xlsx&amp;sheet=U0&amp;row=16078&amp;col=7&amp;number=0.00455&amp;sourceID=14","0.00455")</f>
        <v>0.00455</v>
      </c>
    </row>
    <row r="16079" spans="1:7">
      <c r="A16079" s="3"/>
      <c r="B16079" s="3"/>
      <c r="C16079" s="3"/>
      <c r="D16079" s="3"/>
      <c r="E16079" s="3">
        <v>16</v>
      </c>
      <c r="F16079" s="4" t="str">
        <f>HYPERLINK("http://141.218.60.56/~jnz1568/getInfo.php?workbook=10_05.xlsx&amp;sheet=U0&amp;row=16079&amp;col=6&amp;number=4.5&amp;sourceID=14","4.5")</f>
        <v>4.5</v>
      </c>
      <c r="G16079" s="4" t="str">
        <f>HYPERLINK("http://141.218.60.56/~jnz1568/getInfo.php?workbook=10_05.xlsx&amp;sheet=U0&amp;row=16079&amp;col=7&amp;number=0.00422&amp;sourceID=14","0.00422")</f>
        <v>0.00422</v>
      </c>
    </row>
    <row r="16080" spans="1:7">
      <c r="A16080" s="3"/>
      <c r="B16080" s="3"/>
      <c r="C16080" s="3"/>
      <c r="D16080" s="3"/>
      <c r="E16080" s="3">
        <v>17</v>
      </c>
      <c r="F16080" s="4" t="str">
        <f>HYPERLINK("http://141.218.60.56/~jnz1568/getInfo.php?workbook=10_05.xlsx&amp;sheet=U0&amp;row=16080&amp;col=6&amp;number=4.6&amp;sourceID=14","4.6")</f>
        <v>4.6</v>
      </c>
      <c r="G16080" s="4" t="str">
        <f>HYPERLINK("http://141.218.60.56/~jnz1568/getInfo.php?workbook=10_05.xlsx&amp;sheet=U0&amp;row=16080&amp;col=7&amp;number=0.00392&amp;sourceID=14","0.00392")</f>
        <v>0.00392</v>
      </c>
    </row>
    <row r="16081" spans="1:7">
      <c r="A16081" s="3"/>
      <c r="B16081" s="3"/>
      <c r="C16081" s="3"/>
      <c r="D16081" s="3"/>
      <c r="E16081" s="3">
        <v>18</v>
      </c>
      <c r="F16081" s="4" t="str">
        <f>HYPERLINK("http://141.218.60.56/~jnz1568/getInfo.php?workbook=10_05.xlsx&amp;sheet=U0&amp;row=16081&amp;col=6&amp;number=4.7&amp;sourceID=14","4.7")</f>
        <v>4.7</v>
      </c>
      <c r="G16081" s="4" t="str">
        <f>HYPERLINK("http://141.218.60.56/~jnz1568/getInfo.php?workbook=10_05.xlsx&amp;sheet=U0&amp;row=16081&amp;col=7&amp;number=0.00366&amp;sourceID=14","0.00366")</f>
        <v>0.00366</v>
      </c>
    </row>
    <row r="16082" spans="1:7">
      <c r="A16082" s="3"/>
      <c r="B16082" s="3"/>
      <c r="C16082" s="3"/>
      <c r="D16082" s="3"/>
      <c r="E16082" s="3">
        <v>19</v>
      </c>
      <c r="F16082" s="4" t="str">
        <f>HYPERLINK("http://141.218.60.56/~jnz1568/getInfo.php?workbook=10_05.xlsx&amp;sheet=U0&amp;row=16082&amp;col=6&amp;number=4.8&amp;sourceID=14","4.8")</f>
        <v>4.8</v>
      </c>
      <c r="G16082" s="4" t="str">
        <f>HYPERLINK("http://141.218.60.56/~jnz1568/getInfo.php?workbook=10_05.xlsx&amp;sheet=U0&amp;row=16082&amp;col=7&amp;number=0.00342&amp;sourceID=14","0.00342")</f>
        <v>0.00342</v>
      </c>
    </row>
    <row r="16083" spans="1:7">
      <c r="A16083" s="3"/>
      <c r="B16083" s="3"/>
      <c r="C16083" s="3"/>
      <c r="D16083" s="3"/>
      <c r="E16083" s="3">
        <v>20</v>
      </c>
      <c r="F16083" s="4" t="str">
        <f>HYPERLINK("http://141.218.60.56/~jnz1568/getInfo.php?workbook=10_05.xlsx&amp;sheet=U0&amp;row=16083&amp;col=6&amp;number=4.9&amp;sourceID=14","4.9")</f>
        <v>4.9</v>
      </c>
      <c r="G16083" s="4" t="str">
        <f>HYPERLINK("http://141.218.60.56/~jnz1568/getInfo.php?workbook=10_05.xlsx&amp;sheet=U0&amp;row=16083&amp;col=7&amp;number=0.0032&amp;sourceID=14","0.0032")</f>
        <v>0.0032</v>
      </c>
    </row>
    <row r="16084" spans="1:7">
      <c r="A16084" s="3">
        <v>10</v>
      </c>
      <c r="B16084" s="3">
        <v>5</v>
      </c>
      <c r="C16084" s="3">
        <v>5</v>
      </c>
      <c r="D16084" s="3">
        <v>100</v>
      </c>
      <c r="E16084" s="3">
        <v>1</v>
      </c>
      <c r="F16084" s="4" t="str">
        <f>HYPERLINK("http://141.218.60.56/~jnz1568/getInfo.php?workbook=10_05.xlsx&amp;sheet=U0&amp;row=16084&amp;col=6&amp;number=3&amp;sourceID=14","3")</f>
        <v>3</v>
      </c>
      <c r="G16084" s="4" t="str">
        <f>HYPERLINK("http://141.218.60.56/~jnz1568/getInfo.php?workbook=10_05.xlsx&amp;sheet=U0&amp;row=16084&amp;col=7&amp;number=0.0194&amp;sourceID=14","0.0194")</f>
        <v>0.0194</v>
      </c>
    </row>
    <row r="16085" spans="1:7">
      <c r="A16085" s="3"/>
      <c r="B16085" s="3"/>
      <c r="C16085" s="3"/>
      <c r="D16085" s="3"/>
      <c r="E16085" s="3">
        <v>2</v>
      </c>
      <c r="F16085" s="4" t="str">
        <f>HYPERLINK("http://141.218.60.56/~jnz1568/getInfo.php?workbook=10_05.xlsx&amp;sheet=U0&amp;row=16085&amp;col=6&amp;number=3.1&amp;sourceID=14","3.1")</f>
        <v>3.1</v>
      </c>
      <c r="G16085" s="4" t="str">
        <f>HYPERLINK("http://141.218.60.56/~jnz1568/getInfo.php?workbook=10_05.xlsx&amp;sheet=U0&amp;row=16085&amp;col=7&amp;number=0.0194&amp;sourceID=14","0.0194")</f>
        <v>0.0194</v>
      </c>
    </row>
    <row r="16086" spans="1:7">
      <c r="A16086" s="3"/>
      <c r="B16086" s="3"/>
      <c r="C16086" s="3"/>
      <c r="D16086" s="3"/>
      <c r="E16086" s="3">
        <v>3</v>
      </c>
      <c r="F16086" s="4" t="str">
        <f>HYPERLINK("http://141.218.60.56/~jnz1568/getInfo.php?workbook=10_05.xlsx&amp;sheet=U0&amp;row=16086&amp;col=6&amp;number=3.2&amp;sourceID=14","3.2")</f>
        <v>3.2</v>
      </c>
      <c r="G16086" s="4" t="str">
        <f>HYPERLINK("http://141.218.60.56/~jnz1568/getInfo.php?workbook=10_05.xlsx&amp;sheet=U0&amp;row=16086&amp;col=7&amp;number=0.0193&amp;sourceID=14","0.0193")</f>
        <v>0.0193</v>
      </c>
    </row>
    <row r="16087" spans="1:7">
      <c r="A16087" s="3"/>
      <c r="B16087" s="3"/>
      <c r="C16087" s="3"/>
      <c r="D16087" s="3"/>
      <c r="E16087" s="3">
        <v>4</v>
      </c>
      <c r="F16087" s="4" t="str">
        <f>HYPERLINK("http://141.218.60.56/~jnz1568/getInfo.php?workbook=10_05.xlsx&amp;sheet=U0&amp;row=16087&amp;col=6&amp;number=3.3&amp;sourceID=14","3.3")</f>
        <v>3.3</v>
      </c>
      <c r="G16087" s="4" t="str">
        <f>HYPERLINK("http://141.218.60.56/~jnz1568/getInfo.php?workbook=10_05.xlsx&amp;sheet=U0&amp;row=16087&amp;col=7&amp;number=0.0192&amp;sourceID=14","0.0192")</f>
        <v>0.0192</v>
      </c>
    </row>
    <row r="16088" spans="1:7">
      <c r="A16088" s="3"/>
      <c r="B16088" s="3"/>
      <c r="C16088" s="3"/>
      <c r="D16088" s="3"/>
      <c r="E16088" s="3">
        <v>5</v>
      </c>
      <c r="F16088" s="4" t="str">
        <f>HYPERLINK("http://141.218.60.56/~jnz1568/getInfo.php?workbook=10_05.xlsx&amp;sheet=U0&amp;row=16088&amp;col=6&amp;number=3.4&amp;sourceID=14","3.4")</f>
        <v>3.4</v>
      </c>
      <c r="G16088" s="4" t="str">
        <f>HYPERLINK("http://141.218.60.56/~jnz1568/getInfo.php?workbook=10_05.xlsx&amp;sheet=U0&amp;row=16088&amp;col=7&amp;number=0.0191&amp;sourceID=14","0.0191")</f>
        <v>0.0191</v>
      </c>
    </row>
    <row r="16089" spans="1:7">
      <c r="A16089" s="3"/>
      <c r="B16089" s="3"/>
      <c r="C16089" s="3"/>
      <c r="D16089" s="3"/>
      <c r="E16089" s="3">
        <v>6</v>
      </c>
      <c r="F16089" s="4" t="str">
        <f>HYPERLINK("http://141.218.60.56/~jnz1568/getInfo.php?workbook=10_05.xlsx&amp;sheet=U0&amp;row=16089&amp;col=6&amp;number=3.5&amp;sourceID=14","3.5")</f>
        <v>3.5</v>
      </c>
      <c r="G16089" s="4" t="str">
        <f>HYPERLINK("http://141.218.60.56/~jnz1568/getInfo.php?workbook=10_05.xlsx&amp;sheet=U0&amp;row=16089&amp;col=7&amp;number=0.0189&amp;sourceID=14","0.0189")</f>
        <v>0.0189</v>
      </c>
    </row>
    <row r="16090" spans="1:7">
      <c r="A16090" s="3"/>
      <c r="B16090" s="3"/>
      <c r="C16090" s="3"/>
      <c r="D16090" s="3"/>
      <c r="E16090" s="3">
        <v>7</v>
      </c>
      <c r="F16090" s="4" t="str">
        <f>HYPERLINK("http://141.218.60.56/~jnz1568/getInfo.php?workbook=10_05.xlsx&amp;sheet=U0&amp;row=16090&amp;col=6&amp;number=3.6&amp;sourceID=14","3.6")</f>
        <v>3.6</v>
      </c>
      <c r="G16090" s="4" t="str">
        <f>HYPERLINK("http://141.218.60.56/~jnz1568/getInfo.php?workbook=10_05.xlsx&amp;sheet=U0&amp;row=16090&amp;col=7&amp;number=0.0187&amp;sourceID=14","0.0187")</f>
        <v>0.0187</v>
      </c>
    </row>
    <row r="16091" spans="1:7">
      <c r="A16091" s="3"/>
      <c r="B16091" s="3"/>
      <c r="C16091" s="3"/>
      <c r="D16091" s="3"/>
      <c r="E16091" s="3">
        <v>8</v>
      </c>
      <c r="F16091" s="4" t="str">
        <f>HYPERLINK("http://141.218.60.56/~jnz1568/getInfo.php?workbook=10_05.xlsx&amp;sheet=U0&amp;row=16091&amp;col=6&amp;number=3.7&amp;sourceID=14","3.7")</f>
        <v>3.7</v>
      </c>
      <c r="G16091" s="4" t="str">
        <f>HYPERLINK("http://141.218.60.56/~jnz1568/getInfo.php?workbook=10_05.xlsx&amp;sheet=U0&amp;row=16091&amp;col=7&amp;number=0.0185&amp;sourceID=14","0.0185")</f>
        <v>0.0185</v>
      </c>
    </row>
    <row r="16092" spans="1:7">
      <c r="A16092" s="3"/>
      <c r="B16092" s="3"/>
      <c r="C16092" s="3"/>
      <c r="D16092" s="3"/>
      <c r="E16092" s="3">
        <v>9</v>
      </c>
      <c r="F16092" s="4" t="str">
        <f>HYPERLINK("http://141.218.60.56/~jnz1568/getInfo.php?workbook=10_05.xlsx&amp;sheet=U0&amp;row=16092&amp;col=6&amp;number=3.8&amp;sourceID=14","3.8")</f>
        <v>3.8</v>
      </c>
      <c r="G16092" s="4" t="str">
        <f>HYPERLINK("http://141.218.60.56/~jnz1568/getInfo.php?workbook=10_05.xlsx&amp;sheet=U0&amp;row=16092&amp;col=7&amp;number=0.0182&amp;sourceID=14","0.0182")</f>
        <v>0.0182</v>
      </c>
    </row>
    <row r="16093" spans="1:7">
      <c r="A16093" s="3"/>
      <c r="B16093" s="3"/>
      <c r="C16093" s="3"/>
      <c r="D16093" s="3"/>
      <c r="E16093" s="3">
        <v>10</v>
      </c>
      <c r="F16093" s="4" t="str">
        <f>HYPERLINK("http://141.218.60.56/~jnz1568/getInfo.php?workbook=10_05.xlsx&amp;sheet=U0&amp;row=16093&amp;col=6&amp;number=3.9&amp;sourceID=14","3.9")</f>
        <v>3.9</v>
      </c>
      <c r="G16093" s="4" t="str">
        <f>HYPERLINK("http://141.218.60.56/~jnz1568/getInfo.php?workbook=10_05.xlsx&amp;sheet=U0&amp;row=16093&amp;col=7&amp;number=0.0178&amp;sourceID=14","0.0178")</f>
        <v>0.0178</v>
      </c>
    </row>
    <row r="16094" spans="1:7">
      <c r="A16094" s="3"/>
      <c r="B16094" s="3"/>
      <c r="C16094" s="3"/>
      <c r="D16094" s="3"/>
      <c r="E16094" s="3">
        <v>11</v>
      </c>
      <c r="F16094" s="4" t="str">
        <f>HYPERLINK("http://141.218.60.56/~jnz1568/getInfo.php?workbook=10_05.xlsx&amp;sheet=U0&amp;row=16094&amp;col=6&amp;number=4&amp;sourceID=14","4")</f>
        <v>4</v>
      </c>
      <c r="G16094" s="4" t="str">
        <f>HYPERLINK("http://141.218.60.56/~jnz1568/getInfo.php?workbook=10_05.xlsx&amp;sheet=U0&amp;row=16094&amp;col=7&amp;number=0.0174&amp;sourceID=14","0.0174")</f>
        <v>0.0174</v>
      </c>
    </row>
    <row r="16095" spans="1:7">
      <c r="A16095" s="3"/>
      <c r="B16095" s="3"/>
      <c r="C16095" s="3"/>
      <c r="D16095" s="3"/>
      <c r="E16095" s="3">
        <v>12</v>
      </c>
      <c r="F16095" s="4" t="str">
        <f>HYPERLINK("http://141.218.60.56/~jnz1568/getInfo.php?workbook=10_05.xlsx&amp;sheet=U0&amp;row=16095&amp;col=6&amp;number=4.1&amp;sourceID=14","4.1")</f>
        <v>4.1</v>
      </c>
      <c r="G16095" s="4" t="str">
        <f>HYPERLINK("http://141.218.60.56/~jnz1568/getInfo.php?workbook=10_05.xlsx&amp;sheet=U0&amp;row=16095&amp;col=7&amp;number=0.0169&amp;sourceID=14","0.0169")</f>
        <v>0.0169</v>
      </c>
    </row>
    <row r="16096" spans="1:7">
      <c r="A16096" s="3"/>
      <c r="B16096" s="3"/>
      <c r="C16096" s="3"/>
      <c r="D16096" s="3"/>
      <c r="E16096" s="3">
        <v>13</v>
      </c>
      <c r="F16096" s="4" t="str">
        <f>HYPERLINK("http://141.218.60.56/~jnz1568/getInfo.php?workbook=10_05.xlsx&amp;sheet=U0&amp;row=16096&amp;col=6&amp;number=4.2&amp;sourceID=14","4.2")</f>
        <v>4.2</v>
      </c>
      <c r="G16096" s="4" t="str">
        <f>HYPERLINK("http://141.218.60.56/~jnz1568/getInfo.php?workbook=10_05.xlsx&amp;sheet=U0&amp;row=16096&amp;col=7&amp;number=0.0163&amp;sourceID=14","0.0163")</f>
        <v>0.0163</v>
      </c>
    </row>
    <row r="16097" spans="1:7">
      <c r="A16097" s="3"/>
      <c r="B16097" s="3"/>
      <c r="C16097" s="3"/>
      <c r="D16097" s="3"/>
      <c r="E16097" s="3">
        <v>14</v>
      </c>
      <c r="F16097" s="4" t="str">
        <f>HYPERLINK("http://141.218.60.56/~jnz1568/getInfo.php?workbook=10_05.xlsx&amp;sheet=U0&amp;row=16097&amp;col=6&amp;number=4.3&amp;sourceID=14","4.3")</f>
        <v>4.3</v>
      </c>
      <c r="G16097" s="4" t="str">
        <f>HYPERLINK("http://141.218.60.56/~jnz1568/getInfo.php?workbook=10_05.xlsx&amp;sheet=U0&amp;row=16097&amp;col=7&amp;number=0.0157&amp;sourceID=14","0.0157")</f>
        <v>0.0157</v>
      </c>
    </row>
    <row r="16098" spans="1:7">
      <c r="A16098" s="3"/>
      <c r="B16098" s="3"/>
      <c r="C16098" s="3"/>
      <c r="D16098" s="3"/>
      <c r="E16098" s="3">
        <v>15</v>
      </c>
      <c r="F16098" s="4" t="str">
        <f>HYPERLINK("http://141.218.60.56/~jnz1568/getInfo.php?workbook=10_05.xlsx&amp;sheet=U0&amp;row=16098&amp;col=6&amp;number=4.4&amp;sourceID=14","4.4")</f>
        <v>4.4</v>
      </c>
      <c r="G16098" s="4" t="str">
        <f>HYPERLINK("http://141.218.60.56/~jnz1568/getInfo.php?workbook=10_05.xlsx&amp;sheet=U0&amp;row=16098&amp;col=7&amp;number=0.0151&amp;sourceID=14","0.0151")</f>
        <v>0.0151</v>
      </c>
    </row>
    <row r="16099" spans="1:7">
      <c r="A16099" s="3"/>
      <c r="B16099" s="3"/>
      <c r="C16099" s="3"/>
      <c r="D16099" s="3"/>
      <c r="E16099" s="3">
        <v>16</v>
      </c>
      <c r="F16099" s="4" t="str">
        <f>HYPERLINK("http://141.218.60.56/~jnz1568/getInfo.php?workbook=10_05.xlsx&amp;sheet=U0&amp;row=16099&amp;col=6&amp;number=4.5&amp;sourceID=14","4.5")</f>
        <v>4.5</v>
      </c>
      <c r="G16099" s="4" t="str">
        <f>HYPERLINK("http://141.218.60.56/~jnz1568/getInfo.php?workbook=10_05.xlsx&amp;sheet=U0&amp;row=16099&amp;col=7&amp;number=0.0145&amp;sourceID=14","0.0145")</f>
        <v>0.0145</v>
      </c>
    </row>
    <row r="16100" spans="1:7">
      <c r="A16100" s="3"/>
      <c r="B16100" s="3"/>
      <c r="C16100" s="3"/>
      <c r="D16100" s="3"/>
      <c r="E16100" s="3">
        <v>17</v>
      </c>
      <c r="F16100" s="4" t="str">
        <f>HYPERLINK("http://141.218.60.56/~jnz1568/getInfo.php?workbook=10_05.xlsx&amp;sheet=U0&amp;row=16100&amp;col=6&amp;number=4.6&amp;sourceID=14","4.6")</f>
        <v>4.6</v>
      </c>
      <c r="G16100" s="4" t="str">
        <f>HYPERLINK("http://141.218.60.56/~jnz1568/getInfo.php?workbook=10_05.xlsx&amp;sheet=U0&amp;row=16100&amp;col=7&amp;number=0.014&amp;sourceID=14","0.014")</f>
        <v>0.014</v>
      </c>
    </row>
    <row r="16101" spans="1:7">
      <c r="A16101" s="3"/>
      <c r="B16101" s="3"/>
      <c r="C16101" s="3"/>
      <c r="D16101" s="3"/>
      <c r="E16101" s="3">
        <v>18</v>
      </c>
      <c r="F16101" s="4" t="str">
        <f>HYPERLINK("http://141.218.60.56/~jnz1568/getInfo.php?workbook=10_05.xlsx&amp;sheet=U0&amp;row=16101&amp;col=6&amp;number=4.7&amp;sourceID=14","4.7")</f>
        <v>4.7</v>
      </c>
      <c r="G16101" s="4" t="str">
        <f>HYPERLINK("http://141.218.60.56/~jnz1568/getInfo.php?workbook=10_05.xlsx&amp;sheet=U0&amp;row=16101&amp;col=7&amp;number=0.0135&amp;sourceID=14","0.0135")</f>
        <v>0.0135</v>
      </c>
    </row>
    <row r="16102" spans="1:7">
      <c r="A16102" s="3"/>
      <c r="B16102" s="3"/>
      <c r="C16102" s="3"/>
      <c r="D16102" s="3"/>
      <c r="E16102" s="3">
        <v>19</v>
      </c>
      <c r="F16102" s="4" t="str">
        <f>HYPERLINK("http://141.218.60.56/~jnz1568/getInfo.php?workbook=10_05.xlsx&amp;sheet=U0&amp;row=16102&amp;col=6&amp;number=4.8&amp;sourceID=14","4.8")</f>
        <v>4.8</v>
      </c>
      <c r="G16102" s="4" t="str">
        <f>HYPERLINK("http://141.218.60.56/~jnz1568/getInfo.php?workbook=10_05.xlsx&amp;sheet=U0&amp;row=16102&amp;col=7&amp;number=0.0131&amp;sourceID=14","0.0131")</f>
        <v>0.0131</v>
      </c>
    </row>
    <row r="16103" spans="1:7">
      <c r="A16103" s="3"/>
      <c r="B16103" s="3"/>
      <c r="C16103" s="3"/>
      <c r="D16103" s="3"/>
      <c r="E16103" s="3">
        <v>20</v>
      </c>
      <c r="F16103" s="4" t="str">
        <f>HYPERLINK("http://141.218.60.56/~jnz1568/getInfo.php?workbook=10_05.xlsx&amp;sheet=U0&amp;row=16103&amp;col=6&amp;number=4.9&amp;sourceID=14","4.9")</f>
        <v>4.9</v>
      </c>
      <c r="G16103" s="4" t="str">
        <f>HYPERLINK("http://141.218.60.56/~jnz1568/getInfo.php?workbook=10_05.xlsx&amp;sheet=U0&amp;row=16103&amp;col=7&amp;number=0.0127&amp;sourceID=14","0.0127")</f>
        <v>0.0127</v>
      </c>
    </row>
    <row r="16104" spans="1:7">
      <c r="A16104" s="3">
        <v>10</v>
      </c>
      <c r="B16104" s="3">
        <v>5</v>
      </c>
      <c r="C16104" s="3">
        <v>5</v>
      </c>
      <c r="D16104" s="3">
        <v>101</v>
      </c>
      <c r="E16104" s="3">
        <v>1</v>
      </c>
      <c r="F16104" s="4" t="str">
        <f>HYPERLINK("http://141.218.60.56/~jnz1568/getInfo.php?workbook=10_05.xlsx&amp;sheet=U0&amp;row=16104&amp;col=6&amp;number=3&amp;sourceID=14","3")</f>
        <v>3</v>
      </c>
      <c r="G16104" s="4" t="str">
        <f>HYPERLINK("http://141.218.60.56/~jnz1568/getInfo.php?workbook=10_05.xlsx&amp;sheet=U0&amp;row=16104&amp;col=7&amp;number=0.0977&amp;sourceID=14","0.0977")</f>
        <v>0.0977</v>
      </c>
    </row>
    <row r="16105" spans="1:7">
      <c r="A16105" s="3"/>
      <c r="B16105" s="3"/>
      <c r="C16105" s="3"/>
      <c r="D16105" s="3"/>
      <c r="E16105" s="3">
        <v>2</v>
      </c>
      <c r="F16105" s="4" t="str">
        <f>HYPERLINK("http://141.218.60.56/~jnz1568/getInfo.php?workbook=10_05.xlsx&amp;sheet=U0&amp;row=16105&amp;col=6&amp;number=3.1&amp;sourceID=14","3.1")</f>
        <v>3.1</v>
      </c>
      <c r="G16105" s="4" t="str">
        <f>HYPERLINK("http://141.218.60.56/~jnz1568/getInfo.php?workbook=10_05.xlsx&amp;sheet=U0&amp;row=16105&amp;col=7&amp;number=0.0972&amp;sourceID=14","0.0972")</f>
        <v>0.0972</v>
      </c>
    </row>
    <row r="16106" spans="1:7">
      <c r="A16106" s="3"/>
      <c r="B16106" s="3"/>
      <c r="C16106" s="3"/>
      <c r="D16106" s="3"/>
      <c r="E16106" s="3">
        <v>3</v>
      </c>
      <c r="F16106" s="4" t="str">
        <f>HYPERLINK("http://141.218.60.56/~jnz1568/getInfo.php?workbook=10_05.xlsx&amp;sheet=U0&amp;row=16106&amp;col=6&amp;number=3.2&amp;sourceID=14","3.2")</f>
        <v>3.2</v>
      </c>
      <c r="G16106" s="4" t="str">
        <f>HYPERLINK("http://141.218.60.56/~jnz1568/getInfo.php?workbook=10_05.xlsx&amp;sheet=U0&amp;row=16106&amp;col=7&amp;number=0.0966&amp;sourceID=14","0.0966")</f>
        <v>0.0966</v>
      </c>
    </row>
    <row r="16107" spans="1:7">
      <c r="A16107" s="3"/>
      <c r="B16107" s="3"/>
      <c r="C16107" s="3"/>
      <c r="D16107" s="3"/>
      <c r="E16107" s="3">
        <v>4</v>
      </c>
      <c r="F16107" s="4" t="str">
        <f>HYPERLINK("http://141.218.60.56/~jnz1568/getInfo.php?workbook=10_05.xlsx&amp;sheet=U0&amp;row=16107&amp;col=6&amp;number=3.3&amp;sourceID=14","3.3")</f>
        <v>3.3</v>
      </c>
      <c r="G16107" s="4" t="str">
        <f>HYPERLINK("http://141.218.60.56/~jnz1568/getInfo.php?workbook=10_05.xlsx&amp;sheet=U0&amp;row=16107&amp;col=7&amp;number=0.0959&amp;sourceID=14","0.0959")</f>
        <v>0.0959</v>
      </c>
    </row>
    <row r="16108" spans="1:7">
      <c r="A16108" s="3"/>
      <c r="B16108" s="3"/>
      <c r="C16108" s="3"/>
      <c r="D16108" s="3"/>
      <c r="E16108" s="3">
        <v>5</v>
      </c>
      <c r="F16108" s="4" t="str">
        <f>HYPERLINK("http://141.218.60.56/~jnz1568/getInfo.php?workbook=10_05.xlsx&amp;sheet=U0&amp;row=16108&amp;col=6&amp;number=3.4&amp;sourceID=14","3.4")</f>
        <v>3.4</v>
      </c>
      <c r="G16108" s="4" t="str">
        <f>HYPERLINK("http://141.218.60.56/~jnz1568/getInfo.php?workbook=10_05.xlsx&amp;sheet=U0&amp;row=16108&amp;col=7&amp;number=0.095&amp;sourceID=14","0.095")</f>
        <v>0.095</v>
      </c>
    </row>
    <row r="16109" spans="1:7">
      <c r="A16109" s="3"/>
      <c r="B16109" s="3"/>
      <c r="C16109" s="3"/>
      <c r="D16109" s="3"/>
      <c r="E16109" s="3">
        <v>6</v>
      </c>
      <c r="F16109" s="4" t="str">
        <f>HYPERLINK("http://141.218.60.56/~jnz1568/getInfo.php?workbook=10_05.xlsx&amp;sheet=U0&amp;row=16109&amp;col=6&amp;number=3.5&amp;sourceID=14","3.5")</f>
        <v>3.5</v>
      </c>
      <c r="G16109" s="4" t="str">
        <f>HYPERLINK("http://141.218.60.56/~jnz1568/getInfo.php?workbook=10_05.xlsx&amp;sheet=U0&amp;row=16109&amp;col=7&amp;number=0.0939&amp;sourceID=14","0.0939")</f>
        <v>0.0939</v>
      </c>
    </row>
    <row r="16110" spans="1:7">
      <c r="A16110" s="3"/>
      <c r="B16110" s="3"/>
      <c r="C16110" s="3"/>
      <c r="D16110" s="3"/>
      <c r="E16110" s="3">
        <v>7</v>
      </c>
      <c r="F16110" s="4" t="str">
        <f>HYPERLINK("http://141.218.60.56/~jnz1568/getInfo.php?workbook=10_05.xlsx&amp;sheet=U0&amp;row=16110&amp;col=6&amp;number=3.6&amp;sourceID=14","3.6")</f>
        <v>3.6</v>
      </c>
      <c r="G16110" s="4" t="str">
        <f>HYPERLINK("http://141.218.60.56/~jnz1568/getInfo.php?workbook=10_05.xlsx&amp;sheet=U0&amp;row=16110&amp;col=7&amp;number=0.0925&amp;sourceID=14","0.0925")</f>
        <v>0.0925</v>
      </c>
    </row>
    <row r="16111" spans="1:7">
      <c r="A16111" s="3"/>
      <c r="B16111" s="3"/>
      <c r="C16111" s="3"/>
      <c r="D16111" s="3"/>
      <c r="E16111" s="3">
        <v>8</v>
      </c>
      <c r="F16111" s="4" t="str">
        <f>HYPERLINK("http://141.218.60.56/~jnz1568/getInfo.php?workbook=10_05.xlsx&amp;sheet=U0&amp;row=16111&amp;col=6&amp;number=3.7&amp;sourceID=14","3.7")</f>
        <v>3.7</v>
      </c>
      <c r="G16111" s="4" t="str">
        <f>HYPERLINK("http://141.218.60.56/~jnz1568/getInfo.php?workbook=10_05.xlsx&amp;sheet=U0&amp;row=16111&amp;col=7&amp;number=0.0908&amp;sourceID=14","0.0908")</f>
        <v>0.0908</v>
      </c>
    </row>
    <row r="16112" spans="1:7">
      <c r="A16112" s="3"/>
      <c r="B16112" s="3"/>
      <c r="C16112" s="3"/>
      <c r="D16112" s="3"/>
      <c r="E16112" s="3">
        <v>9</v>
      </c>
      <c r="F16112" s="4" t="str">
        <f>HYPERLINK("http://141.218.60.56/~jnz1568/getInfo.php?workbook=10_05.xlsx&amp;sheet=U0&amp;row=16112&amp;col=6&amp;number=3.8&amp;sourceID=14","3.8")</f>
        <v>3.8</v>
      </c>
      <c r="G16112" s="4" t="str">
        <f>HYPERLINK("http://141.218.60.56/~jnz1568/getInfo.php?workbook=10_05.xlsx&amp;sheet=U0&amp;row=16112&amp;col=7&amp;number=0.0886&amp;sourceID=14","0.0886")</f>
        <v>0.0886</v>
      </c>
    </row>
    <row r="16113" spans="1:7">
      <c r="A16113" s="3"/>
      <c r="B16113" s="3"/>
      <c r="C16113" s="3"/>
      <c r="D16113" s="3"/>
      <c r="E16113" s="3">
        <v>10</v>
      </c>
      <c r="F16113" s="4" t="str">
        <f>HYPERLINK("http://141.218.60.56/~jnz1568/getInfo.php?workbook=10_05.xlsx&amp;sheet=U0&amp;row=16113&amp;col=6&amp;number=3.9&amp;sourceID=14","3.9")</f>
        <v>3.9</v>
      </c>
      <c r="G16113" s="4" t="str">
        <f>HYPERLINK("http://141.218.60.56/~jnz1568/getInfo.php?workbook=10_05.xlsx&amp;sheet=U0&amp;row=16113&amp;col=7&amp;number=0.0859&amp;sourceID=14","0.0859")</f>
        <v>0.0859</v>
      </c>
    </row>
    <row r="16114" spans="1:7">
      <c r="A16114" s="3"/>
      <c r="B16114" s="3"/>
      <c r="C16114" s="3"/>
      <c r="D16114" s="3"/>
      <c r="E16114" s="3">
        <v>11</v>
      </c>
      <c r="F16114" s="4" t="str">
        <f>HYPERLINK("http://141.218.60.56/~jnz1568/getInfo.php?workbook=10_05.xlsx&amp;sheet=U0&amp;row=16114&amp;col=6&amp;number=4&amp;sourceID=14","4")</f>
        <v>4</v>
      </c>
      <c r="G16114" s="4" t="str">
        <f>HYPERLINK("http://141.218.60.56/~jnz1568/getInfo.php?workbook=10_05.xlsx&amp;sheet=U0&amp;row=16114&amp;col=7&amp;number=0.0827&amp;sourceID=14","0.0827")</f>
        <v>0.0827</v>
      </c>
    </row>
    <row r="16115" spans="1:7">
      <c r="A16115" s="3"/>
      <c r="B16115" s="3"/>
      <c r="C16115" s="3"/>
      <c r="D16115" s="3"/>
      <c r="E16115" s="3">
        <v>12</v>
      </c>
      <c r="F16115" s="4" t="str">
        <f>HYPERLINK("http://141.218.60.56/~jnz1568/getInfo.php?workbook=10_05.xlsx&amp;sheet=U0&amp;row=16115&amp;col=6&amp;number=4.1&amp;sourceID=14","4.1")</f>
        <v>4.1</v>
      </c>
      <c r="G16115" s="4" t="str">
        <f>HYPERLINK("http://141.218.60.56/~jnz1568/getInfo.php?workbook=10_05.xlsx&amp;sheet=U0&amp;row=16115&amp;col=7&amp;number=0.0787&amp;sourceID=14","0.0787")</f>
        <v>0.0787</v>
      </c>
    </row>
    <row r="16116" spans="1:7">
      <c r="A16116" s="3"/>
      <c r="B16116" s="3"/>
      <c r="C16116" s="3"/>
      <c r="D16116" s="3"/>
      <c r="E16116" s="3">
        <v>13</v>
      </c>
      <c r="F16116" s="4" t="str">
        <f>HYPERLINK("http://141.218.60.56/~jnz1568/getInfo.php?workbook=10_05.xlsx&amp;sheet=U0&amp;row=16116&amp;col=6&amp;number=4.2&amp;sourceID=14","4.2")</f>
        <v>4.2</v>
      </c>
      <c r="G16116" s="4" t="str">
        <f>HYPERLINK("http://141.218.60.56/~jnz1568/getInfo.php?workbook=10_05.xlsx&amp;sheet=U0&amp;row=16116&amp;col=7&amp;number=0.074&amp;sourceID=14","0.074")</f>
        <v>0.074</v>
      </c>
    </row>
    <row r="16117" spans="1:7">
      <c r="A16117" s="3"/>
      <c r="B16117" s="3"/>
      <c r="C16117" s="3"/>
      <c r="D16117" s="3"/>
      <c r="E16117" s="3">
        <v>14</v>
      </c>
      <c r="F16117" s="4" t="str">
        <f>HYPERLINK("http://141.218.60.56/~jnz1568/getInfo.php?workbook=10_05.xlsx&amp;sheet=U0&amp;row=16117&amp;col=6&amp;number=4.3&amp;sourceID=14","4.3")</f>
        <v>4.3</v>
      </c>
      <c r="G16117" s="4" t="str">
        <f>HYPERLINK("http://141.218.60.56/~jnz1568/getInfo.php?workbook=10_05.xlsx&amp;sheet=U0&amp;row=16117&amp;col=7&amp;number=0.0685&amp;sourceID=14","0.0685")</f>
        <v>0.0685</v>
      </c>
    </row>
    <row r="16118" spans="1:7">
      <c r="A16118" s="3"/>
      <c r="B16118" s="3"/>
      <c r="C16118" s="3"/>
      <c r="D16118" s="3"/>
      <c r="E16118" s="3">
        <v>15</v>
      </c>
      <c r="F16118" s="4" t="str">
        <f>HYPERLINK("http://141.218.60.56/~jnz1568/getInfo.php?workbook=10_05.xlsx&amp;sheet=U0&amp;row=16118&amp;col=6&amp;number=4.4&amp;sourceID=14","4.4")</f>
        <v>4.4</v>
      </c>
      <c r="G16118" s="4" t="str">
        <f>HYPERLINK("http://141.218.60.56/~jnz1568/getInfo.php?workbook=10_05.xlsx&amp;sheet=U0&amp;row=16118&amp;col=7&amp;number=0.0622&amp;sourceID=14","0.0622")</f>
        <v>0.0622</v>
      </c>
    </row>
    <row r="16119" spans="1:7">
      <c r="A16119" s="3"/>
      <c r="B16119" s="3"/>
      <c r="C16119" s="3"/>
      <c r="D16119" s="3"/>
      <c r="E16119" s="3">
        <v>16</v>
      </c>
      <c r="F16119" s="4" t="str">
        <f>HYPERLINK("http://141.218.60.56/~jnz1568/getInfo.php?workbook=10_05.xlsx&amp;sheet=U0&amp;row=16119&amp;col=6&amp;number=4.5&amp;sourceID=14","4.5")</f>
        <v>4.5</v>
      </c>
      <c r="G16119" s="4" t="str">
        <f>HYPERLINK("http://141.218.60.56/~jnz1568/getInfo.php?workbook=10_05.xlsx&amp;sheet=U0&amp;row=16119&amp;col=7&amp;number=0.0556&amp;sourceID=14","0.0556")</f>
        <v>0.0556</v>
      </c>
    </row>
    <row r="16120" spans="1:7">
      <c r="A16120" s="3"/>
      <c r="B16120" s="3"/>
      <c r="C16120" s="3"/>
      <c r="D16120" s="3"/>
      <c r="E16120" s="3">
        <v>17</v>
      </c>
      <c r="F16120" s="4" t="str">
        <f>HYPERLINK("http://141.218.60.56/~jnz1568/getInfo.php?workbook=10_05.xlsx&amp;sheet=U0&amp;row=16120&amp;col=6&amp;number=4.6&amp;sourceID=14","4.6")</f>
        <v>4.6</v>
      </c>
      <c r="G16120" s="4" t="str">
        <f>HYPERLINK("http://141.218.60.56/~jnz1568/getInfo.php?workbook=10_05.xlsx&amp;sheet=U0&amp;row=16120&amp;col=7&amp;number=0.049&amp;sourceID=14","0.049")</f>
        <v>0.049</v>
      </c>
    </row>
    <row r="16121" spans="1:7">
      <c r="A16121" s="3"/>
      <c r="B16121" s="3"/>
      <c r="C16121" s="3"/>
      <c r="D16121" s="3"/>
      <c r="E16121" s="3">
        <v>18</v>
      </c>
      <c r="F16121" s="4" t="str">
        <f>HYPERLINK("http://141.218.60.56/~jnz1568/getInfo.php?workbook=10_05.xlsx&amp;sheet=U0&amp;row=16121&amp;col=6&amp;number=4.7&amp;sourceID=14","4.7")</f>
        <v>4.7</v>
      </c>
      <c r="G16121" s="4" t="str">
        <f>HYPERLINK("http://141.218.60.56/~jnz1568/getInfo.php?workbook=10_05.xlsx&amp;sheet=U0&amp;row=16121&amp;col=7&amp;number=0.043&amp;sourceID=14","0.043")</f>
        <v>0.043</v>
      </c>
    </row>
    <row r="16122" spans="1:7">
      <c r="A16122" s="3"/>
      <c r="B16122" s="3"/>
      <c r="C16122" s="3"/>
      <c r="D16122" s="3"/>
      <c r="E16122" s="3">
        <v>19</v>
      </c>
      <c r="F16122" s="4" t="str">
        <f>HYPERLINK("http://141.218.60.56/~jnz1568/getInfo.php?workbook=10_05.xlsx&amp;sheet=U0&amp;row=16122&amp;col=6&amp;number=4.8&amp;sourceID=14","4.8")</f>
        <v>4.8</v>
      </c>
      <c r="G16122" s="4" t="str">
        <f>HYPERLINK("http://141.218.60.56/~jnz1568/getInfo.php?workbook=10_05.xlsx&amp;sheet=U0&amp;row=16122&amp;col=7&amp;number=0.0379&amp;sourceID=14","0.0379")</f>
        <v>0.0379</v>
      </c>
    </row>
    <row r="16123" spans="1:7">
      <c r="A16123" s="3"/>
      <c r="B16123" s="3"/>
      <c r="C16123" s="3"/>
      <c r="D16123" s="3"/>
      <c r="E16123" s="3">
        <v>20</v>
      </c>
      <c r="F16123" s="4" t="str">
        <f>HYPERLINK("http://141.218.60.56/~jnz1568/getInfo.php?workbook=10_05.xlsx&amp;sheet=U0&amp;row=16123&amp;col=6&amp;number=4.9&amp;sourceID=14","4.9")</f>
        <v>4.9</v>
      </c>
      <c r="G16123" s="4" t="str">
        <f>HYPERLINK("http://141.218.60.56/~jnz1568/getInfo.php?workbook=10_05.xlsx&amp;sheet=U0&amp;row=16123&amp;col=7&amp;number=0.0335&amp;sourceID=14","0.0335")</f>
        <v>0.0335</v>
      </c>
    </row>
    <row r="16124" spans="1:7">
      <c r="A16124" s="3">
        <v>10</v>
      </c>
      <c r="B16124" s="3">
        <v>5</v>
      </c>
      <c r="C16124" s="3">
        <v>5</v>
      </c>
      <c r="D16124" s="3">
        <v>102</v>
      </c>
      <c r="E16124" s="3">
        <v>1</v>
      </c>
      <c r="F16124" s="4" t="str">
        <f>HYPERLINK("http://141.218.60.56/~jnz1568/getInfo.php?workbook=10_05.xlsx&amp;sheet=U0&amp;row=16124&amp;col=6&amp;number=3&amp;sourceID=14","3")</f>
        <v>3</v>
      </c>
      <c r="G16124" s="4" t="str">
        <f>HYPERLINK("http://141.218.60.56/~jnz1568/getInfo.php?workbook=10_05.xlsx&amp;sheet=U0&amp;row=16124&amp;col=7&amp;number=0.0637&amp;sourceID=14","0.0637")</f>
        <v>0.0637</v>
      </c>
    </row>
    <row r="16125" spans="1:7">
      <c r="A16125" s="3"/>
      <c r="B16125" s="3"/>
      <c r="C16125" s="3"/>
      <c r="D16125" s="3"/>
      <c r="E16125" s="3">
        <v>2</v>
      </c>
      <c r="F16125" s="4" t="str">
        <f>HYPERLINK("http://141.218.60.56/~jnz1568/getInfo.php?workbook=10_05.xlsx&amp;sheet=U0&amp;row=16125&amp;col=6&amp;number=3.1&amp;sourceID=14","3.1")</f>
        <v>3.1</v>
      </c>
      <c r="G16125" s="4" t="str">
        <f>HYPERLINK("http://141.218.60.56/~jnz1568/getInfo.php?workbook=10_05.xlsx&amp;sheet=U0&amp;row=16125&amp;col=7&amp;number=0.0635&amp;sourceID=14","0.0635")</f>
        <v>0.0635</v>
      </c>
    </row>
    <row r="16126" spans="1:7">
      <c r="A16126" s="3"/>
      <c r="B16126" s="3"/>
      <c r="C16126" s="3"/>
      <c r="D16126" s="3"/>
      <c r="E16126" s="3">
        <v>3</v>
      </c>
      <c r="F16126" s="4" t="str">
        <f>HYPERLINK("http://141.218.60.56/~jnz1568/getInfo.php?workbook=10_05.xlsx&amp;sheet=U0&amp;row=16126&amp;col=6&amp;number=3.2&amp;sourceID=14","3.2")</f>
        <v>3.2</v>
      </c>
      <c r="G16126" s="4" t="str">
        <f>HYPERLINK("http://141.218.60.56/~jnz1568/getInfo.php?workbook=10_05.xlsx&amp;sheet=U0&amp;row=16126&amp;col=7&amp;number=0.0631&amp;sourceID=14","0.0631")</f>
        <v>0.0631</v>
      </c>
    </row>
    <row r="16127" spans="1:7">
      <c r="A16127" s="3"/>
      <c r="B16127" s="3"/>
      <c r="C16127" s="3"/>
      <c r="D16127" s="3"/>
      <c r="E16127" s="3">
        <v>4</v>
      </c>
      <c r="F16127" s="4" t="str">
        <f>HYPERLINK("http://141.218.60.56/~jnz1568/getInfo.php?workbook=10_05.xlsx&amp;sheet=U0&amp;row=16127&amp;col=6&amp;number=3.3&amp;sourceID=14","3.3")</f>
        <v>3.3</v>
      </c>
      <c r="G16127" s="4" t="str">
        <f>HYPERLINK("http://141.218.60.56/~jnz1568/getInfo.php?workbook=10_05.xlsx&amp;sheet=U0&amp;row=16127&amp;col=7&amp;number=0.0626&amp;sourceID=14","0.0626")</f>
        <v>0.0626</v>
      </c>
    </row>
    <row r="16128" spans="1:7">
      <c r="A16128" s="3"/>
      <c r="B16128" s="3"/>
      <c r="C16128" s="3"/>
      <c r="D16128" s="3"/>
      <c r="E16128" s="3">
        <v>5</v>
      </c>
      <c r="F16128" s="4" t="str">
        <f>HYPERLINK("http://141.218.60.56/~jnz1568/getInfo.php?workbook=10_05.xlsx&amp;sheet=U0&amp;row=16128&amp;col=6&amp;number=3.4&amp;sourceID=14","3.4")</f>
        <v>3.4</v>
      </c>
      <c r="G16128" s="4" t="str">
        <f>HYPERLINK("http://141.218.60.56/~jnz1568/getInfo.php?workbook=10_05.xlsx&amp;sheet=U0&amp;row=16128&amp;col=7&amp;number=0.0621&amp;sourceID=14","0.0621")</f>
        <v>0.0621</v>
      </c>
    </row>
    <row r="16129" spans="1:7">
      <c r="A16129" s="3"/>
      <c r="B16129" s="3"/>
      <c r="C16129" s="3"/>
      <c r="D16129" s="3"/>
      <c r="E16129" s="3">
        <v>6</v>
      </c>
      <c r="F16129" s="4" t="str">
        <f>HYPERLINK("http://141.218.60.56/~jnz1568/getInfo.php?workbook=10_05.xlsx&amp;sheet=U0&amp;row=16129&amp;col=6&amp;number=3.5&amp;sourceID=14","3.5")</f>
        <v>3.5</v>
      </c>
      <c r="G16129" s="4" t="str">
        <f>HYPERLINK("http://141.218.60.56/~jnz1568/getInfo.php?workbook=10_05.xlsx&amp;sheet=U0&amp;row=16129&amp;col=7&amp;number=0.0613&amp;sourceID=14","0.0613")</f>
        <v>0.0613</v>
      </c>
    </row>
    <row r="16130" spans="1:7">
      <c r="A16130" s="3"/>
      <c r="B16130" s="3"/>
      <c r="C16130" s="3"/>
      <c r="D16130" s="3"/>
      <c r="E16130" s="3">
        <v>7</v>
      </c>
      <c r="F16130" s="4" t="str">
        <f>HYPERLINK("http://141.218.60.56/~jnz1568/getInfo.php?workbook=10_05.xlsx&amp;sheet=U0&amp;row=16130&amp;col=6&amp;number=3.6&amp;sourceID=14","3.6")</f>
        <v>3.6</v>
      </c>
      <c r="G16130" s="4" t="str">
        <f>HYPERLINK("http://141.218.60.56/~jnz1568/getInfo.php?workbook=10_05.xlsx&amp;sheet=U0&amp;row=16130&amp;col=7&amp;number=0.0605&amp;sourceID=14","0.0605")</f>
        <v>0.0605</v>
      </c>
    </row>
    <row r="16131" spans="1:7">
      <c r="A16131" s="3"/>
      <c r="B16131" s="3"/>
      <c r="C16131" s="3"/>
      <c r="D16131" s="3"/>
      <c r="E16131" s="3">
        <v>8</v>
      </c>
      <c r="F16131" s="4" t="str">
        <f>HYPERLINK("http://141.218.60.56/~jnz1568/getInfo.php?workbook=10_05.xlsx&amp;sheet=U0&amp;row=16131&amp;col=6&amp;number=3.7&amp;sourceID=14","3.7")</f>
        <v>3.7</v>
      </c>
      <c r="G16131" s="4" t="str">
        <f>HYPERLINK("http://141.218.60.56/~jnz1568/getInfo.php?workbook=10_05.xlsx&amp;sheet=U0&amp;row=16131&amp;col=7&amp;number=0.0594&amp;sourceID=14","0.0594")</f>
        <v>0.0594</v>
      </c>
    </row>
    <row r="16132" spans="1:7">
      <c r="A16132" s="3"/>
      <c r="B16132" s="3"/>
      <c r="C16132" s="3"/>
      <c r="D16132" s="3"/>
      <c r="E16132" s="3">
        <v>9</v>
      </c>
      <c r="F16132" s="4" t="str">
        <f>HYPERLINK("http://141.218.60.56/~jnz1568/getInfo.php?workbook=10_05.xlsx&amp;sheet=U0&amp;row=16132&amp;col=6&amp;number=3.8&amp;sourceID=14","3.8")</f>
        <v>3.8</v>
      </c>
      <c r="G16132" s="4" t="str">
        <f>HYPERLINK("http://141.218.60.56/~jnz1568/getInfo.php?workbook=10_05.xlsx&amp;sheet=U0&amp;row=16132&amp;col=7&amp;number=0.0581&amp;sourceID=14","0.0581")</f>
        <v>0.0581</v>
      </c>
    </row>
    <row r="16133" spans="1:7">
      <c r="A16133" s="3"/>
      <c r="B16133" s="3"/>
      <c r="C16133" s="3"/>
      <c r="D16133" s="3"/>
      <c r="E16133" s="3">
        <v>10</v>
      </c>
      <c r="F16133" s="4" t="str">
        <f>HYPERLINK("http://141.218.60.56/~jnz1568/getInfo.php?workbook=10_05.xlsx&amp;sheet=U0&amp;row=16133&amp;col=6&amp;number=3.9&amp;sourceID=14","3.9")</f>
        <v>3.9</v>
      </c>
      <c r="G16133" s="4" t="str">
        <f>HYPERLINK("http://141.218.60.56/~jnz1568/getInfo.php?workbook=10_05.xlsx&amp;sheet=U0&amp;row=16133&amp;col=7&amp;number=0.0566&amp;sourceID=14","0.0566")</f>
        <v>0.0566</v>
      </c>
    </row>
    <row r="16134" spans="1:7">
      <c r="A16134" s="3"/>
      <c r="B16134" s="3"/>
      <c r="C16134" s="3"/>
      <c r="D16134" s="3"/>
      <c r="E16134" s="3">
        <v>11</v>
      </c>
      <c r="F16134" s="4" t="str">
        <f>HYPERLINK("http://141.218.60.56/~jnz1568/getInfo.php?workbook=10_05.xlsx&amp;sheet=U0&amp;row=16134&amp;col=6&amp;number=4&amp;sourceID=14","4")</f>
        <v>4</v>
      </c>
      <c r="G16134" s="4" t="str">
        <f>HYPERLINK("http://141.218.60.56/~jnz1568/getInfo.php?workbook=10_05.xlsx&amp;sheet=U0&amp;row=16134&amp;col=7&amp;number=0.0549&amp;sourceID=14","0.0549")</f>
        <v>0.0549</v>
      </c>
    </row>
    <row r="16135" spans="1:7">
      <c r="A16135" s="3"/>
      <c r="B16135" s="3"/>
      <c r="C16135" s="3"/>
      <c r="D16135" s="3"/>
      <c r="E16135" s="3">
        <v>12</v>
      </c>
      <c r="F16135" s="4" t="str">
        <f>HYPERLINK("http://141.218.60.56/~jnz1568/getInfo.php?workbook=10_05.xlsx&amp;sheet=U0&amp;row=16135&amp;col=6&amp;number=4.1&amp;sourceID=14","4.1")</f>
        <v>4.1</v>
      </c>
      <c r="G16135" s="4" t="str">
        <f>HYPERLINK("http://141.218.60.56/~jnz1568/getInfo.php?workbook=10_05.xlsx&amp;sheet=U0&amp;row=16135&amp;col=7&amp;number=0.053&amp;sourceID=14","0.053")</f>
        <v>0.053</v>
      </c>
    </row>
    <row r="16136" spans="1:7">
      <c r="A16136" s="3"/>
      <c r="B16136" s="3"/>
      <c r="C16136" s="3"/>
      <c r="D16136" s="3"/>
      <c r="E16136" s="3">
        <v>13</v>
      </c>
      <c r="F16136" s="4" t="str">
        <f>HYPERLINK("http://141.218.60.56/~jnz1568/getInfo.php?workbook=10_05.xlsx&amp;sheet=U0&amp;row=16136&amp;col=6&amp;number=4.2&amp;sourceID=14","4.2")</f>
        <v>4.2</v>
      </c>
      <c r="G16136" s="4" t="str">
        <f>HYPERLINK("http://141.218.60.56/~jnz1568/getInfo.php?workbook=10_05.xlsx&amp;sheet=U0&amp;row=16136&amp;col=7&amp;number=0.051&amp;sourceID=14","0.051")</f>
        <v>0.051</v>
      </c>
    </row>
    <row r="16137" spans="1:7">
      <c r="A16137" s="3"/>
      <c r="B16137" s="3"/>
      <c r="C16137" s="3"/>
      <c r="D16137" s="3"/>
      <c r="E16137" s="3">
        <v>14</v>
      </c>
      <c r="F16137" s="4" t="str">
        <f>HYPERLINK("http://141.218.60.56/~jnz1568/getInfo.php?workbook=10_05.xlsx&amp;sheet=U0&amp;row=16137&amp;col=6&amp;number=4.3&amp;sourceID=14","4.3")</f>
        <v>4.3</v>
      </c>
      <c r="G16137" s="4" t="str">
        <f>HYPERLINK("http://141.218.60.56/~jnz1568/getInfo.php?workbook=10_05.xlsx&amp;sheet=U0&amp;row=16137&amp;col=7&amp;number=0.0493&amp;sourceID=14","0.0493")</f>
        <v>0.0493</v>
      </c>
    </row>
    <row r="16138" spans="1:7">
      <c r="A16138" s="3"/>
      <c r="B16138" s="3"/>
      <c r="C16138" s="3"/>
      <c r="D16138" s="3"/>
      <c r="E16138" s="3">
        <v>15</v>
      </c>
      <c r="F16138" s="4" t="str">
        <f>HYPERLINK("http://141.218.60.56/~jnz1568/getInfo.php?workbook=10_05.xlsx&amp;sheet=U0&amp;row=16138&amp;col=6&amp;number=4.4&amp;sourceID=14","4.4")</f>
        <v>4.4</v>
      </c>
      <c r="G16138" s="4" t="str">
        <f>HYPERLINK("http://141.218.60.56/~jnz1568/getInfo.php?workbook=10_05.xlsx&amp;sheet=U0&amp;row=16138&amp;col=7&amp;number=0.048&amp;sourceID=14","0.048")</f>
        <v>0.048</v>
      </c>
    </row>
    <row r="16139" spans="1:7">
      <c r="A16139" s="3"/>
      <c r="B16139" s="3"/>
      <c r="C16139" s="3"/>
      <c r="D16139" s="3"/>
      <c r="E16139" s="3">
        <v>16</v>
      </c>
      <c r="F16139" s="4" t="str">
        <f>HYPERLINK("http://141.218.60.56/~jnz1568/getInfo.php?workbook=10_05.xlsx&amp;sheet=U0&amp;row=16139&amp;col=6&amp;number=4.5&amp;sourceID=14","4.5")</f>
        <v>4.5</v>
      </c>
      <c r="G16139" s="4" t="str">
        <f>HYPERLINK("http://141.218.60.56/~jnz1568/getInfo.php?workbook=10_05.xlsx&amp;sheet=U0&amp;row=16139&amp;col=7&amp;number=0.0471&amp;sourceID=14","0.0471")</f>
        <v>0.0471</v>
      </c>
    </row>
    <row r="16140" spans="1:7">
      <c r="A16140" s="3"/>
      <c r="B16140" s="3"/>
      <c r="C16140" s="3"/>
      <c r="D16140" s="3"/>
      <c r="E16140" s="3">
        <v>17</v>
      </c>
      <c r="F16140" s="4" t="str">
        <f>HYPERLINK("http://141.218.60.56/~jnz1568/getInfo.php?workbook=10_05.xlsx&amp;sheet=U0&amp;row=16140&amp;col=6&amp;number=4.6&amp;sourceID=14","4.6")</f>
        <v>4.6</v>
      </c>
      <c r="G16140" s="4" t="str">
        <f>HYPERLINK("http://141.218.60.56/~jnz1568/getInfo.php?workbook=10_05.xlsx&amp;sheet=U0&amp;row=16140&amp;col=7&amp;number=0.0464&amp;sourceID=14","0.0464")</f>
        <v>0.0464</v>
      </c>
    </row>
    <row r="16141" spans="1:7">
      <c r="A16141" s="3"/>
      <c r="B16141" s="3"/>
      <c r="C16141" s="3"/>
      <c r="D16141" s="3"/>
      <c r="E16141" s="3">
        <v>18</v>
      </c>
      <c r="F16141" s="4" t="str">
        <f>HYPERLINK("http://141.218.60.56/~jnz1568/getInfo.php?workbook=10_05.xlsx&amp;sheet=U0&amp;row=16141&amp;col=6&amp;number=4.7&amp;sourceID=14","4.7")</f>
        <v>4.7</v>
      </c>
      <c r="G16141" s="4" t="str">
        <f>HYPERLINK("http://141.218.60.56/~jnz1568/getInfo.php?workbook=10_05.xlsx&amp;sheet=U0&amp;row=16141&amp;col=7&amp;number=0.0455&amp;sourceID=14","0.0455")</f>
        <v>0.0455</v>
      </c>
    </row>
    <row r="16142" spans="1:7">
      <c r="A16142" s="3"/>
      <c r="B16142" s="3"/>
      <c r="C16142" s="3"/>
      <c r="D16142" s="3"/>
      <c r="E16142" s="3">
        <v>19</v>
      </c>
      <c r="F16142" s="4" t="str">
        <f>HYPERLINK("http://141.218.60.56/~jnz1568/getInfo.php?workbook=10_05.xlsx&amp;sheet=U0&amp;row=16142&amp;col=6&amp;number=4.8&amp;sourceID=14","4.8")</f>
        <v>4.8</v>
      </c>
      <c r="G16142" s="4" t="str">
        <f>HYPERLINK("http://141.218.60.56/~jnz1568/getInfo.php?workbook=10_05.xlsx&amp;sheet=U0&amp;row=16142&amp;col=7&amp;number=0.0447&amp;sourceID=14","0.0447")</f>
        <v>0.0447</v>
      </c>
    </row>
    <row r="16143" spans="1:7">
      <c r="A16143" s="3"/>
      <c r="B16143" s="3"/>
      <c r="C16143" s="3"/>
      <c r="D16143" s="3"/>
      <c r="E16143" s="3">
        <v>20</v>
      </c>
      <c r="F16143" s="4" t="str">
        <f>HYPERLINK("http://141.218.60.56/~jnz1568/getInfo.php?workbook=10_05.xlsx&amp;sheet=U0&amp;row=16143&amp;col=6&amp;number=4.9&amp;sourceID=14","4.9")</f>
        <v>4.9</v>
      </c>
      <c r="G16143" s="4" t="str">
        <f>HYPERLINK("http://141.218.60.56/~jnz1568/getInfo.php?workbook=10_05.xlsx&amp;sheet=U0&amp;row=16143&amp;col=7&amp;number=0.0443&amp;sourceID=14","0.0443")</f>
        <v>0.0443</v>
      </c>
    </row>
    <row r="16144" spans="1:7">
      <c r="A16144" s="3">
        <v>10</v>
      </c>
      <c r="B16144" s="3">
        <v>5</v>
      </c>
      <c r="C16144" s="3">
        <v>5</v>
      </c>
      <c r="D16144" s="3">
        <v>103</v>
      </c>
      <c r="E16144" s="3">
        <v>1</v>
      </c>
      <c r="F16144" s="4" t="str">
        <f>HYPERLINK("http://141.218.60.56/~jnz1568/getInfo.php?workbook=10_05.xlsx&amp;sheet=U0&amp;row=16144&amp;col=6&amp;number=3&amp;sourceID=14","3")</f>
        <v>3</v>
      </c>
      <c r="G16144" s="4" t="str">
        <f>HYPERLINK("http://141.218.60.56/~jnz1568/getInfo.php?workbook=10_05.xlsx&amp;sheet=U0&amp;row=16144&amp;col=7&amp;number=0.187&amp;sourceID=14","0.187")</f>
        <v>0.187</v>
      </c>
    </row>
    <row r="16145" spans="1:7">
      <c r="A16145" s="3"/>
      <c r="B16145" s="3"/>
      <c r="C16145" s="3"/>
      <c r="D16145" s="3"/>
      <c r="E16145" s="3">
        <v>2</v>
      </c>
      <c r="F16145" s="4" t="str">
        <f>HYPERLINK("http://141.218.60.56/~jnz1568/getInfo.php?workbook=10_05.xlsx&amp;sheet=U0&amp;row=16145&amp;col=6&amp;number=3.1&amp;sourceID=14","3.1")</f>
        <v>3.1</v>
      </c>
      <c r="G16145" s="4" t="str">
        <f>HYPERLINK("http://141.218.60.56/~jnz1568/getInfo.php?workbook=10_05.xlsx&amp;sheet=U0&amp;row=16145&amp;col=7&amp;number=0.186&amp;sourceID=14","0.186")</f>
        <v>0.186</v>
      </c>
    </row>
    <row r="16146" spans="1:7">
      <c r="A16146" s="3"/>
      <c r="B16146" s="3"/>
      <c r="C16146" s="3"/>
      <c r="D16146" s="3"/>
      <c r="E16146" s="3">
        <v>3</v>
      </c>
      <c r="F16146" s="4" t="str">
        <f>HYPERLINK("http://141.218.60.56/~jnz1568/getInfo.php?workbook=10_05.xlsx&amp;sheet=U0&amp;row=16146&amp;col=6&amp;number=3.2&amp;sourceID=14","3.2")</f>
        <v>3.2</v>
      </c>
      <c r="G16146" s="4" t="str">
        <f>HYPERLINK("http://141.218.60.56/~jnz1568/getInfo.php?workbook=10_05.xlsx&amp;sheet=U0&amp;row=16146&amp;col=7&amp;number=0.185&amp;sourceID=14","0.185")</f>
        <v>0.185</v>
      </c>
    </row>
    <row r="16147" spans="1:7">
      <c r="A16147" s="3"/>
      <c r="B16147" s="3"/>
      <c r="C16147" s="3"/>
      <c r="D16147" s="3"/>
      <c r="E16147" s="3">
        <v>4</v>
      </c>
      <c r="F16147" s="4" t="str">
        <f>HYPERLINK("http://141.218.60.56/~jnz1568/getInfo.php?workbook=10_05.xlsx&amp;sheet=U0&amp;row=16147&amp;col=6&amp;number=3.3&amp;sourceID=14","3.3")</f>
        <v>3.3</v>
      </c>
      <c r="G16147" s="4" t="str">
        <f>HYPERLINK("http://141.218.60.56/~jnz1568/getInfo.php?workbook=10_05.xlsx&amp;sheet=U0&amp;row=16147&amp;col=7&amp;number=0.183&amp;sourceID=14","0.183")</f>
        <v>0.183</v>
      </c>
    </row>
    <row r="16148" spans="1:7">
      <c r="A16148" s="3"/>
      <c r="B16148" s="3"/>
      <c r="C16148" s="3"/>
      <c r="D16148" s="3"/>
      <c r="E16148" s="3">
        <v>5</v>
      </c>
      <c r="F16148" s="4" t="str">
        <f>HYPERLINK("http://141.218.60.56/~jnz1568/getInfo.php?workbook=10_05.xlsx&amp;sheet=U0&amp;row=16148&amp;col=6&amp;number=3.4&amp;sourceID=14","3.4")</f>
        <v>3.4</v>
      </c>
      <c r="G16148" s="4" t="str">
        <f>HYPERLINK("http://141.218.60.56/~jnz1568/getInfo.php?workbook=10_05.xlsx&amp;sheet=U0&amp;row=16148&amp;col=7&amp;number=0.182&amp;sourceID=14","0.182")</f>
        <v>0.182</v>
      </c>
    </row>
    <row r="16149" spans="1:7">
      <c r="A16149" s="3"/>
      <c r="B16149" s="3"/>
      <c r="C16149" s="3"/>
      <c r="D16149" s="3"/>
      <c r="E16149" s="3">
        <v>6</v>
      </c>
      <c r="F16149" s="4" t="str">
        <f>HYPERLINK("http://141.218.60.56/~jnz1568/getInfo.php?workbook=10_05.xlsx&amp;sheet=U0&amp;row=16149&amp;col=6&amp;number=3.5&amp;sourceID=14","3.5")</f>
        <v>3.5</v>
      </c>
      <c r="G16149" s="4" t="str">
        <f>HYPERLINK("http://141.218.60.56/~jnz1568/getInfo.php?workbook=10_05.xlsx&amp;sheet=U0&amp;row=16149&amp;col=7&amp;number=0.18&amp;sourceID=14","0.18")</f>
        <v>0.18</v>
      </c>
    </row>
    <row r="16150" spans="1:7">
      <c r="A16150" s="3"/>
      <c r="B16150" s="3"/>
      <c r="C16150" s="3"/>
      <c r="D16150" s="3"/>
      <c r="E16150" s="3">
        <v>7</v>
      </c>
      <c r="F16150" s="4" t="str">
        <f>HYPERLINK("http://141.218.60.56/~jnz1568/getInfo.php?workbook=10_05.xlsx&amp;sheet=U0&amp;row=16150&amp;col=6&amp;number=3.6&amp;sourceID=14","3.6")</f>
        <v>3.6</v>
      </c>
      <c r="G16150" s="4" t="str">
        <f>HYPERLINK("http://141.218.60.56/~jnz1568/getInfo.php?workbook=10_05.xlsx&amp;sheet=U0&amp;row=16150&amp;col=7&amp;number=0.177&amp;sourceID=14","0.177")</f>
        <v>0.177</v>
      </c>
    </row>
    <row r="16151" spans="1:7">
      <c r="A16151" s="3"/>
      <c r="B16151" s="3"/>
      <c r="C16151" s="3"/>
      <c r="D16151" s="3"/>
      <c r="E16151" s="3">
        <v>8</v>
      </c>
      <c r="F16151" s="4" t="str">
        <f>HYPERLINK("http://141.218.60.56/~jnz1568/getInfo.php?workbook=10_05.xlsx&amp;sheet=U0&amp;row=16151&amp;col=6&amp;number=3.7&amp;sourceID=14","3.7")</f>
        <v>3.7</v>
      </c>
      <c r="G16151" s="4" t="str">
        <f>HYPERLINK("http://141.218.60.56/~jnz1568/getInfo.php?workbook=10_05.xlsx&amp;sheet=U0&amp;row=16151&amp;col=7&amp;number=0.174&amp;sourceID=14","0.174")</f>
        <v>0.174</v>
      </c>
    </row>
    <row r="16152" spans="1:7">
      <c r="A16152" s="3"/>
      <c r="B16152" s="3"/>
      <c r="C16152" s="3"/>
      <c r="D16152" s="3"/>
      <c r="E16152" s="3">
        <v>9</v>
      </c>
      <c r="F16152" s="4" t="str">
        <f>HYPERLINK("http://141.218.60.56/~jnz1568/getInfo.php?workbook=10_05.xlsx&amp;sheet=U0&amp;row=16152&amp;col=6&amp;number=3.8&amp;sourceID=14","3.8")</f>
        <v>3.8</v>
      </c>
      <c r="G16152" s="4" t="str">
        <f>HYPERLINK("http://141.218.60.56/~jnz1568/getInfo.php?workbook=10_05.xlsx&amp;sheet=U0&amp;row=16152&amp;col=7&amp;number=0.17&amp;sourceID=14","0.17")</f>
        <v>0.17</v>
      </c>
    </row>
    <row r="16153" spans="1:7">
      <c r="A16153" s="3"/>
      <c r="B16153" s="3"/>
      <c r="C16153" s="3"/>
      <c r="D16153" s="3"/>
      <c r="E16153" s="3">
        <v>10</v>
      </c>
      <c r="F16153" s="4" t="str">
        <f>HYPERLINK("http://141.218.60.56/~jnz1568/getInfo.php?workbook=10_05.xlsx&amp;sheet=U0&amp;row=16153&amp;col=6&amp;number=3.9&amp;sourceID=14","3.9")</f>
        <v>3.9</v>
      </c>
      <c r="G16153" s="4" t="str">
        <f>HYPERLINK("http://141.218.60.56/~jnz1568/getInfo.php?workbook=10_05.xlsx&amp;sheet=U0&amp;row=16153&amp;col=7&amp;number=0.165&amp;sourceID=14","0.165")</f>
        <v>0.165</v>
      </c>
    </row>
    <row r="16154" spans="1:7">
      <c r="A16154" s="3"/>
      <c r="B16154" s="3"/>
      <c r="C16154" s="3"/>
      <c r="D16154" s="3"/>
      <c r="E16154" s="3">
        <v>11</v>
      </c>
      <c r="F16154" s="4" t="str">
        <f>HYPERLINK("http://141.218.60.56/~jnz1568/getInfo.php?workbook=10_05.xlsx&amp;sheet=U0&amp;row=16154&amp;col=6&amp;number=4&amp;sourceID=14","4")</f>
        <v>4</v>
      </c>
      <c r="G16154" s="4" t="str">
        <f>HYPERLINK("http://141.218.60.56/~jnz1568/getInfo.php?workbook=10_05.xlsx&amp;sheet=U0&amp;row=16154&amp;col=7&amp;number=0.159&amp;sourceID=14","0.159")</f>
        <v>0.159</v>
      </c>
    </row>
    <row r="16155" spans="1:7">
      <c r="A16155" s="3"/>
      <c r="B16155" s="3"/>
      <c r="C16155" s="3"/>
      <c r="D16155" s="3"/>
      <c r="E16155" s="3">
        <v>12</v>
      </c>
      <c r="F16155" s="4" t="str">
        <f>HYPERLINK("http://141.218.60.56/~jnz1568/getInfo.php?workbook=10_05.xlsx&amp;sheet=U0&amp;row=16155&amp;col=6&amp;number=4.1&amp;sourceID=14","4.1")</f>
        <v>4.1</v>
      </c>
      <c r="G16155" s="4" t="str">
        <f>HYPERLINK("http://141.218.60.56/~jnz1568/getInfo.php?workbook=10_05.xlsx&amp;sheet=U0&amp;row=16155&amp;col=7&amp;number=0.151&amp;sourceID=14","0.151")</f>
        <v>0.151</v>
      </c>
    </row>
    <row r="16156" spans="1:7">
      <c r="A16156" s="3"/>
      <c r="B16156" s="3"/>
      <c r="C16156" s="3"/>
      <c r="D16156" s="3"/>
      <c r="E16156" s="3">
        <v>13</v>
      </c>
      <c r="F16156" s="4" t="str">
        <f>HYPERLINK("http://141.218.60.56/~jnz1568/getInfo.php?workbook=10_05.xlsx&amp;sheet=U0&amp;row=16156&amp;col=6&amp;number=4.2&amp;sourceID=14","4.2")</f>
        <v>4.2</v>
      </c>
      <c r="G16156" s="4" t="str">
        <f>HYPERLINK("http://141.218.60.56/~jnz1568/getInfo.php?workbook=10_05.xlsx&amp;sheet=U0&amp;row=16156&amp;col=7&amp;number=0.143&amp;sourceID=14","0.143")</f>
        <v>0.143</v>
      </c>
    </row>
    <row r="16157" spans="1:7">
      <c r="A16157" s="3"/>
      <c r="B16157" s="3"/>
      <c r="C16157" s="3"/>
      <c r="D16157" s="3"/>
      <c r="E16157" s="3">
        <v>14</v>
      </c>
      <c r="F16157" s="4" t="str">
        <f>HYPERLINK("http://141.218.60.56/~jnz1568/getInfo.php?workbook=10_05.xlsx&amp;sheet=U0&amp;row=16157&amp;col=6&amp;number=4.3&amp;sourceID=14","4.3")</f>
        <v>4.3</v>
      </c>
      <c r="G16157" s="4" t="str">
        <f>HYPERLINK("http://141.218.60.56/~jnz1568/getInfo.php?workbook=10_05.xlsx&amp;sheet=U0&amp;row=16157&amp;col=7&amp;number=0.133&amp;sourceID=14","0.133")</f>
        <v>0.133</v>
      </c>
    </row>
    <row r="16158" spans="1:7">
      <c r="A16158" s="3"/>
      <c r="B16158" s="3"/>
      <c r="C16158" s="3"/>
      <c r="D16158" s="3"/>
      <c r="E16158" s="3">
        <v>15</v>
      </c>
      <c r="F16158" s="4" t="str">
        <f>HYPERLINK("http://141.218.60.56/~jnz1568/getInfo.php?workbook=10_05.xlsx&amp;sheet=U0&amp;row=16158&amp;col=6&amp;number=4.4&amp;sourceID=14","4.4")</f>
        <v>4.4</v>
      </c>
      <c r="G16158" s="4" t="str">
        <f>HYPERLINK("http://141.218.60.56/~jnz1568/getInfo.php?workbook=10_05.xlsx&amp;sheet=U0&amp;row=16158&amp;col=7&amp;number=0.122&amp;sourceID=14","0.122")</f>
        <v>0.122</v>
      </c>
    </row>
    <row r="16159" spans="1:7">
      <c r="A16159" s="3"/>
      <c r="B16159" s="3"/>
      <c r="C16159" s="3"/>
      <c r="D16159" s="3"/>
      <c r="E16159" s="3">
        <v>16</v>
      </c>
      <c r="F16159" s="4" t="str">
        <f>HYPERLINK("http://141.218.60.56/~jnz1568/getInfo.php?workbook=10_05.xlsx&amp;sheet=U0&amp;row=16159&amp;col=6&amp;number=4.5&amp;sourceID=14","4.5")</f>
        <v>4.5</v>
      </c>
      <c r="G16159" s="4" t="str">
        <f>HYPERLINK("http://141.218.60.56/~jnz1568/getInfo.php?workbook=10_05.xlsx&amp;sheet=U0&amp;row=16159&amp;col=7&amp;number=0.11&amp;sourceID=14","0.11")</f>
        <v>0.11</v>
      </c>
    </row>
    <row r="16160" spans="1:7">
      <c r="A16160" s="3"/>
      <c r="B16160" s="3"/>
      <c r="C16160" s="3"/>
      <c r="D16160" s="3"/>
      <c r="E16160" s="3">
        <v>17</v>
      </c>
      <c r="F16160" s="4" t="str">
        <f>HYPERLINK("http://141.218.60.56/~jnz1568/getInfo.php?workbook=10_05.xlsx&amp;sheet=U0&amp;row=16160&amp;col=6&amp;number=4.6&amp;sourceID=14","4.6")</f>
        <v>4.6</v>
      </c>
      <c r="G16160" s="4" t="str">
        <f>HYPERLINK("http://141.218.60.56/~jnz1568/getInfo.php?workbook=10_05.xlsx&amp;sheet=U0&amp;row=16160&amp;col=7&amp;number=0.0988&amp;sourceID=14","0.0988")</f>
        <v>0.0988</v>
      </c>
    </row>
    <row r="16161" spans="1:7">
      <c r="A16161" s="3"/>
      <c r="B16161" s="3"/>
      <c r="C16161" s="3"/>
      <c r="D16161" s="3"/>
      <c r="E16161" s="3">
        <v>18</v>
      </c>
      <c r="F16161" s="4" t="str">
        <f>HYPERLINK("http://141.218.60.56/~jnz1568/getInfo.php?workbook=10_05.xlsx&amp;sheet=U0&amp;row=16161&amp;col=6&amp;number=4.7&amp;sourceID=14","4.7")</f>
        <v>4.7</v>
      </c>
      <c r="G16161" s="4" t="str">
        <f>HYPERLINK("http://141.218.60.56/~jnz1568/getInfo.php?workbook=10_05.xlsx&amp;sheet=U0&amp;row=16161&amp;col=7&amp;number=0.0877&amp;sourceID=14","0.0877")</f>
        <v>0.0877</v>
      </c>
    </row>
    <row r="16162" spans="1:7">
      <c r="A16162" s="3"/>
      <c r="B16162" s="3"/>
      <c r="C16162" s="3"/>
      <c r="D16162" s="3"/>
      <c r="E16162" s="3">
        <v>19</v>
      </c>
      <c r="F16162" s="4" t="str">
        <f>HYPERLINK("http://141.218.60.56/~jnz1568/getInfo.php?workbook=10_05.xlsx&amp;sheet=U0&amp;row=16162&amp;col=6&amp;number=4.8&amp;sourceID=14","4.8")</f>
        <v>4.8</v>
      </c>
      <c r="G16162" s="4" t="str">
        <f>HYPERLINK("http://141.218.60.56/~jnz1568/getInfo.php?workbook=10_05.xlsx&amp;sheet=U0&amp;row=16162&amp;col=7&amp;number=0.0775&amp;sourceID=14","0.0775")</f>
        <v>0.0775</v>
      </c>
    </row>
    <row r="16163" spans="1:7">
      <c r="A16163" s="3"/>
      <c r="B16163" s="3"/>
      <c r="C16163" s="3"/>
      <c r="D16163" s="3"/>
      <c r="E16163" s="3">
        <v>20</v>
      </c>
      <c r="F16163" s="4" t="str">
        <f>HYPERLINK("http://141.218.60.56/~jnz1568/getInfo.php?workbook=10_05.xlsx&amp;sheet=U0&amp;row=16163&amp;col=6&amp;number=4.9&amp;sourceID=14","4.9")</f>
        <v>4.9</v>
      </c>
      <c r="G16163" s="4" t="str">
        <f>HYPERLINK("http://141.218.60.56/~jnz1568/getInfo.php?workbook=10_05.xlsx&amp;sheet=U0&amp;row=16163&amp;col=7&amp;number=0.0685&amp;sourceID=14","0.0685")</f>
        <v>0.0685</v>
      </c>
    </row>
    <row r="16164" spans="1:7">
      <c r="A16164" s="3">
        <v>10</v>
      </c>
      <c r="B16164" s="3">
        <v>5</v>
      </c>
      <c r="C16164" s="3">
        <v>5</v>
      </c>
      <c r="D16164" s="3">
        <v>104</v>
      </c>
      <c r="E16164" s="3">
        <v>1</v>
      </c>
      <c r="F16164" s="4" t="str">
        <f>HYPERLINK("http://141.218.60.56/~jnz1568/getInfo.php?workbook=10_05.xlsx&amp;sheet=U0&amp;row=16164&amp;col=6&amp;number=3&amp;sourceID=14","3")</f>
        <v>3</v>
      </c>
      <c r="G16164" s="4" t="str">
        <f>HYPERLINK("http://141.218.60.56/~jnz1568/getInfo.php?workbook=10_05.xlsx&amp;sheet=U0&amp;row=16164&amp;col=7&amp;number=0.14&amp;sourceID=14","0.14")</f>
        <v>0.14</v>
      </c>
    </row>
    <row r="16165" spans="1:7">
      <c r="A16165" s="3"/>
      <c r="B16165" s="3"/>
      <c r="C16165" s="3"/>
      <c r="D16165" s="3"/>
      <c r="E16165" s="3">
        <v>2</v>
      </c>
      <c r="F16165" s="4" t="str">
        <f>HYPERLINK("http://141.218.60.56/~jnz1568/getInfo.php?workbook=10_05.xlsx&amp;sheet=U0&amp;row=16165&amp;col=6&amp;number=3.1&amp;sourceID=14","3.1")</f>
        <v>3.1</v>
      </c>
      <c r="G16165" s="4" t="str">
        <f>HYPERLINK("http://141.218.60.56/~jnz1568/getInfo.php?workbook=10_05.xlsx&amp;sheet=U0&amp;row=16165&amp;col=7&amp;number=0.14&amp;sourceID=14","0.14")</f>
        <v>0.14</v>
      </c>
    </row>
    <row r="16166" spans="1:7">
      <c r="A16166" s="3"/>
      <c r="B16166" s="3"/>
      <c r="C16166" s="3"/>
      <c r="D16166" s="3"/>
      <c r="E16166" s="3">
        <v>3</v>
      </c>
      <c r="F16166" s="4" t="str">
        <f>HYPERLINK("http://141.218.60.56/~jnz1568/getInfo.php?workbook=10_05.xlsx&amp;sheet=U0&amp;row=16166&amp;col=6&amp;number=3.2&amp;sourceID=14","3.2")</f>
        <v>3.2</v>
      </c>
      <c r="G16166" s="4" t="str">
        <f>HYPERLINK("http://141.218.60.56/~jnz1568/getInfo.php?workbook=10_05.xlsx&amp;sheet=U0&amp;row=16166&amp;col=7&amp;number=0.14&amp;sourceID=14","0.14")</f>
        <v>0.14</v>
      </c>
    </row>
    <row r="16167" spans="1:7">
      <c r="A16167" s="3"/>
      <c r="B16167" s="3"/>
      <c r="C16167" s="3"/>
      <c r="D16167" s="3"/>
      <c r="E16167" s="3">
        <v>4</v>
      </c>
      <c r="F16167" s="4" t="str">
        <f>HYPERLINK("http://141.218.60.56/~jnz1568/getInfo.php?workbook=10_05.xlsx&amp;sheet=U0&amp;row=16167&amp;col=6&amp;number=3.3&amp;sourceID=14","3.3")</f>
        <v>3.3</v>
      </c>
      <c r="G16167" s="4" t="str">
        <f>HYPERLINK("http://141.218.60.56/~jnz1568/getInfo.php?workbook=10_05.xlsx&amp;sheet=U0&amp;row=16167&amp;col=7&amp;number=0.14&amp;sourceID=14","0.14")</f>
        <v>0.14</v>
      </c>
    </row>
    <row r="16168" spans="1:7">
      <c r="A16168" s="3"/>
      <c r="B16168" s="3"/>
      <c r="C16168" s="3"/>
      <c r="D16168" s="3"/>
      <c r="E16168" s="3">
        <v>5</v>
      </c>
      <c r="F16168" s="4" t="str">
        <f>HYPERLINK("http://141.218.60.56/~jnz1568/getInfo.php?workbook=10_05.xlsx&amp;sheet=U0&amp;row=16168&amp;col=6&amp;number=3.4&amp;sourceID=14","3.4")</f>
        <v>3.4</v>
      </c>
      <c r="G16168" s="4" t="str">
        <f>HYPERLINK("http://141.218.60.56/~jnz1568/getInfo.php?workbook=10_05.xlsx&amp;sheet=U0&amp;row=16168&amp;col=7&amp;number=0.14&amp;sourceID=14","0.14")</f>
        <v>0.14</v>
      </c>
    </row>
    <row r="16169" spans="1:7">
      <c r="A16169" s="3"/>
      <c r="B16169" s="3"/>
      <c r="C16169" s="3"/>
      <c r="D16169" s="3"/>
      <c r="E16169" s="3">
        <v>6</v>
      </c>
      <c r="F16169" s="4" t="str">
        <f>HYPERLINK("http://141.218.60.56/~jnz1568/getInfo.php?workbook=10_05.xlsx&amp;sheet=U0&amp;row=16169&amp;col=6&amp;number=3.5&amp;sourceID=14","3.5")</f>
        <v>3.5</v>
      </c>
      <c r="G16169" s="4" t="str">
        <f>HYPERLINK("http://141.218.60.56/~jnz1568/getInfo.php?workbook=10_05.xlsx&amp;sheet=U0&amp;row=16169&amp;col=7&amp;number=0.139&amp;sourceID=14","0.139")</f>
        <v>0.139</v>
      </c>
    </row>
    <row r="16170" spans="1:7">
      <c r="A16170" s="3"/>
      <c r="B16170" s="3"/>
      <c r="C16170" s="3"/>
      <c r="D16170" s="3"/>
      <c r="E16170" s="3">
        <v>7</v>
      </c>
      <c r="F16170" s="4" t="str">
        <f>HYPERLINK("http://141.218.60.56/~jnz1568/getInfo.php?workbook=10_05.xlsx&amp;sheet=U0&amp;row=16170&amp;col=6&amp;number=3.6&amp;sourceID=14","3.6")</f>
        <v>3.6</v>
      </c>
      <c r="G16170" s="4" t="str">
        <f>HYPERLINK("http://141.218.60.56/~jnz1568/getInfo.php?workbook=10_05.xlsx&amp;sheet=U0&amp;row=16170&amp;col=7&amp;number=0.139&amp;sourceID=14","0.139")</f>
        <v>0.139</v>
      </c>
    </row>
    <row r="16171" spans="1:7">
      <c r="A16171" s="3"/>
      <c r="B16171" s="3"/>
      <c r="C16171" s="3"/>
      <c r="D16171" s="3"/>
      <c r="E16171" s="3">
        <v>8</v>
      </c>
      <c r="F16171" s="4" t="str">
        <f>HYPERLINK("http://141.218.60.56/~jnz1568/getInfo.php?workbook=10_05.xlsx&amp;sheet=U0&amp;row=16171&amp;col=6&amp;number=3.7&amp;sourceID=14","3.7")</f>
        <v>3.7</v>
      </c>
      <c r="G16171" s="4" t="str">
        <f>HYPERLINK("http://141.218.60.56/~jnz1568/getInfo.php?workbook=10_05.xlsx&amp;sheet=U0&amp;row=16171&amp;col=7&amp;number=0.139&amp;sourceID=14","0.139")</f>
        <v>0.139</v>
      </c>
    </row>
    <row r="16172" spans="1:7">
      <c r="A16172" s="3"/>
      <c r="B16172" s="3"/>
      <c r="C16172" s="3"/>
      <c r="D16172" s="3"/>
      <c r="E16172" s="3">
        <v>9</v>
      </c>
      <c r="F16172" s="4" t="str">
        <f>HYPERLINK("http://141.218.60.56/~jnz1568/getInfo.php?workbook=10_05.xlsx&amp;sheet=U0&amp;row=16172&amp;col=6&amp;number=3.8&amp;sourceID=14","3.8")</f>
        <v>3.8</v>
      </c>
      <c r="G16172" s="4" t="str">
        <f>HYPERLINK("http://141.218.60.56/~jnz1568/getInfo.php?workbook=10_05.xlsx&amp;sheet=U0&amp;row=16172&amp;col=7&amp;number=0.138&amp;sourceID=14","0.138")</f>
        <v>0.138</v>
      </c>
    </row>
    <row r="16173" spans="1:7">
      <c r="A16173" s="3"/>
      <c r="B16173" s="3"/>
      <c r="C16173" s="3"/>
      <c r="D16173" s="3"/>
      <c r="E16173" s="3">
        <v>10</v>
      </c>
      <c r="F16173" s="4" t="str">
        <f>HYPERLINK("http://141.218.60.56/~jnz1568/getInfo.php?workbook=10_05.xlsx&amp;sheet=U0&amp;row=16173&amp;col=6&amp;number=3.9&amp;sourceID=14","3.9")</f>
        <v>3.9</v>
      </c>
      <c r="G16173" s="4" t="str">
        <f>HYPERLINK("http://141.218.60.56/~jnz1568/getInfo.php?workbook=10_05.xlsx&amp;sheet=U0&amp;row=16173&amp;col=7&amp;number=0.137&amp;sourceID=14","0.137")</f>
        <v>0.137</v>
      </c>
    </row>
    <row r="16174" spans="1:7">
      <c r="A16174" s="3"/>
      <c r="B16174" s="3"/>
      <c r="C16174" s="3"/>
      <c r="D16174" s="3"/>
      <c r="E16174" s="3">
        <v>11</v>
      </c>
      <c r="F16174" s="4" t="str">
        <f>HYPERLINK("http://141.218.60.56/~jnz1568/getInfo.php?workbook=10_05.xlsx&amp;sheet=U0&amp;row=16174&amp;col=6&amp;number=4&amp;sourceID=14","4")</f>
        <v>4</v>
      </c>
      <c r="G16174" s="4" t="str">
        <f>HYPERLINK("http://141.218.60.56/~jnz1568/getInfo.php?workbook=10_05.xlsx&amp;sheet=U0&amp;row=16174&amp;col=7&amp;number=0.137&amp;sourceID=14","0.137")</f>
        <v>0.137</v>
      </c>
    </row>
    <row r="16175" spans="1:7">
      <c r="A16175" s="3"/>
      <c r="B16175" s="3"/>
      <c r="C16175" s="3"/>
      <c r="D16175" s="3"/>
      <c r="E16175" s="3">
        <v>12</v>
      </c>
      <c r="F16175" s="4" t="str">
        <f>HYPERLINK("http://141.218.60.56/~jnz1568/getInfo.php?workbook=10_05.xlsx&amp;sheet=U0&amp;row=16175&amp;col=6&amp;number=4.1&amp;sourceID=14","4.1")</f>
        <v>4.1</v>
      </c>
      <c r="G16175" s="4" t="str">
        <f>HYPERLINK("http://141.218.60.56/~jnz1568/getInfo.php?workbook=10_05.xlsx&amp;sheet=U0&amp;row=16175&amp;col=7&amp;number=0.136&amp;sourceID=14","0.136")</f>
        <v>0.136</v>
      </c>
    </row>
    <row r="16176" spans="1:7">
      <c r="A16176" s="3"/>
      <c r="B16176" s="3"/>
      <c r="C16176" s="3"/>
      <c r="D16176" s="3"/>
      <c r="E16176" s="3">
        <v>13</v>
      </c>
      <c r="F16176" s="4" t="str">
        <f>HYPERLINK("http://141.218.60.56/~jnz1568/getInfo.php?workbook=10_05.xlsx&amp;sheet=U0&amp;row=16176&amp;col=6&amp;number=4.2&amp;sourceID=14","4.2")</f>
        <v>4.2</v>
      </c>
      <c r="G16176" s="4" t="str">
        <f>HYPERLINK("http://141.218.60.56/~jnz1568/getInfo.php?workbook=10_05.xlsx&amp;sheet=U0&amp;row=16176&amp;col=7&amp;number=0.134&amp;sourceID=14","0.134")</f>
        <v>0.134</v>
      </c>
    </row>
    <row r="16177" spans="1:7">
      <c r="A16177" s="3"/>
      <c r="B16177" s="3"/>
      <c r="C16177" s="3"/>
      <c r="D16177" s="3"/>
      <c r="E16177" s="3">
        <v>14</v>
      </c>
      <c r="F16177" s="4" t="str">
        <f>HYPERLINK("http://141.218.60.56/~jnz1568/getInfo.php?workbook=10_05.xlsx&amp;sheet=U0&amp;row=16177&amp;col=6&amp;number=4.3&amp;sourceID=14","4.3")</f>
        <v>4.3</v>
      </c>
      <c r="G16177" s="4" t="str">
        <f>HYPERLINK("http://141.218.60.56/~jnz1568/getInfo.php?workbook=10_05.xlsx&amp;sheet=U0&amp;row=16177&amp;col=7&amp;number=0.133&amp;sourceID=14","0.133")</f>
        <v>0.133</v>
      </c>
    </row>
    <row r="16178" spans="1:7">
      <c r="A16178" s="3"/>
      <c r="B16178" s="3"/>
      <c r="C16178" s="3"/>
      <c r="D16178" s="3"/>
      <c r="E16178" s="3">
        <v>15</v>
      </c>
      <c r="F16178" s="4" t="str">
        <f>HYPERLINK("http://141.218.60.56/~jnz1568/getInfo.php?workbook=10_05.xlsx&amp;sheet=U0&amp;row=16178&amp;col=6&amp;number=4.4&amp;sourceID=14","4.4")</f>
        <v>4.4</v>
      </c>
      <c r="G16178" s="4" t="str">
        <f>HYPERLINK("http://141.218.60.56/~jnz1568/getInfo.php?workbook=10_05.xlsx&amp;sheet=U0&amp;row=16178&amp;col=7&amp;number=0.132&amp;sourceID=14","0.132")</f>
        <v>0.132</v>
      </c>
    </row>
    <row r="16179" spans="1:7">
      <c r="A16179" s="3"/>
      <c r="B16179" s="3"/>
      <c r="C16179" s="3"/>
      <c r="D16179" s="3"/>
      <c r="E16179" s="3">
        <v>16</v>
      </c>
      <c r="F16179" s="4" t="str">
        <f>HYPERLINK("http://141.218.60.56/~jnz1568/getInfo.php?workbook=10_05.xlsx&amp;sheet=U0&amp;row=16179&amp;col=6&amp;number=4.5&amp;sourceID=14","4.5")</f>
        <v>4.5</v>
      </c>
      <c r="G16179" s="4" t="str">
        <f>HYPERLINK("http://141.218.60.56/~jnz1568/getInfo.php?workbook=10_05.xlsx&amp;sheet=U0&amp;row=16179&amp;col=7&amp;number=0.131&amp;sourceID=14","0.131")</f>
        <v>0.131</v>
      </c>
    </row>
    <row r="16180" spans="1:7">
      <c r="A16180" s="3"/>
      <c r="B16180" s="3"/>
      <c r="C16180" s="3"/>
      <c r="D16180" s="3"/>
      <c r="E16180" s="3">
        <v>17</v>
      </c>
      <c r="F16180" s="4" t="str">
        <f>HYPERLINK("http://141.218.60.56/~jnz1568/getInfo.php?workbook=10_05.xlsx&amp;sheet=U0&amp;row=16180&amp;col=6&amp;number=4.6&amp;sourceID=14","4.6")</f>
        <v>4.6</v>
      </c>
      <c r="G16180" s="4" t="str">
        <f>HYPERLINK("http://141.218.60.56/~jnz1568/getInfo.php?workbook=10_05.xlsx&amp;sheet=U0&amp;row=16180&amp;col=7&amp;number=0.13&amp;sourceID=14","0.13")</f>
        <v>0.13</v>
      </c>
    </row>
    <row r="16181" spans="1:7">
      <c r="A16181" s="3"/>
      <c r="B16181" s="3"/>
      <c r="C16181" s="3"/>
      <c r="D16181" s="3"/>
      <c r="E16181" s="3">
        <v>18</v>
      </c>
      <c r="F16181" s="4" t="str">
        <f>HYPERLINK("http://141.218.60.56/~jnz1568/getInfo.php?workbook=10_05.xlsx&amp;sheet=U0&amp;row=16181&amp;col=6&amp;number=4.7&amp;sourceID=14","4.7")</f>
        <v>4.7</v>
      </c>
      <c r="G16181" s="4" t="str">
        <f>HYPERLINK("http://141.218.60.56/~jnz1568/getInfo.php?workbook=10_05.xlsx&amp;sheet=U0&amp;row=16181&amp;col=7&amp;number=0.13&amp;sourceID=14","0.13")</f>
        <v>0.13</v>
      </c>
    </row>
    <row r="16182" spans="1:7">
      <c r="A16182" s="3"/>
      <c r="B16182" s="3"/>
      <c r="C16182" s="3"/>
      <c r="D16182" s="3"/>
      <c r="E16182" s="3">
        <v>19</v>
      </c>
      <c r="F16182" s="4" t="str">
        <f>HYPERLINK("http://141.218.60.56/~jnz1568/getInfo.php?workbook=10_05.xlsx&amp;sheet=U0&amp;row=16182&amp;col=6&amp;number=4.8&amp;sourceID=14","4.8")</f>
        <v>4.8</v>
      </c>
      <c r="G16182" s="4" t="str">
        <f>HYPERLINK("http://141.218.60.56/~jnz1568/getInfo.php?workbook=10_05.xlsx&amp;sheet=U0&amp;row=16182&amp;col=7&amp;number=0.13&amp;sourceID=14","0.13")</f>
        <v>0.13</v>
      </c>
    </row>
    <row r="16183" spans="1:7">
      <c r="A16183" s="3"/>
      <c r="B16183" s="3"/>
      <c r="C16183" s="3"/>
      <c r="D16183" s="3"/>
      <c r="E16183" s="3">
        <v>20</v>
      </c>
      <c r="F16183" s="4" t="str">
        <f>HYPERLINK("http://141.218.60.56/~jnz1568/getInfo.php?workbook=10_05.xlsx&amp;sheet=U0&amp;row=16183&amp;col=6&amp;number=4.9&amp;sourceID=14","4.9")</f>
        <v>4.9</v>
      </c>
      <c r="G16183" s="4" t="str">
        <f>HYPERLINK("http://141.218.60.56/~jnz1568/getInfo.php?workbook=10_05.xlsx&amp;sheet=U0&amp;row=16183&amp;col=7&amp;number=0.13&amp;sourceID=14","0.13")</f>
        <v>0.13</v>
      </c>
    </row>
    <row r="16184" spans="1:7">
      <c r="A16184" s="3">
        <v>10</v>
      </c>
      <c r="B16184" s="3">
        <v>5</v>
      </c>
      <c r="C16184" s="3">
        <v>5</v>
      </c>
      <c r="D16184" s="3">
        <v>105</v>
      </c>
      <c r="E16184" s="3">
        <v>1</v>
      </c>
      <c r="F16184" s="4" t="str">
        <f>HYPERLINK("http://141.218.60.56/~jnz1568/getInfo.php?workbook=10_05.xlsx&amp;sheet=U0&amp;row=16184&amp;col=6&amp;number=3&amp;sourceID=14","3")</f>
        <v>3</v>
      </c>
      <c r="G16184" s="4" t="str">
        <f>HYPERLINK("http://141.218.60.56/~jnz1568/getInfo.php?workbook=10_05.xlsx&amp;sheet=U0&amp;row=16184&amp;col=7&amp;number=0.0119&amp;sourceID=14","0.0119")</f>
        <v>0.0119</v>
      </c>
    </row>
    <row r="16185" spans="1:7">
      <c r="A16185" s="3"/>
      <c r="B16185" s="3"/>
      <c r="C16185" s="3"/>
      <c r="D16185" s="3"/>
      <c r="E16185" s="3">
        <v>2</v>
      </c>
      <c r="F16185" s="4" t="str">
        <f>HYPERLINK("http://141.218.60.56/~jnz1568/getInfo.php?workbook=10_05.xlsx&amp;sheet=U0&amp;row=16185&amp;col=6&amp;number=3.1&amp;sourceID=14","3.1")</f>
        <v>3.1</v>
      </c>
      <c r="G16185" s="4" t="str">
        <f>HYPERLINK("http://141.218.60.56/~jnz1568/getInfo.php?workbook=10_05.xlsx&amp;sheet=U0&amp;row=16185&amp;col=7&amp;number=0.0118&amp;sourceID=14","0.0118")</f>
        <v>0.0118</v>
      </c>
    </row>
    <row r="16186" spans="1:7">
      <c r="A16186" s="3"/>
      <c r="B16186" s="3"/>
      <c r="C16186" s="3"/>
      <c r="D16186" s="3"/>
      <c r="E16186" s="3">
        <v>3</v>
      </c>
      <c r="F16186" s="4" t="str">
        <f>HYPERLINK("http://141.218.60.56/~jnz1568/getInfo.php?workbook=10_05.xlsx&amp;sheet=U0&amp;row=16186&amp;col=6&amp;number=3.2&amp;sourceID=14","3.2")</f>
        <v>3.2</v>
      </c>
      <c r="G16186" s="4" t="str">
        <f>HYPERLINK("http://141.218.60.56/~jnz1568/getInfo.php?workbook=10_05.xlsx&amp;sheet=U0&amp;row=16186&amp;col=7&amp;number=0.0117&amp;sourceID=14","0.0117")</f>
        <v>0.0117</v>
      </c>
    </row>
    <row r="16187" spans="1:7">
      <c r="A16187" s="3"/>
      <c r="B16187" s="3"/>
      <c r="C16187" s="3"/>
      <c r="D16187" s="3"/>
      <c r="E16187" s="3">
        <v>4</v>
      </c>
      <c r="F16187" s="4" t="str">
        <f>HYPERLINK("http://141.218.60.56/~jnz1568/getInfo.php?workbook=10_05.xlsx&amp;sheet=U0&amp;row=16187&amp;col=6&amp;number=3.3&amp;sourceID=14","3.3")</f>
        <v>3.3</v>
      </c>
      <c r="G16187" s="4" t="str">
        <f>HYPERLINK("http://141.218.60.56/~jnz1568/getInfo.php?workbook=10_05.xlsx&amp;sheet=U0&amp;row=16187&amp;col=7&amp;number=0.0116&amp;sourceID=14","0.0116")</f>
        <v>0.0116</v>
      </c>
    </row>
    <row r="16188" spans="1:7">
      <c r="A16188" s="3"/>
      <c r="B16188" s="3"/>
      <c r="C16188" s="3"/>
      <c r="D16188" s="3"/>
      <c r="E16188" s="3">
        <v>5</v>
      </c>
      <c r="F16188" s="4" t="str">
        <f>HYPERLINK("http://141.218.60.56/~jnz1568/getInfo.php?workbook=10_05.xlsx&amp;sheet=U0&amp;row=16188&amp;col=6&amp;number=3.4&amp;sourceID=14","3.4")</f>
        <v>3.4</v>
      </c>
      <c r="G16188" s="4" t="str">
        <f>HYPERLINK("http://141.218.60.56/~jnz1568/getInfo.php?workbook=10_05.xlsx&amp;sheet=U0&amp;row=16188&amp;col=7&amp;number=0.0114&amp;sourceID=14","0.0114")</f>
        <v>0.0114</v>
      </c>
    </row>
    <row r="16189" spans="1:7">
      <c r="A16189" s="3"/>
      <c r="B16189" s="3"/>
      <c r="C16189" s="3"/>
      <c r="D16189" s="3"/>
      <c r="E16189" s="3">
        <v>6</v>
      </c>
      <c r="F16189" s="4" t="str">
        <f>HYPERLINK("http://141.218.60.56/~jnz1568/getInfo.php?workbook=10_05.xlsx&amp;sheet=U0&amp;row=16189&amp;col=6&amp;number=3.5&amp;sourceID=14","3.5")</f>
        <v>3.5</v>
      </c>
      <c r="G16189" s="4" t="str">
        <f>HYPERLINK("http://141.218.60.56/~jnz1568/getInfo.php?workbook=10_05.xlsx&amp;sheet=U0&amp;row=16189&amp;col=7&amp;number=0.0112&amp;sourceID=14","0.0112")</f>
        <v>0.0112</v>
      </c>
    </row>
    <row r="16190" spans="1:7">
      <c r="A16190" s="3"/>
      <c r="B16190" s="3"/>
      <c r="C16190" s="3"/>
      <c r="D16190" s="3"/>
      <c r="E16190" s="3">
        <v>7</v>
      </c>
      <c r="F16190" s="4" t="str">
        <f>HYPERLINK("http://141.218.60.56/~jnz1568/getInfo.php?workbook=10_05.xlsx&amp;sheet=U0&amp;row=16190&amp;col=6&amp;number=3.6&amp;sourceID=14","3.6")</f>
        <v>3.6</v>
      </c>
      <c r="G16190" s="4" t="str">
        <f>HYPERLINK("http://141.218.60.56/~jnz1568/getInfo.php?workbook=10_05.xlsx&amp;sheet=U0&amp;row=16190&amp;col=7&amp;number=0.0109&amp;sourceID=14","0.0109")</f>
        <v>0.0109</v>
      </c>
    </row>
    <row r="16191" spans="1:7">
      <c r="A16191" s="3"/>
      <c r="B16191" s="3"/>
      <c r="C16191" s="3"/>
      <c r="D16191" s="3"/>
      <c r="E16191" s="3">
        <v>8</v>
      </c>
      <c r="F16191" s="4" t="str">
        <f>HYPERLINK("http://141.218.60.56/~jnz1568/getInfo.php?workbook=10_05.xlsx&amp;sheet=U0&amp;row=16191&amp;col=6&amp;number=3.7&amp;sourceID=14","3.7")</f>
        <v>3.7</v>
      </c>
      <c r="G16191" s="4" t="str">
        <f>HYPERLINK("http://141.218.60.56/~jnz1568/getInfo.php?workbook=10_05.xlsx&amp;sheet=U0&amp;row=16191&amp;col=7&amp;number=0.0106&amp;sourceID=14","0.0106")</f>
        <v>0.0106</v>
      </c>
    </row>
    <row r="16192" spans="1:7">
      <c r="A16192" s="3"/>
      <c r="B16192" s="3"/>
      <c r="C16192" s="3"/>
      <c r="D16192" s="3"/>
      <c r="E16192" s="3">
        <v>9</v>
      </c>
      <c r="F16192" s="4" t="str">
        <f>HYPERLINK("http://141.218.60.56/~jnz1568/getInfo.php?workbook=10_05.xlsx&amp;sheet=U0&amp;row=16192&amp;col=6&amp;number=3.8&amp;sourceID=14","3.8")</f>
        <v>3.8</v>
      </c>
      <c r="G16192" s="4" t="str">
        <f>HYPERLINK("http://141.218.60.56/~jnz1568/getInfo.php?workbook=10_05.xlsx&amp;sheet=U0&amp;row=16192&amp;col=7&amp;number=0.0103&amp;sourceID=14","0.0103")</f>
        <v>0.0103</v>
      </c>
    </row>
    <row r="16193" spans="1:7">
      <c r="A16193" s="3"/>
      <c r="B16193" s="3"/>
      <c r="C16193" s="3"/>
      <c r="D16193" s="3"/>
      <c r="E16193" s="3">
        <v>10</v>
      </c>
      <c r="F16193" s="4" t="str">
        <f>HYPERLINK("http://141.218.60.56/~jnz1568/getInfo.php?workbook=10_05.xlsx&amp;sheet=U0&amp;row=16193&amp;col=6&amp;number=3.9&amp;sourceID=14","3.9")</f>
        <v>3.9</v>
      </c>
      <c r="G16193" s="4" t="str">
        <f>HYPERLINK("http://141.218.60.56/~jnz1568/getInfo.php?workbook=10_05.xlsx&amp;sheet=U0&amp;row=16193&amp;col=7&amp;number=0.00982&amp;sourceID=14","0.00982")</f>
        <v>0.00982</v>
      </c>
    </row>
    <row r="16194" spans="1:7">
      <c r="A16194" s="3"/>
      <c r="B16194" s="3"/>
      <c r="C16194" s="3"/>
      <c r="D16194" s="3"/>
      <c r="E16194" s="3">
        <v>11</v>
      </c>
      <c r="F16194" s="4" t="str">
        <f>HYPERLINK("http://141.218.60.56/~jnz1568/getInfo.php?workbook=10_05.xlsx&amp;sheet=U0&amp;row=16194&amp;col=6&amp;number=4&amp;sourceID=14","4")</f>
        <v>4</v>
      </c>
      <c r="G16194" s="4" t="str">
        <f>HYPERLINK("http://141.218.60.56/~jnz1568/getInfo.php?workbook=10_05.xlsx&amp;sheet=U0&amp;row=16194&amp;col=7&amp;number=0.00929&amp;sourceID=14","0.00929")</f>
        <v>0.00929</v>
      </c>
    </row>
    <row r="16195" spans="1:7">
      <c r="A16195" s="3"/>
      <c r="B16195" s="3"/>
      <c r="C16195" s="3"/>
      <c r="D16195" s="3"/>
      <c r="E16195" s="3">
        <v>12</v>
      </c>
      <c r="F16195" s="4" t="str">
        <f>HYPERLINK("http://141.218.60.56/~jnz1568/getInfo.php?workbook=10_05.xlsx&amp;sheet=U0&amp;row=16195&amp;col=6&amp;number=4.1&amp;sourceID=14","4.1")</f>
        <v>4.1</v>
      </c>
      <c r="G16195" s="4" t="str">
        <f>HYPERLINK("http://141.218.60.56/~jnz1568/getInfo.php?workbook=10_05.xlsx&amp;sheet=U0&amp;row=16195&amp;col=7&amp;number=0.00869&amp;sourceID=14","0.00869")</f>
        <v>0.00869</v>
      </c>
    </row>
    <row r="16196" spans="1:7">
      <c r="A16196" s="3"/>
      <c r="B16196" s="3"/>
      <c r="C16196" s="3"/>
      <c r="D16196" s="3"/>
      <c r="E16196" s="3">
        <v>13</v>
      </c>
      <c r="F16196" s="4" t="str">
        <f>HYPERLINK("http://141.218.60.56/~jnz1568/getInfo.php?workbook=10_05.xlsx&amp;sheet=U0&amp;row=16196&amp;col=6&amp;number=4.2&amp;sourceID=14","4.2")</f>
        <v>4.2</v>
      </c>
      <c r="G16196" s="4" t="str">
        <f>HYPERLINK("http://141.218.60.56/~jnz1568/getInfo.php?workbook=10_05.xlsx&amp;sheet=U0&amp;row=16196&amp;col=7&amp;number=0.00805&amp;sourceID=14","0.00805")</f>
        <v>0.00805</v>
      </c>
    </row>
    <row r="16197" spans="1:7">
      <c r="A16197" s="3"/>
      <c r="B16197" s="3"/>
      <c r="C16197" s="3"/>
      <c r="D16197" s="3"/>
      <c r="E16197" s="3">
        <v>14</v>
      </c>
      <c r="F16197" s="4" t="str">
        <f>HYPERLINK("http://141.218.60.56/~jnz1568/getInfo.php?workbook=10_05.xlsx&amp;sheet=U0&amp;row=16197&amp;col=6&amp;number=4.3&amp;sourceID=14","4.3")</f>
        <v>4.3</v>
      </c>
      <c r="G16197" s="4" t="str">
        <f>HYPERLINK("http://141.218.60.56/~jnz1568/getInfo.php?workbook=10_05.xlsx&amp;sheet=U0&amp;row=16197&amp;col=7&amp;number=0.0074&amp;sourceID=14","0.0074")</f>
        <v>0.0074</v>
      </c>
    </row>
    <row r="16198" spans="1:7">
      <c r="A16198" s="3"/>
      <c r="B16198" s="3"/>
      <c r="C16198" s="3"/>
      <c r="D16198" s="3"/>
      <c r="E16198" s="3">
        <v>15</v>
      </c>
      <c r="F16198" s="4" t="str">
        <f>HYPERLINK("http://141.218.60.56/~jnz1568/getInfo.php?workbook=10_05.xlsx&amp;sheet=U0&amp;row=16198&amp;col=6&amp;number=4.4&amp;sourceID=14","4.4")</f>
        <v>4.4</v>
      </c>
      <c r="G16198" s="4" t="str">
        <f>HYPERLINK("http://141.218.60.56/~jnz1568/getInfo.php?workbook=10_05.xlsx&amp;sheet=U0&amp;row=16198&amp;col=7&amp;number=0.00679&amp;sourceID=14","0.00679")</f>
        <v>0.00679</v>
      </c>
    </row>
    <row r="16199" spans="1:7">
      <c r="A16199" s="3"/>
      <c r="B16199" s="3"/>
      <c r="C16199" s="3"/>
      <c r="D16199" s="3"/>
      <c r="E16199" s="3">
        <v>16</v>
      </c>
      <c r="F16199" s="4" t="str">
        <f>HYPERLINK("http://141.218.60.56/~jnz1568/getInfo.php?workbook=10_05.xlsx&amp;sheet=U0&amp;row=16199&amp;col=6&amp;number=4.5&amp;sourceID=14","4.5")</f>
        <v>4.5</v>
      </c>
      <c r="G16199" s="4" t="str">
        <f>HYPERLINK("http://141.218.60.56/~jnz1568/getInfo.php?workbook=10_05.xlsx&amp;sheet=U0&amp;row=16199&amp;col=7&amp;number=0.00624&amp;sourceID=14","0.00624")</f>
        <v>0.00624</v>
      </c>
    </row>
    <row r="16200" spans="1:7">
      <c r="A16200" s="3"/>
      <c r="B16200" s="3"/>
      <c r="C16200" s="3"/>
      <c r="D16200" s="3"/>
      <c r="E16200" s="3">
        <v>17</v>
      </c>
      <c r="F16200" s="4" t="str">
        <f>HYPERLINK("http://141.218.60.56/~jnz1568/getInfo.php?workbook=10_05.xlsx&amp;sheet=U0&amp;row=16200&amp;col=6&amp;number=4.6&amp;sourceID=14","4.6")</f>
        <v>4.6</v>
      </c>
      <c r="G16200" s="4" t="str">
        <f>HYPERLINK("http://141.218.60.56/~jnz1568/getInfo.php?workbook=10_05.xlsx&amp;sheet=U0&amp;row=16200&amp;col=7&amp;number=0.00574&amp;sourceID=14","0.00574")</f>
        <v>0.00574</v>
      </c>
    </row>
    <row r="16201" spans="1:7">
      <c r="A16201" s="3"/>
      <c r="B16201" s="3"/>
      <c r="C16201" s="3"/>
      <c r="D16201" s="3"/>
      <c r="E16201" s="3">
        <v>18</v>
      </c>
      <c r="F16201" s="4" t="str">
        <f>HYPERLINK("http://141.218.60.56/~jnz1568/getInfo.php?workbook=10_05.xlsx&amp;sheet=U0&amp;row=16201&amp;col=6&amp;number=4.7&amp;sourceID=14","4.7")</f>
        <v>4.7</v>
      </c>
      <c r="G16201" s="4" t="str">
        <f>HYPERLINK("http://141.218.60.56/~jnz1568/getInfo.php?workbook=10_05.xlsx&amp;sheet=U0&amp;row=16201&amp;col=7&amp;number=0.00527&amp;sourceID=14","0.00527")</f>
        <v>0.00527</v>
      </c>
    </row>
    <row r="16202" spans="1:7">
      <c r="A16202" s="3"/>
      <c r="B16202" s="3"/>
      <c r="C16202" s="3"/>
      <c r="D16202" s="3"/>
      <c r="E16202" s="3">
        <v>19</v>
      </c>
      <c r="F16202" s="4" t="str">
        <f>HYPERLINK("http://141.218.60.56/~jnz1568/getInfo.php?workbook=10_05.xlsx&amp;sheet=U0&amp;row=16202&amp;col=6&amp;number=4.8&amp;sourceID=14","4.8")</f>
        <v>4.8</v>
      </c>
      <c r="G16202" s="4" t="str">
        <f>HYPERLINK("http://141.218.60.56/~jnz1568/getInfo.php?workbook=10_05.xlsx&amp;sheet=U0&amp;row=16202&amp;col=7&amp;number=0.00485&amp;sourceID=14","0.00485")</f>
        <v>0.00485</v>
      </c>
    </row>
    <row r="16203" spans="1:7">
      <c r="A16203" s="3"/>
      <c r="B16203" s="3"/>
      <c r="C16203" s="3"/>
      <c r="D16203" s="3"/>
      <c r="E16203" s="3">
        <v>20</v>
      </c>
      <c r="F16203" s="4" t="str">
        <f>HYPERLINK("http://141.218.60.56/~jnz1568/getInfo.php?workbook=10_05.xlsx&amp;sheet=U0&amp;row=16203&amp;col=6&amp;number=4.9&amp;sourceID=14","4.9")</f>
        <v>4.9</v>
      </c>
      <c r="G16203" s="4" t="str">
        <f>HYPERLINK("http://141.218.60.56/~jnz1568/getInfo.php?workbook=10_05.xlsx&amp;sheet=U0&amp;row=16203&amp;col=7&amp;number=0.0045&amp;sourceID=14","0.0045")</f>
        <v>0.0045</v>
      </c>
    </row>
    <row r="16204" spans="1:7">
      <c r="A16204" s="3">
        <v>10</v>
      </c>
      <c r="B16204" s="3">
        <v>5</v>
      </c>
      <c r="C16204" s="3">
        <v>5</v>
      </c>
      <c r="D16204" s="3">
        <v>106</v>
      </c>
      <c r="E16204" s="3">
        <v>1</v>
      </c>
      <c r="F16204" s="4" t="str">
        <f>HYPERLINK("http://141.218.60.56/~jnz1568/getInfo.php?workbook=10_05.xlsx&amp;sheet=U0&amp;row=16204&amp;col=6&amp;number=3&amp;sourceID=14","3")</f>
        <v>3</v>
      </c>
      <c r="G16204" s="4" t="str">
        <f>HYPERLINK("http://141.218.60.56/~jnz1568/getInfo.php?workbook=10_05.xlsx&amp;sheet=U0&amp;row=16204&amp;col=7&amp;number=0.0357&amp;sourceID=14","0.0357")</f>
        <v>0.0357</v>
      </c>
    </row>
    <row r="16205" spans="1:7">
      <c r="A16205" s="3"/>
      <c r="B16205" s="3"/>
      <c r="C16205" s="3"/>
      <c r="D16205" s="3"/>
      <c r="E16205" s="3">
        <v>2</v>
      </c>
      <c r="F16205" s="4" t="str">
        <f>HYPERLINK("http://141.218.60.56/~jnz1568/getInfo.php?workbook=10_05.xlsx&amp;sheet=U0&amp;row=16205&amp;col=6&amp;number=3.1&amp;sourceID=14","3.1")</f>
        <v>3.1</v>
      </c>
      <c r="G16205" s="4" t="str">
        <f>HYPERLINK("http://141.218.60.56/~jnz1568/getInfo.php?workbook=10_05.xlsx&amp;sheet=U0&amp;row=16205&amp;col=7&amp;number=0.0356&amp;sourceID=14","0.0356")</f>
        <v>0.0356</v>
      </c>
    </row>
    <row r="16206" spans="1:7">
      <c r="A16206" s="3"/>
      <c r="B16206" s="3"/>
      <c r="C16206" s="3"/>
      <c r="D16206" s="3"/>
      <c r="E16206" s="3">
        <v>3</v>
      </c>
      <c r="F16206" s="4" t="str">
        <f>HYPERLINK("http://141.218.60.56/~jnz1568/getInfo.php?workbook=10_05.xlsx&amp;sheet=U0&amp;row=16206&amp;col=6&amp;number=3.2&amp;sourceID=14","3.2")</f>
        <v>3.2</v>
      </c>
      <c r="G16206" s="4" t="str">
        <f>HYPERLINK("http://141.218.60.56/~jnz1568/getInfo.php?workbook=10_05.xlsx&amp;sheet=U0&amp;row=16206&amp;col=7&amp;number=0.0354&amp;sourceID=14","0.0354")</f>
        <v>0.0354</v>
      </c>
    </row>
    <row r="16207" spans="1:7">
      <c r="A16207" s="3"/>
      <c r="B16207" s="3"/>
      <c r="C16207" s="3"/>
      <c r="D16207" s="3"/>
      <c r="E16207" s="3">
        <v>4</v>
      </c>
      <c r="F16207" s="4" t="str">
        <f>HYPERLINK("http://141.218.60.56/~jnz1568/getInfo.php?workbook=10_05.xlsx&amp;sheet=U0&amp;row=16207&amp;col=6&amp;number=3.3&amp;sourceID=14","3.3")</f>
        <v>3.3</v>
      </c>
      <c r="G16207" s="4" t="str">
        <f>HYPERLINK("http://141.218.60.56/~jnz1568/getInfo.php?workbook=10_05.xlsx&amp;sheet=U0&amp;row=16207&amp;col=7&amp;number=0.0351&amp;sourceID=14","0.0351")</f>
        <v>0.0351</v>
      </c>
    </row>
    <row r="16208" spans="1:7">
      <c r="A16208" s="3"/>
      <c r="B16208" s="3"/>
      <c r="C16208" s="3"/>
      <c r="D16208" s="3"/>
      <c r="E16208" s="3">
        <v>5</v>
      </c>
      <c r="F16208" s="4" t="str">
        <f>HYPERLINK("http://141.218.60.56/~jnz1568/getInfo.php?workbook=10_05.xlsx&amp;sheet=U0&amp;row=16208&amp;col=6&amp;number=3.4&amp;sourceID=14","3.4")</f>
        <v>3.4</v>
      </c>
      <c r="G16208" s="4" t="str">
        <f>HYPERLINK("http://141.218.60.56/~jnz1568/getInfo.php?workbook=10_05.xlsx&amp;sheet=U0&amp;row=16208&amp;col=7&amp;number=0.0348&amp;sourceID=14","0.0348")</f>
        <v>0.0348</v>
      </c>
    </row>
    <row r="16209" spans="1:7">
      <c r="A16209" s="3"/>
      <c r="B16209" s="3"/>
      <c r="C16209" s="3"/>
      <c r="D16209" s="3"/>
      <c r="E16209" s="3">
        <v>6</v>
      </c>
      <c r="F16209" s="4" t="str">
        <f>HYPERLINK("http://141.218.60.56/~jnz1568/getInfo.php?workbook=10_05.xlsx&amp;sheet=U0&amp;row=16209&amp;col=6&amp;number=3.5&amp;sourceID=14","3.5")</f>
        <v>3.5</v>
      </c>
      <c r="G16209" s="4" t="str">
        <f>HYPERLINK("http://141.218.60.56/~jnz1568/getInfo.php?workbook=10_05.xlsx&amp;sheet=U0&amp;row=16209&amp;col=7&amp;number=0.0345&amp;sourceID=14","0.0345")</f>
        <v>0.0345</v>
      </c>
    </row>
    <row r="16210" spans="1:7">
      <c r="A16210" s="3"/>
      <c r="B16210" s="3"/>
      <c r="C16210" s="3"/>
      <c r="D16210" s="3"/>
      <c r="E16210" s="3">
        <v>7</v>
      </c>
      <c r="F16210" s="4" t="str">
        <f>HYPERLINK("http://141.218.60.56/~jnz1568/getInfo.php?workbook=10_05.xlsx&amp;sheet=U0&amp;row=16210&amp;col=6&amp;number=3.6&amp;sourceID=14","3.6")</f>
        <v>3.6</v>
      </c>
      <c r="G16210" s="4" t="str">
        <f>HYPERLINK("http://141.218.60.56/~jnz1568/getInfo.php?workbook=10_05.xlsx&amp;sheet=U0&amp;row=16210&amp;col=7&amp;number=0.034&amp;sourceID=14","0.034")</f>
        <v>0.034</v>
      </c>
    </row>
    <row r="16211" spans="1:7">
      <c r="A16211" s="3"/>
      <c r="B16211" s="3"/>
      <c r="C16211" s="3"/>
      <c r="D16211" s="3"/>
      <c r="E16211" s="3">
        <v>8</v>
      </c>
      <c r="F16211" s="4" t="str">
        <f>HYPERLINK("http://141.218.60.56/~jnz1568/getInfo.php?workbook=10_05.xlsx&amp;sheet=U0&amp;row=16211&amp;col=6&amp;number=3.7&amp;sourceID=14","3.7")</f>
        <v>3.7</v>
      </c>
      <c r="G16211" s="4" t="str">
        <f>HYPERLINK("http://141.218.60.56/~jnz1568/getInfo.php?workbook=10_05.xlsx&amp;sheet=U0&amp;row=16211&amp;col=7&amp;number=0.0334&amp;sourceID=14","0.0334")</f>
        <v>0.0334</v>
      </c>
    </row>
    <row r="16212" spans="1:7">
      <c r="A16212" s="3"/>
      <c r="B16212" s="3"/>
      <c r="C16212" s="3"/>
      <c r="D16212" s="3"/>
      <c r="E16212" s="3">
        <v>9</v>
      </c>
      <c r="F16212" s="4" t="str">
        <f>HYPERLINK("http://141.218.60.56/~jnz1568/getInfo.php?workbook=10_05.xlsx&amp;sheet=U0&amp;row=16212&amp;col=6&amp;number=3.8&amp;sourceID=14","3.8")</f>
        <v>3.8</v>
      </c>
      <c r="G16212" s="4" t="str">
        <f>HYPERLINK("http://141.218.60.56/~jnz1568/getInfo.php?workbook=10_05.xlsx&amp;sheet=U0&amp;row=16212&amp;col=7&amp;number=0.0327&amp;sourceID=14","0.0327")</f>
        <v>0.0327</v>
      </c>
    </row>
    <row r="16213" spans="1:7">
      <c r="A16213" s="3"/>
      <c r="B16213" s="3"/>
      <c r="C16213" s="3"/>
      <c r="D16213" s="3"/>
      <c r="E16213" s="3">
        <v>10</v>
      </c>
      <c r="F16213" s="4" t="str">
        <f>HYPERLINK("http://141.218.60.56/~jnz1568/getInfo.php?workbook=10_05.xlsx&amp;sheet=U0&amp;row=16213&amp;col=6&amp;number=3.9&amp;sourceID=14","3.9")</f>
        <v>3.9</v>
      </c>
      <c r="G16213" s="4" t="str">
        <f>HYPERLINK("http://141.218.60.56/~jnz1568/getInfo.php?workbook=10_05.xlsx&amp;sheet=U0&amp;row=16213&amp;col=7&amp;number=0.0319&amp;sourceID=14","0.0319")</f>
        <v>0.0319</v>
      </c>
    </row>
    <row r="16214" spans="1:7">
      <c r="A16214" s="3"/>
      <c r="B16214" s="3"/>
      <c r="C16214" s="3"/>
      <c r="D16214" s="3"/>
      <c r="E16214" s="3">
        <v>11</v>
      </c>
      <c r="F16214" s="4" t="str">
        <f>HYPERLINK("http://141.218.60.56/~jnz1568/getInfo.php?workbook=10_05.xlsx&amp;sheet=U0&amp;row=16214&amp;col=6&amp;number=4&amp;sourceID=14","4")</f>
        <v>4</v>
      </c>
      <c r="G16214" s="4" t="str">
        <f>HYPERLINK("http://141.218.60.56/~jnz1568/getInfo.php?workbook=10_05.xlsx&amp;sheet=U0&amp;row=16214&amp;col=7&amp;number=0.0309&amp;sourceID=14","0.0309")</f>
        <v>0.0309</v>
      </c>
    </row>
    <row r="16215" spans="1:7">
      <c r="A16215" s="3"/>
      <c r="B16215" s="3"/>
      <c r="C16215" s="3"/>
      <c r="D16215" s="3"/>
      <c r="E16215" s="3">
        <v>12</v>
      </c>
      <c r="F16215" s="4" t="str">
        <f>HYPERLINK("http://141.218.60.56/~jnz1568/getInfo.php?workbook=10_05.xlsx&amp;sheet=U0&amp;row=16215&amp;col=6&amp;number=4.1&amp;sourceID=14","4.1")</f>
        <v>4.1</v>
      </c>
      <c r="G16215" s="4" t="str">
        <f>HYPERLINK("http://141.218.60.56/~jnz1568/getInfo.php?workbook=10_05.xlsx&amp;sheet=U0&amp;row=16215&amp;col=7&amp;number=0.0297&amp;sourceID=14","0.0297")</f>
        <v>0.0297</v>
      </c>
    </row>
    <row r="16216" spans="1:7">
      <c r="A16216" s="3"/>
      <c r="B16216" s="3"/>
      <c r="C16216" s="3"/>
      <c r="D16216" s="3"/>
      <c r="E16216" s="3">
        <v>13</v>
      </c>
      <c r="F16216" s="4" t="str">
        <f>HYPERLINK("http://141.218.60.56/~jnz1568/getInfo.php?workbook=10_05.xlsx&amp;sheet=U0&amp;row=16216&amp;col=6&amp;number=4.2&amp;sourceID=14","4.2")</f>
        <v>4.2</v>
      </c>
      <c r="G16216" s="4" t="str">
        <f>HYPERLINK("http://141.218.60.56/~jnz1568/getInfo.php?workbook=10_05.xlsx&amp;sheet=U0&amp;row=16216&amp;col=7&amp;number=0.0283&amp;sourceID=14","0.0283")</f>
        <v>0.0283</v>
      </c>
    </row>
    <row r="16217" spans="1:7">
      <c r="A16217" s="3"/>
      <c r="B16217" s="3"/>
      <c r="C16217" s="3"/>
      <c r="D16217" s="3"/>
      <c r="E16217" s="3">
        <v>14</v>
      </c>
      <c r="F16217" s="4" t="str">
        <f>HYPERLINK("http://141.218.60.56/~jnz1568/getInfo.php?workbook=10_05.xlsx&amp;sheet=U0&amp;row=16217&amp;col=6&amp;number=4.3&amp;sourceID=14","4.3")</f>
        <v>4.3</v>
      </c>
      <c r="G16217" s="4" t="str">
        <f>HYPERLINK("http://141.218.60.56/~jnz1568/getInfo.php?workbook=10_05.xlsx&amp;sheet=U0&amp;row=16217&amp;col=7&amp;number=0.0269&amp;sourceID=14","0.0269")</f>
        <v>0.0269</v>
      </c>
    </row>
    <row r="16218" spans="1:7">
      <c r="A16218" s="3"/>
      <c r="B16218" s="3"/>
      <c r="C16218" s="3"/>
      <c r="D16218" s="3"/>
      <c r="E16218" s="3">
        <v>15</v>
      </c>
      <c r="F16218" s="4" t="str">
        <f>HYPERLINK("http://141.218.60.56/~jnz1568/getInfo.php?workbook=10_05.xlsx&amp;sheet=U0&amp;row=16218&amp;col=6&amp;number=4.4&amp;sourceID=14","4.4")</f>
        <v>4.4</v>
      </c>
      <c r="G16218" s="4" t="str">
        <f>HYPERLINK("http://141.218.60.56/~jnz1568/getInfo.php?workbook=10_05.xlsx&amp;sheet=U0&amp;row=16218&amp;col=7&amp;number=0.0255&amp;sourceID=14","0.0255")</f>
        <v>0.0255</v>
      </c>
    </row>
    <row r="16219" spans="1:7">
      <c r="A16219" s="3"/>
      <c r="B16219" s="3"/>
      <c r="C16219" s="3"/>
      <c r="D16219" s="3"/>
      <c r="E16219" s="3">
        <v>16</v>
      </c>
      <c r="F16219" s="4" t="str">
        <f>HYPERLINK("http://141.218.60.56/~jnz1568/getInfo.php?workbook=10_05.xlsx&amp;sheet=U0&amp;row=16219&amp;col=6&amp;number=4.5&amp;sourceID=14","4.5")</f>
        <v>4.5</v>
      </c>
      <c r="G16219" s="4" t="str">
        <f>HYPERLINK("http://141.218.60.56/~jnz1568/getInfo.php?workbook=10_05.xlsx&amp;sheet=U0&amp;row=16219&amp;col=7&amp;number=0.0241&amp;sourceID=14","0.0241")</f>
        <v>0.0241</v>
      </c>
    </row>
    <row r="16220" spans="1:7">
      <c r="A16220" s="3"/>
      <c r="B16220" s="3"/>
      <c r="C16220" s="3"/>
      <c r="D16220" s="3"/>
      <c r="E16220" s="3">
        <v>17</v>
      </c>
      <c r="F16220" s="4" t="str">
        <f>HYPERLINK("http://141.218.60.56/~jnz1568/getInfo.php?workbook=10_05.xlsx&amp;sheet=U0&amp;row=16220&amp;col=6&amp;number=4.6&amp;sourceID=14","4.6")</f>
        <v>4.6</v>
      </c>
      <c r="G16220" s="4" t="str">
        <f>HYPERLINK("http://141.218.60.56/~jnz1568/getInfo.php?workbook=10_05.xlsx&amp;sheet=U0&amp;row=16220&amp;col=7&amp;number=0.023&amp;sourceID=14","0.023")</f>
        <v>0.023</v>
      </c>
    </row>
    <row r="16221" spans="1:7">
      <c r="A16221" s="3"/>
      <c r="B16221" s="3"/>
      <c r="C16221" s="3"/>
      <c r="D16221" s="3"/>
      <c r="E16221" s="3">
        <v>18</v>
      </c>
      <c r="F16221" s="4" t="str">
        <f>HYPERLINK("http://141.218.60.56/~jnz1568/getInfo.php?workbook=10_05.xlsx&amp;sheet=U0&amp;row=16221&amp;col=6&amp;number=4.7&amp;sourceID=14","4.7")</f>
        <v>4.7</v>
      </c>
      <c r="G16221" s="4" t="str">
        <f>HYPERLINK("http://141.218.60.56/~jnz1568/getInfo.php?workbook=10_05.xlsx&amp;sheet=U0&amp;row=16221&amp;col=7&amp;number=0.0219&amp;sourceID=14","0.0219")</f>
        <v>0.0219</v>
      </c>
    </row>
    <row r="16222" spans="1:7">
      <c r="A16222" s="3"/>
      <c r="B16222" s="3"/>
      <c r="C16222" s="3"/>
      <c r="D16222" s="3"/>
      <c r="E16222" s="3">
        <v>19</v>
      </c>
      <c r="F16222" s="4" t="str">
        <f>HYPERLINK("http://141.218.60.56/~jnz1568/getInfo.php?workbook=10_05.xlsx&amp;sheet=U0&amp;row=16222&amp;col=6&amp;number=4.8&amp;sourceID=14","4.8")</f>
        <v>4.8</v>
      </c>
      <c r="G16222" s="4" t="str">
        <f>HYPERLINK("http://141.218.60.56/~jnz1568/getInfo.php?workbook=10_05.xlsx&amp;sheet=U0&amp;row=16222&amp;col=7&amp;number=0.021&amp;sourceID=14","0.021")</f>
        <v>0.021</v>
      </c>
    </row>
    <row r="16223" spans="1:7">
      <c r="A16223" s="3"/>
      <c r="B16223" s="3"/>
      <c r="C16223" s="3"/>
      <c r="D16223" s="3"/>
      <c r="E16223" s="3">
        <v>20</v>
      </c>
      <c r="F16223" s="4" t="str">
        <f>HYPERLINK("http://141.218.60.56/~jnz1568/getInfo.php?workbook=10_05.xlsx&amp;sheet=U0&amp;row=16223&amp;col=6&amp;number=4.9&amp;sourceID=14","4.9")</f>
        <v>4.9</v>
      </c>
      <c r="G16223" s="4" t="str">
        <f>HYPERLINK("http://141.218.60.56/~jnz1568/getInfo.php?workbook=10_05.xlsx&amp;sheet=U0&amp;row=16223&amp;col=7&amp;number=0.0202&amp;sourceID=14","0.0202")</f>
        <v>0.0202</v>
      </c>
    </row>
    <row r="16224" spans="1:7">
      <c r="A16224" s="3">
        <v>10</v>
      </c>
      <c r="B16224" s="3">
        <v>5</v>
      </c>
      <c r="C16224" s="3">
        <v>5</v>
      </c>
      <c r="D16224" s="3">
        <v>107</v>
      </c>
      <c r="E16224" s="3">
        <v>1</v>
      </c>
      <c r="F16224" s="4" t="str">
        <f>HYPERLINK("http://141.218.60.56/~jnz1568/getInfo.php?workbook=10_05.xlsx&amp;sheet=U0&amp;row=16224&amp;col=6&amp;number=3&amp;sourceID=14","3")</f>
        <v>3</v>
      </c>
      <c r="G16224" s="4" t="str">
        <f>HYPERLINK("http://141.218.60.56/~jnz1568/getInfo.php?workbook=10_05.xlsx&amp;sheet=U0&amp;row=16224&amp;col=7&amp;number=0.0883&amp;sourceID=14","0.0883")</f>
        <v>0.0883</v>
      </c>
    </row>
    <row r="16225" spans="1:7">
      <c r="A16225" s="3"/>
      <c r="B16225" s="3"/>
      <c r="C16225" s="3"/>
      <c r="D16225" s="3"/>
      <c r="E16225" s="3">
        <v>2</v>
      </c>
      <c r="F16225" s="4" t="str">
        <f>HYPERLINK("http://141.218.60.56/~jnz1568/getInfo.php?workbook=10_05.xlsx&amp;sheet=U0&amp;row=16225&amp;col=6&amp;number=3.1&amp;sourceID=14","3.1")</f>
        <v>3.1</v>
      </c>
      <c r="G16225" s="4" t="str">
        <f>HYPERLINK("http://141.218.60.56/~jnz1568/getInfo.php?workbook=10_05.xlsx&amp;sheet=U0&amp;row=16225&amp;col=7&amp;number=0.0879&amp;sourceID=14","0.0879")</f>
        <v>0.0879</v>
      </c>
    </row>
    <row r="16226" spans="1:7">
      <c r="A16226" s="3"/>
      <c r="B16226" s="3"/>
      <c r="C16226" s="3"/>
      <c r="D16226" s="3"/>
      <c r="E16226" s="3">
        <v>3</v>
      </c>
      <c r="F16226" s="4" t="str">
        <f>HYPERLINK("http://141.218.60.56/~jnz1568/getInfo.php?workbook=10_05.xlsx&amp;sheet=U0&amp;row=16226&amp;col=6&amp;number=3.2&amp;sourceID=14","3.2")</f>
        <v>3.2</v>
      </c>
      <c r="G16226" s="4" t="str">
        <f>HYPERLINK("http://141.218.60.56/~jnz1568/getInfo.php?workbook=10_05.xlsx&amp;sheet=U0&amp;row=16226&amp;col=7&amp;number=0.0875&amp;sourceID=14","0.0875")</f>
        <v>0.0875</v>
      </c>
    </row>
    <row r="16227" spans="1:7">
      <c r="A16227" s="3"/>
      <c r="B16227" s="3"/>
      <c r="C16227" s="3"/>
      <c r="D16227" s="3"/>
      <c r="E16227" s="3">
        <v>4</v>
      </c>
      <c r="F16227" s="4" t="str">
        <f>HYPERLINK("http://141.218.60.56/~jnz1568/getInfo.php?workbook=10_05.xlsx&amp;sheet=U0&amp;row=16227&amp;col=6&amp;number=3.3&amp;sourceID=14","3.3")</f>
        <v>3.3</v>
      </c>
      <c r="G16227" s="4" t="str">
        <f>HYPERLINK("http://141.218.60.56/~jnz1568/getInfo.php?workbook=10_05.xlsx&amp;sheet=U0&amp;row=16227&amp;col=7&amp;number=0.0869&amp;sourceID=14","0.0869")</f>
        <v>0.0869</v>
      </c>
    </row>
    <row r="16228" spans="1:7">
      <c r="A16228" s="3"/>
      <c r="B16228" s="3"/>
      <c r="C16228" s="3"/>
      <c r="D16228" s="3"/>
      <c r="E16228" s="3">
        <v>5</v>
      </c>
      <c r="F16228" s="4" t="str">
        <f>HYPERLINK("http://141.218.60.56/~jnz1568/getInfo.php?workbook=10_05.xlsx&amp;sheet=U0&amp;row=16228&amp;col=6&amp;number=3.4&amp;sourceID=14","3.4")</f>
        <v>3.4</v>
      </c>
      <c r="G16228" s="4" t="str">
        <f>HYPERLINK("http://141.218.60.56/~jnz1568/getInfo.php?workbook=10_05.xlsx&amp;sheet=U0&amp;row=16228&amp;col=7&amp;number=0.0862&amp;sourceID=14","0.0862")</f>
        <v>0.0862</v>
      </c>
    </row>
    <row r="16229" spans="1:7">
      <c r="A16229" s="3"/>
      <c r="B16229" s="3"/>
      <c r="C16229" s="3"/>
      <c r="D16229" s="3"/>
      <c r="E16229" s="3">
        <v>6</v>
      </c>
      <c r="F16229" s="4" t="str">
        <f>HYPERLINK("http://141.218.60.56/~jnz1568/getInfo.php?workbook=10_05.xlsx&amp;sheet=U0&amp;row=16229&amp;col=6&amp;number=3.5&amp;sourceID=14","3.5")</f>
        <v>3.5</v>
      </c>
      <c r="G16229" s="4" t="str">
        <f>HYPERLINK("http://141.218.60.56/~jnz1568/getInfo.php?workbook=10_05.xlsx&amp;sheet=U0&amp;row=16229&amp;col=7&amp;number=0.0853&amp;sourceID=14","0.0853")</f>
        <v>0.0853</v>
      </c>
    </row>
    <row r="16230" spans="1:7">
      <c r="A16230" s="3"/>
      <c r="B16230" s="3"/>
      <c r="C16230" s="3"/>
      <c r="D16230" s="3"/>
      <c r="E16230" s="3">
        <v>7</v>
      </c>
      <c r="F16230" s="4" t="str">
        <f>HYPERLINK("http://141.218.60.56/~jnz1568/getInfo.php?workbook=10_05.xlsx&amp;sheet=U0&amp;row=16230&amp;col=6&amp;number=3.6&amp;sourceID=14","3.6")</f>
        <v>3.6</v>
      </c>
      <c r="G16230" s="4" t="str">
        <f>HYPERLINK("http://141.218.60.56/~jnz1568/getInfo.php?workbook=10_05.xlsx&amp;sheet=U0&amp;row=16230&amp;col=7&amp;number=0.0843&amp;sourceID=14","0.0843")</f>
        <v>0.0843</v>
      </c>
    </row>
    <row r="16231" spans="1:7">
      <c r="A16231" s="3"/>
      <c r="B16231" s="3"/>
      <c r="C16231" s="3"/>
      <c r="D16231" s="3"/>
      <c r="E16231" s="3">
        <v>8</v>
      </c>
      <c r="F16231" s="4" t="str">
        <f>HYPERLINK("http://141.218.60.56/~jnz1568/getInfo.php?workbook=10_05.xlsx&amp;sheet=U0&amp;row=16231&amp;col=6&amp;number=3.7&amp;sourceID=14","3.7")</f>
        <v>3.7</v>
      </c>
      <c r="G16231" s="4" t="str">
        <f>HYPERLINK("http://141.218.60.56/~jnz1568/getInfo.php?workbook=10_05.xlsx&amp;sheet=U0&amp;row=16231&amp;col=7&amp;number=0.0829&amp;sourceID=14","0.0829")</f>
        <v>0.0829</v>
      </c>
    </row>
    <row r="16232" spans="1:7">
      <c r="A16232" s="3"/>
      <c r="B16232" s="3"/>
      <c r="C16232" s="3"/>
      <c r="D16232" s="3"/>
      <c r="E16232" s="3">
        <v>9</v>
      </c>
      <c r="F16232" s="4" t="str">
        <f>HYPERLINK("http://141.218.60.56/~jnz1568/getInfo.php?workbook=10_05.xlsx&amp;sheet=U0&amp;row=16232&amp;col=6&amp;number=3.8&amp;sourceID=14","3.8")</f>
        <v>3.8</v>
      </c>
      <c r="G16232" s="4" t="str">
        <f>HYPERLINK("http://141.218.60.56/~jnz1568/getInfo.php?workbook=10_05.xlsx&amp;sheet=U0&amp;row=16232&amp;col=7&amp;number=0.0813&amp;sourceID=14","0.0813")</f>
        <v>0.0813</v>
      </c>
    </row>
    <row r="16233" spans="1:7">
      <c r="A16233" s="3"/>
      <c r="B16233" s="3"/>
      <c r="C16233" s="3"/>
      <c r="D16233" s="3"/>
      <c r="E16233" s="3">
        <v>10</v>
      </c>
      <c r="F16233" s="4" t="str">
        <f>HYPERLINK("http://141.218.60.56/~jnz1568/getInfo.php?workbook=10_05.xlsx&amp;sheet=U0&amp;row=16233&amp;col=6&amp;number=3.9&amp;sourceID=14","3.9")</f>
        <v>3.9</v>
      </c>
      <c r="G16233" s="4" t="str">
        <f>HYPERLINK("http://141.218.60.56/~jnz1568/getInfo.php?workbook=10_05.xlsx&amp;sheet=U0&amp;row=16233&amp;col=7&amp;number=0.0793&amp;sourceID=14","0.0793")</f>
        <v>0.0793</v>
      </c>
    </row>
    <row r="16234" spans="1:7">
      <c r="A16234" s="3"/>
      <c r="B16234" s="3"/>
      <c r="C16234" s="3"/>
      <c r="D16234" s="3"/>
      <c r="E16234" s="3">
        <v>11</v>
      </c>
      <c r="F16234" s="4" t="str">
        <f>HYPERLINK("http://141.218.60.56/~jnz1568/getInfo.php?workbook=10_05.xlsx&amp;sheet=U0&amp;row=16234&amp;col=6&amp;number=4&amp;sourceID=14","4")</f>
        <v>4</v>
      </c>
      <c r="G16234" s="4" t="str">
        <f>HYPERLINK("http://141.218.60.56/~jnz1568/getInfo.php?workbook=10_05.xlsx&amp;sheet=U0&amp;row=16234&amp;col=7&amp;number=0.077&amp;sourceID=14","0.077")</f>
        <v>0.077</v>
      </c>
    </row>
    <row r="16235" spans="1:7">
      <c r="A16235" s="3"/>
      <c r="B16235" s="3"/>
      <c r="C16235" s="3"/>
      <c r="D16235" s="3"/>
      <c r="E16235" s="3">
        <v>12</v>
      </c>
      <c r="F16235" s="4" t="str">
        <f>HYPERLINK("http://141.218.60.56/~jnz1568/getInfo.php?workbook=10_05.xlsx&amp;sheet=U0&amp;row=16235&amp;col=6&amp;number=4.1&amp;sourceID=14","4.1")</f>
        <v>4.1</v>
      </c>
      <c r="G16235" s="4" t="str">
        <f>HYPERLINK("http://141.218.60.56/~jnz1568/getInfo.php?workbook=10_05.xlsx&amp;sheet=U0&amp;row=16235&amp;col=7&amp;number=0.0742&amp;sourceID=14","0.0742")</f>
        <v>0.0742</v>
      </c>
    </row>
    <row r="16236" spans="1:7">
      <c r="A16236" s="3"/>
      <c r="B16236" s="3"/>
      <c r="C16236" s="3"/>
      <c r="D16236" s="3"/>
      <c r="E16236" s="3">
        <v>13</v>
      </c>
      <c r="F16236" s="4" t="str">
        <f>HYPERLINK("http://141.218.60.56/~jnz1568/getInfo.php?workbook=10_05.xlsx&amp;sheet=U0&amp;row=16236&amp;col=6&amp;number=4.2&amp;sourceID=14","4.2")</f>
        <v>4.2</v>
      </c>
      <c r="G16236" s="4" t="str">
        <f>HYPERLINK("http://141.218.60.56/~jnz1568/getInfo.php?workbook=10_05.xlsx&amp;sheet=U0&amp;row=16236&amp;col=7&amp;number=0.0712&amp;sourceID=14","0.0712")</f>
        <v>0.0712</v>
      </c>
    </row>
    <row r="16237" spans="1:7">
      <c r="A16237" s="3"/>
      <c r="B16237" s="3"/>
      <c r="C16237" s="3"/>
      <c r="D16237" s="3"/>
      <c r="E16237" s="3">
        <v>14</v>
      </c>
      <c r="F16237" s="4" t="str">
        <f>HYPERLINK("http://141.218.60.56/~jnz1568/getInfo.php?workbook=10_05.xlsx&amp;sheet=U0&amp;row=16237&amp;col=6&amp;number=4.3&amp;sourceID=14","4.3")</f>
        <v>4.3</v>
      </c>
      <c r="G16237" s="4" t="str">
        <f>HYPERLINK("http://141.218.60.56/~jnz1568/getInfo.php?workbook=10_05.xlsx&amp;sheet=U0&amp;row=16237&amp;col=7&amp;number=0.068&amp;sourceID=14","0.068")</f>
        <v>0.068</v>
      </c>
    </row>
    <row r="16238" spans="1:7">
      <c r="A16238" s="3"/>
      <c r="B16238" s="3"/>
      <c r="C16238" s="3"/>
      <c r="D16238" s="3"/>
      <c r="E16238" s="3">
        <v>15</v>
      </c>
      <c r="F16238" s="4" t="str">
        <f>HYPERLINK("http://141.218.60.56/~jnz1568/getInfo.php?workbook=10_05.xlsx&amp;sheet=U0&amp;row=16238&amp;col=6&amp;number=4.4&amp;sourceID=14","4.4")</f>
        <v>4.4</v>
      </c>
      <c r="G16238" s="4" t="str">
        <f>HYPERLINK("http://141.218.60.56/~jnz1568/getInfo.php?workbook=10_05.xlsx&amp;sheet=U0&amp;row=16238&amp;col=7&amp;number=0.0649&amp;sourceID=14","0.0649")</f>
        <v>0.0649</v>
      </c>
    </row>
    <row r="16239" spans="1:7">
      <c r="A16239" s="3"/>
      <c r="B16239" s="3"/>
      <c r="C16239" s="3"/>
      <c r="D16239" s="3"/>
      <c r="E16239" s="3">
        <v>16</v>
      </c>
      <c r="F16239" s="4" t="str">
        <f>HYPERLINK("http://141.218.60.56/~jnz1568/getInfo.php?workbook=10_05.xlsx&amp;sheet=U0&amp;row=16239&amp;col=6&amp;number=4.5&amp;sourceID=14","4.5")</f>
        <v>4.5</v>
      </c>
      <c r="G16239" s="4" t="str">
        <f>HYPERLINK("http://141.218.60.56/~jnz1568/getInfo.php?workbook=10_05.xlsx&amp;sheet=U0&amp;row=16239&amp;col=7&amp;number=0.0622&amp;sourceID=14","0.0622")</f>
        <v>0.0622</v>
      </c>
    </row>
    <row r="16240" spans="1:7">
      <c r="A16240" s="3"/>
      <c r="B16240" s="3"/>
      <c r="C16240" s="3"/>
      <c r="D16240" s="3"/>
      <c r="E16240" s="3">
        <v>17</v>
      </c>
      <c r="F16240" s="4" t="str">
        <f>HYPERLINK("http://141.218.60.56/~jnz1568/getInfo.php?workbook=10_05.xlsx&amp;sheet=U0&amp;row=16240&amp;col=6&amp;number=4.6&amp;sourceID=14","4.6")</f>
        <v>4.6</v>
      </c>
      <c r="G16240" s="4" t="str">
        <f>HYPERLINK("http://141.218.60.56/~jnz1568/getInfo.php?workbook=10_05.xlsx&amp;sheet=U0&amp;row=16240&amp;col=7&amp;number=0.06&amp;sourceID=14","0.06")</f>
        <v>0.06</v>
      </c>
    </row>
    <row r="16241" spans="1:7">
      <c r="A16241" s="3"/>
      <c r="B16241" s="3"/>
      <c r="C16241" s="3"/>
      <c r="D16241" s="3"/>
      <c r="E16241" s="3">
        <v>18</v>
      </c>
      <c r="F16241" s="4" t="str">
        <f>HYPERLINK("http://141.218.60.56/~jnz1568/getInfo.php?workbook=10_05.xlsx&amp;sheet=U0&amp;row=16241&amp;col=6&amp;number=4.7&amp;sourceID=14","4.7")</f>
        <v>4.7</v>
      </c>
      <c r="G16241" s="4" t="str">
        <f>HYPERLINK("http://141.218.60.56/~jnz1568/getInfo.php?workbook=10_05.xlsx&amp;sheet=U0&amp;row=16241&amp;col=7&amp;number=0.0581&amp;sourceID=14","0.0581")</f>
        <v>0.0581</v>
      </c>
    </row>
    <row r="16242" spans="1:7">
      <c r="A16242" s="3"/>
      <c r="B16242" s="3"/>
      <c r="C16242" s="3"/>
      <c r="D16242" s="3"/>
      <c r="E16242" s="3">
        <v>19</v>
      </c>
      <c r="F16242" s="4" t="str">
        <f>HYPERLINK("http://141.218.60.56/~jnz1568/getInfo.php?workbook=10_05.xlsx&amp;sheet=U0&amp;row=16242&amp;col=6&amp;number=4.8&amp;sourceID=14","4.8")</f>
        <v>4.8</v>
      </c>
      <c r="G16242" s="4" t="str">
        <f>HYPERLINK("http://141.218.60.56/~jnz1568/getInfo.php?workbook=10_05.xlsx&amp;sheet=U0&amp;row=16242&amp;col=7&amp;number=0.0562&amp;sourceID=14","0.0562")</f>
        <v>0.0562</v>
      </c>
    </row>
    <row r="16243" spans="1:7">
      <c r="A16243" s="3"/>
      <c r="B16243" s="3"/>
      <c r="C16243" s="3"/>
      <c r="D16243" s="3"/>
      <c r="E16243" s="3">
        <v>20</v>
      </c>
      <c r="F16243" s="4" t="str">
        <f>HYPERLINK("http://141.218.60.56/~jnz1568/getInfo.php?workbook=10_05.xlsx&amp;sheet=U0&amp;row=16243&amp;col=6&amp;number=4.9&amp;sourceID=14","4.9")</f>
        <v>4.9</v>
      </c>
      <c r="G16243" s="4" t="str">
        <f>HYPERLINK("http://141.218.60.56/~jnz1568/getInfo.php?workbook=10_05.xlsx&amp;sheet=U0&amp;row=16243&amp;col=7&amp;number=0.0547&amp;sourceID=14","0.0547")</f>
        <v>0.0547</v>
      </c>
    </row>
    <row r="16244" spans="1:7">
      <c r="A16244" s="3">
        <v>10</v>
      </c>
      <c r="B16244" s="3">
        <v>5</v>
      </c>
      <c r="C16244" s="3">
        <v>5</v>
      </c>
      <c r="D16244" s="3">
        <v>108</v>
      </c>
      <c r="E16244" s="3">
        <v>1</v>
      </c>
      <c r="F16244" s="4" t="str">
        <f>HYPERLINK("http://141.218.60.56/~jnz1568/getInfo.php?workbook=10_05.xlsx&amp;sheet=U0&amp;row=16244&amp;col=6&amp;number=3&amp;sourceID=14","3")</f>
        <v>3</v>
      </c>
      <c r="G16244" s="4" t="str">
        <f>HYPERLINK("http://141.218.60.56/~jnz1568/getInfo.php?workbook=10_05.xlsx&amp;sheet=U0&amp;row=16244&amp;col=7&amp;number=0.145&amp;sourceID=14","0.145")</f>
        <v>0.145</v>
      </c>
    </row>
    <row r="16245" spans="1:7">
      <c r="A16245" s="3"/>
      <c r="B16245" s="3"/>
      <c r="C16245" s="3"/>
      <c r="D16245" s="3"/>
      <c r="E16245" s="3">
        <v>2</v>
      </c>
      <c r="F16245" s="4" t="str">
        <f>HYPERLINK("http://141.218.60.56/~jnz1568/getInfo.php?workbook=10_05.xlsx&amp;sheet=U0&amp;row=16245&amp;col=6&amp;number=3.1&amp;sourceID=14","3.1")</f>
        <v>3.1</v>
      </c>
      <c r="G16245" s="4" t="str">
        <f>HYPERLINK("http://141.218.60.56/~jnz1568/getInfo.php?workbook=10_05.xlsx&amp;sheet=U0&amp;row=16245&amp;col=7&amp;number=0.144&amp;sourceID=14","0.144")</f>
        <v>0.144</v>
      </c>
    </row>
    <row r="16246" spans="1:7">
      <c r="A16246" s="3"/>
      <c r="B16246" s="3"/>
      <c r="C16246" s="3"/>
      <c r="D16246" s="3"/>
      <c r="E16246" s="3">
        <v>3</v>
      </c>
      <c r="F16246" s="4" t="str">
        <f>HYPERLINK("http://141.218.60.56/~jnz1568/getInfo.php?workbook=10_05.xlsx&amp;sheet=U0&amp;row=16246&amp;col=6&amp;number=3.2&amp;sourceID=14","3.2")</f>
        <v>3.2</v>
      </c>
      <c r="G16246" s="4" t="str">
        <f>HYPERLINK("http://141.218.60.56/~jnz1568/getInfo.php?workbook=10_05.xlsx&amp;sheet=U0&amp;row=16246&amp;col=7&amp;number=0.144&amp;sourceID=14","0.144")</f>
        <v>0.144</v>
      </c>
    </row>
    <row r="16247" spans="1:7">
      <c r="A16247" s="3"/>
      <c r="B16247" s="3"/>
      <c r="C16247" s="3"/>
      <c r="D16247" s="3"/>
      <c r="E16247" s="3">
        <v>4</v>
      </c>
      <c r="F16247" s="4" t="str">
        <f>HYPERLINK("http://141.218.60.56/~jnz1568/getInfo.php?workbook=10_05.xlsx&amp;sheet=U0&amp;row=16247&amp;col=6&amp;number=3.3&amp;sourceID=14","3.3")</f>
        <v>3.3</v>
      </c>
      <c r="G16247" s="4" t="str">
        <f>HYPERLINK("http://141.218.60.56/~jnz1568/getInfo.php?workbook=10_05.xlsx&amp;sheet=U0&amp;row=16247&amp;col=7&amp;number=0.143&amp;sourceID=14","0.143")</f>
        <v>0.143</v>
      </c>
    </row>
    <row r="16248" spans="1:7">
      <c r="A16248" s="3"/>
      <c r="B16248" s="3"/>
      <c r="C16248" s="3"/>
      <c r="D16248" s="3"/>
      <c r="E16248" s="3">
        <v>5</v>
      </c>
      <c r="F16248" s="4" t="str">
        <f>HYPERLINK("http://141.218.60.56/~jnz1568/getInfo.php?workbook=10_05.xlsx&amp;sheet=U0&amp;row=16248&amp;col=6&amp;number=3.4&amp;sourceID=14","3.4")</f>
        <v>3.4</v>
      </c>
      <c r="G16248" s="4" t="str">
        <f>HYPERLINK("http://141.218.60.56/~jnz1568/getInfo.php?workbook=10_05.xlsx&amp;sheet=U0&amp;row=16248&amp;col=7&amp;number=0.141&amp;sourceID=14","0.141")</f>
        <v>0.141</v>
      </c>
    </row>
    <row r="16249" spans="1:7">
      <c r="A16249" s="3"/>
      <c r="B16249" s="3"/>
      <c r="C16249" s="3"/>
      <c r="D16249" s="3"/>
      <c r="E16249" s="3">
        <v>6</v>
      </c>
      <c r="F16249" s="4" t="str">
        <f>HYPERLINK("http://141.218.60.56/~jnz1568/getInfo.php?workbook=10_05.xlsx&amp;sheet=U0&amp;row=16249&amp;col=6&amp;number=3.5&amp;sourceID=14","3.5")</f>
        <v>3.5</v>
      </c>
      <c r="G16249" s="4" t="str">
        <f>HYPERLINK("http://141.218.60.56/~jnz1568/getInfo.php?workbook=10_05.xlsx&amp;sheet=U0&amp;row=16249&amp;col=7&amp;number=0.14&amp;sourceID=14","0.14")</f>
        <v>0.14</v>
      </c>
    </row>
    <row r="16250" spans="1:7">
      <c r="A16250" s="3"/>
      <c r="B16250" s="3"/>
      <c r="C16250" s="3"/>
      <c r="D16250" s="3"/>
      <c r="E16250" s="3">
        <v>7</v>
      </c>
      <c r="F16250" s="4" t="str">
        <f>HYPERLINK("http://141.218.60.56/~jnz1568/getInfo.php?workbook=10_05.xlsx&amp;sheet=U0&amp;row=16250&amp;col=6&amp;number=3.6&amp;sourceID=14","3.6")</f>
        <v>3.6</v>
      </c>
      <c r="G16250" s="4" t="str">
        <f>HYPERLINK("http://141.218.60.56/~jnz1568/getInfo.php?workbook=10_05.xlsx&amp;sheet=U0&amp;row=16250&amp;col=7&amp;number=0.138&amp;sourceID=14","0.138")</f>
        <v>0.138</v>
      </c>
    </row>
    <row r="16251" spans="1:7">
      <c r="A16251" s="3"/>
      <c r="B16251" s="3"/>
      <c r="C16251" s="3"/>
      <c r="D16251" s="3"/>
      <c r="E16251" s="3">
        <v>8</v>
      </c>
      <c r="F16251" s="4" t="str">
        <f>HYPERLINK("http://141.218.60.56/~jnz1568/getInfo.php?workbook=10_05.xlsx&amp;sheet=U0&amp;row=16251&amp;col=6&amp;number=3.7&amp;sourceID=14","3.7")</f>
        <v>3.7</v>
      </c>
      <c r="G16251" s="4" t="str">
        <f>HYPERLINK("http://141.218.60.56/~jnz1568/getInfo.php?workbook=10_05.xlsx&amp;sheet=U0&amp;row=16251&amp;col=7&amp;number=0.135&amp;sourceID=14","0.135")</f>
        <v>0.135</v>
      </c>
    </row>
    <row r="16252" spans="1:7">
      <c r="A16252" s="3"/>
      <c r="B16252" s="3"/>
      <c r="C16252" s="3"/>
      <c r="D16252" s="3"/>
      <c r="E16252" s="3">
        <v>9</v>
      </c>
      <c r="F16252" s="4" t="str">
        <f>HYPERLINK("http://141.218.60.56/~jnz1568/getInfo.php?workbook=10_05.xlsx&amp;sheet=U0&amp;row=16252&amp;col=6&amp;number=3.8&amp;sourceID=14","3.8")</f>
        <v>3.8</v>
      </c>
      <c r="G16252" s="4" t="str">
        <f>HYPERLINK("http://141.218.60.56/~jnz1568/getInfo.php?workbook=10_05.xlsx&amp;sheet=U0&amp;row=16252&amp;col=7&amp;number=0.132&amp;sourceID=14","0.132")</f>
        <v>0.132</v>
      </c>
    </row>
    <row r="16253" spans="1:7">
      <c r="A16253" s="3"/>
      <c r="B16253" s="3"/>
      <c r="C16253" s="3"/>
      <c r="D16253" s="3"/>
      <c r="E16253" s="3">
        <v>10</v>
      </c>
      <c r="F16253" s="4" t="str">
        <f>HYPERLINK("http://141.218.60.56/~jnz1568/getInfo.php?workbook=10_05.xlsx&amp;sheet=U0&amp;row=16253&amp;col=6&amp;number=3.9&amp;sourceID=14","3.9")</f>
        <v>3.9</v>
      </c>
      <c r="G16253" s="4" t="str">
        <f>HYPERLINK("http://141.218.60.56/~jnz1568/getInfo.php?workbook=10_05.xlsx&amp;sheet=U0&amp;row=16253&amp;col=7&amp;number=0.129&amp;sourceID=14","0.129")</f>
        <v>0.129</v>
      </c>
    </row>
    <row r="16254" spans="1:7">
      <c r="A16254" s="3"/>
      <c r="B16254" s="3"/>
      <c r="C16254" s="3"/>
      <c r="D16254" s="3"/>
      <c r="E16254" s="3">
        <v>11</v>
      </c>
      <c r="F16254" s="4" t="str">
        <f>HYPERLINK("http://141.218.60.56/~jnz1568/getInfo.php?workbook=10_05.xlsx&amp;sheet=U0&amp;row=16254&amp;col=6&amp;number=4&amp;sourceID=14","4")</f>
        <v>4</v>
      </c>
      <c r="G16254" s="4" t="str">
        <f>HYPERLINK("http://141.218.60.56/~jnz1568/getInfo.php?workbook=10_05.xlsx&amp;sheet=U0&amp;row=16254&amp;col=7&amp;number=0.125&amp;sourceID=14","0.125")</f>
        <v>0.125</v>
      </c>
    </row>
    <row r="16255" spans="1:7">
      <c r="A16255" s="3"/>
      <c r="B16255" s="3"/>
      <c r="C16255" s="3"/>
      <c r="D16255" s="3"/>
      <c r="E16255" s="3">
        <v>12</v>
      </c>
      <c r="F16255" s="4" t="str">
        <f>HYPERLINK("http://141.218.60.56/~jnz1568/getInfo.php?workbook=10_05.xlsx&amp;sheet=U0&amp;row=16255&amp;col=6&amp;number=4.1&amp;sourceID=14","4.1")</f>
        <v>4.1</v>
      </c>
      <c r="G16255" s="4" t="str">
        <f>HYPERLINK("http://141.218.60.56/~jnz1568/getInfo.php?workbook=10_05.xlsx&amp;sheet=U0&amp;row=16255&amp;col=7&amp;number=0.12&amp;sourceID=14","0.12")</f>
        <v>0.12</v>
      </c>
    </row>
    <row r="16256" spans="1:7">
      <c r="A16256" s="3"/>
      <c r="B16256" s="3"/>
      <c r="C16256" s="3"/>
      <c r="D16256" s="3"/>
      <c r="E16256" s="3">
        <v>13</v>
      </c>
      <c r="F16256" s="4" t="str">
        <f>HYPERLINK("http://141.218.60.56/~jnz1568/getInfo.php?workbook=10_05.xlsx&amp;sheet=U0&amp;row=16256&amp;col=6&amp;number=4.2&amp;sourceID=14","4.2")</f>
        <v>4.2</v>
      </c>
      <c r="G16256" s="4" t="str">
        <f>HYPERLINK("http://141.218.60.56/~jnz1568/getInfo.php?workbook=10_05.xlsx&amp;sheet=U0&amp;row=16256&amp;col=7&amp;number=0.114&amp;sourceID=14","0.114")</f>
        <v>0.114</v>
      </c>
    </row>
    <row r="16257" spans="1:7">
      <c r="A16257" s="3"/>
      <c r="B16257" s="3"/>
      <c r="C16257" s="3"/>
      <c r="D16257" s="3"/>
      <c r="E16257" s="3">
        <v>14</v>
      </c>
      <c r="F16257" s="4" t="str">
        <f>HYPERLINK("http://141.218.60.56/~jnz1568/getInfo.php?workbook=10_05.xlsx&amp;sheet=U0&amp;row=16257&amp;col=6&amp;number=4.3&amp;sourceID=14","4.3")</f>
        <v>4.3</v>
      </c>
      <c r="G16257" s="4" t="str">
        <f>HYPERLINK("http://141.218.60.56/~jnz1568/getInfo.php?workbook=10_05.xlsx&amp;sheet=U0&amp;row=16257&amp;col=7&amp;number=0.109&amp;sourceID=14","0.109")</f>
        <v>0.109</v>
      </c>
    </row>
    <row r="16258" spans="1:7">
      <c r="A16258" s="3"/>
      <c r="B16258" s="3"/>
      <c r="C16258" s="3"/>
      <c r="D16258" s="3"/>
      <c r="E16258" s="3">
        <v>15</v>
      </c>
      <c r="F16258" s="4" t="str">
        <f>HYPERLINK("http://141.218.60.56/~jnz1568/getInfo.php?workbook=10_05.xlsx&amp;sheet=U0&amp;row=16258&amp;col=6&amp;number=4.4&amp;sourceID=14","4.4")</f>
        <v>4.4</v>
      </c>
      <c r="G16258" s="4" t="str">
        <f>HYPERLINK("http://141.218.60.56/~jnz1568/getInfo.php?workbook=10_05.xlsx&amp;sheet=U0&amp;row=16258&amp;col=7&amp;number=0.103&amp;sourceID=14","0.103")</f>
        <v>0.103</v>
      </c>
    </row>
    <row r="16259" spans="1:7">
      <c r="A16259" s="3"/>
      <c r="B16259" s="3"/>
      <c r="C16259" s="3"/>
      <c r="D16259" s="3"/>
      <c r="E16259" s="3">
        <v>16</v>
      </c>
      <c r="F16259" s="4" t="str">
        <f>HYPERLINK("http://141.218.60.56/~jnz1568/getInfo.php?workbook=10_05.xlsx&amp;sheet=U0&amp;row=16259&amp;col=6&amp;number=4.5&amp;sourceID=14","4.5")</f>
        <v>4.5</v>
      </c>
      <c r="G16259" s="4" t="str">
        <f>HYPERLINK("http://141.218.60.56/~jnz1568/getInfo.php?workbook=10_05.xlsx&amp;sheet=U0&amp;row=16259&amp;col=7&amp;number=0.0984&amp;sourceID=14","0.0984")</f>
        <v>0.0984</v>
      </c>
    </row>
    <row r="16260" spans="1:7">
      <c r="A16260" s="3"/>
      <c r="B16260" s="3"/>
      <c r="C16260" s="3"/>
      <c r="D16260" s="3"/>
      <c r="E16260" s="3">
        <v>17</v>
      </c>
      <c r="F16260" s="4" t="str">
        <f>HYPERLINK("http://141.218.60.56/~jnz1568/getInfo.php?workbook=10_05.xlsx&amp;sheet=U0&amp;row=16260&amp;col=6&amp;number=4.6&amp;sourceID=14","4.6")</f>
        <v>4.6</v>
      </c>
      <c r="G16260" s="4" t="str">
        <f>HYPERLINK("http://141.218.60.56/~jnz1568/getInfo.php?workbook=10_05.xlsx&amp;sheet=U0&amp;row=16260&amp;col=7&amp;number=0.0945&amp;sourceID=14","0.0945")</f>
        <v>0.0945</v>
      </c>
    </row>
    <row r="16261" spans="1:7">
      <c r="A16261" s="3"/>
      <c r="B16261" s="3"/>
      <c r="C16261" s="3"/>
      <c r="D16261" s="3"/>
      <c r="E16261" s="3">
        <v>18</v>
      </c>
      <c r="F16261" s="4" t="str">
        <f>HYPERLINK("http://141.218.60.56/~jnz1568/getInfo.php?workbook=10_05.xlsx&amp;sheet=U0&amp;row=16261&amp;col=6&amp;number=4.7&amp;sourceID=14","4.7")</f>
        <v>4.7</v>
      </c>
      <c r="G16261" s="4" t="str">
        <f>HYPERLINK("http://141.218.60.56/~jnz1568/getInfo.php?workbook=10_05.xlsx&amp;sheet=U0&amp;row=16261&amp;col=7&amp;number=0.0911&amp;sourceID=14","0.0911")</f>
        <v>0.0911</v>
      </c>
    </row>
    <row r="16262" spans="1:7">
      <c r="A16262" s="3"/>
      <c r="B16262" s="3"/>
      <c r="C16262" s="3"/>
      <c r="D16262" s="3"/>
      <c r="E16262" s="3">
        <v>19</v>
      </c>
      <c r="F16262" s="4" t="str">
        <f>HYPERLINK("http://141.218.60.56/~jnz1568/getInfo.php?workbook=10_05.xlsx&amp;sheet=U0&amp;row=16262&amp;col=6&amp;number=4.8&amp;sourceID=14","4.8")</f>
        <v>4.8</v>
      </c>
      <c r="G16262" s="4" t="str">
        <f>HYPERLINK("http://141.218.60.56/~jnz1568/getInfo.php?workbook=10_05.xlsx&amp;sheet=U0&amp;row=16262&amp;col=7&amp;number=0.0877&amp;sourceID=14","0.0877")</f>
        <v>0.0877</v>
      </c>
    </row>
    <row r="16263" spans="1:7">
      <c r="A16263" s="3"/>
      <c r="B16263" s="3"/>
      <c r="C16263" s="3"/>
      <c r="D16263" s="3"/>
      <c r="E16263" s="3">
        <v>20</v>
      </c>
      <c r="F16263" s="4" t="str">
        <f>HYPERLINK("http://141.218.60.56/~jnz1568/getInfo.php?workbook=10_05.xlsx&amp;sheet=U0&amp;row=16263&amp;col=6&amp;number=4.9&amp;sourceID=14","4.9")</f>
        <v>4.9</v>
      </c>
      <c r="G16263" s="4" t="str">
        <f>HYPERLINK("http://141.218.60.56/~jnz1568/getInfo.php?workbook=10_05.xlsx&amp;sheet=U0&amp;row=16263&amp;col=7&amp;number=0.0847&amp;sourceID=14","0.0847")</f>
        <v>0.0847</v>
      </c>
    </row>
    <row r="16264" spans="1:7">
      <c r="A16264" s="3">
        <v>10</v>
      </c>
      <c r="B16264" s="3">
        <v>5</v>
      </c>
      <c r="C16264" s="3">
        <v>5</v>
      </c>
      <c r="D16264" s="3">
        <v>109</v>
      </c>
      <c r="E16264" s="3">
        <v>1</v>
      </c>
      <c r="F16264" s="4" t="str">
        <f>HYPERLINK("http://141.218.60.56/~jnz1568/getInfo.php?workbook=10_05.xlsx&amp;sheet=U0&amp;row=16264&amp;col=6&amp;number=3&amp;sourceID=14","3")</f>
        <v>3</v>
      </c>
      <c r="G16264" s="4" t="str">
        <f>HYPERLINK("http://141.218.60.56/~jnz1568/getInfo.php?workbook=10_05.xlsx&amp;sheet=U0&amp;row=16264&amp;col=7&amp;number=0.0333&amp;sourceID=14","0.0333")</f>
        <v>0.0333</v>
      </c>
    </row>
    <row r="16265" spans="1:7">
      <c r="A16265" s="3"/>
      <c r="B16265" s="3"/>
      <c r="C16265" s="3"/>
      <c r="D16265" s="3"/>
      <c r="E16265" s="3">
        <v>2</v>
      </c>
      <c r="F16265" s="4" t="str">
        <f>HYPERLINK("http://141.218.60.56/~jnz1568/getInfo.php?workbook=10_05.xlsx&amp;sheet=U0&amp;row=16265&amp;col=6&amp;number=3.1&amp;sourceID=14","3.1")</f>
        <v>3.1</v>
      </c>
      <c r="G16265" s="4" t="str">
        <f>HYPERLINK("http://141.218.60.56/~jnz1568/getInfo.php?workbook=10_05.xlsx&amp;sheet=U0&amp;row=16265&amp;col=7&amp;number=0.0332&amp;sourceID=14","0.0332")</f>
        <v>0.0332</v>
      </c>
    </row>
    <row r="16266" spans="1:7">
      <c r="A16266" s="3"/>
      <c r="B16266" s="3"/>
      <c r="C16266" s="3"/>
      <c r="D16266" s="3"/>
      <c r="E16266" s="3">
        <v>3</v>
      </c>
      <c r="F16266" s="4" t="str">
        <f>HYPERLINK("http://141.218.60.56/~jnz1568/getInfo.php?workbook=10_05.xlsx&amp;sheet=U0&amp;row=16266&amp;col=6&amp;number=3.2&amp;sourceID=14","3.2")</f>
        <v>3.2</v>
      </c>
      <c r="G16266" s="4" t="str">
        <f>HYPERLINK("http://141.218.60.56/~jnz1568/getInfo.php?workbook=10_05.xlsx&amp;sheet=U0&amp;row=16266&amp;col=7&amp;number=0.033&amp;sourceID=14","0.033")</f>
        <v>0.033</v>
      </c>
    </row>
    <row r="16267" spans="1:7">
      <c r="A16267" s="3"/>
      <c r="B16267" s="3"/>
      <c r="C16267" s="3"/>
      <c r="D16267" s="3"/>
      <c r="E16267" s="3">
        <v>4</v>
      </c>
      <c r="F16267" s="4" t="str">
        <f>HYPERLINK("http://141.218.60.56/~jnz1568/getInfo.php?workbook=10_05.xlsx&amp;sheet=U0&amp;row=16267&amp;col=6&amp;number=3.3&amp;sourceID=14","3.3")</f>
        <v>3.3</v>
      </c>
      <c r="G16267" s="4" t="str">
        <f>HYPERLINK("http://141.218.60.56/~jnz1568/getInfo.php?workbook=10_05.xlsx&amp;sheet=U0&amp;row=16267&amp;col=7&amp;number=0.0328&amp;sourceID=14","0.0328")</f>
        <v>0.0328</v>
      </c>
    </row>
    <row r="16268" spans="1:7">
      <c r="A16268" s="3"/>
      <c r="B16268" s="3"/>
      <c r="C16268" s="3"/>
      <c r="D16268" s="3"/>
      <c r="E16268" s="3">
        <v>5</v>
      </c>
      <c r="F16268" s="4" t="str">
        <f>HYPERLINK("http://141.218.60.56/~jnz1568/getInfo.php?workbook=10_05.xlsx&amp;sheet=U0&amp;row=16268&amp;col=6&amp;number=3.4&amp;sourceID=14","3.4")</f>
        <v>3.4</v>
      </c>
      <c r="G16268" s="4" t="str">
        <f>HYPERLINK("http://141.218.60.56/~jnz1568/getInfo.php?workbook=10_05.xlsx&amp;sheet=U0&amp;row=16268&amp;col=7&amp;number=0.0326&amp;sourceID=14","0.0326")</f>
        <v>0.0326</v>
      </c>
    </row>
    <row r="16269" spans="1:7">
      <c r="A16269" s="3"/>
      <c r="B16269" s="3"/>
      <c r="C16269" s="3"/>
      <c r="D16269" s="3"/>
      <c r="E16269" s="3">
        <v>6</v>
      </c>
      <c r="F16269" s="4" t="str">
        <f>HYPERLINK("http://141.218.60.56/~jnz1568/getInfo.php?workbook=10_05.xlsx&amp;sheet=U0&amp;row=16269&amp;col=6&amp;number=3.5&amp;sourceID=14","3.5")</f>
        <v>3.5</v>
      </c>
      <c r="G16269" s="4" t="str">
        <f>HYPERLINK("http://141.218.60.56/~jnz1568/getInfo.php?workbook=10_05.xlsx&amp;sheet=U0&amp;row=16269&amp;col=7&amp;number=0.0323&amp;sourceID=14","0.0323")</f>
        <v>0.0323</v>
      </c>
    </row>
    <row r="16270" spans="1:7">
      <c r="A16270" s="3"/>
      <c r="B16270" s="3"/>
      <c r="C16270" s="3"/>
      <c r="D16270" s="3"/>
      <c r="E16270" s="3">
        <v>7</v>
      </c>
      <c r="F16270" s="4" t="str">
        <f>HYPERLINK("http://141.218.60.56/~jnz1568/getInfo.php?workbook=10_05.xlsx&amp;sheet=U0&amp;row=16270&amp;col=6&amp;number=3.6&amp;sourceID=14","3.6")</f>
        <v>3.6</v>
      </c>
      <c r="G16270" s="4" t="str">
        <f>HYPERLINK("http://141.218.60.56/~jnz1568/getInfo.php?workbook=10_05.xlsx&amp;sheet=U0&amp;row=16270&amp;col=7&amp;number=0.0319&amp;sourceID=14","0.0319")</f>
        <v>0.0319</v>
      </c>
    </row>
    <row r="16271" spans="1:7">
      <c r="A16271" s="3"/>
      <c r="B16271" s="3"/>
      <c r="C16271" s="3"/>
      <c r="D16271" s="3"/>
      <c r="E16271" s="3">
        <v>8</v>
      </c>
      <c r="F16271" s="4" t="str">
        <f>HYPERLINK("http://141.218.60.56/~jnz1568/getInfo.php?workbook=10_05.xlsx&amp;sheet=U0&amp;row=16271&amp;col=6&amp;number=3.7&amp;sourceID=14","3.7")</f>
        <v>3.7</v>
      </c>
      <c r="G16271" s="4" t="str">
        <f>HYPERLINK("http://141.218.60.56/~jnz1568/getInfo.php?workbook=10_05.xlsx&amp;sheet=U0&amp;row=16271&amp;col=7&amp;number=0.0314&amp;sourceID=14","0.0314")</f>
        <v>0.0314</v>
      </c>
    </row>
    <row r="16272" spans="1:7">
      <c r="A16272" s="3"/>
      <c r="B16272" s="3"/>
      <c r="C16272" s="3"/>
      <c r="D16272" s="3"/>
      <c r="E16272" s="3">
        <v>9</v>
      </c>
      <c r="F16272" s="4" t="str">
        <f>HYPERLINK("http://141.218.60.56/~jnz1568/getInfo.php?workbook=10_05.xlsx&amp;sheet=U0&amp;row=16272&amp;col=6&amp;number=3.8&amp;sourceID=14","3.8")</f>
        <v>3.8</v>
      </c>
      <c r="G16272" s="4" t="str">
        <f>HYPERLINK("http://141.218.60.56/~jnz1568/getInfo.php?workbook=10_05.xlsx&amp;sheet=U0&amp;row=16272&amp;col=7&amp;number=0.0308&amp;sourceID=14","0.0308")</f>
        <v>0.0308</v>
      </c>
    </row>
    <row r="16273" spans="1:7">
      <c r="A16273" s="3"/>
      <c r="B16273" s="3"/>
      <c r="C16273" s="3"/>
      <c r="D16273" s="3"/>
      <c r="E16273" s="3">
        <v>10</v>
      </c>
      <c r="F16273" s="4" t="str">
        <f>HYPERLINK("http://141.218.60.56/~jnz1568/getInfo.php?workbook=10_05.xlsx&amp;sheet=U0&amp;row=16273&amp;col=6&amp;number=3.9&amp;sourceID=14","3.9")</f>
        <v>3.9</v>
      </c>
      <c r="G16273" s="4" t="str">
        <f>HYPERLINK("http://141.218.60.56/~jnz1568/getInfo.php?workbook=10_05.xlsx&amp;sheet=U0&amp;row=16273&amp;col=7&amp;number=0.03&amp;sourceID=14","0.03")</f>
        <v>0.03</v>
      </c>
    </row>
    <row r="16274" spans="1:7">
      <c r="A16274" s="3"/>
      <c r="B16274" s="3"/>
      <c r="C16274" s="3"/>
      <c r="D16274" s="3"/>
      <c r="E16274" s="3">
        <v>11</v>
      </c>
      <c r="F16274" s="4" t="str">
        <f>HYPERLINK("http://141.218.60.56/~jnz1568/getInfo.php?workbook=10_05.xlsx&amp;sheet=U0&amp;row=16274&amp;col=6&amp;number=4&amp;sourceID=14","4")</f>
        <v>4</v>
      </c>
      <c r="G16274" s="4" t="str">
        <f>HYPERLINK("http://141.218.60.56/~jnz1568/getInfo.php?workbook=10_05.xlsx&amp;sheet=U0&amp;row=16274&amp;col=7&amp;number=0.0291&amp;sourceID=14","0.0291")</f>
        <v>0.0291</v>
      </c>
    </row>
    <row r="16275" spans="1:7">
      <c r="A16275" s="3"/>
      <c r="B16275" s="3"/>
      <c r="C16275" s="3"/>
      <c r="D16275" s="3"/>
      <c r="E16275" s="3">
        <v>12</v>
      </c>
      <c r="F16275" s="4" t="str">
        <f>HYPERLINK("http://141.218.60.56/~jnz1568/getInfo.php?workbook=10_05.xlsx&amp;sheet=U0&amp;row=16275&amp;col=6&amp;number=4.1&amp;sourceID=14","4.1")</f>
        <v>4.1</v>
      </c>
      <c r="G16275" s="4" t="str">
        <f>HYPERLINK("http://141.218.60.56/~jnz1568/getInfo.php?workbook=10_05.xlsx&amp;sheet=U0&amp;row=16275&amp;col=7&amp;number=0.0281&amp;sourceID=14","0.0281")</f>
        <v>0.0281</v>
      </c>
    </row>
    <row r="16276" spans="1:7">
      <c r="A16276" s="3"/>
      <c r="B16276" s="3"/>
      <c r="C16276" s="3"/>
      <c r="D16276" s="3"/>
      <c r="E16276" s="3">
        <v>13</v>
      </c>
      <c r="F16276" s="4" t="str">
        <f>HYPERLINK("http://141.218.60.56/~jnz1568/getInfo.php?workbook=10_05.xlsx&amp;sheet=U0&amp;row=16276&amp;col=6&amp;number=4.2&amp;sourceID=14","4.2")</f>
        <v>4.2</v>
      </c>
      <c r="G16276" s="4" t="str">
        <f>HYPERLINK("http://141.218.60.56/~jnz1568/getInfo.php?workbook=10_05.xlsx&amp;sheet=U0&amp;row=16276&amp;col=7&amp;number=0.0268&amp;sourceID=14","0.0268")</f>
        <v>0.0268</v>
      </c>
    </row>
    <row r="16277" spans="1:7">
      <c r="A16277" s="3"/>
      <c r="B16277" s="3"/>
      <c r="C16277" s="3"/>
      <c r="D16277" s="3"/>
      <c r="E16277" s="3">
        <v>14</v>
      </c>
      <c r="F16277" s="4" t="str">
        <f>HYPERLINK("http://141.218.60.56/~jnz1568/getInfo.php?workbook=10_05.xlsx&amp;sheet=U0&amp;row=16277&amp;col=6&amp;number=4.3&amp;sourceID=14","4.3")</f>
        <v>4.3</v>
      </c>
      <c r="G16277" s="4" t="str">
        <f>HYPERLINK("http://141.218.60.56/~jnz1568/getInfo.php?workbook=10_05.xlsx&amp;sheet=U0&amp;row=16277&amp;col=7&amp;number=0.0255&amp;sourceID=14","0.0255")</f>
        <v>0.0255</v>
      </c>
    </row>
    <row r="16278" spans="1:7">
      <c r="A16278" s="3"/>
      <c r="B16278" s="3"/>
      <c r="C16278" s="3"/>
      <c r="D16278" s="3"/>
      <c r="E16278" s="3">
        <v>15</v>
      </c>
      <c r="F16278" s="4" t="str">
        <f>HYPERLINK("http://141.218.60.56/~jnz1568/getInfo.php?workbook=10_05.xlsx&amp;sheet=U0&amp;row=16278&amp;col=6&amp;number=4.4&amp;sourceID=14","4.4")</f>
        <v>4.4</v>
      </c>
      <c r="G16278" s="4" t="str">
        <f>HYPERLINK("http://141.218.60.56/~jnz1568/getInfo.php?workbook=10_05.xlsx&amp;sheet=U0&amp;row=16278&amp;col=7&amp;number=0.024&amp;sourceID=14","0.024")</f>
        <v>0.024</v>
      </c>
    </row>
    <row r="16279" spans="1:7">
      <c r="A16279" s="3"/>
      <c r="B16279" s="3"/>
      <c r="C16279" s="3"/>
      <c r="D16279" s="3"/>
      <c r="E16279" s="3">
        <v>16</v>
      </c>
      <c r="F16279" s="4" t="str">
        <f>HYPERLINK("http://141.218.60.56/~jnz1568/getInfo.php?workbook=10_05.xlsx&amp;sheet=U0&amp;row=16279&amp;col=6&amp;number=4.5&amp;sourceID=14","4.5")</f>
        <v>4.5</v>
      </c>
      <c r="G16279" s="4" t="str">
        <f>HYPERLINK("http://141.218.60.56/~jnz1568/getInfo.php?workbook=10_05.xlsx&amp;sheet=U0&amp;row=16279&amp;col=7&amp;number=0.0226&amp;sourceID=14","0.0226")</f>
        <v>0.0226</v>
      </c>
    </row>
    <row r="16280" spans="1:7">
      <c r="A16280" s="3"/>
      <c r="B16280" s="3"/>
      <c r="C16280" s="3"/>
      <c r="D16280" s="3"/>
      <c r="E16280" s="3">
        <v>17</v>
      </c>
      <c r="F16280" s="4" t="str">
        <f>HYPERLINK("http://141.218.60.56/~jnz1568/getInfo.php?workbook=10_05.xlsx&amp;sheet=U0&amp;row=16280&amp;col=6&amp;number=4.6&amp;sourceID=14","4.6")</f>
        <v>4.6</v>
      </c>
      <c r="G16280" s="4" t="str">
        <f>HYPERLINK("http://141.218.60.56/~jnz1568/getInfo.php?workbook=10_05.xlsx&amp;sheet=U0&amp;row=16280&amp;col=7&amp;number=0.0212&amp;sourceID=14","0.0212")</f>
        <v>0.0212</v>
      </c>
    </row>
    <row r="16281" spans="1:7">
      <c r="A16281" s="3"/>
      <c r="B16281" s="3"/>
      <c r="C16281" s="3"/>
      <c r="D16281" s="3"/>
      <c r="E16281" s="3">
        <v>18</v>
      </c>
      <c r="F16281" s="4" t="str">
        <f>HYPERLINK("http://141.218.60.56/~jnz1568/getInfo.php?workbook=10_05.xlsx&amp;sheet=U0&amp;row=16281&amp;col=6&amp;number=4.7&amp;sourceID=14","4.7")</f>
        <v>4.7</v>
      </c>
      <c r="G16281" s="4" t="str">
        <f>HYPERLINK("http://141.218.60.56/~jnz1568/getInfo.php?workbook=10_05.xlsx&amp;sheet=U0&amp;row=16281&amp;col=7&amp;number=0.0199&amp;sourceID=14","0.0199")</f>
        <v>0.0199</v>
      </c>
    </row>
    <row r="16282" spans="1:7">
      <c r="A16282" s="3"/>
      <c r="B16282" s="3"/>
      <c r="C16282" s="3"/>
      <c r="D16282" s="3"/>
      <c r="E16282" s="3">
        <v>19</v>
      </c>
      <c r="F16282" s="4" t="str">
        <f>HYPERLINK("http://141.218.60.56/~jnz1568/getInfo.php?workbook=10_05.xlsx&amp;sheet=U0&amp;row=16282&amp;col=6&amp;number=4.8&amp;sourceID=14","4.8")</f>
        <v>4.8</v>
      </c>
      <c r="G16282" s="4" t="str">
        <f>HYPERLINK("http://141.218.60.56/~jnz1568/getInfo.php?workbook=10_05.xlsx&amp;sheet=U0&amp;row=16282&amp;col=7&amp;number=0.0187&amp;sourceID=14","0.0187")</f>
        <v>0.0187</v>
      </c>
    </row>
    <row r="16283" spans="1:7">
      <c r="A16283" s="3"/>
      <c r="B16283" s="3"/>
      <c r="C16283" s="3"/>
      <c r="D16283" s="3"/>
      <c r="E16283" s="3">
        <v>20</v>
      </c>
      <c r="F16283" s="4" t="str">
        <f>HYPERLINK("http://141.218.60.56/~jnz1568/getInfo.php?workbook=10_05.xlsx&amp;sheet=U0&amp;row=16283&amp;col=6&amp;number=4.9&amp;sourceID=14","4.9")</f>
        <v>4.9</v>
      </c>
      <c r="G16283" s="4" t="str">
        <f>HYPERLINK("http://141.218.60.56/~jnz1568/getInfo.php?workbook=10_05.xlsx&amp;sheet=U0&amp;row=16283&amp;col=7&amp;number=0.0177&amp;sourceID=14","0.0177")</f>
        <v>0.0177</v>
      </c>
    </row>
    <row r="16284" spans="1:7">
      <c r="A16284" s="3">
        <v>10</v>
      </c>
      <c r="B16284" s="3">
        <v>5</v>
      </c>
      <c r="C16284" s="3">
        <v>5</v>
      </c>
      <c r="D16284" s="3">
        <v>110</v>
      </c>
      <c r="E16284" s="3">
        <v>1</v>
      </c>
      <c r="F16284" s="4" t="str">
        <f>HYPERLINK("http://141.218.60.56/~jnz1568/getInfo.php?workbook=10_05.xlsx&amp;sheet=U0&amp;row=16284&amp;col=6&amp;number=3&amp;sourceID=14","3")</f>
        <v>3</v>
      </c>
      <c r="G16284" s="4" t="str">
        <f>HYPERLINK("http://141.218.60.56/~jnz1568/getInfo.php?workbook=10_05.xlsx&amp;sheet=U0&amp;row=16284&amp;col=7&amp;number=0.0217&amp;sourceID=14","0.0217")</f>
        <v>0.0217</v>
      </c>
    </row>
    <row r="16285" spans="1:7">
      <c r="A16285" s="3"/>
      <c r="B16285" s="3"/>
      <c r="C16285" s="3"/>
      <c r="D16285" s="3"/>
      <c r="E16285" s="3">
        <v>2</v>
      </c>
      <c r="F16285" s="4" t="str">
        <f>HYPERLINK("http://141.218.60.56/~jnz1568/getInfo.php?workbook=10_05.xlsx&amp;sheet=U0&amp;row=16285&amp;col=6&amp;number=3.1&amp;sourceID=14","3.1")</f>
        <v>3.1</v>
      </c>
      <c r="G16285" s="4" t="str">
        <f>HYPERLINK("http://141.218.60.56/~jnz1568/getInfo.php?workbook=10_05.xlsx&amp;sheet=U0&amp;row=16285&amp;col=7&amp;number=0.0216&amp;sourceID=14","0.0216")</f>
        <v>0.0216</v>
      </c>
    </row>
    <row r="16286" spans="1:7">
      <c r="A16286" s="3"/>
      <c r="B16286" s="3"/>
      <c r="C16286" s="3"/>
      <c r="D16286" s="3"/>
      <c r="E16286" s="3">
        <v>3</v>
      </c>
      <c r="F16286" s="4" t="str">
        <f>HYPERLINK("http://141.218.60.56/~jnz1568/getInfo.php?workbook=10_05.xlsx&amp;sheet=U0&amp;row=16286&amp;col=6&amp;number=3.2&amp;sourceID=14","3.2")</f>
        <v>3.2</v>
      </c>
      <c r="G16286" s="4" t="str">
        <f>HYPERLINK("http://141.218.60.56/~jnz1568/getInfo.php?workbook=10_05.xlsx&amp;sheet=U0&amp;row=16286&amp;col=7&amp;number=0.0215&amp;sourceID=14","0.0215")</f>
        <v>0.0215</v>
      </c>
    </row>
    <row r="16287" spans="1:7">
      <c r="A16287" s="3"/>
      <c r="B16287" s="3"/>
      <c r="C16287" s="3"/>
      <c r="D16287" s="3"/>
      <c r="E16287" s="3">
        <v>4</v>
      </c>
      <c r="F16287" s="4" t="str">
        <f>HYPERLINK("http://141.218.60.56/~jnz1568/getInfo.php?workbook=10_05.xlsx&amp;sheet=U0&amp;row=16287&amp;col=6&amp;number=3.3&amp;sourceID=14","3.3")</f>
        <v>3.3</v>
      </c>
      <c r="G16287" s="4" t="str">
        <f>HYPERLINK("http://141.218.60.56/~jnz1568/getInfo.php?workbook=10_05.xlsx&amp;sheet=U0&amp;row=16287&amp;col=7&amp;number=0.0213&amp;sourceID=14","0.0213")</f>
        <v>0.0213</v>
      </c>
    </row>
    <row r="16288" spans="1:7">
      <c r="A16288" s="3"/>
      <c r="B16288" s="3"/>
      <c r="C16288" s="3"/>
      <c r="D16288" s="3"/>
      <c r="E16288" s="3">
        <v>5</v>
      </c>
      <c r="F16288" s="4" t="str">
        <f>HYPERLINK("http://141.218.60.56/~jnz1568/getInfo.php?workbook=10_05.xlsx&amp;sheet=U0&amp;row=16288&amp;col=6&amp;number=3.4&amp;sourceID=14","3.4")</f>
        <v>3.4</v>
      </c>
      <c r="G16288" s="4" t="str">
        <f>HYPERLINK("http://141.218.60.56/~jnz1568/getInfo.php?workbook=10_05.xlsx&amp;sheet=U0&amp;row=16288&amp;col=7&amp;number=0.0211&amp;sourceID=14","0.0211")</f>
        <v>0.0211</v>
      </c>
    </row>
    <row r="16289" spans="1:7">
      <c r="A16289" s="3"/>
      <c r="B16289" s="3"/>
      <c r="C16289" s="3"/>
      <c r="D16289" s="3"/>
      <c r="E16289" s="3">
        <v>6</v>
      </c>
      <c r="F16289" s="4" t="str">
        <f>HYPERLINK("http://141.218.60.56/~jnz1568/getInfo.php?workbook=10_05.xlsx&amp;sheet=U0&amp;row=16289&amp;col=6&amp;number=3.5&amp;sourceID=14","3.5")</f>
        <v>3.5</v>
      </c>
      <c r="G16289" s="4" t="str">
        <f>HYPERLINK("http://141.218.60.56/~jnz1568/getInfo.php?workbook=10_05.xlsx&amp;sheet=U0&amp;row=16289&amp;col=7&amp;number=0.0209&amp;sourceID=14","0.0209")</f>
        <v>0.0209</v>
      </c>
    </row>
    <row r="16290" spans="1:7">
      <c r="A16290" s="3"/>
      <c r="B16290" s="3"/>
      <c r="C16290" s="3"/>
      <c r="D16290" s="3"/>
      <c r="E16290" s="3">
        <v>7</v>
      </c>
      <c r="F16290" s="4" t="str">
        <f>HYPERLINK("http://141.218.60.56/~jnz1568/getInfo.php?workbook=10_05.xlsx&amp;sheet=U0&amp;row=16290&amp;col=6&amp;number=3.6&amp;sourceID=14","3.6")</f>
        <v>3.6</v>
      </c>
      <c r="G16290" s="4" t="str">
        <f>HYPERLINK("http://141.218.60.56/~jnz1568/getInfo.php?workbook=10_05.xlsx&amp;sheet=U0&amp;row=16290&amp;col=7&amp;number=0.0206&amp;sourceID=14","0.0206")</f>
        <v>0.0206</v>
      </c>
    </row>
    <row r="16291" spans="1:7">
      <c r="A16291" s="3"/>
      <c r="B16291" s="3"/>
      <c r="C16291" s="3"/>
      <c r="D16291" s="3"/>
      <c r="E16291" s="3">
        <v>8</v>
      </c>
      <c r="F16291" s="4" t="str">
        <f>HYPERLINK("http://141.218.60.56/~jnz1568/getInfo.php?workbook=10_05.xlsx&amp;sheet=U0&amp;row=16291&amp;col=6&amp;number=3.7&amp;sourceID=14","3.7")</f>
        <v>3.7</v>
      </c>
      <c r="G16291" s="4" t="str">
        <f>HYPERLINK("http://141.218.60.56/~jnz1568/getInfo.php?workbook=10_05.xlsx&amp;sheet=U0&amp;row=16291&amp;col=7&amp;number=0.0202&amp;sourceID=14","0.0202")</f>
        <v>0.0202</v>
      </c>
    </row>
    <row r="16292" spans="1:7">
      <c r="A16292" s="3"/>
      <c r="B16292" s="3"/>
      <c r="C16292" s="3"/>
      <c r="D16292" s="3"/>
      <c r="E16292" s="3">
        <v>9</v>
      </c>
      <c r="F16292" s="4" t="str">
        <f>HYPERLINK("http://141.218.60.56/~jnz1568/getInfo.php?workbook=10_05.xlsx&amp;sheet=U0&amp;row=16292&amp;col=6&amp;number=3.8&amp;sourceID=14","3.8")</f>
        <v>3.8</v>
      </c>
      <c r="G16292" s="4" t="str">
        <f>HYPERLINK("http://141.218.60.56/~jnz1568/getInfo.php?workbook=10_05.xlsx&amp;sheet=U0&amp;row=16292&amp;col=7&amp;number=0.0197&amp;sourceID=14","0.0197")</f>
        <v>0.0197</v>
      </c>
    </row>
    <row r="16293" spans="1:7">
      <c r="A16293" s="3"/>
      <c r="B16293" s="3"/>
      <c r="C16293" s="3"/>
      <c r="D16293" s="3"/>
      <c r="E16293" s="3">
        <v>10</v>
      </c>
      <c r="F16293" s="4" t="str">
        <f>HYPERLINK("http://141.218.60.56/~jnz1568/getInfo.php?workbook=10_05.xlsx&amp;sheet=U0&amp;row=16293&amp;col=6&amp;number=3.9&amp;sourceID=14","3.9")</f>
        <v>3.9</v>
      </c>
      <c r="G16293" s="4" t="str">
        <f>HYPERLINK("http://141.218.60.56/~jnz1568/getInfo.php?workbook=10_05.xlsx&amp;sheet=U0&amp;row=16293&amp;col=7&amp;number=0.0191&amp;sourceID=14","0.0191")</f>
        <v>0.0191</v>
      </c>
    </row>
    <row r="16294" spans="1:7">
      <c r="A16294" s="3"/>
      <c r="B16294" s="3"/>
      <c r="C16294" s="3"/>
      <c r="D16294" s="3"/>
      <c r="E16294" s="3">
        <v>11</v>
      </c>
      <c r="F16294" s="4" t="str">
        <f>HYPERLINK("http://141.218.60.56/~jnz1568/getInfo.php?workbook=10_05.xlsx&amp;sheet=U0&amp;row=16294&amp;col=6&amp;number=4&amp;sourceID=14","4")</f>
        <v>4</v>
      </c>
      <c r="G16294" s="4" t="str">
        <f>HYPERLINK("http://141.218.60.56/~jnz1568/getInfo.php?workbook=10_05.xlsx&amp;sheet=U0&amp;row=16294&amp;col=7&amp;number=0.0184&amp;sourceID=14","0.0184")</f>
        <v>0.0184</v>
      </c>
    </row>
    <row r="16295" spans="1:7">
      <c r="A16295" s="3"/>
      <c r="B16295" s="3"/>
      <c r="C16295" s="3"/>
      <c r="D16295" s="3"/>
      <c r="E16295" s="3">
        <v>12</v>
      </c>
      <c r="F16295" s="4" t="str">
        <f>HYPERLINK("http://141.218.60.56/~jnz1568/getInfo.php?workbook=10_05.xlsx&amp;sheet=U0&amp;row=16295&amp;col=6&amp;number=4.1&amp;sourceID=14","4.1")</f>
        <v>4.1</v>
      </c>
      <c r="G16295" s="4" t="str">
        <f>HYPERLINK("http://141.218.60.56/~jnz1568/getInfo.php?workbook=10_05.xlsx&amp;sheet=U0&amp;row=16295&amp;col=7&amp;number=0.0176&amp;sourceID=14","0.0176")</f>
        <v>0.0176</v>
      </c>
    </row>
    <row r="16296" spans="1:7">
      <c r="A16296" s="3"/>
      <c r="B16296" s="3"/>
      <c r="C16296" s="3"/>
      <c r="D16296" s="3"/>
      <c r="E16296" s="3">
        <v>13</v>
      </c>
      <c r="F16296" s="4" t="str">
        <f>HYPERLINK("http://141.218.60.56/~jnz1568/getInfo.php?workbook=10_05.xlsx&amp;sheet=U0&amp;row=16296&amp;col=6&amp;number=4.2&amp;sourceID=14","4.2")</f>
        <v>4.2</v>
      </c>
      <c r="G16296" s="4" t="str">
        <f>HYPERLINK("http://141.218.60.56/~jnz1568/getInfo.php?workbook=10_05.xlsx&amp;sheet=U0&amp;row=16296&amp;col=7&amp;number=0.0165&amp;sourceID=14","0.0165")</f>
        <v>0.0165</v>
      </c>
    </row>
    <row r="16297" spans="1:7">
      <c r="A16297" s="3"/>
      <c r="B16297" s="3"/>
      <c r="C16297" s="3"/>
      <c r="D16297" s="3"/>
      <c r="E16297" s="3">
        <v>14</v>
      </c>
      <c r="F16297" s="4" t="str">
        <f>HYPERLINK("http://141.218.60.56/~jnz1568/getInfo.php?workbook=10_05.xlsx&amp;sheet=U0&amp;row=16297&amp;col=6&amp;number=4.3&amp;sourceID=14","4.3")</f>
        <v>4.3</v>
      </c>
      <c r="G16297" s="4" t="str">
        <f>HYPERLINK("http://141.218.60.56/~jnz1568/getInfo.php?workbook=10_05.xlsx&amp;sheet=U0&amp;row=16297&amp;col=7&amp;number=0.0154&amp;sourceID=14","0.0154")</f>
        <v>0.0154</v>
      </c>
    </row>
    <row r="16298" spans="1:7">
      <c r="A16298" s="3"/>
      <c r="B16298" s="3"/>
      <c r="C16298" s="3"/>
      <c r="D16298" s="3"/>
      <c r="E16298" s="3">
        <v>15</v>
      </c>
      <c r="F16298" s="4" t="str">
        <f>HYPERLINK("http://141.218.60.56/~jnz1568/getInfo.php?workbook=10_05.xlsx&amp;sheet=U0&amp;row=16298&amp;col=6&amp;number=4.4&amp;sourceID=14","4.4")</f>
        <v>4.4</v>
      </c>
      <c r="G16298" s="4" t="str">
        <f>HYPERLINK("http://141.218.60.56/~jnz1568/getInfo.php?workbook=10_05.xlsx&amp;sheet=U0&amp;row=16298&amp;col=7&amp;number=0.0141&amp;sourceID=14","0.0141")</f>
        <v>0.0141</v>
      </c>
    </row>
    <row r="16299" spans="1:7">
      <c r="A16299" s="3"/>
      <c r="B16299" s="3"/>
      <c r="C16299" s="3"/>
      <c r="D16299" s="3"/>
      <c r="E16299" s="3">
        <v>16</v>
      </c>
      <c r="F16299" s="4" t="str">
        <f>HYPERLINK("http://141.218.60.56/~jnz1568/getInfo.php?workbook=10_05.xlsx&amp;sheet=U0&amp;row=16299&amp;col=6&amp;number=4.5&amp;sourceID=14","4.5")</f>
        <v>4.5</v>
      </c>
      <c r="G16299" s="4" t="str">
        <f>HYPERLINK("http://141.218.60.56/~jnz1568/getInfo.php?workbook=10_05.xlsx&amp;sheet=U0&amp;row=16299&amp;col=7&amp;number=0.0127&amp;sourceID=14","0.0127")</f>
        <v>0.0127</v>
      </c>
    </row>
    <row r="16300" spans="1:7">
      <c r="A16300" s="3"/>
      <c r="B16300" s="3"/>
      <c r="C16300" s="3"/>
      <c r="D16300" s="3"/>
      <c r="E16300" s="3">
        <v>17</v>
      </c>
      <c r="F16300" s="4" t="str">
        <f>HYPERLINK("http://141.218.60.56/~jnz1568/getInfo.php?workbook=10_05.xlsx&amp;sheet=U0&amp;row=16300&amp;col=6&amp;number=4.6&amp;sourceID=14","4.6")</f>
        <v>4.6</v>
      </c>
      <c r="G16300" s="4" t="str">
        <f>HYPERLINK("http://141.218.60.56/~jnz1568/getInfo.php?workbook=10_05.xlsx&amp;sheet=U0&amp;row=16300&amp;col=7&amp;number=0.0112&amp;sourceID=14","0.0112")</f>
        <v>0.0112</v>
      </c>
    </row>
    <row r="16301" spans="1:7">
      <c r="A16301" s="3"/>
      <c r="B16301" s="3"/>
      <c r="C16301" s="3"/>
      <c r="D16301" s="3"/>
      <c r="E16301" s="3">
        <v>18</v>
      </c>
      <c r="F16301" s="4" t="str">
        <f>HYPERLINK("http://141.218.60.56/~jnz1568/getInfo.php?workbook=10_05.xlsx&amp;sheet=U0&amp;row=16301&amp;col=6&amp;number=4.7&amp;sourceID=14","4.7")</f>
        <v>4.7</v>
      </c>
      <c r="G16301" s="4" t="str">
        <f>HYPERLINK("http://141.218.60.56/~jnz1568/getInfo.php?workbook=10_05.xlsx&amp;sheet=U0&amp;row=16301&amp;col=7&amp;number=0.00984&amp;sourceID=14","0.00984")</f>
        <v>0.00984</v>
      </c>
    </row>
    <row r="16302" spans="1:7">
      <c r="A16302" s="3"/>
      <c r="B16302" s="3"/>
      <c r="C16302" s="3"/>
      <c r="D16302" s="3"/>
      <c r="E16302" s="3">
        <v>19</v>
      </c>
      <c r="F16302" s="4" t="str">
        <f>HYPERLINK("http://141.218.60.56/~jnz1568/getInfo.php?workbook=10_05.xlsx&amp;sheet=U0&amp;row=16302&amp;col=6&amp;number=4.8&amp;sourceID=14","4.8")</f>
        <v>4.8</v>
      </c>
      <c r="G16302" s="4" t="str">
        <f>HYPERLINK("http://141.218.60.56/~jnz1568/getInfo.php?workbook=10_05.xlsx&amp;sheet=U0&amp;row=16302&amp;col=7&amp;number=0.00864&amp;sourceID=14","0.00864")</f>
        <v>0.00864</v>
      </c>
    </row>
    <row r="16303" spans="1:7">
      <c r="A16303" s="3"/>
      <c r="B16303" s="3"/>
      <c r="C16303" s="3"/>
      <c r="D16303" s="3"/>
      <c r="E16303" s="3">
        <v>20</v>
      </c>
      <c r="F16303" s="4" t="str">
        <f>HYPERLINK("http://141.218.60.56/~jnz1568/getInfo.php?workbook=10_05.xlsx&amp;sheet=U0&amp;row=16303&amp;col=6&amp;number=4.9&amp;sourceID=14","4.9")</f>
        <v>4.9</v>
      </c>
      <c r="G16303" s="4" t="str">
        <f>HYPERLINK("http://141.218.60.56/~jnz1568/getInfo.php?workbook=10_05.xlsx&amp;sheet=U0&amp;row=16303&amp;col=7&amp;number=0.00762&amp;sourceID=14","0.00762")</f>
        <v>0.00762</v>
      </c>
    </row>
    <row r="16304" spans="1:7">
      <c r="A16304" s="3">
        <v>10</v>
      </c>
      <c r="B16304" s="3">
        <v>5</v>
      </c>
      <c r="C16304" s="3">
        <v>5</v>
      </c>
      <c r="D16304" s="3">
        <v>111</v>
      </c>
      <c r="E16304" s="3">
        <v>1</v>
      </c>
      <c r="F16304" s="4" t="str">
        <f>HYPERLINK("http://141.218.60.56/~jnz1568/getInfo.php?workbook=10_05.xlsx&amp;sheet=U0&amp;row=16304&amp;col=6&amp;number=3&amp;sourceID=14","3")</f>
        <v>3</v>
      </c>
      <c r="G16304" s="4" t="str">
        <f>HYPERLINK("http://141.218.60.56/~jnz1568/getInfo.php?workbook=10_05.xlsx&amp;sheet=U0&amp;row=16304&amp;col=7&amp;number=0.0215&amp;sourceID=14","0.0215")</f>
        <v>0.0215</v>
      </c>
    </row>
    <row r="16305" spans="1:7">
      <c r="A16305" s="3"/>
      <c r="B16305" s="3"/>
      <c r="C16305" s="3"/>
      <c r="D16305" s="3"/>
      <c r="E16305" s="3">
        <v>2</v>
      </c>
      <c r="F16305" s="4" t="str">
        <f>HYPERLINK("http://141.218.60.56/~jnz1568/getInfo.php?workbook=10_05.xlsx&amp;sheet=U0&amp;row=16305&amp;col=6&amp;number=3.1&amp;sourceID=14","3.1")</f>
        <v>3.1</v>
      </c>
      <c r="G16305" s="4" t="str">
        <f>HYPERLINK("http://141.218.60.56/~jnz1568/getInfo.php?workbook=10_05.xlsx&amp;sheet=U0&amp;row=16305&amp;col=7&amp;number=0.0214&amp;sourceID=14","0.0214")</f>
        <v>0.0214</v>
      </c>
    </row>
    <row r="16306" spans="1:7">
      <c r="A16306" s="3"/>
      <c r="B16306" s="3"/>
      <c r="C16306" s="3"/>
      <c r="D16306" s="3"/>
      <c r="E16306" s="3">
        <v>3</v>
      </c>
      <c r="F16306" s="4" t="str">
        <f>HYPERLINK("http://141.218.60.56/~jnz1568/getInfo.php?workbook=10_05.xlsx&amp;sheet=U0&amp;row=16306&amp;col=6&amp;number=3.2&amp;sourceID=14","3.2")</f>
        <v>3.2</v>
      </c>
      <c r="G16306" s="4" t="str">
        <f>HYPERLINK("http://141.218.60.56/~jnz1568/getInfo.php?workbook=10_05.xlsx&amp;sheet=U0&amp;row=16306&amp;col=7&amp;number=0.0213&amp;sourceID=14","0.0213")</f>
        <v>0.0213</v>
      </c>
    </row>
    <row r="16307" spans="1:7">
      <c r="A16307" s="3"/>
      <c r="B16307" s="3"/>
      <c r="C16307" s="3"/>
      <c r="D16307" s="3"/>
      <c r="E16307" s="3">
        <v>4</v>
      </c>
      <c r="F16307" s="4" t="str">
        <f>HYPERLINK("http://141.218.60.56/~jnz1568/getInfo.php?workbook=10_05.xlsx&amp;sheet=U0&amp;row=16307&amp;col=6&amp;number=3.3&amp;sourceID=14","3.3")</f>
        <v>3.3</v>
      </c>
      <c r="G16307" s="4" t="str">
        <f>HYPERLINK("http://141.218.60.56/~jnz1568/getInfo.php?workbook=10_05.xlsx&amp;sheet=U0&amp;row=16307&amp;col=7&amp;number=0.0211&amp;sourceID=14","0.0211")</f>
        <v>0.0211</v>
      </c>
    </row>
    <row r="16308" spans="1:7">
      <c r="A16308" s="3"/>
      <c r="B16308" s="3"/>
      <c r="C16308" s="3"/>
      <c r="D16308" s="3"/>
      <c r="E16308" s="3">
        <v>5</v>
      </c>
      <c r="F16308" s="4" t="str">
        <f>HYPERLINK("http://141.218.60.56/~jnz1568/getInfo.php?workbook=10_05.xlsx&amp;sheet=U0&amp;row=16308&amp;col=6&amp;number=3.4&amp;sourceID=14","3.4")</f>
        <v>3.4</v>
      </c>
      <c r="G16308" s="4" t="str">
        <f>HYPERLINK("http://141.218.60.56/~jnz1568/getInfo.php?workbook=10_05.xlsx&amp;sheet=U0&amp;row=16308&amp;col=7&amp;number=0.021&amp;sourceID=14","0.021")</f>
        <v>0.021</v>
      </c>
    </row>
    <row r="16309" spans="1:7">
      <c r="A16309" s="3"/>
      <c r="B16309" s="3"/>
      <c r="C16309" s="3"/>
      <c r="D16309" s="3"/>
      <c r="E16309" s="3">
        <v>6</v>
      </c>
      <c r="F16309" s="4" t="str">
        <f>HYPERLINK("http://141.218.60.56/~jnz1568/getInfo.php?workbook=10_05.xlsx&amp;sheet=U0&amp;row=16309&amp;col=6&amp;number=3.5&amp;sourceID=14","3.5")</f>
        <v>3.5</v>
      </c>
      <c r="G16309" s="4" t="str">
        <f>HYPERLINK("http://141.218.60.56/~jnz1568/getInfo.php?workbook=10_05.xlsx&amp;sheet=U0&amp;row=16309&amp;col=7&amp;number=0.0208&amp;sourceID=14","0.0208")</f>
        <v>0.0208</v>
      </c>
    </row>
    <row r="16310" spans="1:7">
      <c r="A16310" s="3"/>
      <c r="B16310" s="3"/>
      <c r="C16310" s="3"/>
      <c r="D16310" s="3"/>
      <c r="E16310" s="3">
        <v>7</v>
      </c>
      <c r="F16310" s="4" t="str">
        <f>HYPERLINK("http://141.218.60.56/~jnz1568/getInfo.php?workbook=10_05.xlsx&amp;sheet=U0&amp;row=16310&amp;col=6&amp;number=3.6&amp;sourceID=14","3.6")</f>
        <v>3.6</v>
      </c>
      <c r="G16310" s="4" t="str">
        <f>HYPERLINK("http://141.218.60.56/~jnz1568/getInfo.php?workbook=10_05.xlsx&amp;sheet=U0&amp;row=16310&amp;col=7&amp;number=0.0205&amp;sourceID=14","0.0205")</f>
        <v>0.0205</v>
      </c>
    </row>
    <row r="16311" spans="1:7">
      <c r="A16311" s="3"/>
      <c r="B16311" s="3"/>
      <c r="C16311" s="3"/>
      <c r="D16311" s="3"/>
      <c r="E16311" s="3">
        <v>8</v>
      </c>
      <c r="F16311" s="4" t="str">
        <f>HYPERLINK("http://141.218.60.56/~jnz1568/getInfo.php?workbook=10_05.xlsx&amp;sheet=U0&amp;row=16311&amp;col=6&amp;number=3.7&amp;sourceID=14","3.7")</f>
        <v>3.7</v>
      </c>
      <c r="G16311" s="4" t="str">
        <f>HYPERLINK("http://141.218.60.56/~jnz1568/getInfo.php?workbook=10_05.xlsx&amp;sheet=U0&amp;row=16311&amp;col=7&amp;number=0.0202&amp;sourceID=14","0.0202")</f>
        <v>0.0202</v>
      </c>
    </row>
    <row r="16312" spans="1:7">
      <c r="A16312" s="3"/>
      <c r="B16312" s="3"/>
      <c r="C16312" s="3"/>
      <c r="D16312" s="3"/>
      <c r="E16312" s="3">
        <v>9</v>
      </c>
      <c r="F16312" s="4" t="str">
        <f>HYPERLINK("http://141.218.60.56/~jnz1568/getInfo.php?workbook=10_05.xlsx&amp;sheet=U0&amp;row=16312&amp;col=6&amp;number=3.8&amp;sourceID=14","3.8")</f>
        <v>3.8</v>
      </c>
      <c r="G16312" s="4" t="str">
        <f>HYPERLINK("http://141.218.60.56/~jnz1568/getInfo.php?workbook=10_05.xlsx&amp;sheet=U0&amp;row=16312&amp;col=7&amp;number=0.0198&amp;sourceID=14","0.0198")</f>
        <v>0.0198</v>
      </c>
    </row>
    <row r="16313" spans="1:7">
      <c r="A16313" s="3"/>
      <c r="B16313" s="3"/>
      <c r="C16313" s="3"/>
      <c r="D16313" s="3"/>
      <c r="E16313" s="3">
        <v>10</v>
      </c>
      <c r="F16313" s="4" t="str">
        <f>HYPERLINK("http://141.218.60.56/~jnz1568/getInfo.php?workbook=10_05.xlsx&amp;sheet=U0&amp;row=16313&amp;col=6&amp;number=3.9&amp;sourceID=14","3.9")</f>
        <v>3.9</v>
      </c>
      <c r="G16313" s="4" t="str">
        <f>HYPERLINK("http://141.218.60.56/~jnz1568/getInfo.php?workbook=10_05.xlsx&amp;sheet=U0&amp;row=16313&amp;col=7&amp;number=0.0193&amp;sourceID=14","0.0193")</f>
        <v>0.0193</v>
      </c>
    </row>
    <row r="16314" spans="1:7">
      <c r="A16314" s="3"/>
      <c r="B16314" s="3"/>
      <c r="C16314" s="3"/>
      <c r="D16314" s="3"/>
      <c r="E16314" s="3">
        <v>11</v>
      </c>
      <c r="F16314" s="4" t="str">
        <f>HYPERLINK("http://141.218.60.56/~jnz1568/getInfo.php?workbook=10_05.xlsx&amp;sheet=U0&amp;row=16314&amp;col=6&amp;number=4&amp;sourceID=14","4")</f>
        <v>4</v>
      </c>
      <c r="G16314" s="4" t="str">
        <f>HYPERLINK("http://141.218.60.56/~jnz1568/getInfo.php?workbook=10_05.xlsx&amp;sheet=U0&amp;row=16314&amp;col=7&amp;number=0.0188&amp;sourceID=14","0.0188")</f>
        <v>0.0188</v>
      </c>
    </row>
    <row r="16315" spans="1:7">
      <c r="A16315" s="3"/>
      <c r="B16315" s="3"/>
      <c r="C16315" s="3"/>
      <c r="D16315" s="3"/>
      <c r="E16315" s="3">
        <v>12</v>
      </c>
      <c r="F16315" s="4" t="str">
        <f>HYPERLINK("http://141.218.60.56/~jnz1568/getInfo.php?workbook=10_05.xlsx&amp;sheet=U0&amp;row=16315&amp;col=6&amp;number=4.1&amp;sourceID=14","4.1")</f>
        <v>4.1</v>
      </c>
      <c r="G16315" s="4" t="str">
        <f>HYPERLINK("http://141.218.60.56/~jnz1568/getInfo.php?workbook=10_05.xlsx&amp;sheet=U0&amp;row=16315&amp;col=7&amp;number=0.0181&amp;sourceID=14","0.0181")</f>
        <v>0.0181</v>
      </c>
    </row>
    <row r="16316" spans="1:7">
      <c r="A16316" s="3"/>
      <c r="B16316" s="3"/>
      <c r="C16316" s="3"/>
      <c r="D16316" s="3"/>
      <c r="E16316" s="3">
        <v>13</v>
      </c>
      <c r="F16316" s="4" t="str">
        <f>HYPERLINK("http://141.218.60.56/~jnz1568/getInfo.php?workbook=10_05.xlsx&amp;sheet=U0&amp;row=16316&amp;col=6&amp;number=4.2&amp;sourceID=14","4.2")</f>
        <v>4.2</v>
      </c>
      <c r="G16316" s="4" t="str">
        <f>HYPERLINK("http://141.218.60.56/~jnz1568/getInfo.php?workbook=10_05.xlsx&amp;sheet=U0&amp;row=16316&amp;col=7&amp;number=0.0173&amp;sourceID=14","0.0173")</f>
        <v>0.0173</v>
      </c>
    </row>
    <row r="16317" spans="1:7">
      <c r="A16317" s="3"/>
      <c r="B16317" s="3"/>
      <c r="C16317" s="3"/>
      <c r="D16317" s="3"/>
      <c r="E16317" s="3">
        <v>14</v>
      </c>
      <c r="F16317" s="4" t="str">
        <f>HYPERLINK("http://141.218.60.56/~jnz1568/getInfo.php?workbook=10_05.xlsx&amp;sheet=U0&amp;row=16317&amp;col=6&amp;number=4.3&amp;sourceID=14","4.3")</f>
        <v>4.3</v>
      </c>
      <c r="G16317" s="4" t="str">
        <f>HYPERLINK("http://141.218.60.56/~jnz1568/getInfo.php?workbook=10_05.xlsx&amp;sheet=U0&amp;row=16317&amp;col=7&amp;number=0.0165&amp;sourceID=14","0.0165")</f>
        <v>0.0165</v>
      </c>
    </row>
    <row r="16318" spans="1:7">
      <c r="A16318" s="3"/>
      <c r="B16318" s="3"/>
      <c r="C16318" s="3"/>
      <c r="D16318" s="3"/>
      <c r="E16318" s="3">
        <v>15</v>
      </c>
      <c r="F16318" s="4" t="str">
        <f>HYPERLINK("http://141.218.60.56/~jnz1568/getInfo.php?workbook=10_05.xlsx&amp;sheet=U0&amp;row=16318&amp;col=6&amp;number=4.4&amp;sourceID=14","4.4")</f>
        <v>4.4</v>
      </c>
      <c r="G16318" s="4" t="str">
        <f>HYPERLINK("http://141.218.60.56/~jnz1568/getInfo.php?workbook=10_05.xlsx&amp;sheet=U0&amp;row=16318&amp;col=7&amp;number=0.0157&amp;sourceID=14","0.0157")</f>
        <v>0.0157</v>
      </c>
    </row>
    <row r="16319" spans="1:7">
      <c r="A16319" s="3"/>
      <c r="B16319" s="3"/>
      <c r="C16319" s="3"/>
      <c r="D16319" s="3"/>
      <c r="E16319" s="3">
        <v>16</v>
      </c>
      <c r="F16319" s="4" t="str">
        <f>HYPERLINK("http://141.218.60.56/~jnz1568/getInfo.php?workbook=10_05.xlsx&amp;sheet=U0&amp;row=16319&amp;col=6&amp;number=4.5&amp;sourceID=14","4.5")</f>
        <v>4.5</v>
      </c>
      <c r="G16319" s="4" t="str">
        <f>HYPERLINK("http://141.218.60.56/~jnz1568/getInfo.php?workbook=10_05.xlsx&amp;sheet=U0&amp;row=16319&amp;col=7&amp;number=0.015&amp;sourceID=14","0.015")</f>
        <v>0.015</v>
      </c>
    </row>
    <row r="16320" spans="1:7">
      <c r="A16320" s="3"/>
      <c r="B16320" s="3"/>
      <c r="C16320" s="3"/>
      <c r="D16320" s="3"/>
      <c r="E16320" s="3">
        <v>17</v>
      </c>
      <c r="F16320" s="4" t="str">
        <f>HYPERLINK("http://141.218.60.56/~jnz1568/getInfo.php?workbook=10_05.xlsx&amp;sheet=U0&amp;row=16320&amp;col=6&amp;number=4.6&amp;sourceID=14","4.6")</f>
        <v>4.6</v>
      </c>
      <c r="G16320" s="4" t="str">
        <f>HYPERLINK("http://141.218.60.56/~jnz1568/getInfo.php?workbook=10_05.xlsx&amp;sheet=U0&amp;row=16320&amp;col=7&amp;number=0.0143&amp;sourceID=14","0.0143")</f>
        <v>0.0143</v>
      </c>
    </row>
    <row r="16321" spans="1:7">
      <c r="A16321" s="3"/>
      <c r="B16321" s="3"/>
      <c r="C16321" s="3"/>
      <c r="D16321" s="3"/>
      <c r="E16321" s="3">
        <v>18</v>
      </c>
      <c r="F16321" s="4" t="str">
        <f>HYPERLINK("http://141.218.60.56/~jnz1568/getInfo.php?workbook=10_05.xlsx&amp;sheet=U0&amp;row=16321&amp;col=6&amp;number=4.7&amp;sourceID=14","4.7")</f>
        <v>4.7</v>
      </c>
      <c r="G16321" s="4" t="str">
        <f>HYPERLINK("http://141.218.60.56/~jnz1568/getInfo.php?workbook=10_05.xlsx&amp;sheet=U0&amp;row=16321&amp;col=7&amp;number=0.0137&amp;sourceID=14","0.0137")</f>
        <v>0.0137</v>
      </c>
    </row>
    <row r="16322" spans="1:7">
      <c r="A16322" s="3"/>
      <c r="B16322" s="3"/>
      <c r="C16322" s="3"/>
      <c r="D16322" s="3"/>
      <c r="E16322" s="3">
        <v>19</v>
      </c>
      <c r="F16322" s="4" t="str">
        <f>HYPERLINK("http://141.218.60.56/~jnz1568/getInfo.php?workbook=10_05.xlsx&amp;sheet=U0&amp;row=16322&amp;col=6&amp;number=4.8&amp;sourceID=14","4.8")</f>
        <v>4.8</v>
      </c>
      <c r="G16322" s="4" t="str">
        <f>HYPERLINK("http://141.218.60.56/~jnz1568/getInfo.php?workbook=10_05.xlsx&amp;sheet=U0&amp;row=16322&amp;col=7&amp;number=0.0131&amp;sourceID=14","0.0131")</f>
        <v>0.0131</v>
      </c>
    </row>
    <row r="16323" spans="1:7">
      <c r="A16323" s="3"/>
      <c r="B16323" s="3"/>
      <c r="C16323" s="3"/>
      <c r="D16323" s="3"/>
      <c r="E16323" s="3">
        <v>20</v>
      </c>
      <c r="F16323" s="4" t="str">
        <f>HYPERLINK("http://141.218.60.56/~jnz1568/getInfo.php?workbook=10_05.xlsx&amp;sheet=U0&amp;row=16323&amp;col=6&amp;number=4.9&amp;sourceID=14","4.9")</f>
        <v>4.9</v>
      </c>
      <c r="G16323" s="4" t="str">
        <f>HYPERLINK("http://141.218.60.56/~jnz1568/getInfo.php?workbook=10_05.xlsx&amp;sheet=U0&amp;row=16323&amp;col=7&amp;number=0.0125&amp;sourceID=14","0.0125")</f>
        <v>0.0125</v>
      </c>
    </row>
    <row r="16324" spans="1:7">
      <c r="A16324" s="3">
        <v>10</v>
      </c>
      <c r="B16324" s="3">
        <v>5</v>
      </c>
      <c r="C16324" s="3">
        <v>5</v>
      </c>
      <c r="D16324" s="3">
        <v>112</v>
      </c>
      <c r="E16324" s="3">
        <v>1</v>
      </c>
      <c r="F16324" s="4" t="str">
        <f>HYPERLINK("http://141.218.60.56/~jnz1568/getInfo.php?workbook=10_05.xlsx&amp;sheet=U0&amp;row=16324&amp;col=6&amp;number=3&amp;sourceID=14","3")</f>
        <v>3</v>
      </c>
      <c r="G16324" s="4" t="str">
        <f>HYPERLINK("http://141.218.60.56/~jnz1568/getInfo.php?workbook=10_05.xlsx&amp;sheet=U0&amp;row=16324&amp;col=7&amp;number=0.0715&amp;sourceID=14","0.0715")</f>
        <v>0.0715</v>
      </c>
    </row>
    <row r="16325" spans="1:7">
      <c r="A16325" s="3"/>
      <c r="B16325" s="3"/>
      <c r="C16325" s="3"/>
      <c r="D16325" s="3"/>
      <c r="E16325" s="3">
        <v>2</v>
      </c>
      <c r="F16325" s="4" t="str">
        <f>HYPERLINK("http://141.218.60.56/~jnz1568/getInfo.php?workbook=10_05.xlsx&amp;sheet=U0&amp;row=16325&amp;col=6&amp;number=3.1&amp;sourceID=14","3.1")</f>
        <v>3.1</v>
      </c>
      <c r="G16325" s="4" t="str">
        <f>HYPERLINK("http://141.218.60.56/~jnz1568/getInfo.php?workbook=10_05.xlsx&amp;sheet=U0&amp;row=16325&amp;col=7&amp;number=0.0712&amp;sourceID=14","0.0712")</f>
        <v>0.0712</v>
      </c>
    </row>
    <row r="16326" spans="1:7">
      <c r="A16326" s="3"/>
      <c r="B16326" s="3"/>
      <c r="C16326" s="3"/>
      <c r="D16326" s="3"/>
      <c r="E16326" s="3">
        <v>3</v>
      </c>
      <c r="F16326" s="4" t="str">
        <f>HYPERLINK("http://141.218.60.56/~jnz1568/getInfo.php?workbook=10_05.xlsx&amp;sheet=U0&amp;row=16326&amp;col=6&amp;number=3.2&amp;sourceID=14","3.2")</f>
        <v>3.2</v>
      </c>
      <c r="G16326" s="4" t="str">
        <f>HYPERLINK("http://141.218.60.56/~jnz1568/getInfo.php?workbook=10_05.xlsx&amp;sheet=U0&amp;row=16326&amp;col=7&amp;number=0.0709&amp;sourceID=14","0.0709")</f>
        <v>0.0709</v>
      </c>
    </row>
    <row r="16327" spans="1:7">
      <c r="A16327" s="3"/>
      <c r="B16327" s="3"/>
      <c r="C16327" s="3"/>
      <c r="D16327" s="3"/>
      <c r="E16327" s="3">
        <v>4</v>
      </c>
      <c r="F16327" s="4" t="str">
        <f>HYPERLINK("http://141.218.60.56/~jnz1568/getInfo.php?workbook=10_05.xlsx&amp;sheet=U0&amp;row=16327&amp;col=6&amp;number=3.3&amp;sourceID=14","3.3")</f>
        <v>3.3</v>
      </c>
      <c r="G16327" s="4" t="str">
        <f>HYPERLINK("http://141.218.60.56/~jnz1568/getInfo.php?workbook=10_05.xlsx&amp;sheet=U0&amp;row=16327&amp;col=7&amp;number=0.0704&amp;sourceID=14","0.0704")</f>
        <v>0.0704</v>
      </c>
    </row>
    <row r="16328" spans="1:7">
      <c r="A16328" s="3"/>
      <c r="B16328" s="3"/>
      <c r="C16328" s="3"/>
      <c r="D16328" s="3"/>
      <c r="E16328" s="3">
        <v>5</v>
      </c>
      <c r="F16328" s="4" t="str">
        <f>HYPERLINK("http://141.218.60.56/~jnz1568/getInfo.php?workbook=10_05.xlsx&amp;sheet=U0&amp;row=16328&amp;col=6&amp;number=3.4&amp;sourceID=14","3.4")</f>
        <v>3.4</v>
      </c>
      <c r="G16328" s="4" t="str">
        <f>HYPERLINK("http://141.218.60.56/~jnz1568/getInfo.php?workbook=10_05.xlsx&amp;sheet=U0&amp;row=16328&amp;col=7&amp;number=0.0698&amp;sourceID=14","0.0698")</f>
        <v>0.0698</v>
      </c>
    </row>
    <row r="16329" spans="1:7">
      <c r="A16329" s="3"/>
      <c r="B16329" s="3"/>
      <c r="C16329" s="3"/>
      <c r="D16329" s="3"/>
      <c r="E16329" s="3">
        <v>6</v>
      </c>
      <c r="F16329" s="4" t="str">
        <f>HYPERLINK("http://141.218.60.56/~jnz1568/getInfo.php?workbook=10_05.xlsx&amp;sheet=U0&amp;row=16329&amp;col=6&amp;number=3.5&amp;sourceID=14","3.5")</f>
        <v>3.5</v>
      </c>
      <c r="G16329" s="4" t="str">
        <f>HYPERLINK("http://141.218.60.56/~jnz1568/getInfo.php?workbook=10_05.xlsx&amp;sheet=U0&amp;row=16329&amp;col=7&amp;number=0.0691&amp;sourceID=14","0.0691")</f>
        <v>0.0691</v>
      </c>
    </row>
    <row r="16330" spans="1:7">
      <c r="A16330" s="3"/>
      <c r="B16330" s="3"/>
      <c r="C16330" s="3"/>
      <c r="D16330" s="3"/>
      <c r="E16330" s="3">
        <v>7</v>
      </c>
      <c r="F16330" s="4" t="str">
        <f>HYPERLINK("http://141.218.60.56/~jnz1568/getInfo.php?workbook=10_05.xlsx&amp;sheet=U0&amp;row=16330&amp;col=6&amp;number=3.6&amp;sourceID=14","3.6")</f>
        <v>3.6</v>
      </c>
      <c r="G16330" s="4" t="str">
        <f>HYPERLINK("http://141.218.60.56/~jnz1568/getInfo.php?workbook=10_05.xlsx&amp;sheet=U0&amp;row=16330&amp;col=7&amp;number=0.0681&amp;sourceID=14","0.0681")</f>
        <v>0.0681</v>
      </c>
    </row>
    <row r="16331" spans="1:7">
      <c r="A16331" s="3"/>
      <c r="B16331" s="3"/>
      <c r="C16331" s="3"/>
      <c r="D16331" s="3"/>
      <c r="E16331" s="3">
        <v>8</v>
      </c>
      <c r="F16331" s="4" t="str">
        <f>HYPERLINK("http://141.218.60.56/~jnz1568/getInfo.php?workbook=10_05.xlsx&amp;sheet=U0&amp;row=16331&amp;col=6&amp;number=3.7&amp;sourceID=14","3.7")</f>
        <v>3.7</v>
      </c>
      <c r="G16331" s="4" t="str">
        <f>HYPERLINK("http://141.218.60.56/~jnz1568/getInfo.php?workbook=10_05.xlsx&amp;sheet=U0&amp;row=16331&amp;col=7&amp;number=0.067&amp;sourceID=14","0.067")</f>
        <v>0.067</v>
      </c>
    </row>
    <row r="16332" spans="1:7">
      <c r="A16332" s="3"/>
      <c r="B16332" s="3"/>
      <c r="C16332" s="3"/>
      <c r="D16332" s="3"/>
      <c r="E16332" s="3">
        <v>9</v>
      </c>
      <c r="F16332" s="4" t="str">
        <f>HYPERLINK("http://141.218.60.56/~jnz1568/getInfo.php?workbook=10_05.xlsx&amp;sheet=U0&amp;row=16332&amp;col=6&amp;number=3.8&amp;sourceID=14","3.8")</f>
        <v>3.8</v>
      </c>
      <c r="G16332" s="4" t="str">
        <f>HYPERLINK("http://141.218.60.56/~jnz1568/getInfo.php?workbook=10_05.xlsx&amp;sheet=U0&amp;row=16332&amp;col=7&amp;number=0.0656&amp;sourceID=14","0.0656")</f>
        <v>0.0656</v>
      </c>
    </row>
    <row r="16333" spans="1:7">
      <c r="A16333" s="3"/>
      <c r="B16333" s="3"/>
      <c r="C16333" s="3"/>
      <c r="D16333" s="3"/>
      <c r="E16333" s="3">
        <v>10</v>
      </c>
      <c r="F16333" s="4" t="str">
        <f>HYPERLINK("http://141.218.60.56/~jnz1568/getInfo.php?workbook=10_05.xlsx&amp;sheet=U0&amp;row=16333&amp;col=6&amp;number=3.9&amp;sourceID=14","3.9")</f>
        <v>3.9</v>
      </c>
      <c r="G16333" s="4" t="str">
        <f>HYPERLINK("http://141.218.60.56/~jnz1568/getInfo.php?workbook=10_05.xlsx&amp;sheet=U0&amp;row=16333&amp;col=7&amp;number=0.0638&amp;sourceID=14","0.0638")</f>
        <v>0.0638</v>
      </c>
    </row>
    <row r="16334" spans="1:7">
      <c r="A16334" s="3"/>
      <c r="B16334" s="3"/>
      <c r="C16334" s="3"/>
      <c r="D16334" s="3"/>
      <c r="E16334" s="3">
        <v>11</v>
      </c>
      <c r="F16334" s="4" t="str">
        <f>HYPERLINK("http://141.218.60.56/~jnz1568/getInfo.php?workbook=10_05.xlsx&amp;sheet=U0&amp;row=16334&amp;col=6&amp;number=4&amp;sourceID=14","4")</f>
        <v>4</v>
      </c>
      <c r="G16334" s="4" t="str">
        <f>HYPERLINK("http://141.218.60.56/~jnz1568/getInfo.php?workbook=10_05.xlsx&amp;sheet=U0&amp;row=16334&amp;col=7&amp;number=0.0617&amp;sourceID=14","0.0617")</f>
        <v>0.0617</v>
      </c>
    </row>
    <row r="16335" spans="1:7">
      <c r="A16335" s="3"/>
      <c r="B16335" s="3"/>
      <c r="C16335" s="3"/>
      <c r="D16335" s="3"/>
      <c r="E16335" s="3">
        <v>12</v>
      </c>
      <c r="F16335" s="4" t="str">
        <f>HYPERLINK("http://141.218.60.56/~jnz1568/getInfo.php?workbook=10_05.xlsx&amp;sheet=U0&amp;row=16335&amp;col=6&amp;number=4.1&amp;sourceID=14","4.1")</f>
        <v>4.1</v>
      </c>
      <c r="G16335" s="4" t="str">
        <f>HYPERLINK("http://141.218.60.56/~jnz1568/getInfo.php?workbook=10_05.xlsx&amp;sheet=U0&amp;row=16335&amp;col=7&amp;number=0.059&amp;sourceID=14","0.059")</f>
        <v>0.059</v>
      </c>
    </row>
    <row r="16336" spans="1:7">
      <c r="A16336" s="3"/>
      <c r="B16336" s="3"/>
      <c r="C16336" s="3"/>
      <c r="D16336" s="3"/>
      <c r="E16336" s="3">
        <v>13</v>
      </c>
      <c r="F16336" s="4" t="str">
        <f>HYPERLINK("http://141.218.60.56/~jnz1568/getInfo.php?workbook=10_05.xlsx&amp;sheet=U0&amp;row=16336&amp;col=6&amp;number=4.2&amp;sourceID=14","4.2")</f>
        <v>4.2</v>
      </c>
      <c r="G16336" s="4" t="str">
        <f>HYPERLINK("http://141.218.60.56/~jnz1568/getInfo.php?workbook=10_05.xlsx&amp;sheet=U0&amp;row=16336&amp;col=7&amp;number=0.0557&amp;sourceID=14","0.0557")</f>
        <v>0.0557</v>
      </c>
    </row>
    <row r="16337" spans="1:7">
      <c r="A16337" s="3"/>
      <c r="B16337" s="3"/>
      <c r="C16337" s="3"/>
      <c r="D16337" s="3"/>
      <c r="E16337" s="3">
        <v>14</v>
      </c>
      <c r="F16337" s="4" t="str">
        <f>HYPERLINK("http://141.218.60.56/~jnz1568/getInfo.php?workbook=10_05.xlsx&amp;sheet=U0&amp;row=16337&amp;col=6&amp;number=4.3&amp;sourceID=14","4.3")</f>
        <v>4.3</v>
      </c>
      <c r="G16337" s="4" t="str">
        <f>HYPERLINK("http://141.218.60.56/~jnz1568/getInfo.php?workbook=10_05.xlsx&amp;sheet=U0&amp;row=16337&amp;col=7&amp;number=0.0518&amp;sourceID=14","0.0518")</f>
        <v>0.0518</v>
      </c>
    </row>
    <row r="16338" spans="1:7">
      <c r="A16338" s="3"/>
      <c r="B16338" s="3"/>
      <c r="C16338" s="3"/>
      <c r="D16338" s="3"/>
      <c r="E16338" s="3">
        <v>15</v>
      </c>
      <c r="F16338" s="4" t="str">
        <f>HYPERLINK("http://141.218.60.56/~jnz1568/getInfo.php?workbook=10_05.xlsx&amp;sheet=U0&amp;row=16338&amp;col=6&amp;number=4.4&amp;sourceID=14","4.4")</f>
        <v>4.4</v>
      </c>
      <c r="G16338" s="4" t="str">
        <f>HYPERLINK("http://141.218.60.56/~jnz1568/getInfo.php?workbook=10_05.xlsx&amp;sheet=U0&amp;row=16338&amp;col=7&amp;number=0.0472&amp;sourceID=14","0.0472")</f>
        <v>0.0472</v>
      </c>
    </row>
    <row r="16339" spans="1:7">
      <c r="A16339" s="3"/>
      <c r="B16339" s="3"/>
      <c r="C16339" s="3"/>
      <c r="D16339" s="3"/>
      <c r="E16339" s="3">
        <v>16</v>
      </c>
      <c r="F16339" s="4" t="str">
        <f>HYPERLINK("http://141.218.60.56/~jnz1568/getInfo.php?workbook=10_05.xlsx&amp;sheet=U0&amp;row=16339&amp;col=6&amp;number=4.5&amp;sourceID=14","4.5")</f>
        <v>4.5</v>
      </c>
      <c r="G16339" s="4" t="str">
        <f>HYPERLINK("http://141.218.60.56/~jnz1568/getInfo.php?workbook=10_05.xlsx&amp;sheet=U0&amp;row=16339&amp;col=7&amp;number=0.0424&amp;sourceID=14","0.0424")</f>
        <v>0.0424</v>
      </c>
    </row>
    <row r="16340" spans="1:7">
      <c r="A16340" s="3"/>
      <c r="B16340" s="3"/>
      <c r="C16340" s="3"/>
      <c r="D16340" s="3"/>
      <c r="E16340" s="3">
        <v>17</v>
      </c>
      <c r="F16340" s="4" t="str">
        <f>HYPERLINK("http://141.218.60.56/~jnz1568/getInfo.php?workbook=10_05.xlsx&amp;sheet=U0&amp;row=16340&amp;col=6&amp;number=4.6&amp;sourceID=14","4.6")</f>
        <v>4.6</v>
      </c>
      <c r="G16340" s="4" t="str">
        <f>HYPERLINK("http://141.218.60.56/~jnz1568/getInfo.php?workbook=10_05.xlsx&amp;sheet=U0&amp;row=16340&amp;col=7&amp;number=0.0379&amp;sourceID=14","0.0379")</f>
        <v>0.0379</v>
      </c>
    </row>
    <row r="16341" spans="1:7">
      <c r="A16341" s="3"/>
      <c r="B16341" s="3"/>
      <c r="C16341" s="3"/>
      <c r="D16341" s="3"/>
      <c r="E16341" s="3">
        <v>18</v>
      </c>
      <c r="F16341" s="4" t="str">
        <f>HYPERLINK("http://141.218.60.56/~jnz1568/getInfo.php?workbook=10_05.xlsx&amp;sheet=U0&amp;row=16341&amp;col=6&amp;number=4.7&amp;sourceID=14","4.7")</f>
        <v>4.7</v>
      </c>
      <c r="G16341" s="4" t="str">
        <f>HYPERLINK("http://141.218.60.56/~jnz1568/getInfo.php?workbook=10_05.xlsx&amp;sheet=U0&amp;row=16341&amp;col=7&amp;number=0.0341&amp;sourceID=14","0.0341")</f>
        <v>0.0341</v>
      </c>
    </row>
    <row r="16342" spans="1:7">
      <c r="A16342" s="3"/>
      <c r="B16342" s="3"/>
      <c r="C16342" s="3"/>
      <c r="D16342" s="3"/>
      <c r="E16342" s="3">
        <v>19</v>
      </c>
      <c r="F16342" s="4" t="str">
        <f>HYPERLINK("http://141.218.60.56/~jnz1568/getInfo.php?workbook=10_05.xlsx&amp;sheet=U0&amp;row=16342&amp;col=6&amp;number=4.8&amp;sourceID=14","4.8")</f>
        <v>4.8</v>
      </c>
      <c r="G16342" s="4" t="str">
        <f>HYPERLINK("http://141.218.60.56/~jnz1568/getInfo.php?workbook=10_05.xlsx&amp;sheet=U0&amp;row=16342&amp;col=7&amp;number=0.0306&amp;sourceID=14","0.0306")</f>
        <v>0.0306</v>
      </c>
    </row>
    <row r="16343" spans="1:7">
      <c r="A16343" s="3"/>
      <c r="B16343" s="3"/>
      <c r="C16343" s="3"/>
      <c r="D16343" s="3"/>
      <c r="E16343" s="3">
        <v>20</v>
      </c>
      <c r="F16343" s="4" t="str">
        <f>HYPERLINK("http://141.218.60.56/~jnz1568/getInfo.php?workbook=10_05.xlsx&amp;sheet=U0&amp;row=16343&amp;col=6&amp;number=4.9&amp;sourceID=14","4.9")</f>
        <v>4.9</v>
      </c>
      <c r="G16343" s="4" t="str">
        <f>HYPERLINK("http://141.218.60.56/~jnz1568/getInfo.php?workbook=10_05.xlsx&amp;sheet=U0&amp;row=16343&amp;col=7&amp;number=0.0273&amp;sourceID=14","0.0273")</f>
        <v>0.0273</v>
      </c>
    </row>
    <row r="16344" spans="1:7">
      <c r="A16344" s="3">
        <v>10</v>
      </c>
      <c r="B16344" s="3">
        <v>5</v>
      </c>
      <c r="C16344" s="3">
        <v>5</v>
      </c>
      <c r="D16344" s="3">
        <v>113</v>
      </c>
      <c r="E16344" s="3">
        <v>1</v>
      </c>
      <c r="F16344" s="4" t="str">
        <f>HYPERLINK("http://141.218.60.56/~jnz1568/getInfo.php?workbook=10_05.xlsx&amp;sheet=U0&amp;row=16344&amp;col=6&amp;number=3&amp;sourceID=14","3")</f>
        <v>3</v>
      </c>
      <c r="G16344" s="4" t="str">
        <f>HYPERLINK("http://141.218.60.56/~jnz1568/getInfo.php?workbook=10_05.xlsx&amp;sheet=U0&amp;row=16344&amp;col=7&amp;number=0.0177&amp;sourceID=14","0.0177")</f>
        <v>0.0177</v>
      </c>
    </row>
    <row r="16345" spans="1:7">
      <c r="A16345" s="3"/>
      <c r="B16345" s="3"/>
      <c r="C16345" s="3"/>
      <c r="D16345" s="3"/>
      <c r="E16345" s="3">
        <v>2</v>
      </c>
      <c r="F16345" s="4" t="str">
        <f>HYPERLINK("http://141.218.60.56/~jnz1568/getInfo.php?workbook=10_05.xlsx&amp;sheet=U0&amp;row=16345&amp;col=6&amp;number=3.1&amp;sourceID=14","3.1")</f>
        <v>3.1</v>
      </c>
      <c r="G16345" s="4" t="str">
        <f>HYPERLINK("http://141.218.60.56/~jnz1568/getInfo.php?workbook=10_05.xlsx&amp;sheet=U0&amp;row=16345&amp;col=7&amp;number=0.0176&amp;sourceID=14","0.0176")</f>
        <v>0.0176</v>
      </c>
    </row>
    <row r="16346" spans="1:7">
      <c r="A16346" s="3"/>
      <c r="B16346" s="3"/>
      <c r="C16346" s="3"/>
      <c r="D16346" s="3"/>
      <c r="E16346" s="3">
        <v>3</v>
      </c>
      <c r="F16346" s="4" t="str">
        <f>HYPERLINK("http://141.218.60.56/~jnz1568/getInfo.php?workbook=10_05.xlsx&amp;sheet=U0&amp;row=16346&amp;col=6&amp;number=3.2&amp;sourceID=14","3.2")</f>
        <v>3.2</v>
      </c>
      <c r="G16346" s="4" t="str">
        <f>HYPERLINK("http://141.218.60.56/~jnz1568/getInfo.php?workbook=10_05.xlsx&amp;sheet=U0&amp;row=16346&amp;col=7&amp;number=0.0175&amp;sourceID=14","0.0175")</f>
        <v>0.0175</v>
      </c>
    </row>
    <row r="16347" spans="1:7">
      <c r="A16347" s="3"/>
      <c r="B16347" s="3"/>
      <c r="C16347" s="3"/>
      <c r="D16347" s="3"/>
      <c r="E16347" s="3">
        <v>4</v>
      </c>
      <c r="F16347" s="4" t="str">
        <f>HYPERLINK("http://141.218.60.56/~jnz1568/getInfo.php?workbook=10_05.xlsx&amp;sheet=U0&amp;row=16347&amp;col=6&amp;number=3.3&amp;sourceID=14","3.3")</f>
        <v>3.3</v>
      </c>
      <c r="G16347" s="4" t="str">
        <f>HYPERLINK("http://141.218.60.56/~jnz1568/getInfo.php?workbook=10_05.xlsx&amp;sheet=U0&amp;row=16347&amp;col=7&amp;number=0.0174&amp;sourceID=14","0.0174")</f>
        <v>0.0174</v>
      </c>
    </row>
    <row r="16348" spans="1:7">
      <c r="A16348" s="3"/>
      <c r="B16348" s="3"/>
      <c r="C16348" s="3"/>
      <c r="D16348" s="3"/>
      <c r="E16348" s="3">
        <v>5</v>
      </c>
      <c r="F16348" s="4" t="str">
        <f>HYPERLINK("http://141.218.60.56/~jnz1568/getInfo.php?workbook=10_05.xlsx&amp;sheet=U0&amp;row=16348&amp;col=6&amp;number=3.4&amp;sourceID=14","3.4")</f>
        <v>3.4</v>
      </c>
      <c r="G16348" s="4" t="str">
        <f>HYPERLINK("http://141.218.60.56/~jnz1568/getInfo.php?workbook=10_05.xlsx&amp;sheet=U0&amp;row=16348&amp;col=7&amp;number=0.0173&amp;sourceID=14","0.0173")</f>
        <v>0.0173</v>
      </c>
    </row>
    <row r="16349" spans="1:7">
      <c r="A16349" s="3"/>
      <c r="B16349" s="3"/>
      <c r="C16349" s="3"/>
      <c r="D16349" s="3"/>
      <c r="E16349" s="3">
        <v>6</v>
      </c>
      <c r="F16349" s="4" t="str">
        <f>HYPERLINK("http://141.218.60.56/~jnz1568/getInfo.php?workbook=10_05.xlsx&amp;sheet=U0&amp;row=16349&amp;col=6&amp;number=3.5&amp;sourceID=14","3.5")</f>
        <v>3.5</v>
      </c>
      <c r="G16349" s="4" t="str">
        <f>HYPERLINK("http://141.218.60.56/~jnz1568/getInfo.php?workbook=10_05.xlsx&amp;sheet=U0&amp;row=16349&amp;col=7&amp;number=0.0171&amp;sourceID=14","0.0171")</f>
        <v>0.0171</v>
      </c>
    </row>
    <row r="16350" spans="1:7">
      <c r="A16350" s="3"/>
      <c r="B16350" s="3"/>
      <c r="C16350" s="3"/>
      <c r="D16350" s="3"/>
      <c r="E16350" s="3">
        <v>7</v>
      </c>
      <c r="F16350" s="4" t="str">
        <f>HYPERLINK("http://141.218.60.56/~jnz1568/getInfo.php?workbook=10_05.xlsx&amp;sheet=U0&amp;row=16350&amp;col=6&amp;number=3.6&amp;sourceID=14","3.6")</f>
        <v>3.6</v>
      </c>
      <c r="G16350" s="4" t="str">
        <f>HYPERLINK("http://141.218.60.56/~jnz1568/getInfo.php?workbook=10_05.xlsx&amp;sheet=U0&amp;row=16350&amp;col=7&amp;number=0.0169&amp;sourceID=14","0.0169")</f>
        <v>0.0169</v>
      </c>
    </row>
    <row r="16351" spans="1:7">
      <c r="A16351" s="3"/>
      <c r="B16351" s="3"/>
      <c r="C16351" s="3"/>
      <c r="D16351" s="3"/>
      <c r="E16351" s="3">
        <v>8</v>
      </c>
      <c r="F16351" s="4" t="str">
        <f>HYPERLINK("http://141.218.60.56/~jnz1568/getInfo.php?workbook=10_05.xlsx&amp;sheet=U0&amp;row=16351&amp;col=6&amp;number=3.7&amp;sourceID=14","3.7")</f>
        <v>3.7</v>
      </c>
      <c r="G16351" s="4" t="str">
        <f>HYPERLINK("http://141.218.60.56/~jnz1568/getInfo.php?workbook=10_05.xlsx&amp;sheet=U0&amp;row=16351&amp;col=7&amp;number=0.0166&amp;sourceID=14","0.0166")</f>
        <v>0.0166</v>
      </c>
    </row>
    <row r="16352" spans="1:7">
      <c r="A16352" s="3"/>
      <c r="B16352" s="3"/>
      <c r="C16352" s="3"/>
      <c r="D16352" s="3"/>
      <c r="E16352" s="3">
        <v>9</v>
      </c>
      <c r="F16352" s="4" t="str">
        <f>HYPERLINK("http://141.218.60.56/~jnz1568/getInfo.php?workbook=10_05.xlsx&amp;sheet=U0&amp;row=16352&amp;col=6&amp;number=3.8&amp;sourceID=14","3.8")</f>
        <v>3.8</v>
      </c>
      <c r="G16352" s="4" t="str">
        <f>HYPERLINK("http://141.218.60.56/~jnz1568/getInfo.php?workbook=10_05.xlsx&amp;sheet=U0&amp;row=16352&amp;col=7&amp;number=0.0162&amp;sourceID=14","0.0162")</f>
        <v>0.0162</v>
      </c>
    </row>
    <row r="16353" spans="1:7">
      <c r="A16353" s="3"/>
      <c r="B16353" s="3"/>
      <c r="C16353" s="3"/>
      <c r="D16353" s="3"/>
      <c r="E16353" s="3">
        <v>10</v>
      </c>
      <c r="F16353" s="4" t="str">
        <f>HYPERLINK("http://141.218.60.56/~jnz1568/getInfo.php?workbook=10_05.xlsx&amp;sheet=U0&amp;row=16353&amp;col=6&amp;number=3.9&amp;sourceID=14","3.9")</f>
        <v>3.9</v>
      </c>
      <c r="G16353" s="4" t="str">
        <f>HYPERLINK("http://141.218.60.56/~jnz1568/getInfo.php?workbook=10_05.xlsx&amp;sheet=U0&amp;row=16353&amp;col=7&amp;number=0.0158&amp;sourceID=14","0.0158")</f>
        <v>0.0158</v>
      </c>
    </row>
    <row r="16354" spans="1:7">
      <c r="A16354" s="3"/>
      <c r="B16354" s="3"/>
      <c r="C16354" s="3"/>
      <c r="D16354" s="3"/>
      <c r="E16354" s="3">
        <v>11</v>
      </c>
      <c r="F16354" s="4" t="str">
        <f>HYPERLINK("http://141.218.60.56/~jnz1568/getInfo.php?workbook=10_05.xlsx&amp;sheet=U0&amp;row=16354&amp;col=6&amp;number=4&amp;sourceID=14","4")</f>
        <v>4</v>
      </c>
      <c r="G16354" s="4" t="str">
        <f>HYPERLINK("http://141.218.60.56/~jnz1568/getInfo.php?workbook=10_05.xlsx&amp;sheet=U0&amp;row=16354&amp;col=7&amp;number=0.0153&amp;sourceID=14","0.0153")</f>
        <v>0.0153</v>
      </c>
    </row>
    <row r="16355" spans="1:7">
      <c r="A16355" s="3"/>
      <c r="B16355" s="3"/>
      <c r="C16355" s="3"/>
      <c r="D16355" s="3"/>
      <c r="E16355" s="3">
        <v>12</v>
      </c>
      <c r="F16355" s="4" t="str">
        <f>HYPERLINK("http://141.218.60.56/~jnz1568/getInfo.php?workbook=10_05.xlsx&amp;sheet=U0&amp;row=16355&amp;col=6&amp;number=4.1&amp;sourceID=14","4.1")</f>
        <v>4.1</v>
      </c>
      <c r="G16355" s="4" t="str">
        <f>HYPERLINK("http://141.218.60.56/~jnz1568/getInfo.php?workbook=10_05.xlsx&amp;sheet=U0&amp;row=16355&amp;col=7&amp;number=0.0147&amp;sourceID=14","0.0147")</f>
        <v>0.0147</v>
      </c>
    </row>
    <row r="16356" spans="1:7">
      <c r="A16356" s="3"/>
      <c r="B16356" s="3"/>
      <c r="C16356" s="3"/>
      <c r="D16356" s="3"/>
      <c r="E16356" s="3">
        <v>13</v>
      </c>
      <c r="F16356" s="4" t="str">
        <f>HYPERLINK("http://141.218.60.56/~jnz1568/getInfo.php?workbook=10_05.xlsx&amp;sheet=U0&amp;row=16356&amp;col=6&amp;number=4.2&amp;sourceID=14","4.2")</f>
        <v>4.2</v>
      </c>
      <c r="G16356" s="4" t="str">
        <f>HYPERLINK("http://141.218.60.56/~jnz1568/getInfo.php?workbook=10_05.xlsx&amp;sheet=U0&amp;row=16356&amp;col=7&amp;number=0.014&amp;sourceID=14","0.014")</f>
        <v>0.014</v>
      </c>
    </row>
    <row r="16357" spans="1:7">
      <c r="A16357" s="3"/>
      <c r="B16357" s="3"/>
      <c r="C16357" s="3"/>
      <c r="D16357" s="3"/>
      <c r="E16357" s="3">
        <v>14</v>
      </c>
      <c r="F16357" s="4" t="str">
        <f>HYPERLINK("http://141.218.60.56/~jnz1568/getInfo.php?workbook=10_05.xlsx&amp;sheet=U0&amp;row=16357&amp;col=6&amp;number=4.3&amp;sourceID=14","4.3")</f>
        <v>4.3</v>
      </c>
      <c r="G16357" s="4" t="str">
        <f>HYPERLINK("http://141.218.60.56/~jnz1568/getInfo.php?workbook=10_05.xlsx&amp;sheet=U0&amp;row=16357&amp;col=7&amp;number=0.0133&amp;sourceID=14","0.0133")</f>
        <v>0.0133</v>
      </c>
    </row>
    <row r="16358" spans="1:7">
      <c r="A16358" s="3"/>
      <c r="B16358" s="3"/>
      <c r="C16358" s="3"/>
      <c r="D16358" s="3"/>
      <c r="E16358" s="3">
        <v>15</v>
      </c>
      <c r="F16358" s="4" t="str">
        <f>HYPERLINK("http://141.218.60.56/~jnz1568/getInfo.php?workbook=10_05.xlsx&amp;sheet=U0&amp;row=16358&amp;col=6&amp;number=4.4&amp;sourceID=14","4.4")</f>
        <v>4.4</v>
      </c>
      <c r="G16358" s="4" t="str">
        <f>HYPERLINK("http://141.218.60.56/~jnz1568/getInfo.php?workbook=10_05.xlsx&amp;sheet=U0&amp;row=16358&amp;col=7&amp;number=0.0126&amp;sourceID=14","0.0126")</f>
        <v>0.0126</v>
      </c>
    </row>
    <row r="16359" spans="1:7">
      <c r="A16359" s="3"/>
      <c r="B16359" s="3"/>
      <c r="C16359" s="3"/>
      <c r="D16359" s="3"/>
      <c r="E16359" s="3">
        <v>16</v>
      </c>
      <c r="F16359" s="4" t="str">
        <f>HYPERLINK("http://141.218.60.56/~jnz1568/getInfo.php?workbook=10_05.xlsx&amp;sheet=U0&amp;row=16359&amp;col=6&amp;number=4.5&amp;sourceID=14","4.5")</f>
        <v>4.5</v>
      </c>
      <c r="G16359" s="4" t="str">
        <f>HYPERLINK("http://141.218.60.56/~jnz1568/getInfo.php?workbook=10_05.xlsx&amp;sheet=U0&amp;row=16359&amp;col=7&amp;number=0.0118&amp;sourceID=14","0.0118")</f>
        <v>0.0118</v>
      </c>
    </row>
    <row r="16360" spans="1:7">
      <c r="A16360" s="3"/>
      <c r="B16360" s="3"/>
      <c r="C16360" s="3"/>
      <c r="D16360" s="3"/>
      <c r="E16360" s="3">
        <v>17</v>
      </c>
      <c r="F16360" s="4" t="str">
        <f>HYPERLINK("http://141.218.60.56/~jnz1568/getInfo.php?workbook=10_05.xlsx&amp;sheet=U0&amp;row=16360&amp;col=6&amp;number=4.6&amp;sourceID=14","4.6")</f>
        <v>4.6</v>
      </c>
      <c r="G16360" s="4" t="str">
        <f>HYPERLINK("http://141.218.60.56/~jnz1568/getInfo.php?workbook=10_05.xlsx&amp;sheet=U0&amp;row=16360&amp;col=7&amp;number=0.0112&amp;sourceID=14","0.0112")</f>
        <v>0.0112</v>
      </c>
    </row>
    <row r="16361" spans="1:7">
      <c r="A16361" s="3"/>
      <c r="B16361" s="3"/>
      <c r="C16361" s="3"/>
      <c r="D16361" s="3"/>
      <c r="E16361" s="3">
        <v>18</v>
      </c>
      <c r="F16361" s="4" t="str">
        <f>HYPERLINK("http://141.218.60.56/~jnz1568/getInfo.php?workbook=10_05.xlsx&amp;sheet=U0&amp;row=16361&amp;col=6&amp;number=4.7&amp;sourceID=14","4.7")</f>
        <v>4.7</v>
      </c>
      <c r="G16361" s="4" t="str">
        <f>HYPERLINK("http://141.218.60.56/~jnz1568/getInfo.php?workbook=10_05.xlsx&amp;sheet=U0&amp;row=16361&amp;col=7&amp;number=0.0105&amp;sourceID=14","0.0105")</f>
        <v>0.0105</v>
      </c>
    </row>
    <row r="16362" spans="1:7">
      <c r="A16362" s="3"/>
      <c r="B16362" s="3"/>
      <c r="C16362" s="3"/>
      <c r="D16362" s="3"/>
      <c r="E16362" s="3">
        <v>19</v>
      </c>
      <c r="F16362" s="4" t="str">
        <f>HYPERLINK("http://141.218.60.56/~jnz1568/getInfo.php?workbook=10_05.xlsx&amp;sheet=U0&amp;row=16362&amp;col=6&amp;number=4.8&amp;sourceID=14","4.8")</f>
        <v>4.8</v>
      </c>
      <c r="G16362" s="4" t="str">
        <f>HYPERLINK("http://141.218.60.56/~jnz1568/getInfo.php?workbook=10_05.xlsx&amp;sheet=U0&amp;row=16362&amp;col=7&amp;number=0.00984&amp;sourceID=14","0.00984")</f>
        <v>0.00984</v>
      </c>
    </row>
    <row r="16363" spans="1:7">
      <c r="A16363" s="3"/>
      <c r="B16363" s="3"/>
      <c r="C16363" s="3"/>
      <c r="D16363" s="3"/>
      <c r="E16363" s="3">
        <v>20</v>
      </c>
      <c r="F16363" s="4" t="str">
        <f>HYPERLINK("http://141.218.60.56/~jnz1568/getInfo.php?workbook=10_05.xlsx&amp;sheet=U0&amp;row=16363&amp;col=6&amp;number=4.9&amp;sourceID=14","4.9")</f>
        <v>4.9</v>
      </c>
      <c r="G16363" s="4" t="str">
        <f>HYPERLINK("http://141.218.60.56/~jnz1568/getInfo.php?workbook=10_05.xlsx&amp;sheet=U0&amp;row=16363&amp;col=7&amp;number=0.0092&amp;sourceID=14","0.0092")</f>
        <v>0.0092</v>
      </c>
    </row>
    <row r="16364" spans="1:7">
      <c r="A16364" s="3">
        <v>10</v>
      </c>
      <c r="B16364" s="3">
        <v>5</v>
      </c>
      <c r="C16364" s="3">
        <v>5</v>
      </c>
      <c r="D16364" s="3">
        <v>114</v>
      </c>
      <c r="E16364" s="3">
        <v>1</v>
      </c>
      <c r="F16364" s="4" t="str">
        <f>HYPERLINK("http://141.218.60.56/~jnz1568/getInfo.php?workbook=10_05.xlsx&amp;sheet=U0&amp;row=16364&amp;col=6&amp;number=3&amp;sourceID=14","3")</f>
        <v>3</v>
      </c>
      <c r="G16364" s="4" t="str">
        <f>HYPERLINK("http://141.218.60.56/~jnz1568/getInfo.php?workbook=10_05.xlsx&amp;sheet=U0&amp;row=16364&amp;col=7&amp;number=0.00608&amp;sourceID=14","0.00608")</f>
        <v>0.00608</v>
      </c>
    </row>
    <row r="16365" spans="1:7">
      <c r="A16365" s="3"/>
      <c r="B16365" s="3"/>
      <c r="C16365" s="3"/>
      <c r="D16365" s="3"/>
      <c r="E16365" s="3">
        <v>2</v>
      </c>
      <c r="F16365" s="4" t="str">
        <f>HYPERLINK("http://141.218.60.56/~jnz1568/getInfo.php?workbook=10_05.xlsx&amp;sheet=U0&amp;row=16365&amp;col=6&amp;number=3.1&amp;sourceID=14","3.1")</f>
        <v>3.1</v>
      </c>
      <c r="G16365" s="4" t="str">
        <f>HYPERLINK("http://141.218.60.56/~jnz1568/getInfo.php?workbook=10_05.xlsx&amp;sheet=U0&amp;row=16365&amp;col=7&amp;number=0.00605&amp;sourceID=14","0.00605")</f>
        <v>0.00605</v>
      </c>
    </row>
    <row r="16366" spans="1:7">
      <c r="A16366" s="3"/>
      <c r="B16366" s="3"/>
      <c r="C16366" s="3"/>
      <c r="D16366" s="3"/>
      <c r="E16366" s="3">
        <v>3</v>
      </c>
      <c r="F16366" s="4" t="str">
        <f>HYPERLINK("http://141.218.60.56/~jnz1568/getInfo.php?workbook=10_05.xlsx&amp;sheet=U0&amp;row=16366&amp;col=6&amp;number=3.2&amp;sourceID=14","3.2")</f>
        <v>3.2</v>
      </c>
      <c r="G16366" s="4" t="str">
        <f>HYPERLINK("http://141.218.60.56/~jnz1568/getInfo.php?workbook=10_05.xlsx&amp;sheet=U0&amp;row=16366&amp;col=7&amp;number=0.00601&amp;sourceID=14","0.00601")</f>
        <v>0.00601</v>
      </c>
    </row>
    <row r="16367" spans="1:7">
      <c r="A16367" s="3"/>
      <c r="B16367" s="3"/>
      <c r="C16367" s="3"/>
      <c r="D16367" s="3"/>
      <c r="E16367" s="3">
        <v>4</v>
      </c>
      <c r="F16367" s="4" t="str">
        <f>HYPERLINK("http://141.218.60.56/~jnz1568/getInfo.php?workbook=10_05.xlsx&amp;sheet=U0&amp;row=16367&amp;col=6&amp;number=3.3&amp;sourceID=14","3.3")</f>
        <v>3.3</v>
      </c>
      <c r="G16367" s="4" t="str">
        <f>HYPERLINK("http://141.218.60.56/~jnz1568/getInfo.php?workbook=10_05.xlsx&amp;sheet=U0&amp;row=16367&amp;col=7&amp;number=0.00596&amp;sourceID=14","0.00596")</f>
        <v>0.00596</v>
      </c>
    </row>
    <row r="16368" spans="1:7">
      <c r="A16368" s="3"/>
      <c r="B16368" s="3"/>
      <c r="C16368" s="3"/>
      <c r="D16368" s="3"/>
      <c r="E16368" s="3">
        <v>5</v>
      </c>
      <c r="F16368" s="4" t="str">
        <f>HYPERLINK("http://141.218.60.56/~jnz1568/getInfo.php?workbook=10_05.xlsx&amp;sheet=U0&amp;row=16368&amp;col=6&amp;number=3.4&amp;sourceID=14","3.4")</f>
        <v>3.4</v>
      </c>
      <c r="G16368" s="4" t="str">
        <f>HYPERLINK("http://141.218.60.56/~jnz1568/getInfo.php?workbook=10_05.xlsx&amp;sheet=U0&amp;row=16368&amp;col=7&amp;number=0.00589&amp;sourceID=14","0.00589")</f>
        <v>0.00589</v>
      </c>
    </row>
    <row r="16369" spans="1:7">
      <c r="A16369" s="3"/>
      <c r="B16369" s="3"/>
      <c r="C16369" s="3"/>
      <c r="D16369" s="3"/>
      <c r="E16369" s="3">
        <v>6</v>
      </c>
      <c r="F16369" s="4" t="str">
        <f>HYPERLINK("http://141.218.60.56/~jnz1568/getInfo.php?workbook=10_05.xlsx&amp;sheet=U0&amp;row=16369&amp;col=6&amp;number=3.5&amp;sourceID=14","3.5")</f>
        <v>3.5</v>
      </c>
      <c r="G16369" s="4" t="str">
        <f>HYPERLINK("http://141.218.60.56/~jnz1568/getInfo.php?workbook=10_05.xlsx&amp;sheet=U0&amp;row=16369&amp;col=7&amp;number=0.00581&amp;sourceID=14","0.00581")</f>
        <v>0.00581</v>
      </c>
    </row>
    <row r="16370" spans="1:7">
      <c r="A16370" s="3"/>
      <c r="B16370" s="3"/>
      <c r="C16370" s="3"/>
      <c r="D16370" s="3"/>
      <c r="E16370" s="3">
        <v>7</v>
      </c>
      <c r="F16370" s="4" t="str">
        <f>HYPERLINK("http://141.218.60.56/~jnz1568/getInfo.php?workbook=10_05.xlsx&amp;sheet=U0&amp;row=16370&amp;col=6&amp;number=3.6&amp;sourceID=14","3.6")</f>
        <v>3.6</v>
      </c>
      <c r="G16370" s="4" t="str">
        <f>HYPERLINK("http://141.218.60.56/~jnz1568/getInfo.php?workbook=10_05.xlsx&amp;sheet=U0&amp;row=16370&amp;col=7&amp;number=0.00572&amp;sourceID=14","0.00572")</f>
        <v>0.00572</v>
      </c>
    </row>
    <row r="16371" spans="1:7">
      <c r="A16371" s="3"/>
      <c r="B16371" s="3"/>
      <c r="C16371" s="3"/>
      <c r="D16371" s="3"/>
      <c r="E16371" s="3">
        <v>8</v>
      </c>
      <c r="F16371" s="4" t="str">
        <f>HYPERLINK("http://141.218.60.56/~jnz1568/getInfo.php?workbook=10_05.xlsx&amp;sheet=U0&amp;row=16371&amp;col=6&amp;number=3.7&amp;sourceID=14","3.7")</f>
        <v>3.7</v>
      </c>
      <c r="G16371" s="4" t="str">
        <f>HYPERLINK("http://141.218.60.56/~jnz1568/getInfo.php?workbook=10_05.xlsx&amp;sheet=U0&amp;row=16371&amp;col=7&amp;number=0.0056&amp;sourceID=14","0.0056")</f>
        <v>0.0056</v>
      </c>
    </row>
    <row r="16372" spans="1:7">
      <c r="A16372" s="3"/>
      <c r="B16372" s="3"/>
      <c r="C16372" s="3"/>
      <c r="D16372" s="3"/>
      <c r="E16372" s="3">
        <v>9</v>
      </c>
      <c r="F16372" s="4" t="str">
        <f>HYPERLINK("http://141.218.60.56/~jnz1568/getInfo.php?workbook=10_05.xlsx&amp;sheet=U0&amp;row=16372&amp;col=6&amp;number=3.8&amp;sourceID=14","3.8")</f>
        <v>3.8</v>
      </c>
      <c r="G16372" s="4" t="str">
        <f>HYPERLINK("http://141.218.60.56/~jnz1568/getInfo.php?workbook=10_05.xlsx&amp;sheet=U0&amp;row=16372&amp;col=7&amp;number=0.00545&amp;sourceID=14","0.00545")</f>
        <v>0.00545</v>
      </c>
    </row>
    <row r="16373" spans="1:7">
      <c r="A16373" s="3"/>
      <c r="B16373" s="3"/>
      <c r="C16373" s="3"/>
      <c r="D16373" s="3"/>
      <c r="E16373" s="3">
        <v>10</v>
      </c>
      <c r="F16373" s="4" t="str">
        <f>HYPERLINK("http://141.218.60.56/~jnz1568/getInfo.php?workbook=10_05.xlsx&amp;sheet=U0&amp;row=16373&amp;col=6&amp;number=3.9&amp;sourceID=14","3.9")</f>
        <v>3.9</v>
      </c>
      <c r="G16373" s="4" t="str">
        <f>HYPERLINK("http://141.218.60.56/~jnz1568/getInfo.php?workbook=10_05.xlsx&amp;sheet=U0&amp;row=16373&amp;col=7&amp;number=0.00527&amp;sourceID=14","0.00527")</f>
        <v>0.00527</v>
      </c>
    </row>
    <row r="16374" spans="1:7">
      <c r="A16374" s="3"/>
      <c r="B16374" s="3"/>
      <c r="C16374" s="3"/>
      <c r="D16374" s="3"/>
      <c r="E16374" s="3">
        <v>11</v>
      </c>
      <c r="F16374" s="4" t="str">
        <f>HYPERLINK("http://141.218.60.56/~jnz1568/getInfo.php?workbook=10_05.xlsx&amp;sheet=U0&amp;row=16374&amp;col=6&amp;number=4&amp;sourceID=14","4")</f>
        <v>4</v>
      </c>
      <c r="G16374" s="4" t="str">
        <f>HYPERLINK("http://141.218.60.56/~jnz1568/getInfo.php?workbook=10_05.xlsx&amp;sheet=U0&amp;row=16374&amp;col=7&amp;number=0.00505&amp;sourceID=14","0.00505")</f>
        <v>0.00505</v>
      </c>
    </row>
    <row r="16375" spans="1:7">
      <c r="A16375" s="3"/>
      <c r="B16375" s="3"/>
      <c r="C16375" s="3"/>
      <c r="D16375" s="3"/>
      <c r="E16375" s="3">
        <v>12</v>
      </c>
      <c r="F16375" s="4" t="str">
        <f>HYPERLINK("http://141.218.60.56/~jnz1568/getInfo.php?workbook=10_05.xlsx&amp;sheet=U0&amp;row=16375&amp;col=6&amp;number=4.1&amp;sourceID=14","4.1")</f>
        <v>4.1</v>
      </c>
      <c r="G16375" s="4" t="str">
        <f>HYPERLINK("http://141.218.60.56/~jnz1568/getInfo.php?workbook=10_05.xlsx&amp;sheet=U0&amp;row=16375&amp;col=7&amp;number=0.00479&amp;sourceID=14","0.00479")</f>
        <v>0.00479</v>
      </c>
    </row>
    <row r="16376" spans="1:7">
      <c r="A16376" s="3"/>
      <c r="B16376" s="3"/>
      <c r="C16376" s="3"/>
      <c r="D16376" s="3"/>
      <c r="E16376" s="3">
        <v>13</v>
      </c>
      <c r="F16376" s="4" t="str">
        <f>HYPERLINK("http://141.218.60.56/~jnz1568/getInfo.php?workbook=10_05.xlsx&amp;sheet=U0&amp;row=16376&amp;col=6&amp;number=4.2&amp;sourceID=14","4.2")</f>
        <v>4.2</v>
      </c>
      <c r="G16376" s="4" t="str">
        <f>HYPERLINK("http://141.218.60.56/~jnz1568/getInfo.php?workbook=10_05.xlsx&amp;sheet=U0&amp;row=16376&amp;col=7&amp;number=0.00449&amp;sourceID=14","0.00449")</f>
        <v>0.00449</v>
      </c>
    </row>
    <row r="16377" spans="1:7">
      <c r="A16377" s="3"/>
      <c r="B16377" s="3"/>
      <c r="C16377" s="3"/>
      <c r="D16377" s="3"/>
      <c r="E16377" s="3">
        <v>14</v>
      </c>
      <c r="F16377" s="4" t="str">
        <f>HYPERLINK("http://141.218.60.56/~jnz1568/getInfo.php?workbook=10_05.xlsx&amp;sheet=U0&amp;row=16377&amp;col=6&amp;number=4.3&amp;sourceID=14","4.3")</f>
        <v>4.3</v>
      </c>
      <c r="G16377" s="4" t="str">
        <f>HYPERLINK("http://141.218.60.56/~jnz1568/getInfo.php?workbook=10_05.xlsx&amp;sheet=U0&amp;row=16377&amp;col=7&amp;number=0.00416&amp;sourceID=14","0.00416")</f>
        <v>0.00416</v>
      </c>
    </row>
    <row r="16378" spans="1:7">
      <c r="A16378" s="3"/>
      <c r="B16378" s="3"/>
      <c r="C16378" s="3"/>
      <c r="D16378" s="3"/>
      <c r="E16378" s="3">
        <v>15</v>
      </c>
      <c r="F16378" s="4" t="str">
        <f>HYPERLINK("http://141.218.60.56/~jnz1568/getInfo.php?workbook=10_05.xlsx&amp;sheet=U0&amp;row=16378&amp;col=6&amp;number=4.4&amp;sourceID=14","4.4")</f>
        <v>4.4</v>
      </c>
      <c r="G16378" s="4" t="str">
        <f>HYPERLINK("http://141.218.60.56/~jnz1568/getInfo.php?workbook=10_05.xlsx&amp;sheet=U0&amp;row=16378&amp;col=7&amp;number=0.00381&amp;sourceID=14","0.00381")</f>
        <v>0.00381</v>
      </c>
    </row>
    <row r="16379" spans="1:7">
      <c r="A16379" s="3"/>
      <c r="B16379" s="3"/>
      <c r="C16379" s="3"/>
      <c r="D16379" s="3"/>
      <c r="E16379" s="3">
        <v>16</v>
      </c>
      <c r="F16379" s="4" t="str">
        <f>HYPERLINK("http://141.218.60.56/~jnz1568/getInfo.php?workbook=10_05.xlsx&amp;sheet=U0&amp;row=16379&amp;col=6&amp;number=4.5&amp;sourceID=14","4.5")</f>
        <v>4.5</v>
      </c>
      <c r="G16379" s="4" t="str">
        <f>HYPERLINK("http://141.218.60.56/~jnz1568/getInfo.php?workbook=10_05.xlsx&amp;sheet=U0&amp;row=16379&amp;col=7&amp;number=0.00346&amp;sourceID=14","0.00346")</f>
        <v>0.00346</v>
      </c>
    </row>
    <row r="16380" spans="1:7">
      <c r="A16380" s="3"/>
      <c r="B16380" s="3"/>
      <c r="C16380" s="3"/>
      <c r="D16380" s="3"/>
      <c r="E16380" s="3">
        <v>17</v>
      </c>
      <c r="F16380" s="4" t="str">
        <f>HYPERLINK("http://141.218.60.56/~jnz1568/getInfo.php?workbook=10_05.xlsx&amp;sheet=U0&amp;row=16380&amp;col=6&amp;number=4.6&amp;sourceID=14","4.6")</f>
        <v>4.6</v>
      </c>
      <c r="G16380" s="4" t="str">
        <f>HYPERLINK("http://141.218.60.56/~jnz1568/getInfo.php?workbook=10_05.xlsx&amp;sheet=U0&amp;row=16380&amp;col=7&amp;number=0.00312&amp;sourceID=14","0.00312")</f>
        <v>0.00312</v>
      </c>
    </row>
    <row r="16381" spans="1:7">
      <c r="A16381" s="3"/>
      <c r="B16381" s="3"/>
      <c r="C16381" s="3"/>
      <c r="D16381" s="3"/>
      <c r="E16381" s="3">
        <v>18</v>
      </c>
      <c r="F16381" s="4" t="str">
        <f>HYPERLINK("http://141.218.60.56/~jnz1568/getInfo.php?workbook=10_05.xlsx&amp;sheet=U0&amp;row=16381&amp;col=6&amp;number=4.7&amp;sourceID=14","4.7")</f>
        <v>4.7</v>
      </c>
      <c r="G16381" s="4" t="str">
        <f>HYPERLINK("http://141.218.60.56/~jnz1568/getInfo.php?workbook=10_05.xlsx&amp;sheet=U0&amp;row=16381&amp;col=7&amp;number=0.00281&amp;sourceID=14","0.00281")</f>
        <v>0.00281</v>
      </c>
    </row>
    <row r="16382" spans="1:7">
      <c r="A16382" s="3"/>
      <c r="B16382" s="3"/>
      <c r="C16382" s="3"/>
      <c r="D16382" s="3"/>
      <c r="E16382" s="3">
        <v>19</v>
      </c>
      <c r="F16382" s="4" t="str">
        <f>HYPERLINK("http://141.218.60.56/~jnz1568/getInfo.php?workbook=10_05.xlsx&amp;sheet=U0&amp;row=16382&amp;col=6&amp;number=4.8&amp;sourceID=14","4.8")</f>
        <v>4.8</v>
      </c>
      <c r="G16382" s="4" t="str">
        <f>HYPERLINK("http://141.218.60.56/~jnz1568/getInfo.php?workbook=10_05.xlsx&amp;sheet=U0&amp;row=16382&amp;col=7&amp;number=0.00252&amp;sourceID=14","0.00252")</f>
        <v>0.00252</v>
      </c>
    </row>
    <row r="16383" spans="1:7">
      <c r="A16383" s="3"/>
      <c r="B16383" s="3"/>
      <c r="C16383" s="3"/>
      <c r="D16383" s="3"/>
      <c r="E16383" s="3">
        <v>20</v>
      </c>
      <c r="F16383" s="4" t="str">
        <f>HYPERLINK("http://141.218.60.56/~jnz1568/getInfo.php?workbook=10_05.xlsx&amp;sheet=U0&amp;row=16383&amp;col=6&amp;number=4.9&amp;sourceID=14","4.9")</f>
        <v>4.9</v>
      </c>
      <c r="G16383" s="4" t="str">
        <f>HYPERLINK("http://141.218.60.56/~jnz1568/getInfo.php?workbook=10_05.xlsx&amp;sheet=U0&amp;row=16383&amp;col=7&amp;number=0.00227&amp;sourceID=14","0.00227")</f>
        <v>0.00227</v>
      </c>
    </row>
    <row r="16384" spans="1:7">
      <c r="A16384" s="3">
        <v>10</v>
      </c>
      <c r="B16384" s="3">
        <v>5</v>
      </c>
      <c r="C16384" s="3">
        <v>5</v>
      </c>
      <c r="D16384" s="3">
        <v>115</v>
      </c>
      <c r="E16384" s="3">
        <v>1</v>
      </c>
      <c r="F16384" s="4" t="str">
        <f>HYPERLINK("http://141.218.60.56/~jnz1568/getInfo.php?workbook=10_05.xlsx&amp;sheet=U0&amp;row=16384&amp;col=6&amp;number=3&amp;sourceID=14","3")</f>
        <v>3</v>
      </c>
      <c r="G16384" s="4" t="str">
        <f>HYPERLINK("http://141.218.60.56/~jnz1568/getInfo.php?workbook=10_05.xlsx&amp;sheet=U0&amp;row=16384&amp;col=7&amp;number=0.00764&amp;sourceID=14","0.00764")</f>
        <v>0.00764</v>
      </c>
    </row>
    <row r="16385" spans="1:7">
      <c r="A16385" s="3"/>
      <c r="B16385" s="3"/>
      <c r="C16385" s="3"/>
      <c r="D16385" s="3"/>
      <c r="E16385" s="3">
        <v>2</v>
      </c>
      <c r="F16385" s="4" t="str">
        <f>HYPERLINK("http://141.218.60.56/~jnz1568/getInfo.php?workbook=10_05.xlsx&amp;sheet=U0&amp;row=16385&amp;col=6&amp;number=3.1&amp;sourceID=14","3.1")</f>
        <v>3.1</v>
      </c>
      <c r="G16385" s="4" t="str">
        <f>HYPERLINK("http://141.218.60.56/~jnz1568/getInfo.php?workbook=10_05.xlsx&amp;sheet=U0&amp;row=16385&amp;col=7&amp;number=0.00762&amp;sourceID=14","0.00762")</f>
        <v>0.00762</v>
      </c>
    </row>
    <row r="16386" spans="1:7">
      <c r="A16386" s="3"/>
      <c r="B16386" s="3"/>
      <c r="C16386" s="3"/>
      <c r="D16386" s="3"/>
      <c r="E16386" s="3">
        <v>3</v>
      </c>
      <c r="F16386" s="4" t="str">
        <f>HYPERLINK("http://141.218.60.56/~jnz1568/getInfo.php?workbook=10_05.xlsx&amp;sheet=U0&amp;row=16386&amp;col=6&amp;number=3.2&amp;sourceID=14","3.2")</f>
        <v>3.2</v>
      </c>
      <c r="G16386" s="4" t="str">
        <f>HYPERLINK("http://141.218.60.56/~jnz1568/getInfo.php?workbook=10_05.xlsx&amp;sheet=U0&amp;row=16386&amp;col=7&amp;number=0.0076&amp;sourceID=14","0.0076")</f>
        <v>0.0076</v>
      </c>
    </row>
    <row r="16387" spans="1:7">
      <c r="A16387" s="3"/>
      <c r="B16387" s="3"/>
      <c r="C16387" s="3"/>
      <c r="D16387" s="3"/>
      <c r="E16387" s="3">
        <v>4</v>
      </c>
      <c r="F16387" s="4" t="str">
        <f>HYPERLINK("http://141.218.60.56/~jnz1568/getInfo.php?workbook=10_05.xlsx&amp;sheet=U0&amp;row=16387&amp;col=6&amp;number=3.3&amp;sourceID=14","3.3")</f>
        <v>3.3</v>
      </c>
      <c r="G16387" s="4" t="str">
        <f>HYPERLINK("http://141.218.60.56/~jnz1568/getInfo.php?workbook=10_05.xlsx&amp;sheet=U0&amp;row=16387&amp;col=7&amp;number=0.00757&amp;sourceID=14","0.00757")</f>
        <v>0.00757</v>
      </c>
    </row>
    <row r="16388" spans="1:7">
      <c r="A16388" s="3"/>
      <c r="B16388" s="3"/>
      <c r="C16388" s="3"/>
      <c r="D16388" s="3"/>
      <c r="E16388" s="3">
        <v>5</v>
      </c>
      <c r="F16388" s="4" t="str">
        <f>HYPERLINK("http://141.218.60.56/~jnz1568/getInfo.php?workbook=10_05.xlsx&amp;sheet=U0&amp;row=16388&amp;col=6&amp;number=3.4&amp;sourceID=14","3.4")</f>
        <v>3.4</v>
      </c>
      <c r="G16388" s="4" t="str">
        <f>HYPERLINK("http://141.218.60.56/~jnz1568/getInfo.php?workbook=10_05.xlsx&amp;sheet=U0&amp;row=16388&amp;col=7&amp;number=0.00754&amp;sourceID=14","0.00754")</f>
        <v>0.00754</v>
      </c>
    </row>
    <row r="16389" spans="1:7">
      <c r="A16389" s="3"/>
      <c r="B16389" s="3"/>
      <c r="C16389" s="3"/>
      <c r="D16389" s="3"/>
      <c r="E16389" s="3">
        <v>6</v>
      </c>
      <c r="F16389" s="4" t="str">
        <f>HYPERLINK("http://141.218.60.56/~jnz1568/getInfo.php?workbook=10_05.xlsx&amp;sheet=U0&amp;row=16389&amp;col=6&amp;number=3.5&amp;sourceID=14","3.5")</f>
        <v>3.5</v>
      </c>
      <c r="G16389" s="4" t="str">
        <f>HYPERLINK("http://141.218.60.56/~jnz1568/getInfo.php?workbook=10_05.xlsx&amp;sheet=U0&amp;row=16389&amp;col=7&amp;number=0.0075&amp;sourceID=14","0.0075")</f>
        <v>0.0075</v>
      </c>
    </row>
    <row r="16390" spans="1:7">
      <c r="A16390" s="3"/>
      <c r="B16390" s="3"/>
      <c r="C16390" s="3"/>
      <c r="D16390" s="3"/>
      <c r="E16390" s="3">
        <v>7</v>
      </c>
      <c r="F16390" s="4" t="str">
        <f>HYPERLINK("http://141.218.60.56/~jnz1568/getInfo.php?workbook=10_05.xlsx&amp;sheet=U0&amp;row=16390&amp;col=6&amp;number=3.6&amp;sourceID=14","3.6")</f>
        <v>3.6</v>
      </c>
      <c r="G16390" s="4" t="str">
        <f>HYPERLINK("http://141.218.60.56/~jnz1568/getInfo.php?workbook=10_05.xlsx&amp;sheet=U0&amp;row=16390&amp;col=7&amp;number=0.00745&amp;sourceID=14","0.00745")</f>
        <v>0.00745</v>
      </c>
    </row>
    <row r="16391" spans="1:7">
      <c r="A16391" s="3"/>
      <c r="B16391" s="3"/>
      <c r="C16391" s="3"/>
      <c r="D16391" s="3"/>
      <c r="E16391" s="3">
        <v>8</v>
      </c>
      <c r="F16391" s="4" t="str">
        <f>HYPERLINK("http://141.218.60.56/~jnz1568/getInfo.php?workbook=10_05.xlsx&amp;sheet=U0&amp;row=16391&amp;col=6&amp;number=3.7&amp;sourceID=14","3.7")</f>
        <v>3.7</v>
      </c>
      <c r="G16391" s="4" t="str">
        <f>HYPERLINK("http://141.218.60.56/~jnz1568/getInfo.php?workbook=10_05.xlsx&amp;sheet=U0&amp;row=16391&amp;col=7&amp;number=0.00739&amp;sourceID=14","0.00739")</f>
        <v>0.00739</v>
      </c>
    </row>
    <row r="16392" spans="1:7">
      <c r="A16392" s="3"/>
      <c r="B16392" s="3"/>
      <c r="C16392" s="3"/>
      <c r="D16392" s="3"/>
      <c r="E16392" s="3">
        <v>9</v>
      </c>
      <c r="F16392" s="4" t="str">
        <f>HYPERLINK("http://141.218.60.56/~jnz1568/getInfo.php?workbook=10_05.xlsx&amp;sheet=U0&amp;row=16392&amp;col=6&amp;number=3.8&amp;sourceID=14","3.8")</f>
        <v>3.8</v>
      </c>
      <c r="G16392" s="4" t="str">
        <f>HYPERLINK("http://141.218.60.56/~jnz1568/getInfo.php?workbook=10_05.xlsx&amp;sheet=U0&amp;row=16392&amp;col=7&amp;number=0.00731&amp;sourceID=14","0.00731")</f>
        <v>0.00731</v>
      </c>
    </row>
    <row r="16393" spans="1:7">
      <c r="A16393" s="3"/>
      <c r="B16393" s="3"/>
      <c r="C16393" s="3"/>
      <c r="D16393" s="3"/>
      <c r="E16393" s="3">
        <v>10</v>
      </c>
      <c r="F16393" s="4" t="str">
        <f>HYPERLINK("http://141.218.60.56/~jnz1568/getInfo.php?workbook=10_05.xlsx&amp;sheet=U0&amp;row=16393&amp;col=6&amp;number=3.9&amp;sourceID=14","3.9")</f>
        <v>3.9</v>
      </c>
      <c r="G16393" s="4" t="str">
        <f>HYPERLINK("http://141.218.60.56/~jnz1568/getInfo.php?workbook=10_05.xlsx&amp;sheet=U0&amp;row=16393&amp;col=7&amp;number=0.00721&amp;sourceID=14","0.00721")</f>
        <v>0.00721</v>
      </c>
    </row>
    <row r="16394" spans="1:7">
      <c r="A16394" s="3"/>
      <c r="B16394" s="3"/>
      <c r="C16394" s="3"/>
      <c r="D16394" s="3"/>
      <c r="E16394" s="3">
        <v>11</v>
      </c>
      <c r="F16394" s="4" t="str">
        <f>HYPERLINK("http://141.218.60.56/~jnz1568/getInfo.php?workbook=10_05.xlsx&amp;sheet=U0&amp;row=16394&amp;col=6&amp;number=4&amp;sourceID=14","4")</f>
        <v>4</v>
      </c>
      <c r="G16394" s="4" t="str">
        <f>HYPERLINK("http://141.218.60.56/~jnz1568/getInfo.php?workbook=10_05.xlsx&amp;sheet=U0&amp;row=16394&amp;col=7&amp;number=0.0071&amp;sourceID=14","0.0071")</f>
        <v>0.0071</v>
      </c>
    </row>
    <row r="16395" spans="1:7">
      <c r="A16395" s="3"/>
      <c r="B16395" s="3"/>
      <c r="C16395" s="3"/>
      <c r="D16395" s="3"/>
      <c r="E16395" s="3">
        <v>12</v>
      </c>
      <c r="F16395" s="4" t="str">
        <f>HYPERLINK("http://141.218.60.56/~jnz1568/getInfo.php?workbook=10_05.xlsx&amp;sheet=U0&amp;row=16395&amp;col=6&amp;number=4.1&amp;sourceID=14","4.1")</f>
        <v>4.1</v>
      </c>
      <c r="G16395" s="4" t="str">
        <f>HYPERLINK("http://141.218.60.56/~jnz1568/getInfo.php?workbook=10_05.xlsx&amp;sheet=U0&amp;row=16395&amp;col=7&amp;number=0.00696&amp;sourceID=14","0.00696")</f>
        <v>0.00696</v>
      </c>
    </row>
    <row r="16396" spans="1:7">
      <c r="A16396" s="3"/>
      <c r="B16396" s="3"/>
      <c r="C16396" s="3"/>
      <c r="D16396" s="3"/>
      <c r="E16396" s="3">
        <v>13</v>
      </c>
      <c r="F16396" s="4" t="str">
        <f>HYPERLINK("http://141.218.60.56/~jnz1568/getInfo.php?workbook=10_05.xlsx&amp;sheet=U0&amp;row=16396&amp;col=6&amp;number=4.2&amp;sourceID=14","4.2")</f>
        <v>4.2</v>
      </c>
      <c r="G16396" s="4" t="str">
        <f>HYPERLINK("http://141.218.60.56/~jnz1568/getInfo.php?workbook=10_05.xlsx&amp;sheet=U0&amp;row=16396&amp;col=7&amp;number=0.0068&amp;sourceID=14","0.0068")</f>
        <v>0.0068</v>
      </c>
    </row>
    <row r="16397" spans="1:7">
      <c r="A16397" s="3"/>
      <c r="B16397" s="3"/>
      <c r="C16397" s="3"/>
      <c r="D16397" s="3"/>
      <c r="E16397" s="3">
        <v>14</v>
      </c>
      <c r="F16397" s="4" t="str">
        <f>HYPERLINK("http://141.218.60.56/~jnz1568/getInfo.php?workbook=10_05.xlsx&amp;sheet=U0&amp;row=16397&amp;col=6&amp;number=4.3&amp;sourceID=14","4.3")</f>
        <v>4.3</v>
      </c>
      <c r="G16397" s="4" t="str">
        <f>HYPERLINK("http://141.218.60.56/~jnz1568/getInfo.php?workbook=10_05.xlsx&amp;sheet=U0&amp;row=16397&amp;col=7&amp;number=0.00662&amp;sourceID=14","0.00662")</f>
        <v>0.00662</v>
      </c>
    </row>
    <row r="16398" spans="1:7">
      <c r="A16398" s="3"/>
      <c r="B16398" s="3"/>
      <c r="C16398" s="3"/>
      <c r="D16398" s="3"/>
      <c r="E16398" s="3">
        <v>15</v>
      </c>
      <c r="F16398" s="4" t="str">
        <f>HYPERLINK("http://141.218.60.56/~jnz1568/getInfo.php?workbook=10_05.xlsx&amp;sheet=U0&amp;row=16398&amp;col=6&amp;number=4.4&amp;sourceID=14","4.4")</f>
        <v>4.4</v>
      </c>
      <c r="G16398" s="4" t="str">
        <f>HYPERLINK("http://141.218.60.56/~jnz1568/getInfo.php?workbook=10_05.xlsx&amp;sheet=U0&amp;row=16398&amp;col=7&amp;number=0.00642&amp;sourceID=14","0.00642")</f>
        <v>0.00642</v>
      </c>
    </row>
    <row r="16399" spans="1:7">
      <c r="A16399" s="3"/>
      <c r="B16399" s="3"/>
      <c r="C16399" s="3"/>
      <c r="D16399" s="3"/>
      <c r="E16399" s="3">
        <v>16</v>
      </c>
      <c r="F16399" s="4" t="str">
        <f>HYPERLINK("http://141.218.60.56/~jnz1568/getInfo.php?workbook=10_05.xlsx&amp;sheet=U0&amp;row=16399&amp;col=6&amp;number=4.5&amp;sourceID=14","4.5")</f>
        <v>4.5</v>
      </c>
      <c r="G16399" s="4" t="str">
        <f>HYPERLINK("http://141.218.60.56/~jnz1568/getInfo.php?workbook=10_05.xlsx&amp;sheet=U0&amp;row=16399&amp;col=7&amp;number=0.00621&amp;sourceID=14","0.00621")</f>
        <v>0.00621</v>
      </c>
    </row>
    <row r="16400" spans="1:7">
      <c r="A16400" s="3"/>
      <c r="B16400" s="3"/>
      <c r="C16400" s="3"/>
      <c r="D16400" s="3"/>
      <c r="E16400" s="3">
        <v>17</v>
      </c>
      <c r="F16400" s="4" t="str">
        <f>HYPERLINK("http://141.218.60.56/~jnz1568/getInfo.php?workbook=10_05.xlsx&amp;sheet=U0&amp;row=16400&amp;col=6&amp;number=4.6&amp;sourceID=14","4.6")</f>
        <v>4.6</v>
      </c>
      <c r="G16400" s="4" t="str">
        <f>HYPERLINK("http://141.218.60.56/~jnz1568/getInfo.php?workbook=10_05.xlsx&amp;sheet=U0&amp;row=16400&amp;col=7&amp;number=0.006&amp;sourceID=14","0.006")</f>
        <v>0.006</v>
      </c>
    </row>
    <row r="16401" spans="1:7">
      <c r="A16401" s="3"/>
      <c r="B16401" s="3"/>
      <c r="C16401" s="3"/>
      <c r="D16401" s="3"/>
      <c r="E16401" s="3">
        <v>18</v>
      </c>
      <c r="F16401" s="4" t="str">
        <f>HYPERLINK("http://141.218.60.56/~jnz1568/getInfo.php?workbook=10_05.xlsx&amp;sheet=U0&amp;row=16401&amp;col=6&amp;number=4.7&amp;sourceID=14","4.7")</f>
        <v>4.7</v>
      </c>
      <c r="G16401" s="4" t="str">
        <f>HYPERLINK("http://141.218.60.56/~jnz1568/getInfo.php?workbook=10_05.xlsx&amp;sheet=U0&amp;row=16401&amp;col=7&amp;number=0.00581&amp;sourceID=14","0.00581")</f>
        <v>0.00581</v>
      </c>
    </row>
    <row r="16402" spans="1:7">
      <c r="A16402" s="3"/>
      <c r="B16402" s="3"/>
      <c r="C16402" s="3"/>
      <c r="D16402" s="3"/>
      <c r="E16402" s="3">
        <v>19</v>
      </c>
      <c r="F16402" s="4" t="str">
        <f>HYPERLINK("http://141.218.60.56/~jnz1568/getInfo.php?workbook=10_05.xlsx&amp;sheet=U0&amp;row=16402&amp;col=6&amp;number=4.8&amp;sourceID=14","4.8")</f>
        <v>4.8</v>
      </c>
      <c r="G16402" s="4" t="str">
        <f>HYPERLINK("http://141.218.60.56/~jnz1568/getInfo.php?workbook=10_05.xlsx&amp;sheet=U0&amp;row=16402&amp;col=7&amp;number=0.00563&amp;sourceID=14","0.00563")</f>
        <v>0.00563</v>
      </c>
    </row>
    <row r="16403" spans="1:7">
      <c r="A16403" s="3"/>
      <c r="B16403" s="3"/>
      <c r="C16403" s="3"/>
      <c r="D16403" s="3"/>
      <c r="E16403" s="3">
        <v>20</v>
      </c>
      <c r="F16403" s="4" t="str">
        <f>HYPERLINK("http://141.218.60.56/~jnz1568/getInfo.php?workbook=10_05.xlsx&amp;sheet=U0&amp;row=16403&amp;col=6&amp;number=4.9&amp;sourceID=14","4.9")</f>
        <v>4.9</v>
      </c>
      <c r="G16403" s="4" t="str">
        <f>HYPERLINK("http://141.218.60.56/~jnz1568/getInfo.php?workbook=10_05.xlsx&amp;sheet=U0&amp;row=16403&amp;col=7&amp;number=0.00547&amp;sourceID=14","0.00547")</f>
        <v>0.00547</v>
      </c>
    </row>
    <row r="16404" spans="1:7">
      <c r="A16404" s="3">
        <v>10</v>
      </c>
      <c r="B16404" s="3">
        <v>5</v>
      </c>
      <c r="C16404" s="3">
        <v>5</v>
      </c>
      <c r="D16404" s="3">
        <v>116</v>
      </c>
      <c r="E16404" s="3">
        <v>1</v>
      </c>
      <c r="F16404" s="4" t="str">
        <f>HYPERLINK("http://141.218.60.56/~jnz1568/getInfo.php?workbook=10_05.xlsx&amp;sheet=U0&amp;row=16404&amp;col=6&amp;number=3&amp;sourceID=14","3")</f>
        <v>3</v>
      </c>
      <c r="G16404" s="4" t="str">
        <f>HYPERLINK("http://141.218.60.56/~jnz1568/getInfo.php?workbook=10_05.xlsx&amp;sheet=U0&amp;row=16404&amp;col=7&amp;number=0.0321&amp;sourceID=14","0.0321")</f>
        <v>0.0321</v>
      </c>
    </row>
    <row r="16405" spans="1:7">
      <c r="A16405" s="3"/>
      <c r="B16405" s="3"/>
      <c r="C16405" s="3"/>
      <c r="D16405" s="3"/>
      <c r="E16405" s="3">
        <v>2</v>
      </c>
      <c r="F16405" s="4" t="str">
        <f>HYPERLINK("http://141.218.60.56/~jnz1568/getInfo.php?workbook=10_05.xlsx&amp;sheet=U0&amp;row=16405&amp;col=6&amp;number=3.1&amp;sourceID=14","3.1")</f>
        <v>3.1</v>
      </c>
      <c r="G16405" s="4" t="str">
        <f>HYPERLINK("http://141.218.60.56/~jnz1568/getInfo.php?workbook=10_05.xlsx&amp;sheet=U0&amp;row=16405&amp;col=7&amp;number=0.0321&amp;sourceID=14","0.0321")</f>
        <v>0.0321</v>
      </c>
    </row>
    <row r="16406" spans="1:7">
      <c r="A16406" s="3"/>
      <c r="B16406" s="3"/>
      <c r="C16406" s="3"/>
      <c r="D16406" s="3"/>
      <c r="E16406" s="3">
        <v>3</v>
      </c>
      <c r="F16406" s="4" t="str">
        <f>HYPERLINK("http://141.218.60.56/~jnz1568/getInfo.php?workbook=10_05.xlsx&amp;sheet=U0&amp;row=16406&amp;col=6&amp;number=3.2&amp;sourceID=14","3.2")</f>
        <v>3.2</v>
      </c>
      <c r="G16406" s="4" t="str">
        <f>HYPERLINK("http://141.218.60.56/~jnz1568/getInfo.php?workbook=10_05.xlsx&amp;sheet=U0&amp;row=16406&amp;col=7&amp;number=0.032&amp;sourceID=14","0.032")</f>
        <v>0.032</v>
      </c>
    </row>
    <row r="16407" spans="1:7">
      <c r="A16407" s="3"/>
      <c r="B16407" s="3"/>
      <c r="C16407" s="3"/>
      <c r="D16407" s="3"/>
      <c r="E16407" s="3">
        <v>4</v>
      </c>
      <c r="F16407" s="4" t="str">
        <f>HYPERLINK("http://141.218.60.56/~jnz1568/getInfo.php?workbook=10_05.xlsx&amp;sheet=U0&amp;row=16407&amp;col=6&amp;number=3.3&amp;sourceID=14","3.3")</f>
        <v>3.3</v>
      </c>
      <c r="G16407" s="4" t="str">
        <f>HYPERLINK("http://141.218.60.56/~jnz1568/getInfo.php?workbook=10_05.xlsx&amp;sheet=U0&amp;row=16407&amp;col=7&amp;number=0.032&amp;sourceID=14","0.032")</f>
        <v>0.032</v>
      </c>
    </row>
    <row r="16408" spans="1:7">
      <c r="A16408" s="3"/>
      <c r="B16408" s="3"/>
      <c r="C16408" s="3"/>
      <c r="D16408" s="3"/>
      <c r="E16408" s="3">
        <v>5</v>
      </c>
      <c r="F16408" s="4" t="str">
        <f>HYPERLINK("http://141.218.60.56/~jnz1568/getInfo.php?workbook=10_05.xlsx&amp;sheet=U0&amp;row=16408&amp;col=6&amp;number=3.4&amp;sourceID=14","3.4")</f>
        <v>3.4</v>
      </c>
      <c r="G16408" s="4" t="str">
        <f>HYPERLINK("http://141.218.60.56/~jnz1568/getInfo.php?workbook=10_05.xlsx&amp;sheet=U0&amp;row=16408&amp;col=7&amp;number=0.0319&amp;sourceID=14","0.0319")</f>
        <v>0.0319</v>
      </c>
    </row>
    <row r="16409" spans="1:7">
      <c r="A16409" s="3"/>
      <c r="B16409" s="3"/>
      <c r="C16409" s="3"/>
      <c r="D16409" s="3"/>
      <c r="E16409" s="3">
        <v>6</v>
      </c>
      <c r="F16409" s="4" t="str">
        <f>HYPERLINK("http://141.218.60.56/~jnz1568/getInfo.php?workbook=10_05.xlsx&amp;sheet=U0&amp;row=16409&amp;col=6&amp;number=3.5&amp;sourceID=14","3.5")</f>
        <v>3.5</v>
      </c>
      <c r="G16409" s="4" t="str">
        <f>HYPERLINK("http://141.218.60.56/~jnz1568/getInfo.php?workbook=10_05.xlsx&amp;sheet=U0&amp;row=16409&amp;col=7&amp;number=0.0318&amp;sourceID=14","0.0318")</f>
        <v>0.0318</v>
      </c>
    </row>
    <row r="16410" spans="1:7">
      <c r="A16410" s="3"/>
      <c r="B16410" s="3"/>
      <c r="C16410" s="3"/>
      <c r="D16410" s="3"/>
      <c r="E16410" s="3">
        <v>7</v>
      </c>
      <c r="F16410" s="4" t="str">
        <f>HYPERLINK("http://141.218.60.56/~jnz1568/getInfo.php?workbook=10_05.xlsx&amp;sheet=U0&amp;row=16410&amp;col=6&amp;number=3.6&amp;sourceID=14","3.6")</f>
        <v>3.6</v>
      </c>
      <c r="G16410" s="4" t="str">
        <f>HYPERLINK("http://141.218.60.56/~jnz1568/getInfo.php?workbook=10_05.xlsx&amp;sheet=U0&amp;row=16410&amp;col=7&amp;number=0.0317&amp;sourceID=14","0.0317")</f>
        <v>0.0317</v>
      </c>
    </row>
    <row r="16411" spans="1:7">
      <c r="A16411" s="3"/>
      <c r="B16411" s="3"/>
      <c r="C16411" s="3"/>
      <c r="D16411" s="3"/>
      <c r="E16411" s="3">
        <v>8</v>
      </c>
      <c r="F16411" s="4" t="str">
        <f>HYPERLINK("http://141.218.60.56/~jnz1568/getInfo.php?workbook=10_05.xlsx&amp;sheet=U0&amp;row=16411&amp;col=6&amp;number=3.7&amp;sourceID=14","3.7")</f>
        <v>3.7</v>
      </c>
      <c r="G16411" s="4" t="str">
        <f>HYPERLINK("http://141.218.60.56/~jnz1568/getInfo.php?workbook=10_05.xlsx&amp;sheet=U0&amp;row=16411&amp;col=7&amp;number=0.0316&amp;sourceID=14","0.0316")</f>
        <v>0.0316</v>
      </c>
    </row>
    <row r="16412" spans="1:7">
      <c r="A16412" s="3"/>
      <c r="B16412" s="3"/>
      <c r="C16412" s="3"/>
      <c r="D16412" s="3"/>
      <c r="E16412" s="3">
        <v>9</v>
      </c>
      <c r="F16412" s="4" t="str">
        <f>HYPERLINK("http://141.218.60.56/~jnz1568/getInfo.php?workbook=10_05.xlsx&amp;sheet=U0&amp;row=16412&amp;col=6&amp;number=3.8&amp;sourceID=14","3.8")</f>
        <v>3.8</v>
      </c>
      <c r="G16412" s="4" t="str">
        <f>HYPERLINK("http://141.218.60.56/~jnz1568/getInfo.php?workbook=10_05.xlsx&amp;sheet=U0&amp;row=16412&amp;col=7&amp;number=0.0314&amp;sourceID=14","0.0314")</f>
        <v>0.0314</v>
      </c>
    </row>
    <row r="16413" spans="1:7">
      <c r="A16413" s="3"/>
      <c r="B16413" s="3"/>
      <c r="C16413" s="3"/>
      <c r="D16413" s="3"/>
      <c r="E16413" s="3">
        <v>10</v>
      </c>
      <c r="F16413" s="4" t="str">
        <f>HYPERLINK("http://141.218.60.56/~jnz1568/getInfo.php?workbook=10_05.xlsx&amp;sheet=U0&amp;row=16413&amp;col=6&amp;number=3.9&amp;sourceID=14","3.9")</f>
        <v>3.9</v>
      </c>
      <c r="G16413" s="4" t="str">
        <f>HYPERLINK("http://141.218.60.56/~jnz1568/getInfo.php?workbook=10_05.xlsx&amp;sheet=U0&amp;row=16413&amp;col=7&amp;number=0.0312&amp;sourceID=14","0.0312")</f>
        <v>0.0312</v>
      </c>
    </row>
    <row r="16414" spans="1:7">
      <c r="A16414" s="3"/>
      <c r="B16414" s="3"/>
      <c r="C16414" s="3"/>
      <c r="D16414" s="3"/>
      <c r="E16414" s="3">
        <v>11</v>
      </c>
      <c r="F16414" s="4" t="str">
        <f>HYPERLINK("http://141.218.60.56/~jnz1568/getInfo.php?workbook=10_05.xlsx&amp;sheet=U0&amp;row=16414&amp;col=6&amp;number=4&amp;sourceID=14","4")</f>
        <v>4</v>
      </c>
      <c r="G16414" s="4" t="str">
        <f>HYPERLINK("http://141.218.60.56/~jnz1568/getInfo.php?workbook=10_05.xlsx&amp;sheet=U0&amp;row=16414&amp;col=7&amp;number=0.031&amp;sourceID=14","0.031")</f>
        <v>0.031</v>
      </c>
    </row>
    <row r="16415" spans="1:7">
      <c r="A16415" s="3"/>
      <c r="B16415" s="3"/>
      <c r="C16415" s="3"/>
      <c r="D16415" s="3"/>
      <c r="E16415" s="3">
        <v>12</v>
      </c>
      <c r="F16415" s="4" t="str">
        <f>HYPERLINK("http://141.218.60.56/~jnz1568/getInfo.php?workbook=10_05.xlsx&amp;sheet=U0&amp;row=16415&amp;col=6&amp;number=4.1&amp;sourceID=14","4.1")</f>
        <v>4.1</v>
      </c>
      <c r="G16415" s="4" t="str">
        <f>HYPERLINK("http://141.218.60.56/~jnz1568/getInfo.php?workbook=10_05.xlsx&amp;sheet=U0&amp;row=16415&amp;col=7&amp;number=0.0307&amp;sourceID=14","0.0307")</f>
        <v>0.0307</v>
      </c>
    </row>
    <row r="16416" spans="1:7">
      <c r="A16416" s="3"/>
      <c r="B16416" s="3"/>
      <c r="C16416" s="3"/>
      <c r="D16416" s="3"/>
      <c r="E16416" s="3">
        <v>13</v>
      </c>
      <c r="F16416" s="4" t="str">
        <f>HYPERLINK("http://141.218.60.56/~jnz1568/getInfo.php?workbook=10_05.xlsx&amp;sheet=U0&amp;row=16416&amp;col=6&amp;number=4.2&amp;sourceID=14","4.2")</f>
        <v>4.2</v>
      </c>
      <c r="G16416" s="4" t="str">
        <f>HYPERLINK("http://141.218.60.56/~jnz1568/getInfo.php?workbook=10_05.xlsx&amp;sheet=U0&amp;row=16416&amp;col=7&amp;number=0.0303&amp;sourceID=14","0.0303")</f>
        <v>0.0303</v>
      </c>
    </row>
    <row r="16417" spans="1:7">
      <c r="A16417" s="3"/>
      <c r="B16417" s="3"/>
      <c r="C16417" s="3"/>
      <c r="D16417" s="3"/>
      <c r="E16417" s="3">
        <v>14</v>
      </c>
      <c r="F16417" s="4" t="str">
        <f>HYPERLINK("http://141.218.60.56/~jnz1568/getInfo.php?workbook=10_05.xlsx&amp;sheet=U0&amp;row=16417&amp;col=6&amp;number=4.3&amp;sourceID=14","4.3")</f>
        <v>4.3</v>
      </c>
      <c r="G16417" s="4" t="str">
        <f>HYPERLINK("http://141.218.60.56/~jnz1568/getInfo.php?workbook=10_05.xlsx&amp;sheet=U0&amp;row=16417&amp;col=7&amp;number=0.0299&amp;sourceID=14","0.0299")</f>
        <v>0.0299</v>
      </c>
    </row>
    <row r="16418" spans="1:7">
      <c r="A16418" s="3"/>
      <c r="B16418" s="3"/>
      <c r="C16418" s="3"/>
      <c r="D16418" s="3"/>
      <c r="E16418" s="3">
        <v>15</v>
      </c>
      <c r="F16418" s="4" t="str">
        <f>HYPERLINK("http://141.218.60.56/~jnz1568/getInfo.php?workbook=10_05.xlsx&amp;sheet=U0&amp;row=16418&amp;col=6&amp;number=4.4&amp;sourceID=14","4.4")</f>
        <v>4.4</v>
      </c>
      <c r="G16418" s="4" t="str">
        <f>HYPERLINK("http://141.218.60.56/~jnz1568/getInfo.php?workbook=10_05.xlsx&amp;sheet=U0&amp;row=16418&amp;col=7&amp;number=0.0295&amp;sourceID=14","0.0295")</f>
        <v>0.0295</v>
      </c>
    </row>
    <row r="16419" spans="1:7">
      <c r="A16419" s="3"/>
      <c r="B16419" s="3"/>
      <c r="C16419" s="3"/>
      <c r="D16419" s="3"/>
      <c r="E16419" s="3">
        <v>16</v>
      </c>
      <c r="F16419" s="4" t="str">
        <f>HYPERLINK("http://141.218.60.56/~jnz1568/getInfo.php?workbook=10_05.xlsx&amp;sheet=U0&amp;row=16419&amp;col=6&amp;number=4.5&amp;sourceID=14","4.5")</f>
        <v>4.5</v>
      </c>
      <c r="G16419" s="4" t="str">
        <f>HYPERLINK("http://141.218.60.56/~jnz1568/getInfo.php?workbook=10_05.xlsx&amp;sheet=U0&amp;row=16419&amp;col=7&amp;number=0.029&amp;sourceID=14","0.029")</f>
        <v>0.029</v>
      </c>
    </row>
    <row r="16420" spans="1:7">
      <c r="A16420" s="3"/>
      <c r="B16420" s="3"/>
      <c r="C16420" s="3"/>
      <c r="D16420" s="3"/>
      <c r="E16420" s="3">
        <v>17</v>
      </c>
      <c r="F16420" s="4" t="str">
        <f>HYPERLINK("http://141.218.60.56/~jnz1568/getInfo.php?workbook=10_05.xlsx&amp;sheet=U0&amp;row=16420&amp;col=6&amp;number=4.6&amp;sourceID=14","4.6")</f>
        <v>4.6</v>
      </c>
      <c r="G16420" s="4" t="str">
        <f>HYPERLINK("http://141.218.60.56/~jnz1568/getInfo.php?workbook=10_05.xlsx&amp;sheet=U0&amp;row=16420&amp;col=7&amp;number=0.0286&amp;sourceID=14","0.0286")</f>
        <v>0.0286</v>
      </c>
    </row>
    <row r="16421" spans="1:7">
      <c r="A16421" s="3"/>
      <c r="B16421" s="3"/>
      <c r="C16421" s="3"/>
      <c r="D16421" s="3"/>
      <c r="E16421" s="3">
        <v>18</v>
      </c>
      <c r="F16421" s="4" t="str">
        <f>HYPERLINK("http://141.218.60.56/~jnz1568/getInfo.php?workbook=10_05.xlsx&amp;sheet=U0&amp;row=16421&amp;col=6&amp;number=4.7&amp;sourceID=14","4.7")</f>
        <v>4.7</v>
      </c>
      <c r="G16421" s="4" t="str">
        <f>HYPERLINK("http://141.218.60.56/~jnz1568/getInfo.php?workbook=10_05.xlsx&amp;sheet=U0&amp;row=16421&amp;col=7&amp;number=0.0281&amp;sourceID=14","0.0281")</f>
        <v>0.0281</v>
      </c>
    </row>
    <row r="16422" spans="1:7">
      <c r="A16422" s="3"/>
      <c r="B16422" s="3"/>
      <c r="C16422" s="3"/>
      <c r="D16422" s="3"/>
      <c r="E16422" s="3">
        <v>19</v>
      </c>
      <c r="F16422" s="4" t="str">
        <f>HYPERLINK("http://141.218.60.56/~jnz1568/getInfo.php?workbook=10_05.xlsx&amp;sheet=U0&amp;row=16422&amp;col=6&amp;number=4.8&amp;sourceID=14","4.8")</f>
        <v>4.8</v>
      </c>
      <c r="G16422" s="4" t="str">
        <f>HYPERLINK("http://141.218.60.56/~jnz1568/getInfo.php?workbook=10_05.xlsx&amp;sheet=U0&amp;row=16422&amp;col=7&amp;number=0.0276&amp;sourceID=14","0.0276")</f>
        <v>0.0276</v>
      </c>
    </row>
    <row r="16423" spans="1:7">
      <c r="A16423" s="3"/>
      <c r="B16423" s="3"/>
      <c r="C16423" s="3"/>
      <c r="D16423" s="3"/>
      <c r="E16423" s="3">
        <v>20</v>
      </c>
      <c r="F16423" s="4" t="str">
        <f>HYPERLINK("http://141.218.60.56/~jnz1568/getInfo.php?workbook=10_05.xlsx&amp;sheet=U0&amp;row=16423&amp;col=6&amp;number=4.9&amp;sourceID=14","4.9")</f>
        <v>4.9</v>
      </c>
      <c r="G16423" s="4" t="str">
        <f>HYPERLINK("http://141.218.60.56/~jnz1568/getInfo.php?workbook=10_05.xlsx&amp;sheet=U0&amp;row=16423&amp;col=7&amp;number=0.0271&amp;sourceID=14","0.0271")</f>
        <v>0.0271</v>
      </c>
    </row>
    <row r="16424" spans="1:7">
      <c r="A16424" s="3">
        <v>10</v>
      </c>
      <c r="B16424" s="3">
        <v>5</v>
      </c>
      <c r="C16424" s="3">
        <v>5</v>
      </c>
      <c r="D16424" s="3">
        <v>117</v>
      </c>
      <c r="E16424" s="3">
        <v>1</v>
      </c>
      <c r="F16424" s="4" t="str">
        <f>HYPERLINK("http://141.218.60.56/~jnz1568/getInfo.php?workbook=10_05.xlsx&amp;sheet=U0&amp;row=16424&amp;col=6&amp;number=3&amp;sourceID=14","3")</f>
        <v>3</v>
      </c>
      <c r="G16424" s="4" t="str">
        <f>HYPERLINK("http://141.218.60.56/~jnz1568/getInfo.php?workbook=10_05.xlsx&amp;sheet=U0&amp;row=16424&amp;col=7&amp;number=0.181&amp;sourceID=14","0.181")</f>
        <v>0.181</v>
      </c>
    </row>
    <row r="16425" spans="1:7">
      <c r="A16425" s="3"/>
      <c r="B16425" s="3"/>
      <c r="C16425" s="3"/>
      <c r="D16425" s="3"/>
      <c r="E16425" s="3">
        <v>2</v>
      </c>
      <c r="F16425" s="4" t="str">
        <f>HYPERLINK("http://141.218.60.56/~jnz1568/getInfo.php?workbook=10_05.xlsx&amp;sheet=U0&amp;row=16425&amp;col=6&amp;number=3.1&amp;sourceID=14","3.1")</f>
        <v>3.1</v>
      </c>
      <c r="G16425" s="4" t="str">
        <f>HYPERLINK("http://141.218.60.56/~jnz1568/getInfo.php?workbook=10_05.xlsx&amp;sheet=U0&amp;row=16425&amp;col=7&amp;number=0.18&amp;sourceID=14","0.18")</f>
        <v>0.18</v>
      </c>
    </row>
    <row r="16426" spans="1:7">
      <c r="A16426" s="3"/>
      <c r="B16426" s="3"/>
      <c r="C16426" s="3"/>
      <c r="D16426" s="3"/>
      <c r="E16426" s="3">
        <v>3</v>
      </c>
      <c r="F16426" s="4" t="str">
        <f>HYPERLINK("http://141.218.60.56/~jnz1568/getInfo.php?workbook=10_05.xlsx&amp;sheet=U0&amp;row=16426&amp;col=6&amp;number=3.2&amp;sourceID=14","3.2")</f>
        <v>3.2</v>
      </c>
      <c r="G16426" s="4" t="str">
        <f>HYPERLINK("http://141.218.60.56/~jnz1568/getInfo.php?workbook=10_05.xlsx&amp;sheet=U0&amp;row=16426&amp;col=7&amp;number=0.179&amp;sourceID=14","0.179")</f>
        <v>0.179</v>
      </c>
    </row>
    <row r="16427" spans="1:7">
      <c r="A16427" s="3"/>
      <c r="B16427" s="3"/>
      <c r="C16427" s="3"/>
      <c r="D16427" s="3"/>
      <c r="E16427" s="3">
        <v>4</v>
      </c>
      <c r="F16427" s="4" t="str">
        <f>HYPERLINK("http://141.218.60.56/~jnz1568/getInfo.php?workbook=10_05.xlsx&amp;sheet=U0&amp;row=16427&amp;col=6&amp;number=3.3&amp;sourceID=14","3.3")</f>
        <v>3.3</v>
      </c>
      <c r="G16427" s="4" t="str">
        <f>HYPERLINK("http://141.218.60.56/~jnz1568/getInfo.php?workbook=10_05.xlsx&amp;sheet=U0&amp;row=16427&amp;col=7&amp;number=0.178&amp;sourceID=14","0.178")</f>
        <v>0.178</v>
      </c>
    </row>
    <row r="16428" spans="1:7">
      <c r="A16428" s="3"/>
      <c r="B16428" s="3"/>
      <c r="C16428" s="3"/>
      <c r="D16428" s="3"/>
      <c r="E16428" s="3">
        <v>5</v>
      </c>
      <c r="F16428" s="4" t="str">
        <f>HYPERLINK("http://141.218.60.56/~jnz1568/getInfo.php?workbook=10_05.xlsx&amp;sheet=U0&amp;row=16428&amp;col=6&amp;number=3.4&amp;sourceID=14","3.4")</f>
        <v>3.4</v>
      </c>
      <c r="G16428" s="4" t="str">
        <f>HYPERLINK("http://141.218.60.56/~jnz1568/getInfo.php?workbook=10_05.xlsx&amp;sheet=U0&amp;row=16428&amp;col=7&amp;number=0.176&amp;sourceID=14","0.176")</f>
        <v>0.176</v>
      </c>
    </row>
    <row r="16429" spans="1:7">
      <c r="A16429" s="3"/>
      <c r="B16429" s="3"/>
      <c r="C16429" s="3"/>
      <c r="D16429" s="3"/>
      <c r="E16429" s="3">
        <v>6</v>
      </c>
      <c r="F16429" s="4" t="str">
        <f>HYPERLINK("http://141.218.60.56/~jnz1568/getInfo.php?workbook=10_05.xlsx&amp;sheet=U0&amp;row=16429&amp;col=6&amp;number=3.5&amp;sourceID=14","3.5")</f>
        <v>3.5</v>
      </c>
      <c r="G16429" s="4" t="str">
        <f>HYPERLINK("http://141.218.60.56/~jnz1568/getInfo.php?workbook=10_05.xlsx&amp;sheet=U0&amp;row=16429&amp;col=7&amp;number=0.174&amp;sourceID=14","0.174")</f>
        <v>0.174</v>
      </c>
    </row>
    <row r="16430" spans="1:7">
      <c r="A16430" s="3"/>
      <c r="B16430" s="3"/>
      <c r="C16430" s="3"/>
      <c r="D16430" s="3"/>
      <c r="E16430" s="3">
        <v>7</v>
      </c>
      <c r="F16430" s="4" t="str">
        <f>HYPERLINK("http://141.218.60.56/~jnz1568/getInfo.php?workbook=10_05.xlsx&amp;sheet=U0&amp;row=16430&amp;col=6&amp;number=3.6&amp;sourceID=14","3.6")</f>
        <v>3.6</v>
      </c>
      <c r="G16430" s="4" t="str">
        <f>HYPERLINK("http://141.218.60.56/~jnz1568/getInfo.php?workbook=10_05.xlsx&amp;sheet=U0&amp;row=16430&amp;col=7&amp;number=0.171&amp;sourceID=14","0.171")</f>
        <v>0.171</v>
      </c>
    </row>
    <row r="16431" spans="1:7">
      <c r="A16431" s="3"/>
      <c r="B16431" s="3"/>
      <c r="C16431" s="3"/>
      <c r="D16431" s="3"/>
      <c r="E16431" s="3">
        <v>8</v>
      </c>
      <c r="F16431" s="4" t="str">
        <f>HYPERLINK("http://141.218.60.56/~jnz1568/getInfo.php?workbook=10_05.xlsx&amp;sheet=U0&amp;row=16431&amp;col=6&amp;number=3.7&amp;sourceID=14","3.7")</f>
        <v>3.7</v>
      </c>
      <c r="G16431" s="4" t="str">
        <f>HYPERLINK("http://141.218.60.56/~jnz1568/getInfo.php?workbook=10_05.xlsx&amp;sheet=U0&amp;row=16431&amp;col=7&amp;number=0.167&amp;sourceID=14","0.167")</f>
        <v>0.167</v>
      </c>
    </row>
    <row r="16432" spans="1:7">
      <c r="A16432" s="3"/>
      <c r="B16432" s="3"/>
      <c r="C16432" s="3"/>
      <c r="D16432" s="3"/>
      <c r="E16432" s="3">
        <v>9</v>
      </c>
      <c r="F16432" s="4" t="str">
        <f>HYPERLINK("http://141.218.60.56/~jnz1568/getInfo.php?workbook=10_05.xlsx&amp;sheet=U0&amp;row=16432&amp;col=6&amp;number=3.8&amp;sourceID=14","3.8")</f>
        <v>3.8</v>
      </c>
      <c r="G16432" s="4" t="str">
        <f>HYPERLINK("http://141.218.60.56/~jnz1568/getInfo.php?workbook=10_05.xlsx&amp;sheet=U0&amp;row=16432&amp;col=7&amp;number=0.163&amp;sourceID=14","0.163")</f>
        <v>0.163</v>
      </c>
    </row>
    <row r="16433" spans="1:7">
      <c r="A16433" s="3"/>
      <c r="B16433" s="3"/>
      <c r="C16433" s="3"/>
      <c r="D16433" s="3"/>
      <c r="E16433" s="3">
        <v>10</v>
      </c>
      <c r="F16433" s="4" t="str">
        <f>HYPERLINK("http://141.218.60.56/~jnz1568/getInfo.php?workbook=10_05.xlsx&amp;sheet=U0&amp;row=16433&amp;col=6&amp;number=3.9&amp;sourceID=14","3.9")</f>
        <v>3.9</v>
      </c>
      <c r="G16433" s="4" t="str">
        <f>HYPERLINK("http://141.218.60.56/~jnz1568/getInfo.php?workbook=10_05.xlsx&amp;sheet=U0&amp;row=16433&amp;col=7&amp;number=0.158&amp;sourceID=14","0.158")</f>
        <v>0.158</v>
      </c>
    </row>
    <row r="16434" spans="1:7">
      <c r="A16434" s="3"/>
      <c r="B16434" s="3"/>
      <c r="C16434" s="3"/>
      <c r="D16434" s="3"/>
      <c r="E16434" s="3">
        <v>11</v>
      </c>
      <c r="F16434" s="4" t="str">
        <f>HYPERLINK("http://141.218.60.56/~jnz1568/getInfo.php?workbook=10_05.xlsx&amp;sheet=U0&amp;row=16434&amp;col=6&amp;number=4&amp;sourceID=14","4")</f>
        <v>4</v>
      </c>
      <c r="G16434" s="4" t="str">
        <f>HYPERLINK("http://141.218.60.56/~jnz1568/getInfo.php?workbook=10_05.xlsx&amp;sheet=U0&amp;row=16434&amp;col=7&amp;number=0.152&amp;sourceID=14","0.152")</f>
        <v>0.152</v>
      </c>
    </row>
    <row r="16435" spans="1:7">
      <c r="A16435" s="3"/>
      <c r="B16435" s="3"/>
      <c r="C16435" s="3"/>
      <c r="D16435" s="3"/>
      <c r="E16435" s="3">
        <v>12</v>
      </c>
      <c r="F16435" s="4" t="str">
        <f>HYPERLINK("http://141.218.60.56/~jnz1568/getInfo.php?workbook=10_05.xlsx&amp;sheet=U0&amp;row=16435&amp;col=6&amp;number=4.1&amp;sourceID=14","4.1")</f>
        <v>4.1</v>
      </c>
      <c r="G16435" s="4" t="str">
        <f>HYPERLINK("http://141.218.60.56/~jnz1568/getInfo.php?workbook=10_05.xlsx&amp;sheet=U0&amp;row=16435&amp;col=7&amp;number=0.145&amp;sourceID=14","0.145")</f>
        <v>0.145</v>
      </c>
    </row>
    <row r="16436" spans="1:7">
      <c r="A16436" s="3"/>
      <c r="B16436" s="3"/>
      <c r="C16436" s="3"/>
      <c r="D16436" s="3"/>
      <c r="E16436" s="3">
        <v>13</v>
      </c>
      <c r="F16436" s="4" t="str">
        <f>HYPERLINK("http://141.218.60.56/~jnz1568/getInfo.php?workbook=10_05.xlsx&amp;sheet=U0&amp;row=16436&amp;col=6&amp;number=4.2&amp;sourceID=14","4.2")</f>
        <v>4.2</v>
      </c>
      <c r="G16436" s="4" t="str">
        <f>HYPERLINK("http://141.218.60.56/~jnz1568/getInfo.php?workbook=10_05.xlsx&amp;sheet=U0&amp;row=16436&amp;col=7&amp;number=0.137&amp;sourceID=14","0.137")</f>
        <v>0.137</v>
      </c>
    </row>
    <row r="16437" spans="1:7">
      <c r="A16437" s="3"/>
      <c r="B16437" s="3"/>
      <c r="C16437" s="3"/>
      <c r="D16437" s="3"/>
      <c r="E16437" s="3">
        <v>14</v>
      </c>
      <c r="F16437" s="4" t="str">
        <f>HYPERLINK("http://141.218.60.56/~jnz1568/getInfo.php?workbook=10_05.xlsx&amp;sheet=U0&amp;row=16437&amp;col=6&amp;number=4.3&amp;sourceID=14","4.3")</f>
        <v>4.3</v>
      </c>
      <c r="G16437" s="4" t="str">
        <f>HYPERLINK("http://141.218.60.56/~jnz1568/getInfo.php?workbook=10_05.xlsx&amp;sheet=U0&amp;row=16437&amp;col=7&amp;number=0.129&amp;sourceID=14","0.129")</f>
        <v>0.129</v>
      </c>
    </row>
    <row r="16438" spans="1:7">
      <c r="A16438" s="3"/>
      <c r="B16438" s="3"/>
      <c r="C16438" s="3"/>
      <c r="D16438" s="3"/>
      <c r="E16438" s="3">
        <v>15</v>
      </c>
      <c r="F16438" s="4" t="str">
        <f>HYPERLINK("http://141.218.60.56/~jnz1568/getInfo.php?workbook=10_05.xlsx&amp;sheet=U0&amp;row=16438&amp;col=6&amp;number=4.4&amp;sourceID=14","4.4")</f>
        <v>4.4</v>
      </c>
      <c r="G16438" s="4" t="str">
        <f>HYPERLINK("http://141.218.60.56/~jnz1568/getInfo.php?workbook=10_05.xlsx&amp;sheet=U0&amp;row=16438&amp;col=7&amp;number=0.121&amp;sourceID=14","0.121")</f>
        <v>0.121</v>
      </c>
    </row>
    <row r="16439" spans="1:7">
      <c r="A16439" s="3"/>
      <c r="B16439" s="3"/>
      <c r="C16439" s="3"/>
      <c r="D16439" s="3"/>
      <c r="E16439" s="3">
        <v>16</v>
      </c>
      <c r="F16439" s="4" t="str">
        <f>HYPERLINK("http://141.218.60.56/~jnz1568/getInfo.php?workbook=10_05.xlsx&amp;sheet=U0&amp;row=16439&amp;col=6&amp;number=4.5&amp;sourceID=14","4.5")</f>
        <v>4.5</v>
      </c>
      <c r="G16439" s="4" t="str">
        <f>HYPERLINK("http://141.218.60.56/~jnz1568/getInfo.php?workbook=10_05.xlsx&amp;sheet=U0&amp;row=16439&amp;col=7&amp;number=0.115&amp;sourceID=14","0.115")</f>
        <v>0.115</v>
      </c>
    </row>
    <row r="16440" spans="1:7">
      <c r="A16440" s="3"/>
      <c r="B16440" s="3"/>
      <c r="C16440" s="3"/>
      <c r="D16440" s="3"/>
      <c r="E16440" s="3">
        <v>17</v>
      </c>
      <c r="F16440" s="4" t="str">
        <f>HYPERLINK("http://141.218.60.56/~jnz1568/getInfo.php?workbook=10_05.xlsx&amp;sheet=U0&amp;row=16440&amp;col=6&amp;number=4.6&amp;sourceID=14","4.6")</f>
        <v>4.6</v>
      </c>
      <c r="G16440" s="4" t="str">
        <f>HYPERLINK("http://141.218.60.56/~jnz1568/getInfo.php?workbook=10_05.xlsx&amp;sheet=U0&amp;row=16440&amp;col=7&amp;number=0.11&amp;sourceID=14","0.11")</f>
        <v>0.11</v>
      </c>
    </row>
    <row r="16441" spans="1:7">
      <c r="A16441" s="3"/>
      <c r="B16441" s="3"/>
      <c r="C16441" s="3"/>
      <c r="D16441" s="3"/>
      <c r="E16441" s="3">
        <v>18</v>
      </c>
      <c r="F16441" s="4" t="str">
        <f>HYPERLINK("http://141.218.60.56/~jnz1568/getInfo.php?workbook=10_05.xlsx&amp;sheet=U0&amp;row=16441&amp;col=6&amp;number=4.7&amp;sourceID=14","4.7")</f>
        <v>4.7</v>
      </c>
      <c r="G16441" s="4" t="str">
        <f>HYPERLINK("http://141.218.60.56/~jnz1568/getInfo.php?workbook=10_05.xlsx&amp;sheet=U0&amp;row=16441&amp;col=7&amp;number=0.106&amp;sourceID=14","0.106")</f>
        <v>0.106</v>
      </c>
    </row>
    <row r="16442" spans="1:7">
      <c r="A16442" s="3"/>
      <c r="B16442" s="3"/>
      <c r="C16442" s="3"/>
      <c r="D16442" s="3"/>
      <c r="E16442" s="3">
        <v>19</v>
      </c>
      <c r="F16442" s="4" t="str">
        <f>HYPERLINK("http://141.218.60.56/~jnz1568/getInfo.php?workbook=10_05.xlsx&amp;sheet=U0&amp;row=16442&amp;col=6&amp;number=4.8&amp;sourceID=14","4.8")</f>
        <v>4.8</v>
      </c>
      <c r="G16442" s="4" t="str">
        <f>HYPERLINK("http://141.218.60.56/~jnz1568/getInfo.php?workbook=10_05.xlsx&amp;sheet=U0&amp;row=16442&amp;col=7&amp;number=0.102&amp;sourceID=14","0.102")</f>
        <v>0.102</v>
      </c>
    </row>
    <row r="16443" spans="1:7">
      <c r="A16443" s="3"/>
      <c r="B16443" s="3"/>
      <c r="C16443" s="3"/>
      <c r="D16443" s="3"/>
      <c r="E16443" s="3">
        <v>20</v>
      </c>
      <c r="F16443" s="4" t="str">
        <f>HYPERLINK("http://141.218.60.56/~jnz1568/getInfo.php?workbook=10_05.xlsx&amp;sheet=U0&amp;row=16443&amp;col=6&amp;number=4.9&amp;sourceID=14","4.9")</f>
        <v>4.9</v>
      </c>
      <c r="G16443" s="4" t="str">
        <f>HYPERLINK("http://141.218.60.56/~jnz1568/getInfo.php?workbook=10_05.xlsx&amp;sheet=U0&amp;row=16443&amp;col=7&amp;number=0.0982&amp;sourceID=14","0.0982")</f>
        <v>0.0982</v>
      </c>
    </row>
    <row r="16444" spans="1:7">
      <c r="A16444" s="3">
        <v>10</v>
      </c>
      <c r="B16444" s="3">
        <v>5</v>
      </c>
      <c r="C16444" s="3">
        <v>5</v>
      </c>
      <c r="D16444" s="3">
        <v>118</v>
      </c>
      <c r="E16444" s="3">
        <v>1</v>
      </c>
      <c r="F16444" s="4" t="str">
        <f>HYPERLINK("http://141.218.60.56/~jnz1568/getInfo.php?workbook=10_05.xlsx&amp;sheet=U0&amp;row=16444&amp;col=6&amp;number=3&amp;sourceID=14","3")</f>
        <v>3</v>
      </c>
      <c r="G16444" s="4" t="str">
        <f>HYPERLINK("http://141.218.60.56/~jnz1568/getInfo.php?workbook=10_05.xlsx&amp;sheet=U0&amp;row=16444&amp;col=7&amp;number=0.0575&amp;sourceID=14","0.0575")</f>
        <v>0.0575</v>
      </c>
    </row>
    <row r="16445" spans="1:7">
      <c r="A16445" s="3"/>
      <c r="B16445" s="3"/>
      <c r="C16445" s="3"/>
      <c r="D16445" s="3"/>
      <c r="E16445" s="3">
        <v>2</v>
      </c>
      <c r="F16445" s="4" t="str">
        <f>HYPERLINK("http://141.218.60.56/~jnz1568/getInfo.php?workbook=10_05.xlsx&amp;sheet=U0&amp;row=16445&amp;col=6&amp;number=3.1&amp;sourceID=14","3.1")</f>
        <v>3.1</v>
      </c>
      <c r="G16445" s="4" t="str">
        <f>HYPERLINK("http://141.218.60.56/~jnz1568/getInfo.php?workbook=10_05.xlsx&amp;sheet=U0&amp;row=16445&amp;col=7&amp;number=0.0572&amp;sourceID=14","0.0572")</f>
        <v>0.0572</v>
      </c>
    </row>
    <row r="16446" spans="1:7">
      <c r="A16446" s="3"/>
      <c r="B16446" s="3"/>
      <c r="C16446" s="3"/>
      <c r="D16446" s="3"/>
      <c r="E16446" s="3">
        <v>3</v>
      </c>
      <c r="F16446" s="4" t="str">
        <f>HYPERLINK("http://141.218.60.56/~jnz1568/getInfo.php?workbook=10_05.xlsx&amp;sheet=U0&amp;row=16446&amp;col=6&amp;number=3.2&amp;sourceID=14","3.2")</f>
        <v>3.2</v>
      </c>
      <c r="G16446" s="4" t="str">
        <f>HYPERLINK("http://141.218.60.56/~jnz1568/getInfo.php?workbook=10_05.xlsx&amp;sheet=U0&amp;row=16446&amp;col=7&amp;number=0.0568&amp;sourceID=14","0.0568")</f>
        <v>0.0568</v>
      </c>
    </row>
    <row r="16447" spans="1:7">
      <c r="A16447" s="3"/>
      <c r="B16447" s="3"/>
      <c r="C16447" s="3"/>
      <c r="D16447" s="3"/>
      <c r="E16447" s="3">
        <v>4</v>
      </c>
      <c r="F16447" s="4" t="str">
        <f>HYPERLINK("http://141.218.60.56/~jnz1568/getInfo.php?workbook=10_05.xlsx&amp;sheet=U0&amp;row=16447&amp;col=6&amp;number=3.3&amp;sourceID=14","3.3")</f>
        <v>3.3</v>
      </c>
      <c r="G16447" s="4" t="str">
        <f>HYPERLINK("http://141.218.60.56/~jnz1568/getInfo.php?workbook=10_05.xlsx&amp;sheet=U0&amp;row=16447&amp;col=7&amp;number=0.0564&amp;sourceID=14","0.0564")</f>
        <v>0.0564</v>
      </c>
    </row>
    <row r="16448" spans="1:7">
      <c r="A16448" s="3"/>
      <c r="B16448" s="3"/>
      <c r="C16448" s="3"/>
      <c r="D16448" s="3"/>
      <c r="E16448" s="3">
        <v>5</v>
      </c>
      <c r="F16448" s="4" t="str">
        <f>HYPERLINK("http://141.218.60.56/~jnz1568/getInfo.php?workbook=10_05.xlsx&amp;sheet=U0&amp;row=16448&amp;col=6&amp;number=3.4&amp;sourceID=14","3.4")</f>
        <v>3.4</v>
      </c>
      <c r="G16448" s="4" t="str">
        <f>HYPERLINK("http://141.218.60.56/~jnz1568/getInfo.php?workbook=10_05.xlsx&amp;sheet=U0&amp;row=16448&amp;col=7&amp;number=0.0558&amp;sourceID=14","0.0558")</f>
        <v>0.0558</v>
      </c>
    </row>
    <row r="16449" spans="1:7">
      <c r="A16449" s="3"/>
      <c r="B16449" s="3"/>
      <c r="C16449" s="3"/>
      <c r="D16449" s="3"/>
      <c r="E16449" s="3">
        <v>6</v>
      </c>
      <c r="F16449" s="4" t="str">
        <f>HYPERLINK("http://141.218.60.56/~jnz1568/getInfo.php?workbook=10_05.xlsx&amp;sheet=U0&amp;row=16449&amp;col=6&amp;number=3.5&amp;sourceID=14","3.5")</f>
        <v>3.5</v>
      </c>
      <c r="G16449" s="4" t="str">
        <f>HYPERLINK("http://141.218.60.56/~jnz1568/getInfo.php?workbook=10_05.xlsx&amp;sheet=U0&amp;row=16449&amp;col=7&amp;number=0.0551&amp;sourceID=14","0.0551")</f>
        <v>0.0551</v>
      </c>
    </row>
    <row r="16450" spans="1:7">
      <c r="A16450" s="3"/>
      <c r="B16450" s="3"/>
      <c r="C16450" s="3"/>
      <c r="D16450" s="3"/>
      <c r="E16450" s="3">
        <v>7</v>
      </c>
      <c r="F16450" s="4" t="str">
        <f>HYPERLINK("http://141.218.60.56/~jnz1568/getInfo.php?workbook=10_05.xlsx&amp;sheet=U0&amp;row=16450&amp;col=6&amp;number=3.6&amp;sourceID=14","3.6")</f>
        <v>3.6</v>
      </c>
      <c r="G16450" s="4" t="str">
        <f>HYPERLINK("http://141.218.60.56/~jnz1568/getInfo.php?workbook=10_05.xlsx&amp;sheet=U0&amp;row=16450&amp;col=7&amp;number=0.0543&amp;sourceID=14","0.0543")</f>
        <v>0.0543</v>
      </c>
    </row>
    <row r="16451" spans="1:7">
      <c r="A16451" s="3"/>
      <c r="B16451" s="3"/>
      <c r="C16451" s="3"/>
      <c r="D16451" s="3"/>
      <c r="E16451" s="3">
        <v>8</v>
      </c>
      <c r="F16451" s="4" t="str">
        <f>HYPERLINK("http://141.218.60.56/~jnz1568/getInfo.php?workbook=10_05.xlsx&amp;sheet=U0&amp;row=16451&amp;col=6&amp;number=3.7&amp;sourceID=14","3.7")</f>
        <v>3.7</v>
      </c>
      <c r="G16451" s="4" t="str">
        <f>HYPERLINK("http://141.218.60.56/~jnz1568/getInfo.php?workbook=10_05.xlsx&amp;sheet=U0&amp;row=16451&amp;col=7&amp;number=0.0532&amp;sourceID=14","0.0532")</f>
        <v>0.0532</v>
      </c>
    </row>
    <row r="16452" spans="1:7">
      <c r="A16452" s="3"/>
      <c r="B16452" s="3"/>
      <c r="C16452" s="3"/>
      <c r="D16452" s="3"/>
      <c r="E16452" s="3">
        <v>9</v>
      </c>
      <c r="F16452" s="4" t="str">
        <f>HYPERLINK("http://141.218.60.56/~jnz1568/getInfo.php?workbook=10_05.xlsx&amp;sheet=U0&amp;row=16452&amp;col=6&amp;number=3.8&amp;sourceID=14","3.8")</f>
        <v>3.8</v>
      </c>
      <c r="G16452" s="4" t="str">
        <f>HYPERLINK("http://141.218.60.56/~jnz1568/getInfo.php?workbook=10_05.xlsx&amp;sheet=U0&amp;row=16452&amp;col=7&amp;number=0.0519&amp;sourceID=14","0.0519")</f>
        <v>0.0519</v>
      </c>
    </row>
    <row r="16453" spans="1:7">
      <c r="A16453" s="3"/>
      <c r="B16453" s="3"/>
      <c r="C16453" s="3"/>
      <c r="D16453" s="3"/>
      <c r="E16453" s="3">
        <v>10</v>
      </c>
      <c r="F16453" s="4" t="str">
        <f>HYPERLINK("http://141.218.60.56/~jnz1568/getInfo.php?workbook=10_05.xlsx&amp;sheet=U0&amp;row=16453&amp;col=6&amp;number=3.9&amp;sourceID=14","3.9")</f>
        <v>3.9</v>
      </c>
      <c r="G16453" s="4" t="str">
        <f>HYPERLINK("http://141.218.60.56/~jnz1568/getInfo.php?workbook=10_05.xlsx&amp;sheet=U0&amp;row=16453&amp;col=7&amp;number=0.0504&amp;sourceID=14","0.0504")</f>
        <v>0.0504</v>
      </c>
    </row>
    <row r="16454" spans="1:7">
      <c r="A16454" s="3"/>
      <c r="B16454" s="3"/>
      <c r="C16454" s="3"/>
      <c r="D16454" s="3"/>
      <c r="E16454" s="3">
        <v>11</v>
      </c>
      <c r="F16454" s="4" t="str">
        <f>HYPERLINK("http://141.218.60.56/~jnz1568/getInfo.php?workbook=10_05.xlsx&amp;sheet=U0&amp;row=16454&amp;col=6&amp;number=4&amp;sourceID=14","4")</f>
        <v>4</v>
      </c>
      <c r="G16454" s="4" t="str">
        <f>HYPERLINK("http://141.218.60.56/~jnz1568/getInfo.php?workbook=10_05.xlsx&amp;sheet=U0&amp;row=16454&amp;col=7&amp;number=0.0485&amp;sourceID=14","0.0485")</f>
        <v>0.0485</v>
      </c>
    </row>
    <row r="16455" spans="1:7">
      <c r="A16455" s="3"/>
      <c r="B16455" s="3"/>
      <c r="C16455" s="3"/>
      <c r="D16455" s="3"/>
      <c r="E16455" s="3">
        <v>12</v>
      </c>
      <c r="F16455" s="4" t="str">
        <f>HYPERLINK("http://141.218.60.56/~jnz1568/getInfo.php?workbook=10_05.xlsx&amp;sheet=U0&amp;row=16455&amp;col=6&amp;number=4.1&amp;sourceID=14","4.1")</f>
        <v>4.1</v>
      </c>
      <c r="G16455" s="4" t="str">
        <f>HYPERLINK("http://141.218.60.56/~jnz1568/getInfo.php?workbook=10_05.xlsx&amp;sheet=U0&amp;row=16455&amp;col=7&amp;number=0.0464&amp;sourceID=14","0.0464")</f>
        <v>0.0464</v>
      </c>
    </row>
    <row r="16456" spans="1:7">
      <c r="A16456" s="3"/>
      <c r="B16456" s="3"/>
      <c r="C16456" s="3"/>
      <c r="D16456" s="3"/>
      <c r="E16456" s="3">
        <v>13</v>
      </c>
      <c r="F16456" s="4" t="str">
        <f>HYPERLINK("http://141.218.60.56/~jnz1568/getInfo.php?workbook=10_05.xlsx&amp;sheet=U0&amp;row=16456&amp;col=6&amp;number=4.2&amp;sourceID=14","4.2")</f>
        <v>4.2</v>
      </c>
      <c r="G16456" s="4" t="str">
        <f>HYPERLINK("http://141.218.60.56/~jnz1568/getInfo.php?workbook=10_05.xlsx&amp;sheet=U0&amp;row=16456&amp;col=7&amp;number=0.0441&amp;sourceID=14","0.0441")</f>
        <v>0.0441</v>
      </c>
    </row>
    <row r="16457" spans="1:7">
      <c r="A16457" s="3"/>
      <c r="B16457" s="3"/>
      <c r="C16457" s="3"/>
      <c r="D16457" s="3"/>
      <c r="E16457" s="3">
        <v>14</v>
      </c>
      <c r="F16457" s="4" t="str">
        <f>HYPERLINK("http://141.218.60.56/~jnz1568/getInfo.php?workbook=10_05.xlsx&amp;sheet=U0&amp;row=16457&amp;col=6&amp;number=4.3&amp;sourceID=14","4.3")</f>
        <v>4.3</v>
      </c>
      <c r="G16457" s="4" t="str">
        <f>HYPERLINK("http://141.218.60.56/~jnz1568/getInfo.php?workbook=10_05.xlsx&amp;sheet=U0&amp;row=16457&amp;col=7&amp;number=0.0418&amp;sourceID=14","0.0418")</f>
        <v>0.0418</v>
      </c>
    </row>
    <row r="16458" spans="1:7">
      <c r="A16458" s="3"/>
      <c r="B16458" s="3"/>
      <c r="C16458" s="3"/>
      <c r="D16458" s="3"/>
      <c r="E16458" s="3">
        <v>15</v>
      </c>
      <c r="F16458" s="4" t="str">
        <f>HYPERLINK("http://141.218.60.56/~jnz1568/getInfo.php?workbook=10_05.xlsx&amp;sheet=U0&amp;row=16458&amp;col=6&amp;number=4.4&amp;sourceID=14","4.4")</f>
        <v>4.4</v>
      </c>
      <c r="G16458" s="4" t="str">
        <f>HYPERLINK("http://141.218.60.56/~jnz1568/getInfo.php?workbook=10_05.xlsx&amp;sheet=U0&amp;row=16458&amp;col=7&amp;number=0.0398&amp;sourceID=14","0.0398")</f>
        <v>0.0398</v>
      </c>
    </row>
    <row r="16459" spans="1:7">
      <c r="A16459" s="3"/>
      <c r="B16459" s="3"/>
      <c r="C16459" s="3"/>
      <c r="D16459" s="3"/>
      <c r="E16459" s="3">
        <v>16</v>
      </c>
      <c r="F16459" s="4" t="str">
        <f>HYPERLINK("http://141.218.60.56/~jnz1568/getInfo.php?workbook=10_05.xlsx&amp;sheet=U0&amp;row=16459&amp;col=6&amp;number=4.5&amp;sourceID=14","4.5")</f>
        <v>4.5</v>
      </c>
      <c r="G16459" s="4" t="str">
        <f>HYPERLINK("http://141.218.60.56/~jnz1568/getInfo.php?workbook=10_05.xlsx&amp;sheet=U0&amp;row=16459&amp;col=7&amp;number=0.0383&amp;sourceID=14","0.0383")</f>
        <v>0.0383</v>
      </c>
    </row>
    <row r="16460" spans="1:7">
      <c r="A16460" s="3"/>
      <c r="B16460" s="3"/>
      <c r="C16460" s="3"/>
      <c r="D16460" s="3"/>
      <c r="E16460" s="3">
        <v>17</v>
      </c>
      <c r="F16460" s="4" t="str">
        <f>HYPERLINK("http://141.218.60.56/~jnz1568/getInfo.php?workbook=10_05.xlsx&amp;sheet=U0&amp;row=16460&amp;col=6&amp;number=4.6&amp;sourceID=14","4.6")</f>
        <v>4.6</v>
      </c>
      <c r="G16460" s="4" t="str">
        <f>HYPERLINK("http://141.218.60.56/~jnz1568/getInfo.php?workbook=10_05.xlsx&amp;sheet=U0&amp;row=16460&amp;col=7&amp;number=0.0374&amp;sourceID=14","0.0374")</f>
        <v>0.0374</v>
      </c>
    </row>
    <row r="16461" spans="1:7">
      <c r="A16461" s="3"/>
      <c r="B16461" s="3"/>
      <c r="C16461" s="3"/>
      <c r="D16461" s="3"/>
      <c r="E16461" s="3">
        <v>18</v>
      </c>
      <c r="F16461" s="4" t="str">
        <f>HYPERLINK("http://141.218.60.56/~jnz1568/getInfo.php?workbook=10_05.xlsx&amp;sheet=U0&amp;row=16461&amp;col=6&amp;number=4.7&amp;sourceID=14","4.7")</f>
        <v>4.7</v>
      </c>
      <c r="G16461" s="4" t="str">
        <f>HYPERLINK("http://141.218.60.56/~jnz1568/getInfo.php?workbook=10_05.xlsx&amp;sheet=U0&amp;row=16461&amp;col=7&amp;number=0.0367&amp;sourceID=14","0.0367")</f>
        <v>0.0367</v>
      </c>
    </row>
    <row r="16462" spans="1:7">
      <c r="A16462" s="3"/>
      <c r="B16462" s="3"/>
      <c r="C16462" s="3"/>
      <c r="D16462" s="3"/>
      <c r="E16462" s="3">
        <v>19</v>
      </c>
      <c r="F16462" s="4" t="str">
        <f>HYPERLINK("http://141.218.60.56/~jnz1568/getInfo.php?workbook=10_05.xlsx&amp;sheet=U0&amp;row=16462&amp;col=6&amp;number=4.8&amp;sourceID=14","4.8")</f>
        <v>4.8</v>
      </c>
      <c r="G16462" s="4" t="str">
        <f>HYPERLINK("http://141.218.60.56/~jnz1568/getInfo.php?workbook=10_05.xlsx&amp;sheet=U0&amp;row=16462&amp;col=7&amp;number=0.0357&amp;sourceID=14","0.0357")</f>
        <v>0.0357</v>
      </c>
    </row>
    <row r="16463" spans="1:7">
      <c r="A16463" s="3"/>
      <c r="B16463" s="3"/>
      <c r="C16463" s="3"/>
      <c r="D16463" s="3"/>
      <c r="E16463" s="3">
        <v>20</v>
      </c>
      <c r="F16463" s="4" t="str">
        <f>HYPERLINK("http://141.218.60.56/~jnz1568/getInfo.php?workbook=10_05.xlsx&amp;sheet=U0&amp;row=16463&amp;col=6&amp;number=4.9&amp;sourceID=14","4.9")</f>
        <v>4.9</v>
      </c>
      <c r="G16463" s="4" t="str">
        <f>HYPERLINK("http://141.218.60.56/~jnz1568/getInfo.php?workbook=10_05.xlsx&amp;sheet=U0&amp;row=16463&amp;col=7&amp;number=0.0347&amp;sourceID=14","0.0347")</f>
        <v>0.0347</v>
      </c>
    </row>
    <row r="16464" spans="1:7">
      <c r="A16464" s="3">
        <v>10</v>
      </c>
      <c r="B16464" s="3">
        <v>5</v>
      </c>
      <c r="C16464" s="3">
        <v>5</v>
      </c>
      <c r="D16464" s="3">
        <v>119</v>
      </c>
      <c r="E16464" s="3">
        <v>1</v>
      </c>
      <c r="F16464" s="4" t="str">
        <f>HYPERLINK("http://141.218.60.56/~jnz1568/getInfo.php?workbook=10_05.xlsx&amp;sheet=U0&amp;row=16464&amp;col=6&amp;number=3&amp;sourceID=14","3")</f>
        <v>3</v>
      </c>
      <c r="G16464" s="4" t="str">
        <f>HYPERLINK("http://141.218.60.56/~jnz1568/getInfo.php?workbook=10_05.xlsx&amp;sheet=U0&amp;row=16464&amp;col=7&amp;number=0.0296&amp;sourceID=14","0.0296")</f>
        <v>0.0296</v>
      </c>
    </row>
    <row r="16465" spans="1:7">
      <c r="A16465" s="3"/>
      <c r="B16465" s="3"/>
      <c r="C16465" s="3"/>
      <c r="D16465" s="3"/>
      <c r="E16465" s="3">
        <v>2</v>
      </c>
      <c r="F16465" s="4" t="str">
        <f>HYPERLINK("http://141.218.60.56/~jnz1568/getInfo.php?workbook=10_05.xlsx&amp;sheet=U0&amp;row=16465&amp;col=6&amp;number=3.1&amp;sourceID=14","3.1")</f>
        <v>3.1</v>
      </c>
      <c r="G16465" s="4" t="str">
        <f>HYPERLINK("http://141.218.60.56/~jnz1568/getInfo.php?workbook=10_05.xlsx&amp;sheet=U0&amp;row=16465&amp;col=7&amp;number=0.0295&amp;sourceID=14","0.0295")</f>
        <v>0.0295</v>
      </c>
    </row>
    <row r="16466" spans="1:7">
      <c r="A16466" s="3"/>
      <c r="B16466" s="3"/>
      <c r="C16466" s="3"/>
      <c r="D16466" s="3"/>
      <c r="E16466" s="3">
        <v>3</v>
      </c>
      <c r="F16466" s="4" t="str">
        <f>HYPERLINK("http://141.218.60.56/~jnz1568/getInfo.php?workbook=10_05.xlsx&amp;sheet=U0&amp;row=16466&amp;col=6&amp;number=3.2&amp;sourceID=14","3.2")</f>
        <v>3.2</v>
      </c>
      <c r="G16466" s="4" t="str">
        <f>HYPERLINK("http://141.218.60.56/~jnz1568/getInfo.php?workbook=10_05.xlsx&amp;sheet=U0&amp;row=16466&amp;col=7&amp;number=0.0294&amp;sourceID=14","0.0294")</f>
        <v>0.0294</v>
      </c>
    </row>
    <row r="16467" spans="1:7">
      <c r="A16467" s="3"/>
      <c r="B16467" s="3"/>
      <c r="C16467" s="3"/>
      <c r="D16467" s="3"/>
      <c r="E16467" s="3">
        <v>4</v>
      </c>
      <c r="F16467" s="4" t="str">
        <f>HYPERLINK("http://141.218.60.56/~jnz1568/getInfo.php?workbook=10_05.xlsx&amp;sheet=U0&amp;row=16467&amp;col=6&amp;number=3.3&amp;sourceID=14","3.3")</f>
        <v>3.3</v>
      </c>
      <c r="G16467" s="4" t="str">
        <f>HYPERLINK("http://141.218.60.56/~jnz1568/getInfo.php?workbook=10_05.xlsx&amp;sheet=U0&amp;row=16467&amp;col=7&amp;number=0.0292&amp;sourceID=14","0.0292")</f>
        <v>0.0292</v>
      </c>
    </row>
    <row r="16468" spans="1:7">
      <c r="A16468" s="3"/>
      <c r="B16468" s="3"/>
      <c r="C16468" s="3"/>
      <c r="D16468" s="3"/>
      <c r="E16468" s="3">
        <v>5</v>
      </c>
      <c r="F16468" s="4" t="str">
        <f>HYPERLINK("http://141.218.60.56/~jnz1568/getInfo.php?workbook=10_05.xlsx&amp;sheet=U0&amp;row=16468&amp;col=6&amp;number=3.4&amp;sourceID=14","3.4")</f>
        <v>3.4</v>
      </c>
      <c r="G16468" s="4" t="str">
        <f>HYPERLINK("http://141.218.60.56/~jnz1568/getInfo.php?workbook=10_05.xlsx&amp;sheet=U0&amp;row=16468&amp;col=7&amp;number=0.029&amp;sourceID=14","0.029")</f>
        <v>0.029</v>
      </c>
    </row>
    <row r="16469" spans="1:7">
      <c r="A16469" s="3"/>
      <c r="B16469" s="3"/>
      <c r="C16469" s="3"/>
      <c r="D16469" s="3"/>
      <c r="E16469" s="3">
        <v>6</v>
      </c>
      <c r="F16469" s="4" t="str">
        <f>HYPERLINK("http://141.218.60.56/~jnz1568/getInfo.php?workbook=10_05.xlsx&amp;sheet=U0&amp;row=16469&amp;col=6&amp;number=3.5&amp;sourceID=14","3.5")</f>
        <v>3.5</v>
      </c>
      <c r="G16469" s="4" t="str">
        <f>HYPERLINK("http://141.218.60.56/~jnz1568/getInfo.php?workbook=10_05.xlsx&amp;sheet=U0&amp;row=16469&amp;col=7&amp;number=0.0288&amp;sourceID=14","0.0288")</f>
        <v>0.0288</v>
      </c>
    </row>
    <row r="16470" spans="1:7">
      <c r="A16470" s="3"/>
      <c r="B16470" s="3"/>
      <c r="C16470" s="3"/>
      <c r="D16470" s="3"/>
      <c r="E16470" s="3">
        <v>7</v>
      </c>
      <c r="F16470" s="4" t="str">
        <f>HYPERLINK("http://141.218.60.56/~jnz1568/getInfo.php?workbook=10_05.xlsx&amp;sheet=U0&amp;row=16470&amp;col=6&amp;number=3.6&amp;sourceID=14","3.6")</f>
        <v>3.6</v>
      </c>
      <c r="G16470" s="4" t="str">
        <f>HYPERLINK("http://141.218.60.56/~jnz1568/getInfo.php?workbook=10_05.xlsx&amp;sheet=U0&amp;row=16470&amp;col=7&amp;number=0.0284&amp;sourceID=14","0.0284")</f>
        <v>0.0284</v>
      </c>
    </row>
    <row r="16471" spans="1:7">
      <c r="A16471" s="3"/>
      <c r="B16471" s="3"/>
      <c r="C16471" s="3"/>
      <c r="D16471" s="3"/>
      <c r="E16471" s="3">
        <v>8</v>
      </c>
      <c r="F16471" s="4" t="str">
        <f>HYPERLINK("http://141.218.60.56/~jnz1568/getInfo.php?workbook=10_05.xlsx&amp;sheet=U0&amp;row=16471&amp;col=6&amp;number=3.7&amp;sourceID=14","3.7")</f>
        <v>3.7</v>
      </c>
      <c r="G16471" s="4" t="str">
        <f>HYPERLINK("http://141.218.60.56/~jnz1568/getInfo.php?workbook=10_05.xlsx&amp;sheet=U0&amp;row=16471&amp;col=7&amp;number=0.028&amp;sourceID=14","0.028")</f>
        <v>0.028</v>
      </c>
    </row>
    <row r="16472" spans="1:7">
      <c r="A16472" s="3"/>
      <c r="B16472" s="3"/>
      <c r="C16472" s="3"/>
      <c r="D16472" s="3"/>
      <c r="E16472" s="3">
        <v>9</v>
      </c>
      <c r="F16472" s="4" t="str">
        <f>HYPERLINK("http://141.218.60.56/~jnz1568/getInfo.php?workbook=10_05.xlsx&amp;sheet=U0&amp;row=16472&amp;col=6&amp;number=3.8&amp;sourceID=14","3.8")</f>
        <v>3.8</v>
      </c>
      <c r="G16472" s="4" t="str">
        <f>HYPERLINK("http://141.218.60.56/~jnz1568/getInfo.php?workbook=10_05.xlsx&amp;sheet=U0&amp;row=16472&amp;col=7&amp;number=0.0276&amp;sourceID=14","0.0276")</f>
        <v>0.0276</v>
      </c>
    </row>
    <row r="16473" spans="1:7">
      <c r="A16473" s="3"/>
      <c r="B16473" s="3"/>
      <c r="C16473" s="3"/>
      <c r="D16473" s="3"/>
      <c r="E16473" s="3">
        <v>10</v>
      </c>
      <c r="F16473" s="4" t="str">
        <f>HYPERLINK("http://141.218.60.56/~jnz1568/getInfo.php?workbook=10_05.xlsx&amp;sheet=U0&amp;row=16473&amp;col=6&amp;number=3.9&amp;sourceID=14","3.9")</f>
        <v>3.9</v>
      </c>
      <c r="G16473" s="4" t="str">
        <f>HYPERLINK("http://141.218.60.56/~jnz1568/getInfo.php?workbook=10_05.xlsx&amp;sheet=U0&amp;row=16473&amp;col=7&amp;number=0.027&amp;sourceID=14","0.027")</f>
        <v>0.027</v>
      </c>
    </row>
    <row r="16474" spans="1:7">
      <c r="A16474" s="3"/>
      <c r="B16474" s="3"/>
      <c r="C16474" s="3"/>
      <c r="D16474" s="3"/>
      <c r="E16474" s="3">
        <v>11</v>
      </c>
      <c r="F16474" s="4" t="str">
        <f>HYPERLINK("http://141.218.60.56/~jnz1568/getInfo.php?workbook=10_05.xlsx&amp;sheet=U0&amp;row=16474&amp;col=6&amp;number=4&amp;sourceID=14","4")</f>
        <v>4</v>
      </c>
      <c r="G16474" s="4" t="str">
        <f>HYPERLINK("http://141.218.60.56/~jnz1568/getInfo.php?workbook=10_05.xlsx&amp;sheet=U0&amp;row=16474&amp;col=7&amp;number=0.0263&amp;sourceID=14","0.0263")</f>
        <v>0.0263</v>
      </c>
    </row>
    <row r="16475" spans="1:7">
      <c r="A16475" s="3"/>
      <c r="B16475" s="3"/>
      <c r="C16475" s="3"/>
      <c r="D16475" s="3"/>
      <c r="E16475" s="3">
        <v>12</v>
      </c>
      <c r="F16475" s="4" t="str">
        <f>HYPERLINK("http://141.218.60.56/~jnz1568/getInfo.php?workbook=10_05.xlsx&amp;sheet=U0&amp;row=16475&amp;col=6&amp;number=4.1&amp;sourceID=14","4.1")</f>
        <v>4.1</v>
      </c>
      <c r="G16475" s="4" t="str">
        <f>HYPERLINK("http://141.218.60.56/~jnz1568/getInfo.php?workbook=10_05.xlsx&amp;sheet=U0&amp;row=16475&amp;col=7&amp;number=0.0255&amp;sourceID=14","0.0255")</f>
        <v>0.0255</v>
      </c>
    </row>
    <row r="16476" spans="1:7">
      <c r="A16476" s="3"/>
      <c r="B16476" s="3"/>
      <c r="C16476" s="3"/>
      <c r="D16476" s="3"/>
      <c r="E16476" s="3">
        <v>13</v>
      </c>
      <c r="F16476" s="4" t="str">
        <f>HYPERLINK("http://141.218.60.56/~jnz1568/getInfo.php?workbook=10_05.xlsx&amp;sheet=U0&amp;row=16476&amp;col=6&amp;number=4.2&amp;sourceID=14","4.2")</f>
        <v>4.2</v>
      </c>
      <c r="G16476" s="4" t="str">
        <f>HYPERLINK("http://141.218.60.56/~jnz1568/getInfo.php?workbook=10_05.xlsx&amp;sheet=U0&amp;row=16476&amp;col=7&amp;number=0.0246&amp;sourceID=14","0.0246")</f>
        <v>0.0246</v>
      </c>
    </row>
    <row r="16477" spans="1:7">
      <c r="A16477" s="3"/>
      <c r="B16477" s="3"/>
      <c r="C16477" s="3"/>
      <c r="D16477" s="3"/>
      <c r="E16477" s="3">
        <v>14</v>
      </c>
      <c r="F16477" s="4" t="str">
        <f>HYPERLINK("http://141.218.60.56/~jnz1568/getInfo.php?workbook=10_05.xlsx&amp;sheet=U0&amp;row=16477&amp;col=6&amp;number=4.3&amp;sourceID=14","4.3")</f>
        <v>4.3</v>
      </c>
      <c r="G16477" s="4" t="str">
        <f>HYPERLINK("http://141.218.60.56/~jnz1568/getInfo.php?workbook=10_05.xlsx&amp;sheet=U0&amp;row=16477&amp;col=7&amp;number=0.0237&amp;sourceID=14","0.0237")</f>
        <v>0.0237</v>
      </c>
    </row>
    <row r="16478" spans="1:7">
      <c r="A16478" s="3"/>
      <c r="B16478" s="3"/>
      <c r="C16478" s="3"/>
      <c r="D16478" s="3"/>
      <c r="E16478" s="3">
        <v>15</v>
      </c>
      <c r="F16478" s="4" t="str">
        <f>HYPERLINK("http://141.218.60.56/~jnz1568/getInfo.php?workbook=10_05.xlsx&amp;sheet=U0&amp;row=16478&amp;col=6&amp;number=4.4&amp;sourceID=14","4.4")</f>
        <v>4.4</v>
      </c>
      <c r="G16478" s="4" t="str">
        <f>HYPERLINK("http://141.218.60.56/~jnz1568/getInfo.php?workbook=10_05.xlsx&amp;sheet=U0&amp;row=16478&amp;col=7&amp;number=0.0229&amp;sourceID=14","0.0229")</f>
        <v>0.0229</v>
      </c>
    </row>
    <row r="16479" spans="1:7">
      <c r="A16479" s="3"/>
      <c r="B16479" s="3"/>
      <c r="C16479" s="3"/>
      <c r="D16479" s="3"/>
      <c r="E16479" s="3">
        <v>16</v>
      </c>
      <c r="F16479" s="4" t="str">
        <f>HYPERLINK("http://141.218.60.56/~jnz1568/getInfo.php?workbook=10_05.xlsx&amp;sheet=U0&amp;row=16479&amp;col=6&amp;number=4.5&amp;sourceID=14","4.5")</f>
        <v>4.5</v>
      </c>
      <c r="G16479" s="4" t="str">
        <f>HYPERLINK("http://141.218.60.56/~jnz1568/getInfo.php?workbook=10_05.xlsx&amp;sheet=U0&amp;row=16479&amp;col=7&amp;number=0.0223&amp;sourceID=14","0.0223")</f>
        <v>0.0223</v>
      </c>
    </row>
    <row r="16480" spans="1:7">
      <c r="A16480" s="3"/>
      <c r="B16480" s="3"/>
      <c r="C16480" s="3"/>
      <c r="D16480" s="3"/>
      <c r="E16480" s="3">
        <v>17</v>
      </c>
      <c r="F16480" s="4" t="str">
        <f>HYPERLINK("http://141.218.60.56/~jnz1568/getInfo.php?workbook=10_05.xlsx&amp;sheet=U0&amp;row=16480&amp;col=6&amp;number=4.6&amp;sourceID=14","4.6")</f>
        <v>4.6</v>
      </c>
      <c r="G16480" s="4" t="str">
        <f>HYPERLINK("http://141.218.60.56/~jnz1568/getInfo.php?workbook=10_05.xlsx&amp;sheet=U0&amp;row=16480&amp;col=7&amp;number=0.0218&amp;sourceID=14","0.0218")</f>
        <v>0.0218</v>
      </c>
    </row>
    <row r="16481" spans="1:7">
      <c r="A16481" s="3"/>
      <c r="B16481" s="3"/>
      <c r="C16481" s="3"/>
      <c r="D16481" s="3"/>
      <c r="E16481" s="3">
        <v>18</v>
      </c>
      <c r="F16481" s="4" t="str">
        <f>HYPERLINK("http://141.218.60.56/~jnz1568/getInfo.php?workbook=10_05.xlsx&amp;sheet=U0&amp;row=16481&amp;col=6&amp;number=4.7&amp;sourceID=14","4.7")</f>
        <v>4.7</v>
      </c>
      <c r="G16481" s="4" t="str">
        <f>HYPERLINK("http://141.218.60.56/~jnz1568/getInfo.php?workbook=10_05.xlsx&amp;sheet=U0&amp;row=16481&amp;col=7&amp;number=0.0215&amp;sourceID=14","0.0215")</f>
        <v>0.0215</v>
      </c>
    </row>
    <row r="16482" spans="1:7">
      <c r="A16482" s="3"/>
      <c r="B16482" s="3"/>
      <c r="C16482" s="3"/>
      <c r="D16482" s="3"/>
      <c r="E16482" s="3">
        <v>19</v>
      </c>
      <c r="F16482" s="4" t="str">
        <f>HYPERLINK("http://141.218.60.56/~jnz1568/getInfo.php?workbook=10_05.xlsx&amp;sheet=U0&amp;row=16482&amp;col=6&amp;number=4.8&amp;sourceID=14","4.8")</f>
        <v>4.8</v>
      </c>
      <c r="G16482" s="4" t="str">
        <f>HYPERLINK("http://141.218.60.56/~jnz1568/getInfo.php?workbook=10_05.xlsx&amp;sheet=U0&amp;row=16482&amp;col=7&amp;number=0.0211&amp;sourceID=14","0.0211")</f>
        <v>0.0211</v>
      </c>
    </row>
    <row r="16483" spans="1:7">
      <c r="A16483" s="3"/>
      <c r="B16483" s="3"/>
      <c r="C16483" s="3"/>
      <c r="D16483" s="3"/>
      <c r="E16483" s="3">
        <v>20</v>
      </c>
      <c r="F16483" s="4" t="str">
        <f>HYPERLINK("http://141.218.60.56/~jnz1568/getInfo.php?workbook=10_05.xlsx&amp;sheet=U0&amp;row=16483&amp;col=6&amp;number=4.9&amp;sourceID=14","4.9")</f>
        <v>4.9</v>
      </c>
      <c r="G16483" s="4" t="str">
        <f>HYPERLINK("http://141.218.60.56/~jnz1568/getInfo.php?workbook=10_05.xlsx&amp;sheet=U0&amp;row=16483&amp;col=7&amp;number=0.0208&amp;sourceID=14","0.0208")</f>
        <v>0.0208</v>
      </c>
    </row>
    <row r="16484" spans="1:7">
      <c r="A16484" s="3">
        <v>10</v>
      </c>
      <c r="B16484" s="3">
        <v>5</v>
      </c>
      <c r="C16484" s="3">
        <v>5</v>
      </c>
      <c r="D16484" s="3">
        <v>120</v>
      </c>
      <c r="E16484" s="3">
        <v>1</v>
      </c>
      <c r="F16484" s="4" t="str">
        <f>HYPERLINK("http://141.218.60.56/~jnz1568/getInfo.php?workbook=10_05.xlsx&amp;sheet=U0&amp;row=16484&amp;col=6&amp;number=3&amp;sourceID=14","3")</f>
        <v>3</v>
      </c>
      <c r="G16484" s="4" t="str">
        <f>HYPERLINK("http://141.218.60.56/~jnz1568/getInfo.php?workbook=10_05.xlsx&amp;sheet=U0&amp;row=16484&amp;col=7&amp;number=0.00866&amp;sourceID=14","0.00866")</f>
        <v>0.00866</v>
      </c>
    </row>
    <row r="16485" spans="1:7">
      <c r="A16485" s="3"/>
      <c r="B16485" s="3"/>
      <c r="C16485" s="3"/>
      <c r="D16485" s="3"/>
      <c r="E16485" s="3">
        <v>2</v>
      </c>
      <c r="F16485" s="4" t="str">
        <f>HYPERLINK("http://141.218.60.56/~jnz1568/getInfo.php?workbook=10_05.xlsx&amp;sheet=U0&amp;row=16485&amp;col=6&amp;number=3.1&amp;sourceID=14","3.1")</f>
        <v>3.1</v>
      </c>
      <c r="G16485" s="4" t="str">
        <f>HYPERLINK("http://141.218.60.56/~jnz1568/getInfo.php?workbook=10_05.xlsx&amp;sheet=U0&amp;row=16485&amp;col=7&amp;number=0.00857&amp;sourceID=14","0.00857")</f>
        <v>0.00857</v>
      </c>
    </row>
    <row r="16486" spans="1:7">
      <c r="A16486" s="3"/>
      <c r="B16486" s="3"/>
      <c r="C16486" s="3"/>
      <c r="D16486" s="3"/>
      <c r="E16486" s="3">
        <v>3</v>
      </c>
      <c r="F16486" s="4" t="str">
        <f>HYPERLINK("http://141.218.60.56/~jnz1568/getInfo.php?workbook=10_05.xlsx&amp;sheet=U0&amp;row=16486&amp;col=6&amp;number=3.2&amp;sourceID=14","3.2")</f>
        <v>3.2</v>
      </c>
      <c r="G16486" s="4" t="str">
        <f>HYPERLINK("http://141.218.60.56/~jnz1568/getInfo.php?workbook=10_05.xlsx&amp;sheet=U0&amp;row=16486&amp;col=7&amp;number=0.00846&amp;sourceID=14","0.00846")</f>
        <v>0.00846</v>
      </c>
    </row>
    <row r="16487" spans="1:7">
      <c r="A16487" s="3"/>
      <c r="B16487" s="3"/>
      <c r="C16487" s="3"/>
      <c r="D16487" s="3"/>
      <c r="E16487" s="3">
        <v>4</v>
      </c>
      <c r="F16487" s="4" t="str">
        <f>HYPERLINK("http://141.218.60.56/~jnz1568/getInfo.php?workbook=10_05.xlsx&amp;sheet=U0&amp;row=16487&amp;col=6&amp;number=3.3&amp;sourceID=14","3.3")</f>
        <v>3.3</v>
      </c>
      <c r="G16487" s="4" t="str">
        <f>HYPERLINK("http://141.218.60.56/~jnz1568/getInfo.php?workbook=10_05.xlsx&amp;sheet=U0&amp;row=16487&amp;col=7&amp;number=0.00832&amp;sourceID=14","0.00832")</f>
        <v>0.00832</v>
      </c>
    </row>
    <row r="16488" spans="1:7">
      <c r="A16488" s="3"/>
      <c r="B16488" s="3"/>
      <c r="C16488" s="3"/>
      <c r="D16488" s="3"/>
      <c r="E16488" s="3">
        <v>5</v>
      </c>
      <c r="F16488" s="4" t="str">
        <f>HYPERLINK("http://141.218.60.56/~jnz1568/getInfo.php?workbook=10_05.xlsx&amp;sheet=U0&amp;row=16488&amp;col=6&amp;number=3.4&amp;sourceID=14","3.4")</f>
        <v>3.4</v>
      </c>
      <c r="G16488" s="4" t="str">
        <f>HYPERLINK("http://141.218.60.56/~jnz1568/getInfo.php?workbook=10_05.xlsx&amp;sheet=U0&amp;row=16488&amp;col=7&amp;number=0.00814&amp;sourceID=14","0.00814")</f>
        <v>0.00814</v>
      </c>
    </row>
    <row r="16489" spans="1:7">
      <c r="A16489" s="3"/>
      <c r="B16489" s="3"/>
      <c r="C16489" s="3"/>
      <c r="D16489" s="3"/>
      <c r="E16489" s="3">
        <v>6</v>
      </c>
      <c r="F16489" s="4" t="str">
        <f>HYPERLINK("http://141.218.60.56/~jnz1568/getInfo.php?workbook=10_05.xlsx&amp;sheet=U0&amp;row=16489&amp;col=6&amp;number=3.5&amp;sourceID=14","3.5")</f>
        <v>3.5</v>
      </c>
      <c r="G16489" s="4" t="str">
        <f>HYPERLINK("http://141.218.60.56/~jnz1568/getInfo.php?workbook=10_05.xlsx&amp;sheet=U0&amp;row=16489&amp;col=7&amp;number=0.00793&amp;sourceID=14","0.00793")</f>
        <v>0.00793</v>
      </c>
    </row>
    <row r="16490" spans="1:7">
      <c r="A16490" s="3"/>
      <c r="B16490" s="3"/>
      <c r="C16490" s="3"/>
      <c r="D16490" s="3"/>
      <c r="E16490" s="3">
        <v>7</v>
      </c>
      <c r="F16490" s="4" t="str">
        <f>HYPERLINK("http://141.218.60.56/~jnz1568/getInfo.php?workbook=10_05.xlsx&amp;sheet=U0&amp;row=16490&amp;col=6&amp;number=3.6&amp;sourceID=14","3.6")</f>
        <v>3.6</v>
      </c>
      <c r="G16490" s="4" t="str">
        <f>HYPERLINK("http://141.218.60.56/~jnz1568/getInfo.php?workbook=10_05.xlsx&amp;sheet=U0&amp;row=16490&amp;col=7&amp;number=0.00767&amp;sourceID=14","0.00767")</f>
        <v>0.00767</v>
      </c>
    </row>
    <row r="16491" spans="1:7">
      <c r="A16491" s="3"/>
      <c r="B16491" s="3"/>
      <c r="C16491" s="3"/>
      <c r="D16491" s="3"/>
      <c r="E16491" s="3">
        <v>8</v>
      </c>
      <c r="F16491" s="4" t="str">
        <f>HYPERLINK("http://141.218.60.56/~jnz1568/getInfo.php?workbook=10_05.xlsx&amp;sheet=U0&amp;row=16491&amp;col=6&amp;number=3.7&amp;sourceID=14","3.7")</f>
        <v>3.7</v>
      </c>
      <c r="G16491" s="4" t="str">
        <f>HYPERLINK("http://141.218.60.56/~jnz1568/getInfo.php?workbook=10_05.xlsx&amp;sheet=U0&amp;row=16491&amp;col=7&amp;number=0.00735&amp;sourceID=14","0.00735")</f>
        <v>0.00735</v>
      </c>
    </row>
    <row r="16492" spans="1:7">
      <c r="A16492" s="3"/>
      <c r="B16492" s="3"/>
      <c r="C16492" s="3"/>
      <c r="D16492" s="3"/>
      <c r="E16492" s="3">
        <v>9</v>
      </c>
      <c r="F16492" s="4" t="str">
        <f>HYPERLINK("http://141.218.60.56/~jnz1568/getInfo.php?workbook=10_05.xlsx&amp;sheet=U0&amp;row=16492&amp;col=6&amp;number=3.8&amp;sourceID=14","3.8")</f>
        <v>3.8</v>
      </c>
      <c r="G16492" s="4" t="str">
        <f>HYPERLINK("http://141.218.60.56/~jnz1568/getInfo.php?workbook=10_05.xlsx&amp;sheet=U0&amp;row=16492&amp;col=7&amp;number=0.00697&amp;sourceID=14","0.00697")</f>
        <v>0.00697</v>
      </c>
    </row>
    <row r="16493" spans="1:7">
      <c r="A16493" s="3"/>
      <c r="B16493" s="3"/>
      <c r="C16493" s="3"/>
      <c r="D16493" s="3"/>
      <c r="E16493" s="3">
        <v>10</v>
      </c>
      <c r="F16493" s="4" t="str">
        <f>HYPERLINK("http://141.218.60.56/~jnz1568/getInfo.php?workbook=10_05.xlsx&amp;sheet=U0&amp;row=16493&amp;col=6&amp;number=3.9&amp;sourceID=14","3.9")</f>
        <v>3.9</v>
      </c>
      <c r="G16493" s="4" t="str">
        <f>HYPERLINK("http://141.218.60.56/~jnz1568/getInfo.php?workbook=10_05.xlsx&amp;sheet=U0&amp;row=16493&amp;col=7&amp;number=0.00651&amp;sourceID=14","0.00651")</f>
        <v>0.00651</v>
      </c>
    </row>
    <row r="16494" spans="1:7">
      <c r="A16494" s="3"/>
      <c r="B16494" s="3"/>
      <c r="C16494" s="3"/>
      <c r="D16494" s="3"/>
      <c r="E16494" s="3">
        <v>11</v>
      </c>
      <c r="F16494" s="4" t="str">
        <f>HYPERLINK("http://141.218.60.56/~jnz1568/getInfo.php?workbook=10_05.xlsx&amp;sheet=U0&amp;row=16494&amp;col=6&amp;number=4&amp;sourceID=14","4")</f>
        <v>4</v>
      </c>
      <c r="G16494" s="4" t="str">
        <f>HYPERLINK("http://141.218.60.56/~jnz1568/getInfo.php?workbook=10_05.xlsx&amp;sheet=U0&amp;row=16494&amp;col=7&amp;number=0.006&amp;sourceID=14","0.006")</f>
        <v>0.006</v>
      </c>
    </row>
    <row r="16495" spans="1:7">
      <c r="A16495" s="3"/>
      <c r="B16495" s="3"/>
      <c r="C16495" s="3"/>
      <c r="D16495" s="3"/>
      <c r="E16495" s="3">
        <v>12</v>
      </c>
      <c r="F16495" s="4" t="str">
        <f>HYPERLINK("http://141.218.60.56/~jnz1568/getInfo.php?workbook=10_05.xlsx&amp;sheet=U0&amp;row=16495&amp;col=6&amp;number=4.1&amp;sourceID=14","4.1")</f>
        <v>4.1</v>
      </c>
      <c r="G16495" s="4" t="str">
        <f>HYPERLINK("http://141.218.60.56/~jnz1568/getInfo.php?workbook=10_05.xlsx&amp;sheet=U0&amp;row=16495&amp;col=7&amp;number=0.00543&amp;sourceID=14","0.00543")</f>
        <v>0.00543</v>
      </c>
    </row>
    <row r="16496" spans="1:7">
      <c r="A16496" s="3"/>
      <c r="B16496" s="3"/>
      <c r="C16496" s="3"/>
      <c r="D16496" s="3"/>
      <c r="E16496" s="3">
        <v>13</v>
      </c>
      <c r="F16496" s="4" t="str">
        <f>HYPERLINK("http://141.218.60.56/~jnz1568/getInfo.php?workbook=10_05.xlsx&amp;sheet=U0&amp;row=16496&amp;col=6&amp;number=4.2&amp;sourceID=14","4.2")</f>
        <v>4.2</v>
      </c>
      <c r="G16496" s="4" t="str">
        <f>HYPERLINK("http://141.218.60.56/~jnz1568/getInfo.php?workbook=10_05.xlsx&amp;sheet=U0&amp;row=16496&amp;col=7&amp;number=0.00486&amp;sourceID=14","0.00486")</f>
        <v>0.00486</v>
      </c>
    </row>
    <row r="16497" spans="1:7">
      <c r="A16497" s="3"/>
      <c r="B16497" s="3"/>
      <c r="C16497" s="3"/>
      <c r="D16497" s="3"/>
      <c r="E16497" s="3">
        <v>14</v>
      </c>
      <c r="F16497" s="4" t="str">
        <f>HYPERLINK("http://141.218.60.56/~jnz1568/getInfo.php?workbook=10_05.xlsx&amp;sheet=U0&amp;row=16497&amp;col=6&amp;number=4.3&amp;sourceID=14","4.3")</f>
        <v>4.3</v>
      </c>
      <c r="G16497" s="4" t="str">
        <f>HYPERLINK("http://141.218.60.56/~jnz1568/getInfo.php?workbook=10_05.xlsx&amp;sheet=U0&amp;row=16497&amp;col=7&amp;number=0.00433&amp;sourceID=14","0.00433")</f>
        <v>0.00433</v>
      </c>
    </row>
    <row r="16498" spans="1:7">
      <c r="A16498" s="3"/>
      <c r="B16498" s="3"/>
      <c r="C16498" s="3"/>
      <c r="D16498" s="3"/>
      <c r="E16498" s="3">
        <v>15</v>
      </c>
      <c r="F16498" s="4" t="str">
        <f>HYPERLINK("http://141.218.60.56/~jnz1568/getInfo.php?workbook=10_05.xlsx&amp;sheet=U0&amp;row=16498&amp;col=6&amp;number=4.4&amp;sourceID=14","4.4")</f>
        <v>4.4</v>
      </c>
      <c r="G16498" s="4" t="str">
        <f>HYPERLINK("http://141.218.60.56/~jnz1568/getInfo.php?workbook=10_05.xlsx&amp;sheet=U0&amp;row=16498&amp;col=7&amp;number=0.00389&amp;sourceID=14","0.00389")</f>
        <v>0.00389</v>
      </c>
    </row>
    <row r="16499" spans="1:7">
      <c r="A16499" s="3"/>
      <c r="B16499" s="3"/>
      <c r="C16499" s="3"/>
      <c r="D16499" s="3"/>
      <c r="E16499" s="3">
        <v>16</v>
      </c>
      <c r="F16499" s="4" t="str">
        <f>HYPERLINK("http://141.218.60.56/~jnz1568/getInfo.php?workbook=10_05.xlsx&amp;sheet=U0&amp;row=16499&amp;col=6&amp;number=4.5&amp;sourceID=14","4.5")</f>
        <v>4.5</v>
      </c>
      <c r="G16499" s="4" t="str">
        <f>HYPERLINK("http://141.218.60.56/~jnz1568/getInfo.php?workbook=10_05.xlsx&amp;sheet=U0&amp;row=16499&amp;col=7&amp;number=0.00352&amp;sourceID=14","0.00352")</f>
        <v>0.00352</v>
      </c>
    </row>
    <row r="16500" spans="1:7">
      <c r="A16500" s="3"/>
      <c r="B16500" s="3"/>
      <c r="C16500" s="3"/>
      <c r="D16500" s="3"/>
      <c r="E16500" s="3">
        <v>17</v>
      </c>
      <c r="F16500" s="4" t="str">
        <f>HYPERLINK("http://141.218.60.56/~jnz1568/getInfo.php?workbook=10_05.xlsx&amp;sheet=U0&amp;row=16500&amp;col=6&amp;number=4.6&amp;sourceID=14","4.6")</f>
        <v>4.6</v>
      </c>
      <c r="G16500" s="4" t="str">
        <f>HYPERLINK("http://141.218.60.56/~jnz1568/getInfo.php?workbook=10_05.xlsx&amp;sheet=U0&amp;row=16500&amp;col=7&amp;number=0.00318&amp;sourceID=14","0.00318")</f>
        <v>0.00318</v>
      </c>
    </row>
    <row r="16501" spans="1:7">
      <c r="A16501" s="3"/>
      <c r="B16501" s="3"/>
      <c r="C16501" s="3"/>
      <c r="D16501" s="3"/>
      <c r="E16501" s="3">
        <v>18</v>
      </c>
      <c r="F16501" s="4" t="str">
        <f>HYPERLINK("http://141.218.60.56/~jnz1568/getInfo.php?workbook=10_05.xlsx&amp;sheet=U0&amp;row=16501&amp;col=6&amp;number=4.7&amp;sourceID=14","4.7")</f>
        <v>4.7</v>
      </c>
      <c r="G16501" s="4" t="str">
        <f>HYPERLINK("http://141.218.60.56/~jnz1568/getInfo.php?workbook=10_05.xlsx&amp;sheet=U0&amp;row=16501&amp;col=7&amp;number=0.00286&amp;sourceID=14","0.00286")</f>
        <v>0.00286</v>
      </c>
    </row>
    <row r="16502" spans="1:7">
      <c r="A16502" s="3"/>
      <c r="B16502" s="3"/>
      <c r="C16502" s="3"/>
      <c r="D16502" s="3"/>
      <c r="E16502" s="3">
        <v>19</v>
      </c>
      <c r="F16502" s="4" t="str">
        <f>HYPERLINK("http://141.218.60.56/~jnz1568/getInfo.php?workbook=10_05.xlsx&amp;sheet=U0&amp;row=16502&amp;col=6&amp;number=4.8&amp;sourceID=14","4.8")</f>
        <v>4.8</v>
      </c>
      <c r="G16502" s="4" t="str">
        <f>HYPERLINK("http://141.218.60.56/~jnz1568/getInfo.php?workbook=10_05.xlsx&amp;sheet=U0&amp;row=16502&amp;col=7&amp;number=0.00257&amp;sourceID=14","0.00257")</f>
        <v>0.00257</v>
      </c>
    </row>
    <row r="16503" spans="1:7">
      <c r="A16503" s="3"/>
      <c r="B16503" s="3"/>
      <c r="C16503" s="3"/>
      <c r="D16503" s="3"/>
      <c r="E16503" s="3">
        <v>20</v>
      </c>
      <c r="F16503" s="4" t="str">
        <f>HYPERLINK("http://141.218.60.56/~jnz1568/getInfo.php?workbook=10_05.xlsx&amp;sheet=U0&amp;row=16503&amp;col=6&amp;number=4.9&amp;sourceID=14","4.9")</f>
        <v>4.9</v>
      </c>
      <c r="G16503" s="4" t="str">
        <f>HYPERLINK("http://141.218.60.56/~jnz1568/getInfo.php?workbook=10_05.xlsx&amp;sheet=U0&amp;row=16503&amp;col=7&amp;number=0.00234&amp;sourceID=14","0.00234")</f>
        <v>0.00234</v>
      </c>
    </row>
    <row r="16504" spans="1:7">
      <c r="A16504" s="3">
        <v>10</v>
      </c>
      <c r="B16504" s="3">
        <v>5</v>
      </c>
      <c r="C16504" s="3">
        <v>5</v>
      </c>
      <c r="D16504" s="3">
        <v>121</v>
      </c>
      <c r="E16504" s="3">
        <v>1</v>
      </c>
      <c r="F16504" s="4" t="str">
        <f>HYPERLINK("http://141.218.60.56/~jnz1568/getInfo.php?workbook=10_05.xlsx&amp;sheet=U0&amp;row=16504&amp;col=6&amp;number=3&amp;sourceID=14","3")</f>
        <v>3</v>
      </c>
      <c r="G16504" s="4" t="str">
        <f>HYPERLINK("http://141.218.60.56/~jnz1568/getInfo.php?workbook=10_05.xlsx&amp;sheet=U0&amp;row=16504&amp;col=7&amp;number=0.0264&amp;sourceID=14","0.0264")</f>
        <v>0.0264</v>
      </c>
    </row>
    <row r="16505" spans="1:7">
      <c r="A16505" s="3"/>
      <c r="B16505" s="3"/>
      <c r="C16505" s="3"/>
      <c r="D16505" s="3"/>
      <c r="E16505" s="3">
        <v>2</v>
      </c>
      <c r="F16505" s="4" t="str">
        <f>HYPERLINK("http://141.218.60.56/~jnz1568/getInfo.php?workbook=10_05.xlsx&amp;sheet=U0&amp;row=16505&amp;col=6&amp;number=3.1&amp;sourceID=14","3.1")</f>
        <v>3.1</v>
      </c>
      <c r="G16505" s="4" t="str">
        <f>HYPERLINK("http://141.218.60.56/~jnz1568/getInfo.php?workbook=10_05.xlsx&amp;sheet=U0&amp;row=16505&amp;col=7&amp;number=0.0261&amp;sourceID=14","0.0261")</f>
        <v>0.0261</v>
      </c>
    </row>
    <row r="16506" spans="1:7">
      <c r="A16506" s="3"/>
      <c r="B16506" s="3"/>
      <c r="C16506" s="3"/>
      <c r="D16506" s="3"/>
      <c r="E16506" s="3">
        <v>3</v>
      </c>
      <c r="F16506" s="4" t="str">
        <f>HYPERLINK("http://141.218.60.56/~jnz1568/getInfo.php?workbook=10_05.xlsx&amp;sheet=U0&amp;row=16506&amp;col=6&amp;number=3.2&amp;sourceID=14","3.2")</f>
        <v>3.2</v>
      </c>
      <c r="G16506" s="4" t="str">
        <f>HYPERLINK("http://141.218.60.56/~jnz1568/getInfo.php?workbook=10_05.xlsx&amp;sheet=U0&amp;row=16506&amp;col=7&amp;number=0.0258&amp;sourceID=14","0.0258")</f>
        <v>0.0258</v>
      </c>
    </row>
    <row r="16507" spans="1:7">
      <c r="A16507" s="3"/>
      <c r="B16507" s="3"/>
      <c r="C16507" s="3"/>
      <c r="D16507" s="3"/>
      <c r="E16507" s="3">
        <v>4</v>
      </c>
      <c r="F16507" s="4" t="str">
        <f>HYPERLINK("http://141.218.60.56/~jnz1568/getInfo.php?workbook=10_05.xlsx&amp;sheet=U0&amp;row=16507&amp;col=6&amp;number=3.3&amp;sourceID=14","3.3")</f>
        <v>3.3</v>
      </c>
      <c r="G16507" s="4" t="str">
        <f>HYPERLINK("http://141.218.60.56/~jnz1568/getInfo.php?workbook=10_05.xlsx&amp;sheet=U0&amp;row=16507&amp;col=7&amp;number=0.0254&amp;sourceID=14","0.0254")</f>
        <v>0.0254</v>
      </c>
    </row>
    <row r="16508" spans="1:7">
      <c r="A16508" s="3"/>
      <c r="B16508" s="3"/>
      <c r="C16508" s="3"/>
      <c r="D16508" s="3"/>
      <c r="E16508" s="3">
        <v>5</v>
      </c>
      <c r="F16508" s="4" t="str">
        <f>HYPERLINK("http://141.218.60.56/~jnz1568/getInfo.php?workbook=10_05.xlsx&amp;sheet=U0&amp;row=16508&amp;col=6&amp;number=3.4&amp;sourceID=14","3.4")</f>
        <v>3.4</v>
      </c>
      <c r="G16508" s="4" t="str">
        <f>HYPERLINK("http://141.218.60.56/~jnz1568/getInfo.php?workbook=10_05.xlsx&amp;sheet=U0&amp;row=16508&amp;col=7&amp;number=0.025&amp;sourceID=14","0.025")</f>
        <v>0.025</v>
      </c>
    </row>
    <row r="16509" spans="1:7">
      <c r="A16509" s="3"/>
      <c r="B16509" s="3"/>
      <c r="C16509" s="3"/>
      <c r="D16509" s="3"/>
      <c r="E16509" s="3">
        <v>6</v>
      </c>
      <c r="F16509" s="4" t="str">
        <f>HYPERLINK("http://141.218.60.56/~jnz1568/getInfo.php?workbook=10_05.xlsx&amp;sheet=U0&amp;row=16509&amp;col=6&amp;number=3.5&amp;sourceID=14","3.5")</f>
        <v>3.5</v>
      </c>
      <c r="G16509" s="4" t="str">
        <f>HYPERLINK("http://141.218.60.56/~jnz1568/getInfo.php?workbook=10_05.xlsx&amp;sheet=U0&amp;row=16509&amp;col=7&amp;number=0.0244&amp;sourceID=14","0.0244")</f>
        <v>0.0244</v>
      </c>
    </row>
    <row r="16510" spans="1:7">
      <c r="A16510" s="3"/>
      <c r="B16510" s="3"/>
      <c r="C16510" s="3"/>
      <c r="D16510" s="3"/>
      <c r="E16510" s="3">
        <v>7</v>
      </c>
      <c r="F16510" s="4" t="str">
        <f>HYPERLINK("http://141.218.60.56/~jnz1568/getInfo.php?workbook=10_05.xlsx&amp;sheet=U0&amp;row=16510&amp;col=6&amp;number=3.6&amp;sourceID=14","3.6")</f>
        <v>3.6</v>
      </c>
      <c r="G16510" s="4" t="str">
        <f>HYPERLINK("http://141.218.60.56/~jnz1568/getInfo.php?workbook=10_05.xlsx&amp;sheet=U0&amp;row=16510&amp;col=7&amp;number=0.0237&amp;sourceID=14","0.0237")</f>
        <v>0.0237</v>
      </c>
    </row>
    <row r="16511" spans="1:7">
      <c r="A16511" s="3"/>
      <c r="B16511" s="3"/>
      <c r="C16511" s="3"/>
      <c r="D16511" s="3"/>
      <c r="E16511" s="3">
        <v>8</v>
      </c>
      <c r="F16511" s="4" t="str">
        <f>HYPERLINK("http://141.218.60.56/~jnz1568/getInfo.php?workbook=10_05.xlsx&amp;sheet=U0&amp;row=16511&amp;col=6&amp;number=3.7&amp;sourceID=14","3.7")</f>
        <v>3.7</v>
      </c>
      <c r="G16511" s="4" t="str">
        <f>HYPERLINK("http://141.218.60.56/~jnz1568/getInfo.php?workbook=10_05.xlsx&amp;sheet=U0&amp;row=16511&amp;col=7&amp;number=0.0228&amp;sourceID=14","0.0228")</f>
        <v>0.0228</v>
      </c>
    </row>
    <row r="16512" spans="1:7">
      <c r="A16512" s="3"/>
      <c r="B16512" s="3"/>
      <c r="C16512" s="3"/>
      <c r="D16512" s="3"/>
      <c r="E16512" s="3">
        <v>9</v>
      </c>
      <c r="F16512" s="4" t="str">
        <f>HYPERLINK("http://141.218.60.56/~jnz1568/getInfo.php?workbook=10_05.xlsx&amp;sheet=U0&amp;row=16512&amp;col=6&amp;number=3.8&amp;sourceID=14","3.8")</f>
        <v>3.8</v>
      </c>
      <c r="G16512" s="4" t="str">
        <f>HYPERLINK("http://141.218.60.56/~jnz1568/getInfo.php?workbook=10_05.xlsx&amp;sheet=U0&amp;row=16512&amp;col=7&amp;number=0.0218&amp;sourceID=14","0.0218")</f>
        <v>0.0218</v>
      </c>
    </row>
    <row r="16513" spans="1:7">
      <c r="A16513" s="3"/>
      <c r="B16513" s="3"/>
      <c r="C16513" s="3"/>
      <c r="D16513" s="3"/>
      <c r="E16513" s="3">
        <v>10</v>
      </c>
      <c r="F16513" s="4" t="str">
        <f>HYPERLINK("http://141.218.60.56/~jnz1568/getInfo.php?workbook=10_05.xlsx&amp;sheet=U0&amp;row=16513&amp;col=6&amp;number=3.9&amp;sourceID=14","3.9")</f>
        <v>3.9</v>
      </c>
      <c r="G16513" s="4" t="str">
        <f>HYPERLINK("http://141.218.60.56/~jnz1568/getInfo.php?workbook=10_05.xlsx&amp;sheet=U0&amp;row=16513&amp;col=7&amp;number=0.0205&amp;sourceID=14","0.0205")</f>
        <v>0.0205</v>
      </c>
    </row>
    <row r="16514" spans="1:7">
      <c r="A16514" s="3"/>
      <c r="B16514" s="3"/>
      <c r="C16514" s="3"/>
      <c r="D16514" s="3"/>
      <c r="E16514" s="3">
        <v>11</v>
      </c>
      <c r="F16514" s="4" t="str">
        <f>HYPERLINK("http://141.218.60.56/~jnz1568/getInfo.php?workbook=10_05.xlsx&amp;sheet=U0&amp;row=16514&amp;col=6&amp;number=4&amp;sourceID=14","4")</f>
        <v>4</v>
      </c>
      <c r="G16514" s="4" t="str">
        <f>HYPERLINK("http://141.218.60.56/~jnz1568/getInfo.php?workbook=10_05.xlsx&amp;sheet=U0&amp;row=16514&amp;col=7&amp;number=0.0191&amp;sourceID=14","0.0191")</f>
        <v>0.0191</v>
      </c>
    </row>
    <row r="16515" spans="1:7">
      <c r="A16515" s="3"/>
      <c r="B16515" s="3"/>
      <c r="C16515" s="3"/>
      <c r="D16515" s="3"/>
      <c r="E16515" s="3">
        <v>12</v>
      </c>
      <c r="F16515" s="4" t="str">
        <f>HYPERLINK("http://141.218.60.56/~jnz1568/getInfo.php?workbook=10_05.xlsx&amp;sheet=U0&amp;row=16515&amp;col=6&amp;number=4.1&amp;sourceID=14","4.1")</f>
        <v>4.1</v>
      </c>
      <c r="G16515" s="4" t="str">
        <f>HYPERLINK("http://141.218.60.56/~jnz1568/getInfo.php?workbook=10_05.xlsx&amp;sheet=U0&amp;row=16515&amp;col=7&amp;number=0.0176&amp;sourceID=14","0.0176")</f>
        <v>0.0176</v>
      </c>
    </row>
    <row r="16516" spans="1:7">
      <c r="A16516" s="3"/>
      <c r="B16516" s="3"/>
      <c r="C16516" s="3"/>
      <c r="D16516" s="3"/>
      <c r="E16516" s="3">
        <v>13</v>
      </c>
      <c r="F16516" s="4" t="str">
        <f>HYPERLINK("http://141.218.60.56/~jnz1568/getInfo.php?workbook=10_05.xlsx&amp;sheet=U0&amp;row=16516&amp;col=6&amp;number=4.2&amp;sourceID=14","4.2")</f>
        <v>4.2</v>
      </c>
      <c r="G16516" s="4" t="str">
        <f>HYPERLINK("http://141.218.60.56/~jnz1568/getInfo.php?workbook=10_05.xlsx&amp;sheet=U0&amp;row=16516&amp;col=7&amp;number=0.016&amp;sourceID=14","0.016")</f>
        <v>0.016</v>
      </c>
    </row>
    <row r="16517" spans="1:7">
      <c r="A16517" s="3"/>
      <c r="B16517" s="3"/>
      <c r="C16517" s="3"/>
      <c r="D16517" s="3"/>
      <c r="E16517" s="3">
        <v>14</v>
      </c>
      <c r="F16517" s="4" t="str">
        <f>HYPERLINK("http://141.218.60.56/~jnz1568/getInfo.php?workbook=10_05.xlsx&amp;sheet=U0&amp;row=16517&amp;col=6&amp;number=4.3&amp;sourceID=14","4.3")</f>
        <v>4.3</v>
      </c>
      <c r="G16517" s="4" t="str">
        <f>HYPERLINK("http://141.218.60.56/~jnz1568/getInfo.php?workbook=10_05.xlsx&amp;sheet=U0&amp;row=16517&amp;col=7&amp;number=0.0146&amp;sourceID=14","0.0146")</f>
        <v>0.0146</v>
      </c>
    </row>
    <row r="16518" spans="1:7">
      <c r="A16518" s="3"/>
      <c r="B16518" s="3"/>
      <c r="C16518" s="3"/>
      <c r="D16518" s="3"/>
      <c r="E16518" s="3">
        <v>15</v>
      </c>
      <c r="F16518" s="4" t="str">
        <f>HYPERLINK("http://141.218.60.56/~jnz1568/getInfo.php?workbook=10_05.xlsx&amp;sheet=U0&amp;row=16518&amp;col=6&amp;number=4.4&amp;sourceID=14","4.4")</f>
        <v>4.4</v>
      </c>
      <c r="G16518" s="4" t="str">
        <f>HYPERLINK("http://141.218.60.56/~jnz1568/getInfo.php?workbook=10_05.xlsx&amp;sheet=U0&amp;row=16518&amp;col=7&amp;number=0.0133&amp;sourceID=14","0.0133")</f>
        <v>0.0133</v>
      </c>
    </row>
    <row r="16519" spans="1:7">
      <c r="A16519" s="3"/>
      <c r="B16519" s="3"/>
      <c r="C16519" s="3"/>
      <c r="D16519" s="3"/>
      <c r="E16519" s="3">
        <v>16</v>
      </c>
      <c r="F16519" s="4" t="str">
        <f>HYPERLINK("http://141.218.60.56/~jnz1568/getInfo.php?workbook=10_05.xlsx&amp;sheet=U0&amp;row=16519&amp;col=6&amp;number=4.5&amp;sourceID=14","4.5")</f>
        <v>4.5</v>
      </c>
      <c r="G16519" s="4" t="str">
        <f>HYPERLINK("http://141.218.60.56/~jnz1568/getInfo.php?workbook=10_05.xlsx&amp;sheet=U0&amp;row=16519&amp;col=7&amp;number=0.0123&amp;sourceID=14","0.0123")</f>
        <v>0.0123</v>
      </c>
    </row>
    <row r="16520" spans="1:7">
      <c r="A16520" s="3"/>
      <c r="B16520" s="3"/>
      <c r="C16520" s="3"/>
      <c r="D16520" s="3"/>
      <c r="E16520" s="3">
        <v>17</v>
      </c>
      <c r="F16520" s="4" t="str">
        <f>HYPERLINK("http://141.218.60.56/~jnz1568/getInfo.php?workbook=10_05.xlsx&amp;sheet=U0&amp;row=16520&amp;col=6&amp;number=4.6&amp;sourceID=14","4.6")</f>
        <v>4.6</v>
      </c>
      <c r="G16520" s="4" t="str">
        <f>HYPERLINK("http://141.218.60.56/~jnz1568/getInfo.php?workbook=10_05.xlsx&amp;sheet=U0&amp;row=16520&amp;col=7&amp;number=0.0113&amp;sourceID=14","0.0113")</f>
        <v>0.0113</v>
      </c>
    </row>
    <row r="16521" spans="1:7">
      <c r="A16521" s="3"/>
      <c r="B16521" s="3"/>
      <c r="C16521" s="3"/>
      <c r="D16521" s="3"/>
      <c r="E16521" s="3">
        <v>18</v>
      </c>
      <c r="F16521" s="4" t="str">
        <f>HYPERLINK("http://141.218.60.56/~jnz1568/getInfo.php?workbook=10_05.xlsx&amp;sheet=U0&amp;row=16521&amp;col=6&amp;number=4.7&amp;sourceID=14","4.7")</f>
        <v>4.7</v>
      </c>
      <c r="G16521" s="4" t="str">
        <f>HYPERLINK("http://141.218.60.56/~jnz1568/getInfo.php?workbook=10_05.xlsx&amp;sheet=U0&amp;row=16521&amp;col=7&amp;number=0.0104&amp;sourceID=14","0.0104")</f>
        <v>0.0104</v>
      </c>
    </row>
    <row r="16522" spans="1:7">
      <c r="A16522" s="3"/>
      <c r="B16522" s="3"/>
      <c r="C16522" s="3"/>
      <c r="D16522" s="3"/>
      <c r="E16522" s="3">
        <v>19</v>
      </c>
      <c r="F16522" s="4" t="str">
        <f>HYPERLINK("http://141.218.60.56/~jnz1568/getInfo.php?workbook=10_05.xlsx&amp;sheet=U0&amp;row=16522&amp;col=6&amp;number=4.8&amp;sourceID=14","4.8")</f>
        <v>4.8</v>
      </c>
      <c r="G16522" s="4" t="str">
        <f>HYPERLINK("http://141.218.60.56/~jnz1568/getInfo.php?workbook=10_05.xlsx&amp;sheet=U0&amp;row=16522&amp;col=7&amp;number=0.0096&amp;sourceID=14","0.0096")</f>
        <v>0.0096</v>
      </c>
    </row>
    <row r="16523" spans="1:7">
      <c r="A16523" s="3"/>
      <c r="B16523" s="3"/>
      <c r="C16523" s="3"/>
      <c r="D16523" s="3"/>
      <c r="E16523" s="3">
        <v>20</v>
      </c>
      <c r="F16523" s="4" t="str">
        <f>HYPERLINK("http://141.218.60.56/~jnz1568/getInfo.php?workbook=10_05.xlsx&amp;sheet=U0&amp;row=16523&amp;col=6&amp;number=4.9&amp;sourceID=14","4.9")</f>
        <v>4.9</v>
      </c>
      <c r="G16523" s="4" t="str">
        <f>HYPERLINK("http://141.218.60.56/~jnz1568/getInfo.php?workbook=10_05.xlsx&amp;sheet=U0&amp;row=16523&amp;col=7&amp;number=0.00891&amp;sourceID=14","0.00891")</f>
        <v>0.00891</v>
      </c>
    </row>
    <row r="16524" spans="1:7">
      <c r="A16524" s="3">
        <v>10</v>
      </c>
      <c r="B16524" s="3">
        <v>5</v>
      </c>
      <c r="C16524" s="3">
        <v>5</v>
      </c>
      <c r="D16524" s="3">
        <v>122</v>
      </c>
      <c r="E16524" s="3">
        <v>1</v>
      </c>
      <c r="F16524" s="4" t="str">
        <f>HYPERLINK("http://141.218.60.56/~jnz1568/getInfo.php?workbook=10_05.xlsx&amp;sheet=U0&amp;row=16524&amp;col=6&amp;number=3&amp;sourceID=14","3")</f>
        <v>3</v>
      </c>
      <c r="G16524" s="4" t="str">
        <f>HYPERLINK("http://141.218.60.56/~jnz1568/getInfo.php?workbook=10_05.xlsx&amp;sheet=U0&amp;row=16524&amp;col=7&amp;number=0.0567&amp;sourceID=14","0.0567")</f>
        <v>0.0567</v>
      </c>
    </row>
    <row r="16525" spans="1:7">
      <c r="A16525" s="3"/>
      <c r="B16525" s="3"/>
      <c r="C16525" s="3"/>
      <c r="D16525" s="3"/>
      <c r="E16525" s="3">
        <v>2</v>
      </c>
      <c r="F16525" s="4" t="str">
        <f>HYPERLINK("http://141.218.60.56/~jnz1568/getInfo.php?workbook=10_05.xlsx&amp;sheet=U0&amp;row=16525&amp;col=6&amp;number=3.1&amp;sourceID=14","3.1")</f>
        <v>3.1</v>
      </c>
      <c r="G16525" s="4" t="str">
        <f>HYPERLINK("http://141.218.60.56/~jnz1568/getInfo.php?workbook=10_05.xlsx&amp;sheet=U0&amp;row=16525&amp;col=7&amp;number=0.0562&amp;sourceID=14","0.0562")</f>
        <v>0.0562</v>
      </c>
    </row>
    <row r="16526" spans="1:7">
      <c r="A16526" s="3"/>
      <c r="B16526" s="3"/>
      <c r="C16526" s="3"/>
      <c r="D16526" s="3"/>
      <c r="E16526" s="3">
        <v>3</v>
      </c>
      <c r="F16526" s="4" t="str">
        <f>HYPERLINK("http://141.218.60.56/~jnz1568/getInfo.php?workbook=10_05.xlsx&amp;sheet=U0&amp;row=16526&amp;col=6&amp;number=3.2&amp;sourceID=14","3.2")</f>
        <v>3.2</v>
      </c>
      <c r="G16526" s="4" t="str">
        <f>HYPERLINK("http://141.218.60.56/~jnz1568/getInfo.php?workbook=10_05.xlsx&amp;sheet=U0&amp;row=16526&amp;col=7&amp;number=0.0556&amp;sourceID=14","0.0556")</f>
        <v>0.0556</v>
      </c>
    </row>
    <row r="16527" spans="1:7">
      <c r="A16527" s="3"/>
      <c r="B16527" s="3"/>
      <c r="C16527" s="3"/>
      <c r="D16527" s="3"/>
      <c r="E16527" s="3">
        <v>4</v>
      </c>
      <c r="F16527" s="4" t="str">
        <f>HYPERLINK("http://141.218.60.56/~jnz1568/getInfo.php?workbook=10_05.xlsx&amp;sheet=U0&amp;row=16527&amp;col=6&amp;number=3.3&amp;sourceID=14","3.3")</f>
        <v>3.3</v>
      </c>
      <c r="G16527" s="4" t="str">
        <f>HYPERLINK("http://141.218.60.56/~jnz1568/getInfo.php?workbook=10_05.xlsx&amp;sheet=U0&amp;row=16527&amp;col=7&amp;number=0.0549&amp;sourceID=14","0.0549")</f>
        <v>0.0549</v>
      </c>
    </row>
    <row r="16528" spans="1:7">
      <c r="A16528" s="3"/>
      <c r="B16528" s="3"/>
      <c r="C16528" s="3"/>
      <c r="D16528" s="3"/>
      <c r="E16528" s="3">
        <v>5</v>
      </c>
      <c r="F16528" s="4" t="str">
        <f>HYPERLINK("http://141.218.60.56/~jnz1568/getInfo.php?workbook=10_05.xlsx&amp;sheet=U0&amp;row=16528&amp;col=6&amp;number=3.4&amp;sourceID=14","3.4")</f>
        <v>3.4</v>
      </c>
      <c r="G16528" s="4" t="str">
        <f>HYPERLINK("http://141.218.60.56/~jnz1568/getInfo.php?workbook=10_05.xlsx&amp;sheet=U0&amp;row=16528&amp;col=7&amp;number=0.054&amp;sourceID=14","0.054")</f>
        <v>0.054</v>
      </c>
    </row>
    <row r="16529" spans="1:7">
      <c r="A16529" s="3"/>
      <c r="B16529" s="3"/>
      <c r="C16529" s="3"/>
      <c r="D16529" s="3"/>
      <c r="E16529" s="3">
        <v>6</v>
      </c>
      <c r="F16529" s="4" t="str">
        <f>HYPERLINK("http://141.218.60.56/~jnz1568/getInfo.php?workbook=10_05.xlsx&amp;sheet=U0&amp;row=16529&amp;col=6&amp;number=3.5&amp;sourceID=14","3.5")</f>
        <v>3.5</v>
      </c>
      <c r="G16529" s="4" t="str">
        <f>HYPERLINK("http://141.218.60.56/~jnz1568/getInfo.php?workbook=10_05.xlsx&amp;sheet=U0&amp;row=16529&amp;col=7&amp;number=0.0529&amp;sourceID=14","0.0529")</f>
        <v>0.0529</v>
      </c>
    </row>
    <row r="16530" spans="1:7">
      <c r="A16530" s="3"/>
      <c r="B16530" s="3"/>
      <c r="C16530" s="3"/>
      <c r="D16530" s="3"/>
      <c r="E16530" s="3">
        <v>7</v>
      </c>
      <c r="F16530" s="4" t="str">
        <f>HYPERLINK("http://141.218.60.56/~jnz1568/getInfo.php?workbook=10_05.xlsx&amp;sheet=U0&amp;row=16530&amp;col=6&amp;number=3.6&amp;sourceID=14","3.6")</f>
        <v>3.6</v>
      </c>
      <c r="G16530" s="4" t="str">
        <f>HYPERLINK("http://141.218.60.56/~jnz1568/getInfo.php?workbook=10_05.xlsx&amp;sheet=U0&amp;row=16530&amp;col=7&amp;number=0.0515&amp;sourceID=14","0.0515")</f>
        <v>0.0515</v>
      </c>
    </row>
    <row r="16531" spans="1:7">
      <c r="A16531" s="3"/>
      <c r="B16531" s="3"/>
      <c r="C16531" s="3"/>
      <c r="D16531" s="3"/>
      <c r="E16531" s="3">
        <v>8</v>
      </c>
      <c r="F16531" s="4" t="str">
        <f>HYPERLINK("http://141.218.60.56/~jnz1568/getInfo.php?workbook=10_05.xlsx&amp;sheet=U0&amp;row=16531&amp;col=6&amp;number=3.7&amp;sourceID=14","3.7")</f>
        <v>3.7</v>
      </c>
      <c r="G16531" s="4" t="str">
        <f>HYPERLINK("http://141.218.60.56/~jnz1568/getInfo.php?workbook=10_05.xlsx&amp;sheet=U0&amp;row=16531&amp;col=7&amp;number=0.0498&amp;sourceID=14","0.0498")</f>
        <v>0.0498</v>
      </c>
    </row>
    <row r="16532" spans="1:7">
      <c r="A16532" s="3"/>
      <c r="B16532" s="3"/>
      <c r="C16532" s="3"/>
      <c r="D16532" s="3"/>
      <c r="E16532" s="3">
        <v>9</v>
      </c>
      <c r="F16532" s="4" t="str">
        <f>HYPERLINK("http://141.218.60.56/~jnz1568/getInfo.php?workbook=10_05.xlsx&amp;sheet=U0&amp;row=16532&amp;col=6&amp;number=3.8&amp;sourceID=14","3.8")</f>
        <v>3.8</v>
      </c>
      <c r="G16532" s="4" t="str">
        <f>HYPERLINK("http://141.218.60.56/~jnz1568/getInfo.php?workbook=10_05.xlsx&amp;sheet=U0&amp;row=16532&amp;col=7&amp;number=0.0478&amp;sourceID=14","0.0478")</f>
        <v>0.0478</v>
      </c>
    </row>
    <row r="16533" spans="1:7">
      <c r="A16533" s="3"/>
      <c r="B16533" s="3"/>
      <c r="C16533" s="3"/>
      <c r="D16533" s="3"/>
      <c r="E16533" s="3">
        <v>10</v>
      </c>
      <c r="F16533" s="4" t="str">
        <f>HYPERLINK("http://141.218.60.56/~jnz1568/getInfo.php?workbook=10_05.xlsx&amp;sheet=U0&amp;row=16533&amp;col=6&amp;number=3.9&amp;sourceID=14","3.9")</f>
        <v>3.9</v>
      </c>
      <c r="G16533" s="4" t="str">
        <f>HYPERLINK("http://141.218.60.56/~jnz1568/getInfo.php?workbook=10_05.xlsx&amp;sheet=U0&amp;row=16533&amp;col=7&amp;number=0.0454&amp;sourceID=14","0.0454")</f>
        <v>0.0454</v>
      </c>
    </row>
    <row r="16534" spans="1:7">
      <c r="A16534" s="3"/>
      <c r="B16534" s="3"/>
      <c r="C16534" s="3"/>
      <c r="D16534" s="3"/>
      <c r="E16534" s="3">
        <v>11</v>
      </c>
      <c r="F16534" s="4" t="str">
        <f>HYPERLINK("http://141.218.60.56/~jnz1568/getInfo.php?workbook=10_05.xlsx&amp;sheet=U0&amp;row=16534&amp;col=6&amp;number=4&amp;sourceID=14","4")</f>
        <v>4</v>
      </c>
      <c r="G16534" s="4" t="str">
        <f>HYPERLINK("http://141.218.60.56/~jnz1568/getInfo.php?workbook=10_05.xlsx&amp;sheet=U0&amp;row=16534&amp;col=7&amp;number=0.0426&amp;sourceID=14","0.0426")</f>
        <v>0.0426</v>
      </c>
    </row>
    <row r="16535" spans="1:7">
      <c r="A16535" s="3"/>
      <c r="B16535" s="3"/>
      <c r="C16535" s="3"/>
      <c r="D16535" s="3"/>
      <c r="E16535" s="3">
        <v>12</v>
      </c>
      <c r="F16535" s="4" t="str">
        <f>HYPERLINK("http://141.218.60.56/~jnz1568/getInfo.php?workbook=10_05.xlsx&amp;sheet=U0&amp;row=16535&amp;col=6&amp;number=4.1&amp;sourceID=14","4.1")</f>
        <v>4.1</v>
      </c>
      <c r="G16535" s="4" t="str">
        <f>HYPERLINK("http://141.218.60.56/~jnz1568/getInfo.php?workbook=10_05.xlsx&amp;sheet=U0&amp;row=16535&amp;col=7&amp;number=0.0395&amp;sourceID=14","0.0395")</f>
        <v>0.0395</v>
      </c>
    </row>
    <row r="16536" spans="1:7">
      <c r="A16536" s="3"/>
      <c r="B16536" s="3"/>
      <c r="C16536" s="3"/>
      <c r="D16536" s="3"/>
      <c r="E16536" s="3">
        <v>13</v>
      </c>
      <c r="F16536" s="4" t="str">
        <f>HYPERLINK("http://141.218.60.56/~jnz1568/getInfo.php?workbook=10_05.xlsx&amp;sheet=U0&amp;row=16536&amp;col=6&amp;number=4.2&amp;sourceID=14","4.2")</f>
        <v>4.2</v>
      </c>
      <c r="G16536" s="4" t="str">
        <f>HYPERLINK("http://141.218.60.56/~jnz1568/getInfo.php?workbook=10_05.xlsx&amp;sheet=U0&amp;row=16536&amp;col=7&amp;number=0.0363&amp;sourceID=14","0.0363")</f>
        <v>0.0363</v>
      </c>
    </row>
    <row r="16537" spans="1:7">
      <c r="A16537" s="3"/>
      <c r="B16537" s="3"/>
      <c r="C16537" s="3"/>
      <c r="D16537" s="3"/>
      <c r="E16537" s="3">
        <v>14</v>
      </c>
      <c r="F16537" s="4" t="str">
        <f>HYPERLINK("http://141.218.60.56/~jnz1568/getInfo.php?workbook=10_05.xlsx&amp;sheet=U0&amp;row=16537&amp;col=6&amp;number=4.3&amp;sourceID=14","4.3")</f>
        <v>4.3</v>
      </c>
      <c r="G16537" s="4" t="str">
        <f>HYPERLINK("http://141.218.60.56/~jnz1568/getInfo.php?workbook=10_05.xlsx&amp;sheet=U0&amp;row=16537&amp;col=7&amp;number=0.0333&amp;sourceID=14","0.0333")</f>
        <v>0.0333</v>
      </c>
    </row>
    <row r="16538" spans="1:7">
      <c r="A16538" s="3"/>
      <c r="B16538" s="3"/>
      <c r="C16538" s="3"/>
      <c r="D16538" s="3"/>
      <c r="E16538" s="3">
        <v>15</v>
      </c>
      <c r="F16538" s="4" t="str">
        <f>HYPERLINK("http://141.218.60.56/~jnz1568/getInfo.php?workbook=10_05.xlsx&amp;sheet=U0&amp;row=16538&amp;col=6&amp;number=4.4&amp;sourceID=14","4.4")</f>
        <v>4.4</v>
      </c>
      <c r="G16538" s="4" t="str">
        <f>HYPERLINK("http://141.218.60.56/~jnz1568/getInfo.php?workbook=10_05.xlsx&amp;sheet=U0&amp;row=16538&amp;col=7&amp;number=0.0306&amp;sourceID=14","0.0306")</f>
        <v>0.0306</v>
      </c>
    </row>
    <row r="16539" spans="1:7">
      <c r="A16539" s="3"/>
      <c r="B16539" s="3"/>
      <c r="C16539" s="3"/>
      <c r="D16539" s="3"/>
      <c r="E16539" s="3">
        <v>16</v>
      </c>
      <c r="F16539" s="4" t="str">
        <f>HYPERLINK("http://141.218.60.56/~jnz1568/getInfo.php?workbook=10_05.xlsx&amp;sheet=U0&amp;row=16539&amp;col=6&amp;number=4.5&amp;sourceID=14","4.5")</f>
        <v>4.5</v>
      </c>
      <c r="G16539" s="4" t="str">
        <f>HYPERLINK("http://141.218.60.56/~jnz1568/getInfo.php?workbook=10_05.xlsx&amp;sheet=U0&amp;row=16539&amp;col=7&amp;number=0.0282&amp;sourceID=14","0.0282")</f>
        <v>0.0282</v>
      </c>
    </row>
    <row r="16540" spans="1:7">
      <c r="A16540" s="3"/>
      <c r="B16540" s="3"/>
      <c r="C16540" s="3"/>
      <c r="D16540" s="3"/>
      <c r="E16540" s="3">
        <v>17</v>
      </c>
      <c r="F16540" s="4" t="str">
        <f>HYPERLINK("http://141.218.60.56/~jnz1568/getInfo.php?workbook=10_05.xlsx&amp;sheet=U0&amp;row=16540&amp;col=6&amp;number=4.6&amp;sourceID=14","4.6")</f>
        <v>4.6</v>
      </c>
      <c r="G16540" s="4" t="str">
        <f>HYPERLINK("http://141.218.60.56/~jnz1568/getInfo.php?workbook=10_05.xlsx&amp;sheet=U0&amp;row=16540&amp;col=7&amp;number=0.0261&amp;sourceID=14","0.0261")</f>
        <v>0.0261</v>
      </c>
    </row>
    <row r="16541" spans="1:7">
      <c r="A16541" s="3"/>
      <c r="B16541" s="3"/>
      <c r="C16541" s="3"/>
      <c r="D16541" s="3"/>
      <c r="E16541" s="3">
        <v>18</v>
      </c>
      <c r="F16541" s="4" t="str">
        <f>HYPERLINK("http://141.218.60.56/~jnz1568/getInfo.php?workbook=10_05.xlsx&amp;sheet=U0&amp;row=16541&amp;col=6&amp;number=4.7&amp;sourceID=14","4.7")</f>
        <v>4.7</v>
      </c>
      <c r="G16541" s="4" t="str">
        <f>HYPERLINK("http://141.218.60.56/~jnz1568/getInfo.php?workbook=10_05.xlsx&amp;sheet=U0&amp;row=16541&amp;col=7&amp;number=0.0242&amp;sourceID=14","0.0242")</f>
        <v>0.0242</v>
      </c>
    </row>
    <row r="16542" spans="1:7">
      <c r="A16542" s="3"/>
      <c r="B16542" s="3"/>
      <c r="C16542" s="3"/>
      <c r="D16542" s="3"/>
      <c r="E16542" s="3">
        <v>19</v>
      </c>
      <c r="F16542" s="4" t="str">
        <f>HYPERLINK("http://141.218.60.56/~jnz1568/getInfo.php?workbook=10_05.xlsx&amp;sheet=U0&amp;row=16542&amp;col=6&amp;number=4.8&amp;sourceID=14","4.8")</f>
        <v>4.8</v>
      </c>
      <c r="G16542" s="4" t="str">
        <f>HYPERLINK("http://141.218.60.56/~jnz1568/getInfo.php?workbook=10_05.xlsx&amp;sheet=U0&amp;row=16542&amp;col=7&amp;number=0.0225&amp;sourceID=14","0.0225")</f>
        <v>0.0225</v>
      </c>
    </row>
    <row r="16543" spans="1:7">
      <c r="A16543" s="3"/>
      <c r="B16543" s="3"/>
      <c r="C16543" s="3"/>
      <c r="D16543" s="3"/>
      <c r="E16543" s="3">
        <v>20</v>
      </c>
      <c r="F16543" s="4" t="str">
        <f>HYPERLINK("http://141.218.60.56/~jnz1568/getInfo.php?workbook=10_05.xlsx&amp;sheet=U0&amp;row=16543&amp;col=6&amp;number=4.9&amp;sourceID=14","4.9")</f>
        <v>4.9</v>
      </c>
      <c r="G16543" s="4" t="str">
        <f>HYPERLINK("http://141.218.60.56/~jnz1568/getInfo.php?workbook=10_05.xlsx&amp;sheet=U0&amp;row=16543&amp;col=7&amp;number=0.0211&amp;sourceID=14","0.0211")</f>
        <v>0.0211</v>
      </c>
    </row>
    <row r="16544" spans="1:7">
      <c r="A16544" s="3">
        <v>10</v>
      </c>
      <c r="B16544" s="3">
        <v>5</v>
      </c>
      <c r="C16544" s="3">
        <v>5</v>
      </c>
      <c r="D16544" s="3">
        <v>123</v>
      </c>
      <c r="E16544" s="3">
        <v>1</v>
      </c>
      <c r="F16544" s="4" t="str">
        <f>HYPERLINK("http://141.218.60.56/~jnz1568/getInfo.php?workbook=10_05.xlsx&amp;sheet=U0&amp;row=16544&amp;col=6&amp;number=3&amp;sourceID=14","3")</f>
        <v>3</v>
      </c>
      <c r="G16544" s="4" t="str">
        <f>HYPERLINK("http://141.218.60.56/~jnz1568/getInfo.php?workbook=10_05.xlsx&amp;sheet=U0&amp;row=16544&amp;col=7&amp;number=0.0623&amp;sourceID=14","0.0623")</f>
        <v>0.0623</v>
      </c>
    </row>
    <row r="16545" spans="1:7">
      <c r="A16545" s="3"/>
      <c r="B16545" s="3"/>
      <c r="C16545" s="3"/>
      <c r="D16545" s="3"/>
      <c r="E16545" s="3">
        <v>2</v>
      </c>
      <c r="F16545" s="4" t="str">
        <f>HYPERLINK("http://141.218.60.56/~jnz1568/getInfo.php?workbook=10_05.xlsx&amp;sheet=U0&amp;row=16545&amp;col=6&amp;number=3.1&amp;sourceID=14","3.1")</f>
        <v>3.1</v>
      </c>
      <c r="G16545" s="4" t="str">
        <f>HYPERLINK("http://141.218.60.56/~jnz1568/getInfo.php?workbook=10_05.xlsx&amp;sheet=U0&amp;row=16545&amp;col=7&amp;number=0.0618&amp;sourceID=14","0.0618")</f>
        <v>0.0618</v>
      </c>
    </row>
    <row r="16546" spans="1:7">
      <c r="A16546" s="3"/>
      <c r="B16546" s="3"/>
      <c r="C16546" s="3"/>
      <c r="D16546" s="3"/>
      <c r="E16546" s="3">
        <v>3</v>
      </c>
      <c r="F16546" s="4" t="str">
        <f>HYPERLINK("http://141.218.60.56/~jnz1568/getInfo.php?workbook=10_05.xlsx&amp;sheet=U0&amp;row=16546&amp;col=6&amp;number=3.2&amp;sourceID=14","3.2")</f>
        <v>3.2</v>
      </c>
      <c r="G16546" s="4" t="str">
        <f>HYPERLINK("http://141.218.60.56/~jnz1568/getInfo.php?workbook=10_05.xlsx&amp;sheet=U0&amp;row=16546&amp;col=7&amp;number=0.0612&amp;sourceID=14","0.0612")</f>
        <v>0.0612</v>
      </c>
    </row>
    <row r="16547" spans="1:7">
      <c r="A16547" s="3"/>
      <c r="B16547" s="3"/>
      <c r="C16547" s="3"/>
      <c r="D16547" s="3"/>
      <c r="E16547" s="3">
        <v>4</v>
      </c>
      <c r="F16547" s="4" t="str">
        <f>HYPERLINK("http://141.218.60.56/~jnz1568/getInfo.php?workbook=10_05.xlsx&amp;sheet=U0&amp;row=16547&amp;col=6&amp;number=3.3&amp;sourceID=14","3.3")</f>
        <v>3.3</v>
      </c>
      <c r="G16547" s="4" t="str">
        <f>HYPERLINK("http://141.218.60.56/~jnz1568/getInfo.php?workbook=10_05.xlsx&amp;sheet=U0&amp;row=16547&amp;col=7&amp;number=0.0604&amp;sourceID=14","0.0604")</f>
        <v>0.0604</v>
      </c>
    </row>
    <row r="16548" spans="1:7">
      <c r="A16548" s="3"/>
      <c r="B16548" s="3"/>
      <c r="C16548" s="3"/>
      <c r="D16548" s="3"/>
      <c r="E16548" s="3">
        <v>5</v>
      </c>
      <c r="F16548" s="4" t="str">
        <f>HYPERLINK("http://141.218.60.56/~jnz1568/getInfo.php?workbook=10_05.xlsx&amp;sheet=U0&amp;row=16548&amp;col=6&amp;number=3.4&amp;sourceID=14","3.4")</f>
        <v>3.4</v>
      </c>
      <c r="G16548" s="4" t="str">
        <f>HYPERLINK("http://141.218.60.56/~jnz1568/getInfo.php?workbook=10_05.xlsx&amp;sheet=U0&amp;row=16548&amp;col=7&amp;number=0.0595&amp;sourceID=14","0.0595")</f>
        <v>0.0595</v>
      </c>
    </row>
    <row r="16549" spans="1:7">
      <c r="A16549" s="3"/>
      <c r="B16549" s="3"/>
      <c r="C16549" s="3"/>
      <c r="D16549" s="3"/>
      <c r="E16549" s="3">
        <v>6</v>
      </c>
      <c r="F16549" s="4" t="str">
        <f>HYPERLINK("http://141.218.60.56/~jnz1568/getInfo.php?workbook=10_05.xlsx&amp;sheet=U0&amp;row=16549&amp;col=6&amp;number=3.5&amp;sourceID=14","3.5")</f>
        <v>3.5</v>
      </c>
      <c r="G16549" s="4" t="str">
        <f>HYPERLINK("http://141.218.60.56/~jnz1568/getInfo.php?workbook=10_05.xlsx&amp;sheet=U0&amp;row=16549&amp;col=7&amp;number=0.0583&amp;sourceID=14","0.0583")</f>
        <v>0.0583</v>
      </c>
    </row>
    <row r="16550" spans="1:7">
      <c r="A16550" s="3"/>
      <c r="B16550" s="3"/>
      <c r="C16550" s="3"/>
      <c r="D16550" s="3"/>
      <c r="E16550" s="3">
        <v>7</v>
      </c>
      <c r="F16550" s="4" t="str">
        <f>HYPERLINK("http://141.218.60.56/~jnz1568/getInfo.php?workbook=10_05.xlsx&amp;sheet=U0&amp;row=16550&amp;col=6&amp;number=3.6&amp;sourceID=14","3.6")</f>
        <v>3.6</v>
      </c>
      <c r="G16550" s="4" t="str">
        <f>HYPERLINK("http://141.218.60.56/~jnz1568/getInfo.php?workbook=10_05.xlsx&amp;sheet=U0&amp;row=16550&amp;col=7&amp;number=0.0568&amp;sourceID=14","0.0568")</f>
        <v>0.0568</v>
      </c>
    </row>
    <row r="16551" spans="1:7">
      <c r="A16551" s="3"/>
      <c r="B16551" s="3"/>
      <c r="C16551" s="3"/>
      <c r="D16551" s="3"/>
      <c r="E16551" s="3">
        <v>8</v>
      </c>
      <c r="F16551" s="4" t="str">
        <f>HYPERLINK("http://141.218.60.56/~jnz1568/getInfo.php?workbook=10_05.xlsx&amp;sheet=U0&amp;row=16551&amp;col=6&amp;number=3.7&amp;sourceID=14","3.7")</f>
        <v>3.7</v>
      </c>
      <c r="G16551" s="4" t="str">
        <f>HYPERLINK("http://141.218.60.56/~jnz1568/getInfo.php?workbook=10_05.xlsx&amp;sheet=U0&amp;row=16551&amp;col=7&amp;number=0.055&amp;sourceID=14","0.055")</f>
        <v>0.055</v>
      </c>
    </row>
    <row r="16552" spans="1:7">
      <c r="A16552" s="3"/>
      <c r="B16552" s="3"/>
      <c r="C16552" s="3"/>
      <c r="D16552" s="3"/>
      <c r="E16552" s="3">
        <v>9</v>
      </c>
      <c r="F16552" s="4" t="str">
        <f>HYPERLINK("http://141.218.60.56/~jnz1568/getInfo.php?workbook=10_05.xlsx&amp;sheet=U0&amp;row=16552&amp;col=6&amp;number=3.8&amp;sourceID=14","3.8")</f>
        <v>3.8</v>
      </c>
      <c r="G16552" s="4" t="str">
        <f>HYPERLINK("http://141.218.60.56/~jnz1568/getInfo.php?workbook=10_05.xlsx&amp;sheet=U0&amp;row=16552&amp;col=7&amp;number=0.0528&amp;sourceID=14","0.0528")</f>
        <v>0.0528</v>
      </c>
    </row>
    <row r="16553" spans="1:7">
      <c r="A16553" s="3"/>
      <c r="B16553" s="3"/>
      <c r="C16553" s="3"/>
      <c r="D16553" s="3"/>
      <c r="E16553" s="3">
        <v>10</v>
      </c>
      <c r="F16553" s="4" t="str">
        <f>HYPERLINK("http://141.218.60.56/~jnz1568/getInfo.php?workbook=10_05.xlsx&amp;sheet=U0&amp;row=16553&amp;col=6&amp;number=3.9&amp;sourceID=14","3.9")</f>
        <v>3.9</v>
      </c>
      <c r="G16553" s="4" t="str">
        <f>HYPERLINK("http://141.218.60.56/~jnz1568/getInfo.php?workbook=10_05.xlsx&amp;sheet=U0&amp;row=16553&amp;col=7&amp;number=0.0502&amp;sourceID=14","0.0502")</f>
        <v>0.0502</v>
      </c>
    </row>
    <row r="16554" spans="1:7">
      <c r="A16554" s="3"/>
      <c r="B16554" s="3"/>
      <c r="C16554" s="3"/>
      <c r="D16554" s="3"/>
      <c r="E16554" s="3">
        <v>11</v>
      </c>
      <c r="F16554" s="4" t="str">
        <f>HYPERLINK("http://141.218.60.56/~jnz1568/getInfo.php?workbook=10_05.xlsx&amp;sheet=U0&amp;row=16554&amp;col=6&amp;number=4&amp;sourceID=14","4")</f>
        <v>4</v>
      </c>
      <c r="G16554" s="4" t="str">
        <f>HYPERLINK("http://141.218.60.56/~jnz1568/getInfo.php?workbook=10_05.xlsx&amp;sheet=U0&amp;row=16554&amp;col=7&amp;number=0.0472&amp;sourceID=14","0.0472")</f>
        <v>0.0472</v>
      </c>
    </row>
    <row r="16555" spans="1:7">
      <c r="A16555" s="3"/>
      <c r="B16555" s="3"/>
      <c r="C16555" s="3"/>
      <c r="D16555" s="3"/>
      <c r="E16555" s="3">
        <v>12</v>
      </c>
      <c r="F16555" s="4" t="str">
        <f>HYPERLINK("http://141.218.60.56/~jnz1568/getInfo.php?workbook=10_05.xlsx&amp;sheet=U0&amp;row=16555&amp;col=6&amp;number=4.1&amp;sourceID=14","4.1")</f>
        <v>4.1</v>
      </c>
      <c r="G16555" s="4" t="str">
        <f>HYPERLINK("http://141.218.60.56/~jnz1568/getInfo.php?workbook=10_05.xlsx&amp;sheet=U0&amp;row=16555&amp;col=7&amp;number=0.0437&amp;sourceID=14","0.0437")</f>
        <v>0.0437</v>
      </c>
    </row>
    <row r="16556" spans="1:7">
      <c r="A16556" s="3"/>
      <c r="B16556" s="3"/>
      <c r="C16556" s="3"/>
      <c r="D16556" s="3"/>
      <c r="E16556" s="3">
        <v>13</v>
      </c>
      <c r="F16556" s="4" t="str">
        <f>HYPERLINK("http://141.218.60.56/~jnz1568/getInfo.php?workbook=10_05.xlsx&amp;sheet=U0&amp;row=16556&amp;col=6&amp;number=4.2&amp;sourceID=14","4.2")</f>
        <v>4.2</v>
      </c>
      <c r="G16556" s="4" t="str">
        <f>HYPERLINK("http://141.218.60.56/~jnz1568/getInfo.php?workbook=10_05.xlsx&amp;sheet=U0&amp;row=16556&amp;col=7&amp;number=0.0399&amp;sourceID=14","0.0399")</f>
        <v>0.0399</v>
      </c>
    </row>
    <row r="16557" spans="1:7">
      <c r="A16557" s="3"/>
      <c r="B16557" s="3"/>
      <c r="C16557" s="3"/>
      <c r="D16557" s="3"/>
      <c r="E16557" s="3">
        <v>14</v>
      </c>
      <c r="F16557" s="4" t="str">
        <f>HYPERLINK("http://141.218.60.56/~jnz1568/getInfo.php?workbook=10_05.xlsx&amp;sheet=U0&amp;row=16557&amp;col=6&amp;number=4.3&amp;sourceID=14","4.3")</f>
        <v>4.3</v>
      </c>
      <c r="G16557" s="4" t="str">
        <f>HYPERLINK("http://141.218.60.56/~jnz1568/getInfo.php?workbook=10_05.xlsx&amp;sheet=U0&amp;row=16557&amp;col=7&amp;number=0.0361&amp;sourceID=14","0.0361")</f>
        <v>0.0361</v>
      </c>
    </row>
    <row r="16558" spans="1:7">
      <c r="A16558" s="3"/>
      <c r="B16558" s="3"/>
      <c r="C16558" s="3"/>
      <c r="D16558" s="3"/>
      <c r="E16558" s="3">
        <v>15</v>
      </c>
      <c r="F16558" s="4" t="str">
        <f>HYPERLINK("http://141.218.60.56/~jnz1568/getInfo.php?workbook=10_05.xlsx&amp;sheet=U0&amp;row=16558&amp;col=6&amp;number=4.4&amp;sourceID=14","4.4")</f>
        <v>4.4</v>
      </c>
      <c r="G16558" s="4" t="str">
        <f>HYPERLINK("http://141.218.60.56/~jnz1568/getInfo.php?workbook=10_05.xlsx&amp;sheet=U0&amp;row=16558&amp;col=7&amp;number=0.0325&amp;sourceID=14","0.0325")</f>
        <v>0.0325</v>
      </c>
    </row>
    <row r="16559" spans="1:7">
      <c r="A16559" s="3"/>
      <c r="B16559" s="3"/>
      <c r="C16559" s="3"/>
      <c r="D16559" s="3"/>
      <c r="E16559" s="3">
        <v>16</v>
      </c>
      <c r="F16559" s="4" t="str">
        <f>HYPERLINK("http://141.218.60.56/~jnz1568/getInfo.php?workbook=10_05.xlsx&amp;sheet=U0&amp;row=16559&amp;col=6&amp;number=4.5&amp;sourceID=14","4.5")</f>
        <v>4.5</v>
      </c>
      <c r="G16559" s="4" t="str">
        <f>HYPERLINK("http://141.218.60.56/~jnz1568/getInfo.php?workbook=10_05.xlsx&amp;sheet=U0&amp;row=16559&amp;col=7&amp;number=0.0293&amp;sourceID=14","0.0293")</f>
        <v>0.0293</v>
      </c>
    </row>
    <row r="16560" spans="1:7">
      <c r="A16560" s="3"/>
      <c r="B16560" s="3"/>
      <c r="C16560" s="3"/>
      <c r="D16560" s="3"/>
      <c r="E16560" s="3">
        <v>17</v>
      </c>
      <c r="F16560" s="4" t="str">
        <f>HYPERLINK("http://141.218.60.56/~jnz1568/getInfo.php?workbook=10_05.xlsx&amp;sheet=U0&amp;row=16560&amp;col=6&amp;number=4.6&amp;sourceID=14","4.6")</f>
        <v>4.6</v>
      </c>
      <c r="G16560" s="4" t="str">
        <f>HYPERLINK("http://141.218.60.56/~jnz1568/getInfo.php?workbook=10_05.xlsx&amp;sheet=U0&amp;row=16560&amp;col=7&amp;number=0.0264&amp;sourceID=14","0.0264")</f>
        <v>0.0264</v>
      </c>
    </row>
    <row r="16561" spans="1:7">
      <c r="A16561" s="3"/>
      <c r="B16561" s="3"/>
      <c r="C16561" s="3"/>
      <c r="D16561" s="3"/>
      <c r="E16561" s="3">
        <v>18</v>
      </c>
      <c r="F16561" s="4" t="str">
        <f>HYPERLINK("http://141.218.60.56/~jnz1568/getInfo.php?workbook=10_05.xlsx&amp;sheet=U0&amp;row=16561&amp;col=6&amp;number=4.7&amp;sourceID=14","4.7")</f>
        <v>4.7</v>
      </c>
      <c r="G16561" s="4" t="str">
        <f>HYPERLINK("http://141.218.60.56/~jnz1568/getInfo.php?workbook=10_05.xlsx&amp;sheet=U0&amp;row=16561&amp;col=7&amp;number=0.0238&amp;sourceID=14","0.0238")</f>
        <v>0.0238</v>
      </c>
    </row>
    <row r="16562" spans="1:7">
      <c r="A16562" s="3"/>
      <c r="B16562" s="3"/>
      <c r="C16562" s="3"/>
      <c r="D16562" s="3"/>
      <c r="E16562" s="3">
        <v>19</v>
      </c>
      <c r="F16562" s="4" t="str">
        <f>HYPERLINK("http://141.218.60.56/~jnz1568/getInfo.php?workbook=10_05.xlsx&amp;sheet=U0&amp;row=16562&amp;col=6&amp;number=4.8&amp;sourceID=14","4.8")</f>
        <v>4.8</v>
      </c>
      <c r="G16562" s="4" t="str">
        <f>HYPERLINK("http://141.218.60.56/~jnz1568/getInfo.php?workbook=10_05.xlsx&amp;sheet=U0&amp;row=16562&amp;col=7&amp;number=0.0215&amp;sourceID=14","0.0215")</f>
        <v>0.0215</v>
      </c>
    </row>
    <row r="16563" spans="1:7">
      <c r="A16563" s="3"/>
      <c r="B16563" s="3"/>
      <c r="C16563" s="3"/>
      <c r="D16563" s="3"/>
      <c r="E16563" s="3">
        <v>20</v>
      </c>
      <c r="F16563" s="4" t="str">
        <f>HYPERLINK("http://141.218.60.56/~jnz1568/getInfo.php?workbook=10_05.xlsx&amp;sheet=U0&amp;row=16563&amp;col=6&amp;number=4.9&amp;sourceID=14","4.9")</f>
        <v>4.9</v>
      </c>
      <c r="G16563" s="4" t="str">
        <f>HYPERLINK("http://141.218.60.56/~jnz1568/getInfo.php?workbook=10_05.xlsx&amp;sheet=U0&amp;row=16563&amp;col=7&amp;number=0.0194&amp;sourceID=14","0.0194")</f>
        <v>0.0194</v>
      </c>
    </row>
    <row r="16564" spans="1:7">
      <c r="A16564" s="3">
        <v>10</v>
      </c>
      <c r="B16564" s="3">
        <v>5</v>
      </c>
      <c r="C16564" s="3">
        <v>5</v>
      </c>
      <c r="D16564" s="3">
        <v>124</v>
      </c>
      <c r="E16564" s="3">
        <v>1</v>
      </c>
      <c r="F16564" s="4" t="str">
        <f>HYPERLINK("http://141.218.60.56/~jnz1568/getInfo.php?workbook=10_05.xlsx&amp;sheet=U0&amp;row=16564&amp;col=6&amp;number=3&amp;sourceID=14","3")</f>
        <v>3</v>
      </c>
      <c r="G16564" s="4" t="str">
        <f>HYPERLINK("http://141.218.60.56/~jnz1568/getInfo.php?workbook=10_05.xlsx&amp;sheet=U0&amp;row=16564&amp;col=7&amp;number=0.13&amp;sourceID=14","0.13")</f>
        <v>0.13</v>
      </c>
    </row>
    <row r="16565" spans="1:7">
      <c r="A16565" s="3"/>
      <c r="B16565" s="3"/>
      <c r="C16565" s="3"/>
      <c r="D16565" s="3"/>
      <c r="E16565" s="3">
        <v>2</v>
      </c>
      <c r="F16565" s="4" t="str">
        <f>HYPERLINK("http://141.218.60.56/~jnz1568/getInfo.php?workbook=10_05.xlsx&amp;sheet=U0&amp;row=16565&amp;col=6&amp;number=3.1&amp;sourceID=14","3.1")</f>
        <v>3.1</v>
      </c>
      <c r="G16565" s="4" t="str">
        <f>HYPERLINK("http://141.218.60.56/~jnz1568/getInfo.php?workbook=10_05.xlsx&amp;sheet=U0&amp;row=16565&amp;col=7&amp;number=0.129&amp;sourceID=14","0.129")</f>
        <v>0.129</v>
      </c>
    </row>
    <row r="16566" spans="1:7">
      <c r="A16566" s="3"/>
      <c r="B16566" s="3"/>
      <c r="C16566" s="3"/>
      <c r="D16566" s="3"/>
      <c r="E16566" s="3">
        <v>3</v>
      </c>
      <c r="F16566" s="4" t="str">
        <f>HYPERLINK("http://141.218.60.56/~jnz1568/getInfo.php?workbook=10_05.xlsx&amp;sheet=U0&amp;row=16566&amp;col=6&amp;number=3.2&amp;sourceID=14","3.2")</f>
        <v>3.2</v>
      </c>
      <c r="G16566" s="4" t="str">
        <f>HYPERLINK("http://141.218.60.56/~jnz1568/getInfo.php?workbook=10_05.xlsx&amp;sheet=U0&amp;row=16566&amp;col=7&amp;number=0.127&amp;sourceID=14","0.127")</f>
        <v>0.127</v>
      </c>
    </row>
    <row r="16567" spans="1:7">
      <c r="A16567" s="3"/>
      <c r="B16567" s="3"/>
      <c r="C16567" s="3"/>
      <c r="D16567" s="3"/>
      <c r="E16567" s="3">
        <v>4</v>
      </c>
      <c r="F16567" s="4" t="str">
        <f>HYPERLINK("http://141.218.60.56/~jnz1568/getInfo.php?workbook=10_05.xlsx&amp;sheet=U0&amp;row=16567&amp;col=6&amp;number=3.3&amp;sourceID=14","3.3")</f>
        <v>3.3</v>
      </c>
      <c r="G16567" s="4" t="str">
        <f>HYPERLINK("http://141.218.60.56/~jnz1568/getInfo.php?workbook=10_05.xlsx&amp;sheet=U0&amp;row=16567&amp;col=7&amp;number=0.125&amp;sourceID=14","0.125")</f>
        <v>0.125</v>
      </c>
    </row>
    <row r="16568" spans="1:7">
      <c r="A16568" s="3"/>
      <c r="B16568" s="3"/>
      <c r="C16568" s="3"/>
      <c r="D16568" s="3"/>
      <c r="E16568" s="3">
        <v>5</v>
      </c>
      <c r="F16568" s="4" t="str">
        <f>HYPERLINK("http://141.218.60.56/~jnz1568/getInfo.php?workbook=10_05.xlsx&amp;sheet=U0&amp;row=16568&amp;col=6&amp;number=3.4&amp;sourceID=14","3.4")</f>
        <v>3.4</v>
      </c>
      <c r="G16568" s="4" t="str">
        <f>HYPERLINK("http://141.218.60.56/~jnz1568/getInfo.php?workbook=10_05.xlsx&amp;sheet=U0&amp;row=16568&amp;col=7&amp;number=0.122&amp;sourceID=14","0.122")</f>
        <v>0.122</v>
      </c>
    </row>
    <row r="16569" spans="1:7">
      <c r="A16569" s="3"/>
      <c r="B16569" s="3"/>
      <c r="C16569" s="3"/>
      <c r="D16569" s="3"/>
      <c r="E16569" s="3">
        <v>6</v>
      </c>
      <c r="F16569" s="4" t="str">
        <f>HYPERLINK("http://141.218.60.56/~jnz1568/getInfo.php?workbook=10_05.xlsx&amp;sheet=U0&amp;row=16569&amp;col=6&amp;number=3.5&amp;sourceID=14","3.5")</f>
        <v>3.5</v>
      </c>
      <c r="G16569" s="4" t="str">
        <f>HYPERLINK("http://141.218.60.56/~jnz1568/getInfo.php?workbook=10_05.xlsx&amp;sheet=U0&amp;row=16569&amp;col=7&amp;number=0.119&amp;sourceID=14","0.119")</f>
        <v>0.119</v>
      </c>
    </row>
    <row r="16570" spans="1:7">
      <c r="A16570" s="3"/>
      <c r="B16570" s="3"/>
      <c r="C16570" s="3"/>
      <c r="D16570" s="3"/>
      <c r="E16570" s="3">
        <v>7</v>
      </c>
      <c r="F16570" s="4" t="str">
        <f>HYPERLINK("http://141.218.60.56/~jnz1568/getInfo.php?workbook=10_05.xlsx&amp;sheet=U0&amp;row=16570&amp;col=6&amp;number=3.6&amp;sourceID=14","3.6")</f>
        <v>3.6</v>
      </c>
      <c r="G16570" s="4" t="str">
        <f>HYPERLINK("http://141.218.60.56/~jnz1568/getInfo.php?workbook=10_05.xlsx&amp;sheet=U0&amp;row=16570&amp;col=7&amp;number=0.115&amp;sourceID=14","0.115")</f>
        <v>0.115</v>
      </c>
    </row>
    <row r="16571" spans="1:7">
      <c r="A16571" s="3"/>
      <c r="B16571" s="3"/>
      <c r="C16571" s="3"/>
      <c r="D16571" s="3"/>
      <c r="E16571" s="3">
        <v>8</v>
      </c>
      <c r="F16571" s="4" t="str">
        <f>HYPERLINK("http://141.218.60.56/~jnz1568/getInfo.php?workbook=10_05.xlsx&amp;sheet=U0&amp;row=16571&amp;col=6&amp;number=3.7&amp;sourceID=14","3.7")</f>
        <v>3.7</v>
      </c>
      <c r="G16571" s="4" t="str">
        <f>HYPERLINK("http://141.218.60.56/~jnz1568/getInfo.php?workbook=10_05.xlsx&amp;sheet=U0&amp;row=16571&amp;col=7&amp;number=0.11&amp;sourceID=14","0.11")</f>
        <v>0.11</v>
      </c>
    </row>
    <row r="16572" spans="1:7">
      <c r="A16572" s="3"/>
      <c r="B16572" s="3"/>
      <c r="C16572" s="3"/>
      <c r="D16572" s="3"/>
      <c r="E16572" s="3">
        <v>9</v>
      </c>
      <c r="F16572" s="4" t="str">
        <f>HYPERLINK("http://141.218.60.56/~jnz1568/getInfo.php?workbook=10_05.xlsx&amp;sheet=U0&amp;row=16572&amp;col=6&amp;number=3.8&amp;sourceID=14","3.8")</f>
        <v>3.8</v>
      </c>
      <c r="G16572" s="4" t="str">
        <f>HYPERLINK("http://141.218.60.56/~jnz1568/getInfo.php?workbook=10_05.xlsx&amp;sheet=U0&amp;row=16572&amp;col=7&amp;number=0.104&amp;sourceID=14","0.104")</f>
        <v>0.104</v>
      </c>
    </row>
    <row r="16573" spans="1:7">
      <c r="A16573" s="3"/>
      <c r="B16573" s="3"/>
      <c r="C16573" s="3"/>
      <c r="D16573" s="3"/>
      <c r="E16573" s="3">
        <v>10</v>
      </c>
      <c r="F16573" s="4" t="str">
        <f>HYPERLINK("http://141.218.60.56/~jnz1568/getInfo.php?workbook=10_05.xlsx&amp;sheet=U0&amp;row=16573&amp;col=6&amp;number=3.9&amp;sourceID=14","3.9")</f>
        <v>3.9</v>
      </c>
      <c r="G16573" s="4" t="str">
        <f>HYPERLINK("http://141.218.60.56/~jnz1568/getInfo.php?workbook=10_05.xlsx&amp;sheet=U0&amp;row=16573&amp;col=7&amp;number=0.0977&amp;sourceID=14","0.0977")</f>
        <v>0.0977</v>
      </c>
    </row>
    <row r="16574" spans="1:7">
      <c r="A16574" s="3"/>
      <c r="B16574" s="3"/>
      <c r="C16574" s="3"/>
      <c r="D16574" s="3"/>
      <c r="E16574" s="3">
        <v>11</v>
      </c>
      <c r="F16574" s="4" t="str">
        <f>HYPERLINK("http://141.218.60.56/~jnz1568/getInfo.php?workbook=10_05.xlsx&amp;sheet=U0&amp;row=16574&amp;col=6&amp;number=4&amp;sourceID=14","4")</f>
        <v>4</v>
      </c>
      <c r="G16574" s="4" t="str">
        <f>HYPERLINK("http://141.218.60.56/~jnz1568/getInfo.php?workbook=10_05.xlsx&amp;sheet=U0&amp;row=16574&amp;col=7&amp;number=0.0902&amp;sourceID=14","0.0902")</f>
        <v>0.0902</v>
      </c>
    </row>
    <row r="16575" spans="1:7">
      <c r="A16575" s="3"/>
      <c r="B16575" s="3"/>
      <c r="C16575" s="3"/>
      <c r="D16575" s="3"/>
      <c r="E16575" s="3">
        <v>12</v>
      </c>
      <c r="F16575" s="4" t="str">
        <f>HYPERLINK("http://141.218.60.56/~jnz1568/getInfo.php?workbook=10_05.xlsx&amp;sheet=U0&amp;row=16575&amp;col=6&amp;number=4.1&amp;sourceID=14","4.1")</f>
        <v>4.1</v>
      </c>
      <c r="G16575" s="4" t="str">
        <f>HYPERLINK("http://141.218.60.56/~jnz1568/getInfo.php?workbook=10_05.xlsx&amp;sheet=U0&amp;row=16575&amp;col=7&amp;number=0.0823&amp;sourceID=14","0.0823")</f>
        <v>0.0823</v>
      </c>
    </row>
    <row r="16576" spans="1:7">
      <c r="A16576" s="3"/>
      <c r="B16576" s="3"/>
      <c r="C16576" s="3"/>
      <c r="D16576" s="3"/>
      <c r="E16576" s="3">
        <v>13</v>
      </c>
      <c r="F16576" s="4" t="str">
        <f>HYPERLINK("http://141.218.60.56/~jnz1568/getInfo.php?workbook=10_05.xlsx&amp;sheet=U0&amp;row=16576&amp;col=6&amp;number=4.2&amp;sourceID=14","4.2")</f>
        <v>4.2</v>
      </c>
      <c r="G16576" s="4" t="str">
        <f>HYPERLINK("http://141.218.60.56/~jnz1568/getInfo.php?workbook=10_05.xlsx&amp;sheet=U0&amp;row=16576&amp;col=7&amp;number=0.0748&amp;sourceID=14","0.0748")</f>
        <v>0.0748</v>
      </c>
    </row>
    <row r="16577" spans="1:7">
      <c r="A16577" s="3"/>
      <c r="B16577" s="3"/>
      <c r="C16577" s="3"/>
      <c r="D16577" s="3"/>
      <c r="E16577" s="3">
        <v>14</v>
      </c>
      <c r="F16577" s="4" t="str">
        <f>HYPERLINK("http://141.218.60.56/~jnz1568/getInfo.php?workbook=10_05.xlsx&amp;sheet=U0&amp;row=16577&amp;col=6&amp;number=4.3&amp;sourceID=14","4.3")</f>
        <v>4.3</v>
      </c>
      <c r="G16577" s="4" t="str">
        <f>HYPERLINK("http://141.218.60.56/~jnz1568/getInfo.php?workbook=10_05.xlsx&amp;sheet=U0&amp;row=16577&amp;col=7&amp;number=0.0681&amp;sourceID=14","0.0681")</f>
        <v>0.0681</v>
      </c>
    </row>
    <row r="16578" spans="1:7">
      <c r="A16578" s="3"/>
      <c r="B16578" s="3"/>
      <c r="C16578" s="3"/>
      <c r="D16578" s="3"/>
      <c r="E16578" s="3">
        <v>15</v>
      </c>
      <c r="F16578" s="4" t="str">
        <f>HYPERLINK("http://141.218.60.56/~jnz1568/getInfo.php?workbook=10_05.xlsx&amp;sheet=U0&amp;row=16578&amp;col=6&amp;number=4.4&amp;sourceID=14","4.4")</f>
        <v>4.4</v>
      </c>
      <c r="G16578" s="4" t="str">
        <f>HYPERLINK("http://141.218.60.56/~jnz1568/getInfo.php?workbook=10_05.xlsx&amp;sheet=U0&amp;row=16578&amp;col=7&amp;number=0.0623&amp;sourceID=14","0.0623")</f>
        <v>0.0623</v>
      </c>
    </row>
    <row r="16579" spans="1:7">
      <c r="A16579" s="3"/>
      <c r="B16579" s="3"/>
      <c r="C16579" s="3"/>
      <c r="D16579" s="3"/>
      <c r="E16579" s="3">
        <v>16</v>
      </c>
      <c r="F16579" s="4" t="str">
        <f>HYPERLINK("http://141.218.60.56/~jnz1568/getInfo.php?workbook=10_05.xlsx&amp;sheet=U0&amp;row=16579&amp;col=6&amp;number=4.5&amp;sourceID=14","4.5")</f>
        <v>4.5</v>
      </c>
      <c r="G16579" s="4" t="str">
        <f>HYPERLINK("http://141.218.60.56/~jnz1568/getInfo.php?workbook=10_05.xlsx&amp;sheet=U0&amp;row=16579&amp;col=7&amp;number=0.0573&amp;sourceID=14","0.0573")</f>
        <v>0.0573</v>
      </c>
    </row>
    <row r="16580" spans="1:7">
      <c r="A16580" s="3"/>
      <c r="B16580" s="3"/>
      <c r="C16580" s="3"/>
      <c r="D16580" s="3"/>
      <c r="E16580" s="3">
        <v>17</v>
      </c>
      <c r="F16580" s="4" t="str">
        <f>HYPERLINK("http://141.218.60.56/~jnz1568/getInfo.php?workbook=10_05.xlsx&amp;sheet=U0&amp;row=16580&amp;col=6&amp;number=4.6&amp;sourceID=14","4.6")</f>
        <v>4.6</v>
      </c>
      <c r="G16580" s="4" t="str">
        <f>HYPERLINK("http://141.218.60.56/~jnz1568/getInfo.php?workbook=10_05.xlsx&amp;sheet=U0&amp;row=16580&amp;col=7&amp;number=0.0524&amp;sourceID=14","0.0524")</f>
        <v>0.0524</v>
      </c>
    </row>
    <row r="16581" spans="1:7">
      <c r="A16581" s="3"/>
      <c r="B16581" s="3"/>
      <c r="C16581" s="3"/>
      <c r="D16581" s="3"/>
      <c r="E16581" s="3">
        <v>18</v>
      </c>
      <c r="F16581" s="4" t="str">
        <f>HYPERLINK("http://141.218.60.56/~jnz1568/getInfo.php?workbook=10_05.xlsx&amp;sheet=U0&amp;row=16581&amp;col=6&amp;number=4.7&amp;sourceID=14","4.7")</f>
        <v>4.7</v>
      </c>
      <c r="G16581" s="4" t="str">
        <f>HYPERLINK("http://141.218.60.56/~jnz1568/getInfo.php?workbook=10_05.xlsx&amp;sheet=U0&amp;row=16581&amp;col=7&amp;number=0.048&amp;sourceID=14","0.048")</f>
        <v>0.048</v>
      </c>
    </row>
    <row r="16582" spans="1:7">
      <c r="A16582" s="3"/>
      <c r="B16582" s="3"/>
      <c r="C16582" s="3"/>
      <c r="D16582" s="3"/>
      <c r="E16582" s="3">
        <v>19</v>
      </c>
      <c r="F16582" s="4" t="str">
        <f>HYPERLINK("http://141.218.60.56/~jnz1568/getInfo.php?workbook=10_05.xlsx&amp;sheet=U0&amp;row=16582&amp;col=6&amp;number=4.8&amp;sourceID=14","4.8")</f>
        <v>4.8</v>
      </c>
      <c r="G16582" s="4" t="str">
        <f>HYPERLINK("http://141.218.60.56/~jnz1568/getInfo.php?workbook=10_05.xlsx&amp;sheet=U0&amp;row=16582&amp;col=7&amp;number=0.0442&amp;sourceID=14","0.0442")</f>
        <v>0.0442</v>
      </c>
    </row>
    <row r="16583" spans="1:7">
      <c r="A16583" s="3"/>
      <c r="B16583" s="3"/>
      <c r="C16583" s="3"/>
      <c r="D16583" s="3"/>
      <c r="E16583" s="3">
        <v>20</v>
      </c>
      <c r="F16583" s="4" t="str">
        <f>HYPERLINK("http://141.218.60.56/~jnz1568/getInfo.php?workbook=10_05.xlsx&amp;sheet=U0&amp;row=16583&amp;col=6&amp;number=4.9&amp;sourceID=14","4.9")</f>
        <v>4.9</v>
      </c>
      <c r="G16583" s="4" t="str">
        <f>HYPERLINK("http://141.218.60.56/~jnz1568/getInfo.php?workbook=10_05.xlsx&amp;sheet=U0&amp;row=16583&amp;col=7&amp;number=0.041&amp;sourceID=14","0.041")</f>
        <v>0.041</v>
      </c>
    </row>
    <row r="16584" spans="1:7">
      <c r="A16584" s="3">
        <v>10</v>
      </c>
      <c r="B16584" s="3">
        <v>5</v>
      </c>
      <c r="C16584" s="3">
        <v>5</v>
      </c>
      <c r="D16584" s="3">
        <v>125</v>
      </c>
      <c r="E16584" s="3">
        <v>1</v>
      </c>
      <c r="F16584" s="4" t="str">
        <f>HYPERLINK("http://141.218.60.56/~jnz1568/getInfo.php?workbook=10_05.xlsx&amp;sheet=U0&amp;row=16584&amp;col=6&amp;number=3&amp;sourceID=14","3")</f>
        <v>3</v>
      </c>
      <c r="G16584" s="4" t="str">
        <f>HYPERLINK("http://141.218.60.56/~jnz1568/getInfo.php?workbook=10_05.xlsx&amp;sheet=U0&amp;row=16584&amp;col=7&amp;number=0.0245&amp;sourceID=14","0.0245")</f>
        <v>0.0245</v>
      </c>
    </row>
    <row r="16585" spans="1:7">
      <c r="A16585" s="3"/>
      <c r="B16585" s="3"/>
      <c r="C16585" s="3"/>
      <c r="D16585" s="3"/>
      <c r="E16585" s="3">
        <v>2</v>
      </c>
      <c r="F16585" s="4" t="str">
        <f>HYPERLINK("http://141.218.60.56/~jnz1568/getInfo.php?workbook=10_05.xlsx&amp;sheet=U0&amp;row=16585&amp;col=6&amp;number=3.1&amp;sourceID=14","3.1")</f>
        <v>3.1</v>
      </c>
      <c r="G16585" s="4" t="str">
        <f>HYPERLINK("http://141.218.60.56/~jnz1568/getInfo.php?workbook=10_05.xlsx&amp;sheet=U0&amp;row=16585&amp;col=7&amp;number=0.0243&amp;sourceID=14","0.0243")</f>
        <v>0.0243</v>
      </c>
    </row>
    <row r="16586" spans="1:7">
      <c r="A16586" s="3"/>
      <c r="B16586" s="3"/>
      <c r="C16586" s="3"/>
      <c r="D16586" s="3"/>
      <c r="E16586" s="3">
        <v>3</v>
      </c>
      <c r="F16586" s="4" t="str">
        <f>HYPERLINK("http://141.218.60.56/~jnz1568/getInfo.php?workbook=10_05.xlsx&amp;sheet=U0&amp;row=16586&amp;col=6&amp;number=3.2&amp;sourceID=14","3.2")</f>
        <v>3.2</v>
      </c>
      <c r="G16586" s="4" t="str">
        <f>HYPERLINK("http://141.218.60.56/~jnz1568/getInfo.php?workbook=10_05.xlsx&amp;sheet=U0&amp;row=16586&amp;col=7&amp;number=0.024&amp;sourceID=14","0.024")</f>
        <v>0.024</v>
      </c>
    </row>
    <row r="16587" spans="1:7">
      <c r="A16587" s="3"/>
      <c r="B16587" s="3"/>
      <c r="C16587" s="3"/>
      <c r="D16587" s="3"/>
      <c r="E16587" s="3">
        <v>4</v>
      </c>
      <c r="F16587" s="4" t="str">
        <f>HYPERLINK("http://141.218.60.56/~jnz1568/getInfo.php?workbook=10_05.xlsx&amp;sheet=U0&amp;row=16587&amp;col=6&amp;number=3.3&amp;sourceID=14","3.3")</f>
        <v>3.3</v>
      </c>
      <c r="G16587" s="4" t="str">
        <f>HYPERLINK("http://141.218.60.56/~jnz1568/getInfo.php?workbook=10_05.xlsx&amp;sheet=U0&amp;row=16587&amp;col=7&amp;number=0.0237&amp;sourceID=14","0.0237")</f>
        <v>0.0237</v>
      </c>
    </row>
    <row r="16588" spans="1:7">
      <c r="A16588" s="3"/>
      <c r="B16588" s="3"/>
      <c r="C16588" s="3"/>
      <c r="D16588" s="3"/>
      <c r="E16588" s="3">
        <v>5</v>
      </c>
      <c r="F16588" s="4" t="str">
        <f>HYPERLINK("http://141.218.60.56/~jnz1568/getInfo.php?workbook=10_05.xlsx&amp;sheet=U0&amp;row=16588&amp;col=6&amp;number=3.4&amp;sourceID=14","3.4")</f>
        <v>3.4</v>
      </c>
      <c r="G16588" s="4" t="str">
        <f>HYPERLINK("http://141.218.60.56/~jnz1568/getInfo.php?workbook=10_05.xlsx&amp;sheet=U0&amp;row=16588&amp;col=7&amp;number=0.0232&amp;sourceID=14","0.0232")</f>
        <v>0.0232</v>
      </c>
    </row>
    <row r="16589" spans="1:7">
      <c r="A16589" s="3"/>
      <c r="B16589" s="3"/>
      <c r="C16589" s="3"/>
      <c r="D16589" s="3"/>
      <c r="E16589" s="3">
        <v>6</v>
      </c>
      <c r="F16589" s="4" t="str">
        <f>HYPERLINK("http://141.218.60.56/~jnz1568/getInfo.php?workbook=10_05.xlsx&amp;sheet=U0&amp;row=16589&amp;col=6&amp;number=3.5&amp;sourceID=14","3.5")</f>
        <v>3.5</v>
      </c>
      <c r="G16589" s="4" t="str">
        <f>HYPERLINK("http://141.218.60.56/~jnz1568/getInfo.php?workbook=10_05.xlsx&amp;sheet=U0&amp;row=16589&amp;col=7&amp;number=0.0227&amp;sourceID=14","0.0227")</f>
        <v>0.0227</v>
      </c>
    </row>
    <row r="16590" spans="1:7">
      <c r="A16590" s="3"/>
      <c r="B16590" s="3"/>
      <c r="C16590" s="3"/>
      <c r="D16590" s="3"/>
      <c r="E16590" s="3">
        <v>7</v>
      </c>
      <c r="F16590" s="4" t="str">
        <f>HYPERLINK("http://141.218.60.56/~jnz1568/getInfo.php?workbook=10_05.xlsx&amp;sheet=U0&amp;row=16590&amp;col=6&amp;number=3.6&amp;sourceID=14","3.6")</f>
        <v>3.6</v>
      </c>
      <c r="G16590" s="4" t="str">
        <f>HYPERLINK("http://141.218.60.56/~jnz1568/getInfo.php?workbook=10_05.xlsx&amp;sheet=U0&amp;row=16590&amp;col=7&amp;number=0.0221&amp;sourceID=14","0.0221")</f>
        <v>0.0221</v>
      </c>
    </row>
    <row r="16591" spans="1:7">
      <c r="A16591" s="3"/>
      <c r="B16591" s="3"/>
      <c r="C16591" s="3"/>
      <c r="D16591" s="3"/>
      <c r="E16591" s="3">
        <v>8</v>
      </c>
      <c r="F16591" s="4" t="str">
        <f>HYPERLINK("http://141.218.60.56/~jnz1568/getInfo.php?workbook=10_05.xlsx&amp;sheet=U0&amp;row=16591&amp;col=6&amp;number=3.7&amp;sourceID=14","3.7")</f>
        <v>3.7</v>
      </c>
      <c r="G16591" s="4" t="str">
        <f>HYPERLINK("http://141.218.60.56/~jnz1568/getInfo.php?workbook=10_05.xlsx&amp;sheet=U0&amp;row=16591&amp;col=7&amp;number=0.0213&amp;sourceID=14","0.0213")</f>
        <v>0.0213</v>
      </c>
    </row>
    <row r="16592" spans="1:7">
      <c r="A16592" s="3"/>
      <c r="B16592" s="3"/>
      <c r="C16592" s="3"/>
      <c r="D16592" s="3"/>
      <c r="E16592" s="3">
        <v>9</v>
      </c>
      <c r="F16592" s="4" t="str">
        <f>HYPERLINK("http://141.218.60.56/~jnz1568/getInfo.php?workbook=10_05.xlsx&amp;sheet=U0&amp;row=16592&amp;col=6&amp;number=3.8&amp;sourceID=14","3.8")</f>
        <v>3.8</v>
      </c>
      <c r="G16592" s="4" t="str">
        <f>HYPERLINK("http://141.218.60.56/~jnz1568/getInfo.php?workbook=10_05.xlsx&amp;sheet=U0&amp;row=16592&amp;col=7&amp;number=0.0204&amp;sourceID=14","0.0204")</f>
        <v>0.0204</v>
      </c>
    </row>
    <row r="16593" spans="1:7">
      <c r="A16593" s="3"/>
      <c r="B16593" s="3"/>
      <c r="C16593" s="3"/>
      <c r="D16593" s="3"/>
      <c r="E16593" s="3">
        <v>10</v>
      </c>
      <c r="F16593" s="4" t="str">
        <f>HYPERLINK("http://141.218.60.56/~jnz1568/getInfo.php?workbook=10_05.xlsx&amp;sheet=U0&amp;row=16593&amp;col=6&amp;number=3.9&amp;sourceID=14","3.9")</f>
        <v>3.9</v>
      </c>
      <c r="G16593" s="4" t="str">
        <f>HYPERLINK("http://141.218.60.56/~jnz1568/getInfo.php?workbook=10_05.xlsx&amp;sheet=U0&amp;row=16593&amp;col=7&amp;number=0.0193&amp;sourceID=14","0.0193")</f>
        <v>0.0193</v>
      </c>
    </row>
    <row r="16594" spans="1:7">
      <c r="A16594" s="3"/>
      <c r="B16594" s="3"/>
      <c r="C16594" s="3"/>
      <c r="D16594" s="3"/>
      <c r="E16594" s="3">
        <v>11</v>
      </c>
      <c r="F16594" s="4" t="str">
        <f>HYPERLINK("http://141.218.60.56/~jnz1568/getInfo.php?workbook=10_05.xlsx&amp;sheet=U0&amp;row=16594&amp;col=6&amp;number=4&amp;sourceID=14","4")</f>
        <v>4</v>
      </c>
      <c r="G16594" s="4" t="str">
        <f>HYPERLINK("http://141.218.60.56/~jnz1568/getInfo.php?workbook=10_05.xlsx&amp;sheet=U0&amp;row=16594&amp;col=7&amp;number=0.018&amp;sourceID=14","0.018")</f>
        <v>0.018</v>
      </c>
    </row>
    <row r="16595" spans="1:7">
      <c r="A16595" s="3"/>
      <c r="B16595" s="3"/>
      <c r="C16595" s="3"/>
      <c r="D16595" s="3"/>
      <c r="E16595" s="3">
        <v>12</v>
      </c>
      <c r="F16595" s="4" t="str">
        <f>HYPERLINK("http://141.218.60.56/~jnz1568/getInfo.php?workbook=10_05.xlsx&amp;sheet=U0&amp;row=16595&amp;col=6&amp;number=4.1&amp;sourceID=14","4.1")</f>
        <v>4.1</v>
      </c>
      <c r="G16595" s="4" t="str">
        <f>HYPERLINK("http://141.218.60.56/~jnz1568/getInfo.php?workbook=10_05.xlsx&amp;sheet=U0&amp;row=16595&amp;col=7&amp;number=0.0166&amp;sourceID=14","0.0166")</f>
        <v>0.0166</v>
      </c>
    </row>
    <row r="16596" spans="1:7">
      <c r="A16596" s="3"/>
      <c r="B16596" s="3"/>
      <c r="C16596" s="3"/>
      <c r="D16596" s="3"/>
      <c r="E16596" s="3">
        <v>13</v>
      </c>
      <c r="F16596" s="4" t="str">
        <f>HYPERLINK("http://141.218.60.56/~jnz1568/getInfo.php?workbook=10_05.xlsx&amp;sheet=U0&amp;row=16596&amp;col=6&amp;number=4.2&amp;sourceID=14","4.2")</f>
        <v>4.2</v>
      </c>
      <c r="G16596" s="4" t="str">
        <f>HYPERLINK("http://141.218.60.56/~jnz1568/getInfo.php?workbook=10_05.xlsx&amp;sheet=U0&amp;row=16596&amp;col=7&amp;number=0.0152&amp;sourceID=14","0.0152")</f>
        <v>0.0152</v>
      </c>
    </row>
    <row r="16597" spans="1:7">
      <c r="A16597" s="3"/>
      <c r="B16597" s="3"/>
      <c r="C16597" s="3"/>
      <c r="D16597" s="3"/>
      <c r="E16597" s="3">
        <v>14</v>
      </c>
      <c r="F16597" s="4" t="str">
        <f>HYPERLINK("http://141.218.60.56/~jnz1568/getInfo.php?workbook=10_05.xlsx&amp;sheet=U0&amp;row=16597&amp;col=6&amp;number=4.3&amp;sourceID=14","4.3")</f>
        <v>4.3</v>
      </c>
      <c r="G16597" s="4" t="str">
        <f>HYPERLINK("http://141.218.60.56/~jnz1568/getInfo.php?workbook=10_05.xlsx&amp;sheet=U0&amp;row=16597&amp;col=7&amp;number=0.0139&amp;sourceID=14","0.0139")</f>
        <v>0.0139</v>
      </c>
    </row>
    <row r="16598" spans="1:7">
      <c r="A16598" s="3"/>
      <c r="B16598" s="3"/>
      <c r="C16598" s="3"/>
      <c r="D16598" s="3"/>
      <c r="E16598" s="3">
        <v>15</v>
      </c>
      <c r="F16598" s="4" t="str">
        <f>HYPERLINK("http://141.218.60.56/~jnz1568/getInfo.php?workbook=10_05.xlsx&amp;sheet=U0&amp;row=16598&amp;col=6&amp;number=4.4&amp;sourceID=14","4.4")</f>
        <v>4.4</v>
      </c>
      <c r="G16598" s="4" t="str">
        <f>HYPERLINK("http://141.218.60.56/~jnz1568/getInfo.php?workbook=10_05.xlsx&amp;sheet=U0&amp;row=16598&amp;col=7&amp;number=0.0127&amp;sourceID=14","0.0127")</f>
        <v>0.0127</v>
      </c>
    </row>
    <row r="16599" spans="1:7">
      <c r="A16599" s="3"/>
      <c r="B16599" s="3"/>
      <c r="C16599" s="3"/>
      <c r="D16599" s="3"/>
      <c r="E16599" s="3">
        <v>16</v>
      </c>
      <c r="F16599" s="4" t="str">
        <f>HYPERLINK("http://141.218.60.56/~jnz1568/getInfo.php?workbook=10_05.xlsx&amp;sheet=U0&amp;row=16599&amp;col=6&amp;number=4.5&amp;sourceID=14","4.5")</f>
        <v>4.5</v>
      </c>
      <c r="G16599" s="4" t="str">
        <f>HYPERLINK("http://141.218.60.56/~jnz1568/getInfo.php?workbook=10_05.xlsx&amp;sheet=U0&amp;row=16599&amp;col=7&amp;number=0.0117&amp;sourceID=14","0.0117")</f>
        <v>0.0117</v>
      </c>
    </row>
    <row r="16600" spans="1:7">
      <c r="A16600" s="3"/>
      <c r="B16600" s="3"/>
      <c r="C16600" s="3"/>
      <c r="D16600" s="3"/>
      <c r="E16600" s="3">
        <v>17</v>
      </c>
      <c r="F16600" s="4" t="str">
        <f>HYPERLINK("http://141.218.60.56/~jnz1568/getInfo.php?workbook=10_05.xlsx&amp;sheet=U0&amp;row=16600&amp;col=6&amp;number=4.6&amp;sourceID=14","4.6")</f>
        <v>4.6</v>
      </c>
      <c r="G16600" s="4" t="str">
        <f>HYPERLINK("http://141.218.60.56/~jnz1568/getInfo.php?workbook=10_05.xlsx&amp;sheet=U0&amp;row=16600&amp;col=7&amp;number=0.0107&amp;sourceID=14","0.0107")</f>
        <v>0.0107</v>
      </c>
    </row>
    <row r="16601" spans="1:7">
      <c r="A16601" s="3"/>
      <c r="B16601" s="3"/>
      <c r="C16601" s="3"/>
      <c r="D16601" s="3"/>
      <c r="E16601" s="3">
        <v>18</v>
      </c>
      <c r="F16601" s="4" t="str">
        <f>HYPERLINK("http://141.218.60.56/~jnz1568/getInfo.php?workbook=10_05.xlsx&amp;sheet=U0&amp;row=16601&amp;col=6&amp;number=4.7&amp;sourceID=14","4.7")</f>
        <v>4.7</v>
      </c>
      <c r="G16601" s="4" t="str">
        <f>HYPERLINK("http://141.218.60.56/~jnz1568/getInfo.php?workbook=10_05.xlsx&amp;sheet=U0&amp;row=16601&amp;col=7&amp;number=0.00983&amp;sourceID=14","0.00983")</f>
        <v>0.00983</v>
      </c>
    </row>
    <row r="16602" spans="1:7">
      <c r="A16602" s="3"/>
      <c r="B16602" s="3"/>
      <c r="C16602" s="3"/>
      <c r="D16602" s="3"/>
      <c r="E16602" s="3">
        <v>19</v>
      </c>
      <c r="F16602" s="4" t="str">
        <f>HYPERLINK("http://141.218.60.56/~jnz1568/getInfo.php?workbook=10_05.xlsx&amp;sheet=U0&amp;row=16602&amp;col=6&amp;number=4.8&amp;sourceID=14","4.8")</f>
        <v>4.8</v>
      </c>
      <c r="G16602" s="4" t="str">
        <f>HYPERLINK("http://141.218.60.56/~jnz1568/getInfo.php?workbook=10_05.xlsx&amp;sheet=U0&amp;row=16602&amp;col=7&amp;number=0.009&amp;sourceID=14","0.009")</f>
        <v>0.009</v>
      </c>
    </row>
    <row r="16603" spans="1:7">
      <c r="A16603" s="3"/>
      <c r="B16603" s="3"/>
      <c r="C16603" s="3"/>
      <c r="D16603" s="3"/>
      <c r="E16603" s="3">
        <v>20</v>
      </c>
      <c r="F16603" s="4" t="str">
        <f>HYPERLINK("http://141.218.60.56/~jnz1568/getInfo.php?workbook=10_05.xlsx&amp;sheet=U0&amp;row=16603&amp;col=6&amp;number=4.9&amp;sourceID=14","4.9")</f>
        <v>4.9</v>
      </c>
      <c r="G16603" s="4" t="str">
        <f>HYPERLINK("http://141.218.60.56/~jnz1568/getInfo.php?workbook=10_05.xlsx&amp;sheet=U0&amp;row=16603&amp;col=7&amp;number=0.0083&amp;sourceID=14","0.0083")</f>
        <v>0.0083</v>
      </c>
    </row>
    <row r="16604" spans="1:7">
      <c r="A16604" s="3">
        <v>10</v>
      </c>
      <c r="B16604" s="3">
        <v>5</v>
      </c>
      <c r="C16604" s="3">
        <v>5</v>
      </c>
      <c r="D16604" s="3">
        <v>126</v>
      </c>
      <c r="E16604" s="3">
        <v>1</v>
      </c>
      <c r="F16604" s="4" t="str">
        <f>HYPERLINK("http://141.218.60.56/~jnz1568/getInfo.php?workbook=10_05.xlsx&amp;sheet=U0&amp;row=16604&amp;col=6&amp;number=3&amp;sourceID=14","3")</f>
        <v>3</v>
      </c>
      <c r="G16604" s="4" t="str">
        <f>HYPERLINK("http://141.218.60.56/~jnz1568/getInfo.php?workbook=10_05.xlsx&amp;sheet=U0&amp;row=16604&amp;col=7&amp;number=0.0675&amp;sourceID=14","0.0675")</f>
        <v>0.0675</v>
      </c>
    </row>
    <row r="16605" spans="1:7">
      <c r="A16605" s="3"/>
      <c r="B16605" s="3"/>
      <c r="C16605" s="3"/>
      <c r="D16605" s="3"/>
      <c r="E16605" s="3">
        <v>2</v>
      </c>
      <c r="F16605" s="4" t="str">
        <f>HYPERLINK("http://141.218.60.56/~jnz1568/getInfo.php?workbook=10_05.xlsx&amp;sheet=U0&amp;row=16605&amp;col=6&amp;number=3.1&amp;sourceID=14","3.1")</f>
        <v>3.1</v>
      </c>
      <c r="G16605" s="4" t="str">
        <f>HYPERLINK("http://141.218.60.56/~jnz1568/getInfo.php?workbook=10_05.xlsx&amp;sheet=U0&amp;row=16605&amp;col=7&amp;number=0.0669&amp;sourceID=14","0.0669")</f>
        <v>0.0669</v>
      </c>
    </row>
    <row r="16606" spans="1:7">
      <c r="A16606" s="3"/>
      <c r="B16606" s="3"/>
      <c r="C16606" s="3"/>
      <c r="D16606" s="3"/>
      <c r="E16606" s="3">
        <v>3</v>
      </c>
      <c r="F16606" s="4" t="str">
        <f>HYPERLINK("http://141.218.60.56/~jnz1568/getInfo.php?workbook=10_05.xlsx&amp;sheet=U0&amp;row=16606&amp;col=6&amp;number=3.2&amp;sourceID=14","3.2")</f>
        <v>3.2</v>
      </c>
      <c r="G16606" s="4" t="str">
        <f>HYPERLINK("http://141.218.60.56/~jnz1568/getInfo.php?workbook=10_05.xlsx&amp;sheet=U0&amp;row=16606&amp;col=7&amp;number=0.0662&amp;sourceID=14","0.0662")</f>
        <v>0.0662</v>
      </c>
    </row>
    <row r="16607" spans="1:7">
      <c r="A16607" s="3"/>
      <c r="B16607" s="3"/>
      <c r="C16607" s="3"/>
      <c r="D16607" s="3"/>
      <c r="E16607" s="3">
        <v>4</v>
      </c>
      <c r="F16607" s="4" t="str">
        <f>HYPERLINK("http://141.218.60.56/~jnz1568/getInfo.php?workbook=10_05.xlsx&amp;sheet=U0&amp;row=16607&amp;col=6&amp;number=3.3&amp;sourceID=14","3.3")</f>
        <v>3.3</v>
      </c>
      <c r="G16607" s="4" t="str">
        <f>HYPERLINK("http://141.218.60.56/~jnz1568/getInfo.php?workbook=10_05.xlsx&amp;sheet=U0&amp;row=16607&amp;col=7&amp;number=0.0652&amp;sourceID=14","0.0652")</f>
        <v>0.0652</v>
      </c>
    </row>
    <row r="16608" spans="1:7">
      <c r="A16608" s="3"/>
      <c r="B16608" s="3"/>
      <c r="C16608" s="3"/>
      <c r="D16608" s="3"/>
      <c r="E16608" s="3">
        <v>5</v>
      </c>
      <c r="F16608" s="4" t="str">
        <f>HYPERLINK("http://141.218.60.56/~jnz1568/getInfo.php?workbook=10_05.xlsx&amp;sheet=U0&amp;row=16608&amp;col=6&amp;number=3.4&amp;sourceID=14","3.4")</f>
        <v>3.4</v>
      </c>
      <c r="G16608" s="4" t="str">
        <f>HYPERLINK("http://141.218.60.56/~jnz1568/getInfo.php?workbook=10_05.xlsx&amp;sheet=U0&amp;row=16608&amp;col=7&amp;number=0.064&amp;sourceID=14","0.064")</f>
        <v>0.064</v>
      </c>
    </row>
    <row r="16609" spans="1:7">
      <c r="A16609" s="3"/>
      <c r="B16609" s="3"/>
      <c r="C16609" s="3"/>
      <c r="D16609" s="3"/>
      <c r="E16609" s="3">
        <v>6</v>
      </c>
      <c r="F16609" s="4" t="str">
        <f>HYPERLINK("http://141.218.60.56/~jnz1568/getInfo.php?workbook=10_05.xlsx&amp;sheet=U0&amp;row=16609&amp;col=6&amp;number=3.5&amp;sourceID=14","3.5")</f>
        <v>3.5</v>
      </c>
      <c r="G16609" s="4" t="str">
        <f>HYPERLINK("http://141.218.60.56/~jnz1568/getInfo.php?workbook=10_05.xlsx&amp;sheet=U0&amp;row=16609&amp;col=7&amp;number=0.0625&amp;sourceID=14","0.0625")</f>
        <v>0.0625</v>
      </c>
    </row>
    <row r="16610" spans="1:7">
      <c r="A16610" s="3"/>
      <c r="B16610" s="3"/>
      <c r="C16610" s="3"/>
      <c r="D16610" s="3"/>
      <c r="E16610" s="3">
        <v>7</v>
      </c>
      <c r="F16610" s="4" t="str">
        <f>HYPERLINK("http://141.218.60.56/~jnz1568/getInfo.php?workbook=10_05.xlsx&amp;sheet=U0&amp;row=16610&amp;col=6&amp;number=3.6&amp;sourceID=14","3.6")</f>
        <v>3.6</v>
      </c>
      <c r="G16610" s="4" t="str">
        <f>HYPERLINK("http://141.218.60.56/~jnz1568/getInfo.php?workbook=10_05.xlsx&amp;sheet=U0&amp;row=16610&amp;col=7&amp;number=0.0607&amp;sourceID=14","0.0607")</f>
        <v>0.0607</v>
      </c>
    </row>
    <row r="16611" spans="1:7">
      <c r="A16611" s="3"/>
      <c r="B16611" s="3"/>
      <c r="C16611" s="3"/>
      <c r="D16611" s="3"/>
      <c r="E16611" s="3">
        <v>8</v>
      </c>
      <c r="F16611" s="4" t="str">
        <f>HYPERLINK("http://141.218.60.56/~jnz1568/getInfo.php?workbook=10_05.xlsx&amp;sheet=U0&amp;row=16611&amp;col=6&amp;number=3.7&amp;sourceID=14","3.7")</f>
        <v>3.7</v>
      </c>
      <c r="G16611" s="4" t="str">
        <f>HYPERLINK("http://141.218.60.56/~jnz1568/getInfo.php?workbook=10_05.xlsx&amp;sheet=U0&amp;row=16611&amp;col=7&amp;number=0.0585&amp;sourceID=14","0.0585")</f>
        <v>0.0585</v>
      </c>
    </row>
    <row r="16612" spans="1:7">
      <c r="A16612" s="3"/>
      <c r="B16612" s="3"/>
      <c r="C16612" s="3"/>
      <c r="D16612" s="3"/>
      <c r="E16612" s="3">
        <v>9</v>
      </c>
      <c r="F16612" s="4" t="str">
        <f>HYPERLINK("http://141.218.60.56/~jnz1568/getInfo.php?workbook=10_05.xlsx&amp;sheet=U0&amp;row=16612&amp;col=6&amp;number=3.8&amp;sourceID=14","3.8")</f>
        <v>3.8</v>
      </c>
      <c r="G16612" s="4" t="str">
        <f>HYPERLINK("http://141.218.60.56/~jnz1568/getInfo.php?workbook=10_05.xlsx&amp;sheet=U0&amp;row=16612&amp;col=7&amp;number=0.0558&amp;sourceID=14","0.0558")</f>
        <v>0.0558</v>
      </c>
    </row>
    <row r="16613" spans="1:7">
      <c r="A16613" s="3"/>
      <c r="B16613" s="3"/>
      <c r="C16613" s="3"/>
      <c r="D16613" s="3"/>
      <c r="E16613" s="3">
        <v>10</v>
      </c>
      <c r="F16613" s="4" t="str">
        <f>HYPERLINK("http://141.218.60.56/~jnz1568/getInfo.php?workbook=10_05.xlsx&amp;sheet=U0&amp;row=16613&amp;col=6&amp;number=3.9&amp;sourceID=14","3.9")</f>
        <v>3.9</v>
      </c>
      <c r="G16613" s="4" t="str">
        <f>HYPERLINK("http://141.218.60.56/~jnz1568/getInfo.php?workbook=10_05.xlsx&amp;sheet=U0&amp;row=16613&amp;col=7&amp;number=0.0527&amp;sourceID=14","0.0527")</f>
        <v>0.0527</v>
      </c>
    </row>
    <row r="16614" spans="1:7">
      <c r="A16614" s="3"/>
      <c r="B16614" s="3"/>
      <c r="C16614" s="3"/>
      <c r="D16614" s="3"/>
      <c r="E16614" s="3">
        <v>11</v>
      </c>
      <c r="F16614" s="4" t="str">
        <f>HYPERLINK("http://141.218.60.56/~jnz1568/getInfo.php?workbook=10_05.xlsx&amp;sheet=U0&amp;row=16614&amp;col=6&amp;number=4&amp;sourceID=14","4")</f>
        <v>4</v>
      </c>
      <c r="G16614" s="4" t="str">
        <f>HYPERLINK("http://141.218.60.56/~jnz1568/getInfo.php?workbook=10_05.xlsx&amp;sheet=U0&amp;row=16614&amp;col=7&amp;number=0.0491&amp;sourceID=14","0.0491")</f>
        <v>0.0491</v>
      </c>
    </row>
    <row r="16615" spans="1:7">
      <c r="A16615" s="3"/>
      <c r="B16615" s="3"/>
      <c r="C16615" s="3"/>
      <c r="D16615" s="3"/>
      <c r="E16615" s="3">
        <v>12</v>
      </c>
      <c r="F16615" s="4" t="str">
        <f>HYPERLINK("http://141.218.60.56/~jnz1568/getInfo.php?workbook=10_05.xlsx&amp;sheet=U0&amp;row=16615&amp;col=6&amp;number=4.1&amp;sourceID=14","4.1")</f>
        <v>4.1</v>
      </c>
      <c r="G16615" s="4" t="str">
        <f>HYPERLINK("http://141.218.60.56/~jnz1568/getInfo.php?workbook=10_05.xlsx&amp;sheet=U0&amp;row=16615&amp;col=7&amp;number=0.0453&amp;sourceID=14","0.0453")</f>
        <v>0.0453</v>
      </c>
    </row>
    <row r="16616" spans="1:7">
      <c r="A16616" s="3"/>
      <c r="B16616" s="3"/>
      <c r="C16616" s="3"/>
      <c r="D16616" s="3"/>
      <c r="E16616" s="3">
        <v>13</v>
      </c>
      <c r="F16616" s="4" t="str">
        <f>HYPERLINK("http://141.218.60.56/~jnz1568/getInfo.php?workbook=10_05.xlsx&amp;sheet=U0&amp;row=16616&amp;col=6&amp;number=4.2&amp;sourceID=14","4.2")</f>
        <v>4.2</v>
      </c>
      <c r="G16616" s="4" t="str">
        <f>HYPERLINK("http://141.218.60.56/~jnz1568/getInfo.php?workbook=10_05.xlsx&amp;sheet=U0&amp;row=16616&amp;col=7&amp;number=0.0415&amp;sourceID=14","0.0415")</f>
        <v>0.0415</v>
      </c>
    </row>
    <row r="16617" spans="1:7">
      <c r="A16617" s="3"/>
      <c r="B16617" s="3"/>
      <c r="C16617" s="3"/>
      <c r="D16617" s="3"/>
      <c r="E16617" s="3">
        <v>14</v>
      </c>
      <c r="F16617" s="4" t="str">
        <f>HYPERLINK("http://141.218.60.56/~jnz1568/getInfo.php?workbook=10_05.xlsx&amp;sheet=U0&amp;row=16617&amp;col=6&amp;number=4.3&amp;sourceID=14","4.3")</f>
        <v>4.3</v>
      </c>
      <c r="G16617" s="4" t="str">
        <f>HYPERLINK("http://141.218.60.56/~jnz1568/getInfo.php?workbook=10_05.xlsx&amp;sheet=U0&amp;row=16617&amp;col=7&amp;number=0.038&amp;sourceID=14","0.038")</f>
        <v>0.038</v>
      </c>
    </row>
    <row r="16618" spans="1:7">
      <c r="A16618" s="3"/>
      <c r="B16618" s="3"/>
      <c r="C16618" s="3"/>
      <c r="D16618" s="3"/>
      <c r="E16618" s="3">
        <v>15</v>
      </c>
      <c r="F16618" s="4" t="str">
        <f>HYPERLINK("http://141.218.60.56/~jnz1568/getInfo.php?workbook=10_05.xlsx&amp;sheet=U0&amp;row=16618&amp;col=6&amp;number=4.4&amp;sourceID=14","4.4")</f>
        <v>4.4</v>
      </c>
      <c r="G16618" s="4" t="str">
        <f>HYPERLINK("http://141.218.60.56/~jnz1568/getInfo.php?workbook=10_05.xlsx&amp;sheet=U0&amp;row=16618&amp;col=7&amp;number=0.0352&amp;sourceID=14","0.0352")</f>
        <v>0.0352</v>
      </c>
    </row>
    <row r="16619" spans="1:7">
      <c r="A16619" s="3"/>
      <c r="B16619" s="3"/>
      <c r="C16619" s="3"/>
      <c r="D16619" s="3"/>
      <c r="E16619" s="3">
        <v>16</v>
      </c>
      <c r="F16619" s="4" t="str">
        <f>HYPERLINK("http://141.218.60.56/~jnz1568/getInfo.php?workbook=10_05.xlsx&amp;sheet=U0&amp;row=16619&amp;col=6&amp;number=4.5&amp;sourceID=14","4.5")</f>
        <v>4.5</v>
      </c>
      <c r="G16619" s="4" t="str">
        <f>HYPERLINK("http://141.218.60.56/~jnz1568/getInfo.php?workbook=10_05.xlsx&amp;sheet=U0&amp;row=16619&amp;col=7&amp;number=0.033&amp;sourceID=14","0.033")</f>
        <v>0.033</v>
      </c>
    </row>
    <row r="16620" spans="1:7">
      <c r="A16620" s="3"/>
      <c r="B16620" s="3"/>
      <c r="C16620" s="3"/>
      <c r="D16620" s="3"/>
      <c r="E16620" s="3">
        <v>17</v>
      </c>
      <c r="F16620" s="4" t="str">
        <f>HYPERLINK("http://141.218.60.56/~jnz1568/getInfo.php?workbook=10_05.xlsx&amp;sheet=U0&amp;row=16620&amp;col=6&amp;number=4.6&amp;sourceID=14","4.6")</f>
        <v>4.6</v>
      </c>
      <c r="G16620" s="4" t="str">
        <f>HYPERLINK("http://141.218.60.56/~jnz1568/getInfo.php?workbook=10_05.xlsx&amp;sheet=U0&amp;row=16620&amp;col=7&amp;number=0.0309&amp;sourceID=14","0.0309")</f>
        <v>0.0309</v>
      </c>
    </row>
    <row r="16621" spans="1:7">
      <c r="A16621" s="3"/>
      <c r="B16621" s="3"/>
      <c r="C16621" s="3"/>
      <c r="D16621" s="3"/>
      <c r="E16621" s="3">
        <v>18</v>
      </c>
      <c r="F16621" s="4" t="str">
        <f>HYPERLINK("http://141.218.60.56/~jnz1568/getInfo.php?workbook=10_05.xlsx&amp;sheet=U0&amp;row=16621&amp;col=6&amp;number=4.7&amp;sourceID=14","4.7")</f>
        <v>4.7</v>
      </c>
      <c r="G16621" s="4" t="str">
        <f>HYPERLINK("http://141.218.60.56/~jnz1568/getInfo.php?workbook=10_05.xlsx&amp;sheet=U0&amp;row=16621&amp;col=7&amp;number=0.0288&amp;sourceID=14","0.0288")</f>
        <v>0.0288</v>
      </c>
    </row>
    <row r="16622" spans="1:7">
      <c r="A16622" s="3"/>
      <c r="B16622" s="3"/>
      <c r="C16622" s="3"/>
      <c r="D16622" s="3"/>
      <c r="E16622" s="3">
        <v>19</v>
      </c>
      <c r="F16622" s="4" t="str">
        <f>HYPERLINK("http://141.218.60.56/~jnz1568/getInfo.php?workbook=10_05.xlsx&amp;sheet=U0&amp;row=16622&amp;col=6&amp;number=4.8&amp;sourceID=14","4.8")</f>
        <v>4.8</v>
      </c>
      <c r="G16622" s="4" t="str">
        <f>HYPERLINK("http://141.218.60.56/~jnz1568/getInfo.php?workbook=10_05.xlsx&amp;sheet=U0&amp;row=16622&amp;col=7&amp;number=0.0268&amp;sourceID=14","0.0268")</f>
        <v>0.0268</v>
      </c>
    </row>
    <row r="16623" spans="1:7">
      <c r="A16623" s="3"/>
      <c r="B16623" s="3"/>
      <c r="C16623" s="3"/>
      <c r="D16623" s="3"/>
      <c r="E16623" s="3">
        <v>20</v>
      </c>
      <c r="F16623" s="4" t="str">
        <f>HYPERLINK("http://141.218.60.56/~jnz1568/getInfo.php?workbook=10_05.xlsx&amp;sheet=U0&amp;row=16623&amp;col=6&amp;number=4.9&amp;sourceID=14","4.9")</f>
        <v>4.9</v>
      </c>
      <c r="G16623" s="4" t="str">
        <f>HYPERLINK("http://141.218.60.56/~jnz1568/getInfo.php?workbook=10_05.xlsx&amp;sheet=U0&amp;row=16623&amp;col=7&amp;number=0.0251&amp;sourceID=14","0.0251")</f>
        <v>0.0251</v>
      </c>
    </row>
    <row r="16624" spans="1:7">
      <c r="A16624" s="3">
        <v>10</v>
      </c>
      <c r="B16624" s="3">
        <v>5</v>
      </c>
      <c r="C16624" s="3">
        <v>5</v>
      </c>
      <c r="D16624" s="3">
        <v>127</v>
      </c>
      <c r="E16624" s="3">
        <v>1</v>
      </c>
      <c r="F16624" s="4" t="str">
        <f>HYPERLINK("http://141.218.60.56/~jnz1568/getInfo.php?workbook=10_05.xlsx&amp;sheet=U0&amp;row=16624&amp;col=6&amp;number=3&amp;sourceID=14","3")</f>
        <v>3</v>
      </c>
      <c r="G16624" s="4" t="str">
        <f>HYPERLINK("http://141.218.60.56/~jnz1568/getInfo.php?workbook=10_05.xlsx&amp;sheet=U0&amp;row=16624&amp;col=7&amp;number=0.00274&amp;sourceID=14","0.00274")</f>
        <v>0.00274</v>
      </c>
    </row>
    <row r="16625" spans="1:7">
      <c r="A16625" s="3"/>
      <c r="B16625" s="3"/>
      <c r="C16625" s="3"/>
      <c r="D16625" s="3"/>
      <c r="E16625" s="3">
        <v>2</v>
      </c>
      <c r="F16625" s="4" t="str">
        <f>HYPERLINK("http://141.218.60.56/~jnz1568/getInfo.php?workbook=10_05.xlsx&amp;sheet=U0&amp;row=16625&amp;col=6&amp;number=3.1&amp;sourceID=14","3.1")</f>
        <v>3.1</v>
      </c>
      <c r="G16625" s="4" t="str">
        <f>HYPERLINK("http://141.218.60.56/~jnz1568/getInfo.php?workbook=10_05.xlsx&amp;sheet=U0&amp;row=16625&amp;col=7&amp;number=0.00273&amp;sourceID=14","0.00273")</f>
        <v>0.00273</v>
      </c>
    </row>
    <row r="16626" spans="1:7">
      <c r="A16626" s="3"/>
      <c r="B16626" s="3"/>
      <c r="C16626" s="3"/>
      <c r="D16626" s="3"/>
      <c r="E16626" s="3">
        <v>3</v>
      </c>
      <c r="F16626" s="4" t="str">
        <f>HYPERLINK("http://141.218.60.56/~jnz1568/getInfo.php?workbook=10_05.xlsx&amp;sheet=U0&amp;row=16626&amp;col=6&amp;number=3.2&amp;sourceID=14","3.2")</f>
        <v>3.2</v>
      </c>
      <c r="G16626" s="4" t="str">
        <f>HYPERLINK("http://141.218.60.56/~jnz1568/getInfo.php?workbook=10_05.xlsx&amp;sheet=U0&amp;row=16626&amp;col=7&amp;number=0.00271&amp;sourceID=14","0.00271")</f>
        <v>0.00271</v>
      </c>
    </row>
    <row r="16627" spans="1:7">
      <c r="A16627" s="3"/>
      <c r="B16627" s="3"/>
      <c r="C16627" s="3"/>
      <c r="D16627" s="3"/>
      <c r="E16627" s="3">
        <v>4</v>
      </c>
      <c r="F16627" s="4" t="str">
        <f>HYPERLINK("http://141.218.60.56/~jnz1568/getInfo.php?workbook=10_05.xlsx&amp;sheet=U0&amp;row=16627&amp;col=6&amp;number=3.3&amp;sourceID=14","3.3")</f>
        <v>3.3</v>
      </c>
      <c r="G16627" s="4" t="str">
        <f>HYPERLINK("http://141.218.60.56/~jnz1568/getInfo.php?workbook=10_05.xlsx&amp;sheet=U0&amp;row=16627&amp;col=7&amp;number=0.00268&amp;sourceID=14","0.00268")</f>
        <v>0.00268</v>
      </c>
    </row>
    <row r="16628" spans="1:7">
      <c r="A16628" s="3"/>
      <c r="B16628" s="3"/>
      <c r="C16628" s="3"/>
      <c r="D16628" s="3"/>
      <c r="E16628" s="3">
        <v>5</v>
      </c>
      <c r="F16628" s="4" t="str">
        <f>HYPERLINK("http://141.218.60.56/~jnz1568/getInfo.php?workbook=10_05.xlsx&amp;sheet=U0&amp;row=16628&amp;col=6&amp;number=3.4&amp;sourceID=14","3.4")</f>
        <v>3.4</v>
      </c>
      <c r="G16628" s="4" t="str">
        <f>HYPERLINK("http://141.218.60.56/~jnz1568/getInfo.php?workbook=10_05.xlsx&amp;sheet=U0&amp;row=16628&amp;col=7&amp;number=0.00264&amp;sourceID=14","0.00264")</f>
        <v>0.00264</v>
      </c>
    </row>
    <row r="16629" spans="1:7">
      <c r="A16629" s="3"/>
      <c r="B16629" s="3"/>
      <c r="C16629" s="3"/>
      <c r="D16629" s="3"/>
      <c r="E16629" s="3">
        <v>6</v>
      </c>
      <c r="F16629" s="4" t="str">
        <f>HYPERLINK("http://141.218.60.56/~jnz1568/getInfo.php?workbook=10_05.xlsx&amp;sheet=U0&amp;row=16629&amp;col=6&amp;number=3.5&amp;sourceID=14","3.5")</f>
        <v>3.5</v>
      </c>
      <c r="G16629" s="4" t="str">
        <f>HYPERLINK("http://141.218.60.56/~jnz1568/getInfo.php?workbook=10_05.xlsx&amp;sheet=U0&amp;row=16629&amp;col=7&amp;number=0.0026&amp;sourceID=14","0.0026")</f>
        <v>0.0026</v>
      </c>
    </row>
    <row r="16630" spans="1:7">
      <c r="A16630" s="3"/>
      <c r="B16630" s="3"/>
      <c r="C16630" s="3"/>
      <c r="D16630" s="3"/>
      <c r="E16630" s="3">
        <v>7</v>
      </c>
      <c r="F16630" s="4" t="str">
        <f>HYPERLINK("http://141.218.60.56/~jnz1568/getInfo.php?workbook=10_05.xlsx&amp;sheet=U0&amp;row=16630&amp;col=6&amp;number=3.6&amp;sourceID=14","3.6")</f>
        <v>3.6</v>
      </c>
      <c r="G16630" s="4" t="str">
        <f>HYPERLINK("http://141.218.60.56/~jnz1568/getInfo.php?workbook=10_05.xlsx&amp;sheet=U0&amp;row=16630&amp;col=7&amp;number=0.00255&amp;sourceID=14","0.00255")</f>
        <v>0.00255</v>
      </c>
    </row>
    <row r="16631" spans="1:7">
      <c r="A16631" s="3"/>
      <c r="B16631" s="3"/>
      <c r="C16631" s="3"/>
      <c r="D16631" s="3"/>
      <c r="E16631" s="3">
        <v>8</v>
      </c>
      <c r="F16631" s="4" t="str">
        <f>HYPERLINK("http://141.218.60.56/~jnz1568/getInfo.php?workbook=10_05.xlsx&amp;sheet=U0&amp;row=16631&amp;col=6&amp;number=3.7&amp;sourceID=14","3.7")</f>
        <v>3.7</v>
      </c>
      <c r="G16631" s="4" t="str">
        <f>HYPERLINK("http://141.218.60.56/~jnz1568/getInfo.php?workbook=10_05.xlsx&amp;sheet=U0&amp;row=16631&amp;col=7&amp;number=0.00248&amp;sourceID=14","0.00248")</f>
        <v>0.00248</v>
      </c>
    </row>
    <row r="16632" spans="1:7">
      <c r="A16632" s="3"/>
      <c r="B16632" s="3"/>
      <c r="C16632" s="3"/>
      <c r="D16632" s="3"/>
      <c r="E16632" s="3">
        <v>9</v>
      </c>
      <c r="F16632" s="4" t="str">
        <f>HYPERLINK("http://141.218.60.56/~jnz1568/getInfo.php?workbook=10_05.xlsx&amp;sheet=U0&amp;row=16632&amp;col=6&amp;number=3.8&amp;sourceID=14","3.8")</f>
        <v>3.8</v>
      </c>
      <c r="G16632" s="4" t="str">
        <f>HYPERLINK("http://141.218.60.56/~jnz1568/getInfo.php?workbook=10_05.xlsx&amp;sheet=U0&amp;row=16632&amp;col=7&amp;number=0.00241&amp;sourceID=14","0.00241")</f>
        <v>0.00241</v>
      </c>
    </row>
    <row r="16633" spans="1:7">
      <c r="A16633" s="3"/>
      <c r="B16633" s="3"/>
      <c r="C16633" s="3"/>
      <c r="D16633" s="3"/>
      <c r="E16633" s="3">
        <v>10</v>
      </c>
      <c r="F16633" s="4" t="str">
        <f>HYPERLINK("http://141.218.60.56/~jnz1568/getInfo.php?workbook=10_05.xlsx&amp;sheet=U0&amp;row=16633&amp;col=6&amp;number=3.9&amp;sourceID=14","3.9")</f>
        <v>3.9</v>
      </c>
      <c r="G16633" s="4" t="str">
        <f>HYPERLINK("http://141.218.60.56/~jnz1568/getInfo.php?workbook=10_05.xlsx&amp;sheet=U0&amp;row=16633&amp;col=7&amp;number=0.00231&amp;sourceID=14","0.00231")</f>
        <v>0.00231</v>
      </c>
    </row>
    <row r="16634" spans="1:7">
      <c r="A16634" s="3"/>
      <c r="B16634" s="3"/>
      <c r="C16634" s="3"/>
      <c r="D16634" s="3"/>
      <c r="E16634" s="3">
        <v>11</v>
      </c>
      <c r="F16634" s="4" t="str">
        <f>HYPERLINK("http://141.218.60.56/~jnz1568/getInfo.php?workbook=10_05.xlsx&amp;sheet=U0&amp;row=16634&amp;col=6&amp;number=4&amp;sourceID=14","4")</f>
        <v>4</v>
      </c>
      <c r="G16634" s="4" t="str">
        <f>HYPERLINK("http://141.218.60.56/~jnz1568/getInfo.php?workbook=10_05.xlsx&amp;sheet=U0&amp;row=16634&amp;col=7&amp;number=0.0022&amp;sourceID=14","0.0022")</f>
        <v>0.0022</v>
      </c>
    </row>
    <row r="16635" spans="1:7">
      <c r="A16635" s="3"/>
      <c r="B16635" s="3"/>
      <c r="C16635" s="3"/>
      <c r="D16635" s="3"/>
      <c r="E16635" s="3">
        <v>12</v>
      </c>
      <c r="F16635" s="4" t="str">
        <f>HYPERLINK("http://141.218.60.56/~jnz1568/getInfo.php?workbook=10_05.xlsx&amp;sheet=U0&amp;row=16635&amp;col=6&amp;number=4.1&amp;sourceID=14","4.1")</f>
        <v>4.1</v>
      </c>
      <c r="G16635" s="4" t="str">
        <f>HYPERLINK("http://141.218.60.56/~jnz1568/getInfo.php?workbook=10_05.xlsx&amp;sheet=U0&amp;row=16635&amp;col=7&amp;number=0.00207&amp;sourceID=14","0.00207")</f>
        <v>0.00207</v>
      </c>
    </row>
    <row r="16636" spans="1:7">
      <c r="A16636" s="3"/>
      <c r="B16636" s="3"/>
      <c r="C16636" s="3"/>
      <c r="D16636" s="3"/>
      <c r="E16636" s="3">
        <v>13</v>
      </c>
      <c r="F16636" s="4" t="str">
        <f>HYPERLINK("http://141.218.60.56/~jnz1568/getInfo.php?workbook=10_05.xlsx&amp;sheet=U0&amp;row=16636&amp;col=6&amp;number=4.2&amp;sourceID=14","4.2")</f>
        <v>4.2</v>
      </c>
      <c r="G16636" s="4" t="str">
        <f>HYPERLINK("http://141.218.60.56/~jnz1568/getInfo.php?workbook=10_05.xlsx&amp;sheet=U0&amp;row=16636&amp;col=7&amp;number=0.00192&amp;sourceID=14","0.00192")</f>
        <v>0.00192</v>
      </c>
    </row>
    <row r="16637" spans="1:7">
      <c r="A16637" s="3"/>
      <c r="B16637" s="3"/>
      <c r="C16637" s="3"/>
      <c r="D16637" s="3"/>
      <c r="E16637" s="3">
        <v>14</v>
      </c>
      <c r="F16637" s="4" t="str">
        <f>HYPERLINK("http://141.218.60.56/~jnz1568/getInfo.php?workbook=10_05.xlsx&amp;sheet=U0&amp;row=16637&amp;col=6&amp;number=4.3&amp;sourceID=14","4.3")</f>
        <v>4.3</v>
      </c>
      <c r="G16637" s="4" t="str">
        <f>HYPERLINK("http://141.218.60.56/~jnz1568/getInfo.php?workbook=10_05.xlsx&amp;sheet=U0&amp;row=16637&amp;col=7&amp;number=0.00177&amp;sourceID=14","0.00177")</f>
        <v>0.00177</v>
      </c>
    </row>
    <row r="16638" spans="1:7">
      <c r="A16638" s="3"/>
      <c r="B16638" s="3"/>
      <c r="C16638" s="3"/>
      <c r="D16638" s="3"/>
      <c r="E16638" s="3">
        <v>15</v>
      </c>
      <c r="F16638" s="4" t="str">
        <f>HYPERLINK("http://141.218.60.56/~jnz1568/getInfo.php?workbook=10_05.xlsx&amp;sheet=U0&amp;row=16638&amp;col=6&amp;number=4.4&amp;sourceID=14","4.4")</f>
        <v>4.4</v>
      </c>
      <c r="G16638" s="4" t="str">
        <f>HYPERLINK("http://141.218.60.56/~jnz1568/getInfo.php?workbook=10_05.xlsx&amp;sheet=U0&amp;row=16638&amp;col=7&amp;number=0.00162&amp;sourceID=14","0.00162")</f>
        <v>0.00162</v>
      </c>
    </row>
    <row r="16639" spans="1:7">
      <c r="A16639" s="3"/>
      <c r="B16639" s="3"/>
      <c r="C16639" s="3"/>
      <c r="D16639" s="3"/>
      <c r="E16639" s="3">
        <v>16</v>
      </c>
      <c r="F16639" s="4" t="str">
        <f>HYPERLINK("http://141.218.60.56/~jnz1568/getInfo.php?workbook=10_05.xlsx&amp;sheet=U0&amp;row=16639&amp;col=6&amp;number=4.5&amp;sourceID=14","4.5")</f>
        <v>4.5</v>
      </c>
      <c r="G16639" s="4" t="str">
        <f>HYPERLINK("http://141.218.60.56/~jnz1568/getInfo.php?workbook=10_05.xlsx&amp;sheet=U0&amp;row=16639&amp;col=7&amp;number=0.00149&amp;sourceID=14","0.00149")</f>
        <v>0.00149</v>
      </c>
    </row>
    <row r="16640" spans="1:7">
      <c r="A16640" s="3"/>
      <c r="B16640" s="3"/>
      <c r="C16640" s="3"/>
      <c r="D16640" s="3"/>
      <c r="E16640" s="3">
        <v>17</v>
      </c>
      <c r="F16640" s="4" t="str">
        <f>HYPERLINK("http://141.218.60.56/~jnz1568/getInfo.php?workbook=10_05.xlsx&amp;sheet=U0&amp;row=16640&amp;col=6&amp;number=4.6&amp;sourceID=14","4.6")</f>
        <v>4.6</v>
      </c>
      <c r="G16640" s="4" t="str">
        <f>HYPERLINK("http://141.218.60.56/~jnz1568/getInfo.php?workbook=10_05.xlsx&amp;sheet=U0&amp;row=16640&amp;col=7&amp;number=0.00138&amp;sourceID=14","0.00138")</f>
        <v>0.00138</v>
      </c>
    </row>
    <row r="16641" spans="1:7">
      <c r="A16641" s="3"/>
      <c r="B16641" s="3"/>
      <c r="C16641" s="3"/>
      <c r="D16641" s="3"/>
      <c r="E16641" s="3">
        <v>18</v>
      </c>
      <c r="F16641" s="4" t="str">
        <f>HYPERLINK("http://141.218.60.56/~jnz1568/getInfo.php?workbook=10_05.xlsx&amp;sheet=U0&amp;row=16641&amp;col=6&amp;number=4.7&amp;sourceID=14","4.7")</f>
        <v>4.7</v>
      </c>
      <c r="G16641" s="4" t="str">
        <f>HYPERLINK("http://141.218.60.56/~jnz1568/getInfo.php?workbook=10_05.xlsx&amp;sheet=U0&amp;row=16641&amp;col=7&amp;number=0.00127&amp;sourceID=14","0.00127")</f>
        <v>0.00127</v>
      </c>
    </row>
    <row r="16642" spans="1:7">
      <c r="A16642" s="3"/>
      <c r="B16642" s="3"/>
      <c r="C16642" s="3"/>
      <c r="D16642" s="3"/>
      <c r="E16642" s="3">
        <v>19</v>
      </c>
      <c r="F16642" s="4" t="str">
        <f>HYPERLINK("http://141.218.60.56/~jnz1568/getInfo.php?workbook=10_05.xlsx&amp;sheet=U0&amp;row=16642&amp;col=6&amp;number=4.8&amp;sourceID=14","4.8")</f>
        <v>4.8</v>
      </c>
      <c r="G16642" s="4" t="str">
        <f>HYPERLINK("http://141.218.60.56/~jnz1568/getInfo.php?workbook=10_05.xlsx&amp;sheet=U0&amp;row=16642&amp;col=7&amp;number=0.00118&amp;sourceID=14","0.00118")</f>
        <v>0.00118</v>
      </c>
    </row>
    <row r="16643" spans="1:7">
      <c r="A16643" s="3"/>
      <c r="B16643" s="3"/>
      <c r="C16643" s="3"/>
      <c r="D16643" s="3"/>
      <c r="E16643" s="3">
        <v>20</v>
      </c>
      <c r="F16643" s="4" t="str">
        <f>HYPERLINK("http://141.218.60.56/~jnz1568/getInfo.php?workbook=10_05.xlsx&amp;sheet=U0&amp;row=16643&amp;col=6&amp;number=4.9&amp;sourceID=14","4.9")</f>
        <v>4.9</v>
      </c>
      <c r="G16643" s="4" t="str">
        <f>HYPERLINK("http://141.218.60.56/~jnz1568/getInfo.php?workbook=10_05.xlsx&amp;sheet=U0&amp;row=16643&amp;col=7&amp;number=0.00109&amp;sourceID=14","0.00109")</f>
        <v>0.00109</v>
      </c>
    </row>
    <row r="16644" spans="1:7">
      <c r="A16644" s="3">
        <v>10</v>
      </c>
      <c r="B16644" s="3">
        <v>5</v>
      </c>
      <c r="C16644" s="3">
        <v>5</v>
      </c>
      <c r="D16644" s="3">
        <v>128</v>
      </c>
      <c r="E16644" s="3">
        <v>1</v>
      </c>
      <c r="F16644" s="4" t="str">
        <f>HYPERLINK("http://141.218.60.56/~jnz1568/getInfo.php?workbook=10_05.xlsx&amp;sheet=U0&amp;row=16644&amp;col=6&amp;number=3&amp;sourceID=14","3")</f>
        <v>3</v>
      </c>
      <c r="G16644" s="4" t="str">
        <f>HYPERLINK("http://141.218.60.56/~jnz1568/getInfo.php?workbook=10_05.xlsx&amp;sheet=U0&amp;row=16644&amp;col=7&amp;number=0.00996&amp;sourceID=14","0.00996")</f>
        <v>0.00996</v>
      </c>
    </row>
    <row r="16645" spans="1:7">
      <c r="A16645" s="3"/>
      <c r="B16645" s="3"/>
      <c r="C16645" s="3"/>
      <c r="D16645" s="3"/>
      <c r="E16645" s="3">
        <v>2</v>
      </c>
      <c r="F16645" s="4" t="str">
        <f>HYPERLINK("http://141.218.60.56/~jnz1568/getInfo.php?workbook=10_05.xlsx&amp;sheet=U0&amp;row=16645&amp;col=6&amp;number=3.1&amp;sourceID=14","3.1")</f>
        <v>3.1</v>
      </c>
      <c r="G16645" s="4" t="str">
        <f>HYPERLINK("http://141.218.60.56/~jnz1568/getInfo.php?workbook=10_05.xlsx&amp;sheet=U0&amp;row=16645&amp;col=7&amp;number=0.00987&amp;sourceID=14","0.00987")</f>
        <v>0.00987</v>
      </c>
    </row>
    <row r="16646" spans="1:7">
      <c r="A16646" s="3"/>
      <c r="B16646" s="3"/>
      <c r="C16646" s="3"/>
      <c r="D16646" s="3"/>
      <c r="E16646" s="3">
        <v>3</v>
      </c>
      <c r="F16646" s="4" t="str">
        <f>HYPERLINK("http://141.218.60.56/~jnz1568/getInfo.php?workbook=10_05.xlsx&amp;sheet=U0&amp;row=16646&amp;col=6&amp;number=3.2&amp;sourceID=14","3.2")</f>
        <v>3.2</v>
      </c>
      <c r="G16646" s="4" t="str">
        <f>HYPERLINK("http://141.218.60.56/~jnz1568/getInfo.php?workbook=10_05.xlsx&amp;sheet=U0&amp;row=16646&amp;col=7&amp;number=0.00977&amp;sourceID=14","0.00977")</f>
        <v>0.00977</v>
      </c>
    </row>
    <row r="16647" spans="1:7">
      <c r="A16647" s="3"/>
      <c r="B16647" s="3"/>
      <c r="C16647" s="3"/>
      <c r="D16647" s="3"/>
      <c r="E16647" s="3">
        <v>4</v>
      </c>
      <c r="F16647" s="4" t="str">
        <f>HYPERLINK("http://141.218.60.56/~jnz1568/getInfo.php?workbook=10_05.xlsx&amp;sheet=U0&amp;row=16647&amp;col=6&amp;number=3.3&amp;sourceID=14","3.3")</f>
        <v>3.3</v>
      </c>
      <c r="G16647" s="4" t="str">
        <f>HYPERLINK("http://141.218.60.56/~jnz1568/getInfo.php?workbook=10_05.xlsx&amp;sheet=U0&amp;row=16647&amp;col=7&amp;number=0.00963&amp;sourceID=14","0.00963")</f>
        <v>0.00963</v>
      </c>
    </row>
    <row r="16648" spans="1:7">
      <c r="A16648" s="3"/>
      <c r="B16648" s="3"/>
      <c r="C16648" s="3"/>
      <c r="D16648" s="3"/>
      <c r="E16648" s="3">
        <v>5</v>
      </c>
      <c r="F16648" s="4" t="str">
        <f>HYPERLINK("http://141.218.60.56/~jnz1568/getInfo.php?workbook=10_05.xlsx&amp;sheet=U0&amp;row=16648&amp;col=6&amp;number=3.4&amp;sourceID=14","3.4")</f>
        <v>3.4</v>
      </c>
      <c r="G16648" s="4" t="str">
        <f>HYPERLINK("http://141.218.60.56/~jnz1568/getInfo.php?workbook=10_05.xlsx&amp;sheet=U0&amp;row=16648&amp;col=7&amp;number=0.00947&amp;sourceID=14","0.00947")</f>
        <v>0.00947</v>
      </c>
    </row>
    <row r="16649" spans="1:7">
      <c r="A16649" s="3"/>
      <c r="B16649" s="3"/>
      <c r="C16649" s="3"/>
      <c r="D16649" s="3"/>
      <c r="E16649" s="3">
        <v>6</v>
      </c>
      <c r="F16649" s="4" t="str">
        <f>HYPERLINK("http://141.218.60.56/~jnz1568/getInfo.php?workbook=10_05.xlsx&amp;sheet=U0&amp;row=16649&amp;col=6&amp;number=3.5&amp;sourceID=14","3.5")</f>
        <v>3.5</v>
      </c>
      <c r="G16649" s="4" t="str">
        <f>HYPERLINK("http://141.218.60.56/~jnz1568/getInfo.php?workbook=10_05.xlsx&amp;sheet=U0&amp;row=16649&amp;col=7&amp;number=0.00926&amp;sourceID=14","0.00926")</f>
        <v>0.00926</v>
      </c>
    </row>
    <row r="16650" spans="1:7">
      <c r="A16650" s="3"/>
      <c r="B16650" s="3"/>
      <c r="C16650" s="3"/>
      <c r="D16650" s="3"/>
      <c r="E16650" s="3">
        <v>7</v>
      </c>
      <c r="F16650" s="4" t="str">
        <f>HYPERLINK("http://141.218.60.56/~jnz1568/getInfo.php?workbook=10_05.xlsx&amp;sheet=U0&amp;row=16650&amp;col=6&amp;number=3.6&amp;sourceID=14","3.6")</f>
        <v>3.6</v>
      </c>
      <c r="G16650" s="4" t="str">
        <f>HYPERLINK("http://141.218.60.56/~jnz1568/getInfo.php?workbook=10_05.xlsx&amp;sheet=U0&amp;row=16650&amp;col=7&amp;number=0.00901&amp;sourceID=14","0.00901")</f>
        <v>0.00901</v>
      </c>
    </row>
    <row r="16651" spans="1:7">
      <c r="A16651" s="3"/>
      <c r="B16651" s="3"/>
      <c r="C16651" s="3"/>
      <c r="D16651" s="3"/>
      <c r="E16651" s="3">
        <v>8</v>
      </c>
      <c r="F16651" s="4" t="str">
        <f>HYPERLINK("http://141.218.60.56/~jnz1568/getInfo.php?workbook=10_05.xlsx&amp;sheet=U0&amp;row=16651&amp;col=6&amp;number=3.7&amp;sourceID=14","3.7")</f>
        <v>3.7</v>
      </c>
      <c r="G16651" s="4" t="str">
        <f>HYPERLINK("http://141.218.60.56/~jnz1568/getInfo.php?workbook=10_05.xlsx&amp;sheet=U0&amp;row=16651&amp;col=7&amp;number=0.00871&amp;sourceID=14","0.00871")</f>
        <v>0.00871</v>
      </c>
    </row>
    <row r="16652" spans="1:7">
      <c r="A16652" s="3"/>
      <c r="B16652" s="3"/>
      <c r="C16652" s="3"/>
      <c r="D16652" s="3"/>
      <c r="E16652" s="3">
        <v>9</v>
      </c>
      <c r="F16652" s="4" t="str">
        <f>HYPERLINK("http://141.218.60.56/~jnz1568/getInfo.php?workbook=10_05.xlsx&amp;sheet=U0&amp;row=16652&amp;col=6&amp;number=3.8&amp;sourceID=14","3.8")</f>
        <v>3.8</v>
      </c>
      <c r="G16652" s="4" t="str">
        <f>HYPERLINK("http://141.218.60.56/~jnz1568/getInfo.php?workbook=10_05.xlsx&amp;sheet=U0&amp;row=16652&amp;col=7&amp;number=0.00835&amp;sourceID=14","0.00835")</f>
        <v>0.00835</v>
      </c>
    </row>
    <row r="16653" spans="1:7">
      <c r="A16653" s="3"/>
      <c r="B16653" s="3"/>
      <c r="C16653" s="3"/>
      <c r="D16653" s="3"/>
      <c r="E16653" s="3">
        <v>10</v>
      </c>
      <c r="F16653" s="4" t="str">
        <f>HYPERLINK("http://141.218.60.56/~jnz1568/getInfo.php?workbook=10_05.xlsx&amp;sheet=U0&amp;row=16653&amp;col=6&amp;number=3.9&amp;sourceID=14","3.9")</f>
        <v>3.9</v>
      </c>
      <c r="G16653" s="4" t="str">
        <f>HYPERLINK("http://141.218.60.56/~jnz1568/getInfo.php?workbook=10_05.xlsx&amp;sheet=U0&amp;row=16653&amp;col=7&amp;number=0.00794&amp;sourceID=14","0.00794")</f>
        <v>0.00794</v>
      </c>
    </row>
    <row r="16654" spans="1:7">
      <c r="A16654" s="3"/>
      <c r="B16654" s="3"/>
      <c r="C16654" s="3"/>
      <c r="D16654" s="3"/>
      <c r="E16654" s="3">
        <v>11</v>
      </c>
      <c r="F16654" s="4" t="str">
        <f>HYPERLINK("http://141.218.60.56/~jnz1568/getInfo.php?workbook=10_05.xlsx&amp;sheet=U0&amp;row=16654&amp;col=6&amp;number=4&amp;sourceID=14","4")</f>
        <v>4</v>
      </c>
      <c r="G16654" s="4" t="str">
        <f>HYPERLINK("http://141.218.60.56/~jnz1568/getInfo.php?workbook=10_05.xlsx&amp;sheet=U0&amp;row=16654&amp;col=7&amp;number=0.00748&amp;sourceID=14","0.00748")</f>
        <v>0.00748</v>
      </c>
    </row>
    <row r="16655" spans="1:7">
      <c r="A16655" s="3"/>
      <c r="B16655" s="3"/>
      <c r="C16655" s="3"/>
      <c r="D16655" s="3"/>
      <c r="E16655" s="3">
        <v>12</v>
      </c>
      <c r="F16655" s="4" t="str">
        <f>HYPERLINK("http://141.218.60.56/~jnz1568/getInfo.php?workbook=10_05.xlsx&amp;sheet=U0&amp;row=16655&amp;col=6&amp;number=4.1&amp;sourceID=14","4.1")</f>
        <v>4.1</v>
      </c>
      <c r="G16655" s="4" t="str">
        <f>HYPERLINK("http://141.218.60.56/~jnz1568/getInfo.php?workbook=10_05.xlsx&amp;sheet=U0&amp;row=16655&amp;col=7&amp;number=0.007&amp;sourceID=14","0.007")</f>
        <v>0.007</v>
      </c>
    </row>
    <row r="16656" spans="1:7">
      <c r="A16656" s="3"/>
      <c r="B16656" s="3"/>
      <c r="C16656" s="3"/>
      <c r="D16656" s="3"/>
      <c r="E16656" s="3">
        <v>13</v>
      </c>
      <c r="F16656" s="4" t="str">
        <f>HYPERLINK("http://141.218.60.56/~jnz1568/getInfo.php?workbook=10_05.xlsx&amp;sheet=U0&amp;row=16656&amp;col=6&amp;number=4.2&amp;sourceID=14","4.2")</f>
        <v>4.2</v>
      </c>
      <c r="G16656" s="4" t="str">
        <f>HYPERLINK("http://141.218.60.56/~jnz1568/getInfo.php?workbook=10_05.xlsx&amp;sheet=U0&amp;row=16656&amp;col=7&amp;number=0.00656&amp;sourceID=14","0.00656")</f>
        <v>0.00656</v>
      </c>
    </row>
    <row r="16657" spans="1:7">
      <c r="A16657" s="3"/>
      <c r="B16657" s="3"/>
      <c r="C16657" s="3"/>
      <c r="D16657" s="3"/>
      <c r="E16657" s="3">
        <v>14</v>
      </c>
      <c r="F16657" s="4" t="str">
        <f>HYPERLINK("http://141.218.60.56/~jnz1568/getInfo.php?workbook=10_05.xlsx&amp;sheet=U0&amp;row=16657&amp;col=6&amp;number=4.3&amp;sourceID=14","4.3")</f>
        <v>4.3</v>
      </c>
      <c r="G16657" s="4" t="str">
        <f>HYPERLINK("http://141.218.60.56/~jnz1568/getInfo.php?workbook=10_05.xlsx&amp;sheet=U0&amp;row=16657&amp;col=7&amp;number=0.00617&amp;sourceID=14","0.00617")</f>
        <v>0.00617</v>
      </c>
    </row>
    <row r="16658" spans="1:7">
      <c r="A16658" s="3"/>
      <c r="B16658" s="3"/>
      <c r="C16658" s="3"/>
      <c r="D16658" s="3"/>
      <c r="E16658" s="3">
        <v>15</v>
      </c>
      <c r="F16658" s="4" t="str">
        <f>HYPERLINK("http://141.218.60.56/~jnz1568/getInfo.php?workbook=10_05.xlsx&amp;sheet=U0&amp;row=16658&amp;col=6&amp;number=4.4&amp;sourceID=14","4.4")</f>
        <v>4.4</v>
      </c>
      <c r="G16658" s="4" t="str">
        <f>HYPERLINK("http://141.218.60.56/~jnz1568/getInfo.php?workbook=10_05.xlsx&amp;sheet=U0&amp;row=16658&amp;col=7&amp;number=0.00584&amp;sourceID=14","0.00584")</f>
        <v>0.00584</v>
      </c>
    </row>
    <row r="16659" spans="1:7">
      <c r="A16659" s="3"/>
      <c r="B16659" s="3"/>
      <c r="C16659" s="3"/>
      <c r="D16659" s="3"/>
      <c r="E16659" s="3">
        <v>16</v>
      </c>
      <c r="F16659" s="4" t="str">
        <f>HYPERLINK("http://141.218.60.56/~jnz1568/getInfo.php?workbook=10_05.xlsx&amp;sheet=U0&amp;row=16659&amp;col=6&amp;number=4.5&amp;sourceID=14","4.5")</f>
        <v>4.5</v>
      </c>
      <c r="G16659" s="4" t="str">
        <f>HYPERLINK("http://141.218.60.56/~jnz1568/getInfo.php?workbook=10_05.xlsx&amp;sheet=U0&amp;row=16659&amp;col=7&amp;number=0.00553&amp;sourceID=14","0.00553")</f>
        <v>0.00553</v>
      </c>
    </row>
    <row r="16660" spans="1:7">
      <c r="A16660" s="3"/>
      <c r="B16660" s="3"/>
      <c r="C16660" s="3"/>
      <c r="D16660" s="3"/>
      <c r="E16660" s="3">
        <v>17</v>
      </c>
      <c r="F16660" s="4" t="str">
        <f>HYPERLINK("http://141.218.60.56/~jnz1568/getInfo.php?workbook=10_05.xlsx&amp;sheet=U0&amp;row=16660&amp;col=6&amp;number=4.6&amp;sourceID=14","4.6")</f>
        <v>4.6</v>
      </c>
      <c r="G16660" s="4" t="str">
        <f>HYPERLINK("http://141.218.60.56/~jnz1568/getInfo.php?workbook=10_05.xlsx&amp;sheet=U0&amp;row=16660&amp;col=7&amp;number=0.00518&amp;sourceID=14","0.00518")</f>
        <v>0.00518</v>
      </c>
    </row>
    <row r="16661" spans="1:7">
      <c r="A16661" s="3"/>
      <c r="B16661" s="3"/>
      <c r="C16661" s="3"/>
      <c r="D16661" s="3"/>
      <c r="E16661" s="3">
        <v>18</v>
      </c>
      <c r="F16661" s="4" t="str">
        <f>HYPERLINK("http://141.218.60.56/~jnz1568/getInfo.php?workbook=10_05.xlsx&amp;sheet=U0&amp;row=16661&amp;col=6&amp;number=4.7&amp;sourceID=14","4.7")</f>
        <v>4.7</v>
      </c>
      <c r="G16661" s="4" t="str">
        <f>HYPERLINK("http://141.218.60.56/~jnz1568/getInfo.php?workbook=10_05.xlsx&amp;sheet=U0&amp;row=16661&amp;col=7&amp;number=0.00482&amp;sourceID=14","0.00482")</f>
        <v>0.00482</v>
      </c>
    </row>
    <row r="16662" spans="1:7">
      <c r="A16662" s="3"/>
      <c r="B16662" s="3"/>
      <c r="C16662" s="3"/>
      <c r="D16662" s="3"/>
      <c r="E16662" s="3">
        <v>19</v>
      </c>
      <c r="F16662" s="4" t="str">
        <f>HYPERLINK("http://141.218.60.56/~jnz1568/getInfo.php?workbook=10_05.xlsx&amp;sheet=U0&amp;row=16662&amp;col=6&amp;number=4.8&amp;sourceID=14","4.8")</f>
        <v>4.8</v>
      </c>
      <c r="G16662" s="4" t="str">
        <f>HYPERLINK("http://141.218.60.56/~jnz1568/getInfo.php?workbook=10_05.xlsx&amp;sheet=U0&amp;row=16662&amp;col=7&amp;number=0.00452&amp;sourceID=14","0.00452")</f>
        <v>0.00452</v>
      </c>
    </row>
    <row r="16663" spans="1:7">
      <c r="A16663" s="3"/>
      <c r="B16663" s="3"/>
      <c r="C16663" s="3"/>
      <c r="D16663" s="3"/>
      <c r="E16663" s="3">
        <v>20</v>
      </c>
      <c r="F16663" s="4" t="str">
        <f>HYPERLINK("http://141.218.60.56/~jnz1568/getInfo.php?workbook=10_05.xlsx&amp;sheet=U0&amp;row=16663&amp;col=6&amp;number=4.9&amp;sourceID=14","4.9")</f>
        <v>4.9</v>
      </c>
      <c r="G16663" s="4" t="str">
        <f>HYPERLINK("http://141.218.60.56/~jnz1568/getInfo.php?workbook=10_05.xlsx&amp;sheet=U0&amp;row=16663&amp;col=7&amp;number=0.00426&amp;sourceID=14","0.00426")</f>
        <v>0.00426</v>
      </c>
    </row>
    <row r="16664" spans="1:7">
      <c r="A16664" s="3">
        <v>10</v>
      </c>
      <c r="B16664" s="3">
        <v>5</v>
      </c>
      <c r="C16664" s="3">
        <v>5</v>
      </c>
      <c r="D16664" s="3">
        <v>129</v>
      </c>
      <c r="E16664" s="3">
        <v>1</v>
      </c>
      <c r="F16664" s="4" t="str">
        <f>HYPERLINK("http://141.218.60.56/~jnz1568/getInfo.php?workbook=10_05.xlsx&amp;sheet=U0&amp;row=16664&amp;col=6&amp;number=3&amp;sourceID=14","3")</f>
        <v>3</v>
      </c>
      <c r="G16664" s="4" t="str">
        <f>HYPERLINK("http://141.218.60.56/~jnz1568/getInfo.php?workbook=10_05.xlsx&amp;sheet=U0&amp;row=16664&amp;col=7&amp;number=0.0324&amp;sourceID=14","0.0324")</f>
        <v>0.0324</v>
      </c>
    </row>
    <row r="16665" spans="1:7">
      <c r="A16665" s="3"/>
      <c r="B16665" s="3"/>
      <c r="C16665" s="3"/>
      <c r="D16665" s="3"/>
      <c r="E16665" s="3">
        <v>2</v>
      </c>
      <c r="F16665" s="4" t="str">
        <f>HYPERLINK("http://141.218.60.56/~jnz1568/getInfo.php?workbook=10_05.xlsx&amp;sheet=U0&amp;row=16665&amp;col=6&amp;number=3.1&amp;sourceID=14","3.1")</f>
        <v>3.1</v>
      </c>
      <c r="G16665" s="4" t="str">
        <f>HYPERLINK("http://141.218.60.56/~jnz1568/getInfo.php?workbook=10_05.xlsx&amp;sheet=U0&amp;row=16665&amp;col=7&amp;number=0.0322&amp;sourceID=14","0.0322")</f>
        <v>0.0322</v>
      </c>
    </row>
    <row r="16666" spans="1:7">
      <c r="A16666" s="3"/>
      <c r="B16666" s="3"/>
      <c r="C16666" s="3"/>
      <c r="D16666" s="3"/>
      <c r="E16666" s="3">
        <v>3</v>
      </c>
      <c r="F16666" s="4" t="str">
        <f>HYPERLINK("http://141.218.60.56/~jnz1568/getInfo.php?workbook=10_05.xlsx&amp;sheet=U0&amp;row=16666&amp;col=6&amp;number=3.2&amp;sourceID=14","3.2")</f>
        <v>3.2</v>
      </c>
      <c r="G16666" s="4" t="str">
        <f>HYPERLINK("http://141.218.60.56/~jnz1568/getInfo.php?workbook=10_05.xlsx&amp;sheet=U0&amp;row=16666&amp;col=7&amp;number=0.032&amp;sourceID=14","0.032")</f>
        <v>0.032</v>
      </c>
    </row>
    <row r="16667" spans="1:7">
      <c r="A16667" s="3"/>
      <c r="B16667" s="3"/>
      <c r="C16667" s="3"/>
      <c r="D16667" s="3"/>
      <c r="E16667" s="3">
        <v>4</v>
      </c>
      <c r="F16667" s="4" t="str">
        <f>HYPERLINK("http://141.218.60.56/~jnz1568/getInfo.php?workbook=10_05.xlsx&amp;sheet=U0&amp;row=16667&amp;col=6&amp;number=3.3&amp;sourceID=14","3.3")</f>
        <v>3.3</v>
      </c>
      <c r="G16667" s="4" t="str">
        <f>HYPERLINK("http://141.218.60.56/~jnz1568/getInfo.php?workbook=10_05.xlsx&amp;sheet=U0&amp;row=16667&amp;col=7&amp;number=0.0317&amp;sourceID=14","0.0317")</f>
        <v>0.0317</v>
      </c>
    </row>
    <row r="16668" spans="1:7">
      <c r="A16668" s="3"/>
      <c r="B16668" s="3"/>
      <c r="C16668" s="3"/>
      <c r="D16668" s="3"/>
      <c r="E16668" s="3">
        <v>5</v>
      </c>
      <c r="F16668" s="4" t="str">
        <f>HYPERLINK("http://141.218.60.56/~jnz1568/getInfo.php?workbook=10_05.xlsx&amp;sheet=U0&amp;row=16668&amp;col=6&amp;number=3.4&amp;sourceID=14","3.4")</f>
        <v>3.4</v>
      </c>
      <c r="G16668" s="4" t="str">
        <f>HYPERLINK("http://141.218.60.56/~jnz1568/getInfo.php?workbook=10_05.xlsx&amp;sheet=U0&amp;row=16668&amp;col=7&amp;number=0.0313&amp;sourceID=14","0.0313")</f>
        <v>0.0313</v>
      </c>
    </row>
    <row r="16669" spans="1:7">
      <c r="A16669" s="3"/>
      <c r="B16669" s="3"/>
      <c r="C16669" s="3"/>
      <c r="D16669" s="3"/>
      <c r="E16669" s="3">
        <v>6</v>
      </c>
      <c r="F16669" s="4" t="str">
        <f>HYPERLINK("http://141.218.60.56/~jnz1568/getInfo.php?workbook=10_05.xlsx&amp;sheet=U0&amp;row=16669&amp;col=6&amp;number=3.5&amp;sourceID=14","3.5")</f>
        <v>3.5</v>
      </c>
      <c r="G16669" s="4" t="str">
        <f>HYPERLINK("http://141.218.60.56/~jnz1568/getInfo.php?workbook=10_05.xlsx&amp;sheet=U0&amp;row=16669&amp;col=7&amp;number=0.0308&amp;sourceID=14","0.0308")</f>
        <v>0.0308</v>
      </c>
    </row>
    <row r="16670" spans="1:7">
      <c r="A16670" s="3"/>
      <c r="B16670" s="3"/>
      <c r="C16670" s="3"/>
      <c r="D16670" s="3"/>
      <c r="E16670" s="3">
        <v>7</v>
      </c>
      <c r="F16670" s="4" t="str">
        <f>HYPERLINK("http://141.218.60.56/~jnz1568/getInfo.php?workbook=10_05.xlsx&amp;sheet=U0&amp;row=16670&amp;col=6&amp;number=3.6&amp;sourceID=14","3.6")</f>
        <v>3.6</v>
      </c>
      <c r="G16670" s="4" t="str">
        <f>HYPERLINK("http://141.218.60.56/~jnz1568/getInfo.php?workbook=10_05.xlsx&amp;sheet=U0&amp;row=16670&amp;col=7&amp;number=0.0302&amp;sourceID=14","0.0302")</f>
        <v>0.0302</v>
      </c>
    </row>
    <row r="16671" spans="1:7">
      <c r="A16671" s="3"/>
      <c r="B16671" s="3"/>
      <c r="C16671" s="3"/>
      <c r="D16671" s="3"/>
      <c r="E16671" s="3">
        <v>8</v>
      </c>
      <c r="F16671" s="4" t="str">
        <f>HYPERLINK("http://141.218.60.56/~jnz1568/getInfo.php?workbook=10_05.xlsx&amp;sheet=U0&amp;row=16671&amp;col=6&amp;number=3.7&amp;sourceID=14","3.7")</f>
        <v>3.7</v>
      </c>
      <c r="G16671" s="4" t="str">
        <f>HYPERLINK("http://141.218.60.56/~jnz1568/getInfo.php?workbook=10_05.xlsx&amp;sheet=U0&amp;row=16671&amp;col=7&amp;number=0.0295&amp;sourceID=14","0.0295")</f>
        <v>0.0295</v>
      </c>
    </row>
    <row r="16672" spans="1:7">
      <c r="A16672" s="3"/>
      <c r="B16672" s="3"/>
      <c r="C16672" s="3"/>
      <c r="D16672" s="3"/>
      <c r="E16672" s="3">
        <v>9</v>
      </c>
      <c r="F16672" s="4" t="str">
        <f>HYPERLINK("http://141.218.60.56/~jnz1568/getInfo.php?workbook=10_05.xlsx&amp;sheet=U0&amp;row=16672&amp;col=6&amp;number=3.8&amp;sourceID=14","3.8")</f>
        <v>3.8</v>
      </c>
      <c r="G16672" s="4" t="str">
        <f>HYPERLINK("http://141.218.60.56/~jnz1568/getInfo.php?workbook=10_05.xlsx&amp;sheet=U0&amp;row=16672&amp;col=7&amp;number=0.0286&amp;sourceID=14","0.0286")</f>
        <v>0.0286</v>
      </c>
    </row>
    <row r="16673" spans="1:7">
      <c r="A16673" s="3"/>
      <c r="B16673" s="3"/>
      <c r="C16673" s="3"/>
      <c r="D16673" s="3"/>
      <c r="E16673" s="3">
        <v>10</v>
      </c>
      <c r="F16673" s="4" t="str">
        <f>HYPERLINK("http://141.218.60.56/~jnz1568/getInfo.php?workbook=10_05.xlsx&amp;sheet=U0&amp;row=16673&amp;col=6&amp;number=3.9&amp;sourceID=14","3.9")</f>
        <v>3.9</v>
      </c>
      <c r="G16673" s="4" t="str">
        <f>HYPERLINK("http://141.218.60.56/~jnz1568/getInfo.php?workbook=10_05.xlsx&amp;sheet=U0&amp;row=16673&amp;col=7&amp;number=0.0276&amp;sourceID=14","0.0276")</f>
        <v>0.0276</v>
      </c>
    </row>
    <row r="16674" spans="1:7">
      <c r="A16674" s="3"/>
      <c r="B16674" s="3"/>
      <c r="C16674" s="3"/>
      <c r="D16674" s="3"/>
      <c r="E16674" s="3">
        <v>11</v>
      </c>
      <c r="F16674" s="4" t="str">
        <f>HYPERLINK("http://141.218.60.56/~jnz1568/getInfo.php?workbook=10_05.xlsx&amp;sheet=U0&amp;row=16674&amp;col=6&amp;number=4&amp;sourceID=14","4")</f>
        <v>4</v>
      </c>
      <c r="G16674" s="4" t="str">
        <f>HYPERLINK("http://141.218.60.56/~jnz1568/getInfo.php?workbook=10_05.xlsx&amp;sheet=U0&amp;row=16674&amp;col=7&amp;number=0.0263&amp;sourceID=14","0.0263")</f>
        <v>0.0263</v>
      </c>
    </row>
    <row r="16675" spans="1:7">
      <c r="A16675" s="3"/>
      <c r="B16675" s="3"/>
      <c r="C16675" s="3"/>
      <c r="D16675" s="3"/>
      <c r="E16675" s="3">
        <v>12</v>
      </c>
      <c r="F16675" s="4" t="str">
        <f>HYPERLINK("http://141.218.60.56/~jnz1568/getInfo.php?workbook=10_05.xlsx&amp;sheet=U0&amp;row=16675&amp;col=6&amp;number=4.1&amp;sourceID=14","4.1")</f>
        <v>4.1</v>
      </c>
      <c r="G16675" s="4" t="str">
        <f>HYPERLINK("http://141.218.60.56/~jnz1568/getInfo.php?workbook=10_05.xlsx&amp;sheet=U0&amp;row=16675&amp;col=7&amp;number=0.0248&amp;sourceID=14","0.0248")</f>
        <v>0.0248</v>
      </c>
    </row>
    <row r="16676" spans="1:7">
      <c r="A16676" s="3"/>
      <c r="B16676" s="3"/>
      <c r="C16676" s="3"/>
      <c r="D16676" s="3"/>
      <c r="E16676" s="3">
        <v>13</v>
      </c>
      <c r="F16676" s="4" t="str">
        <f>HYPERLINK("http://141.218.60.56/~jnz1568/getInfo.php?workbook=10_05.xlsx&amp;sheet=U0&amp;row=16676&amp;col=6&amp;number=4.2&amp;sourceID=14","4.2")</f>
        <v>4.2</v>
      </c>
      <c r="G16676" s="4" t="str">
        <f>HYPERLINK("http://141.218.60.56/~jnz1568/getInfo.php?workbook=10_05.xlsx&amp;sheet=U0&amp;row=16676&amp;col=7&amp;number=0.0232&amp;sourceID=14","0.0232")</f>
        <v>0.0232</v>
      </c>
    </row>
    <row r="16677" spans="1:7">
      <c r="A16677" s="3"/>
      <c r="B16677" s="3"/>
      <c r="C16677" s="3"/>
      <c r="D16677" s="3"/>
      <c r="E16677" s="3">
        <v>14</v>
      </c>
      <c r="F16677" s="4" t="str">
        <f>HYPERLINK("http://141.218.60.56/~jnz1568/getInfo.php?workbook=10_05.xlsx&amp;sheet=U0&amp;row=16677&amp;col=6&amp;number=4.3&amp;sourceID=14","4.3")</f>
        <v>4.3</v>
      </c>
      <c r="G16677" s="4" t="str">
        <f>HYPERLINK("http://141.218.60.56/~jnz1568/getInfo.php?workbook=10_05.xlsx&amp;sheet=U0&amp;row=16677&amp;col=7&amp;number=0.0215&amp;sourceID=14","0.0215")</f>
        <v>0.0215</v>
      </c>
    </row>
    <row r="16678" spans="1:7">
      <c r="A16678" s="3"/>
      <c r="B16678" s="3"/>
      <c r="C16678" s="3"/>
      <c r="D16678" s="3"/>
      <c r="E16678" s="3">
        <v>15</v>
      </c>
      <c r="F16678" s="4" t="str">
        <f>HYPERLINK("http://141.218.60.56/~jnz1568/getInfo.php?workbook=10_05.xlsx&amp;sheet=U0&amp;row=16678&amp;col=6&amp;number=4.4&amp;sourceID=14","4.4")</f>
        <v>4.4</v>
      </c>
      <c r="G16678" s="4" t="str">
        <f>HYPERLINK("http://141.218.60.56/~jnz1568/getInfo.php?workbook=10_05.xlsx&amp;sheet=U0&amp;row=16678&amp;col=7&amp;number=0.0198&amp;sourceID=14","0.0198")</f>
        <v>0.0198</v>
      </c>
    </row>
    <row r="16679" spans="1:7">
      <c r="A16679" s="3"/>
      <c r="B16679" s="3"/>
      <c r="C16679" s="3"/>
      <c r="D16679" s="3"/>
      <c r="E16679" s="3">
        <v>16</v>
      </c>
      <c r="F16679" s="4" t="str">
        <f>HYPERLINK("http://141.218.60.56/~jnz1568/getInfo.php?workbook=10_05.xlsx&amp;sheet=U0&amp;row=16679&amp;col=6&amp;number=4.5&amp;sourceID=14","4.5")</f>
        <v>4.5</v>
      </c>
      <c r="G16679" s="4" t="str">
        <f>HYPERLINK("http://141.218.60.56/~jnz1568/getInfo.php?workbook=10_05.xlsx&amp;sheet=U0&amp;row=16679&amp;col=7&amp;number=0.0184&amp;sourceID=14","0.0184")</f>
        <v>0.0184</v>
      </c>
    </row>
    <row r="16680" spans="1:7">
      <c r="A16680" s="3"/>
      <c r="B16680" s="3"/>
      <c r="C16680" s="3"/>
      <c r="D16680" s="3"/>
      <c r="E16680" s="3">
        <v>17</v>
      </c>
      <c r="F16680" s="4" t="str">
        <f>HYPERLINK("http://141.218.60.56/~jnz1568/getInfo.php?workbook=10_05.xlsx&amp;sheet=U0&amp;row=16680&amp;col=6&amp;number=4.6&amp;sourceID=14","4.6")</f>
        <v>4.6</v>
      </c>
      <c r="G16680" s="4" t="str">
        <f>HYPERLINK("http://141.218.60.56/~jnz1568/getInfo.php?workbook=10_05.xlsx&amp;sheet=U0&amp;row=16680&amp;col=7&amp;number=0.0173&amp;sourceID=14","0.0173")</f>
        <v>0.0173</v>
      </c>
    </row>
    <row r="16681" spans="1:7">
      <c r="A16681" s="3"/>
      <c r="B16681" s="3"/>
      <c r="C16681" s="3"/>
      <c r="D16681" s="3"/>
      <c r="E16681" s="3">
        <v>18</v>
      </c>
      <c r="F16681" s="4" t="str">
        <f>HYPERLINK("http://141.218.60.56/~jnz1568/getInfo.php?workbook=10_05.xlsx&amp;sheet=U0&amp;row=16681&amp;col=6&amp;number=4.7&amp;sourceID=14","4.7")</f>
        <v>4.7</v>
      </c>
      <c r="G16681" s="4" t="str">
        <f>HYPERLINK("http://141.218.60.56/~jnz1568/getInfo.php?workbook=10_05.xlsx&amp;sheet=U0&amp;row=16681&amp;col=7&amp;number=0.0163&amp;sourceID=14","0.0163")</f>
        <v>0.0163</v>
      </c>
    </row>
    <row r="16682" spans="1:7">
      <c r="A16682" s="3"/>
      <c r="B16682" s="3"/>
      <c r="C16682" s="3"/>
      <c r="D16682" s="3"/>
      <c r="E16682" s="3">
        <v>19</v>
      </c>
      <c r="F16682" s="4" t="str">
        <f>HYPERLINK("http://141.218.60.56/~jnz1568/getInfo.php?workbook=10_05.xlsx&amp;sheet=U0&amp;row=16682&amp;col=6&amp;number=4.8&amp;sourceID=14","4.8")</f>
        <v>4.8</v>
      </c>
      <c r="G16682" s="4" t="str">
        <f>HYPERLINK("http://141.218.60.56/~jnz1568/getInfo.php?workbook=10_05.xlsx&amp;sheet=U0&amp;row=16682&amp;col=7&amp;number=0.0153&amp;sourceID=14","0.0153")</f>
        <v>0.0153</v>
      </c>
    </row>
    <row r="16683" spans="1:7">
      <c r="A16683" s="3"/>
      <c r="B16683" s="3"/>
      <c r="C16683" s="3"/>
      <c r="D16683" s="3"/>
      <c r="E16683" s="3">
        <v>20</v>
      </c>
      <c r="F16683" s="4" t="str">
        <f>HYPERLINK("http://141.218.60.56/~jnz1568/getInfo.php?workbook=10_05.xlsx&amp;sheet=U0&amp;row=16683&amp;col=6&amp;number=4.9&amp;sourceID=14","4.9")</f>
        <v>4.9</v>
      </c>
      <c r="G16683" s="4" t="str">
        <f>HYPERLINK("http://141.218.60.56/~jnz1568/getInfo.php?workbook=10_05.xlsx&amp;sheet=U0&amp;row=16683&amp;col=7&amp;number=0.0142&amp;sourceID=14","0.0142")</f>
        <v>0.0142</v>
      </c>
    </row>
    <row r="16684" spans="1:7">
      <c r="A16684" s="3">
        <v>10</v>
      </c>
      <c r="B16684" s="3">
        <v>5</v>
      </c>
      <c r="C16684" s="3">
        <v>5</v>
      </c>
      <c r="D16684" s="3">
        <v>130</v>
      </c>
      <c r="E16684" s="3">
        <v>1</v>
      </c>
      <c r="F16684" s="4" t="str">
        <f>HYPERLINK("http://141.218.60.56/~jnz1568/getInfo.php?workbook=10_05.xlsx&amp;sheet=U0&amp;row=16684&amp;col=6&amp;number=3&amp;sourceID=14","3")</f>
        <v>3</v>
      </c>
      <c r="G16684" s="4" t="str">
        <f>HYPERLINK("http://141.218.60.56/~jnz1568/getInfo.php?workbook=10_05.xlsx&amp;sheet=U0&amp;row=16684&amp;col=7&amp;number=0.0954&amp;sourceID=14","0.0954")</f>
        <v>0.0954</v>
      </c>
    </row>
    <row r="16685" spans="1:7">
      <c r="A16685" s="3"/>
      <c r="B16685" s="3"/>
      <c r="C16685" s="3"/>
      <c r="D16685" s="3"/>
      <c r="E16685" s="3">
        <v>2</v>
      </c>
      <c r="F16685" s="4" t="str">
        <f>HYPERLINK("http://141.218.60.56/~jnz1568/getInfo.php?workbook=10_05.xlsx&amp;sheet=U0&amp;row=16685&amp;col=6&amp;number=3.1&amp;sourceID=14","3.1")</f>
        <v>3.1</v>
      </c>
      <c r="G16685" s="4" t="str">
        <f>HYPERLINK("http://141.218.60.56/~jnz1568/getInfo.php?workbook=10_05.xlsx&amp;sheet=U0&amp;row=16685&amp;col=7&amp;number=0.0948&amp;sourceID=14","0.0948")</f>
        <v>0.0948</v>
      </c>
    </row>
    <row r="16686" spans="1:7">
      <c r="A16686" s="3"/>
      <c r="B16686" s="3"/>
      <c r="C16686" s="3"/>
      <c r="D16686" s="3"/>
      <c r="E16686" s="3">
        <v>3</v>
      </c>
      <c r="F16686" s="4" t="str">
        <f>HYPERLINK("http://141.218.60.56/~jnz1568/getInfo.php?workbook=10_05.xlsx&amp;sheet=U0&amp;row=16686&amp;col=6&amp;number=3.2&amp;sourceID=14","3.2")</f>
        <v>3.2</v>
      </c>
      <c r="G16686" s="4" t="str">
        <f>HYPERLINK("http://141.218.60.56/~jnz1568/getInfo.php?workbook=10_05.xlsx&amp;sheet=U0&amp;row=16686&amp;col=7&amp;number=0.0941&amp;sourceID=14","0.0941")</f>
        <v>0.0941</v>
      </c>
    </row>
    <row r="16687" spans="1:7">
      <c r="A16687" s="3"/>
      <c r="B16687" s="3"/>
      <c r="C16687" s="3"/>
      <c r="D16687" s="3"/>
      <c r="E16687" s="3">
        <v>4</v>
      </c>
      <c r="F16687" s="4" t="str">
        <f>HYPERLINK("http://141.218.60.56/~jnz1568/getInfo.php?workbook=10_05.xlsx&amp;sheet=U0&amp;row=16687&amp;col=6&amp;number=3.3&amp;sourceID=14","3.3")</f>
        <v>3.3</v>
      </c>
      <c r="G16687" s="4" t="str">
        <f>HYPERLINK("http://141.218.60.56/~jnz1568/getInfo.php?workbook=10_05.xlsx&amp;sheet=U0&amp;row=16687&amp;col=7&amp;number=0.0933&amp;sourceID=14","0.0933")</f>
        <v>0.0933</v>
      </c>
    </row>
    <row r="16688" spans="1:7">
      <c r="A16688" s="3"/>
      <c r="B16688" s="3"/>
      <c r="C16688" s="3"/>
      <c r="D16688" s="3"/>
      <c r="E16688" s="3">
        <v>5</v>
      </c>
      <c r="F16688" s="4" t="str">
        <f>HYPERLINK("http://141.218.60.56/~jnz1568/getInfo.php?workbook=10_05.xlsx&amp;sheet=U0&amp;row=16688&amp;col=6&amp;number=3.4&amp;sourceID=14","3.4")</f>
        <v>3.4</v>
      </c>
      <c r="G16688" s="4" t="str">
        <f>HYPERLINK("http://141.218.60.56/~jnz1568/getInfo.php?workbook=10_05.xlsx&amp;sheet=U0&amp;row=16688&amp;col=7&amp;number=0.0922&amp;sourceID=14","0.0922")</f>
        <v>0.0922</v>
      </c>
    </row>
    <row r="16689" spans="1:7">
      <c r="A16689" s="3"/>
      <c r="B16689" s="3"/>
      <c r="C16689" s="3"/>
      <c r="D16689" s="3"/>
      <c r="E16689" s="3">
        <v>6</v>
      </c>
      <c r="F16689" s="4" t="str">
        <f>HYPERLINK("http://141.218.60.56/~jnz1568/getInfo.php?workbook=10_05.xlsx&amp;sheet=U0&amp;row=16689&amp;col=6&amp;number=3.5&amp;sourceID=14","3.5")</f>
        <v>3.5</v>
      </c>
      <c r="G16689" s="4" t="str">
        <f>HYPERLINK("http://141.218.60.56/~jnz1568/getInfo.php?workbook=10_05.xlsx&amp;sheet=U0&amp;row=16689&amp;col=7&amp;number=0.0909&amp;sourceID=14","0.0909")</f>
        <v>0.0909</v>
      </c>
    </row>
    <row r="16690" spans="1:7">
      <c r="A16690" s="3"/>
      <c r="B16690" s="3"/>
      <c r="C16690" s="3"/>
      <c r="D16690" s="3"/>
      <c r="E16690" s="3">
        <v>7</v>
      </c>
      <c r="F16690" s="4" t="str">
        <f>HYPERLINK("http://141.218.60.56/~jnz1568/getInfo.php?workbook=10_05.xlsx&amp;sheet=U0&amp;row=16690&amp;col=6&amp;number=3.6&amp;sourceID=14","3.6")</f>
        <v>3.6</v>
      </c>
      <c r="G16690" s="4" t="str">
        <f>HYPERLINK("http://141.218.60.56/~jnz1568/getInfo.php?workbook=10_05.xlsx&amp;sheet=U0&amp;row=16690&amp;col=7&amp;number=0.0892&amp;sourceID=14","0.0892")</f>
        <v>0.0892</v>
      </c>
    </row>
    <row r="16691" spans="1:7">
      <c r="A16691" s="3"/>
      <c r="B16691" s="3"/>
      <c r="C16691" s="3"/>
      <c r="D16691" s="3"/>
      <c r="E16691" s="3">
        <v>8</v>
      </c>
      <c r="F16691" s="4" t="str">
        <f>HYPERLINK("http://141.218.60.56/~jnz1568/getInfo.php?workbook=10_05.xlsx&amp;sheet=U0&amp;row=16691&amp;col=6&amp;number=3.7&amp;sourceID=14","3.7")</f>
        <v>3.7</v>
      </c>
      <c r="G16691" s="4" t="str">
        <f>HYPERLINK("http://141.218.60.56/~jnz1568/getInfo.php?workbook=10_05.xlsx&amp;sheet=U0&amp;row=16691&amp;col=7&amp;number=0.0872&amp;sourceID=14","0.0872")</f>
        <v>0.0872</v>
      </c>
    </row>
    <row r="16692" spans="1:7">
      <c r="A16692" s="3"/>
      <c r="B16692" s="3"/>
      <c r="C16692" s="3"/>
      <c r="D16692" s="3"/>
      <c r="E16692" s="3">
        <v>9</v>
      </c>
      <c r="F16692" s="4" t="str">
        <f>HYPERLINK("http://141.218.60.56/~jnz1568/getInfo.php?workbook=10_05.xlsx&amp;sheet=U0&amp;row=16692&amp;col=6&amp;number=3.8&amp;sourceID=14","3.8")</f>
        <v>3.8</v>
      </c>
      <c r="G16692" s="4" t="str">
        <f>HYPERLINK("http://141.218.60.56/~jnz1568/getInfo.php?workbook=10_05.xlsx&amp;sheet=U0&amp;row=16692&amp;col=7&amp;number=0.0848&amp;sourceID=14","0.0848")</f>
        <v>0.0848</v>
      </c>
    </row>
    <row r="16693" spans="1:7">
      <c r="A16693" s="3"/>
      <c r="B16693" s="3"/>
      <c r="C16693" s="3"/>
      <c r="D16693" s="3"/>
      <c r="E16693" s="3">
        <v>10</v>
      </c>
      <c r="F16693" s="4" t="str">
        <f>HYPERLINK("http://141.218.60.56/~jnz1568/getInfo.php?workbook=10_05.xlsx&amp;sheet=U0&amp;row=16693&amp;col=6&amp;number=3.9&amp;sourceID=14","3.9")</f>
        <v>3.9</v>
      </c>
      <c r="G16693" s="4" t="str">
        <f>HYPERLINK("http://141.218.60.56/~jnz1568/getInfo.php?workbook=10_05.xlsx&amp;sheet=U0&amp;row=16693&amp;col=7&amp;number=0.0819&amp;sourceID=14","0.0819")</f>
        <v>0.0819</v>
      </c>
    </row>
    <row r="16694" spans="1:7">
      <c r="A16694" s="3"/>
      <c r="B16694" s="3"/>
      <c r="C16694" s="3"/>
      <c r="D16694" s="3"/>
      <c r="E16694" s="3">
        <v>11</v>
      </c>
      <c r="F16694" s="4" t="str">
        <f>HYPERLINK("http://141.218.60.56/~jnz1568/getInfo.php?workbook=10_05.xlsx&amp;sheet=U0&amp;row=16694&amp;col=6&amp;number=4&amp;sourceID=14","4")</f>
        <v>4</v>
      </c>
      <c r="G16694" s="4" t="str">
        <f>HYPERLINK("http://141.218.60.56/~jnz1568/getInfo.php?workbook=10_05.xlsx&amp;sheet=U0&amp;row=16694&amp;col=7&amp;number=0.0786&amp;sourceID=14","0.0786")</f>
        <v>0.0786</v>
      </c>
    </row>
    <row r="16695" spans="1:7">
      <c r="A16695" s="3"/>
      <c r="B16695" s="3"/>
      <c r="C16695" s="3"/>
      <c r="D16695" s="3"/>
      <c r="E16695" s="3">
        <v>12</v>
      </c>
      <c r="F16695" s="4" t="str">
        <f>HYPERLINK("http://141.218.60.56/~jnz1568/getInfo.php?workbook=10_05.xlsx&amp;sheet=U0&amp;row=16695&amp;col=6&amp;number=4.1&amp;sourceID=14","4.1")</f>
        <v>4.1</v>
      </c>
      <c r="G16695" s="4" t="str">
        <f>HYPERLINK("http://141.218.60.56/~jnz1568/getInfo.php?workbook=10_05.xlsx&amp;sheet=U0&amp;row=16695&amp;col=7&amp;number=0.0748&amp;sourceID=14","0.0748")</f>
        <v>0.0748</v>
      </c>
    </row>
    <row r="16696" spans="1:7">
      <c r="A16696" s="3"/>
      <c r="B16696" s="3"/>
      <c r="C16696" s="3"/>
      <c r="D16696" s="3"/>
      <c r="E16696" s="3">
        <v>13</v>
      </c>
      <c r="F16696" s="4" t="str">
        <f>HYPERLINK("http://141.218.60.56/~jnz1568/getInfo.php?workbook=10_05.xlsx&amp;sheet=U0&amp;row=16696&amp;col=6&amp;number=4.2&amp;sourceID=14","4.2")</f>
        <v>4.2</v>
      </c>
      <c r="G16696" s="4" t="str">
        <f>HYPERLINK("http://141.218.60.56/~jnz1568/getInfo.php?workbook=10_05.xlsx&amp;sheet=U0&amp;row=16696&amp;col=7&amp;number=0.0708&amp;sourceID=14","0.0708")</f>
        <v>0.0708</v>
      </c>
    </row>
    <row r="16697" spans="1:7">
      <c r="A16697" s="3"/>
      <c r="B16697" s="3"/>
      <c r="C16697" s="3"/>
      <c r="D16697" s="3"/>
      <c r="E16697" s="3">
        <v>14</v>
      </c>
      <c r="F16697" s="4" t="str">
        <f>HYPERLINK("http://141.218.60.56/~jnz1568/getInfo.php?workbook=10_05.xlsx&amp;sheet=U0&amp;row=16697&amp;col=6&amp;number=4.3&amp;sourceID=14","4.3")</f>
        <v>4.3</v>
      </c>
      <c r="G16697" s="4" t="str">
        <f>HYPERLINK("http://141.218.60.56/~jnz1568/getInfo.php?workbook=10_05.xlsx&amp;sheet=U0&amp;row=16697&amp;col=7&amp;number=0.067&amp;sourceID=14","0.067")</f>
        <v>0.067</v>
      </c>
    </row>
    <row r="16698" spans="1:7">
      <c r="A16698" s="3"/>
      <c r="B16698" s="3"/>
      <c r="C16698" s="3"/>
      <c r="D16698" s="3"/>
      <c r="E16698" s="3">
        <v>15</v>
      </c>
      <c r="F16698" s="4" t="str">
        <f>HYPERLINK("http://141.218.60.56/~jnz1568/getInfo.php?workbook=10_05.xlsx&amp;sheet=U0&amp;row=16698&amp;col=6&amp;number=4.4&amp;sourceID=14","4.4")</f>
        <v>4.4</v>
      </c>
      <c r="G16698" s="4" t="str">
        <f>HYPERLINK("http://141.218.60.56/~jnz1568/getInfo.php?workbook=10_05.xlsx&amp;sheet=U0&amp;row=16698&amp;col=7&amp;number=0.0636&amp;sourceID=14","0.0636")</f>
        <v>0.0636</v>
      </c>
    </row>
    <row r="16699" spans="1:7">
      <c r="A16699" s="3"/>
      <c r="B16699" s="3"/>
      <c r="C16699" s="3"/>
      <c r="D16699" s="3"/>
      <c r="E16699" s="3">
        <v>16</v>
      </c>
      <c r="F16699" s="4" t="str">
        <f>HYPERLINK("http://141.218.60.56/~jnz1568/getInfo.php?workbook=10_05.xlsx&amp;sheet=U0&amp;row=16699&amp;col=6&amp;number=4.5&amp;sourceID=14","4.5")</f>
        <v>4.5</v>
      </c>
      <c r="G16699" s="4" t="str">
        <f>HYPERLINK("http://141.218.60.56/~jnz1568/getInfo.php?workbook=10_05.xlsx&amp;sheet=U0&amp;row=16699&amp;col=7&amp;number=0.0609&amp;sourceID=14","0.0609")</f>
        <v>0.0609</v>
      </c>
    </row>
    <row r="16700" spans="1:7">
      <c r="A16700" s="3"/>
      <c r="B16700" s="3"/>
      <c r="C16700" s="3"/>
      <c r="D16700" s="3"/>
      <c r="E16700" s="3">
        <v>17</v>
      </c>
      <c r="F16700" s="4" t="str">
        <f>HYPERLINK("http://141.218.60.56/~jnz1568/getInfo.php?workbook=10_05.xlsx&amp;sheet=U0&amp;row=16700&amp;col=6&amp;number=4.6&amp;sourceID=14","4.6")</f>
        <v>4.6</v>
      </c>
      <c r="G16700" s="4" t="str">
        <f>HYPERLINK("http://141.218.60.56/~jnz1568/getInfo.php?workbook=10_05.xlsx&amp;sheet=U0&amp;row=16700&amp;col=7&amp;number=0.0585&amp;sourceID=14","0.0585")</f>
        <v>0.0585</v>
      </c>
    </row>
    <row r="16701" spans="1:7">
      <c r="A16701" s="3"/>
      <c r="B16701" s="3"/>
      <c r="C16701" s="3"/>
      <c r="D16701" s="3"/>
      <c r="E16701" s="3">
        <v>18</v>
      </c>
      <c r="F16701" s="4" t="str">
        <f>HYPERLINK("http://141.218.60.56/~jnz1568/getInfo.php?workbook=10_05.xlsx&amp;sheet=U0&amp;row=16701&amp;col=6&amp;number=4.7&amp;sourceID=14","4.7")</f>
        <v>4.7</v>
      </c>
      <c r="G16701" s="4" t="str">
        <f>HYPERLINK("http://141.218.60.56/~jnz1568/getInfo.php?workbook=10_05.xlsx&amp;sheet=U0&amp;row=16701&amp;col=7&amp;number=0.056&amp;sourceID=14","0.056")</f>
        <v>0.056</v>
      </c>
    </row>
    <row r="16702" spans="1:7">
      <c r="A16702" s="3"/>
      <c r="B16702" s="3"/>
      <c r="C16702" s="3"/>
      <c r="D16702" s="3"/>
      <c r="E16702" s="3">
        <v>19</v>
      </c>
      <c r="F16702" s="4" t="str">
        <f>HYPERLINK("http://141.218.60.56/~jnz1568/getInfo.php?workbook=10_05.xlsx&amp;sheet=U0&amp;row=16702&amp;col=6&amp;number=4.8&amp;sourceID=14","4.8")</f>
        <v>4.8</v>
      </c>
      <c r="G16702" s="4" t="str">
        <f>HYPERLINK("http://141.218.60.56/~jnz1568/getInfo.php?workbook=10_05.xlsx&amp;sheet=U0&amp;row=16702&amp;col=7&amp;number=0.0536&amp;sourceID=14","0.0536")</f>
        <v>0.0536</v>
      </c>
    </row>
    <row r="16703" spans="1:7">
      <c r="A16703" s="3"/>
      <c r="B16703" s="3"/>
      <c r="C16703" s="3"/>
      <c r="D16703" s="3"/>
      <c r="E16703" s="3">
        <v>20</v>
      </c>
      <c r="F16703" s="4" t="str">
        <f>HYPERLINK("http://141.218.60.56/~jnz1568/getInfo.php?workbook=10_05.xlsx&amp;sheet=U0&amp;row=16703&amp;col=6&amp;number=4.9&amp;sourceID=14","4.9")</f>
        <v>4.9</v>
      </c>
      <c r="G16703" s="4" t="str">
        <f>HYPERLINK("http://141.218.60.56/~jnz1568/getInfo.php?workbook=10_05.xlsx&amp;sheet=U0&amp;row=16703&amp;col=7&amp;number=0.0514&amp;sourceID=14","0.0514")</f>
        <v>0.0514</v>
      </c>
    </row>
    <row r="16704" spans="1:7">
      <c r="A16704" s="3">
        <v>10</v>
      </c>
      <c r="B16704" s="3">
        <v>5</v>
      </c>
      <c r="C16704" s="3">
        <v>5</v>
      </c>
      <c r="D16704" s="3">
        <v>131</v>
      </c>
      <c r="E16704" s="3">
        <v>1</v>
      </c>
      <c r="F16704" s="4" t="str">
        <f>HYPERLINK("http://141.218.60.56/~jnz1568/getInfo.php?workbook=10_05.xlsx&amp;sheet=U0&amp;row=16704&amp;col=6&amp;number=3&amp;sourceID=14","3")</f>
        <v>3</v>
      </c>
      <c r="G16704" s="4" t="str">
        <f>HYPERLINK("http://141.218.60.56/~jnz1568/getInfo.php?workbook=10_05.xlsx&amp;sheet=U0&amp;row=16704&amp;col=7&amp;number=0.0146&amp;sourceID=14","0.0146")</f>
        <v>0.0146</v>
      </c>
    </row>
    <row r="16705" spans="1:7">
      <c r="A16705" s="3"/>
      <c r="B16705" s="3"/>
      <c r="C16705" s="3"/>
      <c r="D16705" s="3"/>
      <c r="E16705" s="3">
        <v>2</v>
      </c>
      <c r="F16705" s="4" t="str">
        <f>HYPERLINK("http://141.218.60.56/~jnz1568/getInfo.php?workbook=10_05.xlsx&amp;sheet=U0&amp;row=16705&amp;col=6&amp;number=3.1&amp;sourceID=14","3.1")</f>
        <v>3.1</v>
      </c>
      <c r="G16705" s="4" t="str">
        <f>HYPERLINK("http://141.218.60.56/~jnz1568/getInfo.php?workbook=10_05.xlsx&amp;sheet=U0&amp;row=16705&amp;col=7&amp;number=0.0146&amp;sourceID=14","0.0146")</f>
        <v>0.0146</v>
      </c>
    </row>
    <row r="16706" spans="1:7">
      <c r="A16706" s="3"/>
      <c r="B16706" s="3"/>
      <c r="C16706" s="3"/>
      <c r="D16706" s="3"/>
      <c r="E16706" s="3">
        <v>3</v>
      </c>
      <c r="F16706" s="4" t="str">
        <f>HYPERLINK("http://141.218.60.56/~jnz1568/getInfo.php?workbook=10_05.xlsx&amp;sheet=U0&amp;row=16706&amp;col=6&amp;number=3.2&amp;sourceID=14","3.2")</f>
        <v>3.2</v>
      </c>
      <c r="G16706" s="4" t="str">
        <f>HYPERLINK("http://141.218.60.56/~jnz1568/getInfo.php?workbook=10_05.xlsx&amp;sheet=U0&amp;row=16706&amp;col=7&amp;number=0.0145&amp;sourceID=14","0.0145")</f>
        <v>0.0145</v>
      </c>
    </row>
    <row r="16707" spans="1:7">
      <c r="A16707" s="3"/>
      <c r="B16707" s="3"/>
      <c r="C16707" s="3"/>
      <c r="D16707" s="3"/>
      <c r="E16707" s="3">
        <v>4</v>
      </c>
      <c r="F16707" s="4" t="str">
        <f>HYPERLINK("http://141.218.60.56/~jnz1568/getInfo.php?workbook=10_05.xlsx&amp;sheet=U0&amp;row=16707&amp;col=6&amp;number=3.3&amp;sourceID=14","3.3")</f>
        <v>3.3</v>
      </c>
      <c r="G16707" s="4" t="str">
        <f>HYPERLINK("http://141.218.60.56/~jnz1568/getInfo.php?workbook=10_05.xlsx&amp;sheet=U0&amp;row=16707&amp;col=7&amp;number=0.0144&amp;sourceID=14","0.0144")</f>
        <v>0.0144</v>
      </c>
    </row>
    <row r="16708" spans="1:7">
      <c r="A16708" s="3"/>
      <c r="B16708" s="3"/>
      <c r="C16708" s="3"/>
      <c r="D16708" s="3"/>
      <c r="E16708" s="3">
        <v>5</v>
      </c>
      <c r="F16708" s="4" t="str">
        <f>HYPERLINK("http://141.218.60.56/~jnz1568/getInfo.php?workbook=10_05.xlsx&amp;sheet=U0&amp;row=16708&amp;col=6&amp;number=3.4&amp;sourceID=14","3.4")</f>
        <v>3.4</v>
      </c>
      <c r="G16708" s="4" t="str">
        <f>HYPERLINK("http://141.218.60.56/~jnz1568/getInfo.php?workbook=10_05.xlsx&amp;sheet=U0&amp;row=16708&amp;col=7&amp;number=0.0142&amp;sourceID=14","0.0142")</f>
        <v>0.0142</v>
      </c>
    </row>
    <row r="16709" spans="1:7">
      <c r="A16709" s="3"/>
      <c r="B16709" s="3"/>
      <c r="C16709" s="3"/>
      <c r="D16709" s="3"/>
      <c r="E16709" s="3">
        <v>6</v>
      </c>
      <c r="F16709" s="4" t="str">
        <f>HYPERLINK("http://141.218.60.56/~jnz1568/getInfo.php?workbook=10_05.xlsx&amp;sheet=U0&amp;row=16709&amp;col=6&amp;number=3.5&amp;sourceID=14","3.5")</f>
        <v>3.5</v>
      </c>
      <c r="G16709" s="4" t="str">
        <f>HYPERLINK("http://141.218.60.56/~jnz1568/getInfo.php?workbook=10_05.xlsx&amp;sheet=U0&amp;row=16709&amp;col=7&amp;number=0.014&amp;sourceID=14","0.014")</f>
        <v>0.014</v>
      </c>
    </row>
    <row r="16710" spans="1:7">
      <c r="A16710" s="3"/>
      <c r="B16710" s="3"/>
      <c r="C16710" s="3"/>
      <c r="D16710" s="3"/>
      <c r="E16710" s="3">
        <v>7</v>
      </c>
      <c r="F16710" s="4" t="str">
        <f>HYPERLINK("http://141.218.60.56/~jnz1568/getInfo.php?workbook=10_05.xlsx&amp;sheet=U0&amp;row=16710&amp;col=6&amp;number=3.6&amp;sourceID=14","3.6")</f>
        <v>3.6</v>
      </c>
      <c r="G16710" s="4" t="str">
        <f>HYPERLINK("http://141.218.60.56/~jnz1568/getInfo.php?workbook=10_05.xlsx&amp;sheet=U0&amp;row=16710&amp;col=7&amp;number=0.0138&amp;sourceID=14","0.0138")</f>
        <v>0.0138</v>
      </c>
    </row>
    <row r="16711" spans="1:7">
      <c r="A16711" s="3"/>
      <c r="B16711" s="3"/>
      <c r="C16711" s="3"/>
      <c r="D16711" s="3"/>
      <c r="E16711" s="3">
        <v>8</v>
      </c>
      <c r="F16711" s="4" t="str">
        <f>HYPERLINK("http://141.218.60.56/~jnz1568/getInfo.php?workbook=10_05.xlsx&amp;sheet=U0&amp;row=16711&amp;col=6&amp;number=3.7&amp;sourceID=14","3.7")</f>
        <v>3.7</v>
      </c>
      <c r="G16711" s="4" t="str">
        <f>HYPERLINK("http://141.218.60.56/~jnz1568/getInfo.php?workbook=10_05.xlsx&amp;sheet=U0&amp;row=16711&amp;col=7&amp;number=0.0135&amp;sourceID=14","0.0135")</f>
        <v>0.0135</v>
      </c>
    </row>
    <row r="16712" spans="1:7">
      <c r="A16712" s="3"/>
      <c r="B16712" s="3"/>
      <c r="C16712" s="3"/>
      <c r="D16712" s="3"/>
      <c r="E16712" s="3">
        <v>9</v>
      </c>
      <c r="F16712" s="4" t="str">
        <f>HYPERLINK("http://141.218.60.56/~jnz1568/getInfo.php?workbook=10_05.xlsx&amp;sheet=U0&amp;row=16712&amp;col=6&amp;number=3.8&amp;sourceID=14","3.8")</f>
        <v>3.8</v>
      </c>
      <c r="G16712" s="4" t="str">
        <f>HYPERLINK("http://141.218.60.56/~jnz1568/getInfo.php?workbook=10_05.xlsx&amp;sheet=U0&amp;row=16712&amp;col=7&amp;number=0.0132&amp;sourceID=14","0.0132")</f>
        <v>0.0132</v>
      </c>
    </row>
    <row r="16713" spans="1:7">
      <c r="A16713" s="3"/>
      <c r="B16713" s="3"/>
      <c r="C16713" s="3"/>
      <c r="D16713" s="3"/>
      <c r="E16713" s="3">
        <v>10</v>
      </c>
      <c r="F16713" s="4" t="str">
        <f>HYPERLINK("http://141.218.60.56/~jnz1568/getInfo.php?workbook=10_05.xlsx&amp;sheet=U0&amp;row=16713&amp;col=6&amp;number=3.9&amp;sourceID=14","3.9")</f>
        <v>3.9</v>
      </c>
      <c r="G16713" s="4" t="str">
        <f>HYPERLINK("http://141.218.60.56/~jnz1568/getInfo.php?workbook=10_05.xlsx&amp;sheet=U0&amp;row=16713&amp;col=7&amp;number=0.0128&amp;sourceID=14","0.0128")</f>
        <v>0.0128</v>
      </c>
    </row>
    <row r="16714" spans="1:7">
      <c r="A16714" s="3"/>
      <c r="B16714" s="3"/>
      <c r="C16714" s="3"/>
      <c r="D16714" s="3"/>
      <c r="E16714" s="3">
        <v>11</v>
      </c>
      <c r="F16714" s="4" t="str">
        <f>HYPERLINK("http://141.218.60.56/~jnz1568/getInfo.php?workbook=10_05.xlsx&amp;sheet=U0&amp;row=16714&amp;col=6&amp;number=4&amp;sourceID=14","4")</f>
        <v>4</v>
      </c>
      <c r="G16714" s="4" t="str">
        <f>HYPERLINK("http://141.218.60.56/~jnz1568/getInfo.php?workbook=10_05.xlsx&amp;sheet=U0&amp;row=16714&amp;col=7&amp;number=0.0123&amp;sourceID=14","0.0123")</f>
        <v>0.0123</v>
      </c>
    </row>
    <row r="16715" spans="1:7">
      <c r="A16715" s="3"/>
      <c r="B16715" s="3"/>
      <c r="C16715" s="3"/>
      <c r="D16715" s="3"/>
      <c r="E16715" s="3">
        <v>12</v>
      </c>
      <c r="F16715" s="4" t="str">
        <f>HYPERLINK("http://141.218.60.56/~jnz1568/getInfo.php?workbook=10_05.xlsx&amp;sheet=U0&amp;row=16715&amp;col=6&amp;number=4.1&amp;sourceID=14","4.1")</f>
        <v>4.1</v>
      </c>
      <c r="G16715" s="4" t="str">
        <f>HYPERLINK("http://141.218.60.56/~jnz1568/getInfo.php?workbook=10_05.xlsx&amp;sheet=U0&amp;row=16715&amp;col=7&amp;number=0.0118&amp;sourceID=14","0.0118")</f>
        <v>0.0118</v>
      </c>
    </row>
    <row r="16716" spans="1:7">
      <c r="A16716" s="3"/>
      <c r="B16716" s="3"/>
      <c r="C16716" s="3"/>
      <c r="D16716" s="3"/>
      <c r="E16716" s="3">
        <v>13</v>
      </c>
      <c r="F16716" s="4" t="str">
        <f>HYPERLINK("http://141.218.60.56/~jnz1568/getInfo.php?workbook=10_05.xlsx&amp;sheet=U0&amp;row=16716&amp;col=6&amp;number=4.2&amp;sourceID=14","4.2")</f>
        <v>4.2</v>
      </c>
      <c r="G16716" s="4" t="str">
        <f>HYPERLINK("http://141.218.60.56/~jnz1568/getInfo.php?workbook=10_05.xlsx&amp;sheet=U0&amp;row=16716&amp;col=7&amp;number=0.0112&amp;sourceID=14","0.0112")</f>
        <v>0.0112</v>
      </c>
    </row>
    <row r="16717" spans="1:7">
      <c r="A16717" s="3"/>
      <c r="B16717" s="3"/>
      <c r="C16717" s="3"/>
      <c r="D16717" s="3"/>
      <c r="E16717" s="3">
        <v>14</v>
      </c>
      <c r="F16717" s="4" t="str">
        <f>HYPERLINK("http://141.218.60.56/~jnz1568/getInfo.php?workbook=10_05.xlsx&amp;sheet=U0&amp;row=16717&amp;col=6&amp;number=4.3&amp;sourceID=14","4.3")</f>
        <v>4.3</v>
      </c>
      <c r="G16717" s="4" t="str">
        <f>HYPERLINK("http://141.218.60.56/~jnz1568/getInfo.php?workbook=10_05.xlsx&amp;sheet=U0&amp;row=16717&amp;col=7&amp;number=0.0107&amp;sourceID=14","0.0107")</f>
        <v>0.0107</v>
      </c>
    </row>
    <row r="16718" spans="1:7">
      <c r="A16718" s="3"/>
      <c r="B16718" s="3"/>
      <c r="C16718" s="3"/>
      <c r="D16718" s="3"/>
      <c r="E16718" s="3">
        <v>15</v>
      </c>
      <c r="F16718" s="4" t="str">
        <f>HYPERLINK("http://141.218.60.56/~jnz1568/getInfo.php?workbook=10_05.xlsx&amp;sheet=U0&amp;row=16718&amp;col=6&amp;number=4.4&amp;sourceID=14","4.4")</f>
        <v>4.4</v>
      </c>
      <c r="G16718" s="4" t="str">
        <f>HYPERLINK("http://141.218.60.56/~jnz1568/getInfo.php?workbook=10_05.xlsx&amp;sheet=U0&amp;row=16718&amp;col=7&amp;number=0.0103&amp;sourceID=14","0.0103")</f>
        <v>0.0103</v>
      </c>
    </row>
    <row r="16719" spans="1:7">
      <c r="A16719" s="3"/>
      <c r="B16719" s="3"/>
      <c r="C16719" s="3"/>
      <c r="D16719" s="3"/>
      <c r="E16719" s="3">
        <v>16</v>
      </c>
      <c r="F16719" s="4" t="str">
        <f>HYPERLINK("http://141.218.60.56/~jnz1568/getInfo.php?workbook=10_05.xlsx&amp;sheet=U0&amp;row=16719&amp;col=6&amp;number=4.5&amp;sourceID=14","4.5")</f>
        <v>4.5</v>
      </c>
      <c r="G16719" s="4" t="str">
        <f>HYPERLINK("http://141.218.60.56/~jnz1568/getInfo.php?workbook=10_05.xlsx&amp;sheet=U0&amp;row=16719&amp;col=7&amp;number=0.01&amp;sourceID=14","0.01")</f>
        <v>0.01</v>
      </c>
    </row>
    <row r="16720" spans="1:7">
      <c r="A16720" s="3"/>
      <c r="B16720" s="3"/>
      <c r="C16720" s="3"/>
      <c r="D16720" s="3"/>
      <c r="E16720" s="3">
        <v>17</v>
      </c>
      <c r="F16720" s="4" t="str">
        <f>HYPERLINK("http://141.218.60.56/~jnz1568/getInfo.php?workbook=10_05.xlsx&amp;sheet=U0&amp;row=16720&amp;col=6&amp;number=4.6&amp;sourceID=14","4.6")</f>
        <v>4.6</v>
      </c>
      <c r="G16720" s="4" t="str">
        <f>HYPERLINK("http://141.218.60.56/~jnz1568/getInfo.php?workbook=10_05.xlsx&amp;sheet=U0&amp;row=16720&amp;col=7&amp;number=0.00974&amp;sourceID=14","0.00974")</f>
        <v>0.00974</v>
      </c>
    </row>
    <row r="16721" spans="1:7">
      <c r="A16721" s="3"/>
      <c r="B16721" s="3"/>
      <c r="C16721" s="3"/>
      <c r="D16721" s="3"/>
      <c r="E16721" s="3">
        <v>18</v>
      </c>
      <c r="F16721" s="4" t="str">
        <f>HYPERLINK("http://141.218.60.56/~jnz1568/getInfo.php?workbook=10_05.xlsx&amp;sheet=U0&amp;row=16721&amp;col=6&amp;number=4.7&amp;sourceID=14","4.7")</f>
        <v>4.7</v>
      </c>
      <c r="G16721" s="4" t="str">
        <f>HYPERLINK("http://141.218.60.56/~jnz1568/getInfo.php?workbook=10_05.xlsx&amp;sheet=U0&amp;row=16721&amp;col=7&amp;number=0.00945&amp;sourceID=14","0.00945")</f>
        <v>0.00945</v>
      </c>
    </row>
    <row r="16722" spans="1:7">
      <c r="A16722" s="3"/>
      <c r="B16722" s="3"/>
      <c r="C16722" s="3"/>
      <c r="D16722" s="3"/>
      <c r="E16722" s="3">
        <v>19</v>
      </c>
      <c r="F16722" s="4" t="str">
        <f>HYPERLINK("http://141.218.60.56/~jnz1568/getInfo.php?workbook=10_05.xlsx&amp;sheet=U0&amp;row=16722&amp;col=6&amp;number=4.8&amp;sourceID=14","4.8")</f>
        <v>4.8</v>
      </c>
      <c r="G16722" s="4" t="str">
        <f>HYPERLINK("http://141.218.60.56/~jnz1568/getInfo.php?workbook=10_05.xlsx&amp;sheet=U0&amp;row=16722&amp;col=7&amp;number=0.00916&amp;sourceID=14","0.00916")</f>
        <v>0.00916</v>
      </c>
    </row>
    <row r="16723" spans="1:7">
      <c r="A16723" s="3"/>
      <c r="B16723" s="3"/>
      <c r="C16723" s="3"/>
      <c r="D16723" s="3"/>
      <c r="E16723" s="3">
        <v>20</v>
      </c>
      <c r="F16723" s="4" t="str">
        <f>HYPERLINK("http://141.218.60.56/~jnz1568/getInfo.php?workbook=10_05.xlsx&amp;sheet=U0&amp;row=16723&amp;col=6&amp;number=4.9&amp;sourceID=14","4.9")</f>
        <v>4.9</v>
      </c>
      <c r="G16723" s="4" t="str">
        <f>HYPERLINK("http://141.218.60.56/~jnz1568/getInfo.php?workbook=10_05.xlsx&amp;sheet=U0&amp;row=16723&amp;col=7&amp;number=0.00893&amp;sourceID=14","0.00893")</f>
        <v>0.00893</v>
      </c>
    </row>
    <row r="16724" spans="1:7">
      <c r="A16724" s="3">
        <v>10</v>
      </c>
      <c r="B16724" s="3">
        <v>5</v>
      </c>
      <c r="C16724" s="3">
        <v>5</v>
      </c>
      <c r="D16724" s="3">
        <v>132</v>
      </c>
      <c r="E16724" s="3">
        <v>1</v>
      </c>
      <c r="F16724" s="4" t="str">
        <f>HYPERLINK("http://141.218.60.56/~jnz1568/getInfo.php?workbook=10_05.xlsx&amp;sheet=U0&amp;row=16724&amp;col=6&amp;number=3&amp;sourceID=14","3")</f>
        <v>3</v>
      </c>
      <c r="G16724" s="4" t="str">
        <f>HYPERLINK("http://141.218.60.56/~jnz1568/getInfo.php?workbook=10_05.xlsx&amp;sheet=U0&amp;row=16724&amp;col=7&amp;number=0.038&amp;sourceID=14","0.038")</f>
        <v>0.038</v>
      </c>
    </row>
    <row r="16725" spans="1:7">
      <c r="A16725" s="3"/>
      <c r="B16725" s="3"/>
      <c r="C16725" s="3"/>
      <c r="D16725" s="3"/>
      <c r="E16725" s="3">
        <v>2</v>
      </c>
      <c r="F16725" s="4" t="str">
        <f>HYPERLINK("http://141.218.60.56/~jnz1568/getInfo.php?workbook=10_05.xlsx&amp;sheet=U0&amp;row=16725&amp;col=6&amp;number=3.1&amp;sourceID=14","3.1")</f>
        <v>3.1</v>
      </c>
      <c r="G16725" s="4" t="str">
        <f>HYPERLINK("http://141.218.60.56/~jnz1568/getInfo.php?workbook=10_05.xlsx&amp;sheet=U0&amp;row=16725&amp;col=7&amp;number=0.0377&amp;sourceID=14","0.0377")</f>
        <v>0.0377</v>
      </c>
    </row>
    <row r="16726" spans="1:7">
      <c r="A16726" s="3"/>
      <c r="B16726" s="3"/>
      <c r="C16726" s="3"/>
      <c r="D16726" s="3"/>
      <c r="E16726" s="3">
        <v>3</v>
      </c>
      <c r="F16726" s="4" t="str">
        <f>HYPERLINK("http://141.218.60.56/~jnz1568/getInfo.php?workbook=10_05.xlsx&amp;sheet=U0&amp;row=16726&amp;col=6&amp;number=3.2&amp;sourceID=14","3.2")</f>
        <v>3.2</v>
      </c>
      <c r="G16726" s="4" t="str">
        <f>HYPERLINK("http://141.218.60.56/~jnz1568/getInfo.php?workbook=10_05.xlsx&amp;sheet=U0&amp;row=16726&amp;col=7&amp;number=0.0374&amp;sourceID=14","0.0374")</f>
        <v>0.0374</v>
      </c>
    </row>
    <row r="16727" spans="1:7">
      <c r="A16727" s="3"/>
      <c r="B16727" s="3"/>
      <c r="C16727" s="3"/>
      <c r="D16727" s="3"/>
      <c r="E16727" s="3">
        <v>4</v>
      </c>
      <c r="F16727" s="4" t="str">
        <f>HYPERLINK("http://141.218.60.56/~jnz1568/getInfo.php?workbook=10_05.xlsx&amp;sheet=U0&amp;row=16727&amp;col=6&amp;number=3.3&amp;sourceID=14","3.3")</f>
        <v>3.3</v>
      </c>
      <c r="G16727" s="4" t="str">
        <f>HYPERLINK("http://141.218.60.56/~jnz1568/getInfo.php?workbook=10_05.xlsx&amp;sheet=U0&amp;row=16727&amp;col=7&amp;number=0.037&amp;sourceID=14","0.037")</f>
        <v>0.037</v>
      </c>
    </row>
    <row r="16728" spans="1:7">
      <c r="A16728" s="3"/>
      <c r="B16728" s="3"/>
      <c r="C16728" s="3"/>
      <c r="D16728" s="3"/>
      <c r="E16728" s="3">
        <v>5</v>
      </c>
      <c r="F16728" s="4" t="str">
        <f>HYPERLINK("http://141.218.60.56/~jnz1568/getInfo.php?workbook=10_05.xlsx&amp;sheet=U0&amp;row=16728&amp;col=6&amp;number=3.4&amp;sourceID=14","3.4")</f>
        <v>3.4</v>
      </c>
      <c r="G16728" s="4" t="str">
        <f>HYPERLINK("http://141.218.60.56/~jnz1568/getInfo.php?workbook=10_05.xlsx&amp;sheet=U0&amp;row=16728&amp;col=7&amp;number=0.0365&amp;sourceID=14","0.0365")</f>
        <v>0.0365</v>
      </c>
    </row>
    <row r="16729" spans="1:7">
      <c r="A16729" s="3"/>
      <c r="B16729" s="3"/>
      <c r="C16729" s="3"/>
      <c r="D16729" s="3"/>
      <c r="E16729" s="3">
        <v>6</v>
      </c>
      <c r="F16729" s="4" t="str">
        <f>HYPERLINK("http://141.218.60.56/~jnz1568/getInfo.php?workbook=10_05.xlsx&amp;sheet=U0&amp;row=16729&amp;col=6&amp;number=3.5&amp;sourceID=14","3.5")</f>
        <v>3.5</v>
      </c>
      <c r="G16729" s="4" t="str">
        <f>HYPERLINK("http://141.218.60.56/~jnz1568/getInfo.php?workbook=10_05.xlsx&amp;sheet=U0&amp;row=16729&amp;col=7&amp;number=0.0359&amp;sourceID=14","0.0359")</f>
        <v>0.0359</v>
      </c>
    </row>
    <row r="16730" spans="1:7">
      <c r="A16730" s="3"/>
      <c r="B16730" s="3"/>
      <c r="C16730" s="3"/>
      <c r="D16730" s="3"/>
      <c r="E16730" s="3">
        <v>7</v>
      </c>
      <c r="F16730" s="4" t="str">
        <f>HYPERLINK("http://141.218.60.56/~jnz1568/getInfo.php?workbook=10_05.xlsx&amp;sheet=U0&amp;row=16730&amp;col=6&amp;number=3.6&amp;sourceID=14","3.6")</f>
        <v>3.6</v>
      </c>
      <c r="G16730" s="4" t="str">
        <f>HYPERLINK("http://141.218.60.56/~jnz1568/getInfo.php?workbook=10_05.xlsx&amp;sheet=U0&amp;row=16730&amp;col=7&amp;number=0.0352&amp;sourceID=14","0.0352")</f>
        <v>0.0352</v>
      </c>
    </row>
    <row r="16731" spans="1:7">
      <c r="A16731" s="3"/>
      <c r="B16731" s="3"/>
      <c r="C16731" s="3"/>
      <c r="D16731" s="3"/>
      <c r="E16731" s="3">
        <v>8</v>
      </c>
      <c r="F16731" s="4" t="str">
        <f>HYPERLINK("http://141.218.60.56/~jnz1568/getInfo.php?workbook=10_05.xlsx&amp;sheet=U0&amp;row=16731&amp;col=6&amp;number=3.7&amp;sourceID=14","3.7")</f>
        <v>3.7</v>
      </c>
      <c r="G16731" s="4" t="str">
        <f>HYPERLINK("http://141.218.60.56/~jnz1568/getInfo.php?workbook=10_05.xlsx&amp;sheet=U0&amp;row=16731&amp;col=7&amp;number=0.0343&amp;sourceID=14","0.0343")</f>
        <v>0.0343</v>
      </c>
    </row>
    <row r="16732" spans="1:7">
      <c r="A16732" s="3"/>
      <c r="B16732" s="3"/>
      <c r="C16732" s="3"/>
      <c r="D16732" s="3"/>
      <c r="E16732" s="3">
        <v>9</v>
      </c>
      <c r="F16732" s="4" t="str">
        <f>HYPERLINK("http://141.218.60.56/~jnz1568/getInfo.php?workbook=10_05.xlsx&amp;sheet=U0&amp;row=16732&amp;col=6&amp;number=3.8&amp;sourceID=14","3.8")</f>
        <v>3.8</v>
      </c>
      <c r="G16732" s="4" t="str">
        <f>HYPERLINK("http://141.218.60.56/~jnz1568/getInfo.php?workbook=10_05.xlsx&amp;sheet=U0&amp;row=16732&amp;col=7&amp;number=0.0332&amp;sourceID=14","0.0332")</f>
        <v>0.0332</v>
      </c>
    </row>
    <row r="16733" spans="1:7">
      <c r="A16733" s="3"/>
      <c r="B16733" s="3"/>
      <c r="C16733" s="3"/>
      <c r="D16733" s="3"/>
      <c r="E16733" s="3">
        <v>10</v>
      </c>
      <c r="F16733" s="4" t="str">
        <f>HYPERLINK("http://141.218.60.56/~jnz1568/getInfo.php?workbook=10_05.xlsx&amp;sheet=U0&amp;row=16733&amp;col=6&amp;number=3.9&amp;sourceID=14","3.9")</f>
        <v>3.9</v>
      </c>
      <c r="G16733" s="4" t="str">
        <f>HYPERLINK("http://141.218.60.56/~jnz1568/getInfo.php?workbook=10_05.xlsx&amp;sheet=U0&amp;row=16733&amp;col=7&amp;number=0.0319&amp;sourceID=14","0.0319")</f>
        <v>0.0319</v>
      </c>
    </row>
    <row r="16734" spans="1:7">
      <c r="A16734" s="3"/>
      <c r="B16734" s="3"/>
      <c r="C16734" s="3"/>
      <c r="D16734" s="3"/>
      <c r="E16734" s="3">
        <v>11</v>
      </c>
      <c r="F16734" s="4" t="str">
        <f>HYPERLINK("http://141.218.60.56/~jnz1568/getInfo.php?workbook=10_05.xlsx&amp;sheet=U0&amp;row=16734&amp;col=6&amp;number=4&amp;sourceID=14","4")</f>
        <v>4</v>
      </c>
      <c r="G16734" s="4" t="str">
        <f>HYPERLINK("http://141.218.60.56/~jnz1568/getInfo.php?workbook=10_05.xlsx&amp;sheet=U0&amp;row=16734&amp;col=7&amp;number=0.0303&amp;sourceID=14","0.0303")</f>
        <v>0.0303</v>
      </c>
    </row>
    <row r="16735" spans="1:7">
      <c r="A16735" s="3"/>
      <c r="B16735" s="3"/>
      <c r="C16735" s="3"/>
      <c r="D16735" s="3"/>
      <c r="E16735" s="3">
        <v>12</v>
      </c>
      <c r="F16735" s="4" t="str">
        <f>HYPERLINK("http://141.218.60.56/~jnz1568/getInfo.php?workbook=10_05.xlsx&amp;sheet=U0&amp;row=16735&amp;col=6&amp;number=4.1&amp;sourceID=14","4.1")</f>
        <v>4.1</v>
      </c>
      <c r="G16735" s="4" t="str">
        <f>HYPERLINK("http://141.218.60.56/~jnz1568/getInfo.php?workbook=10_05.xlsx&amp;sheet=U0&amp;row=16735&amp;col=7&amp;number=0.0287&amp;sourceID=14","0.0287")</f>
        <v>0.0287</v>
      </c>
    </row>
    <row r="16736" spans="1:7">
      <c r="A16736" s="3"/>
      <c r="B16736" s="3"/>
      <c r="C16736" s="3"/>
      <c r="D16736" s="3"/>
      <c r="E16736" s="3">
        <v>13</v>
      </c>
      <c r="F16736" s="4" t="str">
        <f>HYPERLINK("http://141.218.60.56/~jnz1568/getInfo.php?workbook=10_05.xlsx&amp;sheet=U0&amp;row=16736&amp;col=6&amp;number=4.2&amp;sourceID=14","4.2")</f>
        <v>4.2</v>
      </c>
      <c r="G16736" s="4" t="str">
        <f>HYPERLINK("http://141.218.60.56/~jnz1568/getInfo.php?workbook=10_05.xlsx&amp;sheet=U0&amp;row=16736&amp;col=7&amp;number=0.0269&amp;sourceID=14","0.0269")</f>
        <v>0.0269</v>
      </c>
    </row>
    <row r="16737" spans="1:7">
      <c r="A16737" s="3"/>
      <c r="B16737" s="3"/>
      <c r="C16737" s="3"/>
      <c r="D16737" s="3"/>
      <c r="E16737" s="3">
        <v>14</v>
      </c>
      <c r="F16737" s="4" t="str">
        <f>HYPERLINK("http://141.218.60.56/~jnz1568/getInfo.php?workbook=10_05.xlsx&amp;sheet=U0&amp;row=16737&amp;col=6&amp;number=4.3&amp;sourceID=14","4.3")</f>
        <v>4.3</v>
      </c>
      <c r="G16737" s="4" t="str">
        <f>HYPERLINK("http://141.218.60.56/~jnz1568/getInfo.php?workbook=10_05.xlsx&amp;sheet=U0&amp;row=16737&amp;col=7&amp;number=0.0253&amp;sourceID=14","0.0253")</f>
        <v>0.0253</v>
      </c>
    </row>
    <row r="16738" spans="1:7">
      <c r="A16738" s="3"/>
      <c r="B16738" s="3"/>
      <c r="C16738" s="3"/>
      <c r="D16738" s="3"/>
      <c r="E16738" s="3">
        <v>15</v>
      </c>
      <c r="F16738" s="4" t="str">
        <f>HYPERLINK("http://141.218.60.56/~jnz1568/getInfo.php?workbook=10_05.xlsx&amp;sheet=U0&amp;row=16738&amp;col=6&amp;number=4.4&amp;sourceID=14","4.4")</f>
        <v>4.4</v>
      </c>
      <c r="G16738" s="4" t="str">
        <f>HYPERLINK("http://141.218.60.56/~jnz1568/getInfo.php?workbook=10_05.xlsx&amp;sheet=U0&amp;row=16738&amp;col=7&amp;number=0.024&amp;sourceID=14","0.024")</f>
        <v>0.024</v>
      </c>
    </row>
    <row r="16739" spans="1:7">
      <c r="A16739" s="3"/>
      <c r="B16739" s="3"/>
      <c r="C16739" s="3"/>
      <c r="D16739" s="3"/>
      <c r="E16739" s="3">
        <v>16</v>
      </c>
      <c r="F16739" s="4" t="str">
        <f>HYPERLINK("http://141.218.60.56/~jnz1568/getInfo.php?workbook=10_05.xlsx&amp;sheet=U0&amp;row=16739&amp;col=6&amp;number=4.5&amp;sourceID=14","4.5")</f>
        <v>4.5</v>
      </c>
      <c r="G16739" s="4" t="str">
        <f>HYPERLINK("http://141.218.60.56/~jnz1568/getInfo.php?workbook=10_05.xlsx&amp;sheet=U0&amp;row=16739&amp;col=7&amp;number=0.0231&amp;sourceID=14","0.0231")</f>
        <v>0.0231</v>
      </c>
    </row>
    <row r="16740" spans="1:7">
      <c r="A16740" s="3"/>
      <c r="B16740" s="3"/>
      <c r="C16740" s="3"/>
      <c r="D16740" s="3"/>
      <c r="E16740" s="3">
        <v>17</v>
      </c>
      <c r="F16740" s="4" t="str">
        <f>HYPERLINK("http://141.218.60.56/~jnz1568/getInfo.php?workbook=10_05.xlsx&amp;sheet=U0&amp;row=16740&amp;col=6&amp;number=4.6&amp;sourceID=14","4.6")</f>
        <v>4.6</v>
      </c>
      <c r="G16740" s="4" t="str">
        <f>HYPERLINK("http://141.218.60.56/~jnz1568/getInfo.php?workbook=10_05.xlsx&amp;sheet=U0&amp;row=16740&amp;col=7&amp;number=0.0223&amp;sourceID=14","0.0223")</f>
        <v>0.0223</v>
      </c>
    </row>
    <row r="16741" spans="1:7">
      <c r="A16741" s="3"/>
      <c r="B16741" s="3"/>
      <c r="C16741" s="3"/>
      <c r="D16741" s="3"/>
      <c r="E16741" s="3">
        <v>18</v>
      </c>
      <c r="F16741" s="4" t="str">
        <f>HYPERLINK("http://141.218.60.56/~jnz1568/getInfo.php?workbook=10_05.xlsx&amp;sheet=U0&amp;row=16741&amp;col=6&amp;number=4.7&amp;sourceID=14","4.7")</f>
        <v>4.7</v>
      </c>
      <c r="G16741" s="4" t="str">
        <f>HYPERLINK("http://141.218.60.56/~jnz1568/getInfo.php?workbook=10_05.xlsx&amp;sheet=U0&amp;row=16741&amp;col=7&amp;number=0.0214&amp;sourceID=14","0.0214")</f>
        <v>0.0214</v>
      </c>
    </row>
    <row r="16742" spans="1:7">
      <c r="A16742" s="3"/>
      <c r="B16742" s="3"/>
      <c r="C16742" s="3"/>
      <c r="D16742" s="3"/>
      <c r="E16742" s="3">
        <v>19</v>
      </c>
      <c r="F16742" s="4" t="str">
        <f>HYPERLINK("http://141.218.60.56/~jnz1568/getInfo.php?workbook=10_05.xlsx&amp;sheet=U0&amp;row=16742&amp;col=6&amp;number=4.8&amp;sourceID=14","4.8")</f>
        <v>4.8</v>
      </c>
      <c r="G16742" s="4" t="str">
        <f>HYPERLINK("http://141.218.60.56/~jnz1568/getInfo.php?workbook=10_05.xlsx&amp;sheet=U0&amp;row=16742&amp;col=7&amp;number=0.0205&amp;sourceID=14","0.0205")</f>
        <v>0.0205</v>
      </c>
    </row>
    <row r="16743" spans="1:7">
      <c r="A16743" s="3"/>
      <c r="B16743" s="3"/>
      <c r="C16743" s="3"/>
      <c r="D16743" s="3"/>
      <c r="E16743" s="3">
        <v>20</v>
      </c>
      <c r="F16743" s="4" t="str">
        <f>HYPERLINK("http://141.218.60.56/~jnz1568/getInfo.php?workbook=10_05.xlsx&amp;sheet=U0&amp;row=16743&amp;col=6&amp;number=4.9&amp;sourceID=14","4.9")</f>
        <v>4.9</v>
      </c>
      <c r="G16743" s="4" t="str">
        <f>HYPERLINK("http://141.218.60.56/~jnz1568/getInfo.php?workbook=10_05.xlsx&amp;sheet=U0&amp;row=16743&amp;col=7&amp;number=0.0197&amp;sourceID=14","0.0197")</f>
        <v>0.0197</v>
      </c>
    </row>
    <row r="16744" spans="1:7">
      <c r="A16744" s="3">
        <v>10</v>
      </c>
      <c r="B16744" s="3">
        <v>5</v>
      </c>
      <c r="C16744" s="3">
        <v>5</v>
      </c>
      <c r="D16744" s="3">
        <v>133</v>
      </c>
      <c r="E16744" s="3">
        <v>1</v>
      </c>
      <c r="F16744" s="4" t="str">
        <f>HYPERLINK("http://141.218.60.56/~jnz1568/getInfo.php?workbook=10_05.xlsx&amp;sheet=U0&amp;row=16744&amp;col=6&amp;number=3&amp;sourceID=14","3")</f>
        <v>3</v>
      </c>
      <c r="G16744" s="4" t="str">
        <f>HYPERLINK("http://141.218.60.56/~jnz1568/getInfo.php?workbook=10_05.xlsx&amp;sheet=U0&amp;row=16744&amp;col=7&amp;number=0.176&amp;sourceID=14","0.176")</f>
        <v>0.176</v>
      </c>
    </row>
    <row r="16745" spans="1:7">
      <c r="A16745" s="3"/>
      <c r="B16745" s="3"/>
      <c r="C16745" s="3"/>
      <c r="D16745" s="3"/>
      <c r="E16745" s="3">
        <v>2</v>
      </c>
      <c r="F16745" s="4" t="str">
        <f>HYPERLINK("http://141.218.60.56/~jnz1568/getInfo.php?workbook=10_05.xlsx&amp;sheet=U0&amp;row=16745&amp;col=6&amp;number=3.1&amp;sourceID=14","3.1")</f>
        <v>3.1</v>
      </c>
      <c r="G16745" s="4" t="str">
        <f>HYPERLINK("http://141.218.60.56/~jnz1568/getInfo.php?workbook=10_05.xlsx&amp;sheet=U0&amp;row=16745&amp;col=7&amp;number=0.175&amp;sourceID=14","0.175")</f>
        <v>0.175</v>
      </c>
    </row>
    <row r="16746" spans="1:7">
      <c r="A16746" s="3"/>
      <c r="B16746" s="3"/>
      <c r="C16746" s="3"/>
      <c r="D16746" s="3"/>
      <c r="E16746" s="3">
        <v>3</v>
      </c>
      <c r="F16746" s="4" t="str">
        <f>HYPERLINK("http://141.218.60.56/~jnz1568/getInfo.php?workbook=10_05.xlsx&amp;sheet=U0&amp;row=16746&amp;col=6&amp;number=3.2&amp;sourceID=14","3.2")</f>
        <v>3.2</v>
      </c>
      <c r="G16746" s="4" t="str">
        <f>HYPERLINK("http://141.218.60.56/~jnz1568/getInfo.php?workbook=10_05.xlsx&amp;sheet=U0&amp;row=16746&amp;col=7&amp;number=0.174&amp;sourceID=14","0.174")</f>
        <v>0.174</v>
      </c>
    </row>
    <row r="16747" spans="1:7">
      <c r="A16747" s="3"/>
      <c r="B16747" s="3"/>
      <c r="C16747" s="3"/>
      <c r="D16747" s="3"/>
      <c r="E16747" s="3">
        <v>4</v>
      </c>
      <c r="F16747" s="4" t="str">
        <f>HYPERLINK("http://141.218.60.56/~jnz1568/getInfo.php?workbook=10_05.xlsx&amp;sheet=U0&amp;row=16747&amp;col=6&amp;number=3.3&amp;sourceID=14","3.3")</f>
        <v>3.3</v>
      </c>
      <c r="G16747" s="4" t="str">
        <f>HYPERLINK("http://141.218.60.56/~jnz1568/getInfo.php?workbook=10_05.xlsx&amp;sheet=U0&amp;row=16747&amp;col=7&amp;number=0.173&amp;sourceID=14","0.173")</f>
        <v>0.173</v>
      </c>
    </row>
    <row r="16748" spans="1:7">
      <c r="A16748" s="3"/>
      <c r="B16748" s="3"/>
      <c r="C16748" s="3"/>
      <c r="D16748" s="3"/>
      <c r="E16748" s="3">
        <v>5</v>
      </c>
      <c r="F16748" s="4" t="str">
        <f>HYPERLINK("http://141.218.60.56/~jnz1568/getInfo.php?workbook=10_05.xlsx&amp;sheet=U0&amp;row=16748&amp;col=6&amp;number=3.4&amp;sourceID=14","3.4")</f>
        <v>3.4</v>
      </c>
      <c r="G16748" s="4" t="str">
        <f>HYPERLINK("http://141.218.60.56/~jnz1568/getInfo.php?workbook=10_05.xlsx&amp;sheet=U0&amp;row=16748&amp;col=7&amp;number=0.172&amp;sourceID=14","0.172")</f>
        <v>0.172</v>
      </c>
    </row>
    <row r="16749" spans="1:7">
      <c r="A16749" s="3"/>
      <c r="B16749" s="3"/>
      <c r="C16749" s="3"/>
      <c r="D16749" s="3"/>
      <c r="E16749" s="3">
        <v>6</v>
      </c>
      <c r="F16749" s="4" t="str">
        <f>HYPERLINK("http://141.218.60.56/~jnz1568/getInfo.php?workbook=10_05.xlsx&amp;sheet=U0&amp;row=16749&amp;col=6&amp;number=3.5&amp;sourceID=14","3.5")</f>
        <v>3.5</v>
      </c>
      <c r="G16749" s="4" t="str">
        <f>HYPERLINK("http://141.218.60.56/~jnz1568/getInfo.php?workbook=10_05.xlsx&amp;sheet=U0&amp;row=16749&amp;col=7&amp;number=0.171&amp;sourceID=14","0.171")</f>
        <v>0.171</v>
      </c>
    </row>
    <row r="16750" spans="1:7">
      <c r="A16750" s="3"/>
      <c r="B16750" s="3"/>
      <c r="C16750" s="3"/>
      <c r="D16750" s="3"/>
      <c r="E16750" s="3">
        <v>7</v>
      </c>
      <c r="F16750" s="4" t="str">
        <f>HYPERLINK("http://141.218.60.56/~jnz1568/getInfo.php?workbook=10_05.xlsx&amp;sheet=U0&amp;row=16750&amp;col=6&amp;number=3.6&amp;sourceID=14","3.6")</f>
        <v>3.6</v>
      </c>
      <c r="G16750" s="4" t="str">
        <f>HYPERLINK("http://141.218.60.56/~jnz1568/getInfo.php?workbook=10_05.xlsx&amp;sheet=U0&amp;row=16750&amp;col=7&amp;number=0.169&amp;sourceID=14","0.169")</f>
        <v>0.169</v>
      </c>
    </row>
    <row r="16751" spans="1:7">
      <c r="A16751" s="3"/>
      <c r="B16751" s="3"/>
      <c r="C16751" s="3"/>
      <c r="D16751" s="3"/>
      <c r="E16751" s="3">
        <v>8</v>
      </c>
      <c r="F16751" s="4" t="str">
        <f>HYPERLINK("http://141.218.60.56/~jnz1568/getInfo.php?workbook=10_05.xlsx&amp;sheet=U0&amp;row=16751&amp;col=6&amp;number=3.7&amp;sourceID=14","3.7")</f>
        <v>3.7</v>
      </c>
      <c r="G16751" s="4" t="str">
        <f>HYPERLINK("http://141.218.60.56/~jnz1568/getInfo.php?workbook=10_05.xlsx&amp;sheet=U0&amp;row=16751&amp;col=7&amp;number=0.167&amp;sourceID=14","0.167")</f>
        <v>0.167</v>
      </c>
    </row>
    <row r="16752" spans="1:7">
      <c r="A16752" s="3"/>
      <c r="B16752" s="3"/>
      <c r="C16752" s="3"/>
      <c r="D16752" s="3"/>
      <c r="E16752" s="3">
        <v>9</v>
      </c>
      <c r="F16752" s="4" t="str">
        <f>HYPERLINK("http://141.218.60.56/~jnz1568/getInfo.php?workbook=10_05.xlsx&amp;sheet=U0&amp;row=16752&amp;col=6&amp;number=3.8&amp;sourceID=14","3.8")</f>
        <v>3.8</v>
      </c>
      <c r="G16752" s="4" t="str">
        <f>HYPERLINK("http://141.218.60.56/~jnz1568/getInfo.php?workbook=10_05.xlsx&amp;sheet=U0&amp;row=16752&amp;col=7&amp;number=0.164&amp;sourceID=14","0.164")</f>
        <v>0.164</v>
      </c>
    </row>
    <row r="16753" spans="1:7">
      <c r="A16753" s="3"/>
      <c r="B16753" s="3"/>
      <c r="C16753" s="3"/>
      <c r="D16753" s="3"/>
      <c r="E16753" s="3">
        <v>10</v>
      </c>
      <c r="F16753" s="4" t="str">
        <f>HYPERLINK("http://141.218.60.56/~jnz1568/getInfo.php?workbook=10_05.xlsx&amp;sheet=U0&amp;row=16753&amp;col=6&amp;number=3.9&amp;sourceID=14","3.9")</f>
        <v>3.9</v>
      </c>
      <c r="G16753" s="4" t="str">
        <f>HYPERLINK("http://141.218.60.56/~jnz1568/getInfo.php?workbook=10_05.xlsx&amp;sheet=U0&amp;row=16753&amp;col=7&amp;number=0.161&amp;sourceID=14","0.161")</f>
        <v>0.161</v>
      </c>
    </row>
    <row r="16754" spans="1:7">
      <c r="A16754" s="3"/>
      <c r="B16754" s="3"/>
      <c r="C16754" s="3"/>
      <c r="D16754" s="3"/>
      <c r="E16754" s="3">
        <v>11</v>
      </c>
      <c r="F16754" s="4" t="str">
        <f>HYPERLINK("http://141.218.60.56/~jnz1568/getInfo.php?workbook=10_05.xlsx&amp;sheet=U0&amp;row=16754&amp;col=6&amp;number=4&amp;sourceID=14","4")</f>
        <v>4</v>
      </c>
      <c r="G16754" s="4" t="str">
        <f>HYPERLINK("http://141.218.60.56/~jnz1568/getInfo.php?workbook=10_05.xlsx&amp;sheet=U0&amp;row=16754&amp;col=7&amp;number=0.157&amp;sourceID=14","0.157")</f>
        <v>0.157</v>
      </c>
    </row>
    <row r="16755" spans="1:7">
      <c r="A16755" s="3"/>
      <c r="B16755" s="3"/>
      <c r="C16755" s="3"/>
      <c r="D16755" s="3"/>
      <c r="E16755" s="3">
        <v>12</v>
      </c>
      <c r="F16755" s="4" t="str">
        <f>HYPERLINK("http://141.218.60.56/~jnz1568/getInfo.php?workbook=10_05.xlsx&amp;sheet=U0&amp;row=16755&amp;col=6&amp;number=4.1&amp;sourceID=14","4.1")</f>
        <v>4.1</v>
      </c>
      <c r="G16755" s="4" t="str">
        <f>HYPERLINK("http://141.218.60.56/~jnz1568/getInfo.php?workbook=10_05.xlsx&amp;sheet=U0&amp;row=16755&amp;col=7&amp;number=0.153&amp;sourceID=14","0.153")</f>
        <v>0.153</v>
      </c>
    </row>
    <row r="16756" spans="1:7">
      <c r="A16756" s="3"/>
      <c r="B16756" s="3"/>
      <c r="C16756" s="3"/>
      <c r="D16756" s="3"/>
      <c r="E16756" s="3">
        <v>13</v>
      </c>
      <c r="F16756" s="4" t="str">
        <f>HYPERLINK("http://141.218.60.56/~jnz1568/getInfo.php?workbook=10_05.xlsx&amp;sheet=U0&amp;row=16756&amp;col=6&amp;number=4.2&amp;sourceID=14","4.2")</f>
        <v>4.2</v>
      </c>
      <c r="G16756" s="4" t="str">
        <f>HYPERLINK("http://141.218.60.56/~jnz1568/getInfo.php?workbook=10_05.xlsx&amp;sheet=U0&amp;row=16756&amp;col=7&amp;number=0.148&amp;sourceID=14","0.148")</f>
        <v>0.148</v>
      </c>
    </row>
    <row r="16757" spans="1:7">
      <c r="A16757" s="3"/>
      <c r="B16757" s="3"/>
      <c r="C16757" s="3"/>
      <c r="D16757" s="3"/>
      <c r="E16757" s="3">
        <v>14</v>
      </c>
      <c r="F16757" s="4" t="str">
        <f>HYPERLINK("http://141.218.60.56/~jnz1568/getInfo.php?workbook=10_05.xlsx&amp;sheet=U0&amp;row=16757&amp;col=6&amp;number=4.3&amp;sourceID=14","4.3")</f>
        <v>4.3</v>
      </c>
      <c r="G16757" s="4" t="str">
        <f>HYPERLINK("http://141.218.60.56/~jnz1568/getInfo.php?workbook=10_05.xlsx&amp;sheet=U0&amp;row=16757&amp;col=7&amp;number=0.143&amp;sourceID=14","0.143")</f>
        <v>0.143</v>
      </c>
    </row>
    <row r="16758" spans="1:7">
      <c r="A16758" s="3"/>
      <c r="B16758" s="3"/>
      <c r="C16758" s="3"/>
      <c r="D16758" s="3"/>
      <c r="E16758" s="3">
        <v>15</v>
      </c>
      <c r="F16758" s="4" t="str">
        <f>HYPERLINK("http://141.218.60.56/~jnz1568/getInfo.php?workbook=10_05.xlsx&amp;sheet=U0&amp;row=16758&amp;col=6&amp;number=4.4&amp;sourceID=14","4.4")</f>
        <v>4.4</v>
      </c>
      <c r="G16758" s="4" t="str">
        <f>HYPERLINK("http://141.218.60.56/~jnz1568/getInfo.php?workbook=10_05.xlsx&amp;sheet=U0&amp;row=16758&amp;col=7&amp;number=0.139&amp;sourceID=14","0.139")</f>
        <v>0.139</v>
      </c>
    </row>
    <row r="16759" spans="1:7">
      <c r="A16759" s="3"/>
      <c r="B16759" s="3"/>
      <c r="C16759" s="3"/>
      <c r="D16759" s="3"/>
      <c r="E16759" s="3">
        <v>16</v>
      </c>
      <c r="F16759" s="4" t="str">
        <f>HYPERLINK("http://141.218.60.56/~jnz1568/getInfo.php?workbook=10_05.xlsx&amp;sheet=U0&amp;row=16759&amp;col=6&amp;number=4.5&amp;sourceID=14","4.5")</f>
        <v>4.5</v>
      </c>
      <c r="G16759" s="4" t="str">
        <f>HYPERLINK("http://141.218.60.56/~jnz1568/getInfo.php?workbook=10_05.xlsx&amp;sheet=U0&amp;row=16759&amp;col=7&amp;number=0.135&amp;sourceID=14","0.135")</f>
        <v>0.135</v>
      </c>
    </row>
    <row r="16760" spans="1:7">
      <c r="A16760" s="3"/>
      <c r="B16760" s="3"/>
      <c r="C16760" s="3"/>
      <c r="D16760" s="3"/>
      <c r="E16760" s="3">
        <v>17</v>
      </c>
      <c r="F16760" s="4" t="str">
        <f>HYPERLINK("http://141.218.60.56/~jnz1568/getInfo.php?workbook=10_05.xlsx&amp;sheet=U0&amp;row=16760&amp;col=6&amp;number=4.6&amp;sourceID=14","4.6")</f>
        <v>4.6</v>
      </c>
      <c r="G16760" s="4" t="str">
        <f>HYPERLINK("http://141.218.60.56/~jnz1568/getInfo.php?workbook=10_05.xlsx&amp;sheet=U0&amp;row=16760&amp;col=7&amp;number=0.132&amp;sourceID=14","0.132")</f>
        <v>0.132</v>
      </c>
    </row>
    <row r="16761" spans="1:7">
      <c r="A16761" s="3"/>
      <c r="B16761" s="3"/>
      <c r="C16761" s="3"/>
      <c r="D16761" s="3"/>
      <c r="E16761" s="3">
        <v>18</v>
      </c>
      <c r="F16761" s="4" t="str">
        <f>HYPERLINK("http://141.218.60.56/~jnz1568/getInfo.php?workbook=10_05.xlsx&amp;sheet=U0&amp;row=16761&amp;col=6&amp;number=4.7&amp;sourceID=14","4.7")</f>
        <v>4.7</v>
      </c>
      <c r="G16761" s="4" t="str">
        <f>HYPERLINK("http://141.218.60.56/~jnz1568/getInfo.php?workbook=10_05.xlsx&amp;sheet=U0&amp;row=16761&amp;col=7&amp;number=0.129&amp;sourceID=14","0.129")</f>
        <v>0.129</v>
      </c>
    </row>
    <row r="16762" spans="1:7">
      <c r="A16762" s="3"/>
      <c r="B16762" s="3"/>
      <c r="C16762" s="3"/>
      <c r="D16762" s="3"/>
      <c r="E16762" s="3">
        <v>19</v>
      </c>
      <c r="F16762" s="4" t="str">
        <f>HYPERLINK("http://141.218.60.56/~jnz1568/getInfo.php?workbook=10_05.xlsx&amp;sheet=U0&amp;row=16762&amp;col=6&amp;number=4.8&amp;sourceID=14","4.8")</f>
        <v>4.8</v>
      </c>
      <c r="G16762" s="4" t="str">
        <f>HYPERLINK("http://141.218.60.56/~jnz1568/getInfo.php?workbook=10_05.xlsx&amp;sheet=U0&amp;row=16762&amp;col=7&amp;number=0.127&amp;sourceID=14","0.127")</f>
        <v>0.127</v>
      </c>
    </row>
    <row r="16763" spans="1:7">
      <c r="A16763" s="3"/>
      <c r="B16763" s="3"/>
      <c r="C16763" s="3"/>
      <c r="D16763" s="3"/>
      <c r="E16763" s="3">
        <v>20</v>
      </c>
      <c r="F16763" s="4" t="str">
        <f>HYPERLINK("http://141.218.60.56/~jnz1568/getInfo.php?workbook=10_05.xlsx&amp;sheet=U0&amp;row=16763&amp;col=6&amp;number=4.9&amp;sourceID=14","4.9")</f>
        <v>4.9</v>
      </c>
      <c r="G16763" s="4" t="str">
        <f>HYPERLINK("http://141.218.60.56/~jnz1568/getInfo.php?workbook=10_05.xlsx&amp;sheet=U0&amp;row=16763&amp;col=7&amp;number=0.125&amp;sourceID=14","0.125")</f>
        <v>0.125</v>
      </c>
    </row>
    <row r="16764" spans="1:7">
      <c r="A16764" s="3">
        <v>10</v>
      </c>
      <c r="B16764" s="3">
        <v>5</v>
      </c>
      <c r="C16764" s="3">
        <v>5</v>
      </c>
      <c r="D16764" s="3">
        <v>134</v>
      </c>
      <c r="E16764" s="3">
        <v>1</v>
      </c>
      <c r="F16764" s="4" t="str">
        <f>HYPERLINK("http://141.218.60.56/~jnz1568/getInfo.php?workbook=10_05.xlsx&amp;sheet=U0&amp;row=16764&amp;col=6&amp;number=3&amp;sourceID=14","3")</f>
        <v>3</v>
      </c>
      <c r="G16764" s="4" t="str">
        <f>HYPERLINK("http://141.218.60.56/~jnz1568/getInfo.php?workbook=10_05.xlsx&amp;sheet=U0&amp;row=16764&amp;col=7&amp;number=0.00742&amp;sourceID=14","0.00742")</f>
        <v>0.00742</v>
      </c>
    </row>
    <row r="16765" spans="1:7">
      <c r="A16765" s="3"/>
      <c r="B16765" s="3"/>
      <c r="C16765" s="3"/>
      <c r="D16765" s="3"/>
      <c r="E16765" s="3">
        <v>2</v>
      </c>
      <c r="F16765" s="4" t="str">
        <f>HYPERLINK("http://141.218.60.56/~jnz1568/getInfo.php?workbook=10_05.xlsx&amp;sheet=U0&amp;row=16765&amp;col=6&amp;number=3.1&amp;sourceID=14","3.1")</f>
        <v>3.1</v>
      </c>
      <c r="G16765" s="4" t="str">
        <f>HYPERLINK("http://141.218.60.56/~jnz1568/getInfo.php?workbook=10_05.xlsx&amp;sheet=U0&amp;row=16765&amp;col=7&amp;number=0.00738&amp;sourceID=14","0.00738")</f>
        <v>0.00738</v>
      </c>
    </row>
    <row r="16766" spans="1:7">
      <c r="A16766" s="3"/>
      <c r="B16766" s="3"/>
      <c r="C16766" s="3"/>
      <c r="D16766" s="3"/>
      <c r="E16766" s="3">
        <v>3</v>
      </c>
      <c r="F16766" s="4" t="str">
        <f>HYPERLINK("http://141.218.60.56/~jnz1568/getInfo.php?workbook=10_05.xlsx&amp;sheet=U0&amp;row=16766&amp;col=6&amp;number=3.2&amp;sourceID=14","3.2")</f>
        <v>3.2</v>
      </c>
      <c r="G16766" s="4" t="str">
        <f>HYPERLINK("http://141.218.60.56/~jnz1568/getInfo.php?workbook=10_05.xlsx&amp;sheet=U0&amp;row=16766&amp;col=7&amp;number=0.00733&amp;sourceID=14","0.00733")</f>
        <v>0.00733</v>
      </c>
    </row>
    <row r="16767" spans="1:7">
      <c r="A16767" s="3"/>
      <c r="B16767" s="3"/>
      <c r="C16767" s="3"/>
      <c r="D16767" s="3"/>
      <c r="E16767" s="3">
        <v>4</v>
      </c>
      <c r="F16767" s="4" t="str">
        <f>HYPERLINK("http://141.218.60.56/~jnz1568/getInfo.php?workbook=10_05.xlsx&amp;sheet=U0&amp;row=16767&amp;col=6&amp;number=3.3&amp;sourceID=14","3.3")</f>
        <v>3.3</v>
      </c>
      <c r="G16767" s="4" t="str">
        <f>HYPERLINK("http://141.218.60.56/~jnz1568/getInfo.php?workbook=10_05.xlsx&amp;sheet=U0&amp;row=16767&amp;col=7&amp;number=0.00726&amp;sourceID=14","0.00726")</f>
        <v>0.00726</v>
      </c>
    </row>
    <row r="16768" spans="1:7">
      <c r="A16768" s="3"/>
      <c r="B16768" s="3"/>
      <c r="C16768" s="3"/>
      <c r="D16768" s="3"/>
      <c r="E16768" s="3">
        <v>5</v>
      </c>
      <c r="F16768" s="4" t="str">
        <f>HYPERLINK("http://141.218.60.56/~jnz1568/getInfo.php?workbook=10_05.xlsx&amp;sheet=U0&amp;row=16768&amp;col=6&amp;number=3.4&amp;sourceID=14","3.4")</f>
        <v>3.4</v>
      </c>
      <c r="G16768" s="4" t="str">
        <f>HYPERLINK("http://141.218.60.56/~jnz1568/getInfo.php?workbook=10_05.xlsx&amp;sheet=U0&amp;row=16768&amp;col=7&amp;number=0.00717&amp;sourceID=14","0.00717")</f>
        <v>0.00717</v>
      </c>
    </row>
    <row r="16769" spans="1:7">
      <c r="A16769" s="3"/>
      <c r="B16769" s="3"/>
      <c r="C16769" s="3"/>
      <c r="D16769" s="3"/>
      <c r="E16769" s="3">
        <v>6</v>
      </c>
      <c r="F16769" s="4" t="str">
        <f>HYPERLINK("http://141.218.60.56/~jnz1568/getInfo.php?workbook=10_05.xlsx&amp;sheet=U0&amp;row=16769&amp;col=6&amp;number=3.5&amp;sourceID=14","3.5")</f>
        <v>3.5</v>
      </c>
      <c r="G16769" s="4" t="str">
        <f>HYPERLINK("http://141.218.60.56/~jnz1568/getInfo.php?workbook=10_05.xlsx&amp;sheet=U0&amp;row=16769&amp;col=7&amp;number=0.00707&amp;sourceID=14","0.00707")</f>
        <v>0.00707</v>
      </c>
    </row>
    <row r="16770" spans="1:7">
      <c r="A16770" s="3"/>
      <c r="B16770" s="3"/>
      <c r="C16770" s="3"/>
      <c r="D16770" s="3"/>
      <c r="E16770" s="3">
        <v>7</v>
      </c>
      <c r="F16770" s="4" t="str">
        <f>HYPERLINK("http://141.218.60.56/~jnz1568/getInfo.php?workbook=10_05.xlsx&amp;sheet=U0&amp;row=16770&amp;col=6&amp;number=3.6&amp;sourceID=14","3.6")</f>
        <v>3.6</v>
      </c>
      <c r="G16770" s="4" t="str">
        <f>HYPERLINK("http://141.218.60.56/~jnz1568/getInfo.php?workbook=10_05.xlsx&amp;sheet=U0&amp;row=16770&amp;col=7&amp;number=0.00694&amp;sourceID=14","0.00694")</f>
        <v>0.00694</v>
      </c>
    </row>
    <row r="16771" spans="1:7">
      <c r="A16771" s="3"/>
      <c r="B16771" s="3"/>
      <c r="C16771" s="3"/>
      <c r="D16771" s="3"/>
      <c r="E16771" s="3">
        <v>8</v>
      </c>
      <c r="F16771" s="4" t="str">
        <f>HYPERLINK("http://141.218.60.56/~jnz1568/getInfo.php?workbook=10_05.xlsx&amp;sheet=U0&amp;row=16771&amp;col=6&amp;number=3.7&amp;sourceID=14","3.7")</f>
        <v>3.7</v>
      </c>
      <c r="G16771" s="4" t="str">
        <f>HYPERLINK("http://141.218.60.56/~jnz1568/getInfo.php?workbook=10_05.xlsx&amp;sheet=U0&amp;row=16771&amp;col=7&amp;number=0.00679&amp;sourceID=14","0.00679")</f>
        <v>0.00679</v>
      </c>
    </row>
    <row r="16772" spans="1:7">
      <c r="A16772" s="3"/>
      <c r="B16772" s="3"/>
      <c r="C16772" s="3"/>
      <c r="D16772" s="3"/>
      <c r="E16772" s="3">
        <v>9</v>
      </c>
      <c r="F16772" s="4" t="str">
        <f>HYPERLINK("http://141.218.60.56/~jnz1568/getInfo.php?workbook=10_05.xlsx&amp;sheet=U0&amp;row=16772&amp;col=6&amp;number=3.8&amp;sourceID=14","3.8")</f>
        <v>3.8</v>
      </c>
      <c r="G16772" s="4" t="str">
        <f>HYPERLINK("http://141.218.60.56/~jnz1568/getInfo.php?workbook=10_05.xlsx&amp;sheet=U0&amp;row=16772&amp;col=7&amp;number=0.0066&amp;sourceID=14","0.0066")</f>
        <v>0.0066</v>
      </c>
    </row>
    <row r="16773" spans="1:7">
      <c r="A16773" s="3"/>
      <c r="B16773" s="3"/>
      <c r="C16773" s="3"/>
      <c r="D16773" s="3"/>
      <c r="E16773" s="3">
        <v>10</v>
      </c>
      <c r="F16773" s="4" t="str">
        <f>HYPERLINK("http://141.218.60.56/~jnz1568/getInfo.php?workbook=10_05.xlsx&amp;sheet=U0&amp;row=16773&amp;col=6&amp;number=3.9&amp;sourceID=14","3.9")</f>
        <v>3.9</v>
      </c>
      <c r="G16773" s="4" t="str">
        <f>HYPERLINK("http://141.218.60.56/~jnz1568/getInfo.php?workbook=10_05.xlsx&amp;sheet=U0&amp;row=16773&amp;col=7&amp;number=0.00637&amp;sourceID=14","0.00637")</f>
        <v>0.00637</v>
      </c>
    </row>
    <row r="16774" spans="1:7">
      <c r="A16774" s="3"/>
      <c r="B16774" s="3"/>
      <c r="C16774" s="3"/>
      <c r="D16774" s="3"/>
      <c r="E16774" s="3">
        <v>11</v>
      </c>
      <c r="F16774" s="4" t="str">
        <f>HYPERLINK("http://141.218.60.56/~jnz1568/getInfo.php?workbook=10_05.xlsx&amp;sheet=U0&amp;row=16774&amp;col=6&amp;number=4&amp;sourceID=14","4")</f>
        <v>4</v>
      </c>
      <c r="G16774" s="4" t="str">
        <f>HYPERLINK("http://141.218.60.56/~jnz1568/getInfo.php?workbook=10_05.xlsx&amp;sheet=U0&amp;row=16774&amp;col=7&amp;number=0.00611&amp;sourceID=14","0.00611")</f>
        <v>0.00611</v>
      </c>
    </row>
    <row r="16775" spans="1:7">
      <c r="A16775" s="3"/>
      <c r="B16775" s="3"/>
      <c r="C16775" s="3"/>
      <c r="D16775" s="3"/>
      <c r="E16775" s="3">
        <v>12</v>
      </c>
      <c r="F16775" s="4" t="str">
        <f>HYPERLINK("http://141.218.60.56/~jnz1568/getInfo.php?workbook=10_05.xlsx&amp;sheet=U0&amp;row=16775&amp;col=6&amp;number=4.1&amp;sourceID=14","4.1")</f>
        <v>4.1</v>
      </c>
      <c r="G16775" s="4" t="str">
        <f>HYPERLINK("http://141.218.60.56/~jnz1568/getInfo.php?workbook=10_05.xlsx&amp;sheet=U0&amp;row=16775&amp;col=7&amp;number=0.00582&amp;sourceID=14","0.00582")</f>
        <v>0.00582</v>
      </c>
    </row>
    <row r="16776" spans="1:7">
      <c r="A16776" s="3"/>
      <c r="B16776" s="3"/>
      <c r="C16776" s="3"/>
      <c r="D16776" s="3"/>
      <c r="E16776" s="3">
        <v>13</v>
      </c>
      <c r="F16776" s="4" t="str">
        <f>HYPERLINK("http://141.218.60.56/~jnz1568/getInfo.php?workbook=10_05.xlsx&amp;sheet=U0&amp;row=16776&amp;col=6&amp;number=4.2&amp;sourceID=14","4.2")</f>
        <v>4.2</v>
      </c>
      <c r="G16776" s="4" t="str">
        <f>HYPERLINK("http://141.218.60.56/~jnz1568/getInfo.php?workbook=10_05.xlsx&amp;sheet=U0&amp;row=16776&amp;col=7&amp;number=0.00551&amp;sourceID=14","0.00551")</f>
        <v>0.00551</v>
      </c>
    </row>
    <row r="16777" spans="1:7">
      <c r="A16777" s="3"/>
      <c r="B16777" s="3"/>
      <c r="C16777" s="3"/>
      <c r="D16777" s="3"/>
      <c r="E16777" s="3">
        <v>14</v>
      </c>
      <c r="F16777" s="4" t="str">
        <f>HYPERLINK("http://141.218.60.56/~jnz1568/getInfo.php?workbook=10_05.xlsx&amp;sheet=U0&amp;row=16777&amp;col=6&amp;number=4.3&amp;sourceID=14","4.3")</f>
        <v>4.3</v>
      </c>
      <c r="G16777" s="4" t="str">
        <f>HYPERLINK("http://141.218.60.56/~jnz1568/getInfo.php?workbook=10_05.xlsx&amp;sheet=U0&amp;row=16777&amp;col=7&amp;number=0.00523&amp;sourceID=14","0.00523")</f>
        <v>0.00523</v>
      </c>
    </row>
    <row r="16778" spans="1:7">
      <c r="A16778" s="3"/>
      <c r="B16778" s="3"/>
      <c r="C16778" s="3"/>
      <c r="D16778" s="3"/>
      <c r="E16778" s="3">
        <v>15</v>
      </c>
      <c r="F16778" s="4" t="str">
        <f>HYPERLINK("http://141.218.60.56/~jnz1568/getInfo.php?workbook=10_05.xlsx&amp;sheet=U0&amp;row=16778&amp;col=6&amp;number=4.4&amp;sourceID=14","4.4")</f>
        <v>4.4</v>
      </c>
      <c r="G16778" s="4" t="str">
        <f>HYPERLINK("http://141.218.60.56/~jnz1568/getInfo.php?workbook=10_05.xlsx&amp;sheet=U0&amp;row=16778&amp;col=7&amp;number=0.00501&amp;sourceID=14","0.00501")</f>
        <v>0.00501</v>
      </c>
    </row>
    <row r="16779" spans="1:7">
      <c r="A16779" s="3"/>
      <c r="B16779" s="3"/>
      <c r="C16779" s="3"/>
      <c r="D16779" s="3"/>
      <c r="E16779" s="3">
        <v>16</v>
      </c>
      <c r="F16779" s="4" t="str">
        <f>HYPERLINK("http://141.218.60.56/~jnz1568/getInfo.php?workbook=10_05.xlsx&amp;sheet=U0&amp;row=16779&amp;col=6&amp;number=4.5&amp;sourceID=14","4.5")</f>
        <v>4.5</v>
      </c>
      <c r="G16779" s="4" t="str">
        <f>HYPERLINK("http://141.218.60.56/~jnz1568/getInfo.php?workbook=10_05.xlsx&amp;sheet=U0&amp;row=16779&amp;col=7&amp;number=0.00484&amp;sourceID=14","0.00484")</f>
        <v>0.00484</v>
      </c>
    </row>
    <row r="16780" spans="1:7">
      <c r="A16780" s="3"/>
      <c r="B16780" s="3"/>
      <c r="C16780" s="3"/>
      <c r="D16780" s="3"/>
      <c r="E16780" s="3">
        <v>17</v>
      </c>
      <c r="F16780" s="4" t="str">
        <f>HYPERLINK("http://141.218.60.56/~jnz1568/getInfo.php?workbook=10_05.xlsx&amp;sheet=U0&amp;row=16780&amp;col=6&amp;number=4.6&amp;sourceID=14","4.6")</f>
        <v>4.6</v>
      </c>
      <c r="G16780" s="4" t="str">
        <f>HYPERLINK("http://141.218.60.56/~jnz1568/getInfo.php?workbook=10_05.xlsx&amp;sheet=U0&amp;row=16780&amp;col=7&amp;number=0.00473&amp;sourceID=14","0.00473")</f>
        <v>0.00473</v>
      </c>
    </row>
    <row r="16781" spans="1:7">
      <c r="A16781" s="3"/>
      <c r="B16781" s="3"/>
      <c r="C16781" s="3"/>
      <c r="D16781" s="3"/>
      <c r="E16781" s="3">
        <v>18</v>
      </c>
      <c r="F16781" s="4" t="str">
        <f>HYPERLINK("http://141.218.60.56/~jnz1568/getInfo.php?workbook=10_05.xlsx&amp;sheet=U0&amp;row=16781&amp;col=6&amp;number=4.7&amp;sourceID=14","4.7")</f>
        <v>4.7</v>
      </c>
      <c r="G16781" s="4" t="str">
        <f>HYPERLINK("http://141.218.60.56/~jnz1568/getInfo.php?workbook=10_05.xlsx&amp;sheet=U0&amp;row=16781&amp;col=7&amp;number=0.0046&amp;sourceID=14","0.0046")</f>
        <v>0.0046</v>
      </c>
    </row>
    <row r="16782" spans="1:7">
      <c r="A16782" s="3"/>
      <c r="B16782" s="3"/>
      <c r="C16782" s="3"/>
      <c r="D16782" s="3"/>
      <c r="E16782" s="3">
        <v>19</v>
      </c>
      <c r="F16782" s="4" t="str">
        <f>HYPERLINK("http://141.218.60.56/~jnz1568/getInfo.php?workbook=10_05.xlsx&amp;sheet=U0&amp;row=16782&amp;col=6&amp;number=4.8&amp;sourceID=14","4.8")</f>
        <v>4.8</v>
      </c>
      <c r="G16782" s="4" t="str">
        <f>HYPERLINK("http://141.218.60.56/~jnz1568/getInfo.php?workbook=10_05.xlsx&amp;sheet=U0&amp;row=16782&amp;col=7&amp;number=0.00444&amp;sourceID=14","0.00444")</f>
        <v>0.00444</v>
      </c>
    </row>
    <row r="16783" spans="1:7">
      <c r="A16783" s="3"/>
      <c r="B16783" s="3"/>
      <c r="C16783" s="3"/>
      <c r="D16783" s="3"/>
      <c r="E16783" s="3">
        <v>20</v>
      </c>
      <c r="F16783" s="4" t="str">
        <f>HYPERLINK("http://141.218.60.56/~jnz1568/getInfo.php?workbook=10_05.xlsx&amp;sheet=U0&amp;row=16783&amp;col=6&amp;number=4.9&amp;sourceID=14","4.9")</f>
        <v>4.9</v>
      </c>
      <c r="G16783" s="4" t="str">
        <f>HYPERLINK("http://141.218.60.56/~jnz1568/getInfo.php?workbook=10_05.xlsx&amp;sheet=U0&amp;row=16783&amp;col=7&amp;number=0.00429&amp;sourceID=14","0.00429")</f>
        <v>0.00429</v>
      </c>
    </row>
    <row r="16784" spans="1:7">
      <c r="A16784" s="3">
        <v>10</v>
      </c>
      <c r="B16784" s="3">
        <v>5</v>
      </c>
      <c r="C16784" s="3">
        <v>5</v>
      </c>
      <c r="D16784" s="3">
        <v>135</v>
      </c>
      <c r="E16784" s="3">
        <v>1</v>
      </c>
      <c r="F16784" s="4" t="str">
        <f>HYPERLINK("http://141.218.60.56/~jnz1568/getInfo.php?workbook=10_05.xlsx&amp;sheet=U0&amp;row=16784&amp;col=6&amp;number=3&amp;sourceID=14","3")</f>
        <v>3</v>
      </c>
      <c r="G16784" s="4" t="str">
        <f>HYPERLINK("http://141.218.60.56/~jnz1568/getInfo.php?workbook=10_05.xlsx&amp;sheet=U0&amp;row=16784&amp;col=7&amp;number=0.0172&amp;sourceID=14","0.0172")</f>
        <v>0.0172</v>
      </c>
    </row>
    <row r="16785" spans="1:7">
      <c r="A16785" s="3"/>
      <c r="B16785" s="3"/>
      <c r="C16785" s="3"/>
      <c r="D16785" s="3"/>
      <c r="E16785" s="3">
        <v>2</v>
      </c>
      <c r="F16785" s="4" t="str">
        <f>HYPERLINK("http://141.218.60.56/~jnz1568/getInfo.php?workbook=10_05.xlsx&amp;sheet=U0&amp;row=16785&amp;col=6&amp;number=3.1&amp;sourceID=14","3.1")</f>
        <v>3.1</v>
      </c>
      <c r="G16785" s="4" t="str">
        <f>HYPERLINK("http://141.218.60.56/~jnz1568/getInfo.php?workbook=10_05.xlsx&amp;sheet=U0&amp;row=16785&amp;col=7&amp;number=0.0171&amp;sourceID=14","0.0171")</f>
        <v>0.0171</v>
      </c>
    </row>
    <row r="16786" spans="1:7">
      <c r="A16786" s="3"/>
      <c r="B16786" s="3"/>
      <c r="C16786" s="3"/>
      <c r="D16786" s="3"/>
      <c r="E16786" s="3">
        <v>3</v>
      </c>
      <c r="F16786" s="4" t="str">
        <f>HYPERLINK("http://141.218.60.56/~jnz1568/getInfo.php?workbook=10_05.xlsx&amp;sheet=U0&amp;row=16786&amp;col=6&amp;number=3.2&amp;sourceID=14","3.2")</f>
        <v>3.2</v>
      </c>
      <c r="G16786" s="4" t="str">
        <f>HYPERLINK("http://141.218.60.56/~jnz1568/getInfo.php?workbook=10_05.xlsx&amp;sheet=U0&amp;row=16786&amp;col=7&amp;number=0.017&amp;sourceID=14","0.017")</f>
        <v>0.017</v>
      </c>
    </row>
    <row r="16787" spans="1:7">
      <c r="A16787" s="3"/>
      <c r="B16787" s="3"/>
      <c r="C16787" s="3"/>
      <c r="D16787" s="3"/>
      <c r="E16787" s="3">
        <v>4</v>
      </c>
      <c r="F16787" s="4" t="str">
        <f>HYPERLINK("http://141.218.60.56/~jnz1568/getInfo.php?workbook=10_05.xlsx&amp;sheet=U0&amp;row=16787&amp;col=6&amp;number=3.3&amp;sourceID=14","3.3")</f>
        <v>3.3</v>
      </c>
      <c r="G16787" s="4" t="str">
        <f>HYPERLINK("http://141.218.60.56/~jnz1568/getInfo.php?workbook=10_05.xlsx&amp;sheet=U0&amp;row=16787&amp;col=7&amp;number=0.0169&amp;sourceID=14","0.0169")</f>
        <v>0.0169</v>
      </c>
    </row>
    <row r="16788" spans="1:7">
      <c r="A16788" s="3"/>
      <c r="B16788" s="3"/>
      <c r="C16788" s="3"/>
      <c r="D16788" s="3"/>
      <c r="E16788" s="3">
        <v>5</v>
      </c>
      <c r="F16788" s="4" t="str">
        <f>HYPERLINK("http://141.218.60.56/~jnz1568/getInfo.php?workbook=10_05.xlsx&amp;sheet=U0&amp;row=16788&amp;col=6&amp;number=3.4&amp;sourceID=14","3.4")</f>
        <v>3.4</v>
      </c>
      <c r="G16788" s="4" t="str">
        <f>HYPERLINK("http://141.218.60.56/~jnz1568/getInfo.php?workbook=10_05.xlsx&amp;sheet=U0&amp;row=16788&amp;col=7&amp;number=0.0167&amp;sourceID=14","0.0167")</f>
        <v>0.0167</v>
      </c>
    </row>
    <row r="16789" spans="1:7">
      <c r="A16789" s="3"/>
      <c r="B16789" s="3"/>
      <c r="C16789" s="3"/>
      <c r="D16789" s="3"/>
      <c r="E16789" s="3">
        <v>6</v>
      </c>
      <c r="F16789" s="4" t="str">
        <f>HYPERLINK("http://141.218.60.56/~jnz1568/getInfo.php?workbook=10_05.xlsx&amp;sheet=U0&amp;row=16789&amp;col=6&amp;number=3.5&amp;sourceID=14","3.5")</f>
        <v>3.5</v>
      </c>
      <c r="G16789" s="4" t="str">
        <f>HYPERLINK("http://141.218.60.56/~jnz1568/getInfo.php?workbook=10_05.xlsx&amp;sheet=U0&amp;row=16789&amp;col=7&amp;number=0.0165&amp;sourceID=14","0.0165")</f>
        <v>0.0165</v>
      </c>
    </row>
    <row r="16790" spans="1:7">
      <c r="A16790" s="3"/>
      <c r="B16790" s="3"/>
      <c r="C16790" s="3"/>
      <c r="D16790" s="3"/>
      <c r="E16790" s="3">
        <v>7</v>
      </c>
      <c r="F16790" s="4" t="str">
        <f>HYPERLINK("http://141.218.60.56/~jnz1568/getInfo.php?workbook=10_05.xlsx&amp;sheet=U0&amp;row=16790&amp;col=6&amp;number=3.6&amp;sourceID=14","3.6")</f>
        <v>3.6</v>
      </c>
      <c r="G16790" s="4" t="str">
        <f>HYPERLINK("http://141.218.60.56/~jnz1568/getInfo.php?workbook=10_05.xlsx&amp;sheet=U0&amp;row=16790&amp;col=7&amp;number=0.0162&amp;sourceID=14","0.0162")</f>
        <v>0.0162</v>
      </c>
    </row>
    <row r="16791" spans="1:7">
      <c r="A16791" s="3"/>
      <c r="B16791" s="3"/>
      <c r="C16791" s="3"/>
      <c r="D16791" s="3"/>
      <c r="E16791" s="3">
        <v>8</v>
      </c>
      <c r="F16791" s="4" t="str">
        <f>HYPERLINK("http://141.218.60.56/~jnz1568/getInfo.php?workbook=10_05.xlsx&amp;sheet=U0&amp;row=16791&amp;col=6&amp;number=3.7&amp;sourceID=14","3.7")</f>
        <v>3.7</v>
      </c>
      <c r="G16791" s="4" t="str">
        <f>HYPERLINK("http://141.218.60.56/~jnz1568/getInfo.php?workbook=10_05.xlsx&amp;sheet=U0&amp;row=16791&amp;col=7&amp;number=0.0158&amp;sourceID=14","0.0158")</f>
        <v>0.0158</v>
      </c>
    </row>
    <row r="16792" spans="1:7">
      <c r="A16792" s="3"/>
      <c r="B16792" s="3"/>
      <c r="C16792" s="3"/>
      <c r="D16792" s="3"/>
      <c r="E16792" s="3">
        <v>9</v>
      </c>
      <c r="F16792" s="4" t="str">
        <f>HYPERLINK("http://141.218.60.56/~jnz1568/getInfo.php?workbook=10_05.xlsx&amp;sheet=U0&amp;row=16792&amp;col=6&amp;number=3.8&amp;sourceID=14","3.8")</f>
        <v>3.8</v>
      </c>
      <c r="G16792" s="4" t="str">
        <f>HYPERLINK("http://141.218.60.56/~jnz1568/getInfo.php?workbook=10_05.xlsx&amp;sheet=U0&amp;row=16792&amp;col=7&amp;number=0.0154&amp;sourceID=14","0.0154")</f>
        <v>0.0154</v>
      </c>
    </row>
    <row r="16793" spans="1:7">
      <c r="A16793" s="3"/>
      <c r="B16793" s="3"/>
      <c r="C16793" s="3"/>
      <c r="D16793" s="3"/>
      <c r="E16793" s="3">
        <v>10</v>
      </c>
      <c r="F16793" s="4" t="str">
        <f>HYPERLINK("http://141.218.60.56/~jnz1568/getInfo.php?workbook=10_05.xlsx&amp;sheet=U0&amp;row=16793&amp;col=6&amp;number=3.9&amp;sourceID=14","3.9")</f>
        <v>3.9</v>
      </c>
      <c r="G16793" s="4" t="str">
        <f>HYPERLINK("http://141.218.60.56/~jnz1568/getInfo.php?workbook=10_05.xlsx&amp;sheet=U0&amp;row=16793&amp;col=7&amp;number=0.0149&amp;sourceID=14","0.0149")</f>
        <v>0.0149</v>
      </c>
    </row>
    <row r="16794" spans="1:7">
      <c r="A16794" s="3"/>
      <c r="B16794" s="3"/>
      <c r="C16794" s="3"/>
      <c r="D16794" s="3"/>
      <c r="E16794" s="3">
        <v>11</v>
      </c>
      <c r="F16794" s="4" t="str">
        <f>HYPERLINK("http://141.218.60.56/~jnz1568/getInfo.php?workbook=10_05.xlsx&amp;sheet=U0&amp;row=16794&amp;col=6&amp;number=4&amp;sourceID=14","4")</f>
        <v>4</v>
      </c>
      <c r="G16794" s="4" t="str">
        <f>HYPERLINK("http://141.218.60.56/~jnz1568/getInfo.php?workbook=10_05.xlsx&amp;sheet=U0&amp;row=16794&amp;col=7&amp;number=0.0144&amp;sourceID=14","0.0144")</f>
        <v>0.0144</v>
      </c>
    </row>
    <row r="16795" spans="1:7">
      <c r="A16795" s="3"/>
      <c r="B16795" s="3"/>
      <c r="C16795" s="3"/>
      <c r="D16795" s="3"/>
      <c r="E16795" s="3">
        <v>12</v>
      </c>
      <c r="F16795" s="4" t="str">
        <f>HYPERLINK("http://141.218.60.56/~jnz1568/getInfo.php?workbook=10_05.xlsx&amp;sheet=U0&amp;row=16795&amp;col=6&amp;number=4.1&amp;sourceID=14","4.1")</f>
        <v>4.1</v>
      </c>
      <c r="G16795" s="4" t="str">
        <f>HYPERLINK("http://141.218.60.56/~jnz1568/getInfo.php?workbook=10_05.xlsx&amp;sheet=U0&amp;row=16795&amp;col=7&amp;number=0.0137&amp;sourceID=14","0.0137")</f>
        <v>0.0137</v>
      </c>
    </row>
    <row r="16796" spans="1:7">
      <c r="A16796" s="3"/>
      <c r="B16796" s="3"/>
      <c r="C16796" s="3"/>
      <c r="D16796" s="3"/>
      <c r="E16796" s="3">
        <v>13</v>
      </c>
      <c r="F16796" s="4" t="str">
        <f>HYPERLINK("http://141.218.60.56/~jnz1568/getInfo.php?workbook=10_05.xlsx&amp;sheet=U0&amp;row=16796&amp;col=6&amp;number=4.2&amp;sourceID=14","4.2")</f>
        <v>4.2</v>
      </c>
      <c r="G16796" s="4" t="str">
        <f>HYPERLINK("http://141.218.60.56/~jnz1568/getInfo.php?workbook=10_05.xlsx&amp;sheet=U0&amp;row=16796&amp;col=7&amp;number=0.0131&amp;sourceID=14","0.0131")</f>
        <v>0.0131</v>
      </c>
    </row>
    <row r="16797" spans="1:7">
      <c r="A16797" s="3"/>
      <c r="B16797" s="3"/>
      <c r="C16797" s="3"/>
      <c r="D16797" s="3"/>
      <c r="E16797" s="3">
        <v>14</v>
      </c>
      <c r="F16797" s="4" t="str">
        <f>HYPERLINK("http://141.218.60.56/~jnz1568/getInfo.php?workbook=10_05.xlsx&amp;sheet=U0&amp;row=16797&amp;col=6&amp;number=4.3&amp;sourceID=14","4.3")</f>
        <v>4.3</v>
      </c>
      <c r="G16797" s="4" t="str">
        <f>HYPERLINK("http://141.218.60.56/~jnz1568/getInfo.php?workbook=10_05.xlsx&amp;sheet=U0&amp;row=16797&amp;col=7&amp;number=0.0125&amp;sourceID=14","0.0125")</f>
        <v>0.0125</v>
      </c>
    </row>
    <row r="16798" spans="1:7">
      <c r="A16798" s="3"/>
      <c r="B16798" s="3"/>
      <c r="C16798" s="3"/>
      <c r="D16798" s="3"/>
      <c r="E16798" s="3">
        <v>15</v>
      </c>
      <c r="F16798" s="4" t="str">
        <f>HYPERLINK("http://141.218.60.56/~jnz1568/getInfo.php?workbook=10_05.xlsx&amp;sheet=U0&amp;row=16798&amp;col=6&amp;number=4.4&amp;sourceID=14","4.4")</f>
        <v>4.4</v>
      </c>
      <c r="G16798" s="4" t="str">
        <f>HYPERLINK("http://141.218.60.56/~jnz1568/getInfo.php?workbook=10_05.xlsx&amp;sheet=U0&amp;row=16798&amp;col=7&amp;number=0.012&amp;sourceID=14","0.012")</f>
        <v>0.012</v>
      </c>
    </row>
    <row r="16799" spans="1:7">
      <c r="A16799" s="3"/>
      <c r="B16799" s="3"/>
      <c r="C16799" s="3"/>
      <c r="D16799" s="3"/>
      <c r="E16799" s="3">
        <v>16</v>
      </c>
      <c r="F16799" s="4" t="str">
        <f>HYPERLINK("http://141.218.60.56/~jnz1568/getInfo.php?workbook=10_05.xlsx&amp;sheet=U0&amp;row=16799&amp;col=6&amp;number=4.5&amp;sourceID=14","4.5")</f>
        <v>4.5</v>
      </c>
      <c r="G16799" s="4" t="str">
        <f>HYPERLINK("http://141.218.60.56/~jnz1568/getInfo.php?workbook=10_05.xlsx&amp;sheet=U0&amp;row=16799&amp;col=7&amp;number=0.0117&amp;sourceID=14","0.0117")</f>
        <v>0.0117</v>
      </c>
    </row>
    <row r="16800" spans="1:7">
      <c r="A16800" s="3"/>
      <c r="B16800" s="3"/>
      <c r="C16800" s="3"/>
      <c r="D16800" s="3"/>
      <c r="E16800" s="3">
        <v>17</v>
      </c>
      <c r="F16800" s="4" t="str">
        <f>HYPERLINK("http://141.218.60.56/~jnz1568/getInfo.php?workbook=10_05.xlsx&amp;sheet=U0&amp;row=16800&amp;col=6&amp;number=4.6&amp;sourceID=14","4.6")</f>
        <v>4.6</v>
      </c>
      <c r="G16800" s="4" t="str">
        <f>HYPERLINK("http://141.218.60.56/~jnz1568/getInfo.php?workbook=10_05.xlsx&amp;sheet=U0&amp;row=16800&amp;col=7&amp;number=0.0114&amp;sourceID=14","0.0114")</f>
        <v>0.0114</v>
      </c>
    </row>
    <row r="16801" spans="1:7">
      <c r="A16801" s="3"/>
      <c r="B16801" s="3"/>
      <c r="C16801" s="3"/>
      <c r="D16801" s="3"/>
      <c r="E16801" s="3">
        <v>18</v>
      </c>
      <c r="F16801" s="4" t="str">
        <f>HYPERLINK("http://141.218.60.56/~jnz1568/getInfo.php?workbook=10_05.xlsx&amp;sheet=U0&amp;row=16801&amp;col=6&amp;number=4.7&amp;sourceID=14","4.7")</f>
        <v>4.7</v>
      </c>
      <c r="G16801" s="4" t="str">
        <f>HYPERLINK("http://141.218.60.56/~jnz1568/getInfo.php?workbook=10_05.xlsx&amp;sheet=U0&amp;row=16801&amp;col=7&amp;number=0.0112&amp;sourceID=14","0.0112")</f>
        <v>0.0112</v>
      </c>
    </row>
    <row r="16802" spans="1:7">
      <c r="A16802" s="3"/>
      <c r="B16802" s="3"/>
      <c r="C16802" s="3"/>
      <c r="D16802" s="3"/>
      <c r="E16802" s="3">
        <v>19</v>
      </c>
      <c r="F16802" s="4" t="str">
        <f>HYPERLINK("http://141.218.60.56/~jnz1568/getInfo.php?workbook=10_05.xlsx&amp;sheet=U0&amp;row=16802&amp;col=6&amp;number=4.8&amp;sourceID=14","4.8")</f>
        <v>4.8</v>
      </c>
      <c r="G16802" s="4" t="str">
        <f>HYPERLINK("http://141.218.60.56/~jnz1568/getInfo.php?workbook=10_05.xlsx&amp;sheet=U0&amp;row=16802&amp;col=7&amp;number=0.0109&amp;sourceID=14","0.0109")</f>
        <v>0.0109</v>
      </c>
    </row>
    <row r="16803" spans="1:7">
      <c r="A16803" s="3"/>
      <c r="B16803" s="3"/>
      <c r="C16803" s="3"/>
      <c r="D16803" s="3"/>
      <c r="E16803" s="3">
        <v>20</v>
      </c>
      <c r="F16803" s="4" t="str">
        <f>HYPERLINK("http://141.218.60.56/~jnz1568/getInfo.php?workbook=10_05.xlsx&amp;sheet=U0&amp;row=16803&amp;col=6&amp;number=4.9&amp;sourceID=14","4.9")</f>
        <v>4.9</v>
      </c>
      <c r="G16803" s="4" t="str">
        <f>HYPERLINK("http://141.218.60.56/~jnz1568/getInfo.php?workbook=10_05.xlsx&amp;sheet=U0&amp;row=16803&amp;col=7&amp;number=0.0105&amp;sourceID=14","0.0105")</f>
        <v>0.0105</v>
      </c>
    </row>
    <row r="16804" spans="1:7">
      <c r="A16804" s="3">
        <v>10</v>
      </c>
      <c r="B16804" s="3">
        <v>5</v>
      </c>
      <c r="C16804" s="3">
        <v>5</v>
      </c>
      <c r="D16804" s="3">
        <v>136</v>
      </c>
      <c r="E16804" s="3">
        <v>1</v>
      </c>
      <c r="F16804" s="4" t="str">
        <f>HYPERLINK("http://141.218.60.56/~jnz1568/getInfo.php?workbook=10_05.xlsx&amp;sheet=U0&amp;row=16804&amp;col=6&amp;number=3&amp;sourceID=14","3")</f>
        <v>3</v>
      </c>
      <c r="G16804" s="4" t="str">
        <f>HYPERLINK("http://141.218.60.56/~jnz1568/getInfo.php?workbook=10_05.xlsx&amp;sheet=U0&amp;row=16804&amp;col=7&amp;number=0.032&amp;sourceID=14","0.032")</f>
        <v>0.032</v>
      </c>
    </row>
    <row r="16805" spans="1:7">
      <c r="A16805" s="3"/>
      <c r="B16805" s="3"/>
      <c r="C16805" s="3"/>
      <c r="D16805" s="3"/>
      <c r="E16805" s="3">
        <v>2</v>
      </c>
      <c r="F16805" s="4" t="str">
        <f>HYPERLINK("http://141.218.60.56/~jnz1568/getInfo.php?workbook=10_05.xlsx&amp;sheet=U0&amp;row=16805&amp;col=6&amp;number=3.1&amp;sourceID=14","3.1")</f>
        <v>3.1</v>
      </c>
      <c r="G16805" s="4" t="str">
        <f>HYPERLINK("http://141.218.60.56/~jnz1568/getInfo.php?workbook=10_05.xlsx&amp;sheet=U0&amp;row=16805&amp;col=7&amp;number=0.0318&amp;sourceID=14","0.0318")</f>
        <v>0.0318</v>
      </c>
    </row>
    <row r="16806" spans="1:7">
      <c r="A16806" s="3"/>
      <c r="B16806" s="3"/>
      <c r="C16806" s="3"/>
      <c r="D16806" s="3"/>
      <c r="E16806" s="3">
        <v>3</v>
      </c>
      <c r="F16806" s="4" t="str">
        <f>HYPERLINK("http://141.218.60.56/~jnz1568/getInfo.php?workbook=10_05.xlsx&amp;sheet=U0&amp;row=16806&amp;col=6&amp;number=3.2&amp;sourceID=14","3.2")</f>
        <v>3.2</v>
      </c>
      <c r="G16806" s="4" t="str">
        <f>HYPERLINK("http://141.218.60.56/~jnz1568/getInfo.php?workbook=10_05.xlsx&amp;sheet=U0&amp;row=16806&amp;col=7&amp;number=0.0317&amp;sourceID=14","0.0317")</f>
        <v>0.0317</v>
      </c>
    </row>
    <row r="16807" spans="1:7">
      <c r="A16807" s="3"/>
      <c r="B16807" s="3"/>
      <c r="C16807" s="3"/>
      <c r="D16807" s="3"/>
      <c r="E16807" s="3">
        <v>4</v>
      </c>
      <c r="F16807" s="4" t="str">
        <f>HYPERLINK("http://141.218.60.56/~jnz1568/getInfo.php?workbook=10_05.xlsx&amp;sheet=U0&amp;row=16807&amp;col=6&amp;number=3.3&amp;sourceID=14","3.3")</f>
        <v>3.3</v>
      </c>
      <c r="G16807" s="4" t="str">
        <f>HYPERLINK("http://141.218.60.56/~jnz1568/getInfo.php?workbook=10_05.xlsx&amp;sheet=U0&amp;row=16807&amp;col=7&amp;number=0.0315&amp;sourceID=14","0.0315")</f>
        <v>0.0315</v>
      </c>
    </row>
    <row r="16808" spans="1:7">
      <c r="A16808" s="3"/>
      <c r="B16808" s="3"/>
      <c r="C16808" s="3"/>
      <c r="D16808" s="3"/>
      <c r="E16808" s="3">
        <v>5</v>
      </c>
      <c r="F16808" s="4" t="str">
        <f>HYPERLINK("http://141.218.60.56/~jnz1568/getInfo.php?workbook=10_05.xlsx&amp;sheet=U0&amp;row=16808&amp;col=6&amp;number=3.4&amp;sourceID=14","3.4")</f>
        <v>3.4</v>
      </c>
      <c r="G16808" s="4" t="str">
        <f>HYPERLINK("http://141.218.60.56/~jnz1568/getInfo.php?workbook=10_05.xlsx&amp;sheet=U0&amp;row=16808&amp;col=7&amp;number=0.0313&amp;sourceID=14","0.0313")</f>
        <v>0.0313</v>
      </c>
    </row>
    <row r="16809" spans="1:7">
      <c r="A16809" s="3"/>
      <c r="B16809" s="3"/>
      <c r="C16809" s="3"/>
      <c r="D16809" s="3"/>
      <c r="E16809" s="3">
        <v>6</v>
      </c>
      <c r="F16809" s="4" t="str">
        <f>HYPERLINK("http://141.218.60.56/~jnz1568/getInfo.php?workbook=10_05.xlsx&amp;sheet=U0&amp;row=16809&amp;col=6&amp;number=3.5&amp;sourceID=14","3.5")</f>
        <v>3.5</v>
      </c>
      <c r="G16809" s="4" t="str">
        <f>HYPERLINK("http://141.218.60.56/~jnz1568/getInfo.php?workbook=10_05.xlsx&amp;sheet=U0&amp;row=16809&amp;col=7&amp;number=0.0311&amp;sourceID=14","0.0311")</f>
        <v>0.0311</v>
      </c>
    </row>
    <row r="16810" spans="1:7">
      <c r="A16810" s="3"/>
      <c r="B16810" s="3"/>
      <c r="C16810" s="3"/>
      <c r="D16810" s="3"/>
      <c r="E16810" s="3">
        <v>7</v>
      </c>
      <c r="F16810" s="4" t="str">
        <f>HYPERLINK("http://141.218.60.56/~jnz1568/getInfo.php?workbook=10_05.xlsx&amp;sheet=U0&amp;row=16810&amp;col=6&amp;number=3.6&amp;sourceID=14","3.6")</f>
        <v>3.6</v>
      </c>
      <c r="G16810" s="4" t="str">
        <f>HYPERLINK("http://141.218.60.56/~jnz1568/getInfo.php?workbook=10_05.xlsx&amp;sheet=U0&amp;row=16810&amp;col=7&amp;number=0.0307&amp;sourceID=14","0.0307")</f>
        <v>0.0307</v>
      </c>
    </row>
    <row r="16811" spans="1:7">
      <c r="A16811" s="3"/>
      <c r="B16811" s="3"/>
      <c r="C16811" s="3"/>
      <c r="D16811" s="3"/>
      <c r="E16811" s="3">
        <v>8</v>
      </c>
      <c r="F16811" s="4" t="str">
        <f>HYPERLINK("http://141.218.60.56/~jnz1568/getInfo.php?workbook=10_05.xlsx&amp;sheet=U0&amp;row=16811&amp;col=6&amp;number=3.7&amp;sourceID=14","3.7")</f>
        <v>3.7</v>
      </c>
      <c r="G16811" s="4" t="str">
        <f>HYPERLINK("http://141.218.60.56/~jnz1568/getInfo.php?workbook=10_05.xlsx&amp;sheet=U0&amp;row=16811&amp;col=7&amp;number=0.0303&amp;sourceID=14","0.0303")</f>
        <v>0.0303</v>
      </c>
    </row>
    <row r="16812" spans="1:7">
      <c r="A16812" s="3"/>
      <c r="B16812" s="3"/>
      <c r="C16812" s="3"/>
      <c r="D16812" s="3"/>
      <c r="E16812" s="3">
        <v>9</v>
      </c>
      <c r="F16812" s="4" t="str">
        <f>HYPERLINK("http://141.218.60.56/~jnz1568/getInfo.php?workbook=10_05.xlsx&amp;sheet=U0&amp;row=16812&amp;col=6&amp;number=3.8&amp;sourceID=14","3.8")</f>
        <v>3.8</v>
      </c>
      <c r="G16812" s="4" t="str">
        <f>HYPERLINK("http://141.218.60.56/~jnz1568/getInfo.php?workbook=10_05.xlsx&amp;sheet=U0&amp;row=16812&amp;col=7&amp;number=0.0298&amp;sourceID=14","0.0298")</f>
        <v>0.0298</v>
      </c>
    </row>
    <row r="16813" spans="1:7">
      <c r="A16813" s="3"/>
      <c r="B16813" s="3"/>
      <c r="C16813" s="3"/>
      <c r="D16813" s="3"/>
      <c r="E16813" s="3">
        <v>10</v>
      </c>
      <c r="F16813" s="4" t="str">
        <f>HYPERLINK("http://141.218.60.56/~jnz1568/getInfo.php?workbook=10_05.xlsx&amp;sheet=U0&amp;row=16813&amp;col=6&amp;number=3.9&amp;sourceID=14","3.9")</f>
        <v>3.9</v>
      </c>
      <c r="G16813" s="4" t="str">
        <f>HYPERLINK("http://141.218.60.56/~jnz1568/getInfo.php?workbook=10_05.xlsx&amp;sheet=U0&amp;row=16813&amp;col=7&amp;number=0.0292&amp;sourceID=14","0.0292")</f>
        <v>0.0292</v>
      </c>
    </row>
    <row r="16814" spans="1:7">
      <c r="A16814" s="3"/>
      <c r="B16814" s="3"/>
      <c r="C16814" s="3"/>
      <c r="D16814" s="3"/>
      <c r="E16814" s="3">
        <v>11</v>
      </c>
      <c r="F16814" s="4" t="str">
        <f>HYPERLINK("http://141.218.60.56/~jnz1568/getInfo.php?workbook=10_05.xlsx&amp;sheet=U0&amp;row=16814&amp;col=6&amp;number=4&amp;sourceID=14","4")</f>
        <v>4</v>
      </c>
      <c r="G16814" s="4" t="str">
        <f>HYPERLINK("http://141.218.60.56/~jnz1568/getInfo.php?workbook=10_05.xlsx&amp;sheet=U0&amp;row=16814&amp;col=7&amp;number=0.0285&amp;sourceID=14","0.0285")</f>
        <v>0.0285</v>
      </c>
    </row>
    <row r="16815" spans="1:7">
      <c r="A16815" s="3"/>
      <c r="B16815" s="3"/>
      <c r="C16815" s="3"/>
      <c r="D16815" s="3"/>
      <c r="E16815" s="3">
        <v>12</v>
      </c>
      <c r="F16815" s="4" t="str">
        <f>HYPERLINK("http://141.218.60.56/~jnz1568/getInfo.php?workbook=10_05.xlsx&amp;sheet=U0&amp;row=16815&amp;col=6&amp;number=4.1&amp;sourceID=14","4.1")</f>
        <v>4.1</v>
      </c>
      <c r="G16815" s="4" t="str">
        <f>HYPERLINK("http://141.218.60.56/~jnz1568/getInfo.php?workbook=10_05.xlsx&amp;sheet=U0&amp;row=16815&amp;col=7&amp;number=0.0277&amp;sourceID=14","0.0277")</f>
        <v>0.0277</v>
      </c>
    </row>
    <row r="16816" spans="1:7">
      <c r="A16816" s="3"/>
      <c r="B16816" s="3"/>
      <c r="C16816" s="3"/>
      <c r="D16816" s="3"/>
      <c r="E16816" s="3">
        <v>13</v>
      </c>
      <c r="F16816" s="4" t="str">
        <f>HYPERLINK("http://141.218.60.56/~jnz1568/getInfo.php?workbook=10_05.xlsx&amp;sheet=U0&amp;row=16816&amp;col=6&amp;number=4.2&amp;sourceID=14","4.2")</f>
        <v>4.2</v>
      </c>
      <c r="G16816" s="4" t="str">
        <f>HYPERLINK("http://141.218.60.56/~jnz1568/getInfo.php?workbook=10_05.xlsx&amp;sheet=U0&amp;row=16816&amp;col=7&amp;number=0.0268&amp;sourceID=14","0.0268")</f>
        <v>0.0268</v>
      </c>
    </row>
    <row r="16817" spans="1:7">
      <c r="A16817" s="3"/>
      <c r="B16817" s="3"/>
      <c r="C16817" s="3"/>
      <c r="D16817" s="3"/>
      <c r="E16817" s="3">
        <v>14</v>
      </c>
      <c r="F16817" s="4" t="str">
        <f>HYPERLINK("http://141.218.60.56/~jnz1568/getInfo.php?workbook=10_05.xlsx&amp;sheet=U0&amp;row=16817&amp;col=6&amp;number=4.3&amp;sourceID=14","4.3")</f>
        <v>4.3</v>
      </c>
      <c r="G16817" s="4" t="str">
        <f>HYPERLINK("http://141.218.60.56/~jnz1568/getInfo.php?workbook=10_05.xlsx&amp;sheet=U0&amp;row=16817&amp;col=7&amp;number=0.0258&amp;sourceID=14","0.0258")</f>
        <v>0.0258</v>
      </c>
    </row>
    <row r="16818" spans="1:7">
      <c r="A16818" s="3"/>
      <c r="B16818" s="3"/>
      <c r="C16818" s="3"/>
      <c r="D16818" s="3"/>
      <c r="E16818" s="3">
        <v>15</v>
      </c>
      <c r="F16818" s="4" t="str">
        <f>HYPERLINK("http://141.218.60.56/~jnz1568/getInfo.php?workbook=10_05.xlsx&amp;sheet=U0&amp;row=16818&amp;col=6&amp;number=4.4&amp;sourceID=14","4.4")</f>
        <v>4.4</v>
      </c>
      <c r="G16818" s="4" t="str">
        <f>HYPERLINK("http://141.218.60.56/~jnz1568/getInfo.php?workbook=10_05.xlsx&amp;sheet=U0&amp;row=16818&amp;col=7&amp;number=0.0249&amp;sourceID=14","0.0249")</f>
        <v>0.0249</v>
      </c>
    </row>
    <row r="16819" spans="1:7">
      <c r="A16819" s="3"/>
      <c r="B16819" s="3"/>
      <c r="C16819" s="3"/>
      <c r="D16819" s="3"/>
      <c r="E16819" s="3">
        <v>16</v>
      </c>
      <c r="F16819" s="4" t="str">
        <f>HYPERLINK("http://141.218.60.56/~jnz1568/getInfo.php?workbook=10_05.xlsx&amp;sheet=U0&amp;row=16819&amp;col=6&amp;number=4.5&amp;sourceID=14","4.5")</f>
        <v>4.5</v>
      </c>
      <c r="G16819" s="4" t="str">
        <f>HYPERLINK("http://141.218.60.56/~jnz1568/getInfo.php?workbook=10_05.xlsx&amp;sheet=U0&amp;row=16819&amp;col=7&amp;number=0.0242&amp;sourceID=14","0.0242")</f>
        <v>0.0242</v>
      </c>
    </row>
    <row r="16820" spans="1:7">
      <c r="A16820" s="3"/>
      <c r="B16820" s="3"/>
      <c r="C16820" s="3"/>
      <c r="D16820" s="3"/>
      <c r="E16820" s="3">
        <v>17</v>
      </c>
      <c r="F16820" s="4" t="str">
        <f>HYPERLINK("http://141.218.60.56/~jnz1568/getInfo.php?workbook=10_05.xlsx&amp;sheet=U0&amp;row=16820&amp;col=6&amp;number=4.6&amp;sourceID=14","4.6")</f>
        <v>4.6</v>
      </c>
      <c r="G16820" s="4" t="str">
        <f>HYPERLINK("http://141.218.60.56/~jnz1568/getInfo.php?workbook=10_05.xlsx&amp;sheet=U0&amp;row=16820&amp;col=7&amp;number=0.0237&amp;sourceID=14","0.0237")</f>
        <v>0.0237</v>
      </c>
    </row>
    <row r="16821" spans="1:7">
      <c r="A16821" s="3"/>
      <c r="B16821" s="3"/>
      <c r="C16821" s="3"/>
      <c r="D16821" s="3"/>
      <c r="E16821" s="3">
        <v>18</v>
      </c>
      <c r="F16821" s="4" t="str">
        <f>HYPERLINK("http://141.218.60.56/~jnz1568/getInfo.php?workbook=10_05.xlsx&amp;sheet=U0&amp;row=16821&amp;col=6&amp;number=4.7&amp;sourceID=14","4.7")</f>
        <v>4.7</v>
      </c>
      <c r="G16821" s="4" t="str">
        <f>HYPERLINK("http://141.218.60.56/~jnz1568/getInfo.php?workbook=10_05.xlsx&amp;sheet=U0&amp;row=16821&amp;col=7&amp;number=0.0234&amp;sourceID=14","0.0234")</f>
        <v>0.0234</v>
      </c>
    </row>
    <row r="16822" spans="1:7">
      <c r="A16822" s="3"/>
      <c r="B16822" s="3"/>
      <c r="C16822" s="3"/>
      <c r="D16822" s="3"/>
      <c r="E16822" s="3">
        <v>19</v>
      </c>
      <c r="F16822" s="4" t="str">
        <f>HYPERLINK("http://141.218.60.56/~jnz1568/getInfo.php?workbook=10_05.xlsx&amp;sheet=U0&amp;row=16822&amp;col=6&amp;number=4.8&amp;sourceID=14","4.8")</f>
        <v>4.8</v>
      </c>
      <c r="G16822" s="4" t="str">
        <f>HYPERLINK("http://141.218.60.56/~jnz1568/getInfo.php?workbook=10_05.xlsx&amp;sheet=U0&amp;row=16822&amp;col=7&amp;number=0.0229&amp;sourceID=14","0.0229")</f>
        <v>0.0229</v>
      </c>
    </row>
    <row r="16823" spans="1:7">
      <c r="A16823" s="3"/>
      <c r="B16823" s="3"/>
      <c r="C16823" s="3"/>
      <c r="D16823" s="3"/>
      <c r="E16823" s="3">
        <v>20</v>
      </c>
      <c r="F16823" s="4" t="str">
        <f>HYPERLINK("http://141.218.60.56/~jnz1568/getInfo.php?workbook=10_05.xlsx&amp;sheet=U0&amp;row=16823&amp;col=6&amp;number=4.9&amp;sourceID=14","4.9")</f>
        <v>4.9</v>
      </c>
      <c r="G16823" s="4" t="str">
        <f>HYPERLINK("http://141.218.60.56/~jnz1568/getInfo.php?workbook=10_05.xlsx&amp;sheet=U0&amp;row=16823&amp;col=7&amp;number=0.0223&amp;sourceID=14","0.0223")</f>
        <v>0.0223</v>
      </c>
    </row>
    <row r="16824" spans="1:7">
      <c r="A16824" s="3">
        <v>10</v>
      </c>
      <c r="B16824" s="3">
        <v>5</v>
      </c>
      <c r="C16824" s="3">
        <v>5</v>
      </c>
      <c r="D16824" s="3">
        <v>137</v>
      </c>
      <c r="E16824" s="3">
        <v>1</v>
      </c>
      <c r="F16824" s="4" t="str">
        <f>HYPERLINK("http://141.218.60.56/~jnz1568/getInfo.php?workbook=10_05.xlsx&amp;sheet=U0&amp;row=16824&amp;col=6&amp;number=3&amp;sourceID=14","3")</f>
        <v>3</v>
      </c>
      <c r="G16824" s="4" t="str">
        <f>HYPERLINK("http://141.218.60.56/~jnz1568/getInfo.php?workbook=10_05.xlsx&amp;sheet=U0&amp;row=16824&amp;col=7&amp;number=0.0569&amp;sourceID=14","0.0569")</f>
        <v>0.0569</v>
      </c>
    </row>
    <row r="16825" spans="1:7">
      <c r="A16825" s="3"/>
      <c r="B16825" s="3"/>
      <c r="C16825" s="3"/>
      <c r="D16825" s="3"/>
      <c r="E16825" s="3">
        <v>2</v>
      </c>
      <c r="F16825" s="4" t="str">
        <f>HYPERLINK("http://141.218.60.56/~jnz1568/getInfo.php?workbook=10_05.xlsx&amp;sheet=U0&amp;row=16825&amp;col=6&amp;number=3.1&amp;sourceID=14","3.1")</f>
        <v>3.1</v>
      </c>
      <c r="G16825" s="4" t="str">
        <f>HYPERLINK("http://141.218.60.56/~jnz1568/getInfo.php?workbook=10_05.xlsx&amp;sheet=U0&amp;row=16825&amp;col=7&amp;number=0.0567&amp;sourceID=14","0.0567")</f>
        <v>0.0567</v>
      </c>
    </row>
    <row r="16826" spans="1:7">
      <c r="A16826" s="3"/>
      <c r="B16826" s="3"/>
      <c r="C16826" s="3"/>
      <c r="D16826" s="3"/>
      <c r="E16826" s="3">
        <v>3</v>
      </c>
      <c r="F16826" s="4" t="str">
        <f>HYPERLINK("http://141.218.60.56/~jnz1568/getInfo.php?workbook=10_05.xlsx&amp;sheet=U0&amp;row=16826&amp;col=6&amp;number=3.2&amp;sourceID=14","3.2")</f>
        <v>3.2</v>
      </c>
      <c r="G16826" s="4" t="str">
        <f>HYPERLINK("http://141.218.60.56/~jnz1568/getInfo.php?workbook=10_05.xlsx&amp;sheet=U0&amp;row=16826&amp;col=7&amp;number=0.0564&amp;sourceID=14","0.0564")</f>
        <v>0.0564</v>
      </c>
    </row>
    <row r="16827" spans="1:7">
      <c r="A16827" s="3"/>
      <c r="B16827" s="3"/>
      <c r="C16827" s="3"/>
      <c r="D16827" s="3"/>
      <c r="E16827" s="3">
        <v>4</v>
      </c>
      <c r="F16827" s="4" t="str">
        <f>HYPERLINK("http://141.218.60.56/~jnz1568/getInfo.php?workbook=10_05.xlsx&amp;sheet=U0&amp;row=16827&amp;col=6&amp;number=3.3&amp;sourceID=14","3.3")</f>
        <v>3.3</v>
      </c>
      <c r="G16827" s="4" t="str">
        <f>HYPERLINK("http://141.218.60.56/~jnz1568/getInfo.php?workbook=10_05.xlsx&amp;sheet=U0&amp;row=16827&amp;col=7&amp;number=0.056&amp;sourceID=14","0.056")</f>
        <v>0.056</v>
      </c>
    </row>
    <row r="16828" spans="1:7">
      <c r="A16828" s="3"/>
      <c r="B16828" s="3"/>
      <c r="C16828" s="3"/>
      <c r="D16828" s="3"/>
      <c r="E16828" s="3">
        <v>5</v>
      </c>
      <c r="F16828" s="4" t="str">
        <f>HYPERLINK("http://141.218.60.56/~jnz1568/getInfo.php?workbook=10_05.xlsx&amp;sheet=U0&amp;row=16828&amp;col=6&amp;number=3.4&amp;sourceID=14","3.4")</f>
        <v>3.4</v>
      </c>
      <c r="G16828" s="4" t="str">
        <f>HYPERLINK("http://141.218.60.56/~jnz1568/getInfo.php?workbook=10_05.xlsx&amp;sheet=U0&amp;row=16828&amp;col=7&amp;number=0.0555&amp;sourceID=14","0.0555")</f>
        <v>0.0555</v>
      </c>
    </row>
    <row r="16829" spans="1:7">
      <c r="A16829" s="3"/>
      <c r="B16829" s="3"/>
      <c r="C16829" s="3"/>
      <c r="D16829" s="3"/>
      <c r="E16829" s="3">
        <v>6</v>
      </c>
      <c r="F16829" s="4" t="str">
        <f>HYPERLINK("http://141.218.60.56/~jnz1568/getInfo.php?workbook=10_05.xlsx&amp;sheet=U0&amp;row=16829&amp;col=6&amp;number=3.5&amp;sourceID=14","3.5")</f>
        <v>3.5</v>
      </c>
      <c r="G16829" s="4" t="str">
        <f>HYPERLINK("http://141.218.60.56/~jnz1568/getInfo.php?workbook=10_05.xlsx&amp;sheet=U0&amp;row=16829&amp;col=7&amp;number=0.0548&amp;sourceID=14","0.0548")</f>
        <v>0.0548</v>
      </c>
    </row>
    <row r="16830" spans="1:7">
      <c r="A16830" s="3"/>
      <c r="B16830" s="3"/>
      <c r="C16830" s="3"/>
      <c r="D16830" s="3"/>
      <c r="E16830" s="3">
        <v>7</v>
      </c>
      <c r="F16830" s="4" t="str">
        <f>HYPERLINK("http://141.218.60.56/~jnz1568/getInfo.php?workbook=10_05.xlsx&amp;sheet=U0&amp;row=16830&amp;col=6&amp;number=3.6&amp;sourceID=14","3.6")</f>
        <v>3.6</v>
      </c>
      <c r="G16830" s="4" t="str">
        <f>HYPERLINK("http://141.218.60.56/~jnz1568/getInfo.php?workbook=10_05.xlsx&amp;sheet=U0&amp;row=16830&amp;col=7&amp;number=0.0541&amp;sourceID=14","0.0541")</f>
        <v>0.0541</v>
      </c>
    </row>
    <row r="16831" spans="1:7">
      <c r="A16831" s="3"/>
      <c r="B16831" s="3"/>
      <c r="C16831" s="3"/>
      <c r="D16831" s="3"/>
      <c r="E16831" s="3">
        <v>8</v>
      </c>
      <c r="F16831" s="4" t="str">
        <f>HYPERLINK("http://141.218.60.56/~jnz1568/getInfo.php?workbook=10_05.xlsx&amp;sheet=U0&amp;row=16831&amp;col=6&amp;number=3.7&amp;sourceID=14","3.7")</f>
        <v>3.7</v>
      </c>
      <c r="G16831" s="4" t="str">
        <f>HYPERLINK("http://141.218.60.56/~jnz1568/getInfo.php?workbook=10_05.xlsx&amp;sheet=U0&amp;row=16831&amp;col=7&amp;number=0.0531&amp;sourceID=14","0.0531")</f>
        <v>0.0531</v>
      </c>
    </row>
    <row r="16832" spans="1:7">
      <c r="A16832" s="3"/>
      <c r="B16832" s="3"/>
      <c r="C16832" s="3"/>
      <c r="D16832" s="3"/>
      <c r="E16832" s="3">
        <v>9</v>
      </c>
      <c r="F16832" s="4" t="str">
        <f>HYPERLINK("http://141.218.60.56/~jnz1568/getInfo.php?workbook=10_05.xlsx&amp;sheet=U0&amp;row=16832&amp;col=6&amp;number=3.8&amp;sourceID=14","3.8")</f>
        <v>3.8</v>
      </c>
      <c r="G16832" s="4" t="str">
        <f>HYPERLINK("http://141.218.60.56/~jnz1568/getInfo.php?workbook=10_05.xlsx&amp;sheet=U0&amp;row=16832&amp;col=7&amp;number=0.0519&amp;sourceID=14","0.0519")</f>
        <v>0.0519</v>
      </c>
    </row>
    <row r="16833" spans="1:7">
      <c r="A16833" s="3"/>
      <c r="B16833" s="3"/>
      <c r="C16833" s="3"/>
      <c r="D16833" s="3"/>
      <c r="E16833" s="3">
        <v>10</v>
      </c>
      <c r="F16833" s="4" t="str">
        <f>HYPERLINK("http://141.218.60.56/~jnz1568/getInfo.php?workbook=10_05.xlsx&amp;sheet=U0&amp;row=16833&amp;col=6&amp;number=3.9&amp;sourceID=14","3.9")</f>
        <v>3.9</v>
      </c>
      <c r="G16833" s="4" t="str">
        <f>HYPERLINK("http://141.218.60.56/~jnz1568/getInfo.php?workbook=10_05.xlsx&amp;sheet=U0&amp;row=16833&amp;col=7&amp;number=0.0505&amp;sourceID=14","0.0505")</f>
        <v>0.0505</v>
      </c>
    </row>
    <row r="16834" spans="1:7">
      <c r="A16834" s="3"/>
      <c r="B16834" s="3"/>
      <c r="C16834" s="3"/>
      <c r="D16834" s="3"/>
      <c r="E16834" s="3">
        <v>11</v>
      </c>
      <c r="F16834" s="4" t="str">
        <f>HYPERLINK("http://141.218.60.56/~jnz1568/getInfo.php?workbook=10_05.xlsx&amp;sheet=U0&amp;row=16834&amp;col=6&amp;number=4&amp;sourceID=14","4")</f>
        <v>4</v>
      </c>
      <c r="G16834" s="4" t="str">
        <f>HYPERLINK("http://141.218.60.56/~jnz1568/getInfo.php?workbook=10_05.xlsx&amp;sheet=U0&amp;row=16834&amp;col=7&amp;number=0.0489&amp;sourceID=14","0.0489")</f>
        <v>0.0489</v>
      </c>
    </row>
    <row r="16835" spans="1:7">
      <c r="A16835" s="3"/>
      <c r="B16835" s="3"/>
      <c r="C16835" s="3"/>
      <c r="D16835" s="3"/>
      <c r="E16835" s="3">
        <v>12</v>
      </c>
      <c r="F16835" s="4" t="str">
        <f>HYPERLINK("http://141.218.60.56/~jnz1568/getInfo.php?workbook=10_05.xlsx&amp;sheet=U0&amp;row=16835&amp;col=6&amp;number=4.1&amp;sourceID=14","4.1")</f>
        <v>4.1</v>
      </c>
      <c r="G16835" s="4" t="str">
        <f>HYPERLINK("http://141.218.60.56/~jnz1568/getInfo.php?workbook=10_05.xlsx&amp;sheet=U0&amp;row=16835&amp;col=7&amp;number=0.047&amp;sourceID=14","0.047")</f>
        <v>0.047</v>
      </c>
    </row>
    <row r="16836" spans="1:7">
      <c r="A16836" s="3"/>
      <c r="B16836" s="3"/>
      <c r="C16836" s="3"/>
      <c r="D16836" s="3"/>
      <c r="E16836" s="3">
        <v>13</v>
      </c>
      <c r="F16836" s="4" t="str">
        <f>HYPERLINK("http://141.218.60.56/~jnz1568/getInfo.php?workbook=10_05.xlsx&amp;sheet=U0&amp;row=16836&amp;col=6&amp;number=4.2&amp;sourceID=14","4.2")</f>
        <v>4.2</v>
      </c>
      <c r="G16836" s="4" t="str">
        <f>HYPERLINK("http://141.218.60.56/~jnz1568/getInfo.php?workbook=10_05.xlsx&amp;sheet=U0&amp;row=16836&amp;col=7&amp;number=0.0449&amp;sourceID=14","0.0449")</f>
        <v>0.0449</v>
      </c>
    </row>
    <row r="16837" spans="1:7">
      <c r="A16837" s="3"/>
      <c r="B16837" s="3"/>
      <c r="C16837" s="3"/>
      <c r="D16837" s="3"/>
      <c r="E16837" s="3">
        <v>14</v>
      </c>
      <c r="F16837" s="4" t="str">
        <f>HYPERLINK("http://141.218.60.56/~jnz1568/getInfo.php?workbook=10_05.xlsx&amp;sheet=U0&amp;row=16837&amp;col=6&amp;number=4.3&amp;sourceID=14","4.3")</f>
        <v>4.3</v>
      </c>
      <c r="G16837" s="4" t="str">
        <f>HYPERLINK("http://141.218.60.56/~jnz1568/getInfo.php?workbook=10_05.xlsx&amp;sheet=U0&amp;row=16837&amp;col=7&amp;number=0.0428&amp;sourceID=14","0.0428")</f>
        <v>0.0428</v>
      </c>
    </row>
    <row r="16838" spans="1:7">
      <c r="A16838" s="3"/>
      <c r="B16838" s="3"/>
      <c r="C16838" s="3"/>
      <c r="D16838" s="3"/>
      <c r="E16838" s="3">
        <v>15</v>
      </c>
      <c r="F16838" s="4" t="str">
        <f>HYPERLINK("http://141.218.60.56/~jnz1568/getInfo.php?workbook=10_05.xlsx&amp;sheet=U0&amp;row=16838&amp;col=6&amp;number=4.4&amp;sourceID=14","4.4")</f>
        <v>4.4</v>
      </c>
      <c r="G16838" s="4" t="str">
        <f>HYPERLINK("http://141.218.60.56/~jnz1568/getInfo.php?workbook=10_05.xlsx&amp;sheet=U0&amp;row=16838&amp;col=7&amp;number=0.0409&amp;sourceID=14","0.0409")</f>
        <v>0.0409</v>
      </c>
    </row>
    <row r="16839" spans="1:7">
      <c r="A16839" s="3"/>
      <c r="B16839" s="3"/>
      <c r="C16839" s="3"/>
      <c r="D16839" s="3"/>
      <c r="E16839" s="3">
        <v>16</v>
      </c>
      <c r="F16839" s="4" t="str">
        <f>HYPERLINK("http://141.218.60.56/~jnz1568/getInfo.php?workbook=10_05.xlsx&amp;sheet=U0&amp;row=16839&amp;col=6&amp;number=4.5&amp;sourceID=14","4.5")</f>
        <v>4.5</v>
      </c>
      <c r="G16839" s="4" t="str">
        <f>HYPERLINK("http://141.218.60.56/~jnz1568/getInfo.php?workbook=10_05.xlsx&amp;sheet=U0&amp;row=16839&amp;col=7&amp;number=0.0395&amp;sourceID=14","0.0395")</f>
        <v>0.0395</v>
      </c>
    </row>
    <row r="16840" spans="1:7">
      <c r="A16840" s="3"/>
      <c r="B16840" s="3"/>
      <c r="C16840" s="3"/>
      <c r="D16840" s="3"/>
      <c r="E16840" s="3">
        <v>17</v>
      </c>
      <c r="F16840" s="4" t="str">
        <f>HYPERLINK("http://141.218.60.56/~jnz1568/getInfo.php?workbook=10_05.xlsx&amp;sheet=U0&amp;row=16840&amp;col=6&amp;number=4.6&amp;sourceID=14","4.6")</f>
        <v>4.6</v>
      </c>
      <c r="G16840" s="4" t="str">
        <f>HYPERLINK("http://141.218.60.56/~jnz1568/getInfo.php?workbook=10_05.xlsx&amp;sheet=U0&amp;row=16840&amp;col=7&amp;number=0.0385&amp;sourceID=14","0.0385")</f>
        <v>0.0385</v>
      </c>
    </row>
    <row r="16841" spans="1:7">
      <c r="A16841" s="3"/>
      <c r="B16841" s="3"/>
      <c r="C16841" s="3"/>
      <c r="D16841" s="3"/>
      <c r="E16841" s="3">
        <v>18</v>
      </c>
      <c r="F16841" s="4" t="str">
        <f>HYPERLINK("http://141.218.60.56/~jnz1568/getInfo.php?workbook=10_05.xlsx&amp;sheet=U0&amp;row=16841&amp;col=6&amp;number=4.7&amp;sourceID=14","4.7")</f>
        <v>4.7</v>
      </c>
      <c r="G16841" s="4" t="str">
        <f>HYPERLINK("http://141.218.60.56/~jnz1568/getInfo.php?workbook=10_05.xlsx&amp;sheet=U0&amp;row=16841&amp;col=7&amp;number=0.0377&amp;sourceID=14","0.0377")</f>
        <v>0.0377</v>
      </c>
    </row>
    <row r="16842" spans="1:7">
      <c r="A16842" s="3"/>
      <c r="B16842" s="3"/>
      <c r="C16842" s="3"/>
      <c r="D16842" s="3"/>
      <c r="E16842" s="3">
        <v>19</v>
      </c>
      <c r="F16842" s="4" t="str">
        <f>HYPERLINK("http://141.218.60.56/~jnz1568/getInfo.php?workbook=10_05.xlsx&amp;sheet=U0&amp;row=16842&amp;col=6&amp;number=4.8&amp;sourceID=14","4.8")</f>
        <v>4.8</v>
      </c>
      <c r="G16842" s="4" t="str">
        <f>HYPERLINK("http://141.218.60.56/~jnz1568/getInfo.php?workbook=10_05.xlsx&amp;sheet=U0&amp;row=16842&amp;col=7&amp;number=0.0367&amp;sourceID=14","0.0367")</f>
        <v>0.0367</v>
      </c>
    </row>
    <row r="16843" spans="1:7">
      <c r="A16843" s="3"/>
      <c r="B16843" s="3"/>
      <c r="C16843" s="3"/>
      <c r="D16843" s="3"/>
      <c r="E16843" s="3">
        <v>20</v>
      </c>
      <c r="F16843" s="4" t="str">
        <f>HYPERLINK("http://141.218.60.56/~jnz1568/getInfo.php?workbook=10_05.xlsx&amp;sheet=U0&amp;row=16843&amp;col=6&amp;number=4.9&amp;sourceID=14","4.9")</f>
        <v>4.9</v>
      </c>
      <c r="G16843" s="4" t="str">
        <f>HYPERLINK("http://141.218.60.56/~jnz1568/getInfo.php?workbook=10_05.xlsx&amp;sheet=U0&amp;row=16843&amp;col=7&amp;number=0.0354&amp;sourceID=14","0.0354")</f>
        <v>0.0354</v>
      </c>
    </row>
    <row r="16844" spans="1:7">
      <c r="A16844" s="3">
        <v>10</v>
      </c>
      <c r="B16844" s="3">
        <v>5</v>
      </c>
      <c r="C16844" s="3">
        <v>5</v>
      </c>
      <c r="D16844" s="3">
        <v>138</v>
      </c>
      <c r="E16844" s="3">
        <v>1</v>
      </c>
      <c r="F16844" s="4" t="str">
        <f>HYPERLINK("http://141.218.60.56/~jnz1568/getInfo.php?workbook=10_05.xlsx&amp;sheet=U0&amp;row=16844&amp;col=6&amp;number=3&amp;sourceID=14","3")</f>
        <v>3</v>
      </c>
      <c r="G16844" s="4" t="str">
        <f>HYPERLINK("http://141.218.60.56/~jnz1568/getInfo.php?workbook=10_05.xlsx&amp;sheet=U0&amp;row=16844&amp;col=7&amp;number=0.00106&amp;sourceID=14","0.00106")</f>
        <v>0.00106</v>
      </c>
    </row>
    <row r="16845" spans="1:7">
      <c r="A16845" s="3"/>
      <c r="B16845" s="3"/>
      <c r="C16845" s="3"/>
      <c r="D16845" s="3"/>
      <c r="E16845" s="3">
        <v>2</v>
      </c>
      <c r="F16845" s="4" t="str">
        <f>HYPERLINK("http://141.218.60.56/~jnz1568/getInfo.php?workbook=10_05.xlsx&amp;sheet=U0&amp;row=16845&amp;col=6&amp;number=3.1&amp;sourceID=14","3.1")</f>
        <v>3.1</v>
      </c>
      <c r="G16845" s="4" t="str">
        <f>HYPERLINK("http://141.218.60.56/~jnz1568/getInfo.php?workbook=10_05.xlsx&amp;sheet=U0&amp;row=16845&amp;col=7&amp;number=0.00105&amp;sourceID=14","0.00105")</f>
        <v>0.00105</v>
      </c>
    </row>
    <row r="16846" spans="1:7">
      <c r="A16846" s="3"/>
      <c r="B16846" s="3"/>
      <c r="C16846" s="3"/>
      <c r="D16846" s="3"/>
      <c r="E16846" s="3">
        <v>3</v>
      </c>
      <c r="F16846" s="4" t="str">
        <f>HYPERLINK("http://141.218.60.56/~jnz1568/getInfo.php?workbook=10_05.xlsx&amp;sheet=U0&amp;row=16846&amp;col=6&amp;number=3.2&amp;sourceID=14","3.2")</f>
        <v>3.2</v>
      </c>
      <c r="G16846" s="4" t="str">
        <f>HYPERLINK("http://141.218.60.56/~jnz1568/getInfo.php?workbook=10_05.xlsx&amp;sheet=U0&amp;row=16846&amp;col=7&amp;number=0.00104&amp;sourceID=14","0.00104")</f>
        <v>0.00104</v>
      </c>
    </row>
    <row r="16847" spans="1:7">
      <c r="A16847" s="3"/>
      <c r="B16847" s="3"/>
      <c r="C16847" s="3"/>
      <c r="D16847" s="3"/>
      <c r="E16847" s="3">
        <v>4</v>
      </c>
      <c r="F16847" s="4" t="str">
        <f>HYPERLINK("http://141.218.60.56/~jnz1568/getInfo.php?workbook=10_05.xlsx&amp;sheet=U0&amp;row=16847&amp;col=6&amp;number=3.3&amp;sourceID=14","3.3")</f>
        <v>3.3</v>
      </c>
      <c r="G16847" s="4" t="str">
        <f>HYPERLINK("http://141.218.60.56/~jnz1568/getInfo.php?workbook=10_05.xlsx&amp;sheet=U0&amp;row=16847&amp;col=7&amp;number=0.00103&amp;sourceID=14","0.00103")</f>
        <v>0.00103</v>
      </c>
    </row>
    <row r="16848" spans="1:7">
      <c r="A16848" s="3"/>
      <c r="B16848" s="3"/>
      <c r="C16848" s="3"/>
      <c r="D16848" s="3"/>
      <c r="E16848" s="3">
        <v>5</v>
      </c>
      <c r="F16848" s="4" t="str">
        <f>HYPERLINK("http://141.218.60.56/~jnz1568/getInfo.php?workbook=10_05.xlsx&amp;sheet=U0&amp;row=16848&amp;col=6&amp;number=3.4&amp;sourceID=14","3.4")</f>
        <v>3.4</v>
      </c>
      <c r="G16848" s="4" t="str">
        <f>HYPERLINK("http://141.218.60.56/~jnz1568/getInfo.php?workbook=10_05.xlsx&amp;sheet=U0&amp;row=16848&amp;col=7&amp;number=0.00102&amp;sourceID=14","0.00102")</f>
        <v>0.00102</v>
      </c>
    </row>
    <row r="16849" spans="1:7">
      <c r="A16849" s="3"/>
      <c r="B16849" s="3"/>
      <c r="C16849" s="3"/>
      <c r="D16849" s="3"/>
      <c r="E16849" s="3">
        <v>6</v>
      </c>
      <c r="F16849" s="4" t="str">
        <f>HYPERLINK("http://141.218.60.56/~jnz1568/getInfo.php?workbook=10_05.xlsx&amp;sheet=U0&amp;row=16849&amp;col=6&amp;number=3.5&amp;sourceID=14","3.5")</f>
        <v>3.5</v>
      </c>
      <c r="G16849" s="4" t="str">
        <f>HYPERLINK("http://141.218.60.56/~jnz1568/getInfo.php?workbook=10_05.xlsx&amp;sheet=U0&amp;row=16849&amp;col=7&amp;number=0.00101&amp;sourceID=14","0.00101")</f>
        <v>0.00101</v>
      </c>
    </row>
    <row r="16850" spans="1:7">
      <c r="A16850" s="3"/>
      <c r="B16850" s="3"/>
      <c r="C16850" s="3"/>
      <c r="D16850" s="3"/>
      <c r="E16850" s="3">
        <v>7</v>
      </c>
      <c r="F16850" s="4" t="str">
        <f>HYPERLINK("http://141.218.60.56/~jnz1568/getInfo.php?workbook=10_05.xlsx&amp;sheet=U0&amp;row=16850&amp;col=6&amp;number=3.6&amp;sourceID=14","3.6")</f>
        <v>3.6</v>
      </c>
      <c r="G16850" s="4" t="str">
        <f>HYPERLINK("http://141.218.60.56/~jnz1568/getInfo.php?workbook=10_05.xlsx&amp;sheet=U0&amp;row=16850&amp;col=7&amp;number=0.000988&amp;sourceID=14","0.000988")</f>
        <v>0.000988</v>
      </c>
    </row>
    <row r="16851" spans="1:7">
      <c r="A16851" s="3"/>
      <c r="B16851" s="3"/>
      <c r="C16851" s="3"/>
      <c r="D16851" s="3"/>
      <c r="E16851" s="3">
        <v>8</v>
      </c>
      <c r="F16851" s="4" t="str">
        <f>HYPERLINK("http://141.218.60.56/~jnz1568/getInfo.php?workbook=10_05.xlsx&amp;sheet=U0&amp;row=16851&amp;col=6&amp;number=3.7&amp;sourceID=14","3.7")</f>
        <v>3.7</v>
      </c>
      <c r="G16851" s="4" t="str">
        <f>HYPERLINK("http://141.218.60.56/~jnz1568/getInfo.php?workbook=10_05.xlsx&amp;sheet=U0&amp;row=16851&amp;col=7&amp;number=0.000965&amp;sourceID=14","0.000965")</f>
        <v>0.000965</v>
      </c>
    </row>
    <row r="16852" spans="1:7">
      <c r="A16852" s="3"/>
      <c r="B16852" s="3"/>
      <c r="C16852" s="3"/>
      <c r="D16852" s="3"/>
      <c r="E16852" s="3">
        <v>9</v>
      </c>
      <c r="F16852" s="4" t="str">
        <f>HYPERLINK("http://141.218.60.56/~jnz1568/getInfo.php?workbook=10_05.xlsx&amp;sheet=U0&amp;row=16852&amp;col=6&amp;number=3.8&amp;sourceID=14","3.8")</f>
        <v>3.8</v>
      </c>
      <c r="G16852" s="4" t="str">
        <f>HYPERLINK("http://141.218.60.56/~jnz1568/getInfo.php?workbook=10_05.xlsx&amp;sheet=U0&amp;row=16852&amp;col=7&amp;number=0.000938&amp;sourceID=14","0.000938")</f>
        <v>0.000938</v>
      </c>
    </row>
    <row r="16853" spans="1:7">
      <c r="A16853" s="3"/>
      <c r="B16853" s="3"/>
      <c r="C16853" s="3"/>
      <c r="D16853" s="3"/>
      <c r="E16853" s="3">
        <v>10</v>
      </c>
      <c r="F16853" s="4" t="str">
        <f>HYPERLINK("http://141.218.60.56/~jnz1568/getInfo.php?workbook=10_05.xlsx&amp;sheet=U0&amp;row=16853&amp;col=6&amp;number=3.9&amp;sourceID=14","3.9")</f>
        <v>3.9</v>
      </c>
      <c r="G16853" s="4" t="str">
        <f>HYPERLINK("http://141.218.60.56/~jnz1568/getInfo.php?workbook=10_05.xlsx&amp;sheet=U0&amp;row=16853&amp;col=7&amp;number=0.000904&amp;sourceID=14","0.000904")</f>
        <v>0.000904</v>
      </c>
    </row>
    <row r="16854" spans="1:7">
      <c r="A16854" s="3"/>
      <c r="B16854" s="3"/>
      <c r="C16854" s="3"/>
      <c r="D16854" s="3"/>
      <c r="E16854" s="3">
        <v>11</v>
      </c>
      <c r="F16854" s="4" t="str">
        <f>HYPERLINK("http://141.218.60.56/~jnz1568/getInfo.php?workbook=10_05.xlsx&amp;sheet=U0&amp;row=16854&amp;col=6&amp;number=4&amp;sourceID=14","4")</f>
        <v>4</v>
      </c>
      <c r="G16854" s="4" t="str">
        <f>HYPERLINK("http://141.218.60.56/~jnz1568/getInfo.php?workbook=10_05.xlsx&amp;sheet=U0&amp;row=16854&amp;col=7&amp;number=0.000864&amp;sourceID=14","0.000864")</f>
        <v>0.000864</v>
      </c>
    </row>
    <row r="16855" spans="1:7">
      <c r="A16855" s="3"/>
      <c r="B16855" s="3"/>
      <c r="C16855" s="3"/>
      <c r="D16855" s="3"/>
      <c r="E16855" s="3">
        <v>12</v>
      </c>
      <c r="F16855" s="4" t="str">
        <f>HYPERLINK("http://141.218.60.56/~jnz1568/getInfo.php?workbook=10_05.xlsx&amp;sheet=U0&amp;row=16855&amp;col=6&amp;number=4.1&amp;sourceID=14","4.1")</f>
        <v>4.1</v>
      </c>
      <c r="G16855" s="4" t="str">
        <f>HYPERLINK("http://141.218.60.56/~jnz1568/getInfo.php?workbook=10_05.xlsx&amp;sheet=U0&amp;row=16855&amp;col=7&amp;number=0.000818&amp;sourceID=14","0.000818")</f>
        <v>0.000818</v>
      </c>
    </row>
    <row r="16856" spans="1:7">
      <c r="A16856" s="3"/>
      <c r="B16856" s="3"/>
      <c r="C16856" s="3"/>
      <c r="D16856" s="3"/>
      <c r="E16856" s="3">
        <v>13</v>
      </c>
      <c r="F16856" s="4" t="str">
        <f>HYPERLINK("http://141.218.60.56/~jnz1568/getInfo.php?workbook=10_05.xlsx&amp;sheet=U0&amp;row=16856&amp;col=6&amp;number=4.2&amp;sourceID=14","4.2")</f>
        <v>4.2</v>
      </c>
      <c r="G16856" s="4" t="str">
        <f>HYPERLINK("http://141.218.60.56/~jnz1568/getInfo.php?workbook=10_05.xlsx&amp;sheet=U0&amp;row=16856&amp;col=7&amp;number=0.000767&amp;sourceID=14","0.000767")</f>
        <v>0.000767</v>
      </c>
    </row>
    <row r="16857" spans="1:7">
      <c r="A16857" s="3"/>
      <c r="B16857" s="3"/>
      <c r="C16857" s="3"/>
      <c r="D16857" s="3"/>
      <c r="E16857" s="3">
        <v>14</v>
      </c>
      <c r="F16857" s="4" t="str">
        <f>HYPERLINK("http://141.218.60.56/~jnz1568/getInfo.php?workbook=10_05.xlsx&amp;sheet=U0&amp;row=16857&amp;col=6&amp;number=4.3&amp;sourceID=14","4.3")</f>
        <v>4.3</v>
      </c>
      <c r="G16857" s="4" t="str">
        <f>HYPERLINK("http://141.218.60.56/~jnz1568/getInfo.php?workbook=10_05.xlsx&amp;sheet=U0&amp;row=16857&amp;col=7&amp;number=0.000713&amp;sourceID=14","0.000713")</f>
        <v>0.000713</v>
      </c>
    </row>
    <row r="16858" spans="1:7">
      <c r="A16858" s="3"/>
      <c r="B16858" s="3"/>
      <c r="C16858" s="3"/>
      <c r="D16858" s="3"/>
      <c r="E16858" s="3">
        <v>15</v>
      </c>
      <c r="F16858" s="4" t="str">
        <f>HYPERLINK("http://141.218.60.56/~jnz1568/getInfo.php?workbook=10_05.xlsx&amp;sheet=U0&amp;row=16858&amp;col=6&amp;number=4.4&amp;sourceID=14","4.4")</f>
        <v>4.4</v>
      </c>
      <c r="G16858" s="4" t="str">
        <f>HYPERLINK("http://141.218.60.56/~jnz1568/getInfo.php?workbook=10_05.xlsx&amp;sheet=U0&amp;row=16858&amp;col=7&amp;number=0.000663&amp;sourceID=14","0.000663")</f>
        <v>0.000663</v>
      </c>
    </row>
    <row r="16859" spans="1:7">
      <c r="A16859" s="3"/>
      <c r="B16859" s="3"/>
      <c r="C16859" s="3"/>
      <c r="D16859" s="3"/>
      <c r="E16859" s="3">
        <v>16</v>
      </c>
      <c r="F16859" s="4" t="str">
        <f>HYPERLINK("http://141.218.60.56/~jnz1568/getInfo.php?workbook=10_05.xlsx&amp;sheet=U0&amp;row=16859&amp;col=6&amp;number=4.5&amp;sourceID=14","4.5")</f>
        <v>4.5</v>
      </c>
      <c r="G16859" s="4" t="str">
        <f>HYPERLINK("http://141.218.60.56/~jnz1568/getInfo.php?workbook=10_05.xlsx&amp;sheet=U0&amp;row=16859&amp;col=7&amp;number=0.000619&amp;sourceID=14","0.000619")</f>
        <v>0.000619</v>
      </c>
    </row>
    <row r="16860" spans="1:7">
      <c r="A16860" s="3"/>
      <c r="B16860" s="3"/>
      <c r="C16860" s="3"/>
      <c r="D16860" s="3"/>
      <c r="E16860" s="3">
        <v>17</v>
      </c>
      <c r="F16860" s="4" t="str">
        <f>HYPERLINK("http://141.218.60.56/~jnz1568/getInfo.php?workbook=10_05.xlsx&amp;sheet=U0&amp;row=16860&amp;col=6&amp;number=4.6&amp;sourceID=14","4.6")</f>
        <v>4.6</v>
      </c>
      <c r="G16860" s="4" t="str">
        <f>HYPERLINK("http://141.218.60.56/~jnz1568/getInfo.php?workbook=10_05.xlsx&amp;sheet=U0&amp;row=16860&amp;col=7&amp;number=0.000584&amp;sourceID=14","0.000584")</f>
        <v>0.000584</v>
      </c>
    </row>
    <row r="16861" spans="1:7">
      <c r="A16861" s="3"/>
      <c r="B16861" s="3"/>
      <c r="C16861" s="3"/>
      <c r="D16861" s="3"/>
      <c r="E16861" s="3">
        <v>18</v>
      </c>
      <c r="F16861" s="4" t="str">
        <f>HYPERLINK("http://141.218.60.56/~jnz1568/getInfo.php?workbook=10_05.xlsx&amp;sheet=U0&amp;row=16861&amp;col=6&amp;number=4.7&amp;sourceID=14","4.7")</f>
        <v>4.7</v>
      </c>
      <c r="G16861" s="4" t="str">
        <f>HYPERLINK("http://141.218.60.56/~jnz1568/getInfo.php?workbook=10_05.xlsx&amp;sheet=U0&amp;row=16861&amp;col=7&amp;number=0.000553&amp;sourceID=14","0.000553")</f>
        <v>0.000553</v>
      </c>
    </row>
    <row r="16862" spans="1:7">
      <c r="A16862" s="3"/>
      <c r="B16862" s="3"/>
      <c r="C16862" s="3"/>
      <c r="D16862" s="3"/>
      <c r="E16862" s="3">
        <v>19</v>
      </c>
      <c r="F16862" s="4" t="str">
        <f>HYPERLINK("http://141.218.60.56/~jnz1568/getInfo.php?workbook=10_05.xlsx&amp;sheet=U0&amp;row=16862&amp;col=6&amp;number=4.8&amp;sourceID=14","4.8")</f>
        <v>4.8</v>
      </c>
      <c r="G16862" s="4" t="str">
        <f>HYPERLINK("http://141.218.60.56/~jnz1568/getInfo.php?workbook=10_05.xlsx&amp;sheet=U0&amp;row=16862&amp;col=7&amp;number=0.000519&amp;sourceID=14","0.000519")</f>
        <v>0.000519</v>
      </c>
    </row>
    <row r="16863" spans="1:7">
      <c r="A16863" s="3"/>
      <c r="B16863" s="3"/>
      <c r="C16863" s="3"/>
      <c r="D16863" s="3"/>
      <c r="E16863" s="3">
        <v>20</v>
      </c>
      <c r="F16863" s="4" t="str">
        <f>HYPERLINK("http://141.218.60.56/~jnz1568/getInfo.php?workbook=10_05.xlsx&amp;sheet=U0&amp;row=16863&amp;col=6&amp;number=4.9&amp;sourceID=14","4.9")</f>
        <v>4.9</v>
      </c>
      <c r="G16863" s="4" t="str">
        <f>HYPERLINK("http://141.218.60.56/~jnz1568/getInfo.php?workbook=10_05.xlsx&amp;sheet=U0&amp;row=16863&amp;col=7&amp;number=0.000484&amp;sourceID=14","0.000484")</f>
        <v>0.000484</v>
      </c>
    </row>
    <row r="16864" spans="1:7">
      <c r="A16864" s="3">
        <v>10</v>
      </c>
      <c r="B16864" s="3">
        <v>5</v>
      </c>
      <c r="C16864" s="3">
        <v>5</v>
      </c>
      <c r="D16864" s="3">
        <v>139</v>
      </c>
      <c r="E16864" s="3">
        <v>1</v>
      </c>
      <c r="F16864" s="4" t="str">
        <f>HYPERLINK("http://141.218.60.56/~jnz1568/getInfo.php?workbook=10_05.xlsx&amp;sheet=U0&amp;row=16864&amp;col=6&amp;number=3&amp;sourceID=14","3")</f>
        <v>3</v>
      </c>
      <c r="G16864" s="4" t="str">
        <f>HYPERLINK("http://141.218.60.56/~jnz1568/getInfo.php?workbook=10_05.xlsx&amp;sheet=U0&amp;row=16864&amp;col=7&amp;number=0.00216&amp;sourceID=14","0.00216")</f>
        <v>0.00216</v>
      </c>
    </row>
    <row r="16865" spans="1:7">
      <c r="A16865" s="3"/>
      <c r="B16865" s="3"/>
      <c r="C16865" s="3"/>
      <c r="D16865" s="3"/>
      <c r="E16865" s="3">
        <v>2</v>
      </c>
      <c r="F16865" s="4" t="str">
        <f>HYPERLINK("http://141.218.60.56/~jnz1568/getInfo.php?workbook=10_05.xlsx&amp;sheet=U0&amp;row=16865&amp;col=6&amp;number=3.1&amp;sourceID=14","3.1")</f>
        <v>3.1</v>
      </c>
      <c r="G16865" s="4" t="str">
        <f>HYPERLINK("http://141.218.60.56/~jnz1568/getInfo.php?workbook=10_05.xlsx&amp;sheet=U0&amp;row=16865&amp;col=7&amp;number=0.00215&amp;sourceID=14","0.00215")</f>
        <v>0.00215</v>
      </c>
    </row>
    <row r="16866" spans="1:7">
      <c r="A16866" s="3"/>
      <c r="B16866" s="3"/>
      <c r="C16866" s="3"/>
      <c r="D16866" s="3"/>
      <c r="E16866" s="3">
        <v>3</v>
      </c>
      <c r="F16866" s="4" t="str">
        <f>HYPERLINK("http://141.218.60.56/~jnz1568/getInfo.php?workbook=10_05.xlsx&amp;sheet=U0&amp;row=16866&amp;col=6&amp;number=3.2&amp;sourceID=14","3.2")</f>
        <v>3.2</v>
      </c>
      <c r="G16866" s="4" t="str">
        <f>HYPERLINK("http://141.218.60.56/~jnz1568/getInfo.php?workbook=10_05.xlsx&amp;sheet=U0&amp;row=16866&amp;col=7&amp;number=0.00213&amp;sourceID=14","0.00213")</f>
        <v>0.00213</v>
      </c>
    </row>
    <row r="16867" spans="1:7">
      <c r="A16867" s="3"/>
      <c r="B16867" s="3"/>
      <c r="C16867" s="3"/>
      <c r="D16867" s="3"/>
      <c r="E16867" s="3">
        <v>4</v>
      </c>
      <c r="F16867" s="4" t="str">
        <f>HYPERLINK("http://141.218.60.56/~jnz1568/getInfo.php?workbook=10_05.xlsx&amp;sheet=U0&amp;row=16867&amp;col=6&amp;number=3.3&amp;sourceID=14","3.3")</f>
        <v>3.3</v>
      </c>
      <c r="G16867" s="4" t="str">
        <f>HYPERLINK("http://141.218.60.56/~jnz1568/getInfo.php?workbook=10_05.xlsx&amp;sheet=U0&amp;row=16867&amp;col=7&amp;number=0.00211&amp;sourceID=14","0.00211")</f>
        <v>0.00211</v>
      </c>
    </row>
    <row r="16868" spans="1:7">
      <c r="A16868" s="3"/>
      <c r="B16868" s="3"/>
      <c r="C16868" s="3"/>
      <c r="D16868" s="3"/>
      <c r="E16868" s="3">
        <v>5</v>
      </c>
      <c r="F16868" s="4" t="str">
        <f>HYPERLINK("http://141.218.60.56/~jnz1568/getInfo.php?workbook=10_05.xlsx&amp;sheet=U0&amp;row=16868&amp;col=6&amp;number=3.4&amp;sourceID=14","3.4")</f>
        <v>3.4</v>
      </c>
      <c r="G16868" s="4" t="str">
        <f>HYPERLINK("http://141.218.60.56/~jnz1568/getInfo.php?workbook=10_05.xlsx&amp;sheet=U0&amp;row=16868&amp;col=7&amp;number=0.00208&amp;sourceID=14","0.00208")</f>
        <v>0.00208</v>
      </c>
    </row>
    <row r="16869" spans="1:7">
      <c r="A16869" s="3"/>
      <c r="B16869" s="3"/>
      <c r="C16869" s="3"/>
      <c r="D16869" s="3"/>
      <c r="E16869" s="3">
        <v>6</v>
      </c>
      <c r="F16869" s="4" t="str">
        <f>HYPERLINK("http://141.218.60.56/~jnz1568/getInfo.php?workbook=10_05.xlsx&amp;sheet=U0&amp;row=16869&amp;col=6&amp;number=3.5&amp;sourceID=14","3.5")</f>
        <v>3.5</v>
      </c>
      <c r="G16869" s="4" t="str">
        <f>HYPERLINK("http://141.218.60.56/~jnz1568/getInfo.php?workbook=10_05.xlsx&amp;sheet=U0&amp;row=16869&amp;col=7&amp;number=0.00205&amp;sourceID=14","0.00205")</f>
        <v>0.00205</v>
      </c>
    </row>
    <row r="16870" spans="1:7">
      <c r="A16870" s="3"/>
      <c r="B16870" s="3"/>
      <c r="C16870" s="3"/>
      <c r="D16870" s="3"/>
      <c r="E16870" s="3">
        <v>7</v>
      </c>
      <c r="F16870" s="4" t="str">
        <f>HYPERLINK("http://141.218.60.56/~jnz1568/getInfo.php?workbook=10_05.xlsx&amp;sheet=U0&amp;row=16870&amp;col=6&amp;number=3.6&amp;sourceID=14","3.6")</f>
        <v>3.6</v>
      </c>
      <c r="G16870" s="4" t="str">
        <f>HYPERLINK("http://141.218.60.56/~jnz1568/getInfo.php?workbook=10_05.xlsx&amp;sheet=U0&amp;row=16870&amp;col=7&amp;number=0.00201&amp;sourceID=14","0.00201")</f>
        <v>0.00201</v>
      </c>
    </row>
    <row r="16871" spans="1:7">
      <c r="A16871" s="3"/>
      <c r="B16871" s="3"/>
      <c r="C16871" s="3"/>
      <c r="D16871" s="3"/>
      <c r="E16871" s="3">
        <v>8</v>
      </c>
      <c r="F16871" s="4" t="str">
        <f>HYPERLINK("http://141.218.60.56/~jnz1568/getInfo.php?workbook=10_05.xlsx&amp;sheet=U0&amp;row=16871&amp;col=6&amp;number=3.7&amp;sourceID=14","3.7")</f>
        <v>3.7</v>
      </c>
      <c r="G16871" s="4" t="str">
        <f>HYPERLINK("http://141.218.60.56/~jnz1568/getInfo.php?workbook=10_05.xlsx&amp;sheet=U0&amp;row=16871&amp;col=7&amp;number=0.00196&amp;sourceID=14","0.00196")</f>
        <v>0.00196</v>
      </c>
    </row>
    <row r="16872" spans="1:7">
      <c r="A16872" s="3"/>
      <c r="B16872" s="3"/>
      <c r="C16872" s="3"/>
      <c r="D16872" s="3"/>
      <c r="E16872" s="3">
        <v>9</v>
      </c>
      <c r="F16872" s="4" t="str">
        <f>HYPERLINK("http://141.218.60.56/~jnz1568/getInfo.php?workbook=10_05.xlsx&amp;sheet=U0&amp;row=16872&amp;col=6&amp;number=3.8&amp;sourceID=14","3.8")</f>
        <v>3.8</v>
      </c>
      <c r="G16872" s="4" t="str">
        <f>HYPERLINK("http://141.218.60.56/~jnz1568/getInfo.php?workbook=10_05.xlsx&amp;sheet=U0&amp;row=16872&amp;col=7&amp;number=0.00189&amp;sourceID=14","0.00189")</f>
        <v>0.00189</v>
      </c>
    </row>
    <row r="16873" spans="1:7">
      <c r="A16873" s="3"/>
      <c r="B16873" s="3"/>
      <c r="C16873" s="3"/>
      <c r="D16873" s="3"/>
      <c r="E16873" s="3">
        <v>10</v>
      </c>
      <c r="F16873" s="4" t="str">
        <f>HYPERLINK("http://141.218.60.56/~jnz1568/getInfo.php?workbook=10_05.xlsx&amp;sheet=U0&amp;row=16873&amp;col=6&amp;number=3.9&amp;sourceID=14","3.9")</f>
        <v>3.9</v>
      </c>
      <c r="G16873" s="4" t="str">
        <f>HYPERLINK("http://141.218.60.56/~jnz1568/getInfo.php?workbook=10_05.xlsx&amp;sheet=U0&amp;row=16873&amp;col=7&amp;number=0.00182&amp;sourceID=14","0.00182")</f>
        <v>0.00182</v>
      </c>
    </row>
    <row r="16874" spans="1:7">
      <c r="A16874" s="3"/>
      <c r="B16874" s="3"/>
      <c r="C16874" s="3"/>
      <c r="D16874" s="3"/>
      <c r="E16874" s="3">
        <v>11</v>
      </c>
      <c r="F16874" s="4" t="str">
        <f>HYPERLINK("http://141.218.60.56/~jnz1568/getInfo.php?workbook=10_05.xlsx&amp;sheet=U0&amp;row=16874&amp;col=6&amp;number=4&amp;sourceID=14","4")</f>
        <v>4</v>
      </c>
      <c r="G16874" s="4" t="str">
        <f>HYPERLINK("http://141.218.60.56/~jnz1568/getInfo.php?workbook=10_05.xlsx&amp;sheet=U0&amp;row=16874&amp;col=7&amp;number=0.00173&amp;sourceID=14","0.00173")</f>
        <v>0.00173</v>
      </c>
    </row>
    <row r="16875" spans="1:7">
      <c r="A16875" s="3"/>
      <c r="B16875" s="3"/>
      <c r="C16875" s="3"/>
      <c r="D16875" s="3"/>
      <c r="E16875" s="3">
        <v>12</v>
      </c>
      <c r="F16875" s="4" t="str">
        <f>HYPERLINK("http://141.218.60.56/~jnz1568/getInfo.php?workbook=10_05.xlsx&amp;sheet=U0&amp;row=16875&amp;col=6&amp;number=4.1&amp;sourceID=14","4.1")</f>
        <v>4.1</v>
      </c>
      <c r="G16875" s="4" t="str">
        <f>HYPERLINK("http://141.218.60.56/~jnz1568/getInfo.php?workbook=10_05.xlsx&amp;sheet=U0&amp;row=16875&amp;col=7&amp;number=0.00163&amp;sourceID=14","0.00163")</f>
        <v>0.00163</v>
      </c>
    </row>
    <row r="16876" spans="1:7">
      <c r="A16876" s="3"/>
      <c r="B16876" s="3"/>
      <c r="C16876" s="3"/>
      <c r="D16876" s="3"/>
      <c r="E16876" s="3">
        <v>13</v>
      </c>
      <c r="F16876" s="4" t="str">
        <f>HYPERLINK("http://141.218.60.56/~jnz1568/getInfo.php?workbook=10_05.xlsx&amp;sheet=U0&amp;row=16876&amp;col=6&amp;number=4.2&amp;sourceID=14","4.2")</f>
        <v>4.2</v>
      </c>
      <c r="G16876" s="4" t="str">
        <f>HYPERLINK("http://141.218.60.56/~jnz1568/getInfo.php?workbook=10_05.xlsx&amp;sheet=U0&amp;row=16876&amp;col=7&amp;number=0.00153&amp;sourceID=14","0.00153")</f>
        <v>0.00153</v>
      </c>
    </row>
    <row r="16877" spans="1:7">
      <c r="A16877" s="3"/>
      <c r="B16877" s="3"/>
      <c r="C16877" s="3"/>
      <c r="D16877" s="3"/>
      <c r="E16877" s="3">
        <v>14</v>
      </c>
      <c r="F16877" s="4" t="str">
        <f>HYPERLINK("http://141.218.60.56/~jnz1568/getInfo.php?workbook=10_05.xlsx&amp;sheet=U0&amp;row=16877&amp;col=6&amp;number=4.3&amp;sourceID=14","4.3")</f>
        <v>4.3</v>
      </c>
      <c r="G16877" s="4" t="str">
        <f>HYPERLINK("http://141.218.60.56/~jnz1568/getInfo.php?workbook=10_05.xlsx&amp;sheet=U0&amp;row=16877&amp;col=7&amp;number=0.00143&amp;sourceID=14","0.00143")</f>
        <v>0.00143</v>
      </c>
    </row>
    <row r="16878" spans="1:7">
      <c r="A16878" s="3"/>
      <c r="B16878" s="3"/>
      <c r="C16878" s="3"/>
      <c r="D16878" s="3"/>
      <c r="E16878" s="3">
        <v>15</v>
      </c>
      <c r="F16878" s="4" t="str">
        <f>HYPERLINK("http://141.218.60.56/~jnz1568/getInfo.php?workbook=10_05.xlsx&amp;sheet=U0&amp;row=16878&amp;col=6&amp;number=4.4&amp;sourceID=14","4.4")</f>
        <v>4.4</v>
      </c>
      <c r="G16878" s="4" t="str">
        <f>HYPERLINK("http://141.218.60.56/~jnz1568/getInfo.php?workbook=10_05.xlsx&amp;sheet=U0&amp;row=16878&amp;col=7&amp;number=0.00134&amp;sourceID=14","0.00134")</f>
        <v>0.00134</v>
      </c>
    </row>
    <row r="16879" spans="1:7">
      <c r="A16879" s="3"/>
      <c r="B16879" s="3"/>
      <c r="C16879" s="3"/>
      <c r="D16879" s="3"/>
      <c r="E16879" s="3">
        <v>16</v>
      </c>
      <c r="F16879" s="4" t="str">
        <f>HYPERLINK("http://141.218.60.56/~jnz1568/getInfo.php?workbook=10_05.xlsx&amp;sheet=U0&amp;row=16879&amp;col=6&amp;number=4.5&amp;sourceID=14","4.5")</f>
        <v>4.5</v>
      </c>
      <c r="G16879" s="4" t="str">
        <f>HYPERLINK("http://141.218.60.56/~jnz1568/getInfo.php?workbook=10_05.xlsx&amp;sheet=U0&amp;row=16879&amp;col=7&amp;number=0.00126&amp;sourceID=14","0.00126")</f>
        <v>0.00126</v>
      </c>
    </row>
    <row r="16880" spans="1:7">
      <c r="A16880" s="3"/>
      <c r="B16880" s="3"/>
      <c r="C16880" s="3"/>
      <c r="D16880" s="3"/>
      <c r="E16880" s="3">
        <v>17</v>
      </c>
      <c r="F16880" s="4" t="str">
        <f>HYPERLINK("http://141.218.60.56/~jnz1568/getInfo.php?workbook=10_05.xlsx&amp;sheet=U0&amp;row=16880&amp;col=6&amp;number=4.6&amp;sourceID=14","4.6")</f>
        <v>4.6</v>
      </c>
      <c r="G16880" s="4" t="str">
        <f>HYPERLINK("http://141.218.60.56/~jnz1568/getInfo.php?workbook=10_05.xlsx&amp;sheet=U0&amp;row=16880&amp;col=7&amp;number=0.00119&amp;sourceID=14","0.00119")</f>
        <v>0.00119</v>
      </c>
    </row>
    <row r="16881" spans="1:7">
      <c r="A16881" s="3"/>
      <c r="B16881" s="3"/>
      <c r="C16881" s="3"/>
      <c r="D16881" s="3"/>
      <c r="E16881" s="3">
        <v>18</v>
      </c>
      <c r="F16881" s="4" t="str">
        <f>HYPERLINK("http://141.218.60.56/~jnz1568/getInfo.php?workbook=10_05.xlsx&amp;sheet=U0&amp;row=16881&amp;col=6&amp;number=4.7&amp;sourceID=14","4.7")</f>
        <v>4.7</v>
      </c>
      <c r="G16881" s="4" t="str">
        <f>HYPERLINK("http://141.218.60.56/~jnz1568/getInfo.php?workbook=10_05.xlsx&amp;sheet=U0&amp;row=16881&amp;col=7&amp;number=0.00112&amp;sourceID=14","0.00112")</f>
        <v>0.00112</v>
      </c>
    </row>
    <row r="16882" spans="1:7">
      <c r="A16882" s="3"/>
      <c r="B16882" s="3"/>
      <c r="C16882" s="3"/>
      <c r="D16882" s="3"/>
      <c r="E16882" s="3">
        <v>19</v>
      </c>
      <c r="F16882" s="4" t="str">
        <f>HYPERLINK("http://141.218.60.56/~jnz1568/getInfo.php?workbook=10_05.xlsx&amp;sheet=U0&amp;row=16882&amp;col=6&amp;number=4.8&amp;sourceID=14","4.8")</f>
        <v>4.8</v>
      </c>
      <c r="G16882" s="4" t="str">
        <f>HYPERLINK("http://141.218.60.56/~jnz1568/getInfo.php?workbook=10_05.xlsx&amp;sheet=U0&amp;row=16882&amp;col=7&amp;number=0.00106&amp;sourceID=14","0.00106")</f>
        <v>0.00106</v>
      </c>
    </row>
    <row r="16883" spans="1:7">
      <c r="A16883" s="3"/>
      <c r="B16883" s="3"/>
      <c r="C16883" s="3"/>
      <c r="D16883" s="3"/>
      <c r="E16883" s="3">
        <v>20</v>
      </c>
      <c r="F16883" s="4" t="str">
        <f>HYPERLINK("http://141.218.60.56/~jnz1568/getInfo.php?workbook=10_05.xlsx&amp;sheet=U0&amp;row=16883&amp;col=6&amp;number=4.9&amp;sourceID=14","4.9")</f>
        <v>4.9</v>
      </c>
      <c r="G16883" s="4" t="str">
        <f>HYPERLINK("http://141.218.60.56/~jnz1568/getInfo.php?workbook=10_05.xlsx&amp;sheet=U0&amp;row=16883&amp;col=7&amp;number=0.000992&amp;sourceID=14","0.000992")</f>
        <v>0.000992</v>
      </c>
    </row>
    <row r="16884" spans="1:7">
      <c r="A16884" s="3">
        <v>10</v>
      </c>
      <c r="B16884" s="3">
        <v>5</v>
      </c>
      <c r="C16884" s="3">
        <v>5</v>
      </c>
      <c r="D16884" s="3">
        <v>140</v>
      </c>
      <c r="E16884" s="3">
        <v>1</v>
      </c>
      <c r="F16884" s="4" t="str">
        <f>HYPERLINK("http://141.218.60.56/~jnz1568/getInfo.php?workbook=10_05.xlsx&amp;sheet=U0&amp;row=16884&amp;col=6&amp;number=3&amp;sourceID=14","3")</f>
        <v>3</v>
      </c>
      <c r="G16884" s="4" t="str">
        <f>HYPERLINK("http://141.218.60.56/~jnz1568/getInfo.php?workbook=10_05.xlsx&amp;sheet=U0&amp;row=16884&amp;col=7&amp;number=0.0131&amp;sourceID=14","0.0131")</f>
        <v>0.0131</v>
      </c>
    </row>
    <row r="16885" spans="1:7">
      <c r="A16885" s="3"/>
      <c r="B16885" s="3"/>
      <c r="C16885" s="3"/>
      <c r="D16885" s="3"/>
      <c r="E16885" s="3">
        <v>2</v>
      </c>
      <c r="F16885" s="4" t="str">
        <f>HYPERLINK("http://141.218.60.56/~jnz1568/getInfo.php?workbook=10_05.xlsx&amp;sheet=U0&amp;row=16885&amp;col=6&amp;number=3.1&amp;sourceID=14","3.1")</f>
        <v>3.1</v>
      </c>
      <c r="G16885" s="4" t="str">
        <f>HYPERLINK("http://141.218.60.56/~jnz1568/getInfo.php?workbook=10_05.xlsx&amp;sheet=U0&amp;row=16885&amp;col=7&amp;number=0.013&amp;sourceID=14","0.013")</f>
        <v>0.013</v>
      </c>
    </row>
    <row r="16886" spans="1:7">
      <c r="A16886" s="3"/>
      <c r="B16886" s="3"/>
      <c r="C16886" s="3"/>
      <c r="D16886" s="3"/>
      <c r="E16886" s="3">
        <v>3</v>
      </c>
      <c r="F16886" s="4" t="str">
        <f>HYPERLINK("http://141.218.60.56/~jnz1568/getInfo.php?workbook=10_05.xlsx&amp;sheet=U0&amp;row=16886&amp;col=6&amp;number=3.2&amp;sourceID=14","3.2")</f>
        <v>3.2</v>
      </c>
      <c r="G16886" s="4" t="str">
        <f>HYPERLINK("http://141.218.60.56/~jnz1568/getInfo.php?workbook=10_05.xlsx&amp;sheet=U0&amp;row=16886&amp;col=7&amp;number=0.0129&amp;sourceID=14","0.0129")</f>
        <v>0.0129</v>
      </c>
    </row>
    <row r="16887" spans="1:7">
      <c r="A16887" s="3"/>
      <c r="B16887" s="3"/>
      <c r="C16887" s="3"/>
      <c r="D16887" s="3"/>
      <c r="E16887" s="3">
        <v>4</v>
      </c>
      <c r="F16887" s="4" t="str">
        <f>HYPERLINK("http://141.218.60.56/~jnz1568/getInfo.php?workbook=10_05.xlsx&amp;sheet=U0&amp;row=16887&amp;col=6&amp;number=3.3&amp;sourceID=14","3.3")</f>
        <v>3.3</v>
      </c>
      <c r="G16887" s="4" t="str">
        <f>HYPERLINK("http://141.218.60.56/~jnz1568/getInfo.php?workbook=10_05.xlsx&amp;sheet=U0&amp;row=16887&amp;col=7&amp;number=0.0128&amp;sourceID=14","0.0128")</f>
        <v>0.0128</v>
      </c>
    </row>
    <row r="16888" spans="1:7">
      <c r="A16888" s="3"/>
      <c r="B16888" s="3"/>
      <c r="C16888" s="3"/>
      <c r="D16888" s="3"/>
      <c r="E16888" s="3">
        <v>5</v>
      </c>
      <c r="F16888" s="4" t="str">
        <f>HYPERLINK("http://141.218.60.56/~jnz1568/getInfo.php?workbook=10_05.xlsx&amp;sheet=U0&amp;row=16888&amp;col=6&amp;number=3.4&amp;sourceID=14","3.4")</f>
        <v>3.4</v>
      </c>
      <c r="G16888" s="4" t="str">
        <f>HYPERLINK("http://141.218.60.56/~jnz1568/getInfo.php?workbook=10_05.xlsx&amp;sheet=U0&amp;row=16888&amp;col=7&amp;number=0.0126&amp;sourceID=14","0.0126")</f>
        <v>0.0126</v>
      </c>
    </row>
    <row r="16889" spans="1:7">
      <c r="A16889" s="3"/>
      <c r="B16889" s="3"/>
      <c r="C16889" s="3"/>
      <c r="D16889" s="3"/>
      <c r="E16889" s="3">
        <v>6</v>
      </c>
      <c r="F16889" s="4" t="str">
        <f>HYPERLINK("http://141.218.60.56/~jnz1568/getInfo.php?workbook=10_05.xlsx&amp;sheet=U0&amp;row=16889&amp;col=6&amp;number=3.5&amp;sourceID=14","3.5")</f>
        <v>3.5</v>
      </c>
      <c r="G16889" s="4" t="str">
        <f>HYPERLINK("http://141.218.60.56/~jnz1568/getInfo.php?workbook=10_05.xlsx&amp;sheet=U0&amp;row=16889&amp;col=7&amp;number=0.0124&amp;sourceID=14","0.0124")</f>
        <v>0.0124</v>
      </c>
    </row>
    <row r="16890" spans="1:7">
      <c r="A16890" s="3"/>
      <c r="B16890" s="3"/>
      <c r="C16890" s="3"/>
      <c r="D16890" s="3"/>
      <c r="E16890" s="3">
        <v>7</v>
      </c>
      <c r="F16890" s="4" t="str">
        <f>HYPERLINK("http://141.218.60.56/~jnz1568/getInfo.php?workbook=10_05.xlsx&amp;sheet=U0&amp;row=16890&amp;col=6&amp;number=3.6&amp;sourceID=14","3.6")</f>
        <v>3.6</v>
      </c>
      <c r="G16890" s="4" t="str">
        <f>HYPERLINK("http://141.218.60.56/~jnz1568/getInfo.php?workbook=10_05.xlsx&amp;sheet=U0&amp;row=16890&amp;col=7&amp;number=0.0121&amp;sourceID=14","0.0121")</f>
        <v>0.0121</v>
      </c>
    </row>
    <row r="16891" spans="1:7">
      <c r="A16891" s="3"/>
      <c r="B16891" s="3"/>
      <c r="C16891" s="3"/>
      <c r="D16891" s="3"/>
      <c r="E16891" s="3">
        <v>8</v>
      </c>
      <c r="F16891" s="4" t="str">
        <f>HYPERLINK("http://141.218.60.56/~jnz1568/getInfo.php?workbook=10_05.xlsx&amp;sheet=U0&amp;row=16891&amp;col=6&amp;number=3.7&amp;sourceID=14","3.7")</f>
        <v>3.7</v>
      </c>
      <c r="G16891" s="4" t="str">
        <f>HYPERLINK("http://141.218.60.56/~jnz1568/getInfo.php?workbook=10_05.xlsx&amp;sheet=U0&amp;row=16891&amp;col=7&amp;number=0.0118&amp;sourceID=14","0.0118")</f>
        <v>0.0118</v>
      </c>
    </row>
    <row r="16892" spans="1:7">
      <c r="A16892" s="3"/>
      <c r="B16892" s="3"/>
      <c r="C16892" s="3"/>
      <c r="D16892" s="3"/>
      <c r="E16892" s="3">
        <v>9</v>
      </c>
      <c r="F16892" s="4" t="str">
        <f>HYPERLINK("http://141.218.60.56/~jnz1568/getInfo.php?workbook=10_05.xlsx&amp;sheet=U0&amp;row=16892&amp;col=6&amp;number=3.8&amp;sourceID=14","3.8")</f>
        <v>3.8</v>
      </c>
      <c r="G16892" s="4" t="str">
        <f>HYPERLINK("http://141.218.60.56/~jnz1568/getInfo.php?workbook=10_05.xlsx&amp;sheet=U0&amp;row=16892&amp;col=7&amp;number=0.0114&amp;sourceID=14","0.0114")</f>
        <v>0.0114</v>
      </c>
    </row>
    <row r="16893" spans="1:7">
      <c r="A16893" s="3"/>
      <c r="B16893" s="3"/>
      <c r="C16893" s="3"/>
      <c r="D16893" s="3"/>
      <c r="E16893" s="3">
        <v>10</v>
      </c>
      <c r="F16893" s="4" t="str">
        <f>HYPERLINK("http://141.218.60.56/~jnz1568/getInfo.php?workbook=10_05.xlsx&amp;sheet=U0&amp;row=16893&amp;col=6&amp;number=3.9&amp;sourceID=14","3.9")</f>
        <v>3.9</v>
      </c>
      <c r="G16893" s="4" t="str">
        <f>HYPERLINK("http://141.218.60.56/~jnz1568/getInfo.php?workbook=10_05.xlsx&amp;sheet=U0&amp;row=16893&amp;col=7&amp;number=0.0109&amp;sourceID=14","0.0109")</f>
        <v>0.0109</v>
      </c>
    </row>
    <row r="16894" spans="1:7">
      <c r="A16894" s="3"/>
      <c r="B16894" s="3"/>
      <c r="C16894" s="3"/>
      <c r="D16894" s="3"/>
      <c r="E16894" s="3">
        <v>11</v>
      </c>
      <c r="F16894" s="4" t="str">
        <f>HYPERLINK("http://141.218.60.56/~jnz1568/getInfo.php?workbook=10_05.xlsx&amp;sheet=U0&amp;row=16894&amp;col=6&amp;number=4&amp;sourceID=14","4")</f>
        <v>4</v>
      </c>
      <c r="G16894" s="4" t="str">
        <f>HYPERLINK("http://141.218.60.56/~jnz1568/getInfo.php?workbook=10_05.xlsx&amp;sheet=U0&amp;row=16894&amp;col=7&amp;number=0.0104&amp;sourceID=14","0.0104")</f>
        <v>0.0104</v>
      </c>
    </row>
    <row r="16895" spans="1:7">
      <c r="A16895" s="3"/>
      <c r="B16895" s="3"/>
      <c r="C16895" s="3"/>
      <c r="D16895" s="3"/>
      <c r="E16895" s="3">
        <v>12</v>
      </c>
      <c r="F16895" s="4" t="str">
        <f>HYPERLINK("http://141.218.60.56/~jnz1568/getInfo.php?workbook=10_05.xlsx&amp;sheet=U0&amp;row=16895&amp;col=6&amp;number=4.1&amp;sourceID=14","4.1")</f>
        <v>4.1</v>
      </c>
      <c r="G16895" s="4" t="str">
        <f>HYPERLINK("http://141.218.60.56/~jnz1568/getInfo.php?workbook=10_05.xlsx&amp;sheet=U0&amp;row=16895&amp;col=7&amp;number=0.00973&amp;sourceID=14","0.00973")</f>
        <v>0.00973</v>
      </c>
    </row>
    <row r="16896" spans="1:7">
      <c r="A16896" s="3"/>
      <c r="B16896" s="3"/>
      <c r="C16896" s="3"/>
      <c r="D16896" s="3"/>
      <c r="E16896" s="3">
        <v>13</v>
      </c>
      <c r="F16896" s="4" t="str">
        <f>HYPERLINK("http://141.218.60.56/~jnz1568/getInfo.php?workbook=10_05.xlsx&amp;sheet=U0&amp;row=16896&amp;col=6&amp;number=4.2&amp;sourceID=14","4.2")</f>
        <v>4.2</v>
      </c>
      <c r="G16896" s="4" t="str">
        <f>HYPERLINK("http://141.218.60.56/~jnz1568/getInfo.php?workbook=10_05.xlsx&amp;sheet=U0&amp;row=16896&amp;col=7&amp;number=0.00906&amp;sourceID=14","0.00906")</f>
        <v>0.00906</v>
      </c>
    </row>
    <row r="16897" spans="1:7">
      <c r="A16897" s="3"/>
      <c r="B16897" s="3"/>
      <c r="C16897" s="3"/>
      <c r="D16897" s="3"/>
      <c r="E16897" s="3">
        <v>14</v>
      </c>
      <c r="F16897" s="4" t="str">
        <f>HYPERLINK("http://141.218.60.56/~jnz1568/getInfo.php?workbook=10_05.xlsx&amp;sheet=U0&amp;row=16897&amp;col=6&amp;number=4.3&amp;sourceID=14","4.3")</f>
        <v>4.3</v>
      </c>
      <c r="G16897" s="4" t="str">
        <f>HYPERLINK("http://141.218.60.56/~jnz1568/getInfo.php?workbook=10_05.xlsx&amp;sheet=U0&amp;row=16897&amp;col=7&amp;number=0.00839&amp;sourceID=14","0.00839")</f>
        <v>0.00839</v>
      </c>
    </row>
    <row r="16898" spans="1:7">
      <c r="A16898" s="3"/>
      <c r="B16898" s="3"/>
      <c r="C16898" s="3"/>
      <c r="D16898" s="3"/>
      <c r="E16898" s="3">
        <v>15</v>
      </c>
      <c r="F16898" s="4" t="str">
        <f>HYPERLINK("http://141.218.60.56/~jnz1568/getInfo.php?workbook=10_05.xlsx&amp;sheet=U0&amp;row=16898&amp;col=6&amp;number=4.4&amp;sourceID=14","4.4")</f>
        <v>4.4</v>
      </c>
      <c r="G16898" s="4" t="str">
        <f>HYPERLINK("http://141.218.60.56/~jnz1568/getInfo.php?workbook=10_05.xlsx&amp;sheet=U0&amp;row=16898&amp;col=7&amp;number=0.00779&amp;sourceID=14","0.00779")</f>
        <v>0.00779</v>
      </c>
    </row>
    <row r="16899" spans="1:7">
      <c r="A16899" s="3"/>
      <c r="B16899" s="3"/>
      <c r="C16899" s="3"/>
      <c r="D16899" s="3"/>
      <c r="E16899" s="3">
        <v>16</v>
      </c>
      <c r="F16899" s="4" t="str">
        <f>HYPERLINK("http://141.218.60.56/~jnz1568/getInfo.php?workbook=10_05.xlsx&amp;sheet=U0&amp;row=16899&amp;col=6&amp;number=4.5&amp;sourceID=14","4.5")</f>
        <v>4.5</v>
      </c>
      <c r="G16899" s="4" t="str">
        <f>HYPERLINK("http://141.218.60.56/~jnz1568/getInfo.php?workbook=10_05.xlsx&amp;sheet=U0&amp;row=16899&amp;col=7&amp;number=0.00727&amp;sourceID=14","0.00727")</f>
        <v>0.00727</v>
      </c>
    </row>
    <row r="16900" spans="1:7">
      <c r="A16900" s="3"/>
      <c r="B16900" s="3"/>
      <c r="C16900" s="3"/>
      <c r="D16900" s="3"/>
      <c r="E16900" s="3">
        <v>17</v>
      </c>
      <c r="F16900" s="4" t="str">
        <f>HYPERLINK("http://141.218.60.56/~jnz1568/getInfo.php?workbook=10_05.xlsx&amp;sheet=U0&amp;row=16900&amp;col=6&amp;number=4.6&amp;sourceID=14","4.6")</f>
        <v>4.6</v>
      </c>
      <c r="G16900" s="4" t="str">
        <f>HYPERLINK("http://141.218.60.56/~jnz1568/getInfo.php?workbook=10_05.xlsx&amp;sheet=U0&amp;row=16900&amp;col=7&amp;number=0.00682&amp;sourceID=14","0.00682")</f>
        <v>0.00682</v>
      </c>
    </row>
    <row r="16901" spans="1:7">
      <c r="A16901" s="3"/>
      <c r="B16901" s="3"/>
      <c r="C16901" s="3"/>
      <c r="D16901" s="3"/>
      <c r="E16901" s="3">
        <v>18</v>
      </c>
      <c r="F16901" s="4" t="str">
        <f>HYPERLINK("http://141.218.60.56/~jnz1568/getInfo.php?workbook=10_05.xlsx&amp;sheet=U0&amp;row=16901&amp;col=6&amp;number=4.7&amp;sourceID=14","4.7")</f>
        <v>4.7</v>
      </c>
      <c r="G16901" s="4" t="str">
        <f>HYPERLINK("http://141.218.60.56/~jnz1568/getInfo.php?workbook=10_05.xlsx&amp;sheet=U0&amp;row=16901&amp;col=7&amp;number=0.00639&amp;sourceID=14","0.00639")</f>
        <v>0.00639</v>
      </c>
    </row>
    <row r="16902" spans="1:7">
      <c r="A16902" s="3"/>
      <c r="B16902" s="3"/>
      <c r="C16902" s="3"/>
      <c r="D16902" s="3"/>
      <c r="E16902" s="3">
        <v>19</v>
      </c>
      <c r="F16902" s="4" t="str">
        <f>HYPERLINK("http://141.218.60.56/~jnz1568/getInfo.php?workbook=10_05.xlsx&amp;sheet=U0&amp;row=16902&amp;col=6&amp;number=4.8&amp;sourceID=14","4.8")</f>
        <v>4.8</v>
      </c>
      <c r="G16902" s="4" t="str">
        <f>HYPERLINK("http://141.218.60.56/~jnz1568/getInfo.php?workbook=10_05.xlsx&amp;sheet=U0&amp;row=16902&amp;col=7&amp;number=0.00598&amp;sourceID=14","0.00598")</f>
        <v>0.00598</v>
      </c>
    </row>
    <row r="16903" spans="1:7">
      <c r="A16903" s="3"/>
      <c r="B16903" s="3"/>
      <c r="C16903" s="3"/>
      <c r="D16903" s="3"/>
      <c r="E16903" s="3">
        <v>20</v>
      </c>
      <c r="F16903" s="4" t="str">
        <f>HYPERLINK("http://141.218.60.56/~jnz1568/getInfo.php?workbook=10_05.xlsx&amp;sheet=U0&amp;row=16903&amp;col=6&amp;number=4.9&amp;sourceID=14","4.9")</f>
        <v>4.9</v>
      </c>
      <c r="G16903" s="4" t="str">
        <f>HYPERLINK("http://141.218.60.56/~jnz1568/getInfo.php?workbook=10_05.xlsx&amp;sheet=U0&amp;row=16903&amp;col=7&amp;number=0.00561&amp;sourceID=14","0.00561")</f>
        <v>0.00561</v>
      </c>
    </row>
    <row r="16904" spans="1:7">
      <c r="A16904" s="3">
        <v>10</v>
      </c>
      <c r="B16904" s="3">
        <v>5</v>
      </c>
      <c r="C16904" s="3">
        <v>5</v>
      </c>
      <c r="D16904" s="3">
        <v>141</v>
      </c>
      <c r="E16904" s="3">
        <v>1</v>
      </c>
      <c r="F16904" s="4" t="str">
        <f>HYPERLINK("http://141.218.60.56/~jnz1568/getInfo.php?workbook=10_05.xlsx&amp;sheet=U0&amp;row=16904&amp;col=6&amp;number=3&amp;sourceID=14","3")</f>
        <v>3</v>
      </c>
      <c r="G16904" s="4" t="str">
        <f>HYPERLINK("http://141.218.60.56/~jnz1568/getInfo.php?workbook=10_05.xlsx&amp;sheet=U0&amp;row=16904&amp;col=7&amp;number=0.00606&amp;sourceID=14","0.00606")</f>
        <v>0.00606</v>
      </c>
    </row>
    <row r="16905" spans="1:7">
      <c r="A16905" s="3"/>
      <c r="B16905" s="3"/>
      <c r="C16905" s="3"/>
      <c r="D16905" s="3"/>
      <c r="E16905" s="3">
        <v>2</v>
      </c>
      <c r="F16905" s="4" t="str">
        <f>HYPERLINK("http://141.218.60.56/~jnz1568/getInfo.php?workbook=10_05.xlsx&amp;sheet=U0&amp;row=16905&amp;col=6&amp;number=3.1&amp;sourceID=14","3.1")</f>
        <v>3.1</v>
      </c>
      <c r="G16905" s="4" t="str">
        <f>HYPERLINK("http://141.218.60.56/~jnz1568/getInfo.php?workbook=10_05.xlsx&amp;sheet=U0&amp;row=16905&amp;col=7&amp;number=0.00604&amp;sourceID=14","0.00604")</f>
        <v>0.00604</v>
      </c>
    </row>
    <row r="16906" spans="1:7">
      <c r="A16906" s="3"/>
      <c r="B16906" s="3"/>
      <c r="C16906" s="3"/>
      <c r="D16906" s="3"/>
      <c r="E16906" s="3">
        <v>3</v>
      </c>
      <c r="F16906" s="4" t="str">
        <f>HYPERLINK("http://141.218.60.56/~jnz1568/getInfo.php?workbook=10_05.xlsx&amp;sheet=U0&amp;row=16906&amp;col=6&amp;number=3.2&amp;sourceID=14","3.2")</f>
        <v>3.2</v>
      </c>
      <c r="G16906" s="4" t="str">
        <f>HYPERLINK("http://141.218.60.56/~jnz1568/getInfo.php?workbook=10_05.xlsx&amp;sheet=U0&amp;row=16906&amp;col=7&amp;number=0.00602&amp;sourceID=14","0.00602")</f>
        <v>0.00602</v>
      </c>
    </row>
    <row r="16907" spans="1:7">
      <c r="A16907" s="3"/>
      <c r="B16907" s="3"/>
      <c r="C16907" s="3"/>
      <c r="D16907" s="3"/>
      <c r="E16907" s="3">
        <v>4</v>
      </c>
      <c r="F16907" s="4" t="str">
        <f>HYPERLINK("http://141.218.60.56/~jnz1568/getInfo.php?workbook=10_05.xlsx&amp;sheet=U0&amp;row=16907&amp;col=6&amp;number=3.3&amp;sourceID=14","3.3")</f>
        <v>3.3</v>
      </c>
      <c r="G16907" s="4" t="str">
        <f>HYPERLINK("http://141.218.60.56/~jnz1568/getInfo.php?workbook=10_05.xlsx&amp;sheet=U0&amp;row=16907&amp;col=7&amp;number=0.006&amp;sourceID=14","0.006")</f>
        <v>0.006</v>
      </c>
    </row>
    <row r="16908" spans="1:7">
      <c r="A16908" s="3"/>
      <c r="B16908" s="3"/>
      <c r="C16908" s="3"/>
      <c r="D16908" s="3"/>
      <c r="E16908" s="3">
        <v>5</v>
      </c>
      <c r="F16908" s="4" t="str">
        <f>HYPERLINK("http://141.218.60.56/~jnz1568/getInfo.php?workbook=10_05.xlsx&amp;sheet=U0&amp;row=16908&amp;col=6&amp;number=3.4&amp;sourceID=14","3.4")</f>
        <v>3.4</v>
      </c>
      <c r="G16908" s="4" t="str">
        <f>HYPERLINK("http://141.218.60.56/~jnz1568/getInfo.php?workbook=10_05.xlsx&amp;sheet=U0&amp;row=16908&amp;col=7&amp;number=0.00597&amp;sourceID=14","0.00597")</f>
        <v>0.00597</v>
      </c>
    </row>
    <row r="16909" spans="1:7">
      <c r="A16909" s="3"/>
      <c r="B16909" s="3"/>
      <c r="C16909" s="3"/>
      <c r="D16909" s="3"/>
      <c r="E16909" s="3">
        <v>6</v>
      </c>
      <c r="F16909" s="4" t="str">
        <f>HYPERLINK("http://141.218.60.56/~jnz1568/getInfo.php?workbook=10_05.xlsx&amp;sheet=U0&amp;row=16909&amp;col=6&amp;number=3.5&amp;sourceID=14","3.5")</f>
        <v>3.5</v>
      </c>
      <c r="G16909" s="4" t="str">
        <f>HYPERLINK("http://141.218.60.56/~jnz1568/getInfo.php?workbook=10_05.xlsx&amp;sheet=U0&amp;row=16909&amp;col=7&amp;number=0.00593&amp;sourceID=14","0.00593")</f>
        <v>0.00593</v>
      </c>
    </row>
    <row r="16910" spans="1:7">
      <c r="A16910" s="3"/>
      <c r="B16910" s="3"/>
      <c r="C16910" s="3"/>
      <c r="D16910" s="3"/>
      <c r="E16910" s="3">
        <v>7</v>
      </c>
      <c r="F16910" s="4" t="str">
        <f>HYPERLINK("http://141.218.60.56/~jnz1568/getInfo.php?workbook=10_05.xlsx&amp;sheet=U0&amp;row=16910&amp;col=6&amp;number=3.6&amp;sourceID=14","3.6")</f>
        <v>3.6</v>
      </c>
      <c r="G16910" s="4" t="str">
        <f>HYPERLINK("http://141.218.60.56/~jnz1568/getInfo.php?workbook=10_05.xlsx&amp;sheet=U0&amp;row=16910&amp;col=7&amp;number=0.00588&amp;sourceID=14","0.00588")</f>
        <v>0.00588</v>
      </c>
    </row>
    <row r="16911" spans="1:7">
      <c r="A16911" s="3"/>
      <c r="B16911" s="3"/>
      <c r="C16911" s="3"/>
      <c r="D16911" s="3"/>
      <c r="E16911" s="3">
        <v>8</v>
      </c>
      <c r="F16911" s="4" t="str">
        <f>HYPERLINK("http://141.218.60.56/~jnz1568/getInfo.php?workbook=10_05.xlsx&amp;sheet=U0&amp;row=16911&amp;col=6&amp;number=3.7&amp;sourceID=14","3.7")</f>
        <v>3.7</v>
      </c>
      <c r="G16911" s="4" t="str">
        <f>HYPERLINK("http://141.218.60.56/~jnz1568/getInfo.php?workbook=10_05.xlsx&amp;sheet=U0&amp;row=16911&amp;col=7&amp;number=0.00583&amp;sourceID=14","0.00583")</f>
        <v>0.00583</v>
      </c>
    </row>
    <row r="16912" spans="1:7">
      <c r="A16912" s="3"/>
      <c r="B16912" s="3"/>
      <c r="C16912" s="3"/>
      <c r="D16912" s="3"/>
      <c r="E16912" s="3">
        <v>9</v>
      </c>
      <c r="F16912" s="4" t="str">
        <f>HYPERLINK("http://141.218.60.56/~jnz1568/getInfo.php?workbook=10_05.xlsx&amp;sheet=U0&amp;row=16912&amp;col=6&amp;number=3.8&amp;sourceID=14","3.8")</f>
        <v>3.8</v>
      </c>
      <c r="G16912" s="4" t="str">
        <f>HYPERLINK("http://141.218.60.56/~jnz1568/getInfo.php?workbook=10_05.xlsx&amp;sheet=U0&amp;row=16912&amp;col=7&amp;number=0.00576&amp;sourceID=14","0.00576")</f>
        <v>0.00576</v>
      </c>
    </row>
    <row r="16913" spans="1:7">
      <c r="A16913" s="3"/>
      <c r="B16913" s="3"/>
      <c r="C16913" s="3"/>
      <c r="D16913" s="3"/>
      <c r="E16913" s="3">
        <v>10</v>
      </c>
      <c r="F16913" s="4" t="str">
        <f>HYPERLINK("http://141.218.60.56/~jnz1568/getInfo.php?workbook=10_05.xlsx&amp;sheet=U0&amp;row=16913&amp;col=6&amp;number=3.9&amp;sourceID=14","3.9")</f>
        <v>3.9</v>
      </c>
      <c r="G16913" s="4" t="str">
        <f>HYPERLINK("http://141.218.60.56/~jnz1568/getInfo.php?workbook=10_05.xlsx&amp;sheet=U0&amp;row=16913&amp;col=7&amp;number=0.00568&amp;sourceID=14","0.00568")</f>
        <v>0.00568</v>
      </c>
    </row>
    <row r="16914" spans="1:7">
      <c r="A16914" s="3"/>
      <c r="B16914" s="3"/>
      <c r="C16914" s="3"/>
      <c r="D16914" s="3"/>
      <c r="E16914" s="3">
        <v>11</v>
      </c>
      <c r="F16914" s="4" t="str">
        <f>HYPERLINK("http://141.218.60.56/~jnz1568/getInfo.php?workbook=10_05.xlsx&amp;sheet=U0&amp;row=16914&amp;col=6&amp;number=4&amp;sourceID=14","4")</f>
        <v>4</v>
      </c>
      <c r="G16914" s="4" t="str">
        <f>HYPERLINK("http://141.218.60.56/~jnz1568/getInfo.php?workbook=10_05.xlsx&amp;sheet=U0&amp;row=16914&amp;col=7&amp;number=0.00559&amp;sourceID=14","0.00559")</f>
        <v>0.00559</v>
      </c>
    </row>
    <row r="16915" spans="1:7">
      <c r="A16915" s="3"/>
      <c r="B16915" s="3"/>
      <c r="C16915" s="3"/>
      <c r="D16915" s="3"/>
      <c r="E16915" s="3">
        <v>12</v>
      </c>
      <c r="F16915" s="4" t="str">
        <f>HYPERLINK("http://141.218.60.56/~jnz1568/getInfo.php?workbook=10_05.xlsx&amp;sheet=U0&amp;row=16915&amp;col=6&amp;number=4.1&amp;sourceID=14","4.1")</f>
        <v>4.1</v>
      </c>
      <c r="G16915" s="4" t="str">
        <f>HYPERLINK("http://141.218.60.56/~jnz1568/getInfo.php?workbook=10_05.xlsx&amp;sheet=U0&amp;row=16915&amp;col=7&amp;number=0.0055&amp;sourceID=14","0.0055")</f>
        <v>0.0055</v>
      </c>
    </row>
    <row r="16916" spans="1:7">
      <c r="A16916" s="3"/>
      <c r="B16916" s="3"/>
      <c r="C16916" s="3"/>
      <c r="D16916" s="3"/>
      <c r="E16916" s="3">
        <v>13</v>
      </c>
      <c r="F16916" s="4" t="str">
        <f>HYPERLINK("http://141.218.60.56/~jnz1568/getInfo.php?workbook=10_05.xlsx&amp;sheet=U0&amp;row=16916&amp;col=6&amp;number=4.2&amp;sourceID=14","4.2")</f>
        <v>4.2</v>
      </c>
      <c r="G16916" s="4" t="str">
        <f>HYPERLINK("http://141.218.60.56/~jnz1568/getInfo.php?workbook=10_05.xlsx&amp;sheet=U0&amp;row=16916&amp;col=7&amp;number=0.00542&amp;sourceID=14","0.00542")</f>
        <v>0.00542</v>
      </c>
    </row>
    <row r="16917" spans="1:7">
      <c r="A16917" s="3"/>
      <c r="B16917" s="3"/>
      <c r="C16917" s="3"/>
      <c r="D16917" s="3"/>
      <c r="E16917" s="3">
        <v>14</v>
      </c>
      <c r="F16917" s="4" t="str">
        <f>HYPERLINK("http://141.218.60.56/~jnz1568/getInfo.php?workbook=10_05.xlsx&amp;sheet=U0&amp;row=16917&amp;col=6&amp;number=4.3&amp;sourceID=14","4.3")</f>
        <v>4.3</v>
      </c>
      <c r="G16917" s="4" t="str">
        <f>HYPERLINK("http://141.218.60.56/~jnz1568/getInfo.php?workbook=10_05.xlsx&amp;sheet=U0&amp;row=16917&amp;col=7&amp;number=0.00536&amp;sourceID=14","0.00536")</f>
        <v>0.00536</v>
      </c>
    </row>
    <row r="16918" spans="1:7">
      <c r="A16918" s="3"/>
      <c r="B16918" s="3"/>
      <c r="C16918" s="3"/>
      <c r="D16918" s="3"/>
      <c r="E16918" s="3">
        <v>15</v>
      </c>
      <c r="F16918" s="4" t="str">
        <f>HYPERLINK("http://141.218.60.56/~jnz1568/getInfo.php?workbook=10_05.xlsx&amp;sheet=U0&amp;row=16918&amp;col=6&amp;number=4.4&amp;sourceID=14","4.4")</f>
        <v>4.4</v>
      </c>
      <c r="G16918" s="4" t="str">
        <f>HYPERLINK("http://141.218.60.56/~jnz1568/getInfo.php?workbook=10_05.xlsx&amp;sheet=U0&amp;row=16918&amp;col=7&amp;number=0.00532&amp;sourceID=14","0.00532")</f>
        <v>0.00532</v>
      </c>
    </row>
    <row r="16919" spans="1:7">
      <c r="A16919" s="3"/>
      <c r="B16919" s="3"/>
      <c r="C16919" s="3"/>
      <c r="D16919" s="3"/>
      <c r="E16919" s="3">
        <v>16</v>
      </c>
      <c r="F16919" s="4" t="str">
        <f>HYPERLINK("http://141.218.60.56/~jnz1568/getInfo.php?workbook=10_05.xlsx&amp;sheet=U0&amp;row=16919&amp;col=6&amp;number=4.5&amp;sourceID=14","4.5")</f>
        <v>4.5</v>
      </c>
      <c r="G16919" s="4" t="str">
        <f>HYPERLINK("http://141.218.60.56/~jnz1568/getInfo.php?workbook=10_05.xlsx&amp;sheet=U0&amp;row=16919&amp;col=7&amp;number=0.00529&amp;sourceID=14","0.00529")</f>
        <v>0.00529</v>
      </c>
    </row>
    <row r="16920" spans="1:7">
      <c r="A16920" s="3"/>
      <c r="B16920" s="3"/>
      <c r="C16920" s="3"/>
      <c r="D16920" s="3"/>
      <c r="E16920" s="3">
        <v>17</v>
      </c>
      <c r="F16920" s="4" t="str">
        <f>HYPERLINK("http://141.218.60.56/~jnz1568/getInfo.php?workbook=10_05.xlsx&amp;sheet=U0&amp;row=16920&amp;col=6&amp;number=4.6&amp;sourceID=14","4.6")</f>
        <v>4.6</v>
      </c>
      <c r="G16920" s="4" t="str">
        <f>HYPERLINK("http://141.218.60.56/~jnz1568/getInfo.php?workbook=10_05.xlsx&amp;sheet=U0&amp;row=16920&amp;col=7&amp;number=0.00525&amp;sourceID=14","0.00525")</f>
        <v>0.00525</v>
      </c>
    </row>
    <row r="16921" spans="1:7">
      <c r="A16921" s="3"/>
      <c r="B16921" s="3"/>
      <c r="C16921" s="3"/>
      <c r="D16921" s="3"/>
      <c r="E16921" s="3">
        <v>18</v>
      </c>
      <c r="F16921" s="4" t="str">
        <f>HYPERLINK("http://141.218.60.56/~jnz1568/getInfo.php?workbook=10_05.xlsx&amp;sheet=U0&amp;row=16921&amp;col=6&amp;number=4.7&amp;sourceID=14","4.7")</f>
        <v>4.7</v>
      </c>
      <c r="G16921" s="4" t="str">
        <f>HYPERLINK("http://141.218.60.56/~jnz1568/getInfo.php?workbook=10_05.xlsx&amp;sheet=U0&amp;row=16921&amp;col=7&amp;number=0.00517&amp;sourceID=14","0.00517")</f>
        <v>0.00517</v>
      </c>
    </row>
    <row r="16922" spans="1:7">
      <c r="A16922" s="3"/>
      <c r="B16922" s="3"/>
      <c r="C16922" s="3"/>
      <c r="D16922" s="3"/>
      <c r="E16922" s="3">
        <v>19</v>
      </c>
      <c r="F16922" s="4" t="str">
        <f>HYPERLINK("http://141.218.60.56/~jnz1568/getInfo.php?workbook=10_05.xlsx&amp;sheet=U0&amp;row=16922&amp;col=6&amp;number=4.8&amp;sourceID=14","4.8")</f>
        <v>4.8</v>
      </c>
      <c r="G16922" s="4" t="str">
        <f>HYPERLINK("http://141.218.60.56/~jnz1568/getInfo.php?workbook=10_05.xlsx&amp;sheet=U0&amp;row=16922&amp;col=7&amp;number=0.00508&amp;sourceID=14","0.00508")</f>
        <v>0.00508</v>
      </c>
    </row>
    <row r="16923" spans="1:7">
      <c r="A16923" s="3"/>
      <c r="B16923" s="3"/>
      <c r="C16923" s="3"/>
      <c r="D16923" s="3"/>
      <c r="E16923" s="3">
        <v>20</v>
      </c>
      <c r="F16923" s="4" t="str">
        <f>HYPERLINK("http://141.218.60.56/~jnz1568/getInfo.php?workbook=10_05.xlsx&amp;sheet=U0&amp;row=16923&amp;col=6&amp;number=4.9&amp;sourceID=14","4.9")</f>
        <v>4.9</v>
      </c>
      <c r="G16923" s="4" t="str">
        <f>HYPERLINK("http://141.218.60.56/~jnz1568/getInfo.php?workbook=10_05.xlsx&amp;sheet=U0&amp;row=16923&amp;col=7&amp;number=0.00501&amp;sourceID=14","0.00501")</f>
        <v>0.00501</v>
      </c>
    </row>
    <row r="16924" spans="1:7">
      <c r="A16924" s="3">
        <v>10</v>
      </c>
      <c r="B16924" s="3">
        <v>5</v>
      </c>
      <c r="C16924" s="3">
        <v>5</v>
      </c>
      <c r="D16924" s="3">
        <v>142</v>
      </c>
      <c r="E16924" s="3">
        <v>1</v>
      </c>
      <c r="F16924" s="4" t="str">
        <f>HYPERLINK("http://141.218.60.56/~jnz1568/getInfo.php?workbook=10_05.xlsx&amp;sheet=U0&amp;row=16924&amp;col=6&amp;number=3&amp;sourceID=14","3")</f>
        <v>3</v>
      </c>
      <c r="G16924" s="4" t="str">
        <f>HYPERLINK("http://141.218.60.56/~jnz1568/getInfo.php?workbook=10_05.xlsx&amp;sheet=U0&amp;row=16924&amp;col=7&amp;number=0.0126&amp;sourceID=14","0.0126")</f>
        <v>0.0126</v>
      </c>
    </row>
    <row r="16925" spans="1:7">
      <c r="A16925" s="3"/>
      <c r="B16925" s="3"/>
      <c r="C16925" s="3"/>
      <c r="D16925" s="3"/>
      <c r="E16925" s="3">
        <v>2</v>
      </c>
      <c r="F16925" s="4" t="str">
        <f>HYPERLINK("http://141.218.60.56/~jnz1568/getInfo.php?workbook=10_05.xlsx&amp;sheet=U0&amp;row=16925&amp;col=6&amp;number=3.1&amp;sourceID=14","3.1")</f>
        <v>3.1</v>
      </c>
      <c r="G16925" s="4" t="str">
        <f>HYPERLINK("http://141.218.60.56/~jnz1568/getInfo.php?workbook=10_05.xlsx&amp;sheet=U0&amp;row=16925&amp;col=7&amp;number=0.0126&amp;sourceID=14","0.0126")</f>
        <v>0.0126</v>
      </c>
    </row>
    <row r="16926" spans="1:7">
      <c r="A16926" s="3"/>
      <c r="B16926" s="3"/>
      <c r="C16926" s="3"/>
      <c r="D16926" s="3"/>
      <c r="E16926" s="3">
        <v>3</v>
      </c>
      <c r="F16926" s="4" t="str">
        <f>HYPERLINK("http://141.218.60.56/~jnz1568/getInfo.php?workbook=10_05.xlsx&amp;sheet=U0&amp;row=16926&amp;col=6&amp;number=3.2&amp;sourceID=14","3.2")</f>
        <v>3.2</v>
      </c>
      <c r="G16926" s="4" t="str">
        <f>HYPERLINK("http://141.218.60.56/~jnz1568/getInfo.php?workbook=10_05.xlsx&amp;sheet=U0&amp;row=16926&amp;col=7&amp;number=0.0126&amp;sourceID=14","0.0126")</f>
        <v>0.0126</v>
      </c>
    </row>
    <row r="16927" spans="1:7">
      <c r="A16927" s="3"/>
      <c r="B16927" s="3"/>
      <c r="C16927" s="3"/>
      <c r="D16927" s="3"/>
      <c r="E16927" s="3">
        <v>4</v>
      </c>
      <c r="F16927" s="4" t="str">
        <f>HYPERLINK("http://141.218.60.56/~jnz1568/getInfo.php?workbook=10_05.xlsx&amp;sheet=U0&amp;row=16927&amp;col=6&amp;number=3.3&amp;sourceID=14","3.3")</f>
        <v>3.3</v>
      </c>
      <c r="G16927" s="4" t="str">
        <f>HYPERLINK("http://141.218.60.56/~jnz1568/getInfo.php?workbook=10_05.xlsx&amp;sheet=U0&amp;row=16927&amp;col=7&amp;number=0.0126&amp;sourceID=14","0.0126")</f>
        <v>0.0126</v>
      </c>
    </row>
    <row r="16928" spans="1:7">
      <c r="A16928" s="3"/>
      <c r="B16928" s="3"/>
      <c r="C16928" s="3"/>
      <c r="D16928" s="3"/>
      <c r="E16928" s="3">
        <v>5</v>
      </c>
      <c r="F16928" s="4" t="str">
        <f>HYPERLINK("http://141.218.60.56/~jnz1568/getInfo.php?workbook=10_05.xlsx&amp;sheet=U0&amp;row=16928&amp;col=6&amp;number=3.4&amp;sourceID=14","3.4")</f>
        <v>3.4</v>
      </c>
      <c r="G16928" s="4" t="str">
        <f>HYPERLINK("http://141.218.60.56/~jnz1568/getInfo.php?workbook=10_05.xlsx&amp;sheet=U0&amp;row=16928&amp;col=7&amp;number=0.0125&amp;sourceID=14","0.0125")</f>
        <v>0.0125</v>
      </c>
    </row>
    <row r="16929" spans="1:7">
      <c r="A16929" s="3"/>
      <c r="B16929" s="3"/>
      <c r="C16929" s="3"/>
      <c r="D16929" s="3"/>
      <c r="E16929" s="3">
        <v>6</v>
      </c>
      <c r="F16929" s="4" t="str">
        <f>HYPERLINK("http://141.218.60.56/~jnz1568/getInfo.php?workbook=10_05.xlsx&amp;sheet=U0&amp;row=16929&amp;col=6&amp;number=3.5&amp;sourceID=14","3.5")</f>
        <v>3.5</v>
      </c>
      <c r="G16929" s="4" t="str">
        <f>HYPERLINK("http://141.218.60.56/~jnz1568/getInfo.php?workbook=10_05.xlsx&amp;sheet=U0&amp;row=16929&amp;col=7&amp;number=0.0125&amp;sourceID=14","0.0125")</f>
        <v>0.0125</v>
      </c>
    </row>
    <row r="16930" spans="1:7">
      <c r="A16930" s="3"/>
      <c r="B16930" s="3"/>
      <c r="C16930" s="3"/>
      <c r="D16930" s="3"/>
      <c r="E16930" s="3">
        <v>7</v>
      </c>
      <c r="F16930" s="4" t="str">
        <f>HYPERLINK("http://141.218.60.56/~jnz1568/getInfo.php?workbook=10_05.xlsx&amp;sheet=U0&amp;row=16930&amp;col=6&amp;number=3.6&amp;sourceID=14","3.6")</f>
        <v>3.6</v>
      </c>
      <c r="G16930" s="4" t="str">
        <f>HYPERLINK("http://141.218.60.56/~jnz1568/getInfo.php?workbook=10_05.xlsx&amp;sheet=U0&amp;row=16930&amp;col=7&amp;number=0.0124&amp;sourceID=14","0.0124")</f>
        <v>0.0124</v>
      </c>
    </row>
    <row r="16931" spans="1:7">
      <c r="A16931" s="3"/>
      <c r="B16931" s="3"/>
      <c r="C16931" s="3"/>
      <c r="D16931" s="3"/>
      <c r="E16931" s="3">
        <v>8</v>
      </c>
      <c r="F16931" s="4" t="str">
        <f>HYPERLINK("http://141.218.60.56/~jnz1568/getInfo.php?workbook=10_05.xlsx&amp;sheet=U0&amp;row=16931&amp;col=6&amp;number=3.7&amp;sourceID=14","3.7")</f>
        <v>3.7</v>
      </c>
      <c r="G16931" s="4" t="str">
        <f>HYPERLINK("http://141.218.60.56/~jnz1568/getInfo.php?workbook=10_05.xlsx&amp;sheet=U0&amp;row=16931&amp;col=7&amp;number=0.0124&amp;sourceID=14","0.0124")</f>
        <v>0.0124</v>
      </c>
    </row>
    <row r="16932" spans="1:7">
      <c r="A16932" s="3"/>
      <c r="B16932" s="3"/>
      <c r="C16932" s="3"/>
      <c r="D16932" s="3"/>
      <c r="E16932" s="3">
        <v>9</v>
      </c>
      <c r="F16932" s="4" t="str">
        <f>HYPERLINK("http://141.218.60.56/~jnz1568/getInfo.php?workbook=10_05.xlsx&amp;sheet=U0&amp;row=16932&amp;col=6&amp;number=3.8&amp;sourceID=14","3.8")</f>
        <v>3.8</v>
      </c>
      <c r="G16932" s="4" t="str">
        <f>HYPERLINK("http://141.218.60.56/~jnz1568/getInfo.php?workbook=10_05.xlsx&amp;sheet=U0&amp;row=16932&amp;col=7&amp;number=0.0123&amp;sourceID=14","0.0123")</f>
        <v>0.0123</v>
      </c>
    </row>
    <row r="16933" spans="1:7">
      <c r="A16933" s="3"/>
      <c r="B16933" s="3"/>
      <c r="C16933" s="3"/>
      <c r="D16933" s="3"/>
      <c r="E16933" s="3">
        <v>10</v>
      </c>
      <c r="F16933" s="4" t="str">
        <f>HYPERLINK("http://141.218.60.56/~jnz1568/getInfo.php?workbook=10_05.xlsx&amp;sheet=U0&amp;row=16933&amp;col=6&amp;number=3.9&amp;sourceID=14","3.9")</f>
        <v>3.9</v>
      </c>
      <c r="G16933" s="4" t="str">
        <f>HYPERLINK("http://141.218.60.56/~jnz1568/getInfo.php?workbook=10_05.xlsx&amp;sheet=U0&amp;row=16933&amp;col=7&amp;number=0.0122&amp;sourceID=14","0.0122")</f>
        <v>0.0122</v>
      </c>
    </row>
    <row r="16934" spans="1:7">
      <c r="A16934" s="3"/>
      <c r="B16934" s="3"/>
      <c r="C16934" s="3"/>
      <c r="D16934" s="3"/>
      <c r="E16934" s="3">
        <v>11</v>
      </c>
      <c r="F16934" s="4" t="str">
        <f>HYPERLINK("http://141.218.60.56/~jnz1568/getInfo.php?workbook=10_05.xlsx&amp;sheet=U0&amp;row=16934&amp;col=6&amp;number=4&amp;sourceID=14","4")</f>
        <v>4</v>
      </c>
      <c r="G16934" s="4" t="str">
        <f>HYPERLINK("http://141.218.60.56/~jnz1568/getInfo.php?workbook=10_05.xlsx&amp;sheet=U0&amp;row=16934&amp;col=7&amp;number=0.0121&amp;sourceID=14","0.0121")</f>
        <v>0.0121</v>
      </c>
    </row>
    <row r="16935" spans="1:7">
      <c r="A16935" s="3"/>
      <c r="B16935" s="3"/>
      <c r="C16935" s="3"/>
      <c r="D16935" s="3"/>
      <c r="E16935" s="3">
        <v>12</v>
      </c>
      <c r="F16935" s="4" t="str">
        <f>HYPERLINK("http://141.218.60.56/~jnz1568/getInfo.php?workbook=10_05.xlsx&amp;sheet=U0&amp;row=16935&amp;col=6&amp;number=4.1&amp;sourceID=14","4.1")</f>
        <v>4.1</v>
      </c>
      <c r="G16935" s="4" t="str">
        <f>HYPERLINK("http://141.218.60.56/~jnz1568/getInfo.php?workbook=10_05.xlsx&amp;sheet=U0&amp;row=16935&amp;col=7&amp;number=0.0119&amp;sourceID=14","0.0119")</f>
        <v>0.0119</v>
      </c>
    </row>
    <row r="16936" spans="1:7">
      <c r="A16936" s="3"/>
      <c r="B16936" s="3"/>
      <c r="C16936" s="3"/>
      <c r="D16936" s="3"/>
      <c r="E16936" s="3">
        <v>13</v>
      </c>
      <c r="F16936" s="4" t="str">
        <f>HYPERLINK("http://141.218.60.56/~jnz1568/getInfo.php?workbook=10_05.xlsx&amp;sheet=U0&amp;row=16936&amp;col=6&amp;number=4.2&amp;sourceID=14","4.2")</f>
        <v>4.2</v>
      </c>
      <c r="G16936" s="4" t="str">
        <f>HYPERLINK("http://141.218.60.56/~jnz1568/getInfo.php?workbook=10_05.xlsx&amp;sheet=U0&amp;row=16936&amp;col=7&amp;number=0.0118&amp;sourceID=14","0.0118")</f>
        <v>0.0118</v>
      </c>
    </row>
    <row r="16937" spans="1:7">
      <c r="A16937" s="3"/>
      <c r="B16937" s="3"/>
      <c r="C16937" s="3"/>
      <c r="D16937" s="3"/>
      <c r="E16937" s="3">
        <v>14</v>
      </c>
      <c r="F16937" s="4" t="str">
        <f>HYPERLINK("http://141.218.60.56/~jnz1568/getInfo.php?workbook=10_05.xlsx&amp;sheet=U0&amp;row=16937&amp;col=6&amp;number=4.3&amp;sourceID=14","4.3")</f>
        <v>4.3</v>
      </c>
      <c r="G16937" s="4" t="str">
        <f>HYPERLINK("http://141.218.60.56/~jnz1568/getInfo.php?workbook=10_05.xlsx&amp;sheet=U0&amp;row=16937&amp;col=7&amp;number=0.0116&amp;sourceID=14","0.0116")</f>
        <v>0.0116</v>
      </c>
    </row>
    <row r="16938" spans="1:7">
      <c r="A16938" s="3"/>
      <c r="B16938" s="3"/>
      <c r="C16938" s="3"/>
      <c r="D16938" s="3"/>
      <c r="E16938" s="3">
        <v>15</v>
      </c>
      <c r="F16938" s="4" t="str">
        <f>HYPERLINK("http://141.218.60.56/~jnz1568/getInfo.php?workbook=10_05.xlsx&amp;sheet=U0&amp;row=16938&amp;col=6&amp;number=4.4&amp;sourceID=14","4.4")</f>
        <v>4.4</v>
      </c>
      <c r="G16938" s="4" t="str">
        <f>HYPERLINK("http://141.218.60.56/~jnz1568/getInfo.php?workbook=10_05.xlsx&amp;sheet=U0&amp;row=16938&amp;col=7&amp;number=0.0115&amp;sourceID=14","0.0115")</f>
        <v>0.0115</v>
      </c>
    </row>
    <row r="16939" spans="1:7">
      <c r="A16939" s="3"/>
      <c r="B16939" s="3"/>
      <c r="C16939" s="3"/>
      <c r="D16939" s="3"/>
      <c r="E16939" s="3">
        <v>16</v>
      </c>
      <c r="F16939" s="4" t="str">
        <f>HYPERLINK("http://141.218.60.56/~jnz1568/getInfo.php?workbook=10_05.xlsx&amp;sheet=U0&amp;row=16939&amp;col=6&amp;number=4.5&amp;sourceID=14","4.5")</f>
        <v>4.5</v>
      </c>
      <c r="G16939" s="4" t="str">
        <f>HYPERLINK("http://141.218.60.56/~jnz1568/getInfo.php?workbook=10_05.xlsx&amp;sheet=U0&amp;row=16939&amp;col=7&amp;number=0.0113&amp;sourceID=14","0.0113")</f>
        <v>0.0113</v>
      </c>
    </row>
    <row r="16940" spans="1:7">
      <c r="A16940" s="3"/>
      <c r="B16940" s="3"/>
      <c r="C16940" s="3"/>
      <c r="D16940" s="3"/>
      <c r="E16940" s="3">
        <v>17</v>
      </c>
      <c r="F16940" s="4" t="str">
        <f>HYPERLINK("http://141.218.60.56/~jnz1568/getInfo.php?workbook=10_05.xlsx&amp;sheet=U0&amp;row=16940&amp;col=6&amp;number=4.6&amp;sourceID=14","4.6")</f>
        <v>4.6</v>
      </c>
      <c r="G16940" s="4" t="str">
        <f>HYPERLINK("http://141.218.60.56/~jnz1568/getInfo.php?workbook=10_05.xlsx&amp;sheet=U0&amp;row=16940&amp;col=7&amp;number=0.0113&amp;sourceID=14","0.0113")</f>
        <v>0.0113</v>
      </c>
    </row>
    <row r="16941" spans="1:7">
      <c r="A16941" s="3"/>
      <c r="B16941" s="3"/>
      <c r="C16941" s="3"/>
      <c r="D16941" s="3"/>
      <c r="E16941" s="3">
        <v>18</v>
      </c>
      <c r="F16941" s="4" t="str">
        <f>HYPERLINK("http://141.218.60.56/~jnz1568/getInfo.php?workbook=10_05.xlsx&amp;sheet=U0&amp;row=16941&amp;col=6&amp;number=4.7&amp;sourceID=14","4.7")</f>
        <v>4.7</v>
      </c>
      <c r="G16941" s="4" t="str">
        <f>HYPERLINK("http://141.218.60.56/~jnz1568/getInfo.php?workbook=10_05.xlsx&amp;sheet=U0&amp;row=16941&amp;col=7&amp;number=0.0112&amp;sourceID=14","0.0112")</f>
        <v>0.0112</v>
      </c>
    </row>
    <row r="16942" spans="1:7">
      <c r="A16942" s="3"/>
      <c r="B16942" s="3"/>
      <c r="C16942" s="3"/>
      <c r="D16942" s="3"/>
      <c r="E16942" s="3">
        <v>19</v>
      </c>
      <c r="F16942" s="4" t="str">
        <f>HYPERLINK("http://141.218.60.56/~jnz1568/getInfo.php?workbook=10_05.xlsx&amp;sheet=U0&amp;row=16942&amp;col=6&amp;number=4.8&amp;sourceID=14","4.8")</f>
        <v>4.8</v>
      </c>
      <c r="G16942" s="4" t="str">
        <f>HYPERLINK("http://141.218.60.56/~jnz1568/getInfo.php?workbook=10_05.xlsx&amp;sheet=U0&amp;row=16942&amp;col=7&amp;number=0.0111&amp;sourceID=14","0.0111")</f>
        <v>0.0111</v>
      </c>
    </row>
    <row r="16943" spans="1:7">
      <c r="A16943" s="3"/>
      <c r="B16943" s="3"/>
      <c r="C16943" s="3"/>
      <c r="D16943" s="3"/>
      <c r="E16943" s="3">
        <v>20</v>
      </c>
      <c r="F16943" s="4" t="str">
        <f>HYPERLINK("http://141.218.60.56/~jnz1568/getInfo.php?workbook=10_05.xlsx&amp;sheet=U0&amp;row=16943&amp;col=6&amp;number=4.9&amp;sourceID=14","4.9")</f>
        <v>4.9</v>
      </c>
      <c r="G16943" s="4" t="str">
        <f>HYPERLINK("http://141.218.60.56/~jnz1568/getInfo.php?workbook=10_05.xlsx&amp;sheet=U0&amp;row=16943&amp;col=7&amp;number=0.011&amp;sourceID=14","0.011")</f>
        <v>0.011</v>
      </c>
    </row>
    <row r="16944" spans="1:7">
      <c r="A16944" s="3">
        <v>10</v>
      </c>
      <c r="B16944" s="3">
        <v>5</v>
      </c>
      <c r="C16944" s="3">
        <v>5</v>
      </c>
      <c r="D16944" s="3">
        <v>143</v>
      </c>
      <c r="E16944" s="3">
        <v>1</v>
      </c>
      <c r="F16944" s="4" t="str">
        <f>HYPERLINK("http://141.218.60.56/~jnz1568/getInfo.php?workbook=10_05.xlsx&amp;sheet=U0&amp;row=16944&amp;col=6&amp;number=3&amp;sourceID=14","3")</f>
        <v>3</v>
      </c>
      <c r="G16944" s="4" t="str">
        <f>HYPERLINK("http://141.218.60.56/~jnz1568/getInfo.php?workbook=10_05.xlsx&amp;sheet=U0&amp;row=16944&amp;col=7&amp;number=0.0299&amp;sourceID=14","0.0299")</f>
        <v>0.0299</v>
      </c>
    </row>
    <row r="16945" spans="1:7">
      <c r="A16945" s="3"/>
      <c r="B16945" s="3"/>
      <c r="C16945" s="3"/>
      <c r="D16945" s="3"/>
      <c r="E16945" s="3">
        <v>2</v>
      </c>
      <c r="F16945" s="4" t="str">
        <f>HYPERLINK("http://141.218.60.56/~jnz1568/getInfo.php?workbook=10_05.xlsx&amp;sheet=U0&amp;row=16945&amp;col=6&amp;number=3.1&amp;sourceID=14","3.1")</f>
        <v>3.1</v>
      </c>
      <c r="G16945" s="4" t="str">
        <f>HYPERLINK("http://141.218.60.56/~jnz1568/getInfo.php?workbook=10_05.xlsx&amp;sheet=U0&amp;row=16945&amp;col=7&amp;number=0.0299&amp;sourceID=14","0.0299")</f>
        <v>0.0299</v>
      </c>
    </row>
    <row r="16946" spans="1:7">
      <c r="A16946" s="3"/>
      <c r="B16946" s="3"/>
      <c r="C16946" s="3"/>
      <c r="D16946" s="3"/>
      <c r="E16946" s="3">
        <v>3</v>
      </c>
      <c r="F16946" s="4" t="str">
        <f>HYPERLINK("http://141.218.60.56/~jnz1568/getInfo.php?workbook=10_05.xlsx&amp;sheet=U0&amp;row=16946&amp;col=6&amp;number=3.2&amp;sourceID=14","3.2")</f>
        <v>3.2</v>
      </c>
      <c r="G16946" s="4" t="str">
        <f>HYPERLINK("http://141.218.60.56/~jnz1568/getInfo.php?workbook=10_05.xlsx&amp;sheet=U0&amp;row=16946&amp;col=7&amp;number=0.0299&amp;sourceID=14","0.0299")</f>
        <v>0.0299</v>
      </c>
    </row>
    <row r="16947" spans="1:7">
      <c r="A16947" s="3"/>
      <c r="B16947" s="3"/>
      <c r="C16947" s="3"/>
      <c r="D16947" s="3"/>
      <c r="E16947" s="3">
        <v>4</v>
      </c>
      <c r="F16947" s="4" t="str">
        <f>HYPERLINK("http://141.218.60.56/~jnz1568/getInfo.php?workbook=10_05.xlsx&amp;sheet=U0&amp;row=16947&amp;col=6&amp;number=3.3&amp;sourceID=14","3.3")</f>
        <v>3.3</v>
      </c>
      <c r="G16947" s="4" t="str">
        <f>HYPERLINK("http://141.218.60.56/~jnz1568/getInfo.php?workbook=10_05.xlsx&amp;sheet=U0&amp;row=16947&amp;col=7&amp;number=0.0298&amp;sourceID=14","0.0298")</f>
        <v>0.0298</v>
      </c>
    </row>
    <row r="16948" spans="1:7">
      <c r="A16948" s="3"/>
      <c r="B16948" s="3"/>
      <c r="C16948" s="3"/>
      <c r="D16948" s="3"/>
      <c r="E16948" s="3">
        <v>5</v>
      </c>
      <c r="F16948" s="4" t="str">
        <f>HYPERLINK("http://141.218.60.56/~jnz1568/getInfo.php?workbook=10_05.xlsx&amp;sheet=U0&amp;row=16948&amp;col=6&amp;number=3.4&amp;sourceID=14","3.4")</f>
        <v>3.4</v>
      </c>
      <c r="G16948" s="4" t="str">
        <f>HYPERLINK("http://141.218.60.56/~jnz1568/getInfo.php?workbook=10_05.xlsx&amp;sheet=U0&amp;row=16948&amp;col=7&amp;number=0.0298&amp;sourceID=14","0.0298")</f>
        <v>0.0298</v>
      </c>
    </row>
    <row r="16949" spans="1:7">
      <c r="A16949" s="3"/>
      <c r="B16949" s="3"/>
      <c r="C16949" s="3"/>
      <c r="D16949" s="3"/>
      <c r="E16949" s="3">
        <v>6</v>
      </c>
      <c r="F16949" s="4" t="str">
        <f>HYPERLINK("http://141.218.60.56/~jnz1568/getInfo.php?workbook=10_05.xlsx&amp;sheet=U0&amp;row=16949&amp;col=6&amp;number=3.5&amp;sourceID=14","3.5")</f>
        <v>3.5</v>
      </c>
      <c r="G16949" s="4" t="str">
        <f>HYPERLINK("http://141.218.60.56/~jnz1568/getInfo.php?workbook=10_05.xlsx&amp;sheet=U0&amp;row=16949&amp;col=7&amp;number=0.0297&amp;sourceID=14","0.0297")</f>
        <v>0.0297</v>
      </c>
    </row>
    <row r="16950" spans="1:7">
      <c r="A16950" s="3"/>
      <c r="B16950" s="3"/>
      <c r="C16950" s="3"/>
      <c r="D16950" s="3"/>
      <c r="E16950" s="3">
        <v>7</v>
      </c>
      <c r="F16950" s="4" t="str">
        <f>HYPERLINK("http://141.218.60.56/~jnz1568/getInfo.php?workbook=10_05.xlsx&amp;sheet=U0&amp;row=16950&amp;col=6&amp;number=3.6&amp;sourceID=14","3.6")</f>
        <v>3.6</v>
      </c>
      <c r="G16950" s="4" t="str">
        <f>HYPERLINK("http://141.218.60.56/~jnz1568/getInfo.php?workbook=10_05.xlsx&amp;sheet=U0&amp;row=16950&amp;col=7&amp;number=0.0296&amp;sourceID=14","0.0296")</f>
        <v>0.0296</v>
      </c>
    </row>
    <row r="16951" spans="1:7">
      <c r="A16951" s="3"/>
      <c r="B16951" s="3"/>
      <c r="C16951" s="3"/>
      <c r="D16951" s="3"/>
      <c r="E16951" s="3">
        <v>8</v>
      </c>
      <c r="F16951" s="4" t="str">
        <f>HYPERLINK("http://141.218.60.56/~jnz1568/getInfo.php?workbook=10_05.xlsx&amp;sheet=U0&amp;row=16951&amp;col=6&amp;number=3.7&amp;sourceID=14","3.7")</f>
        <v>3.7</v>
      </c>
      <c r="G16951" s="4" t="str">
        <f>HYPERLINK("http://141.218.60.56/~jnz1568/getInfo.php?workbook=10_05.xlsx&amp;sheet=U0&amp;row=16951&amp;col=7&amp;number=0.0295&amp;sourceID=14","0.0295")</f>
        <v>0.0295</v>
      </c>
    </row>
    <row r="16952" spans="1:7">
      <c r="A16952" s="3"/>
      <c r="B16952" s="3"/>
      <c r="C16952" s="3"/>
      <c r="D16952" s="3"/>
      <c r="E16952" s="3">
        <v>9</v>
      </c>
      <c r="F16952" s="4" t="str">
        <f>HYPERLINK("http://141.218.60.56/~jnz1568/getInfo.php?workbook=10_05.xlsx&amp;sheet=U0&amp;row=16952&amp;col=6&amp;number=3.8&amp;sourceID=14","3.8")</f>
        <v>3.8</v>
      </c>
      <c r="G16952" s="4" t="str">
        <f>HYPERLINK("http://141.218.60.56/~jnz1568/getInfo.php?workbook=10_05.xlsx&amp;sheet=U0&amp;row=16952&amp;col=7&amp;number=0.0294&amp;sourceID=14","0.0294")</f>
        <v>0.0294</v>
      </c>
    </row>
    <row r="16953" spans="1:7">
      <c r="A16953" s="3"/>
      <c r="B16953" s="3"/>
      <c r="C16953" s="3"/>
      <c r="D16953" s="3"/>
      <c r="E16953" s="3">
        <v>10</v>
      </c>
      <c r="F16953" s="4" t="str">
        <f>HYPERLINK("http://141.218.60.56/~jnz1568/getInfo.php?workbook=10_05.xlsx&amp;sheet=U0&amp;row=16953&amp;col=6&amp;number=3.9&amp;sourceID=14","3.9")</f>
        <v>3.9</v>
      </c>
      <c r="G16953" s="4" t="str">
        <f>HYPERLINK("http://141.218.60.56/~jnz1568/getInfo.php?workbook=10_05.xlsx&amp;sheet=U0&amp;row=16953&amp;col=7&amp;number=0.0292&amp;sourceID=14","0.0292")</f>
        <v>0.0292</v>
      </c>
    </row>
    <row r="16954" spans="1:7">
      <c r="A16954" s="3"/>
      <c r="B16954" s="3"/>
      <c r="C16954" s="3"/>
      <c r="D16954" s="3"/>
      <c r="E16954" s="3">
        <v>11</v>
      </c>
      <c r="F16954" s="4" t="str">
        <f>HYPERLINK("http://141.218.60.56/~jnz1568/getInfo.php?workbook=10_05.xlsx&amp;sheet=U0&amp;row=16954&amp;col=6&amp;number=4&amp;sourceID=14","4")</f>
        <v>4</v>
      </c>
      <c r="G16954" s="4" t="str">
        <f>HYPERLINK("http://141.218.60.56/~jnz1568/getInfo.php?workbook=10_05.xlsx&amp;sheet=U0&amp;row=16954&amp;col=7&amp;number=0.0291&amp;sourceID=14","0.0291")</f>
        <v>0.0291</v>
      </c>
    </row>
    <row r="16955" spans="1:7">
      <c r="A16955" s="3"/>
      <c r="B16955" s="3"/>
      <c r="C16955" s="3"/>
      <c r="D16955" s="3"/>
      <c r="E16955" s="3">
        <v>12</v>
      </c>
      <c r="F16955" s="4" t="str">
        <f>HYPERLINK("http://141.218.60.56/~jnz1568/getInfo.php?workbook=10_05.xlsx&amp;sheet=U0&amp;row=16955&amp;col=6&amp;number=4.1&amp;sourceID=14","4.1")</f>
        <v>4.1</v>
      </c>
      <c r="G16955" s="4" t="str">
        <f>HYPERLINK("http://141.218.60.56/~jnz1568/getInfo.php?workbook=10_05.xlsx&amp;sheet=U0&amp;row=16955&amp;col=7&amp;number=0.0289&amp;sourceID=14","0.0289")</f>
        <v>0.0289</v>
      </c>
    </row>
    <row r="16956" spans="1:7">
      <c r="A16956" s="3"/>
      <c r="B16956" s="3"/>
      <c r="C16956" s="3"/>
      <c r="D16956" s="3"/>
      <c r="E16956" s="3">
        <v>13</v>
      </c>
      <c r="F16956" s="4" t="str">
        <f>HYPERLINK("http://141.218.60.56/~jnz1568/getInfo.php?workbook=10_05.xlsx&amp;sheet=U0&amp;row=16956&amp;col=6&amp;number=4.2&amp;sourceID=14","4.2")</f>
        <v>4.2</v>
      </c>
      <c r="G16956" s="4" t="str">
        <f>HYPERLINK("http://141.218.60.56/~jnz1568/getInfo.php?workbook=10_05.xlsx&amp;sheet=U0&amp;row=16956&amp;col=7&amp;number=0.0286&amp;sourceID=14","0.0286")</f>
        <v>0.0286</v>
      </c>
    </row>
    <row r="16957" spans="1:7">
      <c r="A16957" s="3"/>
      <c r="B16957" s="3"/>
      <c r="C16957" s="3"/>
      <c r="D16957" s="3"/>
      <c r="E16957" s="3">
        <v>14</v>
      </c>
      <c r="F16957" s="4" t="str">
        <f>HYPERLINK("http://141.218.60.56/~jnz1568/getInfo.php?workbook=10_05.xlsx&amp;sheet=U0&amp;row=16957&amp;col=6&amp;number=4.3&amp;sourceID=14","4.3")</f>
        <v>4.3</v>
      </c>
      <c r="G16957" s="4" t="str">
        <f>HYPERLINK("http://141.218.60.56/~jnz1568/getInfo.php?workbook=10_05.xlsx&amp;sheet=U0&amp;row=16957&amp;col=7&amp;number=0.0284&amp;sourceID=14","0.0284")</f>
        <v>0.0284</v>
      </c>
    </row>
    <row r="16958" spans="1:7">
      <c r="A16958" s="3"/>
      <c r="B16958" s="3"/>
      <c r="C16958" s="3"/>
      <c r="D16958" s="3"/>
      <c r="E16958" s="3">
        <v>15</v>
      </c>
      <c r="F16958" s="4" t="str">
        <f>HYPERLINK("http://141.218.60.56/~jnz1568/getInfo.php?workbook=10_05.xlsx&amp;sheet=U0&amp;row=16958&amp;col=6&amp;number=4.4&amp;sourceID=14","4.4")</f>
        <v>4.4</v>
      </c>
      <c r="G16958" s="4" t="str">
        <f>HYPERLINK("http://141.218.60.56/~jnz1568/getInfo.php?workbook=10_05.xlsx&amp;sheet=U0&amp;row=16958&amp;col=7&amp;number=0.0282&amp;sourceID=14","0.0282")</f>
        <v>0.0282</v>
      </c>
    </row>
    <row r="16959" spans="1:7">
      <c r="A16959" s="3"/>
      <c r="B16959" s="3"/>
      <c r="C16959" s="3"/>
      <c r="D16959" s="3"/>
      <c r="E16959" s="3">
        <v>16</v>
      </c>
      <c r="F16959" s="4" t="str">
        <f>HYPERLINK("http://141.218.60.56/~jnz1568/getInfo.php?workbook=10_05.xlsx&amp;sheet=U0&amp;row=16959&amp;col=6&amp;number=4.5&amp;sourceID=14","4.5")</f>
        <v>4.5</v>
      </c>
      <c r="G16959" s="4" t="str">
        <f>HYPERLINK("http://141.218.60.56/~jnz1568/getInfo.php?workbook=10_05.xlsx&amp;sheet=U0&amp;row=16959&amp;col=7&amp;number=0.028&amp;sourceID=14","0.028")</f>
        <v>0.028</v>
      </c>
    </row>
    <row r="16960" spans="1:7">
      <c r="A16960" s="3"/>
      <c r="B16960" s="3"/>
      <c r="C16960" s="3"/>
      <c r="D16960" s="3"/>
      <c r="E16960" s="3">
        <v>17</v>
      </c>
      <c r="F16960" s="4" t="str">
        <f>HYPERLINK("http://141.218.60.56/~jnz1568/getInfo.php?workbook=10_05.xlsx&amp;sheet=U0&amp;row=16960&amp;col=6&amp;number=4.6&amp;sourceID=14","4.6")</f>
        <v>4.6</v>
      </c>
      <c r="G16960" s="4" t="str">
        <f>HYPERLINK("http://141.218.60.56/~jnz1568/getInfo.php?workbook=10_05.xlsx&amp;sheet=U0&amp;row=16960&amp;col=7&amp;number=0.0279&amp;sourceID=14","0.0279")</f>
        <v>0.0279</v>
      </c>
    </row>
    <row r="16961" spans="1:7">
      <c r="A16961" s="3"/>
      <c r="B16961" s="3"/>
      <c r="C16961" s="3"/>
      <c r="D16961" s="3"/>
      <c r="E16961" s="3">
        <v>18</v>
      </c>
      <c r="F16961" s="4" t="str">
        <f>HYPERLINK("http://141.218.60.56/~jnz1568/getInfo.php?workbook=10_05.xlsx&amp;sheet=U0&amp;row=16961&amp;col=6&amp;number=4.7&amp;sourceID=14","4.7")</f>
        <v>4.7</v>
      </c>
      <c r="G16961" s="4" t="str">
        <f>HYPERLINK("http://141.218.60.56/~jnz1568/getInfo.php?workbook=10_05.xlsx&amp;sheet=U0&amp;row=16961&amp;col=7&amp;number=0.0279&amp;sourceID=14","0.0279")</f>
        <v>0.0279</v>
      </c>
    </row>
    <row r="16962" spans="1:7">
      <c r="A16962" s="3"/>
      <c r="B16962" s="3"/>
      <c r="C16962" s="3"/>
      <c r="D16962" s="3"/>
      <c r="E16962" s="3">
        <v>19</v>
      </c>
      <c r="F16962" s="4" t="str">
        <f>HYPERLINK("http://141.218.60.56/~jnz1568/getInfo.php?workbook=10_05.xlsx&amp;sheet=U0&amp;row=16962&amp;col=6&amp;number=4.8&amp;sourceID=14","4.8")</f>
        <v>4.8</v>
      </c>
      <c r="G16962" s="4" t="str">
        <f>HYPERLINK("http://141.218.60.56/~jnz1568/getInfo.php?workbook=10_05.xlsx&amp;sheet=U0&amp;row=16962&amp;col=7&amp;number=0.0279&amp;sourceID=14","0.0279")</f>
        <v>0.0279</v>
      </c>
    </row>
    <row r="16963" spans="1:7">
      <c r="A16963" s="3"/>
      <c r="B16963" s="3"/>
      <c r="C16963" s="3"/>
      <c r="D16963" s="3"/>
      <c r="E16963" s="3">
        <v>20</v>
      </c>
      <c r="F16963" s="4" t="str">
        <f>HYPERLINK("http://141.218.60.56/~jnz1568/getInfo.php?workbook=10_05.xlsx&amp;sheet=U0&amp;row=16963&amp;col=6&amp;number=4.9&amp;sourceID=14","4.9")</f>
        <v>4.9</v>
      </c>
      <c r="G16963" s="4" t="str">
        <f>HYPERLINK("http://141.218.60.56/~jnz1568/getInfo.php?workbook=10_05.xlsx&amp;sheet=U0&amp;row=16963&amp;col=7&amp;number=0.0279&amp;sourceID=14","0.0279")</f>
        <v>0.0279</v>
      </c>
    </row>
    <row r="16964" spans="1:7">
      <c r="A16964" s="3">
        <v>10</v>
      </c>
      <c r="B16964" s="3">
        <v>5</v>
      </c>
      <c r="C16964" s="3">
        <v>5</v>
      </c>
      <c r="D16964" s="3">
        <v>144</v>
      </c>
      <c r="E16964" s="3">
        <v>1</v>
      </c>
      <c r="F16964" s="4" t="str">
        <f>HYPERLINK("http://141.218.60.56/~jnz1568/getInfo.php?workbook=10_05.xlsx&amp;sheet=U0&amp;row=16964&amp;col=6&amp;number=3&amp;sourceID=14","3")</f>
        <v>3</v>
      </c>
      <c r="G16964" s="4" t="str">
        <f>HYPERLINK("http://141.218.60.56/~jnz1568/getInfo.php?workbook=10_05.xlsx&amp;sheet=U0&amp;row=16964&amp;col=7&amp;number=0.247&amp;sourceID=14","0.247")</f>
        <v>0.247</v>
      </c>
    </row>
    <row r="16965" spans="1:7">
      <c r="A16965" s="3"/>
      <c r="B16965" s="3"/>
      <c r="C16965" s="3"/>
      <c r="D16965" s="3"/>
      <c r="E16965" s="3">
        <v>2</v>
      </c>
      <c r="F16965" s="4" t="str">
        <f>HYPERLINK("http://141.218.60.56/~jnz1568/getInfo.php?workbook=10_05.xlsx&amp;sheet=U0&amp;row=16965&amp;col=6&amp;number=3.1&amp;sourceID=14","3.1")</f>
        <v>3.1</v>
      </c>
      <c r="G16965" s="4" t="str">
        <f>HYPERLINK("http://141.218.60.56/~jnz1568/getInfo.php?workbook=10_05.xlsx&amp;sheet=U0&amp;row=16965&amp;col=7&amp;number=0.247&amp;sourceID=14","0.247")</f>
        <v>0.247</v>
      </c>
    </row>
    <row r="16966" spans="1:7">
      <c r="A16966" s="3"/>
      <c r="B16966" s="3"/>
      <c r="C16966" s="3"/>
      <c r="D16966" s="3"/>
      <c r="E16966" s="3">
        <v>3</v>
      </c>
      <c r="F16966" s="4" t="str">
        <f>HYPERLINK("http://141.218.60.56/~jnz1568/getInfo.php?workbook=10_05.xlsx&amp;sheet=U0&amp;row=16966&amp;col=6&amp;number=3.2&amp;sourceID=14","3.2")</f>
        <v>3.2</v>
      </c>
      <c r="G16966" s="4" t="str">
        <f>HYPERLINK("http://141.218.60.56/~jnz1568/getInfo.php?workbook=10_05.xlsx&amp;sheet=U0&amp;row=16966&amp;col=7&amp;number=0.247&amp;sourceID=14","0.247")</f>
        <v>0.247</v>
      </c>
    </row>
    <row r="16967" spans="1:7">
      <c r="A16967" s="3"/>
      <c r="B16967" s="3"/>
      <c r="C16967" s="3"/>
      <c r="D16967" s="3"/>
      <c r="E16967" s="3">
        <v>4</v>
      </c>
      <c r="F16967" s="4" t="str">
        <f>HYPERLINK("http://141.218.60.56/~jnz1568/getInfo.php?workbook=10_05.xlsx&amp;sheet=U0&amp;row=16967&amp;col=6&amp;number=3.3&amp;sourceID=14","3.3")</f>
        <v>3.3</v>
      </c>
      <c r="G16967" s="4" t="str">
        <f>HYPERLINK("http://141.218.60.56/~jnz1568/getInfo.php?workbook=10_05.xlsx&amp;sheet=U0&amp;row=16967&amp;col=7&amp;number=0.248&amp;sourceID=14","0.248")</f>
        <v>0.248</v>
      </c>
    </row>
    <row r="16968" spans="1:7">
      <c r="A16968" s="3"/>
      <c r="B16968" s="3"/>
      <c r="C16968" s="3"/>
      <c r="D16968" s="3"/>
      <c r="E16968" s="3">
        <v>5</v>
      </c>
      <c r="F16968" s="4" t="str">
        <f>HYPERLINK("http://141.218.60.56/~jnz1568/getInfo.php?workbook=10_05.xlsx&amp;sheet=U0&amp;row=16968&amp;col=6&amp;number=3.4&amp;sourceID=14","3.4")</f>
        <v>3.4</v>
      </c>
      <c r="G16968" s="4" t="str">
        <f>HYPERLINK("http://141.218.60.56/~jnz1568/getInfo.php?workbook=10_05.xlsx&amp;sheet=U0&amp;row=16968&amp;col=7&amp;number=0.248&amp;sourceID=14","0.248")</f>
        <v>0.248</v>
      </c>
    </row>
    <row r="16969" spans="1:7">
      <c r="A16969" s="3"/>
      <c r="B16969" s="3"/>
      <c r="C16969" s="3"/>
      <c r="D16969" s="3"/>
      <c r="E16969" s="3">
        <v>6</v>
      </c>
      <c r="F16969" s="4" t="str">
        <f>HYPERLINK("http://141.218.60.56/~jnz1568/getInfo.php?workbook=10_05.xlsx&amp;sheet=U0&amp;row=16969&amp;col=6&amp;number=3.5&amp;sourceID=14","3.5")</f>
        <v>3.5</v>
      </c>
      <c r="G16969" s="4" t="str">
        <f>HYPERLINK("http://141.218.60.56/~jnz1568/getInfo.php?workbook=10_05.xlsx&amp;sheet=U0&amp;row=16969&amp;col=7&amp;number=0.248&amp;sourceID=14","0.248")</f>
        <v>0.248</v>
      </c>
    </row>
    <row r="16970" spans="1:7">
      <c r="A16970" s="3"/>
      <c r="B16970" s="3"/>
      <c r="C16970" s="3"/>
      <c r="D16970" s="3"/>
      <c r="E16970" s="3">
        <v>7</v>
      </c>
      <c r="F16970" s="4" t="str">
        <f>HYPERLINK("http://141.218.60.56/~jnz1568/getInfo.php?workbook=10_05.xlsx&amp;sheet=U0&amp;row=16970&amp;col=6&amp;number=3.6&amp;sourceID=14","3.6")</f>
        <v>3.6</v>
      </c>
      <c r="G16970" s="4" t="str">
        <f>HYPERLINK("http://141.218.60.56/~jnz1568/getInfo.php?workbook=10_05.xlsx&amp;sheet=U0&amp;row=16970&amp;col=7&amp;number=0.248&amp;sourceID=14","0.248")</f>
        <v>0.248</v>
      </c>
    </row>
    <row r="16971" spans="1:7">
      <c r="A16971" s="3"/>
      <c r="B16971" s="3"/>
      <c r="C16971" s="3"/>
      <c r="D16971" s="3"/>
      <c r="E16971" s="3">
        <v>8</v>
      </c>
      <c r="F16971" s="4" t="str">
        <f>HYPERLINK("http://141.218.60.56/~jnz1568/getInfo.php?workbook=10_05.xlsx&amp;sheet=U0&amp;row=16971&amp;col=6&amp;number=3.7&amp;sourceID=14","3.7")</f>
        <v>3.7</v>
      </c>
      <c r="G16971" s="4" t="str">
        <f>HYPERLINK("http://141.218.60.56/~jnz1568/getInfo.php?workbook=10_05.xlsx&amp;sheet=U0&amp;row=16971&amp;col=7&amp;number=0.248&amp;sourceID=14","0.248")</f>
        <v>0.248</v>
      </c>
    </row>
    <row r="16972" spans="1:7">
      <c r="A16972" s="3"/>
      <c r="B16972" s="3"/>
      <c r="C16972" s="3"/>
      <c r="D16972" s="3"/>
      <c r="E16972" s="3">
        <v>9</v>
      </c>
      <c r="F16972" s="4" t="str">
        <f>HYPERLINK("http://141.218.60.56/~jnz1568/getInfo.php?workbook=10_05.xlsx&amp;sheet=U0&amp;row=16972&amp;col=6&amp;number=3.8&amp;sourceID=14","3.8")</f>
        <v>3.8</v>
      </c>
      <c r="G16972" s="4" t="str">
        <f>HYPERLINK("http://141.218.60.56/~jnz1568/getInfo.php?workbook=10_05.xlsx&amp;sheet=U0&amp;row=16972&amp;col=7&amp;number=0.249&amp;sourceID=14","0.249")</f>
        <v>0.249</v>
      </c>
    </row>
    <row r="16973" spans="1:7">
      <c r="A16973" s="3"/>
      <c r="B16973" s="3"/>
      <c r="C16973" s="3"/>
      <c r="D16973" s="3"/>
      <c r="E16973" s="3">
        <v>10</v>
      </c>
      <c r="F16973" s="4" t="str">
        <f>HYPERLINK("http://141.218.60.56/~jnz1568/getInfo.php?workbook=10_05.xlsx&amp;sheet=U0&amp;row=16973&amp;col=6&amp;number=3.9&amp;sourceID=14","3.9")</f>
        <v>3.9</v>
      </c>
      <c r="G16973" s="4" t="str">
        <f>HYPERLINK("http://141.218.60.56/~jnz1568/getInfo.php?workbook=10_05.xlsx&amp;sheet=U0&amp;row=16973&amp;col=7&amp;number=0.249&amp;sourceID=14","0.249")</f>
        <v>0.249</v>
      </c>
    </row>
    <row r="16974" spans="1:7">
      <c r="A16974" s="3"/>
      <c r="B16974" s="3"/>
      <c r="C16974" s="3"/>
      <c r="D16974" s="3"/>
      <c r="E16974" s="3">
        <v>11</v>
      </c>
      <c r="F16974" s="4" t="str">
        <f>HYPERLINK("http://141.218.60.56/~jnz1568/getInfo.php?workbook=10_05.xlsx&amp;sheet=U0&amp;row=16974&amp;col=6&amp;number=4&amp;sourceID=14","4")</f>
        <v>4</v>
      </c>
      <c r="G16974" s="4" t="str">
        <f>HYPERLINK("http://141.218.60.56/~jnz1568/getInfo.php?workbook=10_05.xlsx&amp;sheet=U0&amp;row=16974&amp;col=7&amp;number=0.25&amp;sourceID=14","0.25")</f>
        <v>0.25</v>
      </c>
    </row>
    <row r="16975" spans="1:7">
      <c r="A16975" s="3"/>
      <c r="B16975" s="3"/>
      <c r="C16975" s="3"/>
      <c r="D16975" s="3"/>
      <c r="E16975" s="3">
        <v>12</v>
      </c>
      <c r="F16975" s="4" t="str">
        <f>HYPERLINK("http://141.218.60.56/~jnz1568/getInfo.php?workbook=10_05.xlsx&amp;sheet=U0&amp;row=16975&amp;col=6&amp;number=4.1&amp;sourceID=14","4.1")</f>
        <v>4.1</v>
      </c>
      <c r="G16975" s="4" t="str">
        <f>HYPERLINK("http://141.218.60.56/~jnz1568/getInfo.php?workbook=10_05.xlsx&amp;sheet=U0&amp;row=16975&amp;col=7&amp;number=0.25&amp;sourceID=14","0.25")</f>
        <v>0.25</v>
      </c>
    </row>
    <row r="16976" spans="1:7">
      <c r="A16976" s="3"/>
      <c r="B16976" s="3"/>
      <c r="C16976" s="3"/>
      <c r="D16976" s="3"/>
      <c r="E16976" s="3">
        <v>13</v>
      </c>
      <c r="F16976" s="4" t="str">
        <f>HYPERLINK("http://141.218.60.56/~jnz1568/getInfo.php?workbook=10_05.xlsx&amp;sheet=U0&amp;row=16976&amp;col=6&amp;number=4.2&amp;sourceID=14","4.2")</f>
        <v>4.2</v>
      </c>
      <c r="G16976" s="4" t="str">
        <f>HYPERLINK("http://141.218.60.56/~jnz1568/getInfo.php?workbook=10_05.xlsx&amp;sheet=U0&amp;row=16976&amp;col=7&amp;number=0.251&amp;sourceID=14","0.251")</f>
        <v>0.251</v>
      </c>
    </row>
    <row r="16977" spans="1:7">
      <c r="A16977" s="3"/>
      <c r="B16977" s="3"/>
      <c r="C16977" s="3"/>
      <c r="D16977" s="3"/>
      <c r="E16977" s="3">
        <v>14</v>
      </c>
      <c r="F16977" s="4" t="str">
        <f>HYPERLINK("http://141.218.60.56/~jnz1568/getInfo.php?workbook=10_05.xlsx&amp;sheet=U0&amp;row=16977&amp;col=6&amp;number=4.3&amp;sourceID=14","4.3")</f>
        <v>4.3</v>
      </c>
      <c r="G16977" s="4" t="str">
        <f>HYPERLINK("http://141.218.60.56/~jnz1568/getInfo.php?workbook=10_05.xlsx&amp;sheet=U0&amp;row=16977&amp;col=7&amp;number=0.252&amp;sourceID=14","0.252")</f>
        <v>0.252</v>
      </c>
    </row>
    <row r="16978" spans="1:7">
      <c r="A16978" s="3"/>
      <c r="B16978" s="3"/>
      <c r="C16978" s="3"/>
      <c r="D16978" s="3"/>
      <c r="E16978" s="3">
        <v>15</v>
      </c>
      <c r="F16978" s="4" t="str">
        <f>HYPERLINK("http://141.218.60.56/~jnz1568/getInfo.php?workbook=10_05.xlsx&amp;sheet=U0&amp;row=16978&amp;col=6&amp;number=4.4&amp;sourceID=14","4.4")</f>
        <v>4.4</v>
      </c>
      <c r="G16978" s="4" t="str">
        <f>HYPERLINK("http://141.218.60.56/~jnz1568/getInfo.php?workbook=10_05.xlsx&amp;sheet=U0&amp;row=16978&amp;col=7&amp;number=0.253&amp;sourceID=14","0.253")</f>
        <v>0.253</v>
      </c>
    </row>
    <row r="16979" spans="1:7">
      <c r="A16979" s="3"/>
      <c r="B16979" s="3"/>
      <c r="C16979" s="3"/>
      <c r="D16979" s="3"/>
      <c r="E16979" s="3">
        <v>16</v>
      </c>
      <c r="F16979" s="4" t="str">
        <f>HYPERLINK("http://141.218.60.56/~jnz1568/getInfo.php?workbook=10_05.xlsx&amp;sheet=U0&amp;row=16979&amp;col=6&amp;number=4.5&amp;sourceID=14","4.5")</f>
        <v>4.5</v>
      </c>
      <c r="G16979" s="4" t="str">
        <f>HYPERLINK("http://141.218.60.56/~jnz1568/getInfo.php?workbook=10_05.xlsx&amp;sheet=U0&amp;row=16979&amp;col=7&amp;number=0.255&amp;sourceID=14","0.255")</f>
        <v>0.255</v>
      </c>
    </row>
    <row r="16980" spans="1:7">
      <c r="A16980" s="3"/>
      <c r="B16980" s="3"/>
      <c r="C16980" s="3"/>
      <c r="D16980" s="3"/>
      <c r="E16980" s="3">
        <v>17</v>
      </c>
      <c r="F16980" s="4" t="str">
        <f>HYPERLINK("http://141.218.60.56/~jnz1568/getInfo.php?workbook=10_05.xlsx&amp;sheet=U0&amp;row=16980&amp;col=6&amp;number=4.6&amp;sourceID=14","4.6")</f>
        <v>4.6</v>
      </c>
      <c r="G16980" s="4" t="str">
        <f>HYPERLINK("http://141.218.60.56/~jnz1568/getInfo.php?workbook=10_05.xlsx&amp;sheet=U0&amp;row=16980&amp;col=7&amp;number=0.257&amp;sourceID=14","0.257")</f>
        <v>0.257</v>
      </c>
    </row>
    <row r="16981" spans="1:7">
      <c r="A16981" s="3"/>
      <c r="B16981" s="3"/>
      <c r="C16981" s="3"/>
      <c r="D16981" s="3"/>
      <c r="E16981" s="3">
        <v>18</v>
      </c>
      <c r="F16981" s="4" t="str">
        <f>HYPERLINK("http://141.218.60.56/~jnz1568/getInfo.php?workbook=10_05.xlsx&amp;sheet=U0&amp;row=16981&amp;col=6&amp;number=4.7&amp;sourceID=14","4.7")</f>
        <v>4.7</v>
      </c>
      <c r="G16981" s="4" t="str">
        <f>HYPERLINK("http://141.218.60.56/~jnz1568/getInfo.php?workbook=10_05.xlsx&amp;sheet=U0&amp;row=16981&amp;col=7&amp;number=0.259&amp;sourceID=14","0.259")</f>
        <v>0.259</v>
      </c>
    </row>
    <row r="16982" spans="1:7">
      <c r="A16982" s="3"/>
      <c r="B16982" s="3"/>
      <c r="C16982" s="3"/>
      <c r="D16982" s="3"/>
      <c r="E16982" s="3">
        <v>19</v>
      </c>
      <c r="F16982" s="4" t="str">
        <f>HYPERLINK("http://141.218.60.56/~jnz1568/getInfo.php?workbook=10_05.xlsx&amp;sheet=U0&amp;row=16982&amp;col=6&amp;number=4.8&amp;sourceID=14","4.8")</f>
        <v>4.8</v>
      </c>
      <c r="G16982" s="4" t="str">
        <f>HYPERLINK("http://141.218.60.56/~jnz1568/getInfo.php?workbook=10_05.xlsx&amp;sheet=U0&amp;row=16982&amp;col=7&amp;number=0.262&amp;sourceID=14","0.262")</f>
        <v>0.262</v>
      </c>
    </row>
    <row r="16983" spans="1:7">
      <c r="A16983" s="3"/>
      <c r="B16983" s="3"/>
      <c r="C16983" s="3"/>
      <c r="D16983" s="3"/>
      <c r="E16983" s="3">
        <v>20</v>
      </c>
      <c r="F16983" s="4" t="str">
        <f>HYPERLINK("http://141.218.60.56/~jnz1568/getInfo.php?workbook=10_05.xlsx&amp;sheet=U0&amp;row=16983&amp;col=6&amp;number=4.9&amp;sourceID=14","4.9")</f>
        <v>4.9</v>
      </c>
      <c r="G16983" s="4" t="str">
        <f>HYPERLINK("http://141.218.60.56/~jnz1568/getInfo.php?workbook=10_05.xlsx&amp;sheet=U0&amp;row=16983&amp;col=7&amp;number=0.266&amp;sourceID=14","0.266")</f>
        <v>0.266</v>
      </c>
    </row>
    <row r="16984" spans="1:7">
      <c r="A16984" s="3">
        <v>10</v>
      </c>
      <c r="B16984" s="3">
        <v>5</v>
      </c>
      <c r="C16984" s="3">
        <v>5</v>
      </c>
      <c r="D16984" s="3">
        <v>145</v>
      </c>
      <c r="E16984" s="3">
        <v>1</v>
      </c>
      <c r="F16984" s="4" t="str">
        <f>HYPERLINK("http://141.218.60.56/~jnz1568/getInfo.php?workbook=10_05.xlsx&amp;sheet=U0&amp;row=16984&amp;col=6&amp;number=3&amp;sourceID=14","3")</f>
        <v>3</v>
      </c>
      <c r="G16984" s="4" t="str">
        <f>HYPERLINK("http://141.218.60.56/~jnz1568/getInfo.php?workbook=10_05.xlsx&amp;sheet=U0&amp;row=16984&amp;col=7&amp;number=0.025&amp;sourceID=14","0.025")</f>
        <v>0.025</v>
      </c>
    </row>
    <row r="16985" spans="1:7">
      <c r="A16985" s="3"/>
      <c r="B16985" s="3"/>
      <c r="C16985" s="3"/>
      <c r="D16985" s="3"/>
      <c r="E16985" s="3">
        <v>2</v>
      </c>
      <c r="F16985" s="4" t="str">
        <f>HYPERLINK("http://141.218.60.56/~jnz1568/getInfo.php?workbook=10_05.xlsx&amp;sheet=U0&amp;row=16985&amp;col=6&amp;number=3.1&amp;sourceID=14","3.1")</f>
        <v>3.1</v>
      </c>
      <c r="G16985" s="4" t="str">
        <f>HYPERLINK("http://141.218.60.56/~jnz1568/getInfo.php?workbook=10_05.xlsx&amp;sheet=U0&amp;row=16985&amp;col=7&amp;number=0.025&amp;sourceID=14","0.025")</f>
        <v>0.025</v>
      </c>
    </row>
    <row r="16986" spans="1:7">
      <c r="A16986" s="3"/>
      <c r="B16986" s="3"/>
      <c r="C16986" s="3"/>
      <c r="D16986" s="3"/>
      <c r="E16986" s="3">
        <v>3</v>
      </c>
      <c r="F16986" s="4" t="str">
        <f>HYPERLINK("http://141.218.60.56/~jnz1568/getInfo.php?workbook=10_05.xlsx&amp;sheet=U0&amp;row=16986&amp;col=6&amp;number=3.2&amp;sourceID=14","3.2")</f>
        <v>3.2</v>
      </c>
      <c r="G16986" s="4" t="str">
        <f>HYPERLINK("http://141.218.60.56/~jnz1568/getInfo.php?workbook=10_05.xlsx&amp;sheet=U0&amp;row=16986&amp;col=7&amp;number=0.025&amp;sourceID=14","0.025")</f>
        <v>0.025</v>
      </c>
    </row>
    <row r="16987" spans="1:7">
      <c r="A16987" s="3"/>
      <c r="B16987" s="3"/>
      <c r="C16987" s="3"/>
      <c r="D16987" s="3"/>
      <c r="E16987" s="3">
        <v>4</v>
      </c>
      <c r="F16987" s="4" t="str">
        <f>HYPERLINK("http://141.218.60.56/~jnz1568/getInfo.php?workbook=10_05.xlsx&amp;sheet=U0&amp;row=16987&amp;col=6&amp;number=3.3&amp;sourceID=14","3.3")</f>
        <v>3.3</v>
      </c>
      <c r="G16987" s="4" t="str">
        <f>HYPERLINK("http://141.218.60.56/~jnz1568/getInfo.php?workbook=10_05.xlsx&amp;sheet=U0&amp;row=16987&amp;col=7&amp;number=0.025&amp;sourceID=14","0.025")</f>
        <v>0.025</v>
      </c>
    </row>
    <row r="16988" spans="1:7">
      <c r="A16988" s="3"/>
      <c r="B16988" s="3"/>
      <c r="C16988" s="3"/>
      <c r="D16988" s="3"/>
      <c r="E16988" s="3">
        <v>5</v>
      </c>
      <c r="F16988" s="4" t="str">
        <f>HYPERLINK("http://141.218.60.56/~jnz1568/getInfo.php?workbook=10_05.xlsx&amp;sheet=U0&amp;row=16988&amp;col=6&amp;number=3.4&amp;sourceID=14","3.4")</f>
        <v>3.4</v>
      </c>
      <c r="G16988" s="4" t="str">
        <f>HYPERLINK("http://141.218.60.56/~jnz1568/getInfo.php?workbook=10_05.xlsx&amp;sheet=U0&amp;row=16988&amp;col=7&amp;number=0.0249&amp;sourceID=14","0.0249")</f>
        <v>0.0249</v>
      </c>
    </row>
    <row r="16989" spans="1:7">
      <c r="A16989" s="3"/>
      <c r="B16989" s="3"/>
      <c r="C16989" s="3"/>
      <c r="D16989" s="3"/>
      <c r="E16989" s="3">
        <v>6</v>
      </c>
      <c r="F16989" s="4" t="str">
        <f>HYPERLINK("http://141.218.60.56/~jnz1568/getInfo.php?workbook=10_05.xlsx&amp;sheet=U0&amp;row=16989&amp;col=6&amp;number=3.5&amp;sourceID=14","3.5")</f>
        <v>3.5</v>
      </c>
      <c r="G16989" s="4" t="str">
        <f>HYPERLINK("http://141.218.60.56/~jnz1568/getInfo.php?workbook=10_05.xlsx&amp;sheet=U0&amp;row=16989&amp;col=7&amp;number=0.0249&amp;sourceID=14","0.0249")</f>
        <v>0.0249</v>
      </c>
    </row>
    <row r="16990" spans="1:7">
      <c r="A16990" s="3"/>
      <c r="B16990" s="3"/>
      <c r="C16990" s="3"/>
      <c r="D16990" s="3"/>
      <c r="E16990" s="3">
        <v>7</v>
      </c>
      <c r="F16990" s="4" t="str">
        <f>HYPERLINK("http://141.218.60.56/~jnz1568/getInfo.php?workbook=10_05.xlsx&amp;sheet=U0&amp;row=16990&amp;col=6&amp;number=3.6&amp;sourceID=14","3.6")</f>
        <v>3.6</v>
      </c>
      <c r="G16990" s="4" t="str">
        <f>HYPERLINK("http://141.218.60.56/~jnz1568/getInfo.php?workbook=10_05.xlsx&amp;sheet=U0&amp;row=16990&amp;col=7&amp;number=0.0249&amp;sourceID=14","0.0249")</f>
        <v>0.0249</v>
      </c>
    </row>
    <row r="16991" spans="1:7">
      <c r="A16991" s="3"/>
      <c r="B16991" s="3"/>
      <c r="C16991" s="3"/>
      <c r="D16991" s="3"/>
      <c r="E16991" s="3">
        <v>8</v>
      </c>
      <c r="F16991" s="4" t="str">
        <f>HYPERLINK("http://141.218.60.56/~jnz1568/getInfo.php?workbook=10_05.xlsx&amp;sheet=U0&amp;row=16991&amp;col=6&amp;number=3.7&amp;sourceID=14","3.7")</f>
        <v>3.7</v>
      </c>
      <c r="G16991" s="4" t="str">
        <f>HYPERLINK("http://141.218.60.56/~jnz1568/getInfo.php?workbook=10_05.xlsx&amp;sheet=U0&amp;row=16991&amp;col=7&amp;number=0.0248&amp;sourceID=14","0.0248")</f>
        <v>0.0248</v>
      </c>
    </row>
    <row r="16992" spans="1:7">
      <c r="A16992" s="3"/>
      <c r="B16992" s="3"/>
      <c r="C16992" s="3"/>
      <c r="D16992" s="3"/>
      <c r="E16992" s="3">
        <v>9</v>
      </c>
      <c r="F16992" s="4" t="str">
        <f>HYPERLINK("http://141.218.60.56/~jnz1568/getInfo.php?workbook=10_05.xlsx&amp;sheet=U0&amp;row=16992&amp;col=6&amp;number=3.8&amp;sourceID=14","3.8")</f>
        <v>3.8</v>
      </c>
      <c r="G16992" s="4" t="str">
        <f>HYPERLINK("http://141.218.60.56/~jnz1568/getInfo.php?workbook=10_05.xlsx&amp;sheet=U0&amp;row=16992&amp;col=7&amp;number=0.0247&amp;sourceID=14","0.0247")</f>
        <v>0.0247</v>
      </c>
    </row>
    <row r="16993" spans="1:7">
      <c r="A16993" s="3"/>
      <c r="B16993" s="3"/>
      <c r="C16993" s="3"/>
      <c r="D16993" s="3"/>
      <c r="E16993" s="3">
        <v>10</v>
      </c>
      <c r="F16993" s="4" t="str">
        <f>HYPERLINK("http://141.218.60.56/~jnz1568/getInfo.php?workbook=10_05.xlsx&amp;sheet=U0&amp;row=16993&amp;col=6&amp;number=3.9&amp;sourceID=14","3.9")</f>
        <v>3.9</v>
      </c>
      <c r="G16993" s="4" t="str">
        <f>HYPERLINK("http://141.218.60.56/~jnz1568/getInfo.php?workbook=10_05.xlsx&amp;sheet=U0&amp;row=16993&amp;col=7&amp;number=0.0247&amp;sourceID=14","0.0247")</f>
        <v>0.0247</v>
      </c>
    </row>
    <row r="16994" spans="1:7">
      <c r="A16994" s="3"/>
      <c r="B16994" s="3"/>
      <c r="C16994" s="3"/>
      <c r="D16994" s="3"/>
      <c r="E16994" s="3">
        <v>11</v>
      </c>
      <c r="F16994" s="4" t="str">
        <f>HYPERLINK("http://141.218.60.56/~jnz1568/getInfo.php?workbook=10_05.xlsx&amp;sheet=U0&amp;row=16994&amp;col=6&amp;number=4&amp;sourceID=14","4")</f>
        <v>4</v>
      </c>
      <c r="G16994" s="4" t="str">
        <f>HYPERLINK("http://141.218.60.56/~jnz1568/getInfo.php?workbook=10_05.xlsx&amp;sheet=U0&amp;row=16994&amp;col=7&amp;number=0.0246&amp;sourceID=14","0.0246")</f>
        <v>0.0246</v>
      </c>
    </row>
    <row r="16995" spans="1:7">
      <c r="A16995" s="3"/>
      <c r="B16995" s="3"/>
      <c r="C16995" s="3"/>
      <c r="D16995" s="3"/>
      <c r="E16995" s="3">
        <v>12</v>
      </c>
      <c r="F16995" s="4" t="str">
        <f>HYPERLINK("http://141.218.60.56/~jnz1568/getInfo.php?workbook=10_05.xlsx&amp;sheet=U0&amp;row=16995&amp;col=6&amp;number=4.1&amp;sourceID=14","4.1")</f>
        <v>4.1</v>
      </c>
      <c r="G16995" s="4" t="str">
        <f>HYPERLINK("http://141.218.60.56/~jnz1568/getInfo.php?workbook=10_05.xlsx&amp;sheet=U0&amp;row=16995&amp;col=7&amp;number=0.0245&amp;sourceID=14","0.0245")</f>
        <v>0.0245</v>
      </c>
    </row>
    <row r="16996" spans="1:7">
      <c r="A16996" s="3"/>
      <c r="B16996" s="3"/>
      <c r="C16996" s="3"/>
      <c r="D16996" s="3"/>
      <c r="E16996" s="3">
        <v>13</v>
      </c>
      <c r="F16996" s="4" t="str">
        <f>HYPERLINK("http://141.218.60.56/~jnz1568/getInfo.php?workbook=10_05.xlsx&amp;sheet=U0&amp;row=16996&amp;col=6&amp;number=4.2&amp;sourceID=14","4.2")</f>
        <v>4.2</v>
      </c>
      <c r="G16996" s="4" t="str">
        <f>HYPERLINK("http://141.218.60.56/~jnz1568/getInfo.php?workbook=10_05.xlsx&amp;sheet=U0&amp;row=16996&amp;col=7&amp;number=0.0244&amp;sourceID=14","0.0244")</f>
        <v>0.0244</v>
      </c>
    </row>
    <row r="16997" spans="1:7">
      <c r="A16997" s="3"/>
      <c r="B16997" s="3"/>
      <c r="C16997" s="3"/>
      <c r="D16997" s="3"/>
      <c r="E16997" s="3">
        <v>14</v>
      </c>
      <c r="F16997" s="4" t="str">
        <f>HYPERLINK("http://141.218.60.56/~jnz1568/getInfo.php?workbook=10_05.xlsx&amp;sheet=U0&amp;row=16997&amp;col=6&amp;number=4.3&amp;sourceID=14","4.3")</f>
        <v>4.3</v>
      </c>
      <c r="G16997" s="4" t="str">
        <f>HYPERLINK("http://141.218.60.56/~jnz1568/getInfo.php?workbook=10_05.xlsx&amp;sheet=U0&amp;row=16997&amp;col=7&amp;number=0.0243&amp;sourceID=14","0.0243")</f>
        <v>0.0243</v>
      </c>
    </row>
    <row r="16998" spans="1:7">
      <c r="A16998" s="3"/>
      <c r="B16998" s="3"/>
      <c r="C16998" s="3"/>
      <c r="D16998" s="3"/>
      <c r="E16998" s="3">
        <v>15</v>
      </c>
      <c r="F16998" s="4" t="str">
        <f>HYPERLINK("http://141.218.60.56/~jnz1568/getInfo.php?workbook=10_05.xlsx&amp;sheet=U0&amp;row=16998&amp;col=6&amp;number=4.4&amp;sourceID=14","4.4")</f>
        <v>4.4</v>
      </c>
      <c r="G16998" s="4" t="str">
        <f>HYPERLINK("http://141.218.60.56/~jnz1568/getInfo.php?workbook=10_05.xlsx&amp;sheet=U0&amp;row=16998&amp;col=7&amp;number=0.0242&amp;sourceID=14","0.0242")</f>
        <v>0.0242</v>
      </c>
    </row>
    <row r="16999" spans="1:7">
      <c r="A16999" s="3"/>
      <c r="B16999" s="3"/>
      <c r="C16999" s="3"/>
      <c r="D16999" s="3"/>
      <c r="E16999" s="3">
        <v>16</v>
      </c>
      <c r="F16999" s="4" t="str">
        <f>HYPERLINK("http://141.218.60.56/~jnz1568/getInfo.php?workbook=10_05.xlsx&amp;sheet=U0&amp;row=16999&amp;col=6&amp;number=4.5&amp;sourceID=14","4.5")</f>
        <v>4.5</v>
      </c>
      <c r="G16999" s="4" t="str">
        <f>HYPERLINK("http://141.218.60.56/~jnz1568/getInfo.php?workbook=10_05.xlsx&amp;sheet=U0&amp;row=16999&amp;col=7&amp;number=0.0242&amp;sourceID=14","0.0242")</f>
        <v>0.0242</v>
      </c>
    </row>
    <row r="17000" spans="1:7">
      <c r="A17000" s="3"/>
      <c r="B17000" s="3"/>
      <c r="C17000" s="3"/>
      <c r="D17000" s="3"/>
      <c r="E17000" s="3">
        <v>17</v>
      </c>
      <c r="F17000" s="4" t="str">
        <f>HYPERLINK("http://141.218.60.56/~jnz1568/getInfo.php?workbook=10_05.xlsx&amp;sheet=U0&amp;row=17000&amp;col=6&amp;number=4.6&amp;sourceID=14","4.6")</f>
        <v>4.6</v>
      </c>
      <c r="G17000" s="4" t="str">
        <f>HYPERLINK("http://141.218.60.56/~jnz1568/getInfo.php?workbook=10_05.xlsx&amp;sheet=U0&amp;row=17000&amp;col=7&amp;number=0.0243&amp;sourceID=14","0.0243")</f>
        <v>0.0243</v>
      </c>
    </row>
    <row r="17001" spans="1:7">
      <c r="A17001" s="3"/>
      <c r="B17001" s="3"/>
      <c r="C17001" s="3"/>
      <c r="D17001" s="3"/>
      <c r="E17001" s="3">
        <v>18</v>
      </c>
      <c r="F17001" s="4" t="str">
        <f>HYPERLINK("http://141.218.60.56/~jnz1568/getInfo.php?workbook=10_05.xlsx&amp;sheet=U0&amp;row=17001&amp;col=6&amp;number=4.7&amp;sourceID=14","4.7")</f>
        <v>4.7</v>
      </c>
      <c r="G17001" s="4" t="str">
        <f>HYPERLINK("http://141.218.60.56/~jnz1568/getInfo.php?workbook=10_05.xlsx&amp;sheet=U0&amp;row=17001&amp;col=7&amp;number=0.0243&amp;sourceID=14","0.0243")</f>
        <v>0.0243</v>
      </c>
    </row>
    <row r="17002" spans="1:7">
      <c r="A17002" s="3"/>
      <c r="B17002" s="3"/>
      <c r="C17002" s="3"/>
      <c r="D17002" s="3"/>
      <c r="E17002" s="3">
        <v>19</v>
      </c>
      <c r="F17002" s="4" t="str">
        <f>HYPERLINK("http://141.218.60.56/~jnz1568/getInfo.php?workbook=10_05.xlsx&amp;sheet=U0&amp;row=17002&amp;col=6&amp;number=4.8&amp;sourceID=14","4.8")</f>
        <v>4.8</v>
      </c>
      <c r="G17002" s="4" t="str">
        <f>HYPERLINK("http://141.218.60.56/~jnz1568/getInfo.php?workbook=10_05.xlsx&amp;sheet=U0&amp;row=17002&amp;col=7&amp;number=0.0243&amp;sourceID=14","0.0243")</f>
        <v>0.0243</v>
      </c>
    </row>
    <row r="17003" spans="1:7">
      <c r="A17003" s="3"/>
      <c r="B17003" s="3"/>
      <c r="C17003" s="3"/>
      <c r="D17003" s="3"/>
      <c r="E17003" s="3">
        <v>20</v>
      </c>
      <c r="F17003" s="4" t="str">
        <f>HYPERLINK("http://141.218.60.56/~jnz1568/getInfo.php?workbook=10_05.xlsx&amp;sheet=U0&amp;row=17003&amp;col=6&amp;number=4.9&amp;sourceID=14","4.9")</f>
        <v>4.9</v>
      </c>
      <c r="G17003" s="4" t="str">
        <f>HYPERLINK("http://141.218.60.56/~jnz1568/getInfo.php?workbook=10_05.xlsx&amp;sheet=U0&amp;row=17003&amp;col=7&amp;number=0.0243&amp;sourceID=14","0.0243")</f>
        <v>0.0243</v>
      </c>
    </row>
    <row r="17004" spans="1:7">
      <c r="A17004" s="3">
        <v>10</v>
      </c>
      <c r="B17004" s="3">
        <v>5</v>
      </c>
      <c r="C17004" s="3">
        <v>5</v>
      </c>
      <c r="D17004" s="3">
        <v>146</v>
      </c>
      <c r="E17004" s="3">
        <v>1</v>
      </c>
      <c r="F17004" s="4" t="str">
        <f>HYPERLINK("http://141.218.60.56/~jnz1568/getInfo.php?workbook=10_05.xlsx&amp;sheet=U0&amp;row=17004&amp;col=6&amp;number=3&amp;sourceID=14","3")</f>
        <v>3</v>
      </c>
      <c r="G17004" s="4" t="str">
        <f>HYPERLINK("http://141.218.60.56/~jnz1568/getInfo.php?workbook=10_05.xlsx&amp;sheet=U0&amp;row=17004&amp;col=7&amp;number=0.045&amp;sourceID=14","0.045")</f>
        <v>0.045</v>
      </c>
    </row>
    <row r="17005" spans="1:7">
      <c r="A17005" s="3"/>
      <c r="B17005" s="3"/>
      <c r="C17005" s="3"/>
      <c r="D17005" s="3"/>
      <c r="E17005" s="3">
        <v>2</v>
      </c>
      <c r="F17005" s="4" t="str">
        <f>HYPERLINK("http://141.218.60.56/~jnz1568/getInfo.php?workbook=10_05.xlsx&amp;sheet=U0&amp;row=17005&amp;col=6&amp;number=3.1&amp;sourceID=14","3.1")</f>
        <v>3.1</v>
      </c>
      <c r="G17005" s="4" t="str">
        <f>HYPERLINK("http://141.218.60.56/~jnz1568/getInfo.php?workbook=10_05.xlsx&amp;sheet=U0&amp;row=17005&amp;col=7&amp;number=0.045&amp;sourceID=14","0.045")</f>
        <v>0.045</v>
      </c>
    </row>
    <row r="17006" spans="1:7">
      <c r="A17006" s="3"/>
      <c r="B17006" s="3"/>
      <c r="C17006" s="3"/>
      <c r="D17006" s="3"/>
      <c r="E17006" s="3">
        <v>3</v>
      </c>
      <c r="F17006" s="4" t="str">
        <f>HYPERLINK("http://141.218.60.56/~jnz1568/getInfo.php?workbook=10_05.xlsx&amp;sheet=U0&amp;row=17006&amp;col=6&amp;number=3.2&amp;sourceID=14","3.2")</f>
        <v>3.2</v>
      </c>
      <c r="G17006" s="4" t="str">
        <f>HYPERLINK("http://141.218.60.56/~jnz1568/getInfo.php?workbook=10_05.xlsx&amp;sheet=U0&amp;row=17006&amp;col=7&amp;number=0.045&amp;sourceID=14","0.045")</f>
        <v>0.045</v>
      </c>
    </row>
    <row r="17007" spans="1:7">
      <c r="A17007" s="3"/>
      <c r="B17007" s="3"/>
      <c r="C17007" s="3"/>
      <c r="D17007" s="3"/>
      <c r="E17007" s="3">
        <v>4</v>
      </c>
      <c r="F17007" s="4" t="str">
        <f>HYPERLINK("http://141.218.60.56/~jnz1568/getInfo.php?workbook=10_05.xlsx&amp;sheet=U0&amp;row=17007&amp;col=6&amp;number=3.3&amp;sourceID=14","3.3")</f>
        <v>3.3</v>
      </c>
      <c r="G17007" s="4" t="str">
        <f>HYPERLINK("http://141.218.60.56/~jnz1568/getInfo.php?workbook=10_05.xlsx&amp;sheet=U0&amp;row=17007&amp;col=7&amp;number=0.045&amp;sourceID=14","0.045")</f>
        <v>0.045</v>
      </c>
    </row>
    <row r="17008" spans="1:7">
      <c r="A17008" s="3"/>
      <c r="B17008" s="3"/>
      <c r="C17008" s="3"/>
      <c r="D17008" s="3"/>
      <c r="E17008" s="3">
        <v>5</v>
      </c>
      <c r="F17008" s="4" t="str">
        <f>HYPERLINK("http://141.218.60.56/~jnz1568/getInfo.php?workbook=10_05.xlsx&amp;sheet=U0&amp;row=17008&amp;col=6&amp;number=3.4&amp;sourceID=14","3.4")</f>
        <v>3.4</v>
      </c>
      <c r="G17008" s="4" t="str">
        <f>HYPERLINK("http://141.218.60.56/~jnz1568/getInfo.php?workbook=10_05.xlsx&amp;sheet=U0&amp;row=17008&amp;col=7&amp;number=0.0449&amp;sourceID=14","0.0449")</f>
        <v>0.0449</v>
      </c>
    </row>
    <row r="17009" spans="1:7">
      <c r="A17009" s="3"/>
      <c r="B17009" s="3"/>
      <c r="C17009" s="3"/>
      <c r="D17009" s="3"/>
      <c r="E17009" s="3">
        <v>6</v>
      </c>
      <c r="F17009" s="4" t="str">
        <f>HYPERLINK("http://141.218.60.56/~jnz1568/getInfo.php?workbook=10_05.xlsx&amp;sheet=U0&amp;row=17009&amp;col=6&amp;number=3.5&amp;sourceID=14","3.5")</f>
        <v>3.5</v>
      </c>
      <c r="G17009" s="4" t="str">
        <f>HYPERLINK("http://141.218.60.56/~jnz1568/getInfo.php?workbook=10_05.xlsx&amp;sheet=U0&amp;row=17009&amp;col=7&amp;number=0.0449&amp;sourceID=14","0.0449")</f>
        <v>0.0449</v>
      </c>
    </row>
    <row r="17010" spans="1:7">
      <c r="A17010" s="3"/>
      <c r="B17010" s="3"/>
      <c r="C17010" s="3"/>
      <c r="D17010" s="3"/>
      <c r="E17010" s="3">
        <v>7</v>
      </c>
      <c r="F17010" s="4" t="str">
        <f>HYPERLINK("http://141.218.60.56/~jnz1568/getInfo.php?workbook=10_05.xlsx&amp;sheet=U0&amp;row=17010&amp;col=6&amp;number=3.6&amp;sourceID=14","3.6")</f>
        <v>3.6</v>
      </c>
      <c r="G17010" s="4" t="str">
        <f>HYPERLINK("http://141.218.60.56/~jnz1568/getInfo.php?workbook=10_05.xlsx&amp;sheet=U0&amp;row=17010&amp;col=7&amp;number=0.0448&amp;sourceID=14","0.0448")</f>
        <v>0.0448</v>
      </c>
    </row>
    <row r="17011" spans="1:7">
      <c r="A17011" s="3"/>
      <c r="B17011" s="3"/>
      <c r="C17011" s="3"/>
      <c r="D17011" s="3"/>
      <c r="E17011" s="3">
        <v>8</v>
      </c>
      <c r="F17011" s="4" t="str">
        <f>HYPERLINK("http://141.218.60.56/~jnz1568/getInfo.php?workbook=10_05.xlsx&amp;sheet=U0&amp;row=17011&amp;col=6&amp;number=3.7&amp;sourceID=14","3.7")</f>
        <v>3.7</v>
      </c>
      <c r="G17011" s="4" t="str">
        <f>HYPERLINK("http://141.218.60.56/~jnz1568/getInfo.php?workbook=10_05.xlsx&amp;sheet=U0&amp;row=17011&amp;col=7&amp;number=0.0448&amp;sourceID=14","0.0448")</f>
        <v>0.0448</v>
      </c>
    </row>
    <row r="17012" spans="1:7">
      <c r="A17012" s="3"/>
      <c r="B17012" s="3"/>
      <c r="C17012" s="3"/>
      <c r="D17012" s="3"/>
      <c r="E17012" s="3">
        <v>9</v>
      </c>
      <c r="F17012" s="4" t="str">
        <f>HYPERLINK("http://141.218.60.56/~jnz1568/getInfo.php?workbook=10_05.xlsx&amp;sheet=U0&amp;row=17012&amp;col=6&amp;number=3.8&amp;sourceID=14","3.8")</f>
        <v>3.8</v>
      </c>
      <c r="G17012" s="4" t="str">
        <f>HYPERLINK("http://141.218.60.56/~jnz1568/getInfo.php?workbook=10_05.xlsx&amp;sheet=U0&amp;row=17012&amp;col=7&amp;number=0.0447&amp;sourceID=14","0.0447")</f>
        <v>0.0447</v>
      </c>
    </row>
    <row r="17013" spans="1:7">
      <c r="A17013" s="3"/>
      <c r="B17013" s="3"/>
      <c r="C17013" s="3"/>
      <c r="D17013" s="3"/>
      <c r="E17013" s="3">
        <v>10</v>
      </c>
      <c r="F17013" s="4" t="str">
        <f>HYPERLINK("http://141.218.60.56/~jnz1568/getInfo.php?workbook=10_05.xlsx&amp;sheet=U0&amp;row=17013&amp;col=6&amp;number=3.9&amp;sourceID=14","3.9")</f>
        <v>3.9</v>
      </c>
      <c r="G17013" s="4" t="str">
        <f>HYPERLINK("http://141.218.60.56/~jnz1568/getInfo.php?workbook=10_05.xlsx&amp;sheet=U0&amp;row=17013&amp;col=7&amp;number=0.0446&amp;sourceID=14","0.0446")</f>
        <v>0.0446</v>
      </c>
    </row>
    <row r="17014" spans="1:7">
      <c r="A17014" s="3"/>
      <c r="B17014" s="3"/>
      <c r="C17014" s="3"/>
      <c r="D17014" s="3"/>
      <c r="E17014" s="3">
        <v>11</v>
      </c>
      <c r="F17014" s="4" t="str">
        <f>HYPERLINK("http://141.218.60.56/~jnz1568/getInfo.php?workbook=10_05.xlsx&amp;sheet=U0&amp;row=17014&amp;col=6&amp;number=4&amp;sourceID=14","4")</f>
        <v>4</v>
      </c>
      <c r="G17014" s="4" t="str">
        <f>HYPERLINK("http://141.218.60.56/~jnz1568/getInfo.php?workbook=10_05.xlsx&amp;sheet=U0&amp;row=17014&amp;col=7&amp;number=0.0445&amp;sourceID=14","0.0445")</f>
        <v>0.0445</v>
      </c>
    </row>
    <row r="17015" spans="1:7">
      <c r="A17015" s="3"/>
      <c r="B17015" s="3"/>
      <c r="C17015" s="3"/>
      <c r="D17015" s="3"/>
      <c r="E17015" s="3">
        <v>12</v>
      </c>
      <c r="F17015" s="4" t="str">
        <f>HYPERLINK("http://141.218.60.56/~jnz1568/getInfo.php?workbook=10_05.xlsx&amp;sheet=U0&amp;row=17015&amp;col=6&amp;number=4.1&amp;sourceID=14","4.1")</f>
        <v>4.1</v>
      </c>
      <c r="G17015" s="4" t="str">
        <f>HYPERLINK("http://141.218.60.56/~jnz1568/getInfo.php?workbook=10_05.xlsx&amp;sheet=U0&amp;row=17015&amp;col=7&amp;number=0.0443&amp;sourceID=14","0.0443")</f>
        <v>0.0443</v>
      </c>
    </row>
    <row r="17016" spans="1:7">
      <c r="A17016" s="3"/>
      <c r="B17016" s="3"/>
      <c r="C17016" s="3"/>
      <c r="D17016" s="3"/>
      <c r="E17016" s="3">
        <v>13</v>
      </c>
      <c r="F17016" s="4" t="str">
        <f>HYPERLINK("http://141.218.60.56/~jnz1568/getInfo.php?workbook=10_05.xlsx&amp;sheet=U0&amp;row=17016&amp;col=6&amp;number=4.2&amp;sourceID=14","4.2")</f>
        <v>4.2</v>
      </c>
      <c r="G17016" s="4" t="str">
        <f>HYPERLINK("http://141.218.60.56/~jnz1568/getInfo.php?workbook=10_05.xlsx&amp;sheet=U0&amp;row=17016&amp;col=7&amp;number=0.0442&amp;sourceID=14","0.0442")</f>
        <v>0.0442</v>
      </c>
    </row>
    <row r="17017" spans="1:7">
      <c r="A17017" s="3"/>
      <c r="B17017" s="3"/>
      <c r="C17017" s="3"/>
      <c r="D17017" s="3"/>
      <c r="E17017" s="3">
        <v>14</v>
      </c>
      <c r="F17017" s="4" t="str">
        <f>HYPERLINK("http://141.218.60.56/~jnz1568/getInfo.php?workbook=10_05.xlsx&amp;sheet=U0&amp;row=17017&amp;col=6&amp;number=4.3&amp;sourceID=14","4.3")</f>
        <v>4.3</v>
      </c>
      <c r="G17017" s="4" t="str">
        <f>HYPERLINK("http://141.218.60.56/~jnz1568/getInfo.php?workbook=10_05.xlsx&amp;sheet=U0&amp;row=17017&amp;col=7&amp;number=0.044&amp;sourceID=14","0.044")</f>
        <v>0.044</v>
      </c>
    </row>
    <row r="17018" spans="1:7">
      <c r="A17018" s="3"/>
      <c r="B17018" s="3"/>
      <c r="C17018" s="3"/>
      <c r="D17018" s="3"/>
      <c r="E17018" s="3">
        <v>15</v>
      </c>
      <c r="F17018" s="4" t="str">
        <f>HYPERLINK("http://141.218.60.56/~jnz1568/getInfo.php?workbook=10_05.xlsx&amp;sheet=U0&amp;row=17018&amp;col=6&amp;number=4.4&amp;sourceID=14","4.4")</f>
        <v>4.4</v>
      </c>
      <c r="G17018" s="4" t="str">
        <f>HYPERLINK("http://141.218.60.56/~jnz1568/getInfo.php?workbook=10_05.xlsx&amp;sheet=U0&amp;row=17018&amp;col=7&amp;number=0.0438&amp;sourceID=14","0.0438")</f>
        <v>0.0438</v>
      </c>
    </row>
    <row r="17019" spans="1:7">
      <c r="A17019" s="3"/>
      <c r="B17019" s="3"/>
      <c r="C17019" s="3"/>
      <c r="D17019" s="3"/>
      <c r="E17019" s="3">
        <v>16</v>
      </c>
      <c r="F17019" s="4" t="str">
        <f>HYPERLINK("http://141.218.60.56/~jnz1568/getInfo.php?workbook=10_05.xlsx&amp;sheet=U0&amp;row=17019&amp;col=6&amp;number=4.5&amp;sourceID=14","4.5")</f>
        <v>4.5</v>
      </c>
      <c r="G17019" s="4" t="str">
        <f>HYPERLINK("http://141.218.60.56/~jnz1568/getInfo.php?workbook=10_05.xlsx&amp;sheet=U0&amp;row=17019&amp;col=7&amp;number=0.0436&amp;sourceID=14","0.0436")</f>
        <v>0.0436</v>
      </c>
    </row>
    <row r="17020" spans="1:7">
      <c r="A17020" s="3"/>
      <c r="B17020" s="3"/>
      <c r="C17020" s="3"/>
      <c r="D17020" s="3"/>
      <c r="E17020" s="3">
        <v>17</v>
      </c>
      <c r="F17020" s="4" t="str">
        <f>HYPERLINK("http://141.218.60.56/~jnz1568/getInfo.php?workbook=10_05.xlsx&amp;sheet=U0&amp;row=17020&amp;col=6&amp;number=4.6&amp;sourceID=14","4.6")</f>
        <v>4.6</v>
      </c>
      <c r="G17020" s="4" t="str">
        <f>HYPERLINK("http://141.218.60.56/~jnz1568/getInfo.php?workbook=10_05.xlsx&amp;sheet=U0&amp;row=17020&amp;col=7&amp;number=0.0435&amp;sourceID=14","0.0435")</f>
        <v>0.0435</v>
      </c>
    </row>
    <row r="17021" spans="1:7">
      <c r="A17021" s="3"/>
      <c r="B17021" s="3"/>
      <c r="C17021" s="3"/>
      <c r="D17021" s="3"/>
      <c r="E17021" s="3">
        <v>18</v>
      </c>
      <c r="F17021" s="4" t="str">
        <f>HYPERLINK("http://141.218.60.56/~jnz1568/getInfo.php?workbook=10_05.xlsx&amp;sheet=U0&amp;row=17021&amp;col=6&amp;number=4.7&amp;sourceID=14","4.7")</f>
        <v>4.7</v>
      </c>
      <c r="G17021" s="4" t="str">
        <f>HYPERLINK("http://141.218.60.56/~jnz1568/getInfo.php?workbook=10_05.xlsx&amp;sheet=U0&amp;row=17021&amp;col=7&amp;number=0.0433&amp;sourceID=14","0.0433")</f>
        <v>0.0433</v>
      </c>
    </row>
    <row r="17022" spans="1:7">
      <c r="A17022" s="3"/>
      <c r="B17022" s="3"/>
      <c r="C17022" s="3"/>
      <c r="D17022" s="3"/>
      <c r="E17022" s="3">
        <v>19</v>
      </c>
      <c r="F17022" s="4" t="str">
        <f>HYPERLINK("http://141.218.60.56/~jnz1568/getInfo.php?workbook=10_05.xlsx&amp;sheet=U0&amp;row=17022&amp;col=6&amp;number=4.8&amp;sourceID=14","4.8")</f>
        <v>4.8</v>
      </c>
      <c r="G17022" s="4" t="str">
        <f>HYPERLINK("http://141.218.60.56/~jnz1568/getInfo.php?workbook=10_05.xlsx&amp;sheet=U0&amp;row=17022&amp;col=7&amp;number=0.0431&amp;sourceID=14","0.0431")</f>
        <v>0.0431</v>
      </c>
    </row>
    <row r="17023" spans="1:7">
      <c r="A17023" s="3"/>
      <c r="B17023" s="3"/>
      <c r="C17023" s="3"/>
      <c r="D17023" s="3"/>
      <c r="E17023" s="3">
        <v>20</v>
      </c>
      <c r="F17023" s="4" t="str">
        <f>HYPERLINK("http://141.218.60.56/~jnz1568/getInfo.php?workbook=10_05.xlsx&amp;sheet=U0&amp;row=17023&amp;col=6&amp;number=4.9&amp;sourceID=14","4.9")</f>
        <v>4.9</v>
      </c>
      <c r="G17023" s="4" t="str">
        <f>HYPERLINK("http://141.218.60.56/~jnz1568/getInfo.php?workbook=10_05.xlsx&amp;sheet=U0&amp;row=17023&amp;col=7&amp;number=0.0429&amp;sourceID=14","0.0429")</f>
        <v>0.0429</v>
      </c>
    </row>
    <row r="17024" spans="1:7">
      <c r="A17024" s="3">
        <v>10</v>
      </c>
      <c r="B17024" s="3">
        <v>5</v>
      </c>
      <c r="C17024" s="3">
        <v>5</v>
      </c>
      <c r="D17024" s="3">
        <v>147</v>
      </c>
      <c r="E17024" s="3">
        <v>1</v>
      </c>
      <c r="F17024" s="4" t="str">
        <f>HYPERLINK("http://141.218.60.56/~jnz1568/getInfo.php?workbook=10_05.xlsx&amp;sheet=U0&amp;row=17024&amp;col=6&amp;number=3&amp;sourceID=14","3")</f>
        <v>3</v>
      </c>
      <c r="G17024" s="4" t="str">
        <f>HYPERLINK("http://141.218.60.56/~jnz1568/getInfo.php?workbook=10_05.xlsx&amp;sheet=U0&amp;row=17024&amp;col=7&amp;number=0.114&amp;sourceID=14","0.114")</f>
        <v>0.114</v>
      </c>
    </row>
    <row r="17025" spans="1:7">
      <c r="A17025" s="3"/>
      <c r="B17025" s="3"/>
      <c r="C17025" s="3"/>
      <c r="D17025" s="3"/>
      <c r="E17025" s="3">
        <v>2</v>
      </c>
      <c r="F17025" s="4" t="str">
        <f>HYPERLINK("http://141.218.60.56/~jnz1568/getInfo.php?workbook=10_05.xlsx&amp;sheet=U0&amp;row=17025&amp;col=6&amp;number=3.1&amp;sourceID=14","3.1")</f>
        <v>3.1</v>
      </c>
      <c r="G17025" s="4" t="str">
        <f>HYPERLINK("http://141.218.60.56/~jnz1568/getInfo.php?workbook=10_05.xlsx&amp;sheet=U0&amp;row=17025&amp;col=7&amp;number=0.114&amp;sourceID=14","0.114")</f>
        <v>0.114</v>
      </c>
    </row>
    <row r="17026" spans="1:7">
      <c r="A17026" s="3"/>
      <c r="B17026" s="3"/>
      <c r="C17026" s="3"/>
      <c r="D17026" s="3"/>
      <c r="E17026" s="3">
        <v>3</v>
      </c>
      <c r="F17026" s="4" t="str">
        <f>HYPERLINK("http://141.218.60.56/~jnz1568/getInfo.php?workbook=10_05.xlsx&amp;sheet=U0&amp;row=17026&amp;col=6&amp;number=3.2&amp;sourceID=14","3.2")</f>
        <v>3.2</v>
      </c>
      <c r="G17026" s="4" t="str">
        <f>HYPERLINK("http://141.218.60.56/~jnz1568/getInfo.php?workbook=10_05.xlsx&amp;sheet=U0&amp;row=17026&amp;col=7&amp;number=0.114&amp;sourceID=14","0.114")</f>
        <v>0.114</v>
      </c>
    </row>
    <row r="17027" spans="1:7">
      <c r="A17027" s="3"/>
      <c r="B17027" s="3"/>
      <c r="C17027" s="3"/>
      <c r="D17027" s="3"/>
      <c r="E17027" s="3">
        <v>4</v>
      </c>
      <c r="F17027" s="4" t="str">
        <f>HYPERLINK("http://141.218.60.56/~jnz1568/getInfo.php?workbook=10_05.xlsx&amp;sheet=U0&amp;row=17027&amp;col=6&amp;number=3.3&amp;sourceID=14","3.3")</f>
        <v>3.3</v>
      </c>
      <c r="G17027" s="4" t="str">
        <f>HYPERLINK("http://141.218.60.56/~jnz1568/getInfo.php?workbook=10_05.xlsx&amp;sheet=U0&amp;row=17027&amp;col=7&amp;number=0.114&amp;sourceID=14","0.114")</f>
        <v>0.114</v>
      </c>
    </row>
    <row r="17028" spans="1:7">
      <c r="A17028" s="3"/>
      <c r="B17028" s="3"/>
      <c r="C17028" s="3"/>
      <c r="D17028" s="3"/>
      <c r="E17028" s="3">
        <v>5</v>
      </c>
      <c r="F17028" s="4" t="str">
        <f>HYPERLINK("http://141.218.60.56/~jnz1568/getInfo.php?workbook=10_05.xlsx&amp;sheet=U0&amp;row=17028&amp;col=6&amp;number=3.4&amp;sourceID=14","3.4")</f>
        <v>3.4</v>
      </c>
      <c r="G17028" s="4" t="str">
        <f>HYPERLINK("http://141.218.60.56/~jnz1568/getInfo.php?workbook=10_05.xlsx&amp;sheet=U0&amp;row=17028&amp;col=7&amp;number=0.114&amp;sourceID=14","0.114")</f>
        <v>0.114</v>
      </c>
    </row>
    <row r="17029" spans="1:7">
      <c r="A17029" s="3"/>
      <c r="B17029" s="3"/>
      <c r="C17029" s="3"/>
      <c r="D17029" s="3"/>
      <c r="E17029" s="3">
        <v>6</v>
      </c>
      <c r="F17029" s="4" t="str">
        <f>HYPERLINK("http://141.218.60.56/~jnz1568/getInfo.php?workbook=10_05.xlsx&amp;sheet=U0&amp;row=17029&amp;col=6&amp;number=3.5&amp;sourceID=14","3.5")</f>
        <v>3.5</v>
      </c>
      <c r="G17029" s="4" t="str">
        <f>HYPERLINK("http://141.218.60.56/~jnz1568/getInfo.php?workbook=10_05.xlsx&amp;sheet=U0&amp;row=17029&amp;col=7&amp;number=0.114&amp;sourceID=14","0.114")</f>
        <v>0.114</v>
      </c>
    </row>
    <row r="17030" spans="1:7">
      <c r="A17030" s="3"/>
      <c r="B17030" s="3"/>
      <c r="C17030" s="3"/>
      <c r="D17030" s="3"/>
      <c r="E17030" s="3">
        <v>7</v>
      </c>
      <c r="F17030" s="4" t="str">
        <f>HYPERLINK("http://141.218.60.56/~jnz1568/getInfo.php?workbook=10_05.xlsx&amp;sheet=U0&amp;row=17030&amp;col=6&amp;number=3.6&amp;sourceID=14","3.6")</f>
        <v>3.6</v>
      </c>
      <c r="G17030" s="4" t="str">
        <f>HYPERLINK("http://141.218.60.56/~jnz1568/getInfo.php?workbook=10_05.xlsx&amp;sheet=U0&amp;row=17030&amp;col=7&amp;number=0.114&amp;sourceID=14","0.114")</f>
        <v>0.114</v>
      </c>
    </row>
    <row r="17031" spans="1:7">
      <c r="A17031" s="3"/>
      <c r="B17031" s="3"/>
      <c r="C17031" s="3"/>
      <c r="D17031" s="3"/>
      <c r="E17031" s="3">
        <v>8</v>
      </c>
      <c r="F17031" s="4" t="str">
        <f>HYPERLINK("http://141.218.60.56/~jnz1568/getInfo.php?workbook=10_05.xlsx&amp;sheet=U0&amp;row=17031&amp;col=6&amp;number=3.7&amp;sourceID=14","3.7")</f>
        <v>3.7</v>
      </c>
      <c r="G17031" s="4" t="str">
        <f>HYPERLINK("http://141.218.60.56/~jnz1568/getInfo.php?workbook=10_05.xlsx&amp;sheet=U0&amp;row=17031&amp;col=7&amp;number=0.115&amp;sourceID=14","0.115")</f>
        <v>0.115</v>
      </c>
    </row>
    <row r="17032" spans="1:7">
      <c r="A17032" s="3"/>
      <c r="B17032" s="3"/>
      <c r="C17032" s="3"/>
      <c r="D17032" s="3"/>
      <c r="E17032" s="3">
        <v>9</v>
      </c>
      <c r="F17032" s="4" t="str">
        <f>HYPERLINK("http://141.218.60.56/~jnz1568/getInfo.php?workbook=10_05.xlsx&amp;sheet=U0&amp;row=17032&amp;col=6&amp;number=3.8&amp;sourceID=14","3.8")</f>
        <v>3.8</v>
      </c>
      <c r="G17032" s="4" t="str">
        <f>HYPERLINK("http://141.218.60.56/~jnz1568/getInfo.php?workbook=10_05.xlsx&amp;sheet=U0&amp;row=17032&amp;col=7&amp;number=0.115&amp;sourceID=14","0.115")</f>
        <v>0.115</v>
      </c>
    </row>
    <row r="17033" spans="1:7">
      <c r="A17033" s="3"/>
      <c r="B17033" s="3"/>
      <c r="C17033" s="3"/>
      <c r="D17033" s="3"/>
      <c r="E17033" s="3">
        <v>10</v>
      </c>
      <c r="F17033" s="4" t="str">
        <f>HYPERLINK("http://141.218.60.56/~jnz1568/getInfo.php?workbook=10_05.xlsx&amp;sheet=U0&amp;row=17033&amp;col=6&amp;number=3.9&amp;sourceID=14","3.9")</f>
        <v>3.9</v>
      </c>
      <c r="G17033" s="4" t="str">
        <f>HYPERLINK("http://141.218.60.56/~jnz1568/getInfo.php?workbook=10_05.xlsx&amp;sheet=U0&amp;row=17033&amp;col=7&amp;number=0.115&amp;sourceID=14","0.115")</f>
        <v>0.115</v>
      </c>
    </row>
    <row r="17034" spans="1:7">
      <c r="A17034" s="3"/>
      <c r="B17034" s="3"/>
      <c r="C17034" s="3"/>
      <c r="D17034" s="3"/>
      <c r="E17034" s="3">
        <v>11</v>
      </c>
      <c r="F17034" s="4" t="str">
        <f>HYPERLINK("http://141.218.60.56/~jnz1568/getInfo.php?workbook=10_05.xlsx&amp;sheet=U0&amp;row=17034&amp;col=6&amp;number=4&amp;sourceID=14","4")</f>
        <v>4</v>
      </c>
      <c r="G17034" s="4" t="str">
        <f>HYPERLINK("http://141.218.60.56/~jnz1568/getInfo.php?workbook=10_05.xlsx&amp;sheet=U0&amp;row=17034&amp;col=7&amp;number=0.116&amp;sourceID=14","0.116")</f>
        <v>0.116</v>
      </c>
    </row>
    <row r="17035" spans="1:7">
      <c r="A17035" s="3"/>
      <c r="B17035" s="3"/>
      <c r="C17035" s="3"/>
      <c r="D17035" s="3"/>
      <c r="E17035" s="3">
        <v>12</v>
      </c>
      <c r="F17035" s="4" t="str">
        <f>HYPERLINK("http://141.218.60.56/~jnz1568/getInfo.php?workbook=10_05.xlsx&amp;sheet=U0&amp;row=17035&amp;col=6&amp;number=4.1&amp;sourceID=14","4.1")</f>
        <v>4.1</v>
      </c>
      <c r="G17035" s="4" t="str">
        <f>HYPERLINK("http://141.218.60.56/~jnz1568/getInfo.php?workbook=10_05.xlsx&amp;sheet=U0&amp;row=17035&amp;col=7&amp;number=0.116&amp;sourceID=14","0.116")</f>
        <v>0.116</v>
      </c>
    </row>
    <row r="17036" spans="1:7">
      <c r="A17036" s="3"/>
      <c r="B17036" s="3"/>
      <c r="C17036" s="3"/>
      <c r="D17036" s="3"/>
      <c r="E17036" s="3">
        <v>13</v>
      </c>
      <c r="F17036" s="4" t="str">
        <f>HYPERLINK("http://141.218.60.56/~jnz1568/getInfo.php?workbook=10_05.xlsx&amp;sheet=U0&amp;row=17036&amp;col=6&amp;number=4.2&amp;sourceID=14","4.2")</f>
        <v>4.2</v>
      </c>
      <c r="G17036" s="4" t="str">
        <f>HYPERLINK("http://141.218.60.56/~jnz1568/getInfo.php?workbook=10_05.xlsx&amp;sheet=U0&amp;row=17036&amp;col=7&amp;number=0.117&amp;sourceID=14","0.117")</f>
        <v>0.117</v>
      </c>
    </row>
    <row r="17037" spans="1:7">
      <c r="A17037" s="3"/>
      <c r="B17037" s="3"/>
      <c r="C17037" s="3"/>
      <c r="D17037" s="3"/>
      <c r="E17037" s="3">
        <v>14</v>
      </c>
      <c r="F17037" s="4" t="str">
        <f>HYPERLINK("http://141.218.60.56/~jnz1568/getInfo.php?workbook=10_05.xlsx&amp;sheet=U0&amp;row=17037&amp;col=6&amp;number=4.3&amp;sourceID=14","4.3")</f>
        <v>4.3</v>
      </c>
      <c r="G17037" s="4" t="str">
        <f>HYPERLINK("http://141.218.60.56/~jnz1568/getInfo.php?workbook=10_05.xlsx&amp;sheet=U0&amp;row=17037&amp;col=7&amp;number=0.118&amp;sourceID=14","0.118")</f>
        <v>0.118</v>
      </c>
    </row>
    <row r="17038" spans="1:7">
      <c r="A17038" s="3"/>
      <c r="B17038" s="3"/>
      <c r="C17038" s="3"/>
      <c r="D17038" s="3"/>
      <c r="E17038" s="3">
        <v>15</v>
      </c>
      <c r="F17038" s="4" t="str">
        <f>HYPERLINK("http://141.218.60.56/~jnz1568/getInfo.php?workbook=10_05.xlsx&amp;sheet=U0&amp;row=17038&amp;col=6&amp;number=4.4&amp;sourceID=14","4.4")</f>
        <v>4.4</v>
      </c>
      <c r="G17038" s="4" t="str">
        <f>HYPERLINK("http://141.218.60.56/~jnz1568/getInfo.php?workbook=10_05.xlsx&amp;sheet=U0&amp;row=17038&amp;col=7&amp;number=0.118&amp;sourceID=14","0.118")</f>
        <v>0.118</v>
      </c>
    </row>
    <row r="17039" spans="1:7">
      <c r="A17039" s="3"/>
      <c r="B17039" s="3"/>
      <c r="C17039" s="3"/>
      <c r="D17039" s="3"/>
      <c r="E17039" s="3">
        <v>16</v>
      </c>
      <c r="F17039" s="4" t="str">
        <f>HYPERLINK("http://141.218.60.56/~jnz1568/getInfo.php?workbook=10_05.xlsx&amp;sheet=U0&amp;row=17039&amp;col=6&amp;number=4.5&amp;sourceID=14","4.5")</f>
        <v>4.5</v>
      </c>
      <c r="G17039" s="4" t="str">
        <f>HYPERLINK("http://141.218.60.56/~jnz1568/getInfo.php?workbook=10_05.xlsx&amp;sheet=U0&amp;row=17039&amp;col=7&amp;number=0.119&amp;sourceID=14","0.119")</f>
        <v>0.119</v>
      </c>
    </row>
    <row r="17040" spans="1:7">
      <c r="A17040" s="3"/>
      <c r="B17040" s="3"/>
      <c r="C17040" s="3"/>
      <c r="D17040" s="3"/>
      <c r="E17040" s="3">
        <v>17</v>
      </c>
      <c r="F17040" s="4" t="str">
        <f>HYPERLINK("http://141.218.60.56/~jnz1568/getInfo.php?workbook=10_05.xlsx&amp;sheet=U0&amp;row=17040&amp;col=6&amp;number=4.6&amp;sourceID=14","4.6")</f>
        <v>4.6</v>
      </c>
      <c r="G17040" s="4" t="str">
        <f>HYPERLINK("http://141.218.60.56/~jnz1568/getInfo.php?workbook=10_05.xlsx&amp;sheet=U0&amp;row=17040&amp;col=7&amp;number=0.12&amp;sourceID=14","0.12")</f>
        <v>0.12</v>
      </c>
    </row>
    <row r="17041" spans="1:7">
      <c r="A17041" s="3"/>
      <c r="B17041" s="3"/>
      <c r="C17041" s="3"/>
      <c r="D17041" s="3"/>
      <c r="E17041" s="3">
        <v>18</v>
      </c>
      <c r="F17041" s="4" t="str">
        <f>HYPERLINK("http://141.218.60.56/~jnz1568/getInfo.php?workbook=10_05.xlsx&amp;sheet=U0&amp;row=17041&amp;col=6&amp;number=4.7&amp;sourceID=14","4.7")</f>
        <v>4.7</v>
      </c>
      <c r="G17041" s="4" t="str">
        <f>HYPERLINK("http://141.218.60.56/~jnz1568/getInfo.php?workbook=10_05.xlsx&amp;sheet=U0&amp;row=17041&amp;col=7&amp;number=0.121&amp;sourceID=14","0.121")</f>
        <v>0.121</v>
      </c>
    </row>
    <row r="17042" spans="1:7">
      <c r="A17042" s="3"/>
      <c r="B17042" s="3"/>
      <c r="C17042" s="3"/>
      <c r="D17042" s="3"/>
      <c r="E17042" s="3">
        <v>19</v>
      </c>
      <c r="F17042" s="4" t="str">
        <f>HYPERLINK("http://141.218.60.56/~jnz1568/getInfo.php?workbook=10_05.xlsx&amp;sheet=U0&amp;row=17042&amp;col=6&amp;number=4.8&amp;sourceID=14","4.8")</f>
        <v>4.8</v>
      </c>
      <c r="G17042" s="4" t="str">
        <f>HYPERLINK("http://141.218.60.56/~jnz1568/getInfo.php?workbook=10_05.xlsx&amp;sheet=U0&amp;row=17042&amp;col=7&amp;number=0.122&amp;sourceID=14","0.122")</f>
        <v>0.122</v>
      </c>
    </row>
    <row r="17043" spans="1:7">
      <c r="A17043" s="3"/>
      <c r="B17043" s="3"/>
      <c r="C17043" s="3"/>
      <c r="D17043" s="3"/>
      <c r="E17043" s="3">
        <v>20</v>
      </c>
      <c r="F17043" s="4" t="str">
        <f>HYPERLINK("http://141.218.60.56/~jnz1568/getInfo.php?workbook=10_05.xlsx&amp;sheet=U0&amp;row=17043&amp;col=6&amp;number=4.9&amp;sourceID=14","4.9")</f>
        <v>4.9</v>
      </c>
      <c r="G17043" s="4" t="str">
        <f>HYPERLINK("http://141.218.60.56/~jnz1568/getInfo.php?workbook=10_05.xlsx&amp;sheet=U0&amp;row=17043&amp;col=7&amp;number=0.124&amp;sourceID=14","0.124")</f>
        <v>0.124</v>
      </c>
    </row>
    <row r="17044" spans="1:7">
      <c r="A17044" s="3">
        <v>10</v>
      </c>
      <c r="B17044" s="3">
        <v>5</v>
      </c>
      <c r="C17044" s="3">
        <v>5</v>
      </c>
      <c r="D17044" s="3">
        <v>148</v>
      </c>
      <c r="E17044" s="3">
        <v>1</v>
      </c>
      <c r="F17044" s="4" t="str">
        <f>HYPERLINK("http://141.218.60.56/~jnz1568/getInfo.php?workbook=10_05.xlsx&amp;sheet=U0&amp;row=17044&amp;col=6&amp;number=3&amp;sourceID=14","3")</f>
        <v>3</v>
      </c>
      <c r="G17044" s="4" t="str">
        <f>HYPERLINK("http://141.218.60.56/~jnz1568/getInfo.php?workbook=10_05.xlsx&amp;sheet=U0&amp;row=17044&amp;col=7&amp;number=0.0379&amp;sourceID=14","0.0379")</f>
        <v>0.0379</v>
      </c>
    </row>
    <row r="17045" spans="1:7">
      <c r="A17045" s="3"/>
      <c r="B17045" s="3"/>
      <c r="C17045" s="3"/>
      <c r="D17045" s="3"/>
      <c r="E17045" s="3">
        <v>2</v>
      </c>
      <c r="F17045" s="4" t="str">
        <f>HYPERLINK("http://141.218.60.56/~jnz1568/getInfo.php?workbook=10_05.xlsx&amp;sheet=U0&amp;row=17045&amp;col=6&amp;number=3.1&amp;sourceID=14","3.1")</f>
        <v>3.1</v>
      </c>
      <c r="G17045" s="4" t="str">
        <f>HYPERLINK("http://141.218.60.56/~jnz1568/getInfo.php?workbook=10_05.xlsx&amp;sheet=U0&amp;row=17045&amp;col=7&amp;number=0.0379&amp;sourceID=14","0.0379")</f>
        <v>0.0379</v>
      </c>
    </row>
    <row r="17046" spans="1:7">
      <c r="A17046" s="3"/>
      <c r="B17046" s="3"/>
      <c r="C17046" s="3"/>
      <c r="D17046" s="3"/>
      <c r="E17046" s="3">
        <v>3</v>
      </c>
      <c r="F17046" s="4" t="str">
        <f>HYPERLINK("http://141.218.60.56/~jnz1568/getInfo.php?workbook=10_05.xlsx&amp;sheet=U0&amp;row=17046&amp;col=6&amp;number=3.2&amp;sourceID=14","3.2")</f>
        <v>3.2</v>
      </c>
      <c r="G17046" s="4" t="str">
        <f>HYPERLINK("http://141.218.60.56/~jnz1568/getInfo.php?workbook=10_05.xlsx&amp;sheet=U0&amp;row=17046&amp;col=7&amp;number=0.0379&amp;sourceID=14","0.0379")</f>
        <v>0.0379</v>
      </c>
    </row>
    <row r="17047" spans="1:7">
      <c r="A17047" s="3"/>
      <c r="B17047" s="3"/>
      <c r="C17047" s="3"/>
      <c r="D17047" s="3"/>
      <c r="E17047" s="3">
        <v>4</v>
      </c>
      <c r="F17047" s="4" t="str">
        <f>HYPERLINK("http://141.218.60.56/~jnz1568/getInfo.php?workbook=10_05.xlsx&amp;sheet=U0&amp;row=17047&amp;col=6&amp;number=3.3&amp;sourceID=14","3.3")</f>
        <v>3.3</v>
      </c>
      <c r="G17047" s="4" t="str">
        <f>HYPERLINK("http://141.218.60.56/~jnz1568/getInfo.php?workbook=10_05.xlsx&amp;sheet=U0&amp;row=17047&amp;col=7&amp;number=0.038&amp;sourceID=14","0.038")</f>
        <v>0.038</v>
      </c>
    </row>
    <row r="17048" spans="1:7">
      <c r="A17048" s="3"/>
      <c r="B17048" s="3"/>
      <c r="C17048" s="3"/>
      <c r="D17048" s="3"/>
      <c r="E17048" s="3">
        <v>5</v>
      </c>
      <c r="F17048" s="4" t="str">
        <f>HYPERLINK("http://141.218.60.56/~jnz1568/getInfo.php?workbook=10_05.xlsx&amp;sheet=U0&amp;row=17048&amp;col=6&amp;number=3.4&amp;sourceID=14","3.4")</f>
        <v>3.4</v>
      </c>
      <c r="G17048" s="4" t="str">
        <f>HYPERLINK("http://141.218.60.56/~jnz1568/getInfo.php?workbook=10_05.xlsx&amp;sheet=U0&amp;row=17048&amp;col=7&amp;number=0.038&amp;sourceID=14","0.038")</f>
        <v>0.038</v>
      </c>
    </row>
    <row r="17049" spans="1:7">
      <c r="A17049" s="3"/>
      <c r="B17049" s="3"/>
      <c r="C17049" s="3"/>
      <c r="D17049" s="3"/>
      <c r="E17049" s="3">
        <v>6</v>
      </c>
      <c r="F17049" s="4" t="str">
        <f>HYPERLINK("http://141.218.60.56/~jnz1568/getInfo.php?workbook=10_05.xlsx&amp;sheet=U0&amp;row=17049&amp;col=6&amp;number=3.5&amp;sourceID=14","3.5")</f>
        <v>3.5</v>
      </c>
      <c r="G17049" s="4" t="str">
        <f>HYPERLINK("http://141.218.60.56/~jnz1568/getInfo.php?workbook=10_05.xlsx&amp;sheet=U0&amp;row=17049&amp;col=7&amp;number=0.038&amp;sourceID=14","0.038")</f>
        <v>0.038</v>
      </c>
    </row>
    <row r="17050" spans="1:7">
      <c r="A17050" s="3"/>
      <c r="B17050" s="3"/>
      <c r="C17050" s="3"/>
      <c r="D17050" s="3"/>
      <c r="E17050" s="3">
        <v>7</v>
      </c>
      <c r="F17050" s="4" t="str">
        <f>HYPERLINK("http://141.218.60.56/~jnz1568/getInfo.php?workbook=10_05.xlsx&amp;sheet=U0&amp;row=17050&amp;col=6&amp;number=3.6&amp;sourceID=14","3.6")</f>
        <v>3.6</v>
      </c>
      <c r="G17050" s="4" t="str">
        <f>HYPERLINK("http://141.218.60.56/~jnz1568/getInfo.php?workbook=10_05.xlsx&amp;sheet=U0&amp;row=17050&amp;col=7&amp;number=0.0381&amp;sourceID=14","0.0381")</f>
        <v>0.0381</v>
      </c>
    </row>
    <row r="17051" spans="1:7">
      <c r="A17051" s="3"/>
      <c r="B17051" s="3"/>
      <c r="C17051" s="3"/>
      <c r="D17051" s="3"/>
      <c r="E17051" s="3">
        <v>8</v>
      </c>
      <c r="F17051" s="4" t="str">
        <f>HYPERLINK("http://141.218.60.56/~jnz1568/getInfo.php?workbook=10_05.xlsx&amp;sheet=U0&amp;row=17051&amp;col=6&amp;number=3.7&amp;sourceID=14","3.7")</f>
        <v>3.7</v>
      </c>
      <c r="G17051" s="4" t="str">
        <f>HYPERLINK("http://141.218.60.56/~jnz1568/getInfo.php?workbook=10_05.xlsx&amp;sheet=U0&amp;row=17051&amp;col=7&amp;number=0.0381&amp;sourceID=14","0.0381")</f>
        <v>0.0381</v>
      </c>
    </row>
    <row r="17052" spans="1:7">
      <c r="A17052" s="3"/>
      <c r="B17052" s="3"/>
      <c r="C17052" s="3"/>
      <c r="D17052" s="3"/>
      <c r="E17052" s="3">
        <v>9</v>
      </c>
      <c r="F17052" s="4" t="str">
        <f>HYPERLINK("http://141.218.60.56/~jnz1568/getInfo.php?workbook=10_05.xlsx&amp;sheet=U0&amp;row=17052&amp;col=6&amp;number=3.8&amp;sourceID=14","3.8")</f>
        <v>3.8</v>
      </c>
      <c r="G17052" s="4" t="str">
        <f>HYPERLINK("http://141.218.60.56/~jnz1568/getInfo.php?workbook=10_05.xlsx&amp;sheet=U0&amp;row=17052&amp;col=7&amp;number=0.0382&amp;sourceID=14","0.0382")</f>
        <v>0.0382</v>
      </c>
    </row>
    <row r="17053" spans="1:7">
      <c r="A17053" s="3"/>
      <c r="B17053" s="3"/>
      <c r="C17053" s="3"/>
      <c r="D17053" s="3"/>
      <c r="E17053" s="3">
        <v>10</v>
      </c>
      <c r="F17053" s="4" t="str">
        <f>HYPERLINK("http://141.218.60.56/~jnz1568/getInfo.php?workbook=10_05.xlsx&amp;sheet=U0&amp;row=17053&amp;col=6&amp;number=3.9&amp;sourceID=14","3.9")</f>
        <v>3.9</v>
      </c>
      <c r="G17053" s="4" t="str">
        <f>HYPERLINK("http://141.218.60.56/~jnz1568/getInfo.php?workbook=10_05.xlsx&amp;sheet=U0&amp;row=17053&amp;col=7&amp;number=0.0383&amp;sourceID=14","0.0383")</f>
        <v>0.0383</v>
      </c>
    </row>
    <row r="17054" spans="1:7">
      <c r="A17054" s="3"/>
      <c r="B17054" s="3"/>
      <c r="C17054" s="3"/>
      <c r="D17054" s="3"/>
      <c r="E17054" s="3">
        <v>11</v>
      </c>
      <c r="F17054" s="4" t="str">
        <f>HYPERLINK("http://141.218.60.56/~jnz1568/getInfo.php?workbook=10_05.xlsx&amp;sheet=U0&amp;row=17054&amp;col=6&amp;number=4&amp;sourceID=14","4")</f>
        <v>4</v>
      </c>
      <c r="G17054" s="4" t="str">
        <f>HYPERLINK("http://141.218.60.56/~jnz1568/getInfo.php?workbook=10_05.xlsx&amp;sheet=U0&amp;row=17054&amp;col=7&amp;number=0.0384&amp;sourceID=14","0.0384")</f>
        <v>0.0384</v>
      </c>
    </row>
    <row r="17055" spans="1:7">
      <c r="A17055" s="3"/>
      <c r="B17055" s="3"/>
      <c r="C17055" s="3"/>
      <c r="D17055" s="3"/>
      <c r="E17055" s="3">
        <v>12</v>
      </c>
      <c r="F17055" s="4" t="str">
        <f>HYPERLINK("http://141.218.60.56/~jnz1568/getInfo.php?workbook=10_05.xlsx&amp;sheet=U0&amp;row=17055&amp;col=6&amp;number=4.1&amp;sourceID=14","4.1")</f>
        <v>4.1</v>
      </c>
      <c r="G17055" s="4" t="str">
        <f>HYPERLINK("http://141.218.60.56/~jnz1568/getInfo.php?workbook=10_05.xlsx&amp;sheet=U0&amp;row=17055&amp;col=7&amp;number=0.0385&amp;sourceID=14","0.0385")</f>
        <v>0.0385</v>
      </c>
    </row>
    <row r="17056" spans="1:7">
      <c r="A17056" s="3"/>
      <c r="B17056" s="3"/>
      <c r="C17056" s="3"/>
      <c r="D17056" s="3"/>
      <c r="E17056" s="3">
        <v>13</v>
      </c>
      <c r="F17056" s="4" t="str">
        <f>HYPERLINK("http://141.218.60.56/~jnz1568/getInfo.php?workbook=10_05.xlsx&amp;sheet=U0&amp;row=17056&amp;col=6&amp;number=4.2&amp;sourceID=14","4.2")</f>
        <v>4.2</v>
      </c>
      <c r="G17056" s="4" t="str">
        <f>HYPERLINK("http://141.218.60.56/~jnz1568/getInfo.php?workbook=10_05.xlsx&amp;sheet=U0&amp;row=17056&amp;col=7&amp;number=0.0386&amp;sourceID=14","0.0386")</f>
        <v>0.0386</v>
      </c>
    </row>
    <row r="17057" spans="1:7">
      <c r="A17057" s="3"/>
      <c r="B17057" s="3"/>
      <c r="C17057" s="3"/>
      <c r="D17057" s="3"/>
      <c r="E17057" s="3">
        <v>14</v>
      </c>
      <c r="F17057" s="4" t="str">
        <f>HYPERLINK("http://141.218.60.56/~jnz1568/getInfo.php?workbook=10_05.xlsx&amp;sheet=U0&amp;row=17057&amp;col=6&amp;number=4.3&amp;sourceID=14","4.3")</f>
        <v>4.3</v>
      </c>
      <c r="G17057" s="4" t="str">
        <f>HYPERLINK("http://141.218.60.56/~jnz1568/getInfo.php?workbook=10_05.xlsx&amp;sheet=U0&amp;row=17057&amp;col=7&amp;number=0.0388&amp;sourceID=14","0.0388")</f>
        <v>0.0388</v>
      </c>
    </row>
    <row r="17058" spans="1:7">
      <c r="A17058" s="3"/>
      <c r="B17058" s="3"/>
      <c r="C17058" s="3"/>
      <c r="D17058" s="3"/>
      <c r="E17058" s="3">
        <v>15</v>
      </c>
      <c r="F17058" s="4" t="str">
        <f>HYPERLINK("http://141.218.60.56/~jnz1568/getInfo.php?workbook=10_05.xlsx&amp;sheet=U0&amp;row=17058&amp;col=6&amp;number=4.4&amp;sourceID=14","4.4")</f>
        <v>4.4</v>
      </c>
      <c r="G17058" s="4" t="str">
        <f>HYPERLINK("http://141.218.60.56/~jnz1568/getInfo.php?workbook=10_05.xlsx&amp;sheet=U0&amp;row=17058&amp;col=7&amp;number=0.039&amp;sourceID=14","0.039")</f>
        <v>0.039</v>
      </c>
    </row>
    <row r="17059" spans="1:7">
      <c r="A17059" s="3"/>
      <c r="B17059" s="3"/>
      <c r="C17059" s="3"/>
      <c r="D17059" s="3"/>
      <c r="E17059" s="3">
        <v>16</v>
      </c>
      <c r="F17059" s="4" t="str">
        <f>HYPERLINK("http://141.218.60.56/~jnz1568/getInfo.php?workbook=10_05.xlsx&amp;sheet=U0&amp;row=17059&amp;col=6&amp;number=4.5&amp;sourceID=14","4.5")</f>
        <v>4.5</v>
      </c>
      <c r="G17059" s="4" t="str">
        <f>HYPERLINK("http://141.218.60.56/~jnz1568/getInfo.php?workbook=10_05.xlsx&amp;sheet=U0&amp;row=17059&amp;col=7&amp;number=0.0392&amp;sourceID=14","0.0392")</f>
        <v>0.0392</v>
      </c>
    </row>
    <row r="17060" spans="1:7">
      <c r="A17060" s="3"/>
      <c r="B17060" s="3"/>
      <c r="C17060" s="3"/>
      <c r="D17060" s="3"/>
      <c r="E17060" s="3">
        <v>17</v>
      </c>
      <c r="F17060" s="4" t="str">
        <f>HYPERLINK("http://141.218.60.56/~jnz1568/getInfo.php?workbook=10_05.xlsx&amp;sheet=U0&amp;row=17060&amp;col=6&amp;number=4.6&amp;sourceID=14","4.6")</f>
        <v>4.6</v>
      </c>
      <c r="G17060" s="4" t="str">
        <f>HYPERLINK("http://141.218.60.56/~jnz1568/getInfo.php?workbook=10_05.xlsx&amp;sheet=U0&amp;row=17060&amp;col=7&amp;number=0.0394&amp;sourceID=14","0.0394")</f>
        <v>0.0394</v>
      </c>
    </row>
    <row r="17061" spans="1:7">
      <c r="A17061" s="3"/>
      <c r="B17061" s="3"/>
      <c r="C17061" s="3"/>
      <c r="D17061" s="3"/>
      <c r="E17061" s="3">
        <v>18</v>
      </c>
      <c r="F17061" s="4" t="str">
        <f>HYPERLINK("http://141.218.60.56/~jnz1568/getInfo.php?workbook=10_05.xlsx&amp;sheet=U0&amp;row=17061&amp;col=6&amp;number=4.7&amp;sourceID=14","4.7")</f>
        <v>4.7</v>
      </c>
      <c r="G17061" s="4" t="str">
        <f>HYPERLINK("http://141.218.60.56/~jnz1568/getInfo.php?workbook=10_05.xlsx&amp;sheet=U0&amp;row=17061&amp;col=7&amp;number=0.0395&amp;sourceID=14","0.0395")</f>
        <v>0.0395</v>
      </c>
    </row>
    <row r="17062" spans="1:7">
      <c r="A17062" s="3"/>
      <c r="B17062" s="3"/>
      <c r="C17062" s="3"/>
      <c r="D17062" s="3"/>
      <c r="E17062" s="3">
        <v>19</v>
      </c>
      <c r="F17062" s="4" t="str">
        <f>HYPERLINK("http://141.218.60.56/~jnz1568/getInfo.php?workbook=10_05.xlsx&amp;sheet=U0&amp;row=17062&amp;col=6&amp;number=4.8&amp;sourceID=14","4.8")</f>
        <v>4.8</v>
      </c>
      <c r="G17062" s="4" t="str">
        <f>HYPERLINK("http://141.218.60.56/~jnz1568/getInfo.php?workbook=10_05.xlsx&amp;sheet=U0&amp;row=17062&amp;col=7&amp;number=0.0397&amp;sourceID=14","0.0397")</f>
        <v>0.0397</v>
      </c>
    </row>
    <row r="17063" spans="1:7">
      <c r="A17063" s="3"/>
      <c r="B17063" s="3"/>
      <c r="C17063" s="3"/>
      <c r="D17063" s="3"/>
      <c r="E17063" s="3">
        <v>20</v>
      </c>
      <c r="F17063" s="4" t="str">
        <f>HYPERLINK("http://141.218.60.56/~jnz1568/getInfo.php?workbook=10_05.xlsx&amp;sheet=U0&amp;row=17063&amp;col=6&amp;number=4.9&amp;sourceID=14","4.9")</f>
        <v>4.9</v>
      </c>
      <c r="G17063" s="4" t="str">
        <f>HYPERLINK("http://141.218.60.56/~jnz1568/getInfo.php?workbook=10_05.xlsx&amp;sheet=U0&amp;row=17063&amp;col=7&amp;number=0.0399&amp;sourceID=14","0.0399")</f>
        <v>0.0399</v>
      </c>
    </row>
    <row r="17064" spans="1:7">
      <c r="A17064" s="3">
        <v>10</v>
      </c>
      <c r="B17064" s="3">
        <v>5</v>
      </c>
      <c r="C17064" s="3">
        <v>5</v>
      </c>
      <c r="D17064" s="3">
        <v>149</v>
      </c>
      <c r="E17064" s="3">
        <v>1</v>
      </c>
      <c r="F17064" s="4" t="str">
        <f>HYPERLINK("http://141.218.60.56/~jnz1568/getInfo.php?workbook=10_05.xlsx&amp;sheet=U0&amp;row=17064&amp;col=6&amp;number=3&amp;sourceID=14","3")</f>
        <v>3</v>
      </c>
      <c r="G17064" s="4" t="str">
        <f>HYPERLINK("http://141.218.60.56/~jnz1568/getInfo.php?workbook=10_05.xlsx&amp;sheet=U0&amp;row=17064&amp;col=7&amp;number=0.0079&amp;sourceID=14","0.0079")</f>
        <v>0.0079</v>
      </c>
    </row>
    <row r="17065" spans="1:7">
      <c r="A17065" s="3"/>
      <c r="B17065" s="3"/>
      <c r="C17065" s="3"/>
      <c r="D17065" s="3"/>
      <c r="E17065" s="3">
        <v>2</v>
      </c>
      <c r="F17065" s="4" t="str">
        <f>HYPERLINK("http://141.218.60.56/~jnz1568/getInfo.php?workbook=10_05.xlsx&amp;sheet=U0&amp;row=17065&amp;col=6&amp;number=3.1&amp;sourceID=14","3.1")</f>
        <v>3.1</v>
      </c>
      <c r="G17065" s="4" t="str">
        <f>HYPERLINK("http://141.218.60.56/~jnz1568/getInfo.php?workbook=10_05.xlsx&amp;sheet=U0&amp;row=17065&amp;col=7&amp;number=0.0079&amp;sourceID=14","0.0079")</f>
        <v>0.0079</v>
      </c>
    </row>
    <row r="17066" spans="1:7">
      <c r="A17066" s="3"/>
      <c r="B17066" s="3"/>
      <c r="C17066" s="3"/>
      <c r="D17066" s="3"/>
      <c r="E17066" s="3">
        <v>3</v>
      </c>
      <c r="F17066" s="4" t="str">
        <f>HYPERLINK("http://141.218.60.56/~jnz1568/getInfo.php?workbook=10_05.xlsx&amp;sheet=U0&amp;row=17066&amp;col=6&amp;number=3.2&amp;sourceID=14","3.2")</f>
        <v>3.2</v>
      </c>
      <c r="G17066" s="4" t="str">
        <f>HYPERLINK("http://141.218.60.56/~jnz1568/getInfo.php?workbook=10_05.xlsx&amp;sheet=U0&amp;row=17066&amp;col=7&amp;number=0.00791&amp;sourceID=14","0.00791")</f>
        <v>0.00791</v>
      </c>
    </row>
    <row r="17067" spans="1:7">
      <c r="A17067" s="3"/>
      <c r="B17067" s="3"/>
      <c r="C17067" s="3"/>
      <c r="D17067" s="3"/>
      <c r="E17067" s="3">
        <v>4</v>
      </c>
      <c r="F17067" s="4" t="str">
        <f>HYPERLINK("http://141.218.60.56/~jnz1568/getInfo.php?workbook=10_05.xlsx&amp;sheet=U0&amp;row=17067&amp;col=6&amp;number=3.3&amp;sourceID=14","3.3")</f>
        <v>3.3</v>
      </c>
      <c r="G17067" s="4" t="str">
        <f>HYPERLINK("http://141.218.60.56/~jnz1568/getInfo.php?workbook=10_05.xlsx&amp;sheet=U0&amp;row=17067&amp;col=7&amp;number=0.00791&amp;sourceID=14","0.00791")</f>
        <v>0.00791</v>
      </c>
    </row>
    <row r="17068" spans="1:7">
      <c r="A17068" s="3"/>
      <c r="B17068" s="3"/>
      <c r="C17068" s="3"/>
      <c r="D17068" s="3"/>
      <c r="E17068" s="3">
        <v>5</v>
      </c>
      <c r="F17068" s="4" t="str">
        <f>HYPERLINK("http://141.218.60.56/~jnz1568/getInfo.php?workbook=10_05.xlsx&amp;sheet=U0&amp;row=17068&amp;col=6&amp;number=3.4&amp;sourceID=14","3.4")</f>
        <v>3.4</v>
      </c>
      <c r="G17068" s="4" t="str">
        <f>HYPERLINK("http://141.218.60.56/~jnz1568/getInfo.php?workbook=10_05.xlsx&amp;sheet=U0&amp;row=17068&amp;col=7&amp;number=0.00792&amp;sourceID=14","0.00792")</f>
        <v>0.00792</v>
      </c>
    </row>
    <row r="17069" spans="1:7">
      <c r="A17069" s="3"/>
      <c r="B17069" s="3"/>
      <c r="C17069" s="3"/>
      <c r="D17069" s="3"/>
      <c r="E17069" s="3">
        <v>6</v>
      </c>
      <c r="F17069" s="4" t="str">
        <f>HYPERLINK("http://141.218.60.56/~jnz1568/getInfo.php?workbook=10_05.xlsx&amp;sheet=U0&amp;row=17069&amp;col=6&amp;number=3.5&amp;sourceID=14","3.5")</f>
        <v>3.5</v>
      </c>
      <c r="G17069" s="4" t="str">
        <f>HYPERLINK("http://141.218.60.56/~jnz1568/getInfo.php?workbook=10_05.xlsx&amp;sheet=U0&amp;row=17069&amp;col=7&amp;number=0.00793&amp;sourceID=14","0.00793")</f>
        <v>0.00793</v>
      </c>
    </row>
    <row r="17070" spans="1:7">
      <c r="A17070" s="3"/>
      <c r="B17070" s="3"/>
      <c r="C17070" s="3"/>
      <c r="D17070" s="3"/>
      <c r="E17070" s="3">
        <v>7</v>
      </c>
      <c r="F17070" s="4" t="str">
        <f>HYPERLINK("http://141.218.60.56/~jnz1568/getInfo.php?workbook=10_05.xlsx&amp;sheet=U0&amp;row=17070&amp;col=6&amp;number=3.6&amp;sourceID=14","3.6")</f>
        <v>3.6</v>
      </c>
      <c r="G17070" s="4" t="str">
        <f>HYPERLINK("http://141.218.60.56/~jnz1568/getInfo.php?workbook=10_05.xlsx&amp;sheet=U0&amp;row=17070&amp;col=7&amp;number=0.00795&amp;sourceID=14","0.00795")</f>
        <v>0.00795</v>
      </c>
    </row>
    <row r="17071" spans="1:7">
      <c r="A17071" s="3"/>
      <c r="B17071" s="3"/>
      <c r="C17071" s="3"/>
      <c r="D17071" s="3"/>
      <c r="E17071" s="3">
        <v>8</v>
      </c>
      <c r="F17071" s="4" t="str">
        <f>HYPERLINK("http://141.218.60.56/~jnz1568/getInfo.php?workbook=10_05.xlsx&amp;sheet=U0&amp;row=17071&amp;col=6&amp;number=3.7&amp;sourceID=14","3.7")</f>
        <v>3.7</v>
      </c>
      <c r="G17071" s="4" t="str">
        <f>HYPERLINK("http://141.218.60.56/~jnz1568/getInfo.php?workbook=10_05.xlsx&amp;sheet=U0&amp;row=17071&amp;col=7&amp;number=0.00796&amp;sourceID=14","0.00796")</f>
        <v>0.00796</v>
      </c>
    </row>
    <row r="17072" spans="1:7">
      <c r="A17072" s="3"/>
      <c r="B17072" s="3"/>
      <c r="C17072" s="3"/>
      <c r="D17072" s="3"/>
      <c r="E17072" s="3">
        <v>9</v>
      </c>
      <c r="F17072" s="4" t="str">
        <f>HYPERLINK("http://141.218.60.56/~jnz1568/getInfo.php?workbook=10_05.xlsx&amp;sheet=U0&amp;row=17072&amp;col=6&amp;number=3.8&amp;sourceID=14","3.8")</f>
        <v>3.8</v>
      </c>
      <c r="G17072" s="4" t="str">
        <f>HYPERLINK("http://141.218.60.56/~jnz1568/getInfo.php?workbook=10_05.xlsx&amp;sheet=U0&amp;row=17072&amp;col=7&amp;number=0.00798&amp;sourceID=14","0.00798")</f>
        <v>0.00798</v>
      </c>
    </row>
    <row r="17073" spans="1:7">
      <c r="A17073" s="3"/>
      <c r="B17073" s="3"/>
      <c r="C17073" s="3"/>
      <c r="D17073" s="3"/>
      <c r="E17073" s="3">
        <v>10</v>
      </c>
      <c r="F17073" s="4" t="str">
        <f>HYPERLINK("http://141.218.60.56/~jnz1568/getInfo.php?workbook=10_05.xlsx&amp;sheet=U0&amp;row=17073&amp;col=6&amp;number=3.9&amp;sourceID=14","3.9")</f>
        <v>3.9</v>
      </c>
      <c r="G17073" s="4" t="str">
        <f>HYPERLINK("http://141.218.60.56/~jnz1568/getInfo.php?workbook=10_05.xlsx&amp;sheet=U0&amp;row=17073&amp;col=7&amp;number=0.008&amp;sourceID=14","0.008")</f>
        <v>0.008</v>
      </c>
    </row>
    <row r="17074" spans="1:7">
      <c r="A17074" s="3"/>
      <c r="B17074" s="3"/>
      <c r="C17074" s="3"/>
      <c r="D17074" s="3"/>
      <c r="E17074" s="3">
        <v>11</v>
      </c>
      <c r="F17074" s="4" t="str">
        <f>HYPERLINK("http://141.218.60.56/~jnz1568/getInfo.php?workbook=10_05.xlsx&amp;sheet=U0&amp;row=17074&amp;col=6&amp;number=4&amp;sourceID=14","4")</f>
        <v>4</v>
      </c>
      <c r="G17074" s="4" t="str">
        <f>HYPERLINK("http://141.218.60.56/~jnz1568/getInfo.php?workbook=10_05.xlsx&amp;sheet=U0&amp;row=17074&amp;col=7&amp;number=0.00803&amp;sourceID=14","0.00803")</f>
        <v>0.00803</v>
      </c>
    </row>
    <row r="17075" spans="1:7">
      <c r="A17075" s="3"/>
      <c r="B17075" s="3"/>
      <c r="C17075" s="3"/>
      <c r="D17075" s="3"/>
      <c r="E17075" s="3">
        <v>12</v>
      </c>
      <c r="F17075" s="4" t="str">
        <f>HYPERLINK("http://141.218.60.56/~jnz1568/getInfo.php?workbook=10_05.xlsx&amp;sheet=U0&amp;row=17075&amp;col=6&amp;number=4.1&amp;sourceID=14","4.1")</f>
        <v>4.1</v>
      </c>
      <c r="G17075" s="4" t="str">
        <f>HYPERLINK("http://141.218.60.56/~jnz1568/getInfo.php?workbook=10_05.xlsx&amp;sheet=U0&amp;row=17075&amp;col=7&amp;number=0.00805&amp;sourceID=14","0.00805")</f>
        <v>0.00805</v>
      </c>
    </row>
    <row r="17076" spans="1:7">
      <c r="A17076" s="3"/>
      <c r="B17076" s="3"/>
      <c r="C17076" s="3"/>
      <c r="D17076" s="3"/>
      <c r="E17076" s="3">
        <v>13</v>
      </c>
      <c r="F17076" s="4" t="str">
        <f>HYPERLINK("http://141.218.60.56/~jnz1568/getInfo.php?workbook=10_05.xlsx&amp;sheet=U0&amp;row=17076&amp;col=6&amp;number=4.2&amp;sourceID=14","4.2")</f>
        <v>4.2</v>
      </c>
      <c r="G17076" s="4" t="str">
        <f>HYPERLINK("http://141.218.60.56/~jnz1568/getInfo.php?workbook=10_05.xlsx&amp;sheet=U0&amp;row=17076&amp;col=7&amp;number=0.00808&amp;sourceID=14","0.00808")</f>
        <v>0.00808</v>
      </c>
    </row>
    <row r="17077" spans="1:7">
      <c r="A17077" s="3"/>
      <c r="B17077" s="3"/>
      <c r="C17077" s="3"/>
      <c r="D17077" s="3"/>
      <c r="E17077" s="3">
        <v>14</v>
      </c>
      <c r="F17077" s="4" t="str">
        <f>HYPERLINK("http://141.218.60.56/~jnz1568/getInfo.php?workbook=10_05.xlsx&amp;sheet=U0&amp;row=17077&amp;col=6&amp;number=4.3&amp;sourceID=14","4.3")</f>
        <v>4.3</v>
      </c>
      <c r="G17077" s="4" t="str">
        <f>HYPERLINK("http://141.218.60.56/~jnz1568/getInfo.php?workbook=10_05.xlsx&amp;sheet=U0&amp;row=17077&amp;col=7&amp;number=0.00809&amp;sourceID=14","0.00809")</f>
        <v>0.00809</v>
      </c>
    </row>
    <row r="17078" spans="1:7">
      <c r="A17078" s="3"/>
      <c r="B17078" s="3"/>
      <c r="C17078" s="3"/>
      <c r="D17078" s="3"/>
      <c r="E17078" s="3">
        <v>15</v>
      </c>
      <c r="F17078" s="4" t="str">
        <f>HYPERLINK("http://141.218.60.56/~jnz1568/getInfo.php?workbook=10_05.xlsx&amp;sheet=U0&amp;row=17078&amp;col=6&amp;number=4.4&amp;sourceID=14","4.4")</f>
        <v>4.4</v>
      </c>
      <c r="G17078" s="4" t="str">
        <f>HYPERLINK("http://141.218.60.56/~jnz1568/getInfo.php?workbook=10_05.xlsx&amp;sheet=U0&amp;row=17078&amp;col=7&amp;number=0.00807&amp;sourceID=14","0.00807")</f>
        <v>0.00807</v>
      </c>
    </row>
    <row r="17079" spans="1:7">
      <c r="A17079" s="3"/>
      <c r="B17079" s="3"/>
      <c r="C17079" s="3"/>
      <c r="D17079" s="3"/>
      <c r="E17079" s="3">
        <v>16</v>
      </c>
      <c r="F17079" s="4" t="str">
        <f>HYPERLINK("http://141.218.60.56/~jnz1568/getInfo.php?workbook=10_05.xlsx&amp;sheet=U0&amp;row=17079&amp;col=6&amp;number=4.5&amp;sourceID=14","4.5")</f>
        <v>4.5</v>
      </c>
      <c r="G17079" s="4" t="str">
        <f>HYPERLINK("http://141.218.60.56/~jnz1568/getInfo.php?workbook=10_05.xlsx&amp;sheet=U0&amp;row=17079&amp;col=7&amp;number=0.00802&amp;sourceID=14","0.00802")</f>
        <v>0.00802</v>
      </c>
    </row>
    <row r="17080" spans="1:7">
      <c r="A17080" s="3"/>
      <c r="B17080" s="3"/>
      <c r="C17080" s="3"/>
      <c r="D17080" s="3"/>
      <c r="E17080" s="3">
        <v>17</v>
      </c>
      <c r="F17080" s="4" t="str">
        <f>HYPERLINK("http://141.218.60.56/~jnz1568/getInfo.php?workbook=10_05.xlsx&amp;sheet=U0&amp;row=17080&amp;col=6&amp;number=4.6&amp;sourceID=14","4.6")</f>
        <v>4.6</v>
      </c>
      <c r="G17080" s="4" t="str">
        <f>HYPERLINK("http://141.218.60.56/~jnz1568/getInfo.php?workbook=10_05.xlsx&amp;sheet=U0&amp;row=17080&amp;col=7&amp;number=0.00794&amp;sourceID=14","0.00794")</f>
        <v>0.00794</v>
      </c>
    </row>
    <row r="17081" spans="1:7">
      <c r="A17081" s="3"/>
      <c r="B17081" s="3"/>
      <c r="C17081" s="3"/>
      <c r="D17081" s="3"/>
      <c r="E17081" s="3">
        <v>18</v>
      </c>
      <c r="F17081" s="4" t="str">
        <f>HYPERLINK("http://141.218.60.56/~jnz1568/getInfo.php?workbook=10_05.xlsx&amp;sheet=U0&amp;row=17081&amp;col=6&amp;number=4.7&amp;sourceID=14","4.7")</f>
        <v>4.7</v>
      </c>
      <c r="G17081" s="4" t="str">
        <f>HYPERLINK("http://141.218.60.56/~jnz1568/getInfo.php?workbook=10_05.xlsx&amp;sheet=U0&amp;row=17081&amp;col=7&amp;number=0.00784&amp;sourceID=14","0.00784")</f>
        <v>0.00784</v>
      </c>
    </row>
    <row r="17082" spans="1:7">
      <c r="A17082" s="3"/>
      <c r="B17082" s="3"/>
      <c r="C17082" s="3"/>
      <c r="D17082" s="3"/>
      <c r="E17082" s="3">
        <v>19</v>
      </c>
      <c r="F17082" s="4" t="str">
        <f>HYPERLINK("http://141.218.60.56/~jnz1568/getInfo.php?workbook=10_05.xlsx&amp;sheet=U0&amp;row=17082&amp;col=6&amp;number=4.8&amp;sourceID=14","4.8")</f>
        <v>4.8</v>
      </c>
      <c r="G17082" s="4" t="str">
        <f>HYPERLINK("http://141.218.60.56/~jnz1568/getInfo.php?workbook=10_05.xlsx&amp;sheet=U0&amp;row=17082&amp;col=7&amp;number=0.00774&amp;sourceID=14","0.00774")</f>
        <v>0.00774</v>
      </c>
    </row>
    <row r="17083" spans="1:7">
      <c r="A17083" s="3"/>
      <c r="B17083" s="3"/>
      <c r="C17083" s="3"/>
      <c r="D17083" s="3"/>
      <c r="E17083" s="3">
        <v>20</v>
      </c>
      <c r="F17083" s="4" t="str">
        <f>HYPERLINK("http://141.218.60.56/~jnz1568/getInfo.php?workbook=10_05.xlsx&amp;sheet=U0&amp;row=17083&amp;col=6&amp;number=4.9&amp;sourceID=14","4.9")</f>
        <v>4.9</v>
      </c>
      <c r="G17083" s="4" t="str">
        <f>HYPERLINK("http://141.218.60.56/~jnz1568/getInfo.php?workbook=10_05.xlsx&amp;sheet=U0&amp;row=17083&amp;col=7&amp;number=0.00764&amp;sourceID=14","0.00764")</f>
        <v>0.00764</v>
      </c>
    </row>
    <row r="17084" spans="1:7">
      <c r="A17084" s="3">
        <v>10</v>
      </c>
      <c r="B17084" s="3">
        <v>5</v>
      </c>
      <c r="C17084" s="3">
        <v>5</v>
      </c>
      <c r="D17084" s="3">
        <v>150</v>
      </c>
      <c r="E17084" s="3">
        <v>1</v>
      </c>
      <c r="F17084" s="4" t="str">
        <f>HYPERLINK("http://141.218.60.56/~jnz1568/getInfo.php?workbook=10_05.xlsx&amp;sheet=U0&amp;row=17084&amp;col=6&amp;number=3&amp;sourceID=14","3")</f>
        <v>3</v>
      </c>
      <c r="G17084" s="4" t="str">
        <f>HYPERLINK("http://141.218.60.56/~jnz1568/getInfo.php?workbook=10_05.xlsx&amp;sheet=U0&amp;row=17084&amp;col=7&amp;number=0.000921&amp;sourceID=14","0.000921")</f>
        <v>0.000921</v>
      </c>
    </row>
    <row r="17085" spans="1:7">
      <c r="A17085" s="3"/>
      <c r="B17085" s="3"/>
      <c r="C17085" s="3"/>
      <c r="D17085" s="3"/>
      <c r="E17085" s="3">
        <v>2</v>
      </c>
      <c r="F17085" s="4" t="str">
        <f>HYPERLINK("http://141.218.60.56/~jnz1568/getInfo.php?workbook=10_05.xlsx&amp;sheet=U0&amp;row=17085&amp;col=6&amp;number=3.1&amp;sourceID=14","3.1")</f>
        <v>3.1</v>
      </c>
      <c r="G17085" s="4" t="str">
        <f>HYPERLINK("http://141.218.60.56/~jnz1568/getInfo.php?workbook=10_05.xlsx&amp;sheet=U0&amp;row=17085&amp;col=7&amp;number=0.000915&amp;sourceID=14","0.000915")</f>
        <v>0.000915</v>
      </c>
    </row>
    <row r="17086" spans="1:7">
      <c r="A17086" s="3"/>
      <c r="B17086" s="3"/>
      <c r="C17086" s="3"/>
      <c r="D17086" s="3"/>
      <c r="E17086" s="3">
        <v>3</v>
      </c>
      <c r="F17086" s="4" t="str">
        <f>HYPERLINK("http://141.218.60.56/~jnz1568/getInfo.php?workbook=10_05.xlsx&amp;sheet=U0&amp;row=17086&amp;col=6&amp;number=3.2&amp;sourceID=14","3.2")</f>
        <v>3.2</v>
      </c>
      <c r="G17086" s="4" t="str">
        <f>HYPERLINK("http://141.218.60.56/~jnz1568/getInfo.php?workbook=10_05.xlsx&amp;sheet=U0&amp;row=17086&amp;col=7&amp;number=0.000907&amp;sourceID=14","0.000907")</f>
        <v>0.000907</v>
      </c>
    </row>
    <row r="17087" spans="1:7">
      <c r="A17087" s="3"/>
      <c r="B17087" s="3"/>
      <c r="C17087" s="3"/>
      <c r="D17087" s="3"/>
      <c r="E17087" s="3">
        <v>4</v>
      </c>
      <c r="F17087" s="4" t="str">
        <f>HYPERLINK("http://141.218.60.56/~jnz1568/getInfo.php?workbook=10_05.xlsx&amp;sheet=U0&amp;row=17087&amp;col=6&amp;number=3.3&amp;sourceID=14","3.3")</f>
        <v>3.3</v>
      </c>
      <c r="G17087" s="4" t="str">
        <f>HYPERLINK("http://141.218.60.56/~jnz1568/getInfo.php?workbook=10_05.xlsx&amp;sheet=U0&amp;row=17087&amp;col=7&amp;number=0.000898&amp;sourceID=14","0.000898")</f>
        <v>0.000898</v>
      </c>
    </row>
    <row r="17088" spans="1:7">
      <c r="A17088" s="3"/>
      <c r="B17088" s="3"/>
      <c r="C17088" s="3"/>
      <c r="D17088" s="3"/>
      <c r="E17088" s="3">
        <v>5</v>
      </c>
      <c r="F17088" s="4" t="str">
        <f>HYPERLINK("http://141.218.60.56/~jnz1568/getInfo.php?workbook=10_05.xlsx&amp;sheet=U0&amp;row=17088&amp;col=6&amp;number=3.4&amp;sourceID=14","3.4")</f>
        <v>3.4</v>
      </c>
      <c r="G17088" s="4" t="str">
        <f>HYPERLINK("http://141.218.60.56/~jnz1568/getInfo.php?workbook=10_05.xlsx&amp;sheet=U0&amp;row=17088&amp;col=7&amp;number=0.000886&amp;sourceID=14","0.000886")</f>
        <v>0.000886</v>
      </c>
    </row>
    <row r="17089" spans="1:7">
      <c r="A17089" s="3"/>
      <c r="B17089" s="3"/>
      <c r="C17089" s="3"/>
      <c r="D17089" s="3"/>
      <c r="E17089" s="3">
        <v>6</v>
      </c>
      <c r="F17089" s="4" t="str">
        <f>HYPERLINK("http://141.218.60.56/~jnz1568/getInfo.php?workbook=10_05.xlsx&amp;sheet=U0&amp;row=17089&amp;col=6&amp;number=3.5&amp;sourceID=14","3.5")</f>
        <v>3.5</v>
      </c>
      <c r="G17089" s="4" t="str">
        <f>HYPERLINK("http://141.218.60.56/~jnz1568/getInfo.php?workbook=10_05.xlsx&amp;sheet=U0&amp;row=17089&amp;col=7&amp;number=0.000872&amp;sourceID=14","0.000872")</f>
        <v>0.000872</v>
      </c>
    </row>
    <row r="17090" spans="1:7">
      <c r="A17090" s="3"/>
      <c r="B17090" s="3"/>
      <c r="C17090" s="3"/>
      <c r="D17090" s="3"/>
      <c r="E17090" s="3">
        <v>7</v>
      </c>
      <c r="F17090" s="4" t="str">
        <f>HYPERLINK("http://141.218.60.56/~jnz1568/getInfo.php?workbook=10_05.xlsx&amp;sheet=U0&amp;row=17090&amp;col=6&amp;number=3.6&amp;sourceID=14","3.6")</f>
        <v>3.6</v>
      </c>
      <c r="G17090" s="4" t="str">
        <f>HYPERLINK("http://141.218.60.56/~jnz1568/getInfo.php?workbook=10_05.xlsx&amp;sheet=U0&amp;row=17090&amp;col=7&amp;number=0.000854&amp;sourceID=14","0.000854")</f>
        <v>0.000854</v>
      </c>
    </row>
    <row r="17091" spans="1:7">
      <c r="A17091" s="3"/>
      <c r="B17091" s="3"/>
      <c r="C17091" s="3"/>
      <c r="D17091" s="3"/>
      <c r="E17091" s="3">
        <v>8</v>
      </c>
      <c r="F17091" s="4" t="str">
        <f>HYPERLINK("http://141.218.60.56/~jnz1568/getInfo.php?workbook=10_05.xlsx&amp;sheet=U0&amp;row=17091&amp;col=6&amp;number=3.7&amp;sourceID=14","3.7")</f>
        <v>3.7</v>
      </c>
      <c r="G17091" s="4" t="str">
        <f>HYPERLINK("http://141.218.60.56/~jnz1568/getInfo.php?workbook=10_05.xlsx&amp;sheet=U0&amp;row=17091&amp;col=7&amp;number=0.000833&amp;sourceID=14","0.000833")</f>
        <v>0.000833</v>
      </c>
    </row>
    <row r="17092" spans="1:7">
      <c r="A17092" s="3"/>
      <c r="B17092" s="3"/>
      <c r="C17092" s="3"/>
      <c r="D17092" s="3"/>
      <c r="E17092" s="3">
        <v>9</v>
      </c>
      <c r="F17092" s="4" t="str">
        <f>HYPERLINK("http://141.218.60.56/~jnz1568/getInfo.php?workbook=10_05.xlsx&amp;sheet=U0&amp;row=17092&amp;col=6&amp;number=3.8&amp;sourceID=14","3.8")</f>
        <v>3.8</v>
      </c>
      <c r="G17092" s="4" t="str">
        <f>HYPERLINK("http://141.218.60.56/~jnz1568/getInfo.php?workbook=10_05.xlsx&amp;sheet=U0&amp;row=17092&amp;col=7&amp;number=0.000807&amp;sourceID=14","0.000807")</f>
        <v>0.000807</v>
      </c>
    </row>
    <row r="17093" spans="1:7">
      <c r="A17093" s="3"/>
      <c r="B17093" s="3"/>
      <c r="C17093" s="3"/>
      <c r="D17093" s="3"/>
      <c r="E17093" s="3">
        <v>10</v>
      </c>
      <c r="F17093" s="4" t="str">
        <f>HYPERLINK("http://141.218.60.56/~jnz1568/getInfo.php?workbook=10_05.xlsx&amp;sheet=U0&amp;row=17093&amp;col=6&amp;number=3.9&amp;sourceID=14","3.9")</f>
        <v>3.9</v>
      </c>
      <c r="G17093" s="4" t="str">
        <f>HYPERLINK("http://141.218.60.56/~jnz1568/getInfo.php?workbook=10_05.xlsx&amp;sheet=U0&amp;row=17093&amp;col=7&amp;number=0.000777&amp;sourceID=14","0.000777")</f>
        <v>0.000777</v>
      </c>
    </row>
    <row r="17094" spans="1:7">
      <c r="A17094" s="3"/>
      <c r="B17094" s="3"/>
      <c r="C17094" s="3"/>
      <c r="D17094" s="3"/>
      <c r="E17094" s="3">
        <v>11</v>
      </c>
      <c r="F17094" s="4" t="str">
        <f>HYPERLINK("http://141.218.60.56/~jnz1568/getInfo.php?workbook=10_05.xlsx&amp;sheet=U0&amp;row=17094&amp;col=6&amp;number=4&amp;sourceID=14","4")</f>
        <v>4</v>
      </c>
      <c r="G17094" s="4" t="str">
        <f>HYPERLINK("http://141.218.60.56/~jnz1568/getInfo.php?workbook=10_05.xlsx&amp;sheet=U0&amp;row=17094&amp;col=7&amp;number=0.000742&amp;sourceID=14","0.000742")</f>
        <v>0.000742</v>
      </c>
    </row>
    <row r="17095" spans="1:7">
      <c r="A17095" s="3"/>
      <c r="B17095" s="3"/>
      <c r="C17095" s="3"/>
      <c r="D17095" s="3"/>
      <c r="E17095" s="3">
        <v>12</v>
      </c>
      <c r="F17095" s="4" t="str">
        <f>HYPERLINK("http://141.218.60.56/~jnz1568/getInfo.php?workbook=10_05.xlsx&amp;sheet=U0&amp;row=17095&amp;col=6&amp;number=4.1&amp;sourceID=14","4.1")</f>
        <v>4.1</v>
      </c>
      <c r="G17095" s="4" t="str">
        <f>HYPERLINK("http://141.218.60.56/~jnz1568/getInfo.php?workbook=10_05.xlsx&amp;sheet=U0&amp;row=17095&amp;col=7&amp;number=0.000705&amp;sourceID=14","0.000705")</f>
        <v>0.000705</v>
      </c>
    </row>
    <row r="17096" spans="1:7">
      <c r="A17096" s="3"/>
      <c r="B17096" s="3"/>
      <c r="C17096" s="3"/>
      <c r="D17096" s="3"/>
      <c r="E17096" s="3">
        <v>13</v>
      </c>
      <c r="F17096" s="4" t="str">
        <f>HYPERLINK("http://141.218.60.56/~jnz1568/getInfo.php?workbook=10_05.xlsx&amp;sheet=U0&amp;row=17096&amp;col=6&amp;number=4.2&amp;sourceID=14","4.2")</f>
        <v>4.2</v>
      </c>
      <c r="G17096" s="4" t="str">
        <f>HYPERLINK("http://141.218.60.56/~jnz1568/getInfo.php?workbook=10_05.xlsx&amp;sheet=U0&amp;row=17096&amp;col=7&amp;number=0.000669&amp;sourceID=14","0.000669")</f>
        <v>0.000669</v>
      </c>
    </row>
    <row r="17097" spans="1:7">
      <c r="A17097" s="3"/>
      <c r="B17097" s="3"/>
      <c r="C17097" s="3"/>
      <c r="D17097" s="3"/>
      <c r="E17097" s="3">
        <v>14</v>
      </c>
      <c r="F17097" s="4" t="str">
        <f>HYPERLINK("http://141.218.60.56/~jnz1568/getInfo.php?workbook=10_05.xlsx&amp;sheet=U0&amp;row=17097&amp;col=6&amp;number=4.3&amp;sourceID=14","4.3")</f>
        <v>4.3</v>
      </c>
      <c r="G17097" s="4" t="str">
        <f>HYPERLINK("http://141.218.60.56/~jnz1568/getInfo.php?workbook=10_05.xlsx&amp;sheet=U0&amp;row=17097&amp;col=7&amp;number=0.000638&amp;sourceID=14","0.000638")</f>
        <v>0.000638</v>
      </c>
    </row>
    <row r="17098" spans="1:7">
      <c r="A17098" s="3"/>
      <c r="B17098" s="3"/>
      <c r="C17098" s="3"/>
      <c r="D17098" s="3"/>
      <c r="E17098" s="3">
        <v>15</v>
      </c>
      <c r="F17098" s="4" t="str">
        <f>HYPERLINK("http://141.218.60.56/~jnz1568/getInfo.php?workbook=10_05.xlsx&amp;sheet=U0&amp;row=17098&amp;col=6&amp;number=4.4&amp;sourceID=14","4.4")</f>
        <v>4.4</v>
      </c>
      <c r="G17098" s="4" t="str">
        <f>HYPERLINK("http://141.218.60.56/~jnz1568/getInfo.php?workbook=10_05.xlsx&amp;sheet=U0&amp;row=17098&amp;col=7&amp;number=0.000614&amp;sourceID=14","0.000614")</f>
        <v>0.000614</v>
      </c>
    </row>
    <row r="17099" spans="1:7">
      <c r="A17099" s="3"/>
      <c r="B17099" s="3"/>
      <c r="C17099" s="3"/>
      <c r="D17099" s="3"/>
      <c r="E17099" s="3">
        <v>16</v>
      </c>
      <c r="F17099" s="4" t="str">
        <f>HYPERLINK("http://141.218.60.56/~jnz1568/getInfo.php?workbook=10_05.xlsx&amp;sheet=U0&amp;row=17099&amp;col=6&amp;number=4.5&amp;sourceID=14","4.5")</f>
        <v>4.5</v>
      </c>
      <c r="G17099" s="4" t="str">
        <f>HYPERLINK("http://141.218.60.56/~jnz1568/getInfo.php?workbook=10_05.xlsx&amp;sheet=U0&amp;row=17099&amp;col=7&amp;number=0.000596&amp;sourceID=14","0.000596")</f>
        <v>0.000596</v>
      </c>
    </row>
    <row r="17100" spans="1:7">
      <c r="A17100" s="3"/>
      <c r="B17100" s="3"/>
      <c r="C17100" s="3"/>
      <c r="D17100" s="3"/>
      <c r="E17100" s="3">
        <v>17</v>
      </c>
      <c r="F17100" s="4" t="str">
        <f>HYPERLINK("http://141.218.60.56/~jnz1568/getInfo.php?workbook=10_05.xlsx&amp;sheet=U0&amp;row=17100&amp;col=6&amp;number=4.6&amp;sourceID=14","4.6")</f>
        <v>4.6</v>
      </c>
      <c r="G17100" s="4" t="str">
        <f>HYPERLINK("http://141.218.60.56/~jnz1568/getInfo.php?workbook=10_05.xlsx&amp;sheet=U0&amp;row=17100&amp;col=7&amp;number=0.000579&amp;sourceID=14","0.000579")</f>
        <v>0.000579</v>
      </c>
    </row>
    <row r="17101" spans="1:7">
      <c r="A17101" s="3"/>
      <c r="B17101" s="3"/>
      <c r="C17101" s="3"/>
      <c r="D17101" s="3"/>
      <c r="E17101" s="3">
        <v>18</v>
      </c>
      <c r="F17101" s="4" t="str">
        <f>HYPERLINK("http://141.218.60.56/~jnz1568/getInfo.php?workbook=10_05.xlsx&amp;sheet=U0&amp;row=17101&amp;col=6&amp;number=4.7&amp;sourceID=14","4.7")</f>
        <v>4.7</v>
      </c>
      <c r="G17101" s="4" t="str">
        <f>HYPERLINK("http://141.218.60.56/~jnz1568/getInfo.php?workbook=10_05.xlsx&amp;sheet=U0&amp;row=17101&amp;col=7&amp;number=0.00056&amp;sourceID=14","0.00056")</f>
        <v>0.00056</v>
      </c>
    </row>
    <row r="17102" spans="1:7">
      <c r="A17102" s="3"/>
      <c r="B17102" s="3"/>
      <c r="C17102" s="3"/>
      <c r="D17102" s="3"/>
      <c r="E17102" s="3">
        <v>19</v>
      </c>
      <c r="F17102" s="4" t="str">
        <f>HYPERLINK("http://141.218.60.56/~jnz1568/getInfo.php?workbook=10_05.xlsx&amp;sheet=U0&amp;row=17102&amp;col=6&amp;number=4.8&amp;sourceID=14","4.8")</f>
        <v>4.8</v>
      </c>
      <c r="G17102" s="4" t="str">
        <f>HYPERLINK("http://141.218.60.56/~jnz1568/getInfo.php?workbook=10_05.xlsx&amp;sheet=U0&amp;row=17102&amp;col=7&amp;number=0.00054&amp;sourceID=14","0.00054")</f>
        <v>0.00054</v>
      </c>
    </row>
    <row r="17103" spans="1:7">
      <c r="A17103" s="3"/>
      <c r="B17103" s="3"/>
      <c r="C17103" s="3"/>
      <c r="D17103" s="3"/>
      <c r="E17103" s="3">
        <v>20</v>
      </c>
      <c r="F17103" s="4" t="str">
        <f>HYPERLINK("http://141.218.60.56/~jnz1568/getInfo.php?workbook=10_05.xlsx&amp;sheet=U0&amp;row=17103&amp;col=6&amp;number=4.9&amp;sourceID=14","4.9")</f>
        <v>4.9</v>
      </c>
      <c r="G17103" s="4" t="str">
        <f>HYPERLINK("http://141.218.60.56/~jnz1568/getInfo.php?workbook=10_05.xlsx&amp;sheet=U0&amp;row=17103&amp;col=7&amp;number=0.000523&amp;sourceID=14","0.000523")</f>
        <v>0.000523</v>
      </c>
    </row>
    <row r="17104" spans="1:7">
      <c r="A17104" s="3">
        <v>10</v>
      </c>
      <c r="B17104" s="3">
        <v>5</v>
      </c>
      <c r="C17104" s="3">
        <v>5</v>
      </c>
      <c r="D17104" s="3">
        <v>151</v>
      </c>
      <c r="E17104" s="3">
        <v>1</v>
      </c>
      <c r="F17104" s="4" t="str">
        <f>HYPERLINK("http://141.218.60.56/~jnz1568/getInfo.php?workbook=10_05.xlsx&amp;sheet=U0&amp;row=17104&amp;col=6&amp;number=3&amp;sourceID=14","3")</f>
        <v>3</v>
      </c>
      <c r="G17104" s="4" t="str">
        <f>HYPERLINK("http://141.218.60.56/~jnz1568/getInfo.php?workbook=10_05.xlsx&amp;sheet=U0&amp;row=17104&amp;col=7&amp;number=0.00123&amp;sourceID=14","0.00123")</f>
        <v>0.00123</v>
      </c>
    </row>
    <row r="17105" spans="1:7">
      <c r="A17105" s="3"/>
      <c r="B17105" s="3"/>
      <c r="C17105" s="3"/>
      <c r="D17105" s="3"/>
      <c r="E17105" s="3">
        <v>2</v>
      </c>
      <c r="F17105" s="4" t="str">
        <f>HYPERLINK("http://141.218.60.56/~jnz1568/getInfo.php?workbook=10_05.xlsx&amp;sheet=U0&amp;row=17105&amp;col=6&amp;number=3.1&amp;sourceID=14","3.1")</f>
        <v>3.1</v>
      </c>
      <c r="G17105" s="4" t="str">
        <f>HYPERLINK("http://141.218.60.56/~jnz1568/getInfo.php?workbook=10_05.xlsx&amp;sheet=U0&amp;row=17105&amp;col=7&amp;number=0.00122&amp;sourceID=14","0.00122")</f>
        <v>0.00122</v>
      </c>
    </row>
    <row r="17106" spans="1:7">
      <c r="A17106" s="3"/>
      <c r="B17106" s="3"/>
      <c r="C17106" s="3"/>
      <c r="D17106" s="3"/>
      <c r="E17106" s="3">
        <v>3</v>
      </c>
      <c r="F17106" s="4" t="str">
        <f>HYPERLINK("http://141.218.60.56/~jnz1568/getInfo.php?workbook=10_05.xlsx&amp;sheet=U0&amp;row=17106&amp;col=6&amp;number=3.2&amp;sourceID=14","3.2")</f>
        <v>3.2</v>
      </c>
      <c r="G17106" s="4" t="str">
        <f>HYPERLINK("http://141.218.60.56/~jnz1568/getInfo.php?workbook=10_05.xlsx&amp;sheet=U0&amp;row=17106&amp;col=7&amp;number=0.00121&amp;sourceID=14","0.00121")</f>
        <v>0.00121</v>
      </c>
    </row>
    <row r="17107" spans="1:7">
      <c r="A17107" s="3"/>
      <c r="B17107" s="3"/>
      <c r="C17107" s="3"/>
      <c r="D17107" s="3"/>
      <c r="E17107" s="3">
        <v>4</v>
      </c>
      <c r="F17107" s="4" t="str">
        <f>HYPERLINK("http://141.218.60.56/~jnz1568/getInfo.php?workbook=10_05.xlsx&amp;sheet=U0&amp;row=17107&amp;col=6&amp;number=3.3&amp;sourceID=14","3.3")</f>
        <v>3.3</v>
      </c>
      <c r="G17107" s="4" t="str">
        <f>HYPERLINK("http://141.218.60.56/~jnz1568/getInfo.php?workbook=10_05.xlsx&amp;sheet=U0&amp;row=17107&amp;col=7&amp;number=0.0012&amp;sourceID=14","0.0012")</f>
        <v>0.0012</v>
      </c>
    </row>
    <row r="17108" spans="1:7">
      <c r="A17108" s="3"/>
      <c r="B17108" s="3"/>
      <c r="C17108" s="3"/>
      <c r="D17108" s="3"/>
      <c r="E17108" s="3">
        <v>5</v>
      </c>
      <c r="F17108" s="4" t="str">
        <f>HYPERLINK("http://141.218.60.56/~jnz1568/getInfo.php?workbook=10_05.xlsx&amp;sheet=U0&amp;row=17108&amp;col=6&amp;number=3.4&amp;sourceID=14","3.4")</f>
        <v>3.4</v>
      </c>
      <c r="G17108" s="4" t="str">
        <f>HYPERLINK("http://141.218.60.56/~jnz1568/getInfo.php?workbook=10_05.xlsx&amp;sheet=U0&amp;row=17108&amp;col=7&amp;number=0.00118&amp;sourceID=14","0.00118")</f>
        <v>0.00118</v>
      </c>
    </row>
    <row r="17109" spans="1:7">
      <c r="A17109" s="3"/>
      <c r="B17109" s="3"/>
      <c r="C17109" s="3"/>
      <c r="D17109" s="3"/>
      <c r="E17109" s="3">
        <v>6</v>
      </c>
      <c r="F17109" s="4" t="str">
        <f>HYPERLINK("http://141.218.60.56/~jnz1568/getInfo.php?workbook=10_05.xlsx&amp;sheet=U0&amp;row=17109&amp;col=6&amp;number=3.5&amp;sourceID=14","3.5")</f>
        <v>3.5</v>
      </c>
      <c r="G17109" s="4" t="str">
        <f>HYPERLINK("http://141.218.60.56/~jnz1568/getInfo.php?workbook=10_05.xlsx&amp;sheet=U0&amp;row=17109&amp;col=7&amp;number=0.00116&amp;sourceID=14","0.00116")</f>
        <v>0.00116</v>
      </c>
    </row>
    <row r="17110" spans="1:7">
      <c r="A17110" s="3"/>
      <c r="B17110" s="3"/>
      <c r="C17110" s="3"/>
      <c r="D17110" s="3"/>
      <c r="E17110" s="3">
        <v>7</v>
      </c>
      <c r="F17110" s="4" t="str">
        <f>HYPERLINK("http://141.218.60.56/~jnz1568/getInfo.php?workbook=10_05.xlsx&amp;sheet=U0&amp;row=17110&amp;col=6&amp;number=3.6&amp;sourceID=14","3.6")</f>
        <v>3.6</v>
      </c>
      <c r="G17110" s="4" t="str">
        <f>HYPERLINK("http://141.218.60.56/~jnz1568/getInfo.php?workbook=10_05.xlsx&amp;sheet=U0&amp;row=17110&amp;col=7&amp;number=0.00113&amp;sourceID=14","0.00113")</f>
        <v>0.00113</v>
      </c>
    </row>
    <row r="17111" spans="1:7">
      <c r="A17111" s="3"/>
      <c r="B17111" s="3"/>
      <c r="C17111" s="3"/>
      <c r="D17111" s="3"/>
      <c r="E17111" s="3">
        <v>8</v>
      </c>
      <c r="F17111" s="4" t="str">
        <f>HYPERLINK("http://141.218.60.56/~jnz1568/getInfo.php?workbook=10_05.xlsx&amp;sheet=U0&amp;row=17111&amp;col=6&amp;number=3.7&amp;sourceID=14","3.7")</f>
        <v>3.7</v>
      </c>
      <c r="G17111" s="4" t="str">
        <f>HYPERLINK("http://141.218.60.56/~jnz1568/getInfo.php?workbook=10_05.xlsx&amp;sheet=U0&amp;row=17111&amp;col=7&amp;number=0.0011&amp;sourceID=14","0.0011")</f>
        <v>0.0011</v>
      </c>
    </row>
    <row r="17112" spans="1:7">
      <c r="A17112" s="3"/>
      <c r="B17112" s="3"/>
      <c r="C17112" s="3"/>
      <c r="D17112" s="3"/>
      <c r="E17112" s="3">
        <v>9</v>
      </c>
      <c r="F17112" s="4" t="str">
        <f>HYPERLINK("http://141.218.60.56/~jnz1568/getInfo.php?workbook=10_05.xlsx&amp;sheet=U0&amp;row=17112&amp;col=6&amp;number=3.8&amp;sourceID=14","3.8")</f>
        <v>3.8</v>
      </c>
      <c r="G17112" s="4" t="str">
        <f>HYPERLINK("http://141.218.60.56/~jnz1568/getInfo.php?workbook=10_05.xlsx&amp;sheet=U0&amp;row=17112&amp;col=7&amp;number=0.00106&amp;sourceID=14","0.00106")</f>
        <v>0.00106</v>
      </c>
    </row>
    <row r="17113" spans="1:7">
      <c r="A17113" s="3"/>
      <c r="B17113" s="3"/>
      <c r="C17113" s="3"/>
      <c r="D17113" s="3"/>
      <c r="E17113" s="3">
        <v>10</v>
      </c>
      <c r="F17113" s="4" t="str">
        <f>HYPERLINK("http://141.218.60.56/~jnz1568/getInfo.php?workbook=10_05.xlsx&amp;sheet=U0&amp;row=17113&amp;col=6&amp;number=3.9&amp;sourceID=14","3.9")</f>
        <v>3.9</v>
      </c>
      <c r="G17113" s="4" t="str">
        <f>HYPERLINK("http://141.218.60.56/~jnz1568/getInfo.php?workbook=10_05.xlsx&amp;sheet=U0&amp;row=17113&amp;col=7&amp;number=0.00102&amp;sourceID=14","0.00102")</f>
        <v>0.00102</v>
      </c>
    </row>
    <row r="17114" spans="1:7">
      <c r="A17114" s="3"/>
      <c r="B17114" s="3"/>
      <c r="C17114" s="3"/>
      <c r="D17114" s="3"/>
      <c r="E17114" s="3">
        <v>11</v>
      </c>
      <c r="F17114" s="4" t="str">
        <f>HYPERLINK("http://141.218.60.56/~jnz1568/getInfo.php?workbook=10_05.xlsx&amp;sheet=U0&amp;row=17114&amp;col=6&amp;number=4&amp;sourceID=14","4")</f>
        <v>4</v>
      </c>
      <c r="G17114" s="4" t="str">
        <f>HYPERLINK("http://141.218.60.56/~jnz1568/getInfo.php?workbook=10_05.xlsx&amp;sheet=U0&amp;row=17114&amp;col=7&amp;number=0.000971&amp;sourceID=14","0.000971")</f>
        <v>0.000971</v>
      </c>
    </row>
    <row r="17115" spans="1:7">
      <c r="A17115" s="3"/>
      <c r="B17115" s="3"/>
      <c r="C17115" s="3"/>
      <c r="D17115" s="3"/>
      <c r="E17115" s="3">
        <v>12</v>
      </c>
      <c r="F17115" s="4" t="str">
        <f>HYPERLINK("http://141.218.60.56/~jnz1568/getInfo.php?workbook=10_05.xlsx&amp;sheet=U0&amp;row=17115&amp;col=6&amp;number=4.1&amp;sourceID=14","4.1")</f>
        <v>4.1</v>
      </c>
      <c r="G17115" s="4" t="str">
        <f>HYPERLINK("http://141.218.60.56/~jnz1568/getInfo.php?workbook=10_05.xlsx&amp;sheet=U0&amp;row=17115&amp;col=7&amp;number=0.000916&amp;sourceID=14","0.000916")</f>
        <v>0.000916</v>
      </c>
    </row>
    <row r="17116" spans="1:7">
      <c r="A17116" s="3"/>
      <c r="B17116" s="3"/>
      <c r="C17116" s="3"/>
      <c r="D17116" s="3"/>
      <c r="E17116" s="3">
        <v>13</v>
      </c>
      <c r="F17116" s="4" t="str">
        <f>HYPERLINK("http://141.218.60.56/~jnz1568/getInfo.php?workbook=10_05.xlsx&amp;sheet=U0&amp;row=17116&amp;col=6&amp;number=4.2&amp;sourceID=14","4.2")</f>
        <v>4.2</v>
      </c>
      <c r="G17116" s="4" t="str">
        <f>HYPERLINK("http://141.218.60.56/~jnz1568/getInfo.php?workbook=10_05.xlsx&amp;sheet=U0&amp;row=17116&amp;col=7&amp;number=0.000863&amp;sourceID=14","0.000863")</f>
        <v>0.000863</v>
      </c>
    </row>
    <row r="17117" spans="1:7">
      <c r="A17117" s="3"/>
      <c r="B17117" s="3"/>
      <c r="C17117" s="3"/>
      <c r="D17117" s="3"/>
      <c r="E17117" s="3">
        <v>14</v>
      </c>
      <c r="F17117" s="4" t="str">
        <f>HYPERLINK("http://141.218.60.56/~jnz1568/getInfo.php?workbook=10_05.xlsx&amp;sheet=U0&amp;row=17117&amp;col=6&amp;number=4.3&amp;sourceID=14","4.3")</f>
        <v>4.3</v>
      </c>
      <c r="G17117" s="4" t="str">
        <f>HYPERLINK("http://141.218.60.56/~jnz1568/getInfo.php?workbook=10_05.xlsx&amp;sheet=U0&amp;row=17117&amp;col=7&amp;number=0.000815&amp;sourceID=14","0.000815")</f>
        <v>0.000815</v>
      </c>
    </row>
    <row r="17118" spans="1:7">
      <c r="A17118" s="3"/>
      <c r="B17118" s="3"/>
      <c r="C17118" s="3"/>
      <c r="D17118" s="3"/>
      <c r="E17118" s="3">
        <v>15</v>
      </c>
      <c r="F17118" s="4" t="str">
        <f>HYPERLINK("http://141.218.60.56/~jnz1568/getInfo.php?workbook=10_05.xlsx&amp;sheet=U0&amp;row=17118&amp;col=6&amp;number=4.4&amp;sourceID=14","4.4")</f>
        <v>4.4</v>
      </c>
      <c r="G17118" s="4" t="str">
        <f>HYPERLINK("http://141.218.60.56/~jnz1568/getInfo.php?workbook=10_05.xlsx&amp;sheet=U0&amp;row=17118&amp;col=7&amp;number=0.000777&amp;sourceID=14","0.000777")</f>
        <v>0.000777</v>
      </c>
    </row>
    <row r="17119" spans="1:7">
      <c r="A17119" s="3"/>
      <c r="B17119" s="3"/>
      <c r="C17119" s="3"/>
      <c r="D17119" s="3"/>
      <c r="E17119" s="3">
        <v>16</v>
      </c>
      <c r="F17119" s="4" t="str">
        <f>HYPERLINK("http://141.218.60.56/~jnz1568/getInfo.php?workbook=10_05.xlsx&amp;sheet=U0&amp;row=17119&amp;col=6&amp;number=4.5&amp;sourceID=14","4.5")</f>
        <v>4.5</v>
      </c>
      <c r="G17119" s="4" t="str">
        <f>HYPERLINK("http://141.218.60.56/~jnz1568/getInfo.php?workbook=10_05.xlsx&amp;sheet=U0&amp;row=17119&amp;col=7&amp;number=0.000746&amp;sourceID=14","0.000746")</f>
        <v>0.000746</v>
      </c>
    </row>
    <row r="17120" spans="1:7">
      <c r="A17120" s="3"/>
      <c r="B17120" s="3"/>
      <c r="C17120" s="3"/>
      <c r="D17120" s="3"/>
      <c r="E17120" s="3">
        <v>17</v>
      </c>
      <c r="F17120" s="4" t="str">
        <f>HYPERLINK("http://141.218.60.56/~jnz1568/getInfo.php?workbook=10_05.xlsx&amp;sheet=U0&amp;row=17120&amp;col=6&amp;number=4.6&amp;sourceID=14","4.6")</f>
        <v>4.6</v>
      </c>
      <c r="G17120" s="4" t="str">
        <f>HYPERLINK("http://141.218.60.56/~jnz1568/getInfo.php?workbook=10_05.xlsx&amp;sheet=U0&amp;row=17120&amp;col=7&amp;number=0.000717&amp;sourceID=14","0.000717")</f>
        <v>0.000717</v>
      </c>
    </row>
    <row r="17121" spans="1:7">
      <c r="A17121" s="3"/>
      <c r="B17121" s="3"/>
      <c r="C17121" s="3"/>
      <c r="D17121" s="3"/>
      <c r="E17121" s="3">
        <v>18</v>
      </c>
      <c r="F17121" s="4" t="str">
        <f>HYPERLINK("http://141.218.60.56/~jnz1568/getInfo.php?workbook=10_05.xlsx&amp;sheet=U0&amp;row=17121&amp;col=6&amp;number=4.7&amp;sourceID=14","4.7")</f>
        <v>4.7</v>
      </c>
      <c r="G17121" s="4" t="str">
        <f>HYPERLINK("http://141.218.60.56/~jnz1568/getInfo.php?workbook=10_05.xlsx&amp;sheet=U0&amp;row=17121&amp;col=7&amp;number=0.000685&amp;sourceID=14","0.000685")</f>
        <v>0.000685</v>
      </c>
    </row>
    <row r="17122" spans="1:7">
      <c r="A17122" s="3"/>
      <c r="B17122" s="3"/>
      <c r="C17122" s="3"/>
      <c r="D17122" s="3"/>
      <c r="E17122" s="3">
        <v>19</v>
      </c>
      <c r="F17122" s="4" t="str">
        <f>HYPERLINK("http://141.218.60.56/~jnz1568/getInfo.php?workbook=10_05.xlsx&amp;sheet=U0&amp;row=17122&amp;col=6&amp;number=4.8&amp;sourceID=14","4.8")</f>
        <v>4.8</v>
      </c>
      <c r="G17122" s="4" t="str">
        <f>HYPERLINK("http://141.218.60.56/~jnz1568/getInfo.php?workbook=10_05.xlsx&amp;sheet=U0&amp;row=17122&amp;col=7&amp;number=0.000654&amp;sourceID=14","0.000654")</f>
        <v>0.000654</v>
      </c>
    </row>
    <row r="17123" spans="1:7">
      <c r="A17123" s="3"/>
      <c r="B17123" s="3"/>
      <c r="C17123" s="3"/>
      <c r="D17123" s="3"/>
      <c r="E17123" s="3">
        <v>20</v>
      </c>
      <c r="F17123" s="4" t="str">
        <f>HYPERLINK("http://141.218.60.56/~jnz1568/getInfo.php?workbook=10_05.xlsx&amp;sheet=U0&amp;row=17123&amp;col=6&amp;number=4.9&amp;sourceID=14","4.9")</f>
        <v>4.9</v>
      </c>
      <c r="G17123" s="4" t="str">
        <f>HYPERLINK("http://141.218.60.56/~jnz1568/getInfo.php?workbook=10_05.xlsx&amp;sheet=U0&amp;row=17123&amp;col=7&amp;number=0.000626&amp;sourceID=14","0.000626")</f>
        <v>0.000626</v>
      </c>
    </row>
    <row r="17124" spans="1:7">
      <c r="A17124" s="3">
        <v>10</v>
      </c>
      <c r="B17124" s="3">
        <v>5</v>
      </c>
      <c r="C17124" s="3">
        <v>5</v>
      </c>
      <c r="D17124" s="3">
        <v>152</v>
      </c>
      <c r="E17124" s="3">
        <v>1</v>
      </c>
      <c r="F17124" s="4" t="str">
        <f>HYPERLINK("http://141.218.60.56/~jnz1568/getInfo.php?workbook=10_05.xlsx&amp;sheet=U0&amp;row=17124&amp;col=6&amp;number=3&amp;sourceID=14","3")</f>
        <v>3</v>
      </c>
      <c r="G17124" s="4" t="str">
        <f>HYPERLINK("http://141.218.60.56/~jnz1568/getInfo.php?workbook=10_05.xlsx&amp;sheet=U0&amp;row=17124&amp;col=7&amp;number=0.0185&amp;sourceID=14","0.0185")</f>
        <v>0.0185</v>
      </c>
    </row>
    <row r="17125" spans="1:7">
      <c r="A17125" s="3"/>
      <c r="B17125" s="3"/>
      <c r="C17125" s="3"/>
      <c r="D17125" s="3"/>
      <c r="E17125" s="3">
        <v>2</v>
      </c>
      <c r="F17125" s="4" t="str">
        <f>HYPERLINK("http://141.218.60.56/~jnz1568/getInfo.php?workbook=10_05.xlsx&amp;sheet=U0&amp;row=17125&amp;col=6&amp;number=3.1&amp;sourceID=14","3.1")</f>
        <v>3.1</v>
      </c>
      <c r="G17125" s="4" t="str">
        <f>HYPERLINK("http://141.218.60.56/~jnz1568/getInfo.php?workbook=10_05.xlsx&amp;sheet=U0&amp;row=17125&amp;col=7&amp;number=0.0185&amp;sourceID=14","0.0185")</f>
        <v>0.0185</v>
      </c>
    </row>
    <row r="17126" spans="1:7">
      <c r="A17126" s="3"/>
      <c r="B17126" s="3"/>
      <c r="C17126" s="3"/>
      <c r="D17126" s="3"/>
      <c r="E17126" s="3">
        <v>3</v>
      </c>
      <c r="F17126" s="4" t="str">
        <f>HYPERLINK("http://141.218.60.56/~jnz1568/getInfo.php?workbook=10_05.xlsx&amp;sheet=U0&amp;row=17126&amp;col=6&amp;number=3.2&amp;sourceID=14","3.2")</f>
        <v>3.2</v>
      </c>
      <c r="G17126" s="4" t="str">
        <f>HYPERLINK("http://141.218.60.56/~jnz1568/getInfo.php?workbook=10_05.xlsx&amp;sheet=U0&amp;row=17126&amp;col=7&amp;number=0.0185&amp;sourceID=14","0.0185")</f>
        <v>0.0185</v>
      </c>
    </row>
    <row r="17127" spans="1:7">
      <c r="A17127" s="3"/>
      <c r="B17127" s="3"/>
      <c r="C17127" s="3"/>
      <c r="D17127" s="3"/>
      <c r="E17127" s="3">
        <v>4</v>
      </c>
      <c r="F17127" s="4" t="str">
        <f>HYPERLINK("http://141.218.60.56/~jnz1568/getInfo.php?workbook=10_05.xlsx&amp;sheet=U0&amp;row=17127&amp;col=6&amp;number=3.3&amp;sourceID=14","3.3")</f>
        <v>3.3</v>
      </c>
      <c r="G17127" s="4" t="str">
        <f>HYPERLINK("http://141.218.60.56/~jnz1568/getInfo.php?workbook=10_05.xlsx&amp;sheet=U0&amp;row=17127&amp;col=7&amp;number=0.0184&amp;sourceID=14","0.0184")</f>
        <v>0.0184</v>
      </c>
    </row>
    <row r="17128" spans="1:7">
      <c r="A17128" s="3"/>
      <c r="B17128" s="3"/>
      <c r="C17128" s="3"/>
      <c r="D17128" s="3"/>
      <c r="E17128" s="3">
        <v>5</v>
      </c>
      <c r="F17128" s="4" t="str">
        <f>HYPERLINK("http://141.218.60.56/~jnz1568/getInfo.php?workbook=10_05.xlsx&amp;sheet=U0&amp;row=17128&amp;col=6&amp;number=3.4&amp;sourceID=14","3.4")</f>
        <v>3.4</v>
      </c>
      <c r="G17128" s="4" t="str">
        <f>HYPERLINK("http://141.218.60.56/~jnz1568/getInfo.php?workbook=10_05.xlsx&amp;sheet=U0&amp;row=17128&amp;col=7&amp;number=0.0184&amp;sourceID=14","0.0184")</f>
        <v>0.0184</v>
      </c>
    </row>
    <row r="17129" spans="1:7">
      <c r="A17129" s="3"/>
      <c r="B17129" s="3"/>
      <c r="C17129" s="3"/>
      <c r="D17129" s="3"/>
      <c r="E17129" s="3">
        <v>6</v>
      </c>
      <c r="F17129" s="4" t="str">
        <f>HYPERLINK("http://141.218.60.56/~jnz1568/getInfo.php?workbook=10_05.xlsx&amp;sheet=U0&amp;row=17129&amp;col=6&amp;number=3.5&amp;sourceID=14","3.5")</f>
        <v>3.5</v>
      </c>
      <c r="G17129" s="4" t="str">
        <f>HYPERLINK("http://141.218.60.56/~jnz1568/getInfo.php?workbook=10_05.xlsx&amp;sheet=U0&amp;row=17129&amp;col=7&amp;number=0.0184&amp;sourceID=14","0.0184")</f>
        <v>0.0184</v>
      </c>
    </row>
    <row r="17130" spans="1:7">
      <c r="A17130" s="3"/>
      <c r="B17130" s="3"/>
      <c r="C17130" s="3"/>
      <c r="D17130" s="3"/>
      <c r="E17130" s="3">
        <v>7</v>
      </c>
      <c r="F17130" s="4" t="str">
        <f>HYPERLINK("http://141.218.60.56/~jnz1568/getInfo.php?workbook=10_05.xlsx&amp;sheet=U0&amp;row=17130&amp;col=6&amp;number=3.6&amp;sourceID=14","3.6")</f>
        <v>3.6</v>
      </c>
      <c r="G17130" s="4" t="str">
        <f>HYPERLINK("http://141.218.60.56/~jnz1568/getInfo.php?workbook=10_05.xlsx&amp;sheet=U0&amp;row=17130&amp;col=7&amp;number=0.0183&amp;sourceID=14","0.0183")</f>
        <v>0.0183</v>
      </c>
    </row>
    <row r="17131" spans="1:7">
      <c r="A17131" s="3"/>
      <c r="B17131" s="3"/>
      <c r="C17131" s="3"/>
      <c r="D17131" s="3"/>
      <c r="E17131" s="3">
        <v>8</v>
      </c>
      <c r="F17131" s="4" t="str">
        <f>HYPERLINK("http://141.218.60.56/~jnz1568/getInfo.php?workbook=10_05.xlsx&amp;sheet=U0&amp;row=17131&amp;col=6&amp;number=3.7&amp;sourceID=14","3.7")</f>
        <v>3.7</v>
      </c>
      <c r="G17131" s="4" t="str">
        <f>HYPERLINK("http://141.218.60.56/~jnz1568/getInfo.php?workbook=10_05.xlsx&amp;sheet=U0&amp;row=17131&amp;col=7&amp;number=0.0182&amp;sourceID=14","0.0182")</f>
        <v>0.0182</v>
      </c>
    </row>
    <row r="17132" spans="1:7">
      <c r="A17132" s="3"/>
      <c r="B17132" s="3"/>
      <c r="C17132" s="3"/>
      <c r="D17132" s="3"/>
      <c r="E17132" s="3">
        <v>9</v>
      </c>
      <c r="F17132" s="4" t="str">
        <f>HYPERLINK("http://141.218.60.56/~jnz1568/getInfo.php?workbook=10_05.xlsx&amp;sheet=U0&amp;row=17132&amp;col=6&amp;number=3.8&amp;sourceID=14","3.8")</f>
        <v>3.8</v>
      </c>
      <c r="G17132" s="4" t="str">
        <f>HYPERLINK("http://141.218.60.56/~jnz1568/getInfo.php?workbook=10_05.xlsx&amp;sheet=U0&amp;row=17132&amp;col=7&amp;number=0.0181&amp;sourceID=14","0.0181")</f>
        <v>0.0181</v>
      </c>
    </row>
    <row r="17133" spans="1:7">
      <c r="A17133" s="3"/>
      <c r="B17133" s="3"/>
      <c r="C17133" s="3"/>
      <c r="D17133" s="3"/>
      <c r="E17133" s="3">
        <v>10</v>
      </c>
      <c r="F17133" s="4" t="str">
        <f>HYPERLINK("http://141.218.60.56/~jnz1568/getInfo.php?workbook=10_05.xlsx&amp;sheet=U0&amp;row=17133&amp;col=6&amp;number=3.9&amp;sourceID=14","3.9")</f>
        <v>3.9</v>
      </c>
      <c r="G17133" s="4" t="str">
        <f>HYPERLINK("http://141.218.60.56/~jnz1568/getInfo.php?workbook=10_05.xlsx&amp;sheet=U0&amp;row=17133&amp;col=7&amp;number=0.018&amp;sourceID=14","0.018")</f>
        <v>0.018</v>
      </c>
    </row>
    <row r="17134" spans="1:7">
      <c r="A17134" s="3"/>
      <c r="B17134" s="3"/>
      <c r="C17134" s="3"/>
      <c r="D17134" s="3"/>
      <c r="E17134" s="3">
        <v>11</v>
      </c>
      <c r="F17134" s="4" t="str">
        <f>HYPERLINK("http://141.218.60.56/~jnz1568/getInfo.php?workbook=10_05.xlsx&amp;sheet=U0&amp;row=17134&amp;col=6&amp;number=4&amp;sourceID=14","4")</f>
        <v>4</v>
      </c>
      <c r="G17134" s="4" t="str">
        <f>HYPERLINK("http://141.218.60.56/~jnz1568/getInfo.php?workbook=10_05.xlsx&amp;sheet=U0&amp;row=17134&amp;col=7&amp;number=0.0179&amp;sourceID=14","0.0179")</f>
        <v>0.0179</v>
      </c>
    </row>
    <row r="17135" spans="1:7">
      <c r="A17135" s="3"/>
      <c r="B17135" s="3"/>
      <c r="C17135" s="3"/>
      <c r="D17135" s="3"/>
      <c r="E17135" s="3">
        <v>12</v>
      </c>
      <c r="F17135" s="4" t="str">
        <f>HYPERLINK("http://141.218.60.56/~jnz1568/getInfo.php?workbook=10_05.xlsx&amp;sheet=U0&amp;row=17135&amp;col=6&amp;number=4.1&amp;sourceID=14","4.1")</f>
        <v>4.1</v>
      </c>
      <c r="G17135" s="4" t="str">
        <f>HYPERLINK("http://141.218.60.56/~jnz1568/getInfo.php?workbook=10_05.xlsx&amp;sheet=U0&amp;row=17135&amp;col=7&amp;number=0.0177&amp;sourceID=14","0.0177")</f>
        <v>0.0177</v>
      </c>
    </row>
    <row r="17136" spans="1:7">
      <c r="A17136" s="3"/>
      <c r="B17136" s="3"/>
      <c r="C17136" s="3"/>
      <c r="D17136" s="3"/>
      <c r="E17136" s="3">
        <v>13</v>
      </c>
      <c r="F17136" s="4" t="str">
        <f>HYPERLINK("http://141.218.60.56/~jnz1568/getInfo.php?workbook=10_05.xlsx&amp;sheet=U0&amp;row=17136&amp;col=6&amp;number=4.2&amp;sourceID=14","4.2")</f>
        <v>4.2</v>
      </c>
      <c r="G17136" s="4" t="str">
        <f>HYPERLINK("http://141.218.60.56/~jnz1568/getInfo.php?workbook=10_05.xlsx&amp;sheet=U0&amp;row=17136&amp;col=7&amp;number=0.0176&amp;sourceID=14","0.0176")</f>
        <v>0.0176</v>
      </c>
    </row>
    <row r="17137" spans="1:7">
      <c r="A17137" s="3"/>
      <c r="B17137" s="3"/>
      <c r="C17137" s="3"/>
      <c r="D17137" s="3"/>
      <c r="E17137" s="3">
        <v>14</v>
      </c>
      <c r="F17137" s="4" t="str">
        <f>HYPERLINK("http://141.218.60.56/~jnz1568/getInfo.php?workbook=10_05.xlsx&amp;sheet=U0&amp;row=17137&amp;col=6&amp;number=4.3&amp;sourceID=14","4.3")</f>
        <v>4.3</v>
      </c>
      <c r="G17137" s="4" t="str">
        <f>HYPERLINK("http://141.218.60.56/~jnz1568/getInfo.php?workbook=10_05.xlsx&amp;sheet=U0&amp;row=17137&amp;col=7&amp;number=0.0174&amp;sourceID=14","0.0174")</f>
        <v>0.0174</v>
      </c>
    </row>
    <row r="17138" spans="1:7">
      <c r="A17138" s="3"/>
      <c r="B17138" s="3"/>
      <c r="C17138" s="3"/>
      <c r="D17138" s="3"/>
      <c r="E17138" s="3">
        <v>15</v>
      </c>
      <c r="F17138" s="4" t="str">
        <f>HYPERLINK("http://141.218.60.56/~jnz1568/getInfo.php?workbook=10_05.xlsx&amp;sheet=U0&amp;row=17138&amp;col=6&amp;number=4.4&amp;sourceID=14","4.4")</f>
        <v>4.4</v>
      </c>
      <c r="G17138" s="4" t="str">
        <f>HYPERLINK("http://141.218.60.56/~jnz1568/getInfo.php?workbook=10_05.xlsx&amp;sheet=U0&amp;row=17138&amp;col=7&amp;number=0.0172&amp;sourceID=14","0.0172")</f>
        <v>0.0172</v>
      </c>
    </row>
    <row r="17139" spans="1:7">
      <c r="A17139" s="3"/>
      <c r="B17139" s="3"/>
      <c r="C17139" s="3"/>
      <c r="D17139" s="3"/>
      <c r="E17139" s="3">
        <v>16</v>
      </c>
      <c r="F17139" s="4" t="str">
        <f>HYPERLINK("http://141.218.60.56/~jnz1568/getInfo.php?workbook=10_05.xlsx&amp;sheet=U0&amp;row=17139&amp;col=6&amp;number=4.5&amp;sourceID=14","4.5")</f>
        <v>4.5</v>
      </c>
      <c r="G17139" s="4" t="str">
        <f>HYPERLINK("http://141.218.60.56/~jnz1568/getInfo.php?workbook=10_05.xlsx&amp;sheet=U0&amp;row=17139&amp;col=7&amp;number=0.0171&amp;sourceID=14","0.0171")</f>
        <v>0.0171</v>
      </c>
    </row>
    <row r="17140" spans="1:7">
      <c r="A17140" s="3"/>
      <c r="B17140" s="3"/>
      <c r="C17140" s="3"/>
      <c r="D17140" s="3"/>
      <c r="E17140" s="3">
        <v>17</v>
      </c>
      <c r="F17140" s="4" t="str">
        <f>HYPERLINK("http://141.218.60.56/~jnz1568/getInfo.php?workbook=10_05.xlsx&amp;sheet=U0&amp;row=17140&amp;col=6&amp;number=4.6&amp;sourceID=14","4.6")</f>
        <v>4.6</v>
      </c>
      <c r="G17140" s="4" t="str">
        <f>HYPERLINK("http://141.218.60.56/~jnz1568/getInfo.php?workbook=10_05.xlsx&amp;sheet=U0&amp;row=17140&amp;col=7&amp;number=0.017&amp;sourceID=14","0.017")</f>
        <v>0.017</v>
      </c>
    </row>
    <row r="17141" spans="1:7">
      <c r="A17141" s="3"/>
      <c r="B17141" s="3"/>
      <c r="C17141" s="3"/>
      <c r="D17141" s="3"/>
      <c r="E17141" s="3">
        <v>18</v>
      </c>
      <c r="F17141" s="4" t="str">
        <f>HYPERLINK("http://141.218.60.56/~jnz1568/getInfo.php?workbook=10_05.xlsx&amp;sheet=U0&amp;row=17141&amp;col=6&amp;number=4.7&amp;sourceID=14","4.7")</f>
        <v>4.7</v>
      </c>
      <c r="G17141" s="4" t="str">
        <f>HYPERLINK("http://141.218.60.56/~jnz1568/getInfo.php?workbook=10_05.xlsx&amp;sheet=U0&amp;row=17141&amp;col=7&amp;number=0.0169&amp;sourceID=14","0.0169")</f>
        <v>0.0169</v>
      </c>
    </row>
    <row r="17142" spans="1:7">
      <c r="A17142" s="3"/>
      <c r="B17142" s="3"/>
      <c r="C17142" s="3"/>
      <c r="D17142" s="3"/>
      <c r="E17142" s="3">
        <v>19</v>
      </c>
      <c r="F17142" s="4" t="str">
        <f>HYPERLINK("http://141.218.60.56/~jnz1568/getInfo.php?workbook=10_05.xlsx&amp;sheet=U0&amp;row=17142&amp;col=6&amp;number=4.8&amp;sourceID=14","4.8")</f>
        <v>4.8</v>
      </c>
      <c r="G17142" s="4" t="str">
        <f>HYPERLINK("http://141.218.60.56/~jnz1568/getInfo.php?workbook=10_05.xlsx&amp;sheet=U0&amp;row=17142&amp;col=7&amp;number=0.0168&amp;sourceID=14","0.0168")</f>
        <v>0.0168</v>
      </c>
    </row>
    <row r="17143" spans="1:7">
      <c r="A17143" s="3"/>
      <c r="B17143" s="3"/>
      <c r="C17143" s="3"/>
      <c r="D17143" s="3"/>
      <c r="E17143" s="3">
        <v>20</v>
      </c>
      <c r="F17143" s="4" t="str">
        <f>HYPERLINK("http://141.218.60.56/~jnz1568/getInfo.php?workbook=10_05.xlsx&amp;sheet=U0&amp;row=17143&amp;col=6&amp;number=4.9&amp;sourceID=14","4.9")</f>
        <v>4.9</v>
      </c>
      <c r="G17143" s="4" t="str">
        <f>HYPERLINK("http://141.218.60.56/~jnz1568/getInfo.php?workbook=10_05.xlsx&amp;sheet=U0&amp;row=17143&amp;col=7&amp;number=0.0165&amp;sourceID=14","0.0165")</f>
        <v>0.0165</v>
      </c>
    </row>
    <row r="17144" spans="1:7">
      <c r="A17144" s="3">
        <v>10</v>
      </c>
      <c r="B17144" s="3">
        <v>5</v>
      </c>
      <c r="C17144" s="3">
        <v>5</v>
      </c>
      <c r="D17144" s="3">
        <v>153</v>
      </c>
      <c r="E17144" s="3">
        <v>1</v>
      </c>
      <c r="F17144" s="4" t="str">
        <f>HYPERLINK("http://141.218.60.56/~jnz1568/getInfo.php?workbook=10_05.xlsx&amp;sheet=U0&amp;row=17144&amp;col=6&amp;number=3&amp;sourceID=14","3")</f>
        <v>3</v>
      </c>
      <c r="G17144" s="4" t="str">
        <f>HYPERLINK("http://141.218.60.56/~jnz1568/getInfo.php?workbook=10_05.xlsx&amp;sheet=U0&amp;row=17144&amp;col=7&amp;number=0.0375&amp;sourceID=14","0.0375")</f>
        <v>0.0375</v>
      </c>
    </row>
    <row r="17145" spans="1:7">
      <c r="A17145" s="3"/>
      <c r="B17145" s="3"/>
      <c r="C17145" s="3"/>
      <c r="D17145" s="3"/>
      <c r="E17145" s="3">
        <v>2</v>
      </c>
      <c r="F17145" s="4" t="str">
        <f>HYPERLINK("http://141.218.60.56/~jnz1568/getInfo.php?workbook=10_05.xlsx&amp;sheet=U0&amp;row=17145&amp;col=6&amp;number=3.1&amp;sourceID=14","3.1")</f>
        <v>3.1</v>
      </c>
      <c r="G17145" s="4" t="str">
        <f>HYPERLINK("http://141.218.60.56/~jnz1568/getInfo.php?workbook=10_05.xlsx&amp;sheet=U0&amp;row=17145&amp;col=7&amp;number=0.0375&amp;sourceID=14","0.0375")</f>
        <v>0.0375</v>
      </c>
    </row>
    <row r="17146" spans="1:7">
      <c r="A17146" s="3"/>
      <c r="B17146" s="3"/>
      <c r="C17146" s="3"/>
      <c r="D17146" s="3"/>
      <c r="E17146" s="3">
        <v>3</v>
      </c>
      <c r="F17146" s="4" t="str">
        <f>HYPERLINK("http://141.218.60.56/~jnz1568/getInfo.php?workbook=10_05.xlsx&amp;sheet=U0&amp;row=17146&amp;col=6&amp;number=3.2&amp;sourceID=14","3.2")</f>
        <v>3.2</v>
      </c>
      <c r="G17146" s="4" t="str">
        <f>HYPERLINK("http://141.218.60.56/~jnz1568/getInfo.php?workbook=10_05.xlsx&amp;sheet=U0&amp;row=17146&amp;col=7&amp;number=0.0375&amp;sourceID=14","0.0375")</f>
        <v>0.0375</v>
      </c>
    </row>
    <row r="17147" spans="1:7">
      <c r="A17147" s="3"/>
      <c r="B17147" s="3"/>
      <c r="C17147" s="3"/>
      <c r="D17147" s="3"/>
      <c r="E17147" s="3">
        <v>4</v>
      </c>
      <c r="F17147" s="4" t="str">
        <f>HYPERLINK("http://141.218.60.56/~jnz1568/getInfo.php?workbook=10_05.xlsx&amp;sheet=U0&amp;row=17147&amp;col=6&amp;number=3.3&amp;sourceID=14","3.3")</f>
        <v>3.3</v>
      </c>
      <c r="G17147" s="4" t="str">
        <f>HYPERLINK("http://141.218.60.56/~jnz1568/getInfo.php?workbook=10_05.xlsx&amp;sheet=U0&amp;row=17147&amp;col=7&amp;number=0.0375&amp;sourceID=14","0.0375")</f>
        <v>0.0375</v>
      </c>
    </row>
    <row r="17148" spans="1:7">
      <c r="A17148" s="3"/>
      <c r="B17148" s="3"/>
      <c r="C17148" s="3"/>
      <c r="D17148" s="3"/>
      <c r="E17148" s="3">
        <v>5</v>
      </c>
      <c r="F17148" s="4" t="str">
        <f>HYPERLINK("http://141.218.60.56/~jnz1568/getInfo.php?workbook=10_05.xlsx&amp;sheet=U0&amp;row=17148&amp;col=6&amp;number=3.4&amp;sourceID=14","3.4")</f>
        <v>3.4</v>
      </c>
      <c r="G17148" s="4" t="str">
        <f>HYPERLINK("http://141.218.60.56/~jnz1568/getInfo.php?workbook=10_05.xlsx&amp;sheet=U0&amp;row=17148&amp;col=7&amp;number=0.0374&amp;sourceID=14","0.0374")</f>
        <v>0.0374</v>
      </c>
    </row>
    <row r="17149" spans="1:7">
      <c r="A17149" s="3"/>
      <c r="B17149" s="3"/>
      <c r="C17149" s="3"/>
      <c r="D17149" s="3"/>
      <c r="E17149" s="3">
        <v>6</v>
      </c>
      <c r="F17149" s="4" t="str">
        <f>HYPERLINK("http://141.218.60.56/~jnz1568/getInfo.php?workbook=10_05.xlsx&amp;sheet=U0&amp;row=17149&amp;col=6&amp;number=3.5&amp;sourceID=14","3.5")</f>
        <v>3.5</v>
      </c>
      <c r="G17149" s="4" t="str">
        <f>HYPERLINK("http://141.218.60.56/~jnz1568/getInfo.php?workbook=10_05.xlsx&amp;sheet=U0&amp;row=17149&amp;col=7&amp;number=0.0374&amp;sourceID=14","0.0374")</f>
        <v>0.0374</v>
      </c>
    </row>
    <row r="17150" spans="1:7">
      <c r="A17150" s="3"/>
      <c r="B17150" s="3"/>
      <c r="C17150" s="3"/>
      <c r="D17150" s="3"/>
      <c r="E17150" s="3">
        <v>7</v>
      </c>
      <c r="F17150" s="4" t="str">
        <f>HYPERLINK("http://141.218.60.56/~jnz1568/getInfo.php?workbook=10_05.xlsx&amp;sheet=U0&amp;row=17150&amp;col=6&amp;number=3.6&amp;sourceID=14","3.6")</f>
        <v>3.6</v>
      </c>
      <c r="G17150" s="4" t="str">
        <f>HYPERLINK("http://141.218.60.56/~jnz1568/getInfo.php?workbook=10_05.xlsx&amp;sheet=U0&amp;row=17150&amp;col=7&amp;number=0.0373&amp;sourceID=14","0.0373")</f>
        <v>0.0373</v>
      </c>
    </row>
    <row r="17151" spans="1:7">
      <c r="A17151" s="3"/>
      <c r="B17151" s="3"/>
      <c r="C17151" s="3"/>
      <c r="D17151" s="3"/>
      <c r="E17151" s="3">
        <v>8</v>
      </c>
      <c r="F17151" s="4" t="str">
        <f>HYPERLINK("http://141.218.60.56/~jnz1568/getInfo.php?workbook=10_05.xlsx&amp;sheet=U0&amp;row=17151&amp;col=6&amp;number=3.7&amp;sourceID=14","3.7")</f>
        <v>3.7</v>
      </c>
      <c r="G17151" s="4" t="str">
        <f>HYPERLINK("http://141.218.60.56/~jnz1568/getInfo.php?workbook=10_05.xlsx&amp;sheet=U0&amp;row=17151&amp;col=7&amp;number=0.0372&amp;sourceID=14","0.0372")</f>
        <v>0.0372</v>
      </c>
    </row>
    <row r="17152" spans="1:7">
      <c r="A17152" s="3"/>
      <c r="B17152" s="3"/>
      <c r="C17152" s="3"/>
      <c r="D17152" s="3"/>
      <c r="E17152" s="3">
        <v>9</v>
      </c>
      <c r="F17152" s="4" t="str">
        <f>HYPERLINK("http://141.218.60.56/~jnz1568/getInfo.php?workbook=10_05.xlsx&amp;sheet=U0&amp;row=17152&amp;col=6&amp;number=3.8&amp;sourceID=14","3.8")</f>
        <v>3.8</v>
      </c>
      <c r="G17152" s="4" t="str">
        <f>HYPERLINK("http://141.218.60.56/~jnz1568/getInfo.php?workbook=10_05.xlsx&amp;sheet=U0&amp;row=17152&amp;col=7&amp;number=0.0371&amp;sourceID=14","0.0371")</f>
        <v>0.0371</v>
      </c>
    </row>
    <row r="17153" spans="1:7">
      <c r="A17153" s="3"/>
      <c r="B17153" s="3"/>
      <c r="C17153" s="3"/>
      <c r="D17153" s="3"/>
      <c r="E17153" s="3">
        <v>10</v>
      </c>
      <c r="F17153" s="4" t="str">
        <f>HYPERLINK("http://141.218.60.56/~jnz1568/getInfo.php?workbook=10_05.xlsx&amp;sheet=U0&amp;row=17153&amp;col=6&amp;number=3.9&amp;sourceID=14","3.9")</f>
        <v>3.9</v>
      </c>
      <c r="G17153" s="4" t="str">
        <f>HYPERLINK("http://141.218.60.56/~jnz1568/getInfo.php?workbook=10_05.xlsx&amp;sheet=U0&amp;row=17153&amp;col=7&amp;number=0.037&amp;sourceID=14","0.037")</f>
        <v>0.037</v>
      </c>
    </row>
    <row r="17154" spans="1:7">
      <c r="A17154" s="3"/>
      <c r="B17154" s="3"/>
      <c r="C17154" s="3"/>
      <c r="D17154" s="3"/>
      <c r="E17154" s="3">
        <v>11</v>
      </c>
      <c r="F17154" s="4" t="str">
        <f>HYPERLINK("http://141.218.60.56/~jnz1568/getInfo.php?workbook=10_05.xlsx&amp;sheet=U0&amp;row=17154&amp;col=6&amp;number=4&amp;sourceID=14","4")</f>
        <v>4</v>
      </c>
      <c r="G17154" s="4" t="str">
        <f>HYPERLINK("http://141.218.60.56/~jnz1568/getInfo.php?workbook=10_05.xlsx&amp;sheet=U0&amp;row=17154&amp;col=7&amp;number=0.0369&amp;sourceID=14","0.0369")</f>
        <v>0.0369</v>
      </c>
    </row>
    <row r="17155" spans="1:7">
      <c r="A17155" s="3"/>
      <c r="B17155" s="3"/>
      <c r="C17155" s="3"/>
      <c r="D17155" s="3"/>
      <c r="E17155" s="3">
        <v>12</v>
      </c>
      <c r="F17155" s="4" t="str">
        <f>HYPERLINK("http://141.218.60.56/~jnz1568/getInfo.php?workbook=10_05.xlsx&amp;sheet=U0&amp;row=17155&amp;col=6&amp;number=4.1&amp;sourceID=14","4.1")</f>
        <v>4.1</v>
      </c>
      <c r="G17155" s="4" t="str">
        <f>HYPERLINK("http://141.218.60.56/~jnz1568/getInfo.php?workbook=10_05.xlsx&amp;sheet=U0&amp;row=17155&amp;col=7&amp;number=0.0367&amp;sourceID=14","0.0367")</f>
        <v>0.0367</v>
      </c>
    </row>
    <row r="17156" spans="1:7">
      <c r="A17156" s="3"/>
      <c r="B17156" s="3"/>
      <c r="C17156" s="3"/>
      <c r="D17156" s="3"/>
      <c r="E17156" s="3">
        <v>13</v>
      </c>
      <c r="F17156" s="4" t="str">
        <f>HYPERLINK("http://141.218.60.56/~jnz1568/getInfo.php?workbook=10_05.xlsx&amp;sheet=U0&amp;row=17156&amp;col=6&amp;number=4.2&amp;sourceID=14","4.2")</f>
        <v>4.2</v>
      </c>
      <c r="G17156" s="4" t="str">
        <f>HYPERLINK("http://141.218.60.56/~jnz1568/getInfo.php?workbook=10_05.xlsx&amp;sheet=U0&amp;row=17156&amp;col=7&amp;number=0.0365&amp;sourceID=14","0.0365")</f>
        <v>0.0365</v>
      </c>
    </row>
    <row r="17157" spans="1:7">
      <c r="A17157" s="3"/>
      <c r="B17157" s="3"/>
      <c r="C17157" s="3"/>
      <c r="D17157" s="3"/>
      <c r="E17157" s="3">
        <v>14</v>
      </c>
      <c r="F17157" s="4" t="str">
        <f>HYPERLINK("http://141.218.60.56/~jnz1568/getInfo.php?workbook=10_05.xlsx&amp;sheet=U0&amp;row=17157&amp;col=6&amp;number=4.3&amp;sourceID=14","4.3")</f>
        <v>4.3</v>
      </c>
      <c r="G17157" s="4" t="str">
        <f>HYPERLINK("http://141.218.60.56/~jnz1568/getInfo.php?workbook=10_05.xlsx&amp;sheet=U0&amp;row=17157&amp;col=7&amp;number=0.0363&amp;sourceID=14","0.0363")</f>
        <v>0.0363</v>
      </c>
    </row>
    <row r="17158" spans="1:7">
      <c r="A17158" s="3"/>
      <c r="B17158" s="3"/>
      <c r="C17158" s="3"/>
      <c r="D17158" s="3"/>
      <c r="E17158" s="3">
        <v>15</v>
      </c>
      <c r="F17158" s="4" t="str">
        <f>HYPERLINK("http://141.218.60.56/~jnz1568/getInfo.php?workbook=10_05.xlsx&amp;sheet=U0&amp;row=17158&amp;col=6&amp;number=4.4&amp;sourceID=14","4.4")</f>
        <v>4.4</v>
      </c>
      <c r="G17158" s="4" t="str">
        <f>HYPERLINK("http://141.218.60.56/~jnz1568/getInfo.php?workbook=10_05.xlsx&amp;sheet=U0&amp;row=17158&amp;col=7&amp;number=0.036&amp;sourceID=14","0.036")</f>
        <v>0.036</v>
      </c>
    </row>
    <row r="17159" spans="1:7">
      <c r="A17159" s="3"/>
      <c r="B17159" s="3"/>
      <c r="C17159" s="3"/>
      <c r="D17159" s="3"/>
      <c r="E17159" s="3">
        <v>16</v>
      </c>
      <c r="F17159" s="4" t="str">
        <f>HYPERLINK("http://141.218.60.56/~jnz1568/getInfo.php?workbook=10_05.xlsx&amp;sheet=U0&amp;row=17159&amp;col=6&amp;number=4.5&amp;sourceID=14","4.5")</f>
        <v>4.5</v>
      </c>
      <c r="G17159" s="4" t="str">
        <f>HYPERLINK("http://141.218.60.56/~jnz1568/getInfo.php?workbook=10_05.xlsx&amp;sheet=U0&amp;row=17159&amp;col=7&amp;number=0.0357&amp;sourceID=14","0.0357")</f>
        <v>0.0357</v>
      </c>
    </row>
    <row r="17160" spans="1:7">
      <c r="A17160" s="3"/>
      <c r="B17160" s="3"/>
      <c r="C17160" s="3"/>
      <c r="D17160" s="3"/>
      <c r="E17160" s="3">
        <v>17</v>
      </c>
      <c r="F17160" s="4" t="str">
        <f>HYPERLINK("http://141.218.60.56/~jnz1568/getInfo.php?workbook=10_05.xlsx&amp;sheet=U0&amp;row=17160&amp;col=6&amp;number=4.6&amp;sourceID=14","4.6")</f>
        <v>4.6</v>
      </c>
      <c r="G17160" s="4" t="str">
        <f>HYPERLINK("http://141.218.60.56/~jnz1568/getInfo.php?workbook=10_05.xlsx&amp;sheet=U0&amp;row=17160&amp;col=7&amp;number=0.0354&amp;sourceID=14","0.0354")</f>
        <v>0.0354</v>
      </c>
    </row>
    <row r="17161" spans="1:7">
      <c r="A17161" s="3"/>
      <c r="B17161" s="3"/>
      <c r="C17161" s="3"/>
      <c r="D17161" s="3"/>
      <c r="E17161" s="3">
        <v>18</v>
      </c>
      <c r="F17161" s="4" t="str">
        <f>HYPERLINK("http://141.218.60.56/~jnz1568/getInfo.php?workbook=10_05.xlsx&amp;sheet=U0&amp;row=17161&amp;col=6&amp;number=4.7&amp;sourceID=14","4.7")</f>
        <v>4.7</v>
      </c>
      <c r="G17161" s="4" t="str">
        <f>HYPERLINK("http://141.218.60.56/~jnz1568/getInfo.php?workbook=10_05.xlsx&amp;sheet=U0&amp;row=17161&amp;col=7&amp;number=0.0351&amp;sourceID=14","0.0351")</f>
        <v>0.0351</v>
      </c>
    </row>
    <row r="17162" spans="1:7">
      <c r="A17162" s="3"/>
      <c r="B17162" s="3"/>
      <c r="C17162" s="3"/>
      <c r="D17162" s="3"/>
      <c r="E17162" s="3">
        <v>19</v>
      </c>
      <c r="F17162" s="4" t="str">
        <f>HYPERLINK("http://141.218.60.56/~jnz1568/getInfo.php?workbook=10_05.xlsx&amp;sheet=U0&amp;row=17162&amp;col=6&amp;number=4.8&amp;sourceID=14","4.8")</f>
        <v>4.8</v>
      </c>
      <c r="G17162" s="4" t="str">
        <f>HYPERLINK("http://141.218.60.56/~jnz1568/getInfo.php?workbook=10_05.xlsx&amp;sheet=U0&amp;row=17162&amp;col=7&amp;number=0.0347&amp;sourceID=14","0.0347")</f>
        <v>0.0347</v>
      </c>
    </row>
    <row r="17163" spans="1:7">
      <c r="A17163" s="3"/>
      <c r="B17163" s="3"/>
      <c r="C17163" s="3"/>
      <c r="D17163" s="3"/>
      <c r="E17163" s="3">
        <v>20</v>
      </c>
      <c r="F17163" s="4" t="str">
        <f>HYPERLINK("http://141.218.60.56/~jnz1568/getInfo.php?workbook=10_05.xlsx&amp;sheet=U0&amp;row=17163&amp;col=6&amp;number=4.9&amp;sourceID=14","4.9")</f>
        <v>4.9</v>
      </c>
      <c r="G17163" s="4" t="str">
        <f>HYPERLINK("http://141.218.60.56/~jnz1568/getInfo.php?workbook=10_05.xlsx&amp;sheet=U0&amp;row=17163&amp;col=7&amp;number=0.0343&amp;sourceID=14","0.0343")</f>
        <v>0.0343</v>
      </c>
    </row>
    <row r="17164" spans="1:7">
      <c r="A17164" s="3">
        <v>10</v>
      </c>
      <c r="B17164" s="3">
        <v>5</v>
      </c>
      <c r="C17164" s="3">
        <v>5</v>
      </c>
      <c r="D17164" s="3">
        <v>154</v>
      </c>
      <c r="E17164" s="3">
        <v>1</v>
      </c>
      <c r="F17164" s="4" t="str">
        <f>HYPERLINK("http://141.218.60.56/~jnz1568/getInfo.php?workbook=10_05.xlsx&amp;sheet=U0&amp;row=17164&amp;col=6&amp;number=3&amp;sourceID=14","3")</f>
        <v>3</v>
      </c>
      <c r="G17164" s="4" t="str">
        <f>HYPERLINK("http://141.218.60.56/~jnz1568/getInfo.php?workbook=10_05.xlsx&amp;sheet=U0&amp;row=17164&amp;col=7&amp;number=0.00779&amp;sourceID=14","0.00779")</f>
        <v>0.00779</v>
      </c>
    </row>
    <row r="17165" spans="1:7">
      <c r="A17165" s="3"/>
      <c r="B17165" s="3"/>
      <c r="C17165" s="3"/>
      <c r="D17165" s="3"/>
      <c r="E17165" s="3">
        <v>2</v>
      </c>
      <c r="F17165" s="4" t="str">
        <f>HYPERLINK("http://141.218.60.56/~jnz1568/getInfo.php?workbook=10_05.xlsx&amp;sheet=U0&amp;row=17165&amp;col=6&amp;number=3.1&amp;sourceID=14","3.1")</f>
        <v>3.1</v>
      </c>
      <c r="G17165" s="4" t="str">
        <f>HYPERLINK("http://141.218.60.56/~jnz1568/getInfo.php?workbook=10_05.xlsx&amp;sheet=U0&amp;row=17165&amp;col=7&amp;number=0.00779&amp;sourceID=14","0.00779")</f>
        <v>0.00779</v>
      </c>
    </row>
    <row r="17166" spans="1:7">
      <c r="A17166" s="3"/>
      <c r="B17166" s="3"/>
      <c r="C17166" s="3"/>
      <c r="D17166" s="3"/>
      <c r="E17166" s="3">
        <v>3</v>
      </c>
      <c r="F17166" s="4" t="str">
        <f>HYPERLINK("http://141.218.60.56/~jnz1568/getInfo.php?workbook=10_05.xlsx&amp;sheet=U0&amp;row=17166&amp;col=6&amp;number=3.2&amp;sourceID=14","3.2")</f>
        <v>3.2</v>
      </c>
      <c r="G17166" s="4" t="str">
        <f>HYPERLINK("http://141.218.60.56/~jnz1568/getInfo.php?workbook=10_05.xlsx&amp;sheet=U0&amp;row=17166&amp;col=7&amp;number=0.00779&amp;sourceID=14","0.00779")</f>
        <v>0.00779</v>
      </c>
    </row>
    <row r="17167" spans="1:7">
      <c r="A17167" s="3"/>
      <c r="B17167" s="3"/>
      <c r="C17167" s="3"/>
      <c r="D17167" s="3"/>
      <c r="E17167" s="3">
        <v>4</v>
      </c>
      <c r="F17167" s="4" t="str">
        <f>HYPERLINK("http://141.218.60.56/~jnz1568/getInfo.php?workbook=10_05.xlsx&amp;sheet=U0&amp;row=17167&amp;col=6&amp;number=3.3&amp;sourceID=14","3.3")</f>
        <v>3.3</v>
      </c>
      <c r="G17167" s="4" t="str">
        <f>HYPERLINK("http://141.218.60.56/~jnz1568/getInfo.php?workbook=10_05.xlsx&amp;sheet=U0&amp;row=17167&amp;col=7&amp;number=0.0078&amp;sourceID=14","0.0078")</f>
        <v>0.0078</v>
      </c>
    </row>
    <row r="17168" spans="1:7">
      <c r="A17168" s="3"/>
      <c r="B17168" s="3"/>
      <c r="C17168" s="3"/>
      <c r="D17168" s="3"/>
      <c r="E17168" s="3">
        <v>5</v>
      </c>
      <c r="F17168" s="4" t="str">
        <f>HYPERLINK("http://141.218.60.56/~jnz1568/getInfo.php?workbook=10_05.xlsx&amp;sheet=U0&amp;row=17168&amp;col=6&amp;number=3.4&amp;sourceID=14","3.4")</f>
        <v>3.4</v>
      </c>
      <c r="G17168" s="4" t="str">
        <f>HYPERLINK("http://141.218.60.56/~jnz1568/getInfo.php?workbook=10_05.xlsx&amp;sheet=U0&amp;row=17168&amp;col=7&amp;number=0.00781&amp;sourceID=14","0.00781")</f>
        <v>0.00781</v>
      </c>
    </row>
    <row r="17169" spans="1:7">
      <c r="A17169" s="3"/>
      <c r="B17169" s="3"/>
      <c r="C17169" s="3"/>
      <c r="D17169" s="3"/>
      <c r="E17169" s="3">
        <v>6</v>
      </c>
      <c r="F17169" s="4" t="str">
        <f>HYPERLINK("http://141.218.60.56/~jnz1568/getInfo.php?workbook=10_05.xlsx&amp;sheet=U0&amp;row=17169&amp;col=6&amp;number=3.5&amp;sourceID=14","3.5")</f>
        <v>3.5</v>
      </c>
      <c r="G17169" s="4" t="str">
        <f>HYPERLINK("http://141.218.60.56/~jnz1568/getInfo.php?workbook=10_05.xlsx&amp;sheet=U0&amp;row=17169&amp;col=7&amp;number=0.00781&amp;sourceID=14","0.00781")</f>
        <v>0.00781</v>
      </c>
    </row>
    <row r="17170" spans="1:7">
      <c r="A17170" s="3"/>
      <c r="B17170" s="3"/>
      <c r="C17170" s="3"/>
      <c r="D17170" s="3"/>
      <c r="E17170" s="3">
        <v>7</v>
      </c>
      <c r="F17170" s="4" t="str">
        <f>HYPERLINK("http://141.218.60.56/~jnz1568/getInfo.php?workbook=10_05.xlsx&amp;sheet=U0&amp;row=17170&amp;col=6&amp;number=3.6&amp;sourceID=14","3.6")</f>
        <v>3.6</v>
      </c>
      <c r="G17170" s="4" t="str">
        <f>HYPERLINK("http://141.218.60.56/~jnz1568/getInfo.php?workbook=10_05.xlsx&amp;sheet=U0&amp;row=17170&amp;col=7&amp;number=0.00782&amp;sourceID=14","0.00782")</f>
        <v>0.00782</v>
      </c>
    </row>
    <row r="17171" spans="1:7">
      <c r="A17171" s="3"/>
      <c r="B17171" s="3"/>
      <c r="C17171" s="3"/>
      <c r="D17171" s="3"/>
      <c r="E17171" s="3">
        <v>8</v>
      </c>
      <c r="F17171" s="4" t="str">
        <f>HYPERLINK("http://141.218.60.56/~jnz1568/getInfo.php?workbook=10_05.xlsx&amp;sheet=U0&amp;row=17171&amp;col=6&amp;number=3.7&amp;sourceID=14","3.7")</f>
        <v>3.7</v>
      </c>
      <c r="G17171" s="4" t="str">
        <f>HYPERLINK("http://141.218.60.56/~jnz1568/getInfo.php?workbook=10_05.xlsx&amp;sheet=U0&amp;row=17171&amp;col=7&amp;number=0.00784&amp;sourceID=14","0.00784")</f>
        <v>0.00784</v>
      </c>
    </row>
    <row r="17172" spans="1:7">
      <c r="A17172" s="3"/>
      <c r="B17172" s="3"/>
      <c r="C17172" s="3"/>
      <c r="D17172" s="3"/>
      <c r="E17172" s="3">
        <v>9</v>
      </c>
      <c r="F17172" s="4" t="str">
        <f>HYPERLINK("http://141.218.60.56/~jnz1568/getInfo.php?workbook=10_05.xlsx&amp;sheet=U0&amp;row=17172&amp;col=6&amp;number=3.8&amp;sourceID=14","3.8")</f>
        <v>3.8</v>
      </c>
      <c r="G17172" s="4" t="str">
        <f>HYPERLINK("http://141.218.60.56/~jnz1568/getInfo.php?workbook=10_05.xlsx&amp;sheet=U0&amp;row=17172&amp;col=7&amp;number=0.00785&amp;sourceID=14","0.00785")</f>
        <v>0.00785</v>
      </c>
    </row>
    <row r="17173" spans="1:7">
      <c r="A17173" s="3"/>
      <c r="B17173" s="3"/>
      <c r="C17173" s="3"/>
      <c r="D17173" s="3"/>
      <c r="E17173" s="3">
        <v>10</v>
      </c>
      <c r="F17173" s="4" t="str">
        <f>HYPERLINK("http://141.218.60.56/~jnz1568/getInfo.php?workbook=10_05.xlsx&amp;sheet=U0&amp;row=17173&amp;col=6&amp;number=3.9&amp;sourceID=14","3.9")</f>
        <v>3.9</v>
      </c>
      <c r="G17173" s="4" t="str">
        <f>HYPERLINK("http://141.218.60.56/~jnz1568/getInfo.php?workbook=10_05.xlsx&amp;sheet=U0&amp;row=17173&amp;col=7&amp;number=0.00787&amp;sourceID=14","0.00787")</f>
        <v>0.00787</v>
      </c>
    </row>
    <row r="17174" spans="1:7">
      <c r="A17174" s="3"/>
      <c r="B17174" s="3"/>
      <c r="C17174" s="3"/>
      <c r="D17174" s="3"/>
      <c r="E17174" s="3">
        <v>11</v>
      </c>
      <c r="F17174" s="4" t="str">
        <f>HYPERLINK("http://141.218.60.56/~jnz1568/getInfo.php?workbook=10_05.xlsx&amp;sheet=U0&amp;row=17174&amp;col=6&amp;number=4&amp;sourceID=14","4")</f>
        <v>4</v>
      </c>
      <c r="G17174" s="4" t="str">
        <f>HYPERLINK("http://141.218.60.56/~jnz1568/getInfo.php?workbook=10_05.xlsx&amp;sheet=U0&amp;row=17174&amp;col=7&amp;number=0.00788&amp;sourceID=14","0.00788")</f>
        <v>0.00788</v>
      </c>
    </row>
    <row r="17175" spans="1:7">
      <c r="A17175" s="3"/>
      <c r="B17175" s="3"/>
      <c r="C17175" s="3"/>
      <c r="D17175" s="3"/>
      <c r="E17175" s="3">
        <v>12</v>
      </c>
      <c r="F17175" s="4" t="str">
        <f>HYPERLINK("http://141.218.60.56/~jnz1568/getInfo.php?workbook=10_05.xlsx&amp;sheet=U0&amp;row=17175&amp;col=6&amp;number=4.1&amp;sourceID=14","4.1")</f>
        <v>4.1</v>
      </c>
      <c r="G17175" s="4" t="str">
        <f>HYPERLINK("http://141.218.60.56/~jnz1568/getInfo.php?workbook=10_05.xlsx&amp;sheet=U0&amp;row=17175&amp;col=7&amp;number=0.0079&amp;sourceID=14","0.0079")</f>
        <v>0.0079</v>
      </c>
    </row>
    <row r="17176" spans="1:7">
      <c r="A17176" s="3"/>
      <c r="B17176" s="3"/>
      <c r="C17176" s="3"/>
      <c r="D17176" s="3"/>
      <c r="E17176" s="3">
        <v>13</v>
      </c>
      <c r="F17176" s="4" t="str">
        <f>HYPERLINK("http://141.218.60.56/~jnz1568/getInfo.php?workbook=10_05.xlsx&amp;sheet=U0&amp;row=17176&amp;col=6&amp;number=4.2&amp;sourceID=14","4.2")</f>
        <v>4.2</v>
      </c>
      <c r="G17176" s="4" t="str">
        <f>HYPERLINK("http://141.218.60.56/~jnz1568/getInfo.php?workbook=10_05.xlsx&amp;sheet=U0&amp;row=17176&amp;col=7&amp;number=0.00791&amp;sourceID=14","0.00791")</f>
        <v>0.00791</v>
      </c>
    </row>
    <row r="17177" spans="1:7">
      <c r="A17177" s="3"/>
      <c r="B17177" s="3"/>
      <c r="C17177" s="3"/>
      <c r="D17177" s="3"/>
      <c r="E17177" s="3">
        <v>14</v>
      </c>
      <c r="F17177" s="4" t="str">
        <f>HYPERLINK("http://141.218.60.56/~jnz1568/getInfo.php?workbook=10_05.xlsx&amp;sheet=U0&amp;row=17177&amp;col=6&amp;number=4.3&amp;sourceID=14","4.3")</f>
        <v>4.3</v>
      </c>
      <c r="G17177" s="4" t="str">
        <f>HYPERLINK("http://141.218.60.56/~jnz1568/getInfo.php?workbook=10_05.xlsx&amp;sheet=U0&amp;row=17177&amp;col=7&amp;number=0.00791&amp;sourceID=14","0.00791")</f>
        <v>0.00791</v>
      </c>
    </row>
    <row r="17178" spans="1:7">
      <c r="A17178" s="3"/>
      <c r="B17178" s="3"/>
      <c r="C17178" s="3"/>
      <c r="D17178" s="3"/>
      <c r="E17178" s="3">
        <v>15</v>
      </c>
      <c r="F17178" s="4" t="str">
        <f>HYPERLINK("http://141.218.60.56/~jnz1568/getInfo.php?workbook=10_05.xlsx&amp;sheet=U0&amp;row=17178&amp;col=6&amp;number=4.4&amp;sourceID=14","4.4")</f>
        <v>4.4</v>
      </c>
      <c r="G17178" s="4" t="str">
        <f>HYPERLINK("http://141.218.60.56/~jnz1568/getInfo.php?workbook=10_05.xlsx&amp;sheet=U0&amp;row=17178&amp;col=7&amp;number=0.00788&amp;sourceID=14","0.00788")</f>
        <v>0.00788</v>
      </c>
    </row>
    <row r="17179" spans="1:7">
      <c r="A17179" s="3"/>
      <c r="B17179" s="3"/>
      <c r="C17179" s="3"/>
      <c r="D17179" s="3"/>
      <c r="E17179" s="3">
        <v>16</v>
      </c>
      <c r="F17179" s="4" t="str">
        <f>HYPERLINK("http://141.218.60.56/~jnz1568/getInfo.php?workbook=10_05.xlsx&amp;sheet=U0&amp;row=17179&amp;col=6&amp;number=4.5&amp;sourceID=14","4.5")</f>
        <v>4.5</v>
      </c>
      <c r="G17179" s="4" t="str">
        <f>HYPERLINK("http://141.218.60.56/~jnz1568/getInfo.php?workbook=10_05.xlsx&amp;sheet=U0&amp;row=17179&amp;col=7&amp;number=0.00782&amp;sourceID=14","0.00782")</f>
        <v>0.00782</v>
      </c>
    </row>
    <row r="17180" spans="1:7">
      <c r="A17180" s="3"/>
      <c r="B17180" s="3"/>
      <c r="C17180" s="3"/>
      <c r="D17180" s="3"/>
      <c r="E17180" s="3">
        <v>17</v>
      </c>
      <c r="F17180" s="4" t="str">
        <f>HYPERLINK("http://141.218.60.56/~jnz1568/getInfo.php?workbook=10_05.xlsx&amp;sheet=U0&amp;row=17180&amp;col=6&amp;number=4.6&amp;sourceID=14","4.6")</f>
        <v>4.6</v>
      </c>
      <c r="G17180" s="4" t="str">
        <f>HYPERLINK("http://141.218.60.56/~jnz1568/getInfo.php?workbook=10_05.xlsx&amp;sheet=U0&amp;row=17180&amp;col=7&amp;number=0.00775&amp;sourceID=14","0.00775")</f>
        <v>0.00775</v>
      </c>
    </row>
    <row r="17181" spans="1:7">
      <c r="A17181" s="3"/>
      <c r="B17181" s="3"/>
      <c r="C17181" s="3"/>
      <c r="D17181" s="3"/>
      <c r="E17181" s="3">
        <v>18</v>
      </c>
      <c r="F17181" s="4" t="str">
        <f>HYPERLINK("http://141.218.60.56/~jnz1568/getInfo.php?workbook=10_05.xlsx&amp;sheet=U0&amp;row=17181&amp;col=6&amp;number=4.7&amp;sourceID=14","4.7")</f>
        <v>4.7</v>
      </c>
      <c r="G17181" s="4" t="str">
        <f>HYPERLINK("http://141.218.60.56/~jnz1568/getInfo.php?workbook=10_05.xlsx&amp;sheet=U0&amp;row=17181&amp;col=7&amp;number=0.00767&amp;sourceID=14","0.00767")</f>
        <v>0.00767</v>
      </c>
    </row>
    <row r="17182" spans="1:7">
      <c r="A17182" s="3"/>
      <c r="B17182" s="3"/>
      <c r="C17182" s="3"/>
      <c r="D17182" s="3"/>
      <c r="E17182" s="3">
        <v>19</v>
      </c>
      <c r="F17182" s="4" t="str">
        <f>HYPERLINK("http://141.218.60.56/~jnz1568/getInfo.php?workbook=10_05.xlsx&amp;sheet=U0&amp;row=17182&amp;col=6&amp;number=4.8&amp;sourceID=14","4.8")</f>
        <v>4.8</v>
      </c>
      <c r="G17182" s="4" t="str">
        <f>HYPERLINK("http://141.218.60.56/~jnz1568/getInfo.php?workbook=10_05.xlsx&amp;sheet=U0&amp;row=17182&amp;col=7&amp;number=0.00759&amp;sourceID=14","0.00759")</f>
        <v>0.00759</v>
      </c>
    </row>
    <row r="17183" spans="1:7">
      <c r="A17183" s="3"/>
      <c r="B17183" s="3"/>
      <c r="C17183" s="3"/>
      <c r="D17183" s="3"/>
      <c r="E17183" s="3">
        <v>20</v>
      </c>
      <c r="F17183" s="4" t="str">
        <f>HYPERLINK("http://141.218.60.56/~jnz1568/getInfo.php?workbook=10_05.xlsx&amp;sheet=U0&amp;row=17183&amp;col=6&amp;number=4.9&amp;sourceID=14","4.9")</f>
        <v>4.9</v>
      </c>
      <c r="G17183" s="4" t="str">
        <f>HYPERLINK("http://141.218.60.56/~jnz1568/getInfo.php?workbook=10_05.xlsx&amp;sheet=U0&amp;row=17183&amp;col=7&amp;number=0.0075&amp;sourceID=14","0.0075")</f>
        <v>0.0075</v>
      </c>
    </row>
    <row r="17184" spans="1:7">
      <c r="A17184" s="3">
        <v>10</v>
      </c>
      <c r="B17184" s="3">
        <v>5</v>
      </c>
      <c r="C17184" s="3">
        <v>5</v>
      </c>
      <c r="D17184" s="3">
        <v>155</v>
      </c>
      <c r="E17184" s="3">
        <v>1</v>
      </c>
      <c r="F17184" s="4" t="str">
        <f>HYPERLINK("http://141.218.60.56/~jnz1568/getInfo.php?workbook=10_05.xlsx&amp;sheet=U0&amp;row=17184&amp;col=6&amp;number=3&amp;sourceID=14","3")</f>
        <v>3</v>
      </c>
      <c r="G17184" s="4" t="str">
        <f>HYPERLINK("http://141.218.60.56/~jnz1568/getInfo.php?workbook=10_05.xlsx&amp;sheet=U0&amp;row=17184&amp;col=7&amp;number=0.00323&amp;sourceID=14","0.00323")</f>
        <v>0.00323</v>
      </c>
    </row>
    <row r="17185" spans="1:7">
      <c r="A17185" s="3"/>
      <c r="B17185" s="3"/>
      <c r="C17185" s="3"/>
      <c r="D17185" s="3"/>
      <c r="E17185" s="3">
        <v>2</v>
      </c>
      <c r="F17185" s="4" t="str">
        <f>HYPERLINK("http://141.218.60.56/~jnz1568/getInfo.php?workbook=10_05.xlsx&amp;sheet=U0&amp;row=17185&amp;col=6&amp;number=3.1&amp;sourceID=14","3.1")</f>
        <v>3.1</v>
      </c>
      <c r="G17185" s="4" t="str">
        <f>HYPERLINK("http://141.218.60.56/~jnz1568/getInfo.php?workbook=10_05.xlsx&amp;sheet=U0&amp;row=17185&amp;col=7&amp;number=0.00322&amp;sourceID=14","0.00322")</f>
        <v>0.00322</v>
      </c>
    </row>
    <row r="17186" spans="1:7">
      <c r="A17186" s="3"/>
      <c r="B17186" s="3"/>
      <c r="C17186" s="3"/>
      <c r="D17186" s="3"/>
      <c r="E17186" s="3">
        <v>3</v>
      </c>
      <c r="F17186" s="4" t="str">
        <f>HYPERLINK("http://141.218.60.56/~jnz1568/getInfo.php?workbook=10_05.xlsx&amp;sheet=U0&amp;row=17186&amp;col=6&amp;number=3.2&amp;sourceID=14","3.2")</f>
        <v>3.2</v>
      </c>
      <c r="G17186" s="4" t="str">
        <f>HYPERLINK("http://141.218.60.56/~jnz1568/getInfo.php?workbook=10_05.xlsx&amp;sheet=U0&amp;row=17186&amp;col=7&amp;number=0.00322&amp;sourceID=14","0.00322")</f>
        <v>0.00322</v>
      </c>
    </row>
    <row r="17187" spans="1:7">
      <c r="A17187" s="3"/>
      <c r="B17187" s="3"/>
      <c r="C17187" s="3"/>
      <c r="D17187" s="3"/>
      <c r="E17187" s="3">
        <v>4</v>
      </c>
      <c r="F17187" s="4" t="str">
        <f>HYPERLINK("http://141.218.60.56/~jnz1568/getInfo.php?workbook=10_05.xlsx&amp;sheet=U0&amp;row=17187&amp;col=6&amp;number=3.3&amp;sourceID=14","3.3")</f>
        <v>3.3</v>
      </c>
      <c r="G17187" s="4" t="str">
        <f>HYPERLINK("http://141.218.60.56/~jnz1568/getInfo.php?workbook=10_05.xlsx&amp;sheet=U0&amp;row=17187&amp;col=7&amp;number=0.00322&amp;sourceID=14","0.00322")</f>
        <v>0.00322</v>
      </c>
    </row>
    <row r="17188" spans="1:7">
      <c r="A17188" s="3"/>
      <c r="B17188" s="3"/>
      <c r="C17188" s="3"/>
      <c r="D17188" s="3"/>
      <c r="E17188" s="3">
        <v>5</v>
      </c>
      <c r="F17188" s="4" t="str">
        <f>HYPERLINK("http://141.218.60.56/~jnz1568/getInfo.php?workbook=10_05.xlsx&amp;sheet=U0&amp;row=17188&amp;col=6&amp;number=3.4&amp;sourceID=14","3.4")</f>
        <v>3.4</v>
      </c>
      <c r="G17188" s="4" t="str">
        <f>HYPERLINK("http://141.218.60.56/~jnz1568/getInfo.php?workbook=10_05.xlsx&amp;sheet=U0&amp;row=17188&amp;col=7&amp;number=0.00322&amp;sourceID=14","0.00322")</f>
        <v>0.00322</v>
      </c>
    </row>
    <row r="17189" spans="1:7">
      <c r="A17189" s="3"/>
      <c r="B17189" s="3"/>
      <c r="C17189" s="3"/>
      <c r="D17189" s="3"/>
      <c r="E17189" s="3">
        <v>6</v>
      </c>
      <c r="F17189" s="4" t="str">
        <f>HYPERLINK("http://141.218.60.56/~jnz1568/getInfo.php?workbook=10_05.xlsx&amp;sheet=U0&amp;row=17189&amp;col=6&amp;number=3.5&amp;sourceID=14","3.5")</f>
        <v>3.5</v>
      </c>
      <c r="G17189" s="4" t="str">
        <f>HYPERLINK("http://141.218.60.56/~jnz1568/getInfo.php?workbook=10_05.xlsx&amp;sheet=U0&amp;row=17189&amp;col=7&amp;number=0.00321&amp;sourceID=14","0.00321")</f>
        <v>0.00321</v>
      </c>
    </row>
    <row r="17190" spans="1:7">
      <c r="A17190" s="3"/>
      <c r="B17190" s="3"/>
      <c r="C17190" s="3"/>
      <c r="D17190" s="3"/>
      <c r="E17190" s="3">
        <v>7</v>
      </c>
      <c r="F17190" s="4" t="str">
        <f>HYPERLINK("http://141.218.60.56/~jnz1568/getInfo.php?workbook=10_05.xlsx&amp;sheet=U0&amp;row=17190&amp;col=6&amp;number=3.6&amp;sourceID=14","3.6")</f>
        <v>3.6</v>
      </c>
      <c r="G17190" s="4" t="str">
        <f>HYPERLINK("http://141.218.60.56/~jnz1568/getInfo.php?workbook=10_05.xlsx&amp;sheet=U0&amp;row=17190&amp;col=7&amp;number=0.00321&amp;sourceID=14","0.00321")</f>
        <v>0.00321</v>
      </c>
    </row>
    <row r="17191" spans="1:7">
      <c r="A17191" s="3"/>
      <c r="B17191" s="3"/>
      <c r="C17191" s="3"/>
      <c r="D17191" s="3"/>
      <c r="E17191" s="3">
        <v>8</v>
      </c>
      <c r="F17191" s="4" t="str">
        <f>HYPERLINK("http://141.218.60.56/~jnz1568/getInfo.php?workbook=10_05.xlsx&amp;sheet=U0&amp;row=17191&amp;col=6&amp;number=3.7&amp;sourceID=14","3.7")</f>
        <v>3.7</v>
      </c>
      <c r="G17191" s="4" t="str">
        <f>HYPERLINK("http://141.218.60.56/~jnz1568/getInfo.php?workbook=10_05.xlsx&amp;sheet=U0&amp;row=17191&amp;col=7&amp;number=0.0032&amp;sourceID=14","0.0032")</f>
        <v>0.0032</v>
      </c>
    </row>
    <row r="17192" spans="1:7">
      <c r="A17192" s="3"/>
      <c r="B17192" s="3"/>
      <c r="C17192" s="3"/>
      <c r="D17192" s="3"/>
      <c r="E17192" s="3">
        <v>9</v>
      </c>
      <c r="F17192" s="4" t="str">
        <f>HYPERLINK("http://141.218.60.56/~jnz1568/getInfo.php?workbook=10_05.xlsx&amp;sheet=U0&amp;row=17192&amp;col=6&amp;number=3.8&amp;sourceID=14","3.8")</f>
        <v>3.8</v>
      </c>
      <c r="G17192" s="4" t="str">
        <f>HYPERLINK("http://141.218.60.56/~jnz1568/getInfo.php?workbook=10_05.xlsx&amp;sheet=U0&amp;row=17192&amp;col=7&amp;number=0.00319&amp;sourceID=14","0.00319")</f>
        <v>0.00319</v>
      </c>
    </row>
    <row r="17193" spans="1:7">
      <c r="A17193" s="3"/>
      <c r="B17193" s="3"/>
      <c r="C17193" s="3"/>
      <c r="D17193" s="3"/>
      <c r="E17193" s="3">
        <v>10</v>
      </c>
      <c r="F17193" s="4" t="str">
        <f>HYPERLINK("http://141.218.60.56/~jnz1568/getInfo.php?workbook=10_05.xlsx&amp;sheet=U0&amp;row=17193&amp;col=6&amp;number=3.9&amp;sourceID=14","3.9")</f>
        <v>3.9</v>
      </c>
      <c r="G17193" s="4" t="str">
        <f>HYPERLINK("http://141.218.60.56/~jnz1568/getInfo.php?workbook=10_05.xlsx&amp;sheet=U0&amp;row=17193&amp;col=7&amp;number=0.00318&amp;sourceID=14","0.00318")</f>
        <v>0.00318</v>
      </c>
    </row>
    <row r="17194" spans="1:7">
      <c r="A17194" s="3"/>
      <c r="B17194" s="3"/>
      <c r="C17194" s="3"/>
      <c r="D17194" s="3"/>
      <c r="E17194" s="3">
        <v>11</v>
      </c>
      <c r="F17194" s="4" t="str">
        <f>HYPERLINK("http://141.218.60.56/~jnz1568/getInfo.php?workbook=10_05.xlsx&amp;sheet=U0&amp;row=17194&amp;col=6&amp;number=4&amp;sourceID=14","4")</f>
        <v>4</v>
      </c>
      <c r="G17194" s="4" t="str">
        <f>HYPERLINK("http://141.218.60.56/~jnz1568/getInfo.php?workbook=10_05.xlsx&amp;sheet=U0&amp;row=17194&amp;col=7&amp;number=0.00317&amp;sourceID=14","0.00317")</f>
        <v>0.00317</v>
      </c>
    </row>
    <row r="17195" spans="1:7">
      <c r="A17195" s="3"/>
      <c r="B17195" s="3"/>
      <c r="C17195" s="3"/>
      <c r="D17195" s="3"/>
      <c r="E17195" s="3">
        <v>12</v>
      </c>
      <c r="F17195" s="4" t="str">
        <f>HYPERLINK("http://141.218.60.56/~jnz1568/getInfo.php?workbook=10_05.xlsx&amp;sheet=U0&amp;row=17195&amp;col=6&amp;number=4.1&amp;sourceID=14","4.1")</f>
        <v>4.1</v>
      </c>
      <c r="G17195" s="4" t="str">
        <f>HYPERLINK("http://141.218.60.56/~jnz1568/getInfo.php?workbook=10_05.xlsx&amp;sheet=U0&amp;row=17195&amp;col=7&amp;number=0.00316&amp;sourceID=14","0.00316")</f>
        <v>0.00316</v>
      </c>
    </row>
    <row r="17196" spans="1:7">
      <c r="A17196" s="3"/>
      <c r="B17196" s="3"/>
      <c r="C17196" s="3"/>
      <c r="D17196" s="3"/>
      <c r="E17196" s="3">
        <v>13</v>
      </c>
      <c r="F17196" s="4" t="str">
        <f>HYPERLINK("http://141.218.60.56/~jnz1568/getInfo.php?workbook=10_05.xlsx&amp;sheet=U0&amp;row=17196&amp;col=6&amp;number=4.2&amp;sourceID=14","4.2")</f>
        <v>4.2</v>
      </c>
      <c r="G17196" s="4" t="str">
        <f>HYPERLINK("http://141.218.60.56/~jnz1568/getInfo.php?workbook=10_05.xlsx&amp;sheet=U0&amp;row=17196&amp;col=7&amp;number=0.00314&amp;sourceID=14","0.00314")</f>
        <v>0.00314</v>
      </c>
    </row>
    <row r="17197" spans="1:7">
      <c r="A17197" s="3"/>
      <c r="B17197" s="3"/>
      <c r="C17197" s="3"/>
      <c r="D17197" s="3"/>
      <c r="E17197" s="3">
        <v>14</v>
      </c>
      <c r="F17197" s="4" t="str">
        <f>HYPERLINK("http://141.218.60.56/~jnz1568/getInfo.php?workbook=10_05.xlsx&amp;sheet=U0&amp;row=17197&amp;col=6&amp;number=4.3&amp;sourceID=14","4.3")</f>
        <v>4.3</v>
      </c>
      <c r="G17197" s="4" t="str">
        <f>HYPERLINK("http://141.218.60.56/~jnz1568/getInfo.php?workbook=10_05.xlsx&amp;sheet=U0&amp;row=17197&amp;col=7&amp;number=0.00313&amp;sourceID=14","0.00313")</f>
        <v>0.00313</v>
      </c>
    </row>
    <row r="17198" spans="1:7">
      <c r="A17198" s="3"/>
      <c r="B17198" s="3"/>
      <c r="C17198" s="3"/>
      <c r="D17198" s="3"/>
      <c r="E17198" s="3">
        <v>15</v>
      </c>
      <c r="F17198" s="4" t="str">
        <f>HYPERLINK("http://141.218.60.56/~jnz1568/getInfo.php?workbook=10_05.xlsx&amp;sheet=U0&amp;row=17198&amp;col=6&amp;number=4.4&amp;sourceID=14","4.4")</f>
        <v>4.4</v>
      </c>
      <c r="G17198" s="4" t="str">
        <f>HYPERLINK("http://141.218.60.56/~jnz1568/getInfo.php?workbook=10_05.xlsx&amp;sheet=U0&amp;row=17198&amp;col=7&amp;number=0.00311&amp;sourceID=14","0.00311")</f>
        <v>0.00311</v>
      </c>
    </row>
    <row r="17199" spans="1:7">
      <c r="A17199" s="3"/>
      <c r="B17199" s="3"/>
      <c r="C17199" s="3"/>
      <c r="D17199" s="3"/>
      <c r="E17199" s="3">
        <v>16</v>
      </c>
      <c r="F17199" s="4" t="str">
        <f>HYPERLINK("http://141.218.60.56/~jnz1568/getInfo.php?workbook=10_05.xlsx&amp;sheet=U0&amp;row=17199&amp;col=6&amp;number=4.5&amp;sourceID=14","4.5")</f>
        <v>4.5</v>
      </c>
      <c r="G17199" s="4" t="str">
        <f>HYPERLINK("http://141.218.60.56/~jnz1568/getInfo.php?workbook=10_05.xlsx&amp;sheet=U0&amp;row=17199&amp;col=7&amp;number=0.00309&amp;sourceID=14","0.00309")</f>
        <v>0.00309</v>
      </c>
    </row>
    <row r="17200" spans="1:7">
      <c r="A17200" s="3"/>
      <c r="B17200" s="3"/>
      <c r="C17200" s="3"/>
      <c r="D17200" s="3"/>
      <c r="E17200" s="3">
        <v>17</v>
      </c>
      <c r="F17200" s="4" t="str">
        <f>HYPERLINK("http://141.218.60.56/~jnz1568/getInfo.php?workbook=10_05.xlsx&amp;sheet=U0&amp;row=17200&amp;col=6&amp;number=4.6&amp;sourceID=14","4.6")</f>
        <v>4.6</v>
      </c>
      <c r="G17200" s="4" t="str">
        <f>HYPERLINK("http://141.218.60.56/~jnz1568/getInfo.php?workbook=10_05.xlsx&amp;sheet=U0&amp;row=17200&amp;col=7&amp;number=0.00307&amp;sourceID=14","0.00307")</f>
        <v>0.00307</v>
      </c>
    </row>
    <row r="17201" spans="1:7">
      <c r="A17201" s="3"/>
      <c r="B17201" s="3"/>
      <c r="C17201" s="3"/>
      <c r="D17201" s="3"/>
      <c r="E17201" s="3">
        <v>18</v>
      </c>
      <c r="F17201" s="4" t="str">
        <f>HYPERLINK("http://141.218.60.56/~jnz1568/getInfo.php?workbook=10_05.xlsx&amp;sheet=U0&amp;row=17201&amp;col=6&amp;number=4.7&amp;sourceID=14","4.7")</f>
        <v>4.7</v>
      </c>
      <c r="G17201" s="4" t="str">
        <f>HYPERLINK("http://141.218.60.56/~jnz1568/getInfo.php?workbook=10_05.xlsx&amp;sheet=U0&amp;row=17201&amp;col=7&amp;number=0.00304&amp;sourceID=14","0.00304")</f>
        <v>0.00304</v>
      </c>
    </row>
    <row r="17202" spans="1:7">
      <c r="A17202" s="3"/>
      <c r="B17202" s="3"/>
      <c r="C17202" s="3"/>
      <c r="D17202" s="3"/>
      <c r="E17202" s="3">
        <v>19</v>
      </c>
      <c r="F17202" s="4" t="str">
        <f>HYPERLINK("http://141.218.60.56/~jnz1568/getInfo.php?workbook=10_05.xlsx&amp;sheet=U0&amp;row=17202&amp;col=6&amp;number=4.8&amp;sourceID=14","4.8")</f>
        <v>4.8</v>
      </c>
      <c r="G17202" s="4" t="str">
        <f>HYPERLINK("http://141.218.60.56/~jnz1568/getInfo.php?workbook=10_05.xlsx&amp;sheet=U0&amp;row=17202&amp;col=7&amp;number=0.00301&amp;sourceID=14","0.00301")</f>
        <v>0.00301</v>
      </c>
    </row>
    <row r="17203" spans="1:7">
      <c r="A17203" s="3"/>
      <c r="B17203" s="3"/>
      <c r="C17203" s="3"/>
      <c r="D17203" s="3"/>
      <c r="E17203" s="3">
        <v>20</v>
      </c>
      <c r="F17203" s="4" t="str">
        <f>HYPERLINK("http://141.218.60.56/~jnz1568/getInfo.php?workbook=10_05.xlsx&amp;sheet=U0&amp;row=17203&amp;col=6&amp;number=4.9&amp;sourceID=14","4.9")</f>
        <v>4.9</v>
      </c>
      <c r="G17203" s="4" t="str">
        <f>HYPERLINK("http://141.218.60.56/~jnz1568/getInfo.php?workbook=10_05.xlsx&amp;sheet=U0&amp;row=17203&amp;col=7&amp;number=0.00296&amp;sourceID=14","0.00296")</f>
        <v>0.00296</v>
      </c>
    </row>
    <row r="17204" spans="1:7">
      <c r="A17204" s="3">
        <v>10</v>
      </c>
      <c r="B17204" s="3">
        <v>5</v>
      </c>
      <c r="C17204" s="3">
        <v>5</v>
      </c>
      <c r="D17204" s="3">
        <v>156</v>
      </c>
      <c r="E17204" s="3">
        <v>1</v>
      </c>
      <c r="F17204" s="4" t="str">
        <f>HYPERLINK("http://141.218.60.56/~jnz1568/getInfo.php?workbook=10_05.xlsx&amp;sheet=U0&amp;row=17204&amp;col=6&amp;number=3&amp;sourceID=14","3")</f>
        <v>3</v>
      </c>
      <c r="G17204" s="4" t="str">
        <f>HYPERLINK("http://141.218.60.56/~jnz1568/getInfo.php?workbook=10_05.xlsx&amp;sheet=U0&amp;row=17204&amp;col=7&amp;number=0.00736&amp;sourceID=14","0.00736")</f>
        <v>0.00736</v>
      </c>
    </row>
    <row r="17205" spans="1:7">
      <c r="A17205" s="3"/>
      <c r="B17205" s="3"/>
      <c r="C17205" s="3"/>
      <c r="D17205" s="3"/>
      <c r="E17205" s="3">
        <v>2</v>
      </c>
      <c r="F17205" s="4" t="str">
        <f>HYPERLINK("http://141.218.60.56/~jnz1568/getInfo.php?workbook=10_05.xlsx&amp;sheet=U0&amp;row=17205&amp;col=6&amp;number=3.1&amp;sourceID=14","3.1")</f>
        <v>3.1</v>
      </c>
      <c r="G17205" s="4" t="str">
        <f>HYPERLINK("http://141.218.60.56/~jnz1568/getInfo.php?workbook=10_05.xlsx&amp;sheet=U0&amp;row=17205&amp;col=7&amp;number=0.00736&amp;sourceID=14","0.00736")</f>
        <v>0.00736</v>
      </c>
    </row>
    <row r="17206" spans="1:7">
      <c r="A17206" s="3"/>
      <c r="B17206" s="3"/>
      <c r="C17206" s="3"/>
      <c r="D17206" s="3"/>
      <c r="E17206" s="3">
        <v>3</v>
      </c>
      <c r="F17206" s="4" t="str">
        <f>HYPERLINK("http://141.218.60.56/~jnz1568/getInfo.php?workbook=10_05.xlsx&amp;sheet=U0&amp;row=17206&amp;col=6&amp;number=3.2&amp;sourceID=14","3.2")</f>
        <v>3.2</v>
      </c>
      <c r="G17206" s="4" t="str">
        <f>HYPERLINK("http://141.218.60.56/~jnz1568/getInfo.php?workbook=10_05.xlsx&amp;sheet=U0&amp;row=17206&amp;col=7&amp;number=0.00736&amp;sourceID=14","0.00736")</f>
        <v>0.00736</v>
      </c>
    </row>
    <row r="17207" spans="1:7">
      <c r="A17207" s="3"/>
      <c r="B17207" s="3"/>
      <c r="C17207" s="3"/>
      <c r="D17207" s="3"/>
      <c r="E17207" s="3">
        <v>4</v>
      </c>
      <c r="F17207" s="4" t="str">
        <f>HYPERLINK("http://141.218.60.56/~jnz1568/getInfo.php?workbook=10_05.xlsx&amp;sheet=U0&amp;row=17207&amp;col=6&amp;number=3.3&amp;sourceID=14","3.3")</f>
        <v>3.3</v>
      </c>
      <c r="G17207" s="4" t="str">
        <f>HYPERLINK("http://141.218.60.56/~jnz1568/getInfo.php?workbook=10_05.xlsx&amp;sheet=U0&amp;row=17207&amp;col=7&amp;number=0.00736&amp;sourceID=14","0.00736")</f>
        <v>0.00736</v>
      </c>
    </row>
    <row r="17208" spans="1:7">
      <c r="A17208" s="3"/>
      <c r="B17208" s="3"/>
      <c r="C17208" s="3"/>
      <c r="D17208" s="3"/>
      <c r="E17208" s="3">
        <v>5</v>
      </c>
      <c r="F17208" s="4" t="str">
        <f>HYPERLINK("http://141.218.60.56/~jnz1568/getInfo.php?workbook=10_05.xlsx&amp;sheet=U0&amp;row=17208&amp;col=6&amp;number=3.4&amp;sourceID=14","3.4")</f>
        <v>3.4</v>
      </c>
      <c r="G17208" s="4" t="str">
        <f>HYPERLINK("http://141.218.60.56/~jnz1568/getInfo.php?workbook=10_05.xlsx&amp;sheet=U0&amp;row=17208&amp;col=7&amp;number=0.00736&amp;sourceID=14","0.00736")</f>
        <v>0.00736</v>
      </c>
    </row>
    <row r="17209" spans="1:7">
      <c r="A17209" s="3"/>
      <c r="B17209" s="3"/>
      <c r="C17209" s="3"/>
      <c r="D17209" s="3"/>
      <c r="E17209" s="3">
        <v>6</v>
      </c>
      <c r="F17209" s="4" t="str">
        <f>HYPERLINK("http://141.218.60.56/~jnz1568/getInfo.php?workbook=10_05.xlsx&amp;sheet=U0&amp;row=17209&amp;col=6&amp;number=3.5&amp;sourceID=14","3.5")</f>
        <v>3.5</v>
      </c>
      <c r="G17209" s="4" t="str">
        <f>HYPERLINK("http://141.218.60.56/~jnz1568/getInfo.php?workbook=10_05.xlsx&amp;sheet=U0&amp;row=17209&amp;col=7&amp;number=0.00737&amp;sourceID=14","0.00737")</f>
        <v>0.00737</v>
      </c>
    </row>
    <row r="17210" spans="1:7">
      <c r="A17210" s="3"/>
      <c r="B17210" s="3"/>
      <c r="C17210" s="3"/>
      <c r="D17210" s="3"/>
      <c r="E17210" s="3">
        <v>7</v>
      </c>
      <c r="F17210" s="4" t="str">
        <f>HYPERLINK("http://141.218.60.56/~jnz1568/getInfo.php?workbook=10_05.xlsx&amp;sheet=U0&amp;row=17210&amp;col=6&amp;number=3.6&amp;sourceID=14","3.6")</f>
        <v>3.6</v>
      </c>
      <c r="G17210" s="4" t="str">
        <f>HYPERLINK("http://141.218.60.56/~jnz1568/getInfo.php?workbook=10_05.xlsx&amp;sheet=U0&amp;row=17210&amp;col=7&amp;number=0.00737&amp;sourceID=14","0.00737")</f>
        <v>0.00737</v>
      </c>
    </row>
    <row r="17211" spans="1:7">
      <c r="A17211" s="3"/>
      <c r="B17211" s="3"/>
      <c r="C17211" s="3"/>
      <c r="D17211" s="3"/>
      <c r="E17211" s="3">
        <v>8</v>
      </c>
      <c r="F17211" s="4" t="str">
        <f>HYPERLINK("http://141.218.60.56/~jnz1568/getInfo.php?workbook=10_05.xlsx&amp;sheet=U0&amp;row=17211&amp;col=6&amp;number=3.7&amp;sourceID=14","3.7")</f>
        <v>3.7</v>
      </c>
      <c r="G17211" s="4" t="str">
        <f>HYPERLINK("http://141.218.60.56/~jnz1568/getInfo.php?workbook=10_05.xlsx&amp;sheet=U0&amp;row=17211&amp;col=7&amp;number=0.00738&amp;sourceID=14","0.00738")</f>
        <v>0.00738</v>
      </c>
    </row>
    <row r="17212" spans="1:7">
      <c r="A17212" s="3"/>
      <c r="B17212" s="3"/>
      <c r="C17212" s="3"/>
      <c r="D17212" s="3"/>
      <c r="E17212" s="3">
        <v>9</v>
      </c>
      <c r="F17212" s="4" t="str">
        <f>HYPERLINK("http://141.218.60.56/~jnz1568/getInfo.php?workbook=10_05.xlsx&amp;sheet=U0&amp;row=17212&amp;col=6&amp;number=3.8&amp;sourceID=14","3.8")</f>
        <v>3.8</v>
      </c>
      <c r="G17212" s="4" t="str">
        <f>HYPERLINK("http://141.218.60.56/~jnz1568/getInfo.php?workbook=10_05.xlsx&amp;sheet=U0&amp;row=17212&amp;col=7&amp;number=0.00738&amp;sourceID=14","0.00738")</f>
        <v>0.00738</v>
      </c>
    </row>
    <row r="17213" spans="1:7">
      <c r="A17213" s="3"/>
      <c r="B17213" s="3"/>
      <c r="C17213" s="3"/>
      <c r="D17213" s="3"/>
      <c r="E17213" s="3">
        <v>10</v>
      </c>
      <c r="F17213" s="4" t="str">
        <f>HYPERLINK("http://141.218.60.56/~jnz1568/getInfo.php?workbook=10_05.xlsx&amp;sheet=U0&amp;row=17213&amp;col=6&amp;number=3.9&amp;sourceID=14","3.9")</f>
        <v>3.9</v>
      </c>
      <c r="G17213" s="4" t="str">
        <f>HYPERLINK("http://141.218.60.56/~jnz1568/getInfo.php?workbook=10_05.xlsx&amp;sheet=U0&amp;row=17213&amp;col=7&amp;number=0.00739&amp;sourceID=14","0.00739")</f>
        <v>0.00739</v>
      </c>
    </row>
    <row r="17214" spans="1:7">
      <c r="A17214" s="3"/>
      <c r="B17214" s="3"/>
      <c r="C17214" s="3"/>
      <c r="D17214" s="3"/>
      <c r="E17214" s="3">
        <v>11</v>
      </c>
      <c r="F17214" s="4" t="str">
        <f>HYPERLINK("http://141.218.60.56/~jnz1568/getInfo.php?workbook=10_05.xlsx&amp;sheet=U0&amp;row=17214&amp;col=6&amp;number=4&amp;sourceID=14","4")</f>
        <v>4</v>
      </c>
      <c r="G17214" s="4" t="str">
        <f>HYPERLINK("http://141.218.60.56/~jnz1568/getInfo.php?workbook=10_05.xlsx&amp;sheet=U0&amp;row=17214&amp;col=7&amp;number=0.00739&amp;sourceID=14","0.00739")</f>
        <v>0.00739</v>
      </c>
    </row>
    <row r="17215" spans="1:7">
      <c r="A17215" s="3"/>
      <c r="B17215" s="3"/>
      <c r="C17215" s="3"/>
      <c r="D17215" s="3"/>
      <c r="E17215" s="3">
        <v>12</v>
      </c>
      <c r="F17215" s="4" t="str">
        <f>HYPERLINK("http://141.218.60.56/~jnz1568/getInfo.php?workbook=10_05.xlsx&amp;sheet=U0&amp;row=17215&amp;col=6&amp;number=4.1&amp;sourceID=14","4.1")</f>
        <v>4.1</v>
      </c>
      <c r="G17215" s="4" t="str">
        <f>HYPERLINK("http://141.218.60.56/~jnz1568/getInfo.php?workbook=10_05.xlsx&amp;sheet=U0&amp;row=17215&amp;col=7&amp;number=0.0074&amp;sourceID=14","0.0074")</f>
        <v>0.0074</v>
      </c>
    </row>
    <row r="17216" spans="1:7">
      <c r="A17216" s="3"/>
      <c r="B17216" s="3"/>
      <c r="C17216" s="3"/>
      <c r="D17216" s="3"/>
      <c r="E17216" s="3">
        <v>13</v>
      </c>
      <c r="F17216" s="4" t="str">
        <f>HYPERLINK("http://141.218.60.56/~jnz1568/getInfo.php?workbook=10_05.xlsx&amp;sheet=U0&amp;row=17216&amp;col=6&amp;number=4.2&amp;sourceID=14","4.2")</f>
        <v>4.2</v>
      </c>
      <c r="G17216" s="4" t="str">
        <f>HYPERLINK("http://141.218.60.56/~jnz1568/getInfo.php?workbook=10_05.xlsx&amp;sheet=U0&amp;row=17216&amp;col=7&amp;number=0.0074&amp;sourceID=14","0.0074")</f>
        <v>0.0074</v>
      </c>
    </row>
    <row r="17217" spans="1:7">
      <c r="A17217" s="3"/>
      <c r="B17217" s="3"/>
      <c r="C17217" s="3"/>
      <c r="D17217" s="3"/>
      <c r="E17217" s="3">
        <v>14</v>
      </c>
      <c r="F17217" s="4" t="str">
        <f>HYPERLINK("http://141.218.60.56/~jnz1568/getInfo.php?workbook=10_05.xlsx&amp;sheet=U0&amp;row=17217&amp;col=6&amp;number=4.3&amp;sourceID=14","4.3")</f>
        <v>4.3</v>
      </c>
      <c r="G17217" s="4" t="str">
        <f>HYPERLINK("http://141.218.60.56/~jnz1568/getInfo.php?workbook=10_05.xlsx&amp;sheet=U0&amp;row=17217&amp;col=7&amp;number=0.00739&amp;sourceID=14","0.00739")</f>
        <v>0.00739</v>
      </c>
    </row>
    <row r="17218" spans="1:7">
      <c r="A17218" s="3"/>
      <c r="B17218" s="3"/>
      <c r="C17218" s="3"/>
      <c r="D17218" s="3"/>
      <c r="E17218" s="3">
        <v>15</v>
      </c>
      <c r="F17218" s="4" t="str">
        <f>HYPERLINK("http://141.218.60.56/~jnz1568/getInfo.php?workbook=10_05.xlsx&amp;sheet=U0&amp;row=17218&amp;col=6&amp;number=4.4&amp;sourceID=14","4.4")</f>
        <v>4.4</v>
      </c>
      <c r="G17218" s="4" t="str">
        <f>HYPERLINK("http://141.218.60.56/~jnz1568/getInfo.php?workbook=10_05.xlsx&amp;sheet=U0&amp;row=17218&amp;col=7&amp;number=0.00736&amp;sourceID=14","0.00736")</f>
        <v>0.00736</v>
      </c>
    </row>
    <row r="17219" spans="1:7">
      <c r="A17219" s="3"/>
      <c r="B17219" s="3"/>
      <c r="C17219" s="3"/>
      <c r="D17219" s="3"/>
      <c r="E17219" s="3">
        <v>16</v>
      </c>
      <c r="F17219" s="4" t="str">
        <f>HYPERLINK("http://141.218.60.56/~jnz1568/getInfo.php?workbook=10_05.xlsx&amp;sheet=U0&amp;row=17219&amp;col=6&amp;number=4.5&amp;sourceID=14","4.5")</f>
        <v>4.5</v>
      </c>
      <c r="G17219" s="4" t="str">
        <f>HYPERLINK("http://141.218.60.56/~jnz1568/getInfo.php?workbook=10_05.xlsx&amp;sheet=U0&amp;row=17219&amp;col=7&amp;number=0.00731&amp;sourceID=14","0.00731")</f>
        <v>0.00731</v>
      </c>
    </row>
    <row r="17220" spans="1:7">
      <c r="A17220" s="3"/>
      <c r="B17220" s="3"/>
      <c r="C17220" s="3"/>
      <c r="D17220" s="3"/>
      <c r="E17220" s="3">
        <v>17</v>
      </c>
      <c r="F17220" s="4" t="str">
        <f>HYPERLINK("http://141.218.60.56/~jnz1568/getInfo.php?workbook=10_05.xlsx&amp;sheet=U0&amp;row=17220&amp;col=6&amp;number=4.6&amp;sourceID=14","4.6")</f>
        <v>4.6</v>
      </c>
      <c r="G17220" s="4" t="str">
        <f>HYPERLINK("http://141.218.60.56/~jnz1568/getInfo.php?workbook=10_05.xlsx&amp;sheet=U0&amp;row=17220&amp;col=7&amp;number=0.00724&amp;sourceID=14","0.00724")</f>
        <v>0.00724</v>
      </c>
    </row>
    <row r="17221" spans="1:7">
      <c r="A17221" s="3"/>
      <c r="B17221" s="3"/>
      <c r="C17221" s="3"/>
      <c r="D17221" s="3"/>
      <c r="E17221" s="3">
        <v>18</v>
      </c>
      <c r="F17221" s="4" t="str">
        <f>HYPERLINK("http://141.218.60.56/~jnz1568/getInfo.php?workbook=10_05.xlsx&amp;sheet=U0&amp;row=17221&amp;col=6&amp;number=4.7&amp;sourceID=14","4.7")</f>
        <v>4.7</v>
      </c>
      <c r="G17221" s="4" t="str">
        <f>HYPERLINK("http://141.218.60.56/~jnz1568/getInfo.php?workbook=10_05.xlsx&amp;sheet=U0&amp;row=17221&amp;col=7&amp;number=0.00715&amp;sourceID=14","0.00715")</f>
        <v>0.00715</v>
      </c>
    </row>
    <row r="17222" spans="1:7">
      <c r="A17222" s="3"/>
      <c r="B17222" s="3"/>
      <c r="C17222" s="3"/>
      <c r="D17222" s="3"/>
      <c r="E17222" s="3">
        <v>19</v>
      </c>
      <c r="F17222" s="4" t="str">
        <f>HYPERLINK("http://141.218.60.56/~jnz1568/getInfo.php?workbook=10_05.xlsx&amp;sheet=U0&amp;row=17222&amp;col=6&amp;number=4.8&amp;sourceID=14","4.8")</f>
        <v>4.8</v>
      </c>
      <c r="G17222" s="4" t="str">
        <f>HYPERLINK("http://141.218.60.56/~jnz1568/getInfo.php?workbook=10_05.xlsx&amp;sheet=U0&amp;row=17222&amp;col=7&amp;number=0.00706&amp;sourceID=14","0.00706")</f>
        <v>0.00706</v>
      </c>
    </row>
    <row r="17223" spans="1:7">
      <c r="A17223" s="3"/>
      <c r="B17223" s="3"/>
      <c r="C17223" s="3"/>
      <c r="D17223" s="3"/>
      <c r="E17223" s="3">
        <v>20</v>
      </c>
      <c r="F17223" s="4" t="str">
        <f>HYPERLINK("http://141.218.60.56/~jnz1568/getInfo.php?workbook=10_05.xlsx&amp;sheet=U0&amp;row=17223&amp;col=6&amp;number=4.9&amp;sourceID=14","4.9")</f>
        <v>4.9</v>
      </c>
      <c r="G17223" s="4" t="str">
        <f>HYPERLINK("http://141.218.60.56/~jnz1568/getInfo.php?workbook=10_05.xlsx&amp;sheet=U0&amp;row=17223&amp;col=7&amp;number=0.00696&amp;sourceID=14","0.00696")</f>
        <v>0.00696</v>
      </c>
    </row>
    <row r="17224" spans="1:7">
      <c r="A17224" s="3">
        <v>10</v>
      </c>
      <c r="B17224" s="3">
        <v>5</v>
      </c>
      <c r="C17224" s="3">
        <v>5</v>
      </c>
      <c r="D17224" s="3">
        <v>157</v>
      </c>
      <c r="E17224" s="3">
        <v>1</v>
      </c>
      <c r="F17224" s="4" t="str">
        <f>HYPERLINK("http://141.218.60.56/~jnz1568/getInfo.php?workbook=10_05.xlsx&amp;sheet=U0&amp;row=17224&amp;col=6&amp;number=3&amp;sourceID=14","3")</f>
        <v>3</v>
      </c>
      <c r="G17224" s="4" t="str">
        <f>HYPERLINK("http://141.218.60.56/~jnz1568/getInfo.php?workbook=10_05.xlsx&amp;sheet=U0&amp;row=17224&amp;col=7&amp;number=0.0159&amp;sourceID=14","0.0159")</f>
        <v>0.0159</v>
      </c>
    </row>
    <row r="17225" spans="1:7">
      <c r="A17225" s="3"/>
      <c r="B17225" s="3"/>
      <c r="C17225" s="3"/>
      <c r="D17225" s="3"/>
      <c r="E17225" s="3">
        <v>2</v>
      </c>
      <c r="F17225" s="4" t="str">
        <f>HYPERLINK("http://141.218.60.56/~jnz1568/getInfo.php?workbook=10_05.xlsx&amp;sheet=U0&amp;row=17225&amp;col=6&amp;number=3.1&amp;sourceID=14","3.1")</f>
        <v>3.1</v>
      </c>
      <c r="G17225" s="4" t="str">
        <f>HYPERLINK("http://141.218.60.56/~jnz1568/getInfo.php?workbook=10_05.xlsx&amp;sheet=U0&amp;row=17225&amp;col=7&amp;number=0.0159&amp;sourceID=14","0.0159")</f>
        <v>0.0159</v>
      </c>
    </row>
    <row r="17226" spans="1:7">
      <c r="A17226" s="3"/>
      <c r="B17226" s="3"/>
      <c r="C17226" s="3"/>
      <c r="D17226" s="3"/>
      <c r="E17226" s="3">
        <v>3</v>
      </c>
      <c r="F17226" s="4" t="str">
        <f>HYPERLINK("http://141.218.60.56/~jnz1568/getInfo.php?workbook=10_05.xlsx&amp;sheet=U0&amp;row=17226&amp;col=6&amp;number=3.2&amp;sourceID=14","3.2")</f>
        <v>3.2</v>
      </c>
      <c r="G17226" s="4" t="str">
        <f>HYPERLINK("http://141.218.60.56/~jnz1568/getInfo.php?workbook=10_05.xlsx&amp;sheet=U0&amp;row=17226&amp;col=7&amp;number=0.0159&amp;sourceID=14","0.0159")</f>
        <v>0.0159</v>
      </c>
    </row>
    <row r="17227" spans="1:7">
      <c r="A17227" s="3"/>
      <c r="B17227" s="3"/>
      <c r="C17227" s="3"/>
      <c r="D17227" s="3"/>
      <c r="E17227" s="3">
        <v>4</v>
      </c>
      <c r="F17227" s="4" t="str">
        <f>HYPERLINK("http://141.218.60.56/~jnz1568/getInfo.php?workbook=10_05.xlsx&amp;sheet=U0&amp;row=17227&amp;col=6&amp;number=3.3&amp;sourceID=14","3.3")</f>
        <v>3.3</v>
      </c>
      <c r="G17227" s="4" t="str">
        <f>HYPERLINK("http://141.218.60.56/~jnz1568/getInfo.php?workbook=10_05.xlsx&amp;sheet=U0&amp;row=17227&amp;col=7&amp;number=0.0159&amp;sourceID=14","0.0159")</f>
        <v>0.0159</v>
      </c>
    </row>
    <row r="17228" spans="1:7">
      <c r="A17228" s="3"/>
      <c r="B17228" s="3"/>
      <c r="C17228" s="3"/>
      <c r="D17228" s="3"/>
      <c r="E17228" s="3">
        <v>5</v>
      </c>
      <c r="F17228" s="4" t="str">
        <f>HYPERLINK("http://141.218.60.56/~jnz1568/getInfo.php?workbook=10_05.xlsx&amp;sheet=U0&amp;row=17228&amp;col=6&amp;number=3.4&amp;sourceID=14","3.4")</f>
        <v>3.4</v>
      </c>
      <c r="G17228" s="4" t="str">
        <f>HYPERLINK("http://141.218.60.56/~jnz1568/getInfo.php?workbook=10_05.xlsx&amp;sheet=U0&amp;row=17228&amp;col=7&amp;number=0.0159&amp;sourceID=14","0.0159")</f>
        <v>0.0159</v>
      </c>
    </row>
    <row r="17229" spans="1:7">
      <c r="A17229" s="3"/>
      <c r="B17229" s="3"/>
      <c r="C17229" s="3"/>
      <c r="D17229" s="3"/>
      <c r="E17229" s="3">
        <v>6</v>
      </c>
      <c r="F17229" s="4" t="str">
        <f>HYPERLINK("http://141.218.60.56/~jnz1568/getInfo.php?workbook=10_05.xlsx&amp;sheet=U0&amp;row=17229&amp;col=6&amp;number=3.5&amp;sourceID=14","3.5")</f>
        <v>3.5</v>
      </c>
      <c r="G17229" s="4" t="str">
        <f>HYPERLINK("http://141.218.60.56/~jnz1568/getInfo.php?workbook=10_05.xlsx&amp;sheet=U0&amp;row=17229&amp;col=7&amp;number=0.0159&amp;sourceID=14","0.0159")</f>
        <v>0.0159</v>
      </c>
    </row>
    <row r="17230" spans="1:7">
      <c r="A17230" s="3"/>
      <c r="B17230" s="3"/>
      <c r="C17230" s="3"/>
      <c r="D17230" s="3"/>
      <c r="E17230" s="3">
        <v>7</v>
      </c>
      <c r="F17230" s="4" t="str">
        <f>HYPERLINK("http://141.218.60.56/~jnz1568/getInfo.php?workbook=10_05.xlsx&amp;sheet=U0&amp;row=17230&amp;col=6&amp;number=3.6&amp;sourceID=14","3.6")</f>
        <v>3.6</v>
      </c>
      <c r="G17230" s="4" t="str">
        <f>HYPERLINK("http://141.218.60.56/~jnz1568/getInfo.php?workbook=10_05.xlsx&amp;sheet=U0&amp;row=17230&amp;col=7&amp;number=0.016&amp;sourceID=14","0.016")</f>
        <v>0.016</v>
      </c>
    </row>
    <row r="17231" spans="1:7">
      <c r="A17231" s="3"/>
      <c r="B17231" s="3"/>
      <c r="C17231" s="3"/>
      <c r="D17231" s="3"/>
      <c r="E17231" s="3">
        <v>8</v>
      </c>
      <c r="F17231" s="4" t="str">
        <f>HYPERLINK("http://141.218.60.56/~jnz1568/getInfo.php?workbook=10_05.xlsx&amp;sheet=U0&amp;row=17231&amp;col=6&amp;number=3.7&amp;sourceID=14","3.7")</f>
        <v>3.7</v>
      </c>
      <c r="G17231" s="4" t="str">
        <f>HYPERLINK("http://141.218.60.56/~jnz1568/getInfo.php?workbook=10_05.xlsx&amp;sheet=U0&amp;row=17231&amp;col=7&amp;number=0.016&amp;sourceID=14","0.016")</f>
        <v>0.016</v>
      </c>
    </row>
    <row r="17232" spans="1:7">
      <c r="A17232" s="3"/>
      <c r="B17232" s="3"/>
      <c r="C17232" s="3"/>
      <c r="D17232" s="3"/>
      <c r="E17232" s="3">
        <v>9</v>
      </c>
      <c r="F17232" s="4" t="str">
        <f>HYPERLINK("http://141.218.60.56/~jnz1568/getInfo.php?workbook=10_05.xlsx&amp;sheet=U0&amp;row=17232&amp;col=6&amp;number=3.8&amp;sourceID=14","3.8")</f>
        <v>3.8</v>
      </c>
      <c r="G17232" s="4" t="str">
        <f>HYPERLINK("http://141.218.60.56/~jnz1568/getInfo.php?workbook=10_05.xlsx&amp;sheet=U0&amp;row=17232&amp;col=7&amp;number=0.016&amp;sourceID=14","0.016")</f>
        <v>0.016</v>
      </c>
    </row>
    <row r="17233" spans="1:7">
      <c r="A17233" s="3"/>
      <c r="B17233" s="3"/>
      <c r="C17233" s="3"/>
      <c r="D17233" s="3"/>
      <c r="E17233" s="3">
        <v>10</v>
      </c>
      <c r="F17233" s="4" t="str">
        <f>HYPERLINK("http://141.218.60.56/~jnz1568/getInfo.php?workbook=10_05.xlsx&amp;sheet=U0&amp;row=17233&amp;col=6&amp;number=3.9&amp;sourceID=14","3.9")</f>
        <v>3.9</v>
      </c>
      <c r="G17233" s="4" t="str">
        <f>HYPERLINK("http://141.218.60.56/~jnz1568/getInfo.php?workbook=10_05.xlsx&amp;sheet=U0&amp;row=17233&amp;col=7&amp;number=0.016&amp;sourceID=14","0.016")</f>
        <v>0.016</v>
      </c>
    </row>
    <row r="17234" spans="1:7">
      <c r="A17234" s="3"/>
      <c r="B17234" s="3"/>
      <c r="C17234" s="3"/>
      <c r="D17234" s="3"/>
      <c r="E17234" s="3">
        <v>11</v>
      </c>
      <c r="F17234" s="4" t="str">
        <f>HYPERLINK("http://141.218.60.56/~jnz1568/getInfo.php?workbook=10_05.xlsx&amp;sheet=U0&amp;row=17234&amp;col=6&amp;number=4&amp;sourceID=14","4")</f>
        <v>4</v>
      </c>
      <c r="G17234" s="4" t="str">
        <f>HYPERLINK("http://141.218.60.56/~jnz1568/getInfo.php?workbook=10_05.xlsx&amp;sheet=U0&amp;row=17234&amp;col=7&amp;number=0.0161&amp;sourceID=14","0.0161")</f>
        <v>0.0161</v>
      </c>
    </row>
    <row r="17235" spans="1:7">
      <c r="A17235" s="3"/>
      <c r="B17235" s="3"/>
      <c r="C17235" s="3"/>
      <c r="D17235" s="3"/>
      <c r="E17235" s="3">
        <v>12</v>
      </c>
      <c r="F17235" s="4" t="str">
        <f>HYPERLINK("http://141.218.60.56/~jnz1568/getInfo.php?workbook=10_05.xlsx&amp;sheet=U0&amp;row=17235&amp;col=6&amp;number=4.1&amp;sourceID=14","4.1")</f>
        <v>4.1</v>
      </c>
      <c r="G17235" s="4" t="str">
        <f>HYPERLINK("http://141.218.60.56/~jnz1568/getInfo.php?workbook=10_05.xlsx&amp;sheet=U0&amp;row=17235&amp;col=7&amp;number=0.0161&amp;sourceID=14","0.0161")</f>
        <v>0.0161</v>
      </c>
    </row>
    <row r="17236" spans="1:7">
      <c r="A17236" s="3"/>
      <c r="B17236" s="3"/>
      <c r="C17236" s="3"/>
      <c r="D17236" s="3"/>
      <c r="E17236" s="3">
        <v>13</v>
      </c>
      <c r="F17236" s="4" t="str">
        <f>HYPERLINK("http://141.218.60.56/~jnz1568/getInfo.php?workbook=10_05.xlsx&amp;sheet=U0&amp;row=17236&amp;col=6&amp;number=4.2&amp;sourceID=14","4.2")</f>
        <v>4.2</v>
      </c>
      <c r="G17236" s="4" t="str">
        <f>HYPERLINK("http://141.218.60.56/~jnz1568/getInfo.php?workbook=10_05.xlsx&amp;sheet=U0&amp;row=17236&amp;col=7&amp;number=0.0161&amp;sourceID=14","0.0161")</f>
        <v>0.0161</v>
      </c>
    </row>
    <row r="17237" spans="1:7">
      <c r="A17237" s="3"/>
      <c r="B17237" s="3"/>
      <c r="C17237" s="3"/>
      <c r="D17237" s="3"/>
      <c r="E17237" s="3">
        <v>14</v>
      </c>
      <c r="F17237" s="4" t="str">
        <f>HYPERLINK("http://141.218.60.56/~jnz1568/getInfo.php?workbook=10_05.xlsx&amp;sheet=U0&amp;row=17237&amp;col=6&amp;number=4.3&amp;sourceID=14","4.3")</f>
        <v>4.3</v>
      </c>
      <c r="G17237" s="4" t="str">
        <f>HYPERLINK("http://141.218.60.56/~jnz1568/getInfo.php?workbook=10_05.xlsx&amp;sheet=U0&amp;row=17237&amp;col=7&amp;number=0.0161&amp;sourceID=14","0.0161")</f>
        <v>0.0161</v>
      </c>
    </row>
    <row r="17238" spans="1:7">
      <c r="A17238" s="3"/>
      <c r="B17238" s="3"/>
      <c r="C17238" s="3"/>
      <c r="D17238" s="3"/>
      <c r="E17238" s="3">
        <v>15</v>
      </c>
      <c r="F17238" s="4" t="str">
        <f>HYPERLINK("http://141.218.60.56/~jnz1568/getInfo.php?workbook=10_05.xlsx&amp;sheet=U0&amp;row=17238&amp;col=6&amp;number=4.4&amp;sourceID=14","4.4")</f>
        <v>4.4</v>
      </c>
      <c r="G17238" s="4" t="str">
        <f>HYPERLINK("http://141.218.60.56/~jnz1568/getInfo.php?workbook=10_05.xlsx&amp;sheet=U0&amp;row=17238&amp;col=7&amp;number=0.016&amp;sourceID=14","0.016")</f>
        <v>0.016</v>
      </c>
    </row>
    <row r="17239" spans="1:7">
      <c r="A17239" s="3"/>
      <c r="B17239" s="3"/>
      <c r="C17239" s="3"/>
      <c r="D17239" s="3"/>
      <c r="E17239" s="3">
        <v>16</v>
      </c>
      <c r="F17239" s="4" t="str">
        <f>HYPERLINK("http://141.218.60.56/~jnz1568/getInfo.php?workbook=10_05.xlsx&amp;sheet=U0&amp;row=17239&amp;col=6&amp;number=4.5&amp;sourceID=14","4.5")</f>
        <v>4.5</v>
      </c>
      <c r="G17239" s="4" t="str">
        <f>HYPERLINK("http://141.218.60.56/~jnz1568/getInfo.php?workbook=10_05.xlsx&amp;sheet=U0&amp;row=17239&amp;col=7&amp;number=0.0159&amp;sourceID=14","0.0159")</f>
        <v>0.0159</v>
      </c>
    </row>
    <row r="17240" spans="1:7">
      <c r="A17240" s="3"/>
      <c r="B17240" s="3"/>
      <c r="C17240" s="3"/>
      <c r="D17240" s="3"/>
      <c r="E17240" s="3">
        <v>17</v>
      </c>
      <c r="F17240" s="4" t="str">
        <f>HYPERLINK("http://141.218.60.56/~jnz1568/getInfo.php?workbook=10_05.xlsx&amp;sheet=U0&amp;row=17240&amp;col=6&amp;number=4.6&amp;sourceID=14","4.6")</f>
        <v>4.6</v>
      </c>
      <c r="G17240" s="4" t="str">
        <f>HYPERLINK("http://141.218.60.56/~jnz1568/getInfo.php?workbook=10_05.xlsx&amp;sheet=U0&amp;row=17240&amp;col=7&amp;number=0.0158&amp;sourceID=14","0.0158")</f>
        <v>0.0158</v>
      </c>
    </row>
    <row r="17241" spans="1:7">
      <c r="A17241" s="3"/>
      <c r="B17241" s="3"/>
      <c r="C17241" s="3"/>
      <c r="D17241" s="3"/>
      <c r="E17241" s="3">
        <v>18</v>
      </c>
      <c r="F17241" s="4" t="str">
        <f>HYPERLINK("http://141.218.60.56/~jnz1568/getInfo.php?workbook=10_05.xlsx&amp;sheet=U0&amp;row=17241&amp;col=6&amp;number=4.7&amp;sourceID=14","4.7")</f>
        <v>4.7</v>
      </c>
      <c r="G17241" s="4" t="str">
        <f>HYPERLINK("http://141.218.60.56/~jnz1568/getInfo.php?workbook=10_05.xlsx&amp;sheet=U0&amp;row=17241&amp;col=7&amp;number=0.0156&amp;sourceID=14","0.0156")</f>
        <v>0.0156</v>
      </c>
    </row>
    <row r="17242" spans="1:7">
      <c r="A17242" s="3"/>
      <c r="B17242" s="3"/>
      <c r="C17242" s="3"/>
      <c r="D17242" s="3"/>
      <c r="E17242" s="3">
        <v>19</v>
      </c>
      <c r="F17242" s="4" t="str">
        <f>HYPERLINK("http://141.218.60.56/~jnz1568/getInfo.php?workbook=10_05.xlsx&amp;sheet=U0&amp;row=17242&amp;col=6&amp;number=4.8&amp;sourceID=14","4.8")</f>
        <v>4.8</v>
      </c>
      <c r="G17242" s="4" t="str">
        <f>HYPERLINK("http://141.218.60.56/~jnz1568/getInfo.php?workbook=10_05.xlsx&amp;sheet=U0&amp;row=17242&amp;col=7&amp;number=0.0154&amp;sourceID=14","0.0154")</f>
        <v>0.0154</v>
      </c>
    </row>
    <row r="17243" spans="1:7">
      <c r="A17243" s="3"/>
      <c r="B17243" s="3"/>
      <c r="C17243" s="3"/>
      <c r="D17243" s="3"/>
      <c r="E17243" s="3">
        <v>20</v>
      </c>
      <c r="F17243" s="4" t="str">
        <f>HYPERLINK("http://141.218.60.56/~jnz1568/getInfo.php?workbook=10_05.xlsx&amp;sheet=U0&amp;row=17243&amp;col=6&amp;number=4.9&amp;sourceID=14","4.9")</f>
        <v>4.9</v>
      </c>
      <c r="G17243" s="4" t="str">
        <f>HYPERLINK("http://141.218.60.56/~jnz1568/getInfo.php?workbook=10_05.xlsx&amp;sheet=U0&amp;row=17243&amp;col=7&amp;number=0.0152&amp;sourceID=14","0.0152")</f>
        <v>0.0152</v>
      </c>
    </row>
    <row r="17244" spans="1:7">
      <c r="A17244" s="3">
        <v>10</v>
      </c>
      <c r="B17244" s="3">
        <v>5</v>
      </c>
      <c r="C17244" s="3">
        <v>5</v>
      </c>
      <c r="D17244" s="3">
        <v>158</v>
      </c>
      <c r="E17244" s="3">
        <v>1</v>
      </c>
      <c r="F17244" s="4" t="str">
        <f>HYPERLINK("http://141.218.60.56/~jnz1568/getInfo.php?workbook=10_05.xlsx&amp;sheet=U0&amp;row=17244&amp;col=6&amp;number=3&amp;sourceID=14","3")</f>
        <v>3</v>
      </c>
      <c r="G17244" s="4" t="str">
        <f>HYPERLINK("http://141.218.60.56/~jnz1568/getInfo.php?workbook=10_05.xlsx&amp;sheet=U0&amp;row=17244&amp;col=7&amp;number=0.0154&amp;sourceID=14","0.0154")</f>
        <v>0.0154</v>
      </c>
    </row>
    <row r="17245" spans="1:7">
      <c r="A17245" s="3"/>
      <c r="B17245" s="3"/>
      <c r="C17245" s="3"/>
      <c r="D17245" s="3"/>
      <c r="E17245" s="3">
        <v>2</v>
      </c>
      <c r="F17245" s="4" t="str">
        <f>HYPERLINK("http://141.218.60.56/~jnz1568/getInfo.php?workbook=10_05.xlsx&amp;sheet=U0&amp;row=17245&amp;col=6&amp;number=3.1&amp;sourceID=14","3.1")</f>
        <v>3.1</v>
      </c>
      <c r="G17245" s="4" t="str">
        <f>HYPERLINK("http://141.218.60.56/~jnz1568/getInfo.php?workbook=10_05.xlsx&amp;sheet=U0&amp;row=17245&amp;col=7&amp;number=0.0154&amp;sourceID=14","0.0154")</f>
        <v>0.0154</v>
      </c>
    </row>
    <row r="17246" spans="1:7">
      <c r="A17246" s="3"/>
      <c r="B17246" s="3"/>
      <c r="C17246" s="3"/>
      <c r="D17246" s="3"/>
      <c r="E17246" s="3">
        <v>3</v>
      </c>
      <c r="F17246" s="4" t="str">
        <f>HYPERLINK("http://141.218.60.56/~jnz1568/getInfo.php?workbook=10_05.xlsx&amp;sheet=U0&amp;row=17246&amp;col=6&amp;number=3.2&amp;sourceID=14","3.2")</f>
        <v>3.2</v>
      </c>
      <c r="G17246" s="4" t="str">
        <f>HYPERLINK("http://141.218.60.56/~jnz1568/getInfo.php?workbook=10_05.xlsx&amp;sheet=U0&amp;row=17246&amp;col=7&amp;number=0.0154&amp;sourceID=14","0.0154")</f>
        <v>0.0154</v>
      </c>
    </row>
    <row r="17247" spans="1:7">
      <c r="A17247" s="3"/>
      <c r="B17247" s="3"/>
      <c r="C17247" s="3"/>
      <c r="D17247" s="3"/>
      <c r="E17247" s="3">
        <v>4</v>
      </c>
      <c r="F17247" s="4" t="str">
        <f>HYPERLINK("http://141.218.60.56/~jnz1568/getInfo.php?workbook=10_05.xlsx&amp;sheet=U0&amp;row=17247&amp;col=6&amp;number=3.3&amp;sourceID=14","3.3")</f>
        <v>3.3</v>
      </c>
      <c r="G17247" s="4" t="str">
        <f>HYPERLINK("http://141.218.60.56/~jnz1568/getInfo.php?workbook=10_05.xlsx&amp;sheet=U0&amp;row=17247&amp;col=7&amp;number=0.0154&amp;sourceID=14","0.0154")</f>
        <v>0.0154</v>
      </c>
    </row>
    <row r="17248" spans="1:7">
      <c r="A17248" s="3"/>
      <c r="B17248" s="3"/>
      <c r="C17248" s="3"/>
      <c r="D17248" s="3"/>
      <c r="E17248" s="3">
        <v>5</v>
      </c>
      <c r="F17248" s="4" t="str">
        <f>HYPERLINK("http://141.218.60.56/~jnz1568/getInfo.php?workbook=10_05.xlsx&amp;sheet=U0&amp;row=17248&amp;col=6&amp;number=3.4&amp;sourceID=14","3.4")</f>
        <v>3.4</v>
      </c>
      <c r="G17248" s="4" t="str">
        <f>HYPERLINK("http://141.218.60.56/~jnz1568/getInfo.php?workbook=10_05.xlsx&amp;sheet=U0&amp;row=17248&amp;col=7&amp;number=0.0154&amp;sourceID=14","0.0154")</f>
        <v>0.0154</v>
      </c>
    </row>
    <row r="17249" spans="1:7">
      <c r="A17249" s="3"/>
      <c r="B17249" s="3"/>
      <c r="C17249" s="3"/>
      <c r="D17249" s="3"/>
      <c r="E17249" s="3">
        <v>6</v>
      </c>
      <c r="F17249" s="4" t="str">
        <f>HYPERLINK("http://141.218.60.56/~jnz1568/getInfo.php?workbook=10_05.xlsx&amp;sheet=U0&amp;row=17249&amp;col=6&amp;number=3.5&amp;sourceID=14","3.5")</f>
        <v>3.5</v>
      </c>
      <c r="G17249" s="4" t="str">
        <f>HYPERLINK("http://141.218.60.56/~jnz1568/getInfo.php?workbook=10_05.xlsx&amp;sheet=U0&amp;row=17249&amp;col=7&amp;number=0.0154&amp;sourceID=14","0.0154")</f>
        <v>0.0154</v>
      </c>
    </row>
    <row r="17250" spans="1:7">
      <c r="A17250" s="3"/>
      <c r="B17250" s="3"/>
      <c r="C17250" s="3"/>
      <c r="D17250" s="3"/>
      <c r="E17250" s="3">
        <v>7</v>
      </c>
      <c r="F17250" s="4" t="str">
        <f>HYPERLINK("http://141.218.60.56/~jnz1568/getInfo.php?workbook=10_05.xlsx&amp;sheet=U0&amp;row=17250&amp;col=6&amp;number=3.6&amp;sourceID=14","3.6")</f>
        <v>3.6</v>
      </c>
      <c r="G17250" s="4" t="str">
        <f>HYPERLINK("http://141.218.60.56/~jnz1568/getInfo.php?workbook=10_05.xlsx&amp;sheet=U0&amp;row=17250&amp;col=7&amp;number=0.0154&amp;sourceID=14","0.0154")</f>
        <v>0.0154</v>
      </c>
    </row>
    <row r="17251" spans="1:7">
      <c r="A17251" s="3"/>
      <c r="B17251" s="3"/>
      <c r="C17251" s="3"/>
      <c r="D17251" s="3"/>
      <c r="E17251" s="3">
        <v>8</v>
      </c>
      <c r="F17251" s="4" t="str">
        <f>HYPERLINK("http://141.218.60.56/~jnz1568/getInfo.php?workbook=10_05.xlsx&amp;sheet=U0&amp;row=17251&amp;col=6&amp;number=3.7&amp;sourceID=14","3.7")</f>
        <v>3.7</v>
      </c>
      <c r="G17251" s="4" t="str">
        <f>HYPERLINK("http://141.218.60.56/~jnz1568/getInfo.php?workbook=10_05.xlsx&amp;sheet=U0&amp;row=17251&amp;col=7&amp;number=0.0154&amp;sourceID=14","0.0154")</f>
        <v>0.0154</v>
      </c>
    </row>
    <row r="17252" spans="1:7">
      <c r="A17252" s="3"/>
      <c r="B17252" s="3"/>
      <c r="C17252" s="3"/>
      <c r="D17252" s="3"/>
      <c r="E17252" s="3">
        <v>9</v>
      </c>
      <c r="F17252" s="4" t="str">
        <f>HYPERLINK("http://141.218.60.56/~jnz1568/getInfo.php?workbook=10_05.xlsx&amp;sheet=U0&amp;row=17252&amp;col=6&amp;number=3.8&amp;sourceID=14","3.8")</f>
        <v>3.8</v>
      </c>
      <c r="G17252" s="4" t="str">
        <f>HYPERLINK("http://141.218.60.56/~jnz1568/getInfo.php?workbook=10_05.xlsx&amp;sheet=U0&amp;row=17252&amp;col=7&amp;number=0.0154&amp;sourceID=14","0.0154")</f>
        <v>0.0154</v>
      </c>
    </row>
    <row r="17253" spans="1:7">
      <c r="A17253" s="3"/>
      <c r="B17253" s="3"/>
      <c r="C17253" s="3"/>
      <c r="D17253" s="3"/>
      <c r="E17253" s="3">
        <v>10</v>
      </c>
      <c r="F17253" s="4" t="str">
        <f>HYPERLINK("http://141.218.60.56/~jnz1568/getInfo.php?workbook=10_05.xlsx&amp;sheet=U0&amp;row=17253&amp;col=6&amp;number=3.9&amp;sourceID=14","3.9")</f>
        <v>3.9</v>
      </c>
      <c r="G17253" s="4" t="str">
        <f>HYPERLINK("http://141.218.60.56/~jnz1568/getInfo.php?workbook=10_05.xlsx&amp;sheet=U0&amp;row=17253&amp;col=7&amp;number=0.0154&amp;sourceID=14","0.0154")</f>
        <v>0.0154</v>
      </c>
    </row>
    <row r="17254" spans="1:7">
      <c r="A17254" s="3"/>
      <c r="B17254" s="3"/>
      <c r="C17254" s="3"/>
      <c r="D17254" s="3"/>
      <c r="E17254" s="3">
        <v>11</v>
      </c>
      <c r="F17254" s="4" t="str">
        <f>HYPERLINK("http://141.218.60.56/~jnz1568/getInfo.php?workbook=10_05.xlsx&amp;sheet=U0&amp;row=17254&amp;col=6&amp;number=4&amp;sourceID=14","4")</f>
        <v>4</v>
      </c>
      <c r="G17254" s="4" t="str">
        <f>HYPERLINK("http://141.218.60.56/~jnz1568/getInfo.php?workbook=10_05.xlsx&amp;sheet=U0&amp;row=17254&amp;col=7&amp;number=0.0154&amp;sourceID=14","0.0154")</f>
        <v>0.0154</v>
      </c>
    </row>
    <row r="17255" spans="1:7">
      <c r="A17255" s="3"/>
      <c r="B17255" s="3"/>
      <c r="C17255" s="3"/>
      <c r="D17255" s="3"/>
      <c r="E17255" s="3">
        <v>12</v>
      </c>
      <c r="F17255" s="4" t="str">
        <f>HYPERLINK("http://141.218.60.56/~jnz1568/getInfo.php?workbook=10_05.xlsx&amp;sheet=U0&amp;row=17255&amp;col=6&amp;number=4.1&amp;sourceID=14","4.1")</f>
        <v>4.1</v>
      </c>
      <c r="G17255" s="4" t="str">
        <f>HYPERLINK("http://141.218.60.56/~jnz1568/getInfo.php?workbook=10_05.xlsx&amp;sheet=U0&amp;row=17255&amp;col=7&amp;number=0.0154&amp;sourceID=14","0.0154")</f>
        <v>0.0154</v>
      </c>
    </row>
    <row r="17256" spans="1:7">
      <c r="A17256" s="3"/>
      <c r="B17256" s="3"/>
      <c r="C17256" s="3"/>
      <c r="D17256" s="3"/>
      <c r="E17256" s="3">
        <v>13</v>
      </c>
      <c r="F17256" s="4" t="str">
        <f>HYPERLINK("http://141.218.60.56/~jnz1568/getInfo.php?workbook=10_05.xlsx&amp;sheet=U0&amp;row=17256&amp;col=6&amp;number=4.2&amp;sourceID=14","4.2")</f>
        <v>4.2</v>
      </c>
      <c r="G17256" s="4" t="str">
        <f>HYPERLINK("http://141.218.60.56/~jnz1568/getInfo.php?workbook=10_05.xlsx&amp;sheet=U0&amp;row=17256&amp;col=7&amp;number=0.0153&amp;sourceID=14","0.0153")</f>
        <v>0.0153</v>
      </c>
    </row>
    <row r="17257" spans="1:7">
      <c r="A17257" s="3"/>
      <c r="B17257" s="3"/>
      <c r="C17257" s="3"/>
      <c r="D17257" s="3"/>
      <c r="E17257" s="3">
        <v>14</v>
      </c>
      <c r="F17257" s="4" t="str">
        <f>HYPERLINK("http://141.218.60.56/~jnz1568/getInfo.php?workbook=10_05.xlsx&amp;sheet=U0&amp;row=17257&amp;col=6&amp;number=4.3&amp;sourceID=14","4.3")</f>
        <v>4.3</v>
      </c>
      <c r="G17257" s="4" t="str">
        <f>HYPERLINK("http://141.218.60.56/~jnz1568/getInfo.php?workbook=10_05.xlsx&amp;sheet=U0&amp;row=17257&amp;col=7&amp;number=0.0153&amp;sourceID=14","0.0153")</f>
        <v>0.0153</v>
      </c>
    </row>
    <row r="17258" spans="1:7">
      <c r="A17258" s="3"/>
      <c r="B17258" s="3"/>
      <c r="C17258" s="3"/>
      <c r="D17258" s="3"/>
      <c r="E17258" s="3">
        <v>15</v>
      </c>
      <c r="F17258" s="4" t="str">
        <f>HYPERLINK("http://141.218.60.56/~jnz1568/getInfo.php?workbook=10_05.xlsx&amp;sheet=U0&amp;row=17258&amp;col=6&amp;number=4.4&amp;sourceID=14","4.4")</f>
        <v>4.4</v>
      </c>
      <c r="G17258" s="4" t="str">
        <f>HYPERLINK("http://141.218.60.56/~jnz1568/getInfo.php?workbook=10_05.xlsx&amp;sheet=U0&amp;row=17258&amp;col=7&amp;number=0.0153&amp;sourceID=14","0.0153")</f>
        <v>0.0153</v>
      </c>
    </row>
    <row r="17259" spans="1:7">
      <c r="A17259" s="3"/>
      <c r="B17259" s="3"/>
      <c r="C17259" s="3"/>
      <c r="D17259" s="3"/>
      <c r="E17259" s="3">
        <v>16</v>
      </c>
      <c r="F17259" s="4" t="str">
        <f>HYPERLINK("http://141.218.60.56/~jnz1568/getInfo.php?workbook=10_05.xlsx&amp;sheet=U0&amp;row=17259&amp;col=6&amp;number=4.5&amp;sourceID=14","4.5")</f>
        <v>4.5</v>
      </c>
      <c r="G17259" s="4" t="str">
        <f>HYPERLINK("http://141.218.60.56/~jnz1568/getInfo.php?workbook=10_05.xlsx&amp;sheet=U0&amp;row=17259&amp;col=7&amp;number=0.0153&amp;sourceID=14","0.0153")</f>
        <v>0.0153</v>
      </c>
    </row>
    <row r="17260" spans="1:7">
      <c r="A17260" s="3"/>
      <c r="B17260" s="3"/>
      <c r="C17260" s="3"/>
      <c r="D17260" s="3"/>
      <c r="E17260" s="3">
        <v>17</v>
      </c>
      <c r="F17260" s="4" t="str">
        <f>HYPERLINK("http://141.218.60.56/~jnz1568/getInfo.php?workbook=10_05.xlsx&amp;sheet=U0&amp;row=17260&amp;col=6&amp;number=4.6&amp;sourceID=14","4.6")</f>
        <v>4.6</v>
      </c>
      <c r="G17260" s="4" t="str">
        <f>HYPERLINK("http://141.218.60.56/~jnz1568/getInfo.php?workbook=10_05.xlsx&amp;sheet=U0&amp;row=17260&amp;col=7&amp;number=0.0153&amp;sourceID=14","0.0153")</f>
        <v>0.0153</v>
      </c>
    </row>
    <row r="17261" spans="1:7">
      <c r="A17261" s="3"/>
      <c r="B17261" s="3"/>
      <c r="C17261" s="3"/>
      <c r="D17261" s="3"/>
      <c r="E17261" s="3">
        <v>18</v>
      </c>
      <c r="F17261" s="4" t="str">
        <f>HYPERLINK("http://141.218.60.56/~jnz1568/getInfo.php?workbook=10_05.xlsx&amp;sheet=U0&amp;row=17261&amp;col=6&amp;number=4.7&amp;sourceID=14","4.7")</f>
        <v>4.7</v>
      </c>
      <c r="G17261" s="4" t="str">
        <f>HYPERLINK("http://141.218.60.56/~jnz1568/getInfo.php?workbook=10_05.xlsx&amp;sheet=U0&amp;row=17261&amp;col=7&amp;number=0.0153&amp;sourceID=14","0.0153")</f>
        <v>0.0153</v>
      </c>
    </row>
    <row r="17262" spans="1:7">
      <c r="A17262" s="3"/>
      <c r="B17262" s="3"/>
      <c r="C17262" s="3"/>
      <c r="D17262" s="3"/>
      <c r="E17262" s="3">
        <v>19</v>
      </c>
      <c r="F17262" s="4" t="str">
        <f>HYPERLINK("http://141.218.60.56/~jnz1568/getInfo.php?workbook=10_05.xlsx&amp;sheet=U0&amp;row=17262&amp;col=6&amp;number=4.8&amp;sourceID=14","4.8")</f>
        <v>4.8</v>
      </c>
      <c r="G17262" s="4" t="str">
        <f>HYPERLINK("http://141.218.60.56/~jnz1568/getInfo.php?workbook=10_05.xlsx&amp;sheet=U0&amp;row=17262&amp;col=7&amp;number=0.0152&amp;sourceID=14","0.0152")</f>
        <v>0.0152</v>
      </c>
    </row>
    <row r="17263" spans="1:7">
      <c r="A17263" s="3"/>
      <c r="B17263" s="3"/>
      <c r="C17263" s="3"/>
      <c r="D17263" s="3"/>
      <c r="E17263" s="3">
        <v>20</v>
      </c>
      <c r="F17263" s="4" t="str">
        <f>HYPERLINK("http://141.218.60.56/~jnz1568/getInfo.php?workbook=10_05.xlsx&amp;sheet=U0&amp;row=17263&amp;col=6&amp;number=4.9&amp;sourceID=14","4.9")</f>
        <v>4.9</v>
      </c>
      <c r="G17263" s="4" t="str">
        <f>HYPERLINK("http://141.218.60.56/~jnz1568/getInfo.php?workbook=10_05.xlsx&amp;sheet=U0&amp;row=17263&amp;col=7&amp;number=0.0151&amp;sourceID=14","0.0151")</f>
        <v>0.0151</v>
      </c>
    </row>
    <row r="17264" spans="1:7">
      <c r="A17264" s="3">
        <v>10</v>
      </c>
      <c r="B17264" s="3">
        <v>5</v>
      </c>
      <c r="C17264" s="3">
        <v>5</v>
      </c>
      <c r="D17264" s="3">
        <v>159</v>
      </c>
      <c r="E17264" s="3">
        <v>1</v>
      </c>
      <c r="F17264" s="4" t="str">
        <f>HYPERLINK("http://141.218.60.56/~jnz1568/getInfo.php?workbook=10_05.xlsx&amp;sheet=U0&amp;row=17264&amp;col=6&amp;number=3&amp;sourceID=14","3")</f>
        <v>3</v>
      </c>
      <c r="G17264" s="4" t="str">
        <f>HYPERLINK("http://141.218.60.56/~jnz1568/getInfo.php?workbook=10_05.xlsx&amp;sheet=U0&amp;row=17264&amp;col=7&amp;number=0.00704&amp;sourceID=14","0.00704")</f>
        <v>0.00704</v>
      </c>
    </row>
    <row r="17265" spans="1:7">
      <c r="A17265" s="3"/>
      <c r="B17265" s="3"/>
      <c r="C17265" s="3"/>
      <c r="D17265" s="3"/>
      <c r="E17265" s="3">
        <v>2</v>
      </c>
      <c r="F17265" s="4" t="str">
        <f>HYPERLINK("http://141.218.60.56/~jnz1568/getInfo.php?workbook=10_05.xlsx&amp;sheet=U0&amp;row=17265&amp;col=6&amp;number=3.1&amp;sourceID=14","3.1")</f>
        <v>3.1</v>
      </c>
      <c r="G17265" s="4" t="str">
        <f>HYPERLINK("http://141.218.60.56/~jnz1568/getInfo.php?workbook=10_05.xlsx&amp;sheet=U0&amp;row=17265&amp;col=7&amp;number=0.00705&amp;sourceID=14","0.00705")</f>
        <v>0.00705</v>
      </c>
    </row>
    <row r="17266" spans="1:7">
      <c r="A17266" s="3"/>
      <c r="B17266" s="3"/>
      <c r="C17266" s="3"/>
      <c r="D17266" s="3"/>
      <c r="E17266" s="3">
        <v>3</v>
      </c>
      <c r="F17266" s="4" t="str">
        <f>HYPERLINK("http://141.218.60.56/~jnz1568/getInfo.php?workbook=10_05.xlsx&amp;sheet=U0&amp;row=17266&amp;col=6&amp;number=3.2&amp;sourceID=14","3.2")</f>
        <v>3.2</v>
      </c>
      <c r="G17266" s="4" t="str">
        <f>HYPERLINK("http://141.218.60.56/~jnz1568/getInfo.php?workbook=10_05.xlsx&amp;sheet=U0&amp;row=17266&amp;col=7&amp;number=0.00705&amp;sourceID=14","0.00705")</f>
        <v>0.00705</v>
      </c>
    </row>
    <row r="17267" spans="1:7">
      <c r="A17267" s="3"/>
      <c r="B17267" s="3"/>
      <c r="C17267" s="3"/>
      <c r="D17267" s="3"/>
      <c r="E17267" s="3">
        <v>4</v>
      </c>
      <c r="F17267" s="4" t="str">
        <f>HYPERLINK("http://141.218.60.56/~jnz1568/getInfo.php?workbook=10_05.xlsx&amp;sheet=U0&amp;row=17267&amp;col=6&amp;number=3.3&amp;sourceID=14","3.3")</f>
        <v>3.3</v>
      </c>
      <c r="G17267" s="4" t="str">
        <f>HYPERLINK("http://141.218.60.56/~jnz1568/getInfo.php?workbook=10_05.xlsx&amp;sheet=U0&amp;row=17267&amp;col=7&amp;number=0.00706&amp;sourceID=14","0.00706")</f>
        <v>0.00706</v>
      </c>
    </row>
    <row r="17268" spans="1:7">
      <c r="A17268" s="3"/>
      <c r="B17268" s="3"/>
      <c r="C17268" s="3"/>
      <c r="D17268" s="3"/>
      <c r="E17268" s="3">
        <v>5</v>
      </c>
      <c r="F17268" s="4" t="str">
        <f>HYPERLINK("http://141.218.60.56/~jnz1568/getInfo.php?workbook=10_05.xlsx&amp;sheet=U0&amp;row=17268&amp;col=6&amp;number=3.4&amp;sourceID=14","3.4")</f>
        <v>3.4</v>
      </c>
      <c r="G17268" s="4" t="str">
        <f>HYPERLINK("http://141.218.60.56/~jnz1568/getInfo.php?workbook=10_05.xlsx&amp;sheet=U0&amp;row=17268&amp;col=7&amp;number=0.00706&amp;sourceID=14","0.00706")</f>
        <v>0.00706</v>
      </c>
    </row>
    <row r="17269" spans="1:7">
      <c r="A17269" s="3"/>
      <c r="B17269" s="3"/>
      <c r="C17269" s="3"/>
      <c r="D17269" s="3"/>
      <c r="E17269" s="3">
        <v>6</v>
      </c>
      <c r="F17269" s="4" t="str">
        <f>HYPERLINK("http://141.218.60.56/~jnz1568/getInfo.php?workbook=10_05.xlsx&amp;sheet=U0&amp;row=17269&amp;col=6&amp;number=3.5&amp;sourceID=14","3.5")</f>
        <v>3.5</v>
      </c>
      <c r="G17269" s="4" t="str">
        <f>HYPERLINK("http://141.218.60.56/~jnz1568/getInfo.php?workbook=10_05.xlsx&amp;sheet=U0&amp;row=17269&amp;col=7&amp;number=0.00707&amp;sourceID=14","0.00707")</f>
        <v>0.00707</v>
      </c>
    </row>
    <row r="17270" spans="1:7">
      <c r="A17270" s="3"/>
      <c r="B17270" s="3"/>
      <c r="C17270" s="3"/>
      <c r="D17270" s="3"/>
      <c r="E17270" s="3">
        <v>7</v>
      </c>
      <c r="F17270" s="4" t="str">
        <f>HYPERLINK("http://141.218.60.56/~jnz1568/getInfo.php?workbook=10_05.xlsx&amp;sheet=U0&amp;row=17270&amp;col=6&amp;number=3.6&amp;sourceID=14","3.6")</f>
        <v>3.6</v>
      </c>
      <c r="G17270" s="4" t="str">
        <f>HYPERLINK("http://141.218.60.56/~jnz1568/getInfo.php?workbook=10_05.xlsx&amp;sheet=U0&amp;row=17270&amp;col=7&amp;number=0.00708&amp;sourceID=14","0.00708")</f>
        <v>0.00708</v>
      </c>
    </row>
    <row r="17271" spans="1:7">
      <c r="A17271" s="3"/>
      <c r="B17271" s="3"/>
      <c r="C17271" s="3"/>
      <c r="D17271" s="3"/>
      <c r="E17271" s="3">
        <v>8</v>
      </c>
      <c r="F17271" s="4" t="str">
        <f>HYPERLINK("http://141.218.60.56/~jnz1568/getInfo.php?workbook=10_05.xlsx&amp;sheet=U0&amp;row=17271&amp;col=6&amp;number=3.7&amp;sourceID=14","3.7")</f>
        <v>3.7</v>
      </c>
      <c r="G17271" s="4" t="str">
        <f>HYPERLINK("http://141.218.60.56/~jnz1568/getInfo.php?workbook=10_05.xlsx&amp;sheet=U0&amp;row=17271&amp;col=7&amp;number=0.00709&amp;sourceID=14","0.00709")</f>
        <v>0.00709</v>
      </c>
    </row>
    <row r="17272" spans="1:7">
      <c r="A17272" s="3"/>
      <c r="B17272" s="3"/>
      <c r="C17272" s="3"/>
      <c r="D17272" s="3"/>
      <c r="E17272" s="3">
        <v>9</v>
      </c>
      <c r="F17272" s="4" t="str">
        <f>HYPERLINK("http://141.218.60.56/~jnz1568/getInfo.php?workbook=10_05.xlsx&amp;sheet=U0&amp;row=17272&amp;col=6&amp;number=3.8&amp;sourceID=14","3.8")</f>
        <v>3.8</v>
      </c>
      <c r="G17272" s="4" t="str">
        <f>HYPERLINK("http://141.218.60.56/~jnz1568/getInfo.php?workbook=10_05.xlsx&amp;sheet=U0&amp;row=17272&amp;col=7&amp;number=0.00711&amp;sourceID=14","0.00711")</f>
        <v>0.00711</v>
      </c>
    </row>
    <row r="17273" spans="1:7">
      <c r="A17273" s="3"/>
      <c r="B17273" s="3"/>
      <c r="C17273" s="3"/>
      <c r="D17273" s="3"/>
      <c r="E17273" s="3">
        <v>10</v>
      </c>
      <c r="F17273" s="4" t="str">
        <f>HYPERLINK("http://141.218.60.56/~jnz1568/getInfo.php?workbook=10_05.xlsx&amp;sheet=U0&amp;row=17273&amp;col=6&amp;number=3.9&amp;sourceID=14","3.9")</f>
        <v>3.9</v>
      </c>
      <c r="G17273" s="4" t="str">
        <f>HYPERLINK("http://141.218.60.56/~jnz1568/getInfo.php?workbook=10_05.xlsx&amp;sheet=U0&amp;row=17273&amp;col=7&amp;number=0.00713&amp;sourceID=14","0.00713")</f>
        <v>0.00713</v>
      </c>
    </row>
    <row r="17274" spans="1:7">
      <c r="A17274" s="3"/>
      <c r="B17274" s="3"/>
      <c r="C17274" s="3"/>
      <c r="D17274" s="3"/>
      <c r="E17274" s="3">
        <v>11</v>
      </c>
      <c r="F17274" s="4" t="str">
        <f>HYPERLINK("http://141.218.60.56/~jnz1568/getInfo.php?workbook=10_05.xlsx&amp;sheet=U0&amp;row=17274&amp;col=6&amp;number=4&amp;sourceID=14","4")</f>
        <v>4</v>
      </c>
      <c r="G17274" s="4" t="str">
        <f>HYPERLINK("http://141.218.60.56/~jnz1568/getInfo.php?workbook=10_05.xlsx&amp;sheet=U0&amp;row=17274&amp;col=7&amp;number=0.00715&amp;sourceID=14","0.00715")</f>
        <v>0.00715</v>
      </c>
    </row>
    <row r="17275" spans="1:7">
      <c r="A17275" s="3"/>
      <c r="B17275" s="3"/>
      <c r="C17275" s="3"/>
      <c r="D17275" s="3"/>
      <c r="E17275" s="3">
        <v>12</v>
      </c>
      <c r="F17275" s="4" t="str">
        <f>HYPERLINK("http://141.218.60.56/~jnz1568/getInfo.php?workbook=10_05.xlsx&amp;sheet=U0&amp;row=17275&amp;col=6&amp;number=4.1&amp;sourceID=14","4.1")</f>
        <v>4.1</v>
      </c>
      <c r="G17275" s="4" t="str">
        <f>HYPERLINK("http://141.218.60.56/~jnz1568/getInfo.php?workbook=10_05.xlsx&amp;sheet=U0&amp;row=17275&amp;col=7&amp;number=0.00718&amp;sourceID=14","0.00718")</f>
        <v>0.00718</v>
      </c>
    </row>
    <row r="17276" spans="1:7">
      <c r="A17276" s="3"/>
      <c r="B17276" s="3"/>
      <c r="C17276" s="3"/>
      <c r="D17276" s="3"/>
      <c r="E17276" s="3">
        <v>13</v>
      </c>
      <c r="F17276" s="4" t="str">
        <f>HYPERLINK("http://141.218.60.56/~jnz1568/getInfo.php?workbook=10_05.xlsx&amp;sheet=U0&amp;row=17276&amp;col=6&amp;number=4.2&amp;sourceID=14","4.2")</f>
        <v>4.2</v>
      </c>
      <c r="G17276" s="4" t="str">
        <f>HYPERLINK("http://141.218.60.56/~jnz1568/getInfo.php?workbook=10_05.xlsx&amp;sheet=U0&amp;row=17276&amp;col=7&amp;number=0.0072&amp;sourceID=14","0.0072")</f>
        <v>0.0072</v>
      </c>
    </row>
    <row r="17277" spans="1:7">
      <c r="A17277" s="3"/>
      <c r="B17277" s="3"/>
      <c r="C17277" s="3"/>
      <c r="D17277" s="3"/>
      <c r="E17277" s="3">
        <v>14</v>
      </c>
      <c r="F17277" s="4" t="str">
        <f>HYPERLINK("http://141.218.60.56/~jnz1568/getInfo.php?workbook=10_05.xlsx&amp;sheet=U0&amp;row=17277&amp;col=6&amp;number=4.3&amp;sourceID=14","4.3")</f>
        <v>4.3</v>
      </c>
      <c r="G17277" s="4" t="str">
        <f>HYPERLINK("http://141.218.60.56/~jnz1568/getInfo.php?workbook=10_05.xlsx&amp;sheet=U0&amp;row=17277&amp;col=7&amp;number=0.00723&amp;sourceID=14","0.00723")</f>
        <v>0.00723</v>
      </c>
    </row>
    <row r="17278" spans="1:7">
      <c r="A17278" s="3"/>
      <c r="B17278" s="3"/>
      <c r="C17278" s="3"/>
      <c r="D17278" s="3"/>
      <c r="E17278" s="3">
        <v>15</v>
      </c>
      <c r="F17278" s="4" t="str">
        <f>HYPERLINK("http://141.218.60.56/~jnz1568/getInfo.php?workbook=10_05.xlsx&amp;sheet=U0&amp;row=17278&amp;col=6&amp;number=4.4&amp;sourceID=14","4.4")</f>
        <v>4.4</v>
      </c>
      <c r="G17278" s="4" t="str">
        <f>HYPERLINK("http://141.218.60.56/~jnz1568/getInfo.php?workbook=10_05.xlsx&amp;sheet=U0&amp;row=17278&amp;col=7&amp;number=0.00725&amp;sourceID=14","0.00725")</f>
        <v>0.00725</v>
      </c>
    </row>
    <row r="17279" spans="1:7">
      <c r="A17279" s="3"/>
      <c r="B17279" s="3"/>
      <c r="C17279" s="3"/>
      <c r="D17279" s="3"/>
      <c r="E17279" s="3">
        <v>16</v>
      </c>
      <c r="F17279" s="4" t="str">
        <f>HYPERLINK("http://141.218.60.56/~jnz1568/getInfo.php?workbook=10_05.xlsx&amp;sheet=U0&amp;row=17279&amp;col=6&amp;number=4.5&amp;sourceID=14","4.5")</f>
        <v>4.5</v>
      </c>
      <c r="G17279" s="4" t="str">
        <f>HYPERLINK("http://141.218.60.56/~jnz1568/getInfo.php?workbook=10_05.xlsx&amp;sheet=U0&amp;row=17279&amp;col=7&amp;number=0.00726&amp;sourceID=14","0.00726")</f>
        <v>0.00726</v>
      </c>
    </row>
    <row r="17280" spans="1:7">
      <c r="A17280" s="3"/>
      <c r="B17280" s="3"/>
      <c r="C17280" s="3"/>
      <c r="D17280" s="3"/>
      <c r="E17280" s="3">
        <v>17</v>
      </c>
      <c r="F17280" s="4" t="str">
        <f>HYPERLINK("http://141.218.60.56/~jnz1568/getInfo.php?workbook=10_05.xlsx&amp;sheet=U0&amp;row=17280&amp;col=6&amp;number=4.6&amp;sourceID=14","4.6")</f>
        <v>4.6</v>
      </c>
      <c r="G17280" s="4" t="str">
        <f>HYPERLINK("http://141.218.60.56/~jnz1568/getInfo.php?workbook=10_05.xlsx&amp;sheet=U0&amp;row=17280&amp;col=7&amp;number=0.00725&amp;sourceID=14","0.00725")</f>
        <v>0.00725</v>
      </c>
    </row>
    <row r="17281" spans="1:7">
      <c r="A17281" s="3"/>
      <c r="B17281" s="3"/>
      <c r="C17281" s="3"/>
      <c r="D17281" s="3"/>
      <c r="E17281" s="3">
        <v>18</v>
      </c>
      <c r="F17281" s="4" t="str">
        <f>HYPERLINK("http://141.218.60.56/~jnz1568/getInfo.php?workbook=10_05.xlsx&amp;sheet=U0&amp;row=17281&amp;col=6&amp;number=4.7&amp;sourceID=14","4.7")</f>
        <v>4.7</v>
      </c>
      <c r="G17281" s="4" t="str">
        <f>HYPERLINK("http://141.218.60.56/~jnz1568/getInfo.php?workbook=10_05.xlsx&amp;sheet=U0&amp;row=17281&amp;col=7&amp;number=0.00722&amp;sourceID=14","0.00722")</f>
        <v>0.00722</v>
      </c>
    </row>
    <row r="17282" spans="1:7">
      <c r="A17282" s="3"/>
      <c r="B17282" s="3"/>
      <c r="C17282" s="3"/>
      <c r="D17282" s="3"/>
      <c r="E17282" s="3">
        <v>19</v>
      </c>
      <c r="F17282" s="4" t="str">
        <f>HYPERLINK("http://141.218.60.56/~jnz1568/getInfo.php?workbook=10_05.xlsx&amp;sheet=U0&amp;row=17282&amp;col=6&amp;number=4.8&amp;sourceID=14","4.8")</f>
        <v>4.8</v>
      </c>
      <c r="G17282" s="4" t="str">
        <f>HYPERLINK("http://141.218.60.56/~jnz1568/getInfo.php?workbook=10_05.xlsx&amp;sheet=U0&amp;row=17282&amp;col=7&amp;number=0.00718&amp;sourceID=14","0.00718")</f>
        <v>0.00718</v>
      </c>
    </row>
    <row r="17283" spans="1:7">
      <c r="A17283" s="3"/>
      <c r="B17283" s="3"/>
      <c r="C17283" s="3"/>
      <c r="D17283" s="3"/>
      <c r="E17283" s="3">
        <v>20</v>
      </c>
      <c r="F17283" s="4" t="str">
        <f>HYPERLINK("http://141.218.60.56/~jnz1568/getInfo.php?workbook=10_05.xlsx&amp;sheet=U0&amp;row=17283&amp;col=6&amp;number=4.9&amp;sourceID=14","4.9")</f>
        <v>4.9</v>
      </c>
      <c r="G17283" s="4" t="str">
        <f>HYPERLINK("http://141.218.60.56/~jnz1568/getInfo.php?workbook=10_05.xlsx&amp;sheet=U0&amp;row=17283&amp;col=7&amp;number=0.00712&amp;sourceID=14","0.00712")</f>
        <v>0.00712</v>
      </c>
    </row>
    <row r="17284" spans="1:7">
      <c r="A17284" s="3">
        <v>10</v>
      </c>
      <c r="B17284" s="3">
        <v>5</v>
      </c>
      <c r="C17284" s="3">
        <v>5</v>
      </c>
      <c r="D17284" s="3">
        <v>160</v>
      </c>
      <c r="E17284" s="3">
        <v>1</v>
      </c>
      <c r="F17284" s="4" t="str">
        <f>HYPERLINK("http://141.218.60.56/~jnz1568/getInfo.php?workbook=10_05.xlsx&amp;sheet=U0&amp;row=17284&amp;col=6&amp;number=3&amp;sourceID=14","3")</f>
        <v>3</v>
      </c>
      <c r="G17284" s="4" t="str">
        <f>HYPERLINK("http://141.218.60.56/~jnz1568/getInfo.php?workbook=10_05.xlsx&amp;sheet=U0&amp;row=17284&amp;col=7&amp;number=0.00206&amp;sourceID=14","0.00206")</f>
        <v>0.00206</v>
      </c>
    </row>
    <row r="17285" spans="1:7">
      <c r="A17285" s="3"/>
      <c r="B17285" s="3"/>
      <c r="C17285" s="3"/>
      <c r="D17285" s="3"/>
      <c r="E17285" s="3">
        <v>2</v>
      </c>
      <c r="F17285" s="4" t="str">
        <f>HYPERLINK("http://141.218.60.56/~jnz1568/getInfo.php?workbook=10_05.xlsx&amp;sheet=U0&amp;row=17285&amp;col=6&amp;number=3.1&amp;sourceID=14","3.1")</f>
        <v>3.1</v>
      </c>
      <c r="G17285" s="4" t="str">
        <f>HYPERLINK("http://141.218.60.56/~jnz1568/getInfo.php?workbook=10_05.xlsx&amp;sheet=U0&amp;row=17285&amp;col=7&amp;number=0.00206&amp;sourceID=14","0.00206")</f>
        <v>0.00206</v>
      </c>
    </row>
    <row r="17286" spans="1:7">
      <c r="A17286" s="3"/>
      <c r="B17286" s="3"/>
      <c r="C17286" s="3"/>
      <c r="D17286" s="3"/>
      <c r="E17286" s="3">
        <v>3</v>
      </c>
      <c r="F17286" s="4" t="str">
        <f>HYPERLINK("http://141.218.60.56/~jnz1568/getInfo.php?workbook=10_05.xlsx&amp;sheet=U0&amp;row=17286&amp;col=6&amp;number=3.2&amp;sourceID=14","3.2")</f>
        <v>3.2</v>
      </c>
      <c r="G17286" s="4" t="str">
        <f>HYPERLINK("http://141.218.60.56/~jnz1568/getInfo.php?workbook=10_05.xlsx&amp;sheet=U0&amp;row=17286&amp;col=7&amp;number=0.00206&amp;sourceID=14","0.00206")</f>
        <v>0.00206</v>
      </c>
    </row>
    <row r="17287" spans="1:7">
      <c r="A17287" s="3"/>
      <c r="B17287" s="3"/>
      <c r="C17287" s="3"/>
      <c r="D17287" s="3"/>
      <c r="E17287" s="3">
        <v>4</v>
      </c>
      <c r="F17287" s="4" t="str">
        <f>HYPERLINK("http://141.218.60.56/~jnz1568/getInfo.php?workbook=10_05.xlsx&amp;sheet=U0&amp;row=17287&amp;col=6&amp;number=3.3&amp;sourceID=14","3.3")</f>
        <v>3.3</v>
      </c>
      <c r="G17287" s="4" t="str">
        <f>HYPERLINK("http://141.218.60.56/~jnz1568/getInfo.php?workbook=10_05.xlsx&amp;sheet=U0&amp;row=17287&amp;col=7&amp;number=0.00206&amp;sourceID=14","0.00206")</f>
        <v>0.00206</v>
      </c>
    </row>
    <row r="17288" spans="1:7">
      <c r="A17288" s="3"/>
      <c r="B17288" s="3"/>
      <c r="C17288" s="3"/>
      <c r="D17288" s="3"/>
      <c r="E17288" s="3">
        <v>5</v>
      </c>
      <c r="F17288" s="4" t="str">
        <f>HYPERLINK("http://141.218.60.56/~jnz1568/getInfo.php?workbook=10_05.xlsx&amp;sheet=U0&amp;row=17288&amp;col=6&amp;number=3.4&amp;sourceID=14","3.4")</f>
        <v>3.4</v>
      </c>
      <c r="G17288" s="4" t="str">
        <f>HYPERLINK("http://141.218.60.56/~jnz1568/getInfo.php?workbook=10_05.xlsx&amp;sheet=U0&amp;row=17288&amp;col=7&amp;number=0.00206&amp;sourceID=14","0.00206")</f>
        <v>0.00206</v>
      </c>
    </row>
    <row r="17289" spans="1:7">
      <c r="A17289" s="3"/>
      <c r="B17289" s="3"/>
      <c r="C17289" s="3"/>
      <c r="D17289" s="3"/>
      <c r="E17289" s="3">
        <v>6</v>
      </c>
      <c r="F17289" s="4" t="str">
        <f>HYPERLINK("http://141.218.60.56/~jnz1568/getInfo.php?workbook=10_05.xlsx&amp;sheet=U0&amp;row=17289&amp;col=6&amp;number=3.5&amp;sourceID=14","3.5")</f>
        <v>3.5</v>
      </c>
      <c r="G17289" s="4" t="str">
        <f>HYPERLINK("http://141.218.60.56/~jnz1568/getInfo.php?workbook=10_05.xlsx&amp;sheet=U0&amp;row=17289&amp;col=7&amp;number=0.00206&amp;sourceID=14","0.00206")</f>
        <v>0.00206</v>
      </c>
    </row>
    <row r="17290" spans="1:7">
      <c r="A17290" s="3"/>
      <c r="B17290" s="3"/>
      <c r="C17290" s="3"/>
      <c r="D17290" s="3"/>
      <c r="E17290" s="3">
        <v>7</v>
      </c>
      <c r="F17290" s="4" t="str">
        <f>HYPERLINK("http://141.218.60.56/~jnz1568/getInfo.php?workbook=10_05.xlsx&amp;sheet=U0&amp;row=17290&amp;col=6&amp;number=3.6&amp;sourceID=14","3.6")</f>
        <v>3.6</v>
      </c>
      <c r="G17290" s="4" t="str">
        <f>HYPERLINK("http://141.218.60.56/~jnz1568/getInfo.php?workbook=10_05.xlsx&amp;sheet=U0&amp;row=17290&amp;col=7&amp;number=0.00207&amp;sourceID=14","0.00207")</f>
        <v>0.00207</v>
      </c>
    </row>
    <row r="17291" spans="1:7">
      <c r="A17291" s="3"/>
      <c r="B17291" s="3"/>
      <c r="C17291" s="3"/>
      <c r="D17291" s="3"/>
      <c r="E17291" s="3">
        <v>8</v>
      </c>
      <c r="F17291" s="4" t="str">
        <f>HYPERLINK("http://141.218.60.56/~jnz1568/getInfo.php?workbook=10_05.xlsx&amp;sheet=U0&amp;row=17291&amp;col=6&amp;number=3.7&amp;sourceID=14","3.7")</f>
        <v>3.7</v>
      </c>
      <c r="G17291" s="4" t="str">
        <f>HYPERLINK("http://141.218.60.56/~jnz1568/getInfo.php?workbook=10_05.xlsx&amp;sheet=U0&amp;row=17291&amp;col=7&amp;number=0.00207&amp;sourceID=14","0.00207")</f>
        <v>0.00207</v>
      </c>
    </row>
    <row r="17292" spans="1:7">
      <c r="A17292" s="3"/>
      <c r="B17292" s="3"/>
      <c r="C17292" s="3"/>
      <c r="D17292" s="3"/>
      <c r="E17292" s="3">
        <v>9</v>
      </c>
      <c r="F17292" s="4" t="str">
        <f>HYPERLINK("http://141.218.60.56/~jnz1568/getInfo.php?workbook=10_05.xlsx&amp;sheet=U0&amp;row=17292&amp;col=6&amp;number=3.8&amp;sourceID=14","3.8")</f>
        <v>3.8</v>
      </c>
      <c r="G17292" s="4" t="str">
        <f>HYPERLINK("http://141.218.60.56/~jnz1568/getInfo.php?workbook=10_05.xlsx&amp;sheet=U0&amp;row=17292&amp;col=7&amp;number=0.00207&amp;sourceID=14","0.00207")</f>
        <v>0.00207</v>
      </c>
    </row>
    <row r="17293" spans="1:7">
      <c r="A17293" s="3"/>
      <c r="B17293" s="3"/>
      <c r="C17293" s="3"/>
      <c r="D17293" s="3"/>
      <c r="E17293" s="3">
        <v>10</v>
      </c>
      <c r="F17293" s="4" t="str">
        <f>HYPERLINK("http://141.218.60.56/~jnz1568/getInfo.php?workbook=10_05.xlsx&amp;sheet=U0&amp;row=17293&amp;col=6&amp;number=3.9&amp;sourceID=14","3.9")</f>
        <v>3.9</v>
      </c>
      <c r="G17293" s="4" t="str">
        <f>HYPERLINK("http://141.218.60.56/~jnz1568/getInfo.php?workbook=10_05.xlsx&amp;sheet=U0&amp;row=17293&amp;col=7&amp;number=0.00207&amp;sourceID=14","0.00207")</f>
        <v>0.00207</v>
      </c>
    </row>
    <row r="17294" spans="1:7">
      <c r="A17294" s="3"/>
      <c r="B17294" s="3"/>
      <c r="C17294" s="3"/>
      <c r="D17294" s="3"/>
      <c r="E17294" s="3">
        <v>11</v>
      </c>
      <c r="F17294" s="4" t="str">
        <f>HYPERLINK("http://141.218.60.56/~jnz1568/getInfo.php?workbook=10_05.xlsx&amp;sheet=U0&amp;row=17294&amp;col=6&amp;number=4&amp;sourceID=14","4")</f>
        <v>4</v>
      </c>
      <c r="G17294" s="4" t="str">
        <f>HYPERLINK("http://141.218.60.56/~jnz1568/getInfo.php?workbook=10_05.xlsx&amp;sheet=U0&amp;row=17294&amp;col=7&amp;number=0.00208&amp;sourceID=14","0.00208")</f>
        <v>0.00208</v>
      </c>
    </row>
    <row r="17295" spans="1:7">
      <c r="A17295" s="3"/>
      <c r="B17295" s="3"/>
      <c r="C17295" s="3"/>
      <c r="D17295" s="3"/>
      <c r="E17295" s="3">
        <v>12</v>
      </c>
      <c r="F17295" s="4" t="str">
        <f>HYPERLINK("http://141.218.60.56/~jnz1568/getInfo.php?workbook=10_05.xlsx&amp;sheet=U0&amp;row=17295&amp;col=6&amp;number=4.1&amp;sourceID=14","4.1")</f>
        <v>4.1</v>
      </c>
      <c r="G17295" s="4" t="str">
        <f>HYPERLINK("http://141.218.60.56/~jnz1568/getInfo.php?workbook=10_05.xlsx&amp;sheet=U0&amp;row=17295&amp;col=7&amp;number=0.00208&amp;sourceID=14","0.00208")</f>
        <v>0.00208</v>
      </c>
    </row>
    <row r="17296" spans="1:7">
      <c r="A17296" s="3"/>
      <c r="B17296" s="3"/>
      <c r="C17296" s="3"/>
      <c r="D17296" s="3"/>
      <c r="E17296" s="3">
        <v>13</v>
      </c>
      <c r="F17296" s="4" t="str">
        <f>HYPERLINK("http://141.218.60.56/~jnz1568/getInfo.php?workbook=10_05.xlsx&amp;sheet=U0&amp;row=17296&amp;col=6&amp;number=4.2&amp;sourceID=14","4.2")</f>
        <v>4.2</v>
      </c>
      <c r="G17296" s="4" t="str">
        <f>HYPERLINK("http://141.218.60.56/~jnz1568/getInfo.php?workbook=10_05.xlsx&amp;sheet=U0&amp;row=17296&amp;col=7&amp;number=0.00208&amp;sourceID=14","0.00208")</f>
        <v>0.00208</v>
      </c>
    </row>
    <row r="17297" spans="1:7">
      <c r="A17297" s="3"/>
      <c r="B17297" s="3"/>
      <c r="C17297" s="3"/>
      <c r="D17297" s="3"/>
      <c r="E17297" s="3">
        <v>14</v>
      </c>
      <c r="F17297" s="4" t="str">
        <f>HYPERLINK("http://141.218.60.56/~jnz1568/getInfo.php?workbook=10_05.xlsx&amp;sheet=U0&amp;row=17297&amp;col=6&amp;number=4.3&amp;sourceID=14","4.3")</f>
        <v>4.3</v>
      </c>
      <c r="G17297" s="4" t="str">
        <f>HYPERLINK("http://141.218.60.56/~jnz1568/getInfo.php?workbook=10_05.xlsx&amp;sheet=U0&amp;row=17297&amp;col=7&amp;number=0.00208&amp;sourceID=14","0.00208")</f>
        <v>0.00208</v>
      </c>
    </row>
    <row r="17298" spans="1:7">
      <c r="A17298" s="3"/>
      <c r="B17298" s="3"/>
      <c r="C17298" s="3"/>
      <c r="D17298" s="3"/>
      <c r="E17298" s="3">
        <v>15</v>
      </c>
      <c r="F17298" s="4" t="str">
        <f>HYPERLINK("http://141.218.60.56/~jnz1568/getInfo.php?workbook=10_05.xlsx&amp;sheet=U0&amp;row=17298&amp;col=6&amp;number=4.4&amp;sourceID=14","4.4")</f>
        <v>4.4</v>
      </c>
      <c r="G17298" s="4" t="str">
        <f>HYPERLINK("http://141.218.60.56/~jnz1568/getInfo.php?workbook=10_05.xlsx&amp;sheet=U0&amp;row=17298&amp;col=7&amp;number=0.00207&amp;sourceID=14","0.00207")</f>
        <v>0.00207</v>
      </c>
    </row>
    <row r="17299" spans="1:7">
      <c r="A17299" s="3"/>
      <c r="B17299" s="3"/>
      <c r="C17299" s="3"/>
      <c r="D17299" s="3"/>
      <c r="E17299" s="3">
        <v>16</v>
      </c>
      <c r="F17299" s="4" t="str">
        <f>HYPERLINK("http://141.218.60.56/~jnz1568/getInfo.php?workbook=10_05.xlsx&amp;sheet=U0&amp;row=17299&amp;col=6&amp;number=4.5&amp;sourceID=14","4.5")</f>
        <v>4.5</v>
      </c>
      <c r="G17299" s="4" t="str">
        <f>HYPERLINK("http://141.218.60.56/~jnz1568/getInfo.php?workbook=10_05.xlsx&amp;sheet=U0&amp;row=17299&amp;col=7&amp;number=0.00205&amp;sourceID=14","0.00205")</f>
        <v>0.00205</v>
      </c>
    </row>
    <row r="17300" spans="1:7">
      <c r="A17300" s="3"/>
      <c r="B17300" s="3"/>
      <c r="C17300" s="3"/>
      <c r="D17300" s="3"/>
      <c r="E17300" s="3">
        <v>17</v>
      </c>
      <c r="F17300" s="4" t="str">
        <f>HYPERLINK("http://141.218.60.56/~jnz1568/getInfo.php?workbook=10_05.xlsx&amp;sheet=U0&amp;row=17300&amp;col=6&amp;number=4.6&amp;sourceID=14","4.6")</f>
        <v>4.6</v>
      </c>
      <c r="G17300" s="4" t="str">
        <f>HYPERLINK("http://141.218.60.56/~jnz1568/getInfo.php?workbook=10_05.xlsx&amp;sheet=U0&amp;row=17300&amp;col=7&amp;number=0.00202&amp;sourceID=14","0.00202")</f>
        <v>0.00202</v>
      </c>
    </row>
    <row r="17301" spans="1:7">
      <c r="A17301" s="3"/>
      <c r="B17301" s="3"/>
      <c r="C17301" s="3"/>
      <c r="D17301" s="3"/>
      <c r="E17301" s="3">
        <v>18</v>
      </c>
      <c r="F17301" s="4" t="str">
        <f>HYPERLINK("http://141.218.60.56/~jnz1568/getInfo.php?workbook=10_05.xlsx&amp;sheet=U0&amp;row=17301&amp;col=6&amp;number=4.7&amp;sourceID=14","4.7")</f>
        <v>4.7</v>
      </c>
      <c r="G17301" s="4" t="str">
        <f>HYPERLINK("http://141.218.60.56/~jnz1568/getInfo.php?workbook=10_05.xlsx&amp;sheet=U0&amp;row=17301&amp;col=7&amp;number=0.00198&amp;sourceID=14","0.00198")</f>
        <v>0.00198</v>
      </c>
    </row>
    <row r="17302" spans="1:7">
      <c r="A17302" s="3"/>
      <c r="B17302" s="3"/>
      <c r="C17302" s="3"/>
      <c r="D17302" s="3"/>
      <c r="E17302" s="3">
        <v>19</v>
      </c>
      <c r="F17302" s="4" t="str">
        <f>HYPERLINK("http://141.218.60.56/~jnz1568/getInfo.php?workbook=10_05.xlsx&amp;sheet=U0&amp;row=17302&amp;col=6&amp;number=4.8&amp;sourceID=14","4.8")</f>
        <v>4.8</v>
      </c>
      <c r="G17302" s="4" t="str">
        <f>HYPERLINK("http://141.218.60.56/~jnz1568/getInfo.php?workbook=10_05.xlsx&amp;sheet=U0&amp;row=17302&amp;col=7&amp;number=0.00195&amp;sourceID=14","0.00195")</f>
        <v>0.00195</v>
      </c>
    </row>
    <row r="17303" spans="1:7">
      <c r="A17303" s="3"/>
      <c r="B17303" s="3"/>
      <c r="C17303" s="3"/>
      <c r="D17303" s="3"/>
      <c r="E17303" s="3">
        <v>20</v>
      </c>
      <c r="F17303" s="4" t="str">
        <f>HYPERLINK("http://141.218.60.56/~jnz1568/getInfo.php?workbook=10_05.xlsx&amp;sheet=U0&amp;row=17303&amp;col=6&amp;number=4.9&amp;sourceID=14","4.9")</f>
        <v>4.9</v>
      </c>
      <c r="G17303" s="4" t="str">
        <f>HYPERLINK("http://141.218.60.56/~jnz1568/getInfo.php?workbook=10_05.xlsx&amp;sheet=U0&amp;row=17303&amp;col=7&amp;number=0.00191&amp;sourceID=14","0.00191")</f>
        <v>0.00191</v>
      </c>
    </row>
    <row r="17304" spans="1:7">
      <c r="A17304" s="3">
        <v>10</v>
      </c>
      <c r="B17304" s="3">
        <v>5</v>
      </c>
      <c r="C17304" s="3">
        <v>5</v>
      </c>
      <c r="D17304" s="3">
        <v>161</v>
      </c>
      <c r="E17304" s="3">
        <v>1</v>
      </c>
      <c r="F17304" s="4" t="str">
        <f>HYPERLINK("http://141.218.60.56/~jnz1568/getInfo.php?workbook=10_05.xlsx&amp;sheet=U0&amp;row=17304&amp;col=6&amp;number=3&amp;sourceID=14","3")</f>
        <v>3</v>
      </c>
      <c r="G17304" s="4" t="str">
        <f>HYPERLINK("http://141.218.60.56/~jnz1568/getInfo.php?workbook=10_05.xlsx&amp;sheet=U0&amp;row=17304&amp;col=7&amp;number=0.000493&amp;sourceID=14","0.000493")</f>
        <v>0.000493</v>
      </c>
    </row>
    <row r="17305" spans="1:7">
      <c r="A17305" s="3"/>
      <c r="B17305" s="3"/>
      <c r="C17305" s="3"/>
      <c r="D17305" s="3"/>
      <c r="E17305" s="3">
        <v>2</v>
      </c>
      <c r="F17305" s="4" t="str">
        <f>HYPERLINK("http://141.218.60.56/~jnz1568/getInfo.php?workbook=10_05.xlsx&amp;sheet=U0&amp;row=17305&amp;col=6&amp;number=3.1&amp;sourceID=14","3.1")</f>
        <v>3.1</v>
      </c>
      <c r="G17305" s="4" t="str">
        <f>HYPERLINK("http://141.218.60.56/~jnz1568/getInfo.php?workbook=10_05.xlsx&amp;sheet=U0&amp;row=17305&amp;col=7&amp;number=0.000492&amp;sourceID=14","0.000492")</f>
        <v>0.000492</v>
      </c>
    </row>
    <row r="17306" spans="1:7">
      <c r="A17306" s="3"/>
      <c r="B17306" s="3"/>
      <c r="C17306" s="3"/>
      <c r="D17306" s="3"/>
      <c r="E17306" s="3">
        <v>3</v>
      </c>
      <c r="F17306" s="4" t="str">
        <f>HYPERLINK("http://141.218.60.56/~jnz1568/getInfo.php?workbook=10_05.xlsx&amp;sheet=U0&amp;row=17306&amp;col=6&amp;number=3.2&amp;sourceID=14","3.2")</f>
        <v>3.2</v>
      </c>
      <c r="G17306" s="4" t="str">
        <f>HYPERLINK("http://141.218.60.56/~jnz1568/getInfo.php?workbook=10_05.xlsx&amp;sheet=U0&amp;row=17306&amp;col=7&amp;number=0.00049&amp;sourceID=14","0.00049")</f>
        <v>0.00049</v>
      </c>
    </row>
    <row r="17307" spans="1:7">
      <c r="A17307" s="3"/>
      <c r="B17307" s="3"/>
      <c r="C17307" s="3"/>
      <c r="D17307" s="3"/>
      <c r="E17307" s="3">
        <v>4</v>
      </c>
      <c r="F17307" s="4" t="str">
        <f>HYPERLINK("http://141.218.60.56/~jnz1568/getInfo.php?workbook=10_05.xlsx&amp;sheet=U0&amp;row=17307&amp;col=6&amp;number=3.3&amp;sourceID=14","3.3")</f>
        <v>3.3</v>
      </c>
      <c r="G17307" s="4" t="str">
        <f>HYPERLINK("http://141.218.60.56/~jnz1568/getInfo.php?workbook=10_05.xlsx&amp;sheet=U0&amp;row=17307&amp;col=7&amp;number=0.000488&amp;sourceID=14","0.000488")</f>
        <v>0.000488</v>
      </c>
    </row>
    <row r="17308" spans="1:7">
      <c r="A17308" s="3"/>
      <c r="B17308" s="3"/>
      <c r="C17308" s="3"/>
      <c r="D17308" s="3"/>
      <c r="E17308" s="3">
        <v>5</v>
      </c>
      <c r="F17308" s="4" t="str">
        <f>HYPERLINK("http://141.218.60.56/~jnz1568/getInfo.php?workbook=10_05.xlsx&amp;sheet=U0&amp;row=17308&amp;col=6&amp;number=3.4&amp;sourceID=14","3.4")</f>
        <v>3.4</v>
      </c>
      <c r="G17308" s="4" t="str">
        <f>HYPERLINK("http://141.218.60.56/~jnz1568/getInfo.php?workbook=10_05.xlsx&amp;sheet=U0&amp;row=17308&amp;col=7&amp;number=0.000485&amp;sourceID=14","0.000485")</f>
        <v>0.000485</v>
      </c>
    </row>
    <row r="17309" spans="1:7">
      <c r="A17309" s="3"/>
      <c r="B17309" s="3"/>
      <c r="C17309" s="3"/>
      <c r="D17309" s="3"/>
      <c r="E17309" s="3">
        <v>6</v>
      </c>
      <c r="F17309" s="4" t="str">
        <f>HYPERLINK("http://141.218.60.56/~jnz1568/getInfo.php?workbook=10_05.xlsx&amp;sheet=U0&amp;row=17309&amp;col=6&amp;number=3.5&amp;sourceID=14","3.5")</f>
        <v>3.5</v>
      </c>
      <c r="G17309" s="4" t="str">
        <f>HYPERLINK("http://141.218.60.56/~jnz1568/getInfo.php?workbook=10_05.xlsx&amp;sheet=U0&amp;row=17309&amp;col=7&amp;number=0.000482&amp;sourceID=14","0.000482")</f>
        <v>0.000482</v>
      </c>
    </row>
    <row r="17310" spans="1:7">
      <c r="A17310" s="3"/>
      <c r="B17310" s="3"/>
      <c r="C17310" s="3"/>
      <c r="D17310" s="3"/>
      <c r="E17310" s="3">
        <v>7</v>
      </c>
      <c r="F17310" s="4" t="str">
        <f>HYPERLINK("http://141.218.60.56/~jnz1568/getInfo.php?workbook=10_05.xlsx&amp;sheet=U0&amp;row=17310&amp;col=6&amp;number=3.6&amp;sourceID=14","3.6")</f>
        <v>3.6</v>
      </c>
      <c r="G17310" s="4" t="str">
        <f>HYPERLINK("http://141.218.60.56/~jnz1568/getInfo.php?workbook=10_05.xlsx&amp;sheet=U0&amp;row=17310&amp;col=7&amp;number=0.000478&amp;sourceID=14","0.000478")</f>
        <v>0.000478</v>
      </c>
    </row>
    <row r="17311" spans="1:7">
      <c r="A17311" s="3"/>
      <c r="B17311" s="3"/>
      <c r="C17311" s="3"/>
      <c r="D17311" s="3"/>
      <c r="E17311" s="3">
        <v>8</v>
      </c>
      <c r="F17311" s="4" t="str">
        <f>HYPERLINK("http://141.218.60.56/~jnz1568/getInfo.php?workbook=10_05.xlsx&amp;sheet=U0&amp;row=17311&amp;col=6&amp;number=3.7&amp;sourceID=14","3.7")</f>
        <v>3.7</v>
      </c>
      <c r="G17311" s="4" t="str">
        <f>HYPERLINK("http://141.218.60.56/~jnz1568/getInfo.php?workbook=10_05.xlsx&amp;sheet=U0&amp;row=17311&amp;col=7&amp;number=0.000472&amp;sourceID=14","0.000472")</f>
        <v>0.000472</v>
      </c>
    </row>
    <row r="17312" spans="1:7">
      <c r="A17312" s="3"/>
      <c r="B17312" s="3"/>
      <c r="C17312" s="3"/>
      <c r="D17312" s="3"/>
      <c r="E17312" s="3">
        <v>9</v>
      </c>
      <c r="F17312" s="4" t="str">
        <f>HYPERLINK("http://141.218.60.56/~jnz1568/getInfo.php?workbook=10_05.xlsx&amp;sheet=U0&amp;row=17312&amp;col=6&amp;number=3.8&amp;sourceID=14","3.8")</f>
        <v>3.8</v>
      </c>
      <c r="G17312" s="4" t="str">
        <f>HYPERLINK("http://141.218.60.56/~jnz1568/getInfo.php?workbook=10_05.xlsx&amp;sheet=U0&amp;row=17312&amp;col=7&amp;number=0.000466&amp;sourceID=14","0.000466")</f>
        <v>0.000466</v>
      </c>
    </row>
    <row r="17313" spans="1:7">
      <c r="A17313" s="3"/>
      <c r="B17313" s="3"/>
      <c r="C17313" s="3"/>
      <c r="D17313" s="3"/>
      <c r="E17313" s="3">
        <v>10</v>
      </c>
      <c r="F17313" s="4" t="str">
        <f>HYPERLINK("http://141.218.60.56/~jnz1568/getInfo.php?workbook=10_05.xlsx&amp;sheet=U0&amp;row=17313&amp;col=6&amp;number=3.9&amp;sourceID=14","3.9")</f>
        <v>3.9</v>
      </c>
      <c r="G17313" s="4" t="str">
        <f>HYPERLINK("http://141.218.60.56/~jnz1568/getInfo.php?workbook=10_05.xlsx&amp;sheet=U0&amp;row=17313&amp;col=7&amp;number=0.000458&amp;sourceID=14","0.000458")</f>
        <v>0.000458</v>
      </c>
    </row>
    <row r="17314" spans="1:7">
      <c r="A17314" s="3"/>
      <c r="B17314" s="3"/>
      <c r="C17314" s="3"/>
      <c r="D17314" s="3"/>
      <c r="E17314" s="3">
        <v>11</v>
      </c>
      <c r="F17314" s="4" t="str">
        <f>HYPERLINK("http://141.218.60.56/~jnz1568/getInfo.php?workbook=10_05.xlsx&amp;sheet=U0&amp;row=17314&amp;col=6&amp;number=4&amp;sourceID=14","4")</f>
        <v>4</v>
      </c>
      <c r="G17314" s="4" t="str">
        <f>HYPERLINK("http://141.218.60.56/~jnz1568/getInfo.php?workbook=10_05.xlsx&amp;sheet=U0&amp;row=17314&amp;col=7&amp;number=0.000448&amp;sourceID=14","0.000448")</f>
        <v>0.000448</v>
      </c>
    </row>
    <row r="17315" spans="1:7">
      <c r="A17315" s="3"/>
      <c r="B17315" s="3"/>
      <c r="C17315" s="3"/>
      <c r="D17315" s="3"/>
      <c r="E17315" s="3">
        <v>12</v>
      </c>
      <c r="F17315" s="4" t="str">
        <f>HYPERLINK("http://141.218.60.56/~jnz1568/getInfo.php?workbook=10_05.xlsx&amp;sheet=U0&amp;row=17315&amp;col=6&amp;number=4.1&amp;sourceID=14","4.1")</f>
        <v>4.1</v>
      </c>
      <c r="G17315" s="4" t="str">
        <f>HYPERLINK("http://141.218.60.56/~jnz1568/getInfo.php?workbook=10_05.xlsx&amp;sheet=U0&amp;row=17315&amp;col=7&amp;number=0.000438&amp;sourceID=14","0.000438")</f>
        <v>0.000438</v>
      </c>
    </row>
    <row r="17316" spans="1:7">
      <c r="A17316" s="3"/>
      <c r="B17316" s="3"/>
      <c r="C17316" s="3"/>
      <c r="D17316" s="3"/>
      <c r="E17316" s="3">
        <v>13</v>
      </c>
      <c r="F17316" s="4" t="str">
        <f>HYPERLINK("http://141.218.60.56/~jnz1568/getInfo.php?workbook=10_05.xlsx&amp;sheet=U0&amp;row=17316&amp;col=6&amp;number=4.2&amp;sourceID=14","4.2")</f>
        <v>4.2</v>
      </c>
      <c r="G17316" s="4" t="str">
        <f>HYPERLINK("http://141.218.60.56/~jnz1568/getInfo.php?workbook=10_05.xlsx&amp;sheet=U0&amp;row=17316&amp;col=7&amp;number=0.000425&amp;sourceID=14","0.000425")</f>
        <v>0.000425</v>
      </c>
    </row>
    <row r="17317" spans="1:7">
      <c r="A17317" s="3"/>
      <c r="B17317" s="3"/>
      <c r="C17317" s="3"/>
      <c r="D17317" s="3"/>
      <c r="E17317" s="3">
        <v>14</v>
      </c>
      <c r="F17317" s="4" t="str">
        <f>HYPERLINK("http://141.218.60.56/~jnz1568/getInfo.php?workbook=10_05.xlsx&amp;sheet=U0&amp;row=17317&amp;col=6&amp;number=4.3&amp;sourceID=14","4.3")</f>
        <v>4.3</v>
      </c>
      <c r="G17317" s="4" t="str">
        <f>HYPERLINK("http://141.218.60.56/~jnz1568/getInfo.php?workbook=10_05.xlsx&amp;sheet=U0&amp;row=17317&amp;col=7&amp;number=0.000412&amp;sourceID=14","0.000412")</f>
        <v>0.000412</v>
      </c>
    </row>
    <row r="17318" spans="1:7">
      <c r="A17318" s="3"/>
      <c r="B17318" s="3"/>
      <c r="C17318" s="3"/>
      <c r="D17318" s="3"/>
      <c r="E17318" s="3">
        <v>15</v>
      </c>
      <c r="F17318" s="4" t="str">
        <f>HYPERLINK("http://141.218.60.56/~jnz1568/getInfo.php?workbook=10_05.xlsx&amp;sheet=U0&amp;row=17318&amp;col=6&amp;number=4.4&amp;sourceID=14","4.4")</f>
        <v>4.4</v>
      </c>
      <c r="G17318" s="4" t="str">
        <f>HYPERLINK("http://141.218.60.56/~jnz1568/getInfo.php?workbook=10_05.xlsx&amp;sheet=U0&amp;row=17318&amp;col=7&amp;number=0.0004&amp;sourceID=14","0.0004")</f>
        <v>0.0004</v>
      </c>
    </row>
    <row r="17319" spans="1:7">
      <c r="A17319" s="3"/>
      <c r="B17319" s="3"/>
      <c r="C17319" s="3"/>
      <c r="D17319" s="3"/>
      <c r="E17319" s="3">
        <v>16</v>
      </c>
      <c r="F17319" s="4" t="str">
        <f>HYPERLINK("http://141.218.60.56/~jnz1568/getInfo.php?workbook=10_05.xlsx&amp;sheet=U0&amp;row=17319&amp;col=6&amp;number=4.5&amp;sourceID=14","4.5")</f>
        <v>4.5</v>
      </c>
      <c r="G17319" s="4" t="str">
        <f>HYPERLINK("http://141.218.60.56/~jnz1568/getInfo.php?workbook=10_05.xlsx&amp;sheet=U0&amp;row=17319&amp;col=7&amp;number=0.00039&amp;sourceID=14","0.00039")</f>
        <v>0.00039</v>
      </c>
    </row>
    <row r="17320" spans="1:7">
      <c r="A17320" s="3"/>
      <c r="B17320" s="3"/>
      <c r="C17320" s="3"/>
      <c r="D17320" s="3"/>
      <c r="E17320" s="3">
        <v>17</v>
      </c>
      <c r="F17320" s="4" t="str">
        <f>HYPERLINK("http://141.218.60.56/~jnz1568/getInfo.php?workbook=10_05.xlsx&amp;sheet=U0&amp;row=17320&amp;col=6&amp;number=4.6&amp;sourceID=14","4.6")</f>
        <v>4.6</v>
      </c>
      <c r="G17320" s="4" t="str">
        <f>HYPERLINK("http://141.218.60.56/~jnz1568/getInfo.php?workbook=10_05.xlsx&amp;sheet=U0&amp;row=17320&amp;col=7&amp;number=0.000381&amp;sourceID=14","0.000381")</f>
        <v>0.000381</v>
      </c>
    </row>
    <row r="17321" spans="1:7">
      <c r="A17321" s="3"/>
      <c r="B17321" s="3"/>
      <c r="C17321" s="3"/>
      <c r="D17321" s="3"/>
      <c r="E17321" s="3">
        <v>18</v>
      </c>
      <c r="F17321" s="4" t="str">
        <f>HYPERLINK("http://141.218.60.56/~jnz1568/getInfo.php?workbook=10_05.xlsx&amp;sheet=U0&amp;row=17321&amp;col=6&amp;number=4.7&amp;sourceID=14","4.7")</f>
        <v>4.7</v>
      </c>
      <c r="G17321" s="4" t="str">
        <f>HYPERLINK("http://141.218.60.56/~jnz1568/getInfo.php?workbook=10_05.xlsx&amp;sheet=U0&amp;row=17321&amp;col=7&amp;number=0.000373&amp;sourceID=14","0.000373")</f>
        <v>0.000373</v>
      </c>
    </row>
    <row r="17322" spans="1:7">
      <c r="A17322" s="3"/>
      <c r="B17322" s="3"/>
      <c r="C17322" s="3"/>
      <c r="D17322" s="3"/>
      <c r="E17322" s="3">
        <v>19</v>
      </c>
      <c r="F17322" s="4" t="str">
        <f>HYPERLINK("http://141.218.60.56/~jnz1568/getInfo.php?workbook=10_05.xlsx&amp;sheet=U0&amp;row=17322&amp;col=6&amp;number=4.8&amp;sourceID=14","4.8")</f>
        <v>4.8</v>
      </c>
      <c r="G17322" s="4" t="str">
        <f>HYPERLINK("http://141.218.60.56/~jnz1568/getInfo.php?workbook=10_05.xlsx&amp;sheet=U0&amp;row=17322&amp;col=7&amp;number=0.000364&amp;sourceID=14","0.000364")</f>
        <v>0.000364</v>
      </c>
    </row>
    <row r="17323" spans="1:7">
      <c r="A17323" s="3"/>
      <c r="B17323" s="3"/>
      <c r="C17323" s="3"/>
      <c r="D17323" s="3"/>
      <c r="E17323" s="3">
        <v>20</v>
      </c>
      <c r="F17323" s="4" t="str">
        <f>HYPERLINK("http://141.218.60.56/~jnz1568/getInfo.php?workbook=10_05.xlsx&amp;sheet=U0&amp;row=17323&amp;col=6&amp;number=4.9&amp;sourceID=14","4.9")</f>
        <v>4.9</v>
      </c>
      <c r="G17323" s="4" t="str">
        <f>HYPERLINK("http://141.218.60.56/~jnz1568/getInfo.php?workbook=10_05.xlsx&amp;sheet=U0&amp;row=17323&amp;col=7&amp;number=0.000354&amp;sourceID=14","0.000354")</f>
        <v>0.000354</v>
      </c>
    </row>
    <row r="17324" spans="1:7">
      <c r="A17324" s="3">
        <v>10</v>
      </c>
      <c r="B17324" s="3">
        <v>5</v>
      </c>
      <c r="C17324" s="3">
        <v>5</v>
      </c>
      <c r="D17324" s="3">
        <v>162</v>
      </c>
      <c r="E17324" s="3">
        <v>1</v>
      </c>
      <c r="F17324" s="4" t="str">
        <f>HYPERLINK("http://141.218.60.56/~jnz1568/getInfo.php?workbook=10_05.xlsx&amp;sheet=U0&amp;row=17324&amp;col=6&amp;number=3&amp;sourceID=14","3")</f>
        <v>3</v>
      </c>
      <c r="G17324" s="4" t="str">
        <f>HYPERLINK("http://141.218.60.56/~jnz1568/getInfo.php?workbook=10_05.xlsx&amp;sheet=U0&amp;row=17324&amp;col=7&amp;number=0.00123&amp;sourceID=14","0.00123")</f>
        <v>0.00123</v>
      </c>
    </row>
    <row r="17325" spans="1:7">
      <c r="A17325" s="3"/>
      <c r="B17325" s="3"/>
      <c r="C17325" s="3"/>
      <c r="D17325" s="3"/>
      <c r="E17325" s="3">
        <v>2</v>
      </c>
      <c r="F17325" s="4" t="str">
        <f>HYPERLINK("http://141.218.60.56/~jnz1568/getInfo.php?workbook=10_05.xlsx&amp;sheet=U0&amp;row=17325&amp;col=6&amp;number=3.1&amp;sourceID=14","3.1")</f>
        <v>3.1</v>
      </c>
      <c r="G17325" s="4" t="str">
        <f>HYPERLINK("http://141.218.60.56/~jnz1568/getInfo.php?workbook=10_05.xlsx&amp;sheet=U0&amp;row=17325&amp;col=7&amp;number=0.00123&amp;sourceID=14","0.00123")</f>
        <v>0.00123</v>
      </c>
    </row>
    <row r="17326" spans="1:7">
      <c r="A17326" s="3"/>
      <c r="B17326" s="3"/>
      <c r="C17326" s="3"/>
      <c r="D17326" s="3"/>
      <c r="E17326" s="3">
        <v>3</v>
      </c>
      <c r="F17326" s="4" t="str">
        <f>HYPERLINK("http://141.218.60.56/~jnz1568/getInfo.php?workbook=10_05.xlsx&amp;sheet=U0&amp;row=17326&amp;col=6&amp;number=3.2&amp;sourceID=14","3.2")</f>
        <v>3.2</v>
      </c>
      <c r="G17326" s="4" t="str">
        <f>HYPERLINK("http://141.218.60.56/~jnz1568/getInfo.php?workbook=10_05.xlsx&amp;sheet=U0&amp;row=17326&amp;col=7&amp;number=0.00122&amp;sourceID=14","0.00122")</f>
        <v>0.00122</v>
      </c>
    </row>
    <row r="17327" spans="1:7">
      <c r="A17327" s="3"/>
      <c r="B17327" s="3"/>
      <c r="C17327" s="3"/>
      <c r="D17327" s="3"/>
      <c r="E17327" s="3">
        <v>4</v>
      </c>
      <c r="F17327" s="4" t="str">
        <f>HYPERLINK("http://141.218.60.56/~jnz1568/getInfo.php?workbook=10_05.xlsx&amp;sheet=U0&amp;row=17327&amp;col=6&amp;number=3.3&amp;sourceID=14","3.3")</f>
        <v>3.3</v>
      </c>
      <c r="G17327" s="4" t="str">
        <f>HYPERLINK("http://141.218.60.56/~jnz1568/getInfo.php?workbook=10_05.xlsx&amp;sheet=U0&amp;row=17327&amp;col=7&amp;number=0.00122&amp;sourceID=14","0.00122")</f>
        <v>0.00122</v>
      </c>
    </row>
    <row r="17328" spans="1:7">
      <c r="A17328" s="3"/>
      <c r="B17328" s="3"/>
      <c r="C17328" s="3"/>
      <c r="D17328" s="3"/>
      <c r="E17328" s="3">
        <v>5</v>
      </c>
      <c r="F17328" s="4" t="str">
        <f>HYPERLINK("http://141.218.60.56/~jnz1568/getInfo.php?workbook=10_05.xlsx&amp;sheet=U0&amp;row=17328&amp;col=6&amp;number=3.4&amp;sourceID=14","3.4")</f>
        <v>3.4</v>
      </c>
      <c r="G17328" s="4" t="str">
        <f>HYPERLINK("http://141.218.60.56/~jnz1568/getInfo.php?workbook=10_05.xlsx&amp;sheet=U0&amp;row=17328&amp;col=7&amp;number=0.00121&amp;sourceID=14","0.00121")</f>
        <v>0.00121</v>
      </c>
    </row>
    <row r="17329" spans="1:7">
      <c r="A17329" s="3"/>
      <c r="B17329" s="3"/>
      <c r="C17329" s="3"/>
      <c r="D17329" s="3"/>
      <c r="E17329" s="3">
        <v>6</v>
      </c>
      <c r="F17329" s="4" t="str">
        <f>HYPERLINK("http://141.218.60.56/~jnz1568/getInfo.php?workbook=10_05.xlsx&amp;sheet=U0&amp;row=17329&amp;col=6&amp;number=3.5&amp;sourceID=14","3.5")</f>
        <v>3.5</v>
      </c>
      <c r="G17329" s="4" t="str">
        <f>HYPERLINK("http://141.218.60.56/~jnz1568/getInfo.php?workbook=10_05.xlsx&amp;sheet=U0&amp;row=17329&amp;col=7&amp;number=0.0012&amp;sourceID=14","0.0012")</f>
        <v>0.0012</v>
      </c>
    </row>
    <row r="17330" spans="1:7">
      <c r="A17330" s="3"/>
      <c r="B17330" s="3"/>
      <c r="C17330" s="3"/>
      <c r="D17330" s="3"/>
      <c r="E17330" s="3">
        <v>7</v>
      </c>
      <c r="F17330" s="4" t="str">
        <f>HYPERLINK("http://141.218.60.56/~jnz1568/getInfo.php?workbook=10_05.xlsx&amp;sheet=U0&amp;row=17330&amp;col=6&amp;number=3.6&amp;sourceID=14","3.6")</f>
        <v>3.6</v>
      </c>
      <c r="G17330" s="4" t="str">
        <f>HYPERLINK("http://141.218.60.56/~jnz1568/getInfo.php?workbook=10_05.xlsx&amp;sheet=U0&amp;row=17330&amp;col=7&amp;number=0.00118&amp;sourceID=14","0.00118")</f>
        <v>0.00118</v>
      </c>
    </row>
    <row r="17331" spans="1:7">
      <c r="A17331" s="3"/>
      <c r="B17331" s="3"/>
      <c r="C17331" s="3"/>
      <c r="D17331" s="3"/>
      <c r="E17331" s="3">
        <v>8</v>
      </c>
      <c r="F17331" s="4" t="str">
        <f>HYPERLINK("http://141.218.60.56/~jnz1568/getInfo.php?workbook=10_05.xlsx&amp;sheet=U0&amp;row=17331&amp;col=6&amp;number=3.7&amp;sourceID=14","3.7")</f>
        <v>3.7</v>
      </c>
      <c r="G17331" s="4" t="str">
        <f>HYPERLINK("http://141.218.60.56/~jnz1568/getInfo.php?workbook=10_05.xlsx&amp;sheet=U0&amp;row=17331&amp;col=7&amp;number=0.00117&amp;sourceID=14","0.00117")</f>
        <v>0.00117</v>
      </c>
    </row>
    <row r="17332" spans="1:7">
      <c r="A17332" s="3"/>
      <c r="B17332" s="3"/>
      <c r="C17332" s="3"/>
      <c r="D17332" s="3"/>
      <c r="E17332" s="3">
        <v>9</v>
      </c>
      <c r="F17332" s="4" t="str">
        <f>HYPERLINK("http://141.218.60.56/~jnz1568/getInfo.php?workbook=10_05.xlsx&amp;sheet=U0&amp;row=17332&amp;col=6&amp;number=3.8&amp;sourceID=14","3.8")</f>
        <v>3.8</v>
      </c>
      <c r="G17332" s="4" t="str">
        <f>HYPERLINK("http://141.218.60.56/~jnz1568/getInfo.php?workbook=10_05.xlsx&amp;sheet=U0&amp;row=17332&amp;col=7&amp;number=0.00115&amp;sourceID=14","0.00115")</f>
        <v>0.00115</v>
      </c>
    </row>
    <row r="17333" spans="1:7">
      <c r="A17333" s="3"/>
      <c r="B17333" s="3"/>
      <c r="C17333" s="3"/>
      <c r="D17333" s="3"/>
      <c r="E17333" s="3">
        <v>10</v>
      </c>
      <c r="F17333" s="4" t="str">
        <f>HYPERLINK("http://141.218.60.56/~jnz1568/getInfo.php?workbook=10_05.xlsx&amp;sheet=U0&amp;row=17333&amp;col=6&amp;number=3.9&amp;sourceID=14","3.9")</f>
        <v>3.9</v>
      </c>
      <c r="G17333" s="4" t="str">
        <f>HYPERLINK("http://141.218.60.56/~jnz1568/getInfo.php?workbook=10_05.xlsx&amp;sheet=U0&amp;row=17333&amp;col=7&amp;number=0.00112&amp;sourceID=14","0.00112")</f>
        <v>0.00112</v>
      </c>
    </row>
    <row r="17334" spans="1:7">
      <c r="A17334" s="3"/>
      <c r="B17334" s="3"/>
      <c r="C17334" s="3"/>
      <c r="D17334" s="3"/>
      <c r="E17334" s="3">
        <v>11</v>
      </c>
      <c r="F17334" s="4" t="str">
        <f>HYPERLINK("http://141.218.60.56/~jnz1568/getInfo.php?workbook=10_05.xlsx&amp;sheet=U0&amp;row=17334&amp;col=6&amp;number=4&amp;sourceID=14","4")</f>
        <v>4</v>
      </c>
      <c r="G17334" s="4" t="str">
        <f>HYPERLINK("http://141.218.60.56/~jnz1568/getInfo.php?workbook=10_05.xlsx&amp;sheet=U0&amp;row=17334&amp;col=7&amp;number=0.00109&amp;sourceID=14","0.00109")</f>
        <v>0.00109</v>
      </c>
    </row>
    <row r="17335" spans="1:7">
      <c r="A17335" s="3"/>
      <c r="B17335" s="3"/>
      <c r="C17335" s="3"/>
      <c r="D17335" s="3"/>
      <c r="E17335" s="3">
        <v>12</v>
      </c>
      <c r="F17335" s="4" t="str">
        <f>HYPERLINK("http://141.218.60.56/~jnz1568/getInfo.php?workbook=10_05.xlsx&amp;sheet=U0&amp;row=17335&amp;col=6&amp;number=4.1&amp;sourceID=14","4.1")</f>
        <v>4.1</v>
      </c>
      <c r="G17335" s="4" t="str">
        <f>HYPERLINK("http://141.218.60.56/~jnz1568/getInfo.php?workbook=10_05.xlsx&amp;sheet=U0&amp;row=17335&amp;col=7&amp;number=0.00106&amp;sourceID=14","0.00106")</f>
        <v>0.00106</v>
      </c>
    </row>
    <row r="17336" spans="1:7">
      <c r="A17336" s="3"/>
      <c r="B17336" s="3"/>
      <c r="C17336" s="3"/>
      <c r="D17336" s="3"/>
      <c r="E17336" s="3">
        <v>13</v>
      </c>
      <c r="F17336" s="4" t="str">
        <f>HYPERLINK("http://141.218.60.56/~jnz1568/getInfo.php?workbook=10_05.xlsx&amp;sheet=U0&amp;row=17336&amp;col=6&amp;number=4.2&amp;sourceID=14","4.2")</f>
        <v>4.2</v>
      </c>
      <c r="G17336" s="4" t="str">
        <f>HYPERLINK("http://141.218.60.56/~jnz1568/getInfo.php?workbook=10_05.xlsx&amp;sheet=U0&amp;row=17336&amp;col=7&amp;number=0.00102&amp;sourceID=14","0.00102")</f>
        <v>0.00102</v>
      </c>
    </row>
    <row r="17337" spans="1:7">
      <c r="A17337" s="3"/>
      <c r="B17337" s="3"/>
      <c r="C17337" s="3"/>
      <c r="D17337" s="3"/>
      <c r="E17337" s="3">
        <v>14</v>
      </c>
      <c r="F17337" s="4" t="str">
        <f>HYPERLINK("http://141.218.60.56/~jnz1568/getInfo.php?workbook=10_05.xlsx&amp;sheet=U0&amp;row=17337&amp;col=6&amp;number=4.3&amp;sourceID=14","4.3")</f>
        <v>4.3</v>
      </c>
      <c r="G17337" s="4" t="str">
        <f>HYPERLINK("http://141.218.60.56/~jnz1568/getInfo.php?workbook=10_05.xlsx&amp;sheet=U0&amp;row=17337&amp;col=7&amp;number=0.000973&amp;sourceID=14","0.000973")</f>
        <v>0.000973</v>
      </c>
    </row>
    <row r="17338" spans="1:7">
      <c r="A17338" s="3"/>
      <c r="B17338" s="3"/>
      <c r="C17338" s="3"/>
      <c r="D17338" s="3"/>
      <c r="E17338" s="3">
        <v>15</v>
      </c>
      <c r="F17338" s="4" t="str">
        <f>HYPERLINK("http://141.218.60.56/~jnz1568/getInfo.php?workbook=10_05.xlsx&amp;sheet=U0&amp;row=17338&amp;col=6&amp;number=4.4&amp;sourceID=14","4.4")</f>
        <v>4.4</v>
      </c>
      <c r="G17338" s="4" t="str">
        <f>HYPERLINK("http://141.218.60.56/~jnz1568/getInfo.php?workbook=10_05.xlsx&amp;sheet=U0&amp;row=17338&amp;col=7&amp;number=0.000926&amp;sourceID=14","0.000926")</f>
        <v>0.000926</v>
      </c>
    </row>
    <row r="17339" spans="1:7">
      <c r="A17339" s="3"/>
      <c r="B17339" s="3"/>
      <c r="C17339" s="3"/>
      <c r="D17339" s="3"/>
      <c r="E17339" s="3">
        <v>16</v>
      </c>
      <c r="F17339" s="4" t="str">
        <f>HYPERLINK("http://141.218.60.56/~jnz1568/getInfo.php?workbook=10_05.xlsx&amp;sheet=U0&amp;row=17339&amp;col=6&amp;number=4.5&amp;sourceID=14","4.5")</f>
        <v>4.5</v>
      </c>
      <c r="G17339" s="4" t="str">
        <f>HYPERLINK("http://141.218.60.56/~jnz1568/getInfo.php?workbook=10_05.xlsx&amp;sheet=U0&amp;row=17339&amp;col=7&amp;number=0.000881&amp;sourceID=14","0.000881")</f>
        <v>0.000881</v>
      </c>
    </row>
    <row r="17340" spans="1:7">
      <c r="A17340" s="3"/>
      <c r="B17340" s="3"/>
      <c r="C17340" s="3"/>
      <c r="D17340" s="3"/>
      <c r="E17340" s="3">
        <v>17</v>
      </c>
      <c r="F17340" s="4" t="str">
        <f>HYPERLINK("http://141.218.60.56/~jnz1568/getInfo.php?workbook=10_05.xlsx&amp;sheet=U0&amp;row=17340&amp;col=6&amp;number=4.6&amp;sourceID=14","4.6")</f>
        <v>4.6</v>
      </c>
      <c r="G17340" s="4" t="str">
        <f>HYPERLINK("http://141.218.60.56/~jnz1568/getInfo.php?workbook=10_05.xlsx&amp;sheet=U0&amp;row=17340&amp;col=7&amp;number=0.000839&amp;sourceID=14","0.000839")</f>
        <v>0.000839</v>
      </c>
    </row>
    <row r="17341" spans="1:7">
      <c r="A17341" s="3"/>
      <c r="B17341" s="3"/>
      <c r="C17341" s="3"/>
      <c r="D17341" s="3"/>
      <c r="E17341" s="3">
        <v>18</v>
      </c>
      <c r="F17341" s="4" t="str">
        <f>HYPERLINK("http://141.218.60.56/~jnz1568/getInfo.php?workbook=10_05.xlsx&amp;sheet=U0&amp;row=17341&amp;col=6&amp;number=4.7&amp;sourceID=14","4.7")</f>
        <v>4.7</v>
      </c>
      <c r="G17341" s="4" t="str">
        <f>HYPERLINK("http://141.218.60.56/~jnz1568/getInfo.php?workbook=10_05.xlsx&amp;sheet=U0&amp;row=17341&amp;col=7&amp;number=0.0008&amp;sourceID=14","0.0008")</f>
        <v>0.0008</v>
      </c>
    </row>
    <row r="17342" spans="1:7">
      <c r="A17342" s="3"/>
      <c r="B17342" s="3"/>
      <c r="C17342" s="3"/>
      <c r="D17342" s="3"/>
      <c r="E17342" s="3">
        <v>19</v>
      </c>
      <c r="F17342" s="4" t="str">
        <f>HYPERLINK("http://141.218.60.56/~jnz1568/getInfo.php?workbook=10_05.xlsx&amp;sheet=U0&amp;row=17342&amp;col=6&amp;number=4.8&amp;sourceID=14","4.8")</f>
        <v>4.8</v>
      </c>
      <c r="G17342" s="4" t="str">
        <f>HYPERLINK("http://141.218.60.56/~jnz1568/getInfo.php?workbook=10_05.xlsx&amp;sheet=U0&amp;row=17342&amp;col=7&amp;number=0.000765&amp;sourceID=14","0.000765")</f>
        <v>0.000765</v>
      </c>
    </row>
    <row r="17343" spans="1:7">
      <c r="A17343" s="3"/>
      <c r="B17343" s="3"/>
      <c r="C17343" s="3"/>
      <c r="D17343" s="3"/>
      <c r="E17343" s="3">
        <v>20</v>
      </c>
      <c r="F17343" s="4" t="str">
        <f>HYPERLINK("http://141.218.60.56/~jnz1568/getInfo.php?workbook=10_05.xlsx&amp;sheet=U0&amp;row=17343&amp;col=6&amp;number=4.9&amp;sourceID=14","4.9")</f>
        <v>4.9</v>
      </c>
      <c r="G17343" s="4" t="str">
        <f>HYPERLINK("http://141.218.60.56/~jnz1568/getInfo.php?workbook=10_05.xlsx&amp;sheet=U0&amp;row=17343&amp;col=7&amp;number=0.000733&amp;sourceID=14","0.000733")</f>
        <v>0.000733</v>
      </c>
    </row>
    <row r="17344" spans="1:7">
      <c r="A17344" s="3">
        <v>10</v>
      </c>
      <c r="B17344" s="3">
        <v>5</v>
      </c>
      <c r="C17344" s="3">
        <v>5</v>
      </c>
      <c r="D17344" s="3">
        <v>163</v>
      </c>
      <c r="E17344" s="3">
        <v>1</v>
      </c>
      <c r="F17344" s="4" t="str">
        <f>HYPERLINK("http://141.218.60.56/~jnz1568/getInfo.php?workbook=10_05.xlsx&amp;sheet=U0&amp;row=17344&amp;col=6&amp;number=3&amp;sourceID=14","3")</f>
        <v>3</v>
      </c>
      <c r="G17344" s="4" t="str">
        <f>HYPERLINK("http://141.218.60.56/~jnz1568/getInfo.php?workbook=10_05.xlsx&amp;sheet=U0&amp;row=17344&amp;col=7&amp;number=0.000249&amp;sourceID=14","0.000249")</f>
        <v>0.000249</v>
      </c>
    </row>
    <row r="17345" spans="1:7">
      <c r="A17345" s="3"/>
      <c r="B17345" s="3"/>
      <c r="C17345" s="3"/>
      <c r="D17345" s="3"/>
      <c r="E17345" s="3">
        <v>2</v>
      </c>
      <c r="F17345" s="4" t="str">
        <f>HYPERLINK("http://141.218.60.56/~jnz1568/getInfo.php?workbook=10_05.xlsx&amp;sheet=U0&amp;row=17345&amp;col=6&amp;number=3.1&amp;sourceID=14","3.1")</f>
        <v>3.1</v>
      </c>
      <c r="G17345" s="4" t="str">
        <f>HYPERLINK("http://141.218.60.56/~jnz1568/getInfo.php?workbook=10_05.xlsx&amp;sheet=U0&amp;row=17345&amp;col=7&amp;number=0.000249&amp;sourceID=14","0.000249")</f>
        <v>0.000249</v>
      </c>
    </row>
    <row r="17346" spans="1:7">
      <c r="A17346" s="3"/>
      <c r="B17346" s="3"/>
      <c r="C17346" s="3"/>
      <c r="D17346" s="3"/>
      <c r="E17346" s="3">
        <v>3</v>
      </c>
      <c r="F17346" s="4" t="str">
        <f>HYPERLINK("http://141.218.60.56/~jnz1568/getInfo.php?workbook=10_05.xlsx&amp;sheet=U0&amp;row=17346&amp;col=6&amp;number=3.2&amp;sourceID=14","3.2")</f>
        <v>3.2</v>
      </c>
      <c r="G17346" s="4" t="str">
        <f>HYPERLINK("http://141.218.60.56/~jnz1568/getInfo.php?workbook=10_05.xlsx&amp;sheet=U0&amp;row=17346&amp;col=7&amp;number=0.000249&amp;sourceID=14","0.000249")</f>
        <v>0.000249</v>
      </c>
    </row>
    <row r="17347" spans="1:7">
      <c r="A17347" s="3"/>
      <c r="B17347" s="3"/>
      <c r="C17347" s="3"/>
      <c r="D17347" s="3"/>
      <c r="E17347" s="3">
        <v>4</v>
      </c>
      <c r="F17347" s="4" t="str">
        <f>HYPERLINK("http://141.218.60.56/~jnz1568/getInfo.php?workbook=10_05.xlsx&amp;sheet=U0&amp;row=17347&amp;col=6&amp;number=3.3&amp;sourceID=14","3.3")</f>
        <v>3.3</v>
      </c>
      <c r="G17347" s="4" t="str">
        <f>HYPERLINK("http://141.218.60.56/~jnz1568/getInfo.php?workbook=10_05.xlsx&amp;sheet=U0&amp;row=17347&amp;col=7&amp;number=0.000249&amp;sourceID=14","0.000249")</f>
        <v>0.000249</v>
      </c>
    </row>
    <row r="17348" spans="1:7">
      <c r="A17348" s="3"/>
      <c r="B17348" s="3"/>
      <c r="C17348" s="3"/>
      <c r="D17348" s="3"/>
      <c r="E17348" s="3">
        <v>5</v>
      </c>
      <c r="F17348" s="4" t="str">
        <f>HYPERLINK("http://141.218.60.56/~jnz1568/getInfo.php?workbook=10_05.xlsx&amp;sheet=U0&amp;row=17348&amp;col=6&amp;number=3.4&amp;sourceID=14","3.4")</f>
        <v>3.4</v>
      </c>
      <c r="G17348" s="4" t="str">
        <f>HYPERLINK("http://141.218.60.56/~jnz1568/getInfo.php?workbook=10_05.xlsx&amp;sheet=U0&amp;row=17348&amp;col=7&amp;number=0.000249&amp;sourceID=14","0.000249")</f>
        <v>0.000249</v>
      </c>
    </row>
    <row r="17349" spans="1:7">
      <c r="A17349" s="3"/>
      <c r="B17349" s="3"/>
      <c r="C17349" s="3"/>
      <c r="D17349" s="3"/>
      <c r="E17349" s="3">
        <v>6</v>
      </c>
      <c r="F17349" s="4" t="str">
        <f>HYPERLINK("http://141.218.60.56/~jnz1568/getInfo.php?workbook=10_05.xlsx&amp;sheet=U0&amp;row=17349&amp;col=6&amp;number=3.5&amp;sourceID=14","3.5")</f>
        <v>3.5</v>
      </c>
      <c r="G17349" s="4" t="str">
        <f>HYPERLINK("http://141.218.60.56/~jnz1568/getInfo.php?workbook=10_05.xlsx&amp;sheet=U0&amp;row=17349&amp;col=7&amp;number=0.000248&amp;sourceID=14","0.000248")</f>
        <v>0.000248</v>
      </c>
    </row>
    <row r="17350" spans="1:7">
      <c r="A17350" s="3"/>
      <c r="B17350" s="3"/>
      <c r="C17350" s="3"/>
      <c r="D17350" s="3"/>
      <c r="E17350" s="3">
        <v>7</v>
      </c>
      <c r="F17350" s="4" t="str">
        <f>HYPERLINK("http://141.218.60.56/~jnz1568/getInfo.php?workbook=10_05.xlsx&amp;sheet=U0&amp;row=17350&amp;col=6&amp;number=3.6&amp;sourceID=14","3.6")</f>
        <v>3.6</v>
      </c>
      <c r="G17350" s="4" t="str">
        <f>HYPERLINK("http://141.218.60.56/~jnz1568/getInfo.php?workbook=10_05.xlsx&amp;sheet=U0&amp;row=17350&amp;col=7&amp;number=0.000248&amp;sourceID=14","0.000248")</f>
        <v>0.000248</v>
      </c>
    </row>
    <row r="17351" spans="1:7">
      <c r="A17351" s="3"/>
      <c r="B17351" s="3"/>
      <c r="C17351" s="3"/>
      <c r="D17351" s="3"/>
      <c r="E17351" s="3">
        <v>8</v>
      </c>
      <c r="F17351" s="4" t="str">
        <f>HYPERLINK("http://141.218.60.56/~jnz1568/getInfo.php?workbook=10_05.xlsx&amp;sheet=U0&amp;row=17351&amp;col=6&amp;number=3.7&amp;sourceID=14","3.7")</f>
        <v>3.7</v>
      </c>
      <c r="G17351" s="4" t="str">
        <f>HYPERLINK("http://141.218.60.56/~jnz1568/getInfo.php?workbook=10_05.xlsx&amp;sheet=U0&amp;row=17351&amp;col=7&amp;number=0.000247&amp;sourceID=14","0.000247")</f>
        <v>0.000247</v>
      </c>
    </row>
    <row r="17352" spans="1:7">
      <c r="A17352" s="3"/>
      <c r="B17352" s="3"/>
      <c r="C17352" s="3"/>
      <c r="D17352" s="3"/>
      <c r="E17352" s="3">
        <v>9</v>
      </c>
      <c r="F17352" s="4" t="str">
        <f>HYPERLINK("http://141.218.60.56/~jnz1568/getInfo.php?workbook=10_05.xlsx&amp;sheet=U0&amp;row=17352&amp;col=6&amp;number=3.8&amp;sourceID=14","3.8")</f>
        <v>3.8</v>
      </c>
      <c r="G17352" s="4" t="str">
        <f>HYPERLINK("http://141.218.60.56/~jnz1568/getInfo.php?workbook=10_05.xlsx&amp;sheet=U0&amp;row=17352&amp;col=7&amp;number=0.000247&amp;sourceID=14","0.000247")</f>
        <v>0.000247</v>
      </c>
    </row>
    <row r="17353" spans="1:7">
      <c r="A17353" s="3"/>
      <c r="B17353" s="3"/>
      <c r="C17353" s="3"/>
      <c r="D17353" s="3"/>
      <c r="E17353" s="3">
        <v>10</v>
      </c>
      <c r="F17353" s="4" t="str">
        <f>HYPERLINK("http://141.218.60.56/~jnz1568/getInfo.php?workbook=10_05.xlsx&amp;sheet=U0&amp;row=17353&amp;col=6&amp;number=3.9&amp;sourceID=14","3.9")</f>
        <v>3.9</v>
      </c>
      <c r="G17353" s="4" t="str">
        <f>HYPERLINK("http://141.218.60.56/~jnz1568/getInfo.php?workbook=10_05.xlsx&amp;sheet=U0&amp;row=17353&amp;col=7&amp;number=0.000246&amp;sourceID=14","0.000246")</f>
        <v>0.000246</v>
      </c>
    </row>
    <row r="17354" spans="1:7">
      <c r="A17354" s="3"/>
      <c r="B17354" s="3"/>
      <c r="C17354" s="3"/>
      <c r="D17354" s="3"/>
      <c r="E17354" s="3">
        <v>11</v>
      </c>
      <c r="F17354" s="4" t="str">
        <f>HYPERLINK("http://141.218.60.56/~jnz1568/getInfo.php?workbook=10_05.xlsx&amp;sheet=U0&amp;row=17354&amp;col=6&amp;number=4&amp;sourceID=14","4")</f>
        <v>4</v>
      </c>
      <c r="G17354" s="4" t="str">
        <f>HYPERLINK("http://141.218.60.56/~jnz1568/getInfo.php?workbook=10_05.xlsx&amp;sheet=U0&amp;row=17354&amp;col=7&amp;number=0.000245&amp;sourceID=14","0.000245")</f>
        <v>0.000245</v>
      </c>
    </row>
    <row r="17355" spans="1:7">
      <c r="A17355" s="3"/>
      <c r="B17355" s="3"/>
      <c r="C17355" s="3"/>
      <c r="D17355" s="3"/>
      <c r="E17355" s="3">
        <v>12</v>
      </c>
      <c r="F17355" s="4" t="str">
        <f>HYPERLINK("http://141.218.60.56/~jnz1568/getInfo.php?workbook=10_05.xlsx&amp;sheet=U0&amp;row=17355&amp;col=6&amp;number=4.1&amp;sourceID=14","4.1")</f>
        <v>4.1</v>
      </c>
      <c r="G17355" s="4" t="str">
        <f>HYPERLINK("http://141.218.60.56/~jnz1568/getInfo.php?workbook=10_05.xlsx&amp;sheet=U0&amp;row=17355&amp;col=7&amp;number=0.000242&amp;sourceID=14","0.000242")</f>
        <v>0.000242</v>
      </c>
    </row>
    <row r="17356" spans="1:7">
      <c r="A17356" s="3"/>
      <c r="B17356" s="3"/>
      <c r="C17356" s="3"/>
      <c r="D17356" s="3"/>
      <c r="E17356" s="3">
        <v>13</v>
      </c>
      <c r="F17356" s="4" t="str">
        <f>HYPERLINK("http://141.218.60.56/~jnz1568/getInfo.php?workbook=10_05.xlsx&amp;sheet=U0&amp;row=17356&amp;col=6&amp;number=4.2&amp;sourceID=14","4.2")</f>
        <v>4.2</v>
      </c>
      <c r="G17356" s="4" t="str">
        <f>HYPERLINK("http://141.218.60.56/~jnz1568/getInfo.php?workbook=10_05.xlsx&amp;sheet=U0&amp;row=17356&amp;col=7&amp;number=0.000239&amp;sourceID=14","0.000239")</f>
        <v>0.000239</v>
      </c>
    </row>
    <row r="17357" spans="1:7">
      <c r="A17357" s="3"/>
      <c r="B17357" s="3"/>
      <c r="C17357" s="3"/>
      <c r="D17357" s="3"/>
      <c r="E17357" s="3">
        <v>14</v>
      </c>
      <c r="F17357" s="4" t="str">
        <f>HYPERLINK("http://141.218.60.56/~jnz1568/getInfo.php?workbook=10_05.xlsx&amp;sheet=U0&amp;row=17357&amp;col=6&amp;number=4.3&amp;sourceID=14","4.3")</f>
        <v>4.3</v>
      </c>
      <c r="G17357" s="4" t="str">
        <f>HYPERLINK("http://141.218.60.56/~jnz1568/getInfo.php?workbook=10_05.xlsx&amp;sheet=U0&amp;row=17357&amp;col=7&amp;number=0.000235&amp;sourceID=14","0.000235")</f>
        <v>0.000235</v>
      </c>
    </row>
    <row r="17358" spans="1:7">
      <c r="A17358" s="3"/>
      <c r="B17358" s="3"/>
      <c r="C17358" s="3"/>
      <c r="D17358" s="3"/>
      <c r="E17358" s="3">
        <v>15</v>
      </c>
      <c r="F17358" s="4" t="str">
        <f>HYPERLINK("http://141.218.60.56/~jnz1568/getInfo.php?workbook=10_05.xlsx&amp;sheet=U0&amp;row=17358&amp;col=6&amp;number=4.4&amp;sourceID=14","4.4")</f>
        <v>4.4</v>
      </c>
      <c r="G17358" s="4" t="str">
        <f>HYPERLINK("http://141.218.60.56/~jnz1568/getInfo.php?workbook=10_05.xlsx&amp;sheet=U0&amp;row=17358&amp;col=7&amp;number=0.000228&amp;sourceID=14","0.000228")</f>
        <v>0.000228</v>
      </c>
    </row>
    <row r="17359" spans="1:7">
      <c r="A17359" s="3"/>
      <c r="B17359" s="3"/>
      <c r="C17359" s="3"/>
      <c r="D17359" s="3"/>
      <c r="E17359" s="3">
        <v>16</v>
      </c>
      <c r="F17359" s="4" t="str">
        <f>HYPERLINK("http://141.218.60.56/~jnz1568/getInfo.php?workbook=10_05.xlsx&amp;sheet=U0&amp;row=17359&amp;col=6&amp;number=4.5&amp;sourceID=14","4.5")</f>
        <v>4.5</v>
      </c>
      <c r="G17359" s="4" t="str">
        <f>HYPERLINK("http://141.218.60.56/~jnz1568/getInfo.php?workbook=10_05.xlsx&amp;sheet=U0&amp;row=17359&amp;col=7&amp;number=0.000219&amp;sourceID=14","0.000219")</f>
        <v>0.000219</v>
      </c>
    </row>
    <row r="17360" spans="1:7">
      <c r="A17360" s="3"/>
      <c r="B17360" s="3"/>
      <c r="C17360" s="3"/>
      <c r="D17360" s="3"/>
      <c r="E17360" s="3">
        <v>17</v>
      </c>
      <c r="F17360" s="4" t="str">
        <f>HYPERLINK("http://141.218.60.56/~jnz1568/getInfo.php?workbook=10_05.xlsx&amp;sheet=U0&amp;row=17360&amp;col=6&amp;number=4.6&amp;sourceID=14","4.6")</f>
        <v>4.6</v>
      </c>
      <c r="G17360" s="4" t="str">
        <f>HYPERLINK("http://141.218.60.56/~jnz1568/getInfo.php?workbook=10_05.xlsx&amp;sheet=U0&amp;row=17360&amp;col=7&amp;number=0.000208&amp;sourceID=14","0.000208")</f>
        <v>0.000208</v>
      </c>
    </row>
    <row r="17361" spans="1:7">
      <c r="A17361" s="3"/>
      <c r="B17361" s="3"/>
      <c r="C17361" s="3"/>
      <c r="D17361" s="3"/>
      <c r="E17361" s="3">
        <v>18</v>
      </c>
      <c r="F17361" s="4" t="str">
        <f>HYPERLINK("http://141.218.60.56/~jnz1568/getInfo.php?workbook=10_05.xlsx&amp;sheet=U0&amp;row=17361&amp;col=6&amp;number=4.7&amp;sourceID=14","4.7")</f>
        <v>4.7</v>
      </c>
      <c r="G17361" s="4" t="str">
        <f>HYPERLINK("http://141.218.60.56/~jnz1568/getInfo.php?workbook=10_05.xlsx&amp;sheet=U0&amp;row=17361&amp;col=7&amp;number=0.000197&amp;sourceID=14","0.000197")</f>
        <v>0.000197</v>
      </c>
    </row>
    <row r="17362" spans="1:7">
      <c r="A17362" s="3"/>
      <c r="B17362" s="3"/>
      <c r="C17362" s="3"/>
      <c r="D17362" s="3"/>
      <c r="E17362" s="3">
        <v>19</v>
      </c>
      <c r="F17362" s="4" t="str">
        <f>HYPERLINK("http://141.218.60.56/~jnz1568/getInfo.php?workbook=10_05.xlsx&amp;sheet=U0&amp;row=17362&amp;col=6&amp;number=4.8&amp;sourceID=14","4.8")</f>
        <v>4.8</v>
      </c>
      <c r="G17362" s="4" t="str">
        <f>HYPERLINK("http://141.218.60.56/~jnz1568/getInfo.php?workbook=10_05.xlsx&amp;sheet=U0&amp;row=17362&amp;col=7&amp;number=0.000187&amp;sourceID=14","0.000187")</f>
        <v>0.000187</v>
      </c>
    </row>
    <row r="17363" spans="1:7">
      <c r="A17363" s="3"/>
      <c r="B17363" s="3"/>
      <c r="C17363" s="3"/>
      <c r="D17363" s="3"/>
      <c r="E17363" s="3">
        <v>20</v>
      </c>
      <c r="F17363" s="4" t="str">
        <f>HYPERLINK("http://141.218.60.56/~jnz1568/getInfo.php?workbook=10_05.xlsx&amp;sheet=U0&amp;row=17363&amp;col=6&amp;number=4.9&amp;sourceID=14","4.9")</f>
        <v>4.9</v>
      </c>
      <c r="G17363" s="4" t="str">
        <f>HYPERLINK("http://141.218.60.56/~jnz1568/getInfo.php?workbook=10_05.xlsx&amp;sheet=U0&amp;row=17363&amp;col=7&amp;number=0.000176&amp;sourceID=14","0.000176")</f>
        <v>0.000176</v>
      </c>
    </row>
    <row r="17364" spans="1:7">
      <c r="A17364" s="3">
        <v>10</v>
      </c>
      <c r="B17364" s="3">
        <v>5</v>
      </c>
      <c r="C17364" s="3">
        <v>5</v>
      </c>
      <c r="D17364" s="3">
        <v>164</v>
      </c>
      <c r="E17364" s="3">
        <v>1</v>
      </c>
      <c r="F17364" s="4" t="str">
        <f>HYPERLINK("http://141.218.60.56/~jnz1568/getInfo.php?workbook=10_05.xlsx&amp;sheet=U0&amp;row=17364&amp;col=6&amp;number=3&amp;sourceID=14","3")</f>
        <v>3</v>
      </c>
      <c r="G17364" s="4" t="str">
        <f>HYPERLINK("http://141.218.60.56/~jnz1568/getInfo.php?workbook=10_05.xlsx&amp;sheet=U0&amp;row=17364&amp;col=7&amp;number=0.000222&amp;sourceID=14","0.000222")</f>
        <v>0.000222</v>
      </c>
    </row>
    <row r="17365" spans="1:7">
      <c r="A17365" s="3"/>
      <c r="B17365" s="3"/>
      <c r="C17365" s="3"/>
      <c r="D17365" s="3"/>
      <c r="E17365" s="3">
        <v>2</v>
      </c>
      <c r="F17365" s="4" t="str">
        <f>HYPERLINK("http://141.218.60.56/~jnz1568/getInfo.php?workbook=10_05.xlsx&amp;sheet=U0&amp;row=17365&amp;col=6&amp;number=3.1&amp;sourceID=14","3.1")</f>
        <v>3.1</v>
      </c>
      <c r="G17365" s="4" t="str">
        <f>HYPERLINK("http://141.218.60.56/~jnz1568/getInfo.php?workbook=10_05.xlsx&amp;sheet=U0&amp;row=17365&amp;col=7&amp;number=0.000222&amp;sourceID=14","0.000222")</f>
        <v>0.000222</v>
      </c>
    </row>
    <row r="17366" spans="1:7">
      <c r="A17366" s="3"/>
      <c r="B17366" s="3"/>
      <c r="C17366" s="3"/>
      <c r="D17366" s="3"/>
      <c r="E17366" s="3">
        <v>3</v>
      </c>
      <c r="F17366" s="4" t="str">
        <f>HYPERLINK("http://141.218.60.56/~jnz1568/getInfo.php?workbook=10_05.xlsx&amp;sheet=U0&amp;row=17366&amp;col=6&amp;number=3.2&amp;sourceID=14","3.2")</f>
        <v>3.2</v>
      </c>
      <c r="G17366" s="4" t="str">
        <f>HYPERLINK("http://141.218.60.56/~jnz1568/getInfo.php?workbook=10_05.xlsx&amp;sheet=U0&amp;row=17366&amp;col=7&amp;number=0.000221&amp;sourceID=14","0.000221")</f>
        <v>0.000221</v>
      </c>
    </row>
    <row r="17367" spans="1:7">
      <c r="A17367" s="3"/>
      <c r="B17367" s="3"/>
      <c r="C17367" s="3"/>
      <c r="D17367" s="3"/>
      <c r="E17367" s="3">
        <v>4</v>
      </c>
      <c r="F17367" s="4" t="str">
        <f>HYPERLINK("http://141.218.60.56/~jnz1568/getInfo.php?workbook=10_05.xlsx&amp;sheet=U0&amp;row=17367&amp;col=6&amp;number=3.3&amp;sourceID=14","3.3")</f>
        <v>3.3</v>
      </c>
      <c r="G17367" s="4" t="str">
        <f>HYPERLINK("http://141.218.60.56/~jnz1568/getInfo.php?workbook=10_05.xlsx&amp;sheet=U0&amp;row=17367&amp;col=7&amp;number=0.000219&amp;sourceID=14","0.000219")</f>
        <v>0.000219</v>
      </c>
    </row>
    <row r="17368" spans="1:7">
      <c r="A17368" s="3"/>
      <c r="B17368" s="3"/>
      <c r="C17368" s="3"/>
      <c r="D17368" s="3"/>
      <c r="E17368" s="3">
        <v>5</v>
      </c>
      <c r="F17368" s="4" t="str">
        <f>HYPERLINK("http://141.218.60.56/~jnz1568/getInfo.php?workbook=10_05.xlsx&amp;sheet=U0&amp;row=17368&amp;col=6&amp;number=3.4&amp;sourceID=14","3.4")</f>
        <v>3.4</v>
      </c>
      <c r="G17368" s="4" t="str">
        <f>HYPERLINK("http://141.218.60.56/~jnz1568/getInfo.php?workbook=10_05.xlsx&amp;sheet=U0&amp;row=17368&amp;col=7&amp;number=0.000218&amp;sourceID=14","0.000218")</f>
        <v>0.000218</v>
      </c>
    </row>
    <row r="17369" spans="1:7">
      <c r="A17369" s="3"/>
      <c r="B17369" s="3"/>
      <c r="C17369" s="3"/>
      <c r="D17369" s="3"/>
      <c r="E17369" s="3">
        <v>6</v>
      </c>
      <c r="F17369" s="4" t="str">
        <f>HYPERLINK("http://141.218.60.56/~jnz1568/getInfo.php?workbook=10_05.xlsx&amp;sheet=U0&amp;row=17369&amp;col=6&amp;number=3.5&amp;sourceID=14","3.5")</f>
        <v>3.5</v>
      </c>
      <c r="G17369" s="4" t="str">
        <f>HYPERLINK("http://141.218.60.56/~jnz1568/getInfo.php?workbook=10_05.xlsx&amp;sheet=U0&amp;row=17369&amp;col=7&amp;number=0.000216&amp;sourceID=14","0.000216")</f>
        <v>0.000216</v>
      </c>
    </row>
    <row r="17370" spans="1:7">
      <c r="A17370" s="3"/>
      <c r="B17370" s="3"/>
      <c r="C17370" s="3"/>
      <c r="D17370" s="3"/>
      <c r="E17370" s="3">
        <v>7</v>
      </c>
      <c r="F17370" s="4" t="str">
        <f>HYPERLINK("http://141.218.60.56/~jnz1568/getInfo.php?workbook=10_05.xlsx&amp;sheet=U0&amp;row=17370&amp;col=6&amp;number=3.6&amp;sourceID=14","3.6")</f>
        <v>3.6</v>
      </c>
      <c r="G17370" s="4" t="str">
        <f>HYPERLINK("http://141.218.60.56/~jnz1568/getInfo.php?workbook=10_05.xlsx&amp;sheet=U0&amp;row=17370&amp;col=7&amp;number=0.000214&amp;sourceID=14","0.000214")</f>
        <v>0.000214</v>
      </c>
    </row>
    <row r="17371" spans="1:7">
      <c r="A17371" s="3"/>
      <c r="B17371" s="3"/>
      <c r="C17371" s="3"/>
      <c r="D17371" s="3"/>
      <c r="E17371" s="3">
        <v>8</v>
      </c>
      <c r="F17371" s="4" t="str">
        <f>HYPERLINK("http://141.218.60.56/~jnz1568/getInfo.php?workbook=10_05.xlsx&amp;sheet=U0&amp;row=17371&amp;col=6&amp;number=3.7&amp;sourceID=14","3.7")</f>
        <v>3.7</v>
      </c>
      <c r="G17371" s="4" t="str">
        <f>HYPERLINK("http://141.218.60.56/~jnz1568/getInfo.php?workbook=10_05.xlsx&amp;sheet=U0&amp;row=17371&amp;col=7&amp;number=0.000211&amp;sourceID=14","0.000211")</f>
        <v>0.000211</v>
      </c>
    </row>
    <row r="17372" spans="1:7">
      <c r="A17372" s="3"/>
      <c r="B17372" s="3"/>
      <c r="C17372" s="3"/>
      <c r="D17372" s="3"/>
      <c r="E17372" s="3">
        <v>9</v>
      </c>
      <c r="F17372" s="4" t="str">
        <f>HYPERLINK("http://141.218.60.56/~jnz1568/getInfo.php?workbook=10_05.xlsx&amp;sheet=U0&amp;row=17372&amp;col=6&amp;number=3.8&amp;sourceID=14","3.8")</f>
        <v>3.8</v>
      </c>
      <c r="G17372" s="4" t="str">
        <f>HYPERLINK("http://141.218.60.56/~jnz1568/getInfo.php?workbook=10_05.xlsx&amp;sheet=U0&amp;row=17372&amp;col=7&amp;number=0.000208&amp;sourceID=14","0.000208")</f>
        <v>0.000208</v>
      </c>
    </row>
    <row r="17373" spans="1:7">
      <c r="A17373" s="3"/>
      <c r="B17373" s="3"/>
      <c r="C17373" s="3"/>
      <c r="D17373" s="3"/>
      <c r="E17373" s="3">
        <v>10</v>
      </c>
      <c r="F17373" s="4" t="str">
        <f>HYPERLINK("http://141.218.60.56/~jnz1568/getInfo.php?workbook=10_05.xlsx&amp;sheet=U0&amp;row=17373&amp;col=6&amp;number=3.9&amp;sourceID=14","3.9")</f>
        <v>3.9</v>
      </c>
      <c r="G17373" s="4" t="str">
        <f>HYPERLINK("http://141.218.60.56/~jnz1568/getInfo.php?workbook=10_05.xlsx&amp;sheet=U0&amp;row=17373&amp;col=7&amp;number=0.000203&amp;sourceID=14","0.000203")</f>
        <v>0.000203</v>
      </c>
    </row>
    <row r="17374" spans="1:7">
      <c r="A17374" s="3"/>
      <c r="B17374" s="3"/>
      <c r="C17374" s="3"/>
      <c r="D17374" s="3"/>
      <c r="E17374" s="3">
        <v>11</v>
      </c>
      <c r="F17374" s="4" t="str">
        <f>HYPERLINK("http://141.218.60.56/~jnz1568/getInfo.php?workbook=10_05.xlsx&amp;sheet=U0&amp;row=17374&amp;col=6&amp;number=4&amp;sourceID=14","4")</f>
        <v>4</v>
      </c>
      <c r="G17374" s="4" t="str">
        <f>HYPERLINK("http://141.218.60.56/~jnz1568/getInfo.php?workbook=10_05.xlsx&amp;sheet=U0&amp;row=17374&amp;col=7&amp;number=0.000198&amp;sourceID=14","0.000198")</f>
        <v>0.000198</v>
      </c>
    </row>
    <row r="17375" spans="1:7">
      <c r="A17375" s="3"/>
      <c r="B17375" s="3"/>
      <c r="C17375" s="3"/>
      <c r="D17375" s="3"/>
      <c r="E17375" s="3">
        <v>12</v>
      </c>
      <c r="F17375" s="4" t="str">
        <f>HYPERLINK("http://141.218.60.56/~jnz1568/getInfo.php?workbook=10_05.xlsx&amp;sheet=U0&amp;row=17375&amp;col=6&amp;number=4.1&amp;sourceID=14","4.1")</f>
        <v>4.1</v>
      </c>
      <c r="G17375" s="4" t="str">
        <f>HYPERLINK("http://141.218.60.56/~jnz1568/getInfo.php?workbook=10_05.xlsx&amp;sheet=U0&amp;row=17375&amp;col=7&amp;number=0.000192&amp;sourceID=14","0.000192")</f>
        <v>0.000192</v>
      </c>
    </row>
    <row r="17376" spans="1:7">
      <c r="A17376" s="3"/>
      <c r="B17376" s="3"/>
      <c r="C17376" s="3"/>
      <c r="D17376" s="3"/>
      <c r="E17376" s="3">
        <v>13</v>
      </c>
      <c r="F17376" s="4" t="str">
        <f>HYPERLINK("http://141.218.60.56/~jnz1568/getInfo.php?workbook=10_05.xlsx&amp;sheet=U0&amp;row=17376&amp;col=6&amp;number=4.2&amp;sourceID=14","4.2")</f>
        <v>4.2</v>
      </c>
      <c r="G17376" s="4" t="str">
        <f>HYPERLINK("http://141.218.60.56/~jnz1568/getInfo.php?workbook=10_05.xlsx&amp;sheet=U0&amp;row=17376&amp;col=7&amp;number=0.000185&amp;sourceID=14","0.000185")</f>
        <v>0.000185</v>
      </c>
    </row>
    <row r="17377" spans="1:7">
      <c r="A17377" s="3"/>
      <c r="B17377" s="3"/>
      <c r="C17377" s="3"/>
      <c r="D17377" s="3"/>
      <c r="E17377" s="3">
        <v>14</v>
      </c>
      <c r="F17377" s="4" t="str">
        <f>HYPERLINK("http://141.218.60.56/~jnz1568/getInfo.php?workbook=10_05.xlsx&amp;sheet=U0&amp;row=17377&amp;col=6&amp;number=4.3&amp;sourceID=14","4.3")</f>
        <v>4.3</v>
      </c>
      <c r="G17377" s="4" t="str">
        <f>HYPERLINK("http://141.218.60.56/~jnz1568/getInfo.php?workbook=10_05.xlsx&amp;sheet=U0&amp;row=17377&amp;col=7&amp;number=0.000177&amp;sourceID=14","0.000177")</f>
        <v>0.000177</v>
      </c>
    </row>
    <row r="17378" spans="1:7">
      <c r="A17378" s="3"/>
      <c r="B17378" s="3"/>
      <c r="C17378" s="3"/>
      <c r="D17378" s="3"/>
      <c r="E17378" s="3">
        <v>15</v>
      </c>
      <c r="F17378" s="4" t="str">
        <f>HYPERLINK("http://141.218.60.56/~jnz1568/getInfo.php?workbook=10_05.xlsx&amp;sheet=U0&amp;row=17378&amp;col=6&amp;number=4.4&amp;sourceID=14","4.4")</f>
        <v>4.4</v>
      </c>
      <c r="G17378" s="4" t="str">
        <f>HYPERLINK("http://141.218.60.56/~jnz1568/getInfo.php?workbook=10_05.xlsx&amp;sheet=U0&amp;row=17378&amp;col=7&amp;number=0.000168&amp;sourceID=14","0.000168")</f>
        <v>0.000168</v>
      </c>
    </row>
    <row r="17379" spans="1:7">
      <c r="A17379" s="3"/>
      <c r="B17379" s="3"/>
      <c r="C17379" s="3"/>
      <c r="D17379" s="3"/>
      <c r="E17379" s="3">
        <v>16</v>
      </c>
      <c r="F17379" s="4" t="str">
        <f>HYPERLINK("http://141.218.60.56/~jnz1568/getInfo.php?workbook=10_05.xlsx&amp;sheet=U0&amp;row=17379&amp;col=6&amp;number=4.5&amp;sourceID=14","4.5")</f>
        <v>4.5</v>
      </c>
      <c r="G17379" s="4" t="str">
        <f>HYPERLINK("http://141.218.60.56/~jnz1568/getInfo.php?workbook=10_05.xlsx&amp;sheet=U0&amp;row=17379&amp;col=7&amp;number=0.000159&amp;sourceID=14","0.000159")</f>
        <v>0.000159</v>
      </c>
    </row>
    <row r="17380" spans="1:7">
      <c r="A17380" s="3"/>
      <c r="B17380" s="3"/>
      <c r="C17380" s="3"/>
      <c r="D17380" s="3"/>
      <c r="E17380" s="3">
        <v>17</v>
      </c>
      <c r="F17380" s="4" t="str">
        <f>HYPERLINK("http://141.218.60.56/~jnz1568/getInfo.php?workbook=10_05.xlsx&amp;sheet=U0&amp;row=17380&amp;col=6&amp;number=4.6&amp;sourceID=14","4.6")</f>
        <v>4.6</v>
      </c>
      <c r="G17380" s="4" t="str">
        <f>HYPERLINK("http://141.218.60.56/~jnz1568/getInfo.php?workbook=10_05.xlsx&amp;sheet=U0&amp;row=17380&amp;col=7&amp;number=0.00015&amp;sourceID=14","0.00015")</f>
        <v>0.00015</v>
      </c>
    </row>
    <row r="17381" spans="1:7">
      <c r="A17381" s="3"/>
      <c r="B17381" s="3"/>
      <c r="C17381" s="3"/>
      <c r="D17381" s="3"/>
      <c r="E17381" s="3">
        <v>18</v>
      </c>
      <c r="F17381" s="4" t="str">
        <f>HYPERLINK("http://141.218.60.56/~jnz1568/getInfo.php?workbook=10_05.xlsx&amp;sheet=U0&amp;row=17381&amp;col=6&amp;number=4.7&amp;sourceID=14","4.7")</f>
        <v>4.7</v>
      </c>
      <c r="G17381" s="4" t="str">
        <f>HYPERLINK("http://141.218.60.56/~jnz1568/getInfo.php?workbook=10_05.xlsx&amp;sheet=U0&amp;row=17381&amp;col=7&amp;number=0.00014&amp;sourceID=14","0.00014")</f>
        <v>0.00014</v>
      </c>
    </row>
    <row r="17382" spans="1:7">
      <c r="A17382" s="3"/>
      <c r="B17382" s="3"/>
      <c r="C17382" s="3"/>
      <c r="D17382" s="3"/>
      <c r="E17382" s="3">
        <v>19</v>
      </c>
      <c r="F17382" s="4" t="str">
        <f>HYPERLINK("http://141.218.60.56/~jnz1568/getInfo.php?workbook=10_05.xlsx&amp;sheet=U0&amp;row=17382&amp;col=6&amp;number=4.8&amp;sourceID=14","4.8")</f>
        <v>4.8</v>
      </c>
      <c r="G17382" s="4" t="str">
        <f>HYPERLINK("http://141.218.60.56/~jnz1568/getInfo.php?workbook=10_05.xlsx&amp;sheet=U0&amp;row=17382&amp;col=7&amp;number=0.00013&amp;sourceID=14","0.00013")</f>
        <v>0.00013</v>
      </c>
    </row>
    <row r="17383" spans="1:7">
      <c r="A17383" s="3"/>
      <c r="B17383" s="3"/>
      <c r="C17383" s="3"/>
      <c r="D17383" s="3"/>
      <c r="E17383" s="3">
        <v>20</v>
      </c>
      <c r="F17383" s="4" t="str">
        <f>HYPERLINK("http://141.218.60.56/~jnz1568/getInfo.php?workbook=10_05.xlsx&amp;sheet=U0&amp;row=17383&amp;col=6&amp;number=4.9&amp;sourceID=14","4.9")</f>
        <v>4.9</v>
      </c>
      <c r="G17383" s="4" t="str">
        <f>HYPERLINK("http://141.218.60.56/~jnz1568/getInfo.php?workbook=10_05.xlsx&amp;sheet=U0&amp;row=17383&amp;col=7&amp;number=0.00012&amp;sourceID=14","0.00012")</f>
        <v>0.00012</v>
      </c>
    </row>
    <row r="17384" spans="1:7">
      <c r="A17384" s="3">
        <v>10</v>
      </c>
      <c r="B17384" s="3">
        <v>5</v>
      </c>
      <c r="C17384" s="3">
        <v>5</v>
      </c>
      <c r="D17384" s="3">
        <v>165</v>
      </c>
      <c r="E17384" s="3">
        <v>1</v>
      </c>
      <c r="F17384" s="4" t="str">
        <f>HYPERLINK("http://141.218.60.56/~jnz1568/getInfo.php?workbook=10_05.xlsx&amp;sheet=U0&amp;row=17384&amp;col=6&amp;number=3&amp;sourceID=14","3")</f>
        <v>3</v>
      </c>
      <c r="G17384" s="4" t="str">
        <f>HYPERLINK("http://141.218.60.56/~jnz1568/getInfo.php?workbook=10_05.xlsx&amp;sheet=U0&amp;row=17384&amp;col=7&amp;number=0.000585&amp;sourceID=14","0.000585")</f>
        <v>0.000585</v>
      </c>
    </row>
    <row r="17385" spans="1:7">
      <c r="A17385" s="3"/>
      <c r="B17385" s="3"/>
      <c r="C17385" s="3"/>
      <c r="D17385" s="3"/>
      <c r="E17385" s="3">
        <v>2</v>
      </c>
      <c r="F17385" s="4" t="str">
        <f>HYPERLINK("http://141.218.60.56/~jnz1568/getInfo.php?workbook=10_05.xlsx&amp;sheet=U0&amp;row=17385&amp;col=6&amp;number=3.1&amp;sourceID=14","3.1")</f>
        <v>3.1</v>
      </c>
      <c r="G17385" s="4" t="str">
        <f>HYPERLINK("http://141.218.60.56/~jnz1568/getInfo.php?workbook=10_05.xlsx&amp;sheet=U0&amp;row=17385&amp;col=7&amp;number=0.000584&amp;sourceID=14","0.000584")</f>
        <v>0.000584</v>
      </c>
    </row>
    <row r="17386" spans="1:7">
      <c r="A17386" s="3"/>
      <c r="B17386" s="3"/>
      <c r="C17386" s="3"/>
      <c r="D17386" s="3"/>
      <c r="E17386" s="3">
        <v>3</v>
      </c>
      <c r="F17386" s="4" t="str">
        <f>HYPERLINK("http://141.218.60.56/~jnz1568/getInfo.php?workbook=10_05.xlsx&amp;sheet=U0&amp;row=17386&amp;col=6&amp;number=3.2&amp;sourceID=14","3.2")</f>
        <v>3.2</v>
      </c>
      <c r="G17386" s="4" t="str">
        <f>HYPERLINK("http://141.218.60.56/~jnz1568/getInfo.php?workbook=10_05.xlsx&amp;sheet=U0&amp;row=17386&amp;col=7&amp;number=0.000583&amp;sourceID=14","0.000583")</f>
        <v>0.000583</v>
      </c>
    </row>
    <row r="17387" spans="1:7">
      <c r="A17387" s="3"/>
      <c r="B17387" s="3"/>
      <c r="C17387" s="3"/>
      <c r="D17387" s="3"/>
      <c r="E17387" s="3">
        <v>4</v>
      </c>
      <c r="F17387" s="4" t="str">
        <f>HYPERLINK("http://141.218.60.56/~jnz1568/getInfo.php?workbook=10_05.xlsx&amp;sheet=U0&amp;row=17387&amp;col=6&amp;number=3.3&amp;sourceID=14","3.3")</f>
        <v>3.3</v>
      </c>
      <c r="G17387" s="4" t="str">
        <f>HYPERLINK("http://141.218.60.56/~jnz1568/getInfo.php?workbook=10_05.xlsx&amp;sheet=U0&amp;row=17387&amp;col=7&amp;number=0.000581&amp;sourceID=14","0.000581")</f>
        <v>0.000581</v>
      </c>
    </row>
    <row r="17388" spans="1:7">
      <c r="A17388" s="3"/>
      <c r="B17388" s="3"/>
      <c r="C17388" s="3"/>
      <c r="D17388" s="3"/>
      <c r="E17388" s="3">
        <v>5</v>
      </c>
      <c r="F17388" s="4" t="str">
        <f>HYPERLINK("http://141.218.60.56/~jnz1568/getInfo.php?workbook=10_05.xlsx&amp;sheet=U0&amp;row=17388&amp;col=6&amp;number=3.4&amp;sourceID=14","3.4")</f>
        <v>3.4</v>
      </c>
      <c r="G17388" s="4" t="str">
        <f>HYPERLINK("http://141.218.60.56/~jnz1568/getInfo.php?workbook=10_05.xlsx&amp;sheet=U0&amp;row=17388&amp;col=7&amp;number=0.000579&amp;sourceID=14","0.000579")</f>
        <v>0.000579</v>
      </c>
    </row>
    <row r="17389" spans="1:7">
      <c r="A17389" s="3"/>
      <c r="B17389" s="3"/>
      <c r="C17389" s="3"/>
      <c r="D17389" s="3"/>
      <c r="E17389" s="3">
        <v>6</v>
      </c>
      <c r="F17389" s="4" t="str">
        <f>HYPERLINK("http://141.218.60.56/~jnz1568/getInfo.php?workbook=10_05.xlsx&amp;sheet=U0&amp;row=17389&amp;col=6&amp;number=3.5&amp;sourceID=14","3.5")</f>
        <v>3.5</v>
      </c>
      <c r="G17389" s="4" t="str">
        <f>HYPERLINK("http://141.218.60.56/~jnz1568/getInfo.php?workbook=10_05.xlsx&amp;sheet=U0&amp;row=17389&amp;col=7&amp;number=0.000576&amp;sourceID=14","0.000576")</f>
        <v>0.000576</v>
      </c>
    </row>
    <row r="17390" spans="1:7">
      <c r="A17390" s="3"/>
      <c r="B17390" s="3"/>
      <c r="C17390" s="3"/>
      <c r="D17390" s="3"/>
      <c r="E17390" s="3">
        <v>7</v>
      </c>
      <c r="F17390" s="4" t="str">
        <f>HYPERLINK("http://141.218.60.56/~jnz1568/getInfo.php?workbook=10_05.xlsx&amp;sheet=U0&amp;row=17390&amp;col=6&amp;number=3.6&amp;sourceID=14","3.6")</f>
        <v>3.6</v>
      </c>
      <c r="G17390" s="4" t="str">
        <f>HYPERLINK("http://141.218.60.56/~jnz1568/getInfo.php?workbook=10_05.xlsx&amp;sheet=U0&amp;row=17390&amp;col=7&amp;number=0.000572&amp;sourceID=14","0.000572")</f>
        <v>0.000572</v>
      </c>
    </row>
    <row r="17391" spans="1:7">
      <c r="A17391" s="3"/>
      <c r="B17391" s="3"/>
      <c r="C17391" s="3"/>
      <c r="D17391" s="3"/>
      <c r="E17391" s="3">
        <v>8</v>
      </c>
      <c r="F17391" s="4" t="str">
        <f>HYPERLINK("http://141.218.60.56/~jnz1568/getInfo.php?workbook=10_05.xlsx&amp;sheet=U0&amp;row=17391&amp;col=6&amp;number=3.7&amp;sourceID=14","3.7")</f>
        <v>3.7</v>
      </c>
      <c r="G17391" s="4" t="str">
        <f>HYPERLINK("http://141.218.60.56/~jnz1568/getInfo.php?workbook=10_05.xlsx&amp;sheet=U0&amp;row=17391&amp;col=7&amp;number=0.000568&amp;sourceID=14","0.000568")</f>
        <v>0.000568</v>
      </c>
    </row>
    <row r="17392" spans="1:7">
      <c r="A17392" s="3"/>
      <c r="B17392" s="3"/>
      <c r="C17392" s="3"/>
      <c r="D17392" s="3"/>
      <c r="E17392" s="3">
        <v>9</v>
      </c>
      <c r="F17392" s="4" t="str">
        <f>HYPERLINK("http://141.218.60.56/~jnz1568/getInfo.php?workbook=10_05.xlsx&amp;sheet=U0&amp;row=17392&amp;col=6&amp;number=3.8&amp;sourceID=14","3.8")</f>
        <v>3.8</v>
      </c>
      <c r="G17392" s="4" t="str">
        <f>HYPERLINK("http://141.218.60.56/~jnz1568/getInfo.php?workbook=10_05.xlsx&amp;sheet=U0&amp;row=17392&amp;col=7&amp;number=0.000562&amp;sourceID=14","0.000562")</f>
        <v>0.000562</v>
      </c>
    </row>
    <row r="17393" spans="1:7">
      <c r="A17393" s="3"/>
      <c r="B17393" s="3"/>
      <c r="C17393" s="3"/>
      <c r="D17393" s="3"/>
      <c r="E17393" s="3">
        <v>10</v>
      </c>
      <c r="F17393" s="4" t="str">
        <f>HYPERLINK("http://141.218.60.56/~jnz1568/getInfo.php?workbook=10_05.xlsx&amp;sheet=U0&amp;row=17393&amp;col=6&amp;number=3.9&amp;sourceID=14","3.9")</f>
        <v>3.9</v>
      </c>
      <c r="G17393" s="4" t="str">
        <f>HYPERLINK("http://141.218.60.56/~jnz1568/getInfo.php?workbook=10_05.xlsx&amp;sheet=U0&amp;row=17393&amp;col=7&amp;number=0.000556&amp;sourceID=14","0.000556")</f>
        <v>0.000556</v>
      </c>
    </row>
    <row r="17394" spans="1:7">
      <c r="A17394" s="3"/>
      <c r="B17394" s="3"/>
      <c r="C17394" s="3"/>
      <c r="D17394" s="3"/>
      <c r="E17394" s="3">
        <v>11</v>
      </c>
      <c r="F17394" s="4" t="str">
        <f>HYPERLINK("http://141.218.60.56/~jnz1568/getInfo.php?workbook=10_05.xlsx&amp;sheet=U0&amp;row=17394&amp;col=6&amp;number=4&amp;sourceID=14","4")</f>
        <v>4</v>
      </c>
      <c r="G17394" s="4" t="str">
        <f>HYPERLINK("http://141.218.60.56/~jnz1568/getInfo.php?workbook=10_05.xlsx&amp;sheet=U0&amp;row=17394&amp;col=7&amp;number=0.000547&amp;sourceID=14","0.000547")</f>
        <v>0.000547</v>
      </c>
    </row>
    <row r="17395" spans="1:7">
      <c r="A17395" s="3"/>
      <c r="B17395" s="3"/>
      <c r="C17395" s="3"/>
      <c r="D17395" s="3"/>
      <c r="E17395" s="3">
        <v>12</v>
      </c>
      <c r="F17395" s="4" t="str">
        <f>HYPERLINK("http://141.218.60.56/~jnz1568/getInfo.php?workbook=10_05.xlsx&amp;sheet=U0&amp;row=17395&amp;col=6&amp;number=4.1&amp;sourceID=14","4.1")</f>
        <v>4.1</v>
      </c>
      <c r="G17395" s="4" t="str">
        <f>HYPERLINK("http://141.218.60.56/~jnz1568/getInfo.php?workbook=10_05.xlsx&amp;sheet=U0&amp;row=17395&amp;col=7&amp;number=0.000537&amp;sourceID=14","0.000537")</f>
        <v>0.000537</v>
      </c>
    </row>
    <row r="17396" spans="1:7">
      <c r="A17396" s="3"/>
      <c r="B17396" s="3"/>
      <c r="C17396" s="3"/>
      <c r="D17396" s="3"/>
      <c r="E17396" s="3">
        <v>13</v>
      </c>
      <c r="F17396" s="4" t="str">
        <f>HYPERLINK("http://141.218.60.56/~jnz1568/getInfo.php?workbook=10_05.xlsx&amp;sheet=U0&amp;row=17396&amp;col=6&amp;number=4.2&amp;sourceID=14","4.2")</f>
        <v>4.2</v>
      </c>
      <c r="G17396" s="4" t="str">
        <f>HYPERLINK("http://141.218.60.56/~jnz1568/getInfo.php?workbook=10_05.xlsx&amp;sheet=U0&amp;row=17396&amp;col=7&amp;number=0.000524&amp;sourceID=14","0.000524")</f>
        <v>0.000524</v>
      </c>
    </row>
    <row r="17397" spans="1:7">
      <c r="A17397" s="3"/>
      <c r="B17397" s="3"/>
      <c r="C17397" s="3"/>
      <c r="D17397" s="3"/>
      <c r="E17397" s="3">
        <v>14</v>
      </c>
      <c r="F17397" s="4" t="str">
        <f>HYPERLINK("http://141.218.60.56/~jnz1568/getInfo.php?workbook=10_05.xlsx&amp;sheet=U0&amp;row=17397&amp;col=6&amp;number=4.3&amp;sourceID=14","4.3")</f>
        <v>4.3</v>
      </c>
      <c r="G17397" s="4" t="str">
        <f>HYPERLINK("http://141.218.60.56/~jnz1568/getInfo.php?workbook=10_05.xlsx&amp;sheet=U0&amp;row=17397&amp;col=7&amp;number=0.000509&amp;sourceID=14","0.000509")</f>
        <v>0.000509</v>
      </c>
    </row>
    <row r="17398" spans="1:7">
      <c r="A17398" s="3"/>
      <c r="B17398" s="3"/>
      <c r="C17398" s="3"/>
      <c r="D17398" s="3"/>
      <c r="E17398" s="3">
        <v>15</v>
      </c>
      <c r="F17398" s="4" t="str">
        <f>HYPERLINK("http://141.218.60.56/~jnz1568/getInfo.php?workbook=10_05.xlsx&amp;sheet=U0&amp;row=17398&amp;col=6&amp;number=4.4&amp;sourceID=14","4.4")</f>
        <v>4.4</v>
      </c>
      <c r="G17398" s="4" t="str">
        <f>HYPERLINK("http://141.218.60.56/~jnz1568/getInfo.php?workbook=10_05.xlsx&amp;sheet=U0&amp;row=17398&amp;col=7&amp;number=0.000491&amp;sourceID=14","0.000491")</f>
        <v>0.000491</v>
      </c>
    </row>
    <row r="17399" spans="1:7">
      <c r="A17399" s="3"/>
      <c r="B17399" s="3"/>
      <c r="C17399" s="3"/>
      <c r="D17399" s="3"/>
      <c r="E17399" s="3">
        <v>16</v>
      </c>
      <c r="F17399" s="4" t="str">
        <f>HYPERLINK("http://141.218.60.56/~jnz1568/getInfo.php?workbook=10_05.xlsx&amp;sheet=U0&amp;row=17399&amp;col=6&amp;number=4.5&amp;sourceID=14","4.5")</f>
        <v>4.5</v>
      </c>
      <c r="G17399" s="4" t="str">
        <f>HYPERLINK("http://141.218.60.56/~jnz1568/getInfo.php?workbook=10_05.xlsx&amp;sheet=U0&amp;row=17399&amp;col=7&amp;number=0.000469&amp;sourceID=14","0.000469")</f>
        <v>0.000469</v>
      </c>
    </row>
    <row r="17400" spans="1:7">
      <c r="A17400" s="3"/>
      <c r="B17400" s="3"/>
      <c r="C17400" s="3"/>
      <c r="D17400" s="3"/>
      <c r="E17400" s="3">
        <v>17</v>
      </c>
      <c r="F17400" s="4" t="str">
        <f>HYPERLINK("http://141.218.60.56/~jnz1568/getInfo.php?workbook=10_05.xlsx&amp;sheet=U0&amp;row=17400&amp;col=6&amp;number=4.6&amp;sourceID=14","4.6")</f>
        <v>4.6</v>
      </c>
      <c r="G17400" s="4" t="str">
        <f>HYPERLINK("http://141.218.60.56/~jnz1568/getInfo.php?workbook=10_05.xlsx&amp;sheet=U0&amp;row=17400&amp;col=7&amp;number=0.000444&amp;sourceID=14","0.000444")</f>
        <v>0.000444</v>
      </c>
    </row>
    <row r="17401" spans="1:7">
      <c r="A17401" s="3"/>
      <c r="B17401" s="3"/>
      <c r="C17401" s="3"/>
      <c r="D17401" s="3"/>
      <c r="E17401" s="3">
        <v>18</v>
      </c>
      <c r="F17401" s="4" t="str">
        <f>HYPERLINK("http://141.218.60.56/~jnz1568/getInfo.php?workbook=10_05.xlsx&amp;sheet=U0&amp;row=17401&amp;col=6&amp;number=4.7&amp;sourceID=14","4.7")</f>
        <v>4.7</v>
      </c>
      <c r="G17401" s="4" t="str">
        <f>HYPERLINK("http://141.218.60.56/~jnz1568/getInfo.php?workbook=10_05.xlsx&amp;sheet=U0&amp;row=17401&amp;col=7&amp;number=0.000418&amp;sourceID=14","0.000418")</f>
        <v>0.000418</v>
      </c>
    </row>
    <row r="17402" spans="1:7">
      <c r="A17402" s="3"/>
      <c r="B17402" s="3"/>
      <c r="C17402" s="3"/>
      <c r="D17402" s="3"/>
      <c r="E17402" s="3">
        <v>19</v>
      </c>
      <c r="F17402" s="4" t="str">
        <f>HYPERLINK("http://141.218.60.56/~jnz1568/getInfo.php?workbook=10_05.xlsx&amp;sheet=U0&amp;row=17402&amp;col=6&amp;number=4.8&amp;sourceID=14","4.8")</f>
        <v>4.8</v>
      </c>
      <c r="G17402" s="4" t="str">
        <f>HYPERLINK("http://141.218.60.56/~jnz1568/getInfo.php?workbook=10_05.xlsx&amp;sheet=U0&amp;row=17402&amp;col=7&amp;number=0.000391&amp;sourceID=14","0.000391")</f>
        <v>0.000391</v>
      </c>
    </row>
    <row r="17403" spans="1:7">
      <c r="A17403" s="3"/>
      <c r="B17403" s="3"/>
      <c r="C17403" s="3"/>
      <c r="D17403" s="3"/>
      <c r="E17403" s="3">
        <v>20</v>
      </c>
      <c r="F17403" s="4" t="str">
        <f>HYPERLINK("http://141.218.60.56/~jnz1568/getInfo.php?workbook=10_05.xlsx&amp;sheet=U0&amp;row=17403&amp;col=6&amp;number=4.9&amp;sourceID=14","4.9")</f>
        <v>4.9</v>
      </c>
      <c r="G17403" s="4" t="str">
        <f>HYPERLINK("http://141.218.60.56/~jnz1568/getInfo.php?workbook=10_05.xlsx&amp;sheet=U0&amp;row=17403&amp;col=7&amp;number=0.000365&amp;sourceID=14","0.000365")</f>
        <v>0.000365</v>
      </c>
    </row>
    <row r="17404" spans="1:7">
      <c r="A17404" s="3">
        <v>10</v>
      </c>
      <c r="B17404" s="3">
        <v>5</v>
      </c>
      <c r="C17404" s="3">
        <v>5</v>
      </c>
      <c r="D17404" s="3">
        <v>166</v>
      </c>
      <c r="E17404" s="3">
        <v>1</v>
      </c>
      <c r="F17404" s="4" t="str">
        <f>HYPERLINK("http://141.218.60.56/~jnz1568/getInfo.php?workbook=10_05.xlsx&amp;sheet=U0&amp;row=17404&amp;col=6&amp;number=3&amp;sourceID=14","3")</f>
        <v>3</v>
      </c>
      <c r="G17404" s="4" t="str">
        <f>HYPERLINK("http://141.218.60.56/~jnz1568/getInfo.php?workbook=10_05.xlsx&amp;sheet=U0&amp;row=17404&amp;col=7&amp;number=0.000294&amp;sourceID=14","0.000294")</f>
        <v>0.000294</v>
      </c>
    </row>
    <row r="17405" spans="1:7">
      <c r="A17405" s="3"/>
      <c r="B17405" s="3"/>
      <c r="C17405" s="3"/>
      <c r="D17405" s="3"/>
      <c r="E17405" s="3">
        <v>2</v>
      </c>
      <c r="F17405" s="4" t="str">
        <f>HYPERLINK("http://141.218.60.56/~jnz1568/getInfo.php?workbook=10_05.xlsx&amp;sheet=U0&amp;row=17405&amp;col=6&amp;number=3.1&amp;sourceID=14","3.1")</f>
        <v>3.1</v>
      </c>
      <c r="G17405" s="4" t="str">
        <f>HYPERLINK("http://141.218.60.56/~jnz1568/getInfo.php?workbook=10_05.xlsx&amp;sheet=U0&amp;row=17405&amp;col=7&amp;number=0.000292&amp;sourceID=14","0.000292")</f>
        <v>0.000292</v>
      </c>
    </row>
    <row r="17406" spans="1:7">
      <c r="A17406" s="3"/>
      <c r="B17406" s="3"/>
      <c r="C17406" s="3"/>
      <c r="D17406" s="3"/>
      <c r="E17406" s="3">
        <v>3</v>
      </c>
      <c r="F17406" s="4" t="str">
        <f>HYPERLINK("http://141.218.60.56/~jnz1568/getInfo.php?workbook=10_05.xlsx&amp;sheet=U0&amp;row=17406&amp;col=6&amp;number=3.2&amp;sourceID=14","3.2")</f>
        <v>3.2</v>
      </c>
      <c r="G17406" s="4" t="str">
        <f>HYPERLINK("http://141.218.60.56/~jnz1568/getInfo.php?workbook=10_05.xlsx&amp;sheet=U0&amp;row=17406&amp;col=7&amp;number=0.00029&amp;sourceID=14","0.00029")</f>
        <v>0.00029</v>
      </c>
    </row>
    <row r="17407" spans="1:7">
      <c r="A17407" s="3"/>
      <c r="B17407" s="3"/>
      <c r="C17407" s="3"/>
      <c r="D17407" s="3"/>
      <c r="E17407" s="3">
        <v>4</v>
      </c>
      <c r="F17407" s="4" t="str">
        <f>HYPERLINK("http://141.218.60.56/~jnz1568/getInfo.php?workbook=10_05.xlsx&amp;sheet=U0&amp;row=17407&amp;col=6&amp;number=3.3&amp;sourceID=14","3.3")</f>
        <v>3.3</v>
      </c>
      <c r="G17407" s="4" t="str">
        <f>HYPERLINK("http://141.218.60.56/~jnz1568/getInfo.php?workbook=10_05.xlsx&amp;sheet=U0&amp;row=17407&amp;col=7&amp;number=0.000287&amp;sourceID=14","0.000287")</f>
        <v>0.000287</v>
      </c>
    </row>
    <row r="17408" spans="1:7">
      <c r="A17408" s="3"/>
      <c r="B17408" s="3"/>
      <c r="C17408" s="3"/>
      <c r="D17408" s="3"/>
      <c r="E17408" s="3">
        <v>5</v>
      </c>
      <c r="F17408" s="4" t="str">
        <f>HYPERLINK("http://141.218.60.56/~jnz1568/getInfo.php?workbook=10_05.xlsx&amp;sheet=U0&amp;row=17408&amp;col=6&amp;number=3.4&amp;sourceID=14","3.4")</f>
        <v>3.4</v>
      </c>
      <c r="G17408" s="4" t="str">
        <f>HYPERLINK("http://141.218.60.56/~jnz1568/getInfo.php?workbook=10_05.xlsx&amp;sheet=U0&amp;row=17408&amp;col=7&amp;number=0.000283&amp;sourceID=14","0.000283")</f>
        <v>0.000283</v>
      </c>
    </row>
    <row r="17409" spans="1:7">
      <c r="A17409" s="3"/>
      <c r="B17409" s="3"/>
      <c r="C17409" s="3"/>
      <c r="D17409" s="3"/>
      <c r="E17409" s="3">
        <v>6</v>
      </c>
      <c r="F17409" s="4" t="str">
        <f>HYPERLINK("http://141.218.60.56/~jnz1568/getInfo.php?workbook=10_05.xlsx&amp;sheet=U0&amp;row=17409&amp;col=6&amp;number=3.5&amp;sourceID=14","3.5")</f>
        <v>3.5</v>
      </c>
      <c r="G17409" s="4" t="str">
        <f>HYPERLINK("http://141.218.60.56/~jnz1568/getInfo.php?workbook=10_05.xlsx&amp;sheet=U0&amp;row=17409&amp;col=7&amp;number=0.000279&amp;sourceID=14","0.000279")</f>
        <v>0.000279</v>
      </c>
    </row>
    <row r="17410" spans="1:7">
      <c r="A17410" s="3"/>
      <c r="B17410" s="3"/>
      <c r="C17410" s="3"/>
      <c r="D17410" s="3"/>
      <c r="E17410" s="3">
        <v>7</v>
      </c>
      <c r="F17410" s="4" t="str">
        <f>HYPERLINK("http://141.218.60.56/~jnz1568/getInfo.php?workbook=10_05.xlsx&amp;sheet=U0&amp;row=17410&amp;col=6&amp;number=3.6&amp;sourceID=14","3.6")</f>
        <v>3.6</v>
      </c>
      <c r="G17410" s="4" t="str">
        <f>HYPERLINK("http://141.218.60.56/~jnz1568/getInfo.php?workbook=10_05.xlsx&amp;sheet=U0&amp;row=17410&amp;col=7&amp;number=0.000273&amp;sourceID=14","0.000273")</f>
        <v>0.000273</v>
      </c>
    </row>
    <row r="17411" spans="1:7">
      <c r="A17411" s="3"/>
      <c r="B17411" s="3"/>
      <c r="C17411" s="3"/>
      <c r="D17411" s="3"/>
      <c r="E17411" s="3">
        <v>8</v>
      </c>
      <c r="F17411" s="4" t="str">
        <f>HYPERLINK("http://141.218.60.56/~jnz1568/getInfo.php?workbook=10_05.xlsx&amp;sheet=U0&amp;row=17411&amp;col=6&amp;number=3.7&amp;sourceID=14","3.7")</f>
        <v>3.7</v>
      </c>
      <c r="G17411" s="4" t="str">
        <f>HYPERLINK("http://141.218.60.56/~jnz1568/getInfo.php?workbook=10_05.xlsx&amp;sheet=U0&amp;row=17411&amp;col=7&amp;number=0.000267&amp;sourceID=14","0.000267")</f>
        <v>0.000267</v>
      </c>
    </row>
    <row r="17412" spans="1:7">
      <c r="A17412" s="3"/>
      <c r="B17412" s="3"/>
      <c r="C17412" s="3"/>
      <c r="D17412" s="3"/>
      <c r="E17412" s="3">
        <v>9</v>
      </c>
      <c r="F17412" s="4" t="str">
        <f>HYPERLINK("http://141.218.60.56/~jnz1568/getInfo.php?workbook=10_05.xlsx&amp;sheet=U0&amp;row=17412&amp;col=6&amp;number=3.8&amp;sourceID=14","3.8")</f>
        <v>3.8</v>
      </c>
      <c r="G17412" s="4" t="str">
        <f>HYPERLINK("http://141.218.60.56/~jnz1568/getInfo.php?workbook=10_05.xlsx&amp;sheet=U0&amp;row=17412&amp;col=7&amp;number=0.000258&amp;sourceID=14","0.000258")</f>
        <v>0.000258</v>
      </c>
    </row>
    <row r="17413" spans="1:7">
      <c r="A17413" s="3"/>
      <c r="B17413" s="3"/>
      <c r="C17413" s="3"/>
      <c r="D17413" s="3"/>
      <c r="E17413" s="3">
        <v>10</v>
      </c>
      <c r="F17413" s="4" t="str">
        <f>HYPERLINK("http://141.218.60.56/~jnz1568/getInfo.php?workbook=10_05.xlsx&amp;sheet=U0&amp;row=17413&amp;col=6&amp;number=3.9&amp;sourceID=14","3.9")</f>
        <v>3.9</v>
      </c>
      <c r="G17413" s="4" t="str">
        <f>HYPERLINK("http://141.218.60.56/~jnz1568/getInfo.php?workbook=10_05.xlsx&amp;sheet=U0&amp;row=17413&amp;col=7&amp;number=0.000248&amp;sourceID=14","0.000248")</f>
        <v>0.000248</v>
      </c>
    </row>
    <row r="17414" spans="1:7">
      <c r="A17414" s="3"/>
      <c r="B17414" s="3"/>
      <c r="C17414" s="3"/>
      <c r="D17414" s="3"/>
      <c r="E17414" s="3">
        <v>11</v>
      </c>
      <c r="F17414" s="4" t="str">
        <f>HYPERLINK("http://141.218.60.56/~jnz1568/getInfo.php?workbook=10_05.xlsx&amp;sheet=U0&amp;row=17414&amp;col=6&amp;number=4&amp;sourceID=14","4")</f>
        <v>4</v>
      </c>
      <c r="G17414" s="4" t="str">
        <f>HYPERLINK("http://141.218.60.56/~jnz1568/getInfo.php?workbook=10_05.xlsx&amp;sheet=U0&amp;row=17414&amp;col=7&amp;number=0.000236&amp;sourceID=14","0.000236")</f>
        <v>0.000236</v>
      </c>
    </row>
    <row r="17415" spans="1:7">
      <c r="A17415" s="3"/>
      <c r="B17415" s="3"/>
      <c r="C17415" s="3"/>
      <c r="D17415" s="3"/>
      <c r="E17415" s="3">
        <v>12</v>
      </c>
      <c r="F17415" s="4" t="str">
        <f>HYPERLINK("http://141.218.60.56/~jnz1568/getInfo.php?workbook=10_05.xlsx&amp;sheet=U0&amp;row=17415&amp;col=6&amp;number=4.1&amp;sourceID=14","4.1")</f>
        <v>4.1</v>
      </c>
      <c r="G17415" s="4" t="str">
        <f>HYPERLINK("http://141.218.60.56/~jnz1568/getInfo.php?workbook=10_05.xlsx&amp;sheet=U0&amp;row=17415&amp;col=7&amp;number=0.000221&amp;sourceID=14","0.000221")</f>
        <v>0.000221</v>
      </c>
    </row>
    <row r="17416" spans="1:7">
      <c r="A17416" s="3"/>
      <c r="B17416" s="3"/>
      <c r="C17416" s="3"/>
      <c r="D17416" s="3"/>
      <c r="E17416" s="3">
        <v>13</v>
      </c>
      <c r="F17416" s="4" t="str">
        <f>HYPERLINK("http://141.218.60.56/~jnz1568/getInfo.php?workbook=10_05.xlsx&amp;sheet=U0&amp;row=17416&amp;col=6&amp;number=4.2&amp;sourceID=14","4.2")</f>
        <v>4.2</v>
      </c>
      <c r="G17416" s="4" t="str">
        <f>HYPERLINK("http://141.218.60.56/~jnz1568/getInfo.php?workbook=10_05.xlsx&amp;sheet=U0&amp;row=17416&amp;col=7&amp;number=0.000204&amp;sourceID=14","0.000204")</f>
        <v>0.000204</v>
      </c>
    </row>
    <row r="17417" spans="1:7">
      <c r="A17417" s="3"/>
      <c r="B17417" s="3"/>
      <c r="C17417" s="3"/>
      <c r="D17417" s="3"/>
      <c r="E17417" s="3">
        <v>14</v>
      </c>
      <c r="F17417" s="4" t="str">
        <f>HYPERLINK("http://141.218.60.56/~jnz1568/getInfo.php?workbook=10_05.xlsx&amp;sheet=U0&amp;row=17417&amp;col=6&amp;number=4.3&amp;sourceID=14","4.3")</f>
        <v>4.3</v>
      </c>
      <c r="G17417" s="4" t="str">
        <f>HYPERLINK("http://141.218.60.56/~jnz1568/getInfo.php?workbook=10_05.xlsx&amp;sheet=U0&amp;row=17417&amp;col=7&amp;number=0.000185&amp;sourceID=14","0.000185")</f>
        <v>0.000185</v>
      </c>
    </row>
    <row r="17418" spans="1:7">
      <c r="A17418" s="3"/>
      <c r="B17418" s="3"/>
      <c r="C17418" s="3"/>
      <c r="D17418" s="3"/>
      <c r="E17418" s="3">
        <v>15</v>
      </c>
      <c r="F17418" s="4" t="str">
        <f>HYPERLINK("http://141.218.60.56/~jnz1568/getInfo.php?workbook=10_05.xlsx&amp;sheet=U0&amp;row=17418&amp;col=6&amp;number=4.4&amp;sourceID=14","4.4")</f>
        <v>4.4</v>
      </c>
      <c r="G17418" s="4" t="str">
        <f>HYPERLINK("http://141.218.60.56/~jnz1568/getInfo.php?workbook=10_05.xlsx&amp;sheet=U0&amp;row=17418&amp;col=7&amp;number=0.000165&amp;sourceID=14","0.000165")</f>
        <v>0.000165</v>
      </c>
    </row>
    <row r="17419" spans="1:7">
      <c r="A17419" s="3"/>
      <c r="B17419" s="3"/>
      <c r="C17419" s="3"/>
      <c r="D17419" s="3"/>
      <c r="E17419" s="3">
        <v>16</v>
      </c>
      <c r="F17419" s="4" t="str">
        <f>HYPERLINK("http://141.218.60.56/~jnz1568/getInfo.php?workbook=10_05.xlsx&amp;sheet=U0&amp;row=17419&amp;col=6&amp;number=4.5&amp;sourceID=14","4.5")</f>
        <v>4.5</v>
      </c>
      <c r="G17419" s="4" t="str">
        <f>HYPERLINK("http://141.218.60.56/~jnz1568/getInfo.php?workbook=10_05.xlsx&amp;sheet=U0&amp;row=17419&amp;col=7&amp;number=0.000146&amp;sourceID=14","0.000146")</f>
        <v>0.000146</v>
      </c>
    </row>
    <row r="17420" spans="1:7">
      <c r="A17420" s="3"/>
      <c r="B17420" s="3"/>
      <c r="C17420" s="3"/>
      <c r="D17420" s="3"/>
      <c r="E17420" s="3">
        <v>17</v>
      </c>
      <c r="F17420" s="4" t="str">
        <f>HYPERLINK("http://141.218.60.56/~jnz1568/getInfo.php?workbook=10_05.xlsx&amp;sheet=U0&amp;row=17420&amp;col=6&amp;number=4.6&amp;sourceID=14","4.6")</f>
        <v>4.6</v>
      </c>
      <c r="G17420" s="4" t="str">
        <f>HYPERLINK("http://141.218.60.56/~jnz1568/getInfo.php?workbook=10_05.xlsx&amp;sheet=U0&amp;row=17420&amp;col=7&amp;number=0.000127&amp;sourceID=14","0.000127")</f>
        <v>0.000127</v>
      </c>
    </row>
    <row r="17421" spans="1:7">
      <c r="A17421" s="3"/>
      <c r="B17421" s="3"/>
      <c r="C17421" s="3"/>
      <c r="D17421" s="3"/>
      <c r="E17421" s="3">
        <v>18</v>
      </c>
      <c r="F17421" s="4" t="str">
        <f>HYPERLINK("http://141.218.60.56/~jnz1568/getInfo.php?workbook=10_05.xlsx&amp;sheet=U0&amp;row=17421&amp;col=6&amp;number=4.7&amp;sourceID=14","4.7")</f>
        <v>4.7</v>
      </c>
      <c r="G17421" s="4" t="str">
        <f>HYPERLINK("http://141.218.60.56/~jnz1568/getInfo.php?workbook=10_05.xlsx&amp;sheet=U0&amp;row=17421&amp;col=7&amp;number=0.000111&amp;sourceID=14","0.000111")</f>
        <v>0.000111</v>
      </c>
    </row>
    <row r="17422" spans="1:7">
      <c r="A17422" s="3"/>
      <c r="B17422" s="3"/>
      <c r="C17422" s="3"/>
      <c r="D17422" s="3"/>
      <c r="E17422" s="3">
        <v>19</v>
      </c>
      <c r="F17422" s="4" t="str">
        <f>HYPERLINK("http://141.218.60.56/~jnz1568/getInfo.php?workbook=10_05.xlsx&amp;sheet=U0&amp;row=17422&amp;col=6&amp;number=4.8&amp;sourceID=14","4.8")</f>
        <v>4.8</v>
      </c>
      <c r="G17422" s="4" t="str">
        <f>HYPERLINK("http://141.218.60.56/~jnz1568/getInfo.php?workbook=10_05.xlsx&amp;sheet=U0&amp;row=17422&amp;col=7&amp;number=9.51e-05&amp;sourceID=14","9.51e-05")</f>
        <v>9.51e-05</v>
      </c>
    </row>
    <row r="17423" spans="1:7">
      <c r="A17423" s="3"/>
      <c r="B17423" s="3"/>
      <c r="C17423" s="3"/>
      <c r="D17423" s="3"/>
      <c r="E17423" s="3">
        <v>20</v>
      </c>
      <c r="F17423" s="4" t="str">
        <f>HYPERLINK("http://141.218.60.56/~jnz1568/getInfo.php?workbook=10_05.xlsx&amp;sheet=U0&amp;row=17423&amp;col=6&amp;number=4.9&amp;sourceID=14","4.9")</f>
        <v>4.9</v>
      </c>
      <c r="G17423" s="4" t="str">
        <f>HYPERLINK("http://141.218.60.56/~jnz1568/getInfo.php?workbook=10_05.xlsx&amp;sheet=U0&amp;row=17423&amp;col=7&amp;number=8.05e-05&amp;sourceID=14","8.05e-05")</f>
        <v>8.05e-05</v>
      </c>
    </row>
    <row r="17424" spans="1:7">
      <c r="A17424" s="3">
        <v>10</v>
      </c>
      <c r="B17424" s="3">
        <v>5</v>
      </c>
      <c r="C17424" s="3">
        <v>5</v>
      </c>
      <c r="D17424" s="3">
        <v>167</v>
      </c>
      <c r="E17424" s="3">
        <v>1</v>
      </c>
      <c r="F17424" s="4" t="str">
        <f>HYPERLINK("http://141.218.60.56/~jnz1568/getInfo.php?workbook=10_05.xlsx&amp;sheet=U0&amp;row=17424&amp;col=6&amp;number=3&amp;sourceID=14","3")</f>
        <v>3</v>
      </c>
      <c r="G17424" s="4" t="str">
        <f>HYPERLINK("http://141.218.60.56/~jnz1568/getInfo.php?workbook=10_05.xlsx&amp;sheet=U0&amp;row=17424&amp;col=7&amp;number=0.000608&amp;sourceID=14","0.000608")</f>
        <v>0.000608</v>
      </c>
    </row>
    <row r="17425" spans="1:7">
      <c r="A17425" s="3"/>
      <c r="B17425" s="3"/>
      <c r="C17425" s="3"/>
      <c r="D17425" s="3"/>
      <c r="E17425" s="3">
        <v>2</v>
      </c>
      <c r="F17425" s="4" t="str">
        <f>HYPERLINK("http://141.218.60.56/~jnz1568/getInfo.php?workbook=10_05.xlsx&amp;sheet=U0&amp;row=17425&amp;col=6&amp;number=3.1&amp;sourceID=14","3.1")</f>
        <v>3.1</v>
      </c>
      <c r="G17425" s="4" t="str">
        <f>HYPERLINK("http://141.218.60.56/~jnz1568/getInfo.php?workbook=10_05.xlsx&amp;sheet=U0&amp;row=17425&amp;col=7&amp;number=0.000605&amp;sourceID=14","0.000605")</f>
        <v>0.000605</v>
      </c>
    </row>
    <row r="17426" spans="1:7">
      <c r="A17426" s="3"/>
      <c r="B17426" s="3"/>
      <c r="C17426" s="3"/>
      <c r="D17426" s="3"/>
      <c r="E17426" s="3">
        <v>3</v>
      </c>
      <c r="F17426" s="4" t="str">
        <f>HYPERLINK("http://141.218.60.56/~jnz1568/getInfo.php?workbook=10_05.xlsx&amp;sheet=U0&amp;row=17426&amp;col=6&amp;number=3.2&amp;sourceID=14","3.2")</f>
        <v>3.2</v>
      </c>
      <c r="G17426" s="4" t="str">
        <f>HYPERLINK("http://141.218.60.56/~jnz1568/getInfo.php?workbook=10_05.xlsx&amp;sheet=U0&amp;row=17426&amp;col=7&amp;number=0.0006&amp;sourceID=14","0.0006")</f>
        <v>0.0006</v>
      </c>
    </row>
    <row r="17427" spans="1:7">
      <c r="A17427" s="3"/>
      <c r="B17427" s="3"/>
      <c r="C17427" s="3"/>
      <c r="D17427" s="3"/>
      <c r="E17427" s="3">
        <v>4</v>
      </c>
      <c r="F17427" s="4" t="str">
        <f>HYPERLINK("http://141.218.60.56/~jnz1568/getInfo.php?workbook=10_05.xlsx&amp;sheet=U0&amp;row=17427&amp;col=6&amp;number=3.3&amp;sourceID=14","3.3")</f>
        <v>3.3</v>
      </c>
      <c r="G17427" s="4" t="str">
        <f>HYPERLINK("http://141.218.60.56/~jnz1568/getInfo.php?workbook=10_05.xlsx&amp;sheet=U0&amp;row=17427&amp;col=7&amp;number=0.000595&amp;sourceID=14","0.000595")</f>
        <v>0.000595</v>
      </c>
    </row>
    <row r="17428" spans="1:7">
      <c r="A17428" s="3"/>
      <c r="B17428" s="3"/>
      <c r="C17428" s="3"/>
      <c r="D17428" s="3"/>
      <c r="E17428" s="3">
        <v>5</v>
      </c>
      <c r="F17428" s="4" t="str">
        <f>HYPERLINK("http://141.218.60.56/~jnz1568/getInfo.php?workbook=10_05.xlsx&amp;sheet=U0&amp;row=17428&amp;col=6&amp;number=3.4&amp;sourceID=14","3.4")</f>
        <v>3.4</v>
      </c>
      <c r="G17428" s="4" t="str">
        <f>HYPERLINK("http://141.218.60.56/~jnz1568/getInfo.php?workbook=10_05.xlsx&amp;sheet=U0&amp;row=17428&amp;col=7&amp;number=0.000588&amp;sourceID=14","0.000588")</f>
        <v>0.000588</v>
      </c>
    </row>
    <row r="17429" spans="1:7">
      <c r="A17429" s="3"/>
      <c r="B17429" s="3"/>
      <c r="C17429" s="3"/>
      <c r="D17429" s="3"/>
      <c r="E17429" s="3">
        <v>6</v>
      </c>
      <c r="F17429" s="4" t="str">
        <f>HYPERLINK("http://141.218.60.56/~jnz1568/getInfo.php?workbook=10_05.xlsx&amp;sheet=U0&amp;row=17429&amp;col=6&amp;number=3.5&amp;sourceID=14","3.5")</f>
        <v>3.5</v>
      </c>
      <c r="G17429" s="4" t="str">
        <f>HYPERLINK("http://141.218.60.56/~jnz1568/getInfo.php?workbook=10_05.xlsx&amp;sheet=U0&amp;row=17429&amp;col=7&amp;number=0.000579&amp;sourceID=14","0.000579")</f>
        <v>0.000579</v>
      </c>
    </row>
    <row r="17430" spans="1:7">
      <c r="A17430" s="3"/>
      <c r="B17430" s="3"/>
      <c r="C17430" s="3"/>
      <c r="D17430" s="3"/>
      <c r="E17430" s="3">
        <v>7</v>
      </c>
      <c r="F17430" s="4" t="str">
        <f>HYPERLINK("http://141.218.60.56/~jnz1568/getInfo.php?workbook=10_05.xlsx&amp;sheet=U0&amp;row=17430&amp;col=6&amp;number=3.6&amp;sourceID=14","3.6")</f>
        <v>3.6</v>
      </c>
      <c r="G17430" s="4" t="str">
        <f>HYPERLINK("http://141.218.60.56/~jnz1568/getInfo.php?workbook=10_05.xlsx&amp;sheet=U0&amp;row=17430&amp;col=7&amp;number=0.000568&amp;sourceID=14","0.000568")</f>
        <v>0.000568</v>
      </c>
    </row>
    <row r="17431" spans="1:7">
      <c r="A17431" s="3"/>
      <c r="B17431" s="3"/>
      <c r="C17431" s="3"/>
      <c r="D17431" s="3"/>
      <c r="E17431" s="3">
        <v>8</v>
      </c>
      <c r="F17431" s="4" t="str">
        <f>HYPERLINK("http://141.218.60.56/~jnz1568/getInfo.php?workbook=10_05.xlsx&amp;sheet=U0&amp;row=17431&amp;col=6&amp;number=3.7&amp;sourceID=14","3.7")</f>
        <v>3.7</v>
      </c>
      <c r="G17431" s="4" t="str">
        <f>HYPERLINK("http://141.218.60.56/~jnz1568/getInfo.php?workbook=10_05.xlsx&amp;sheet=U0&amp;row=17431&amp;col=7&amp;number=0.000555&amp;sourceID=14","0.000555")</f>
        <v>0.000555</v>
      </c>
    </row>
    <row r="17432" spans="1:7">
      <c r="A17432" s="3"/>
      <c r="B17432" s="3"/>
      <c r="C17432" s="3"/>
      <c r="D17432" s="3"/>
      <c r="E17432" s="3">
        <v>9</v>
      </c>
      <c r="F17432" s="4" t="str">
        <f>HYPERLINK("http://141.218.60.56/~jnz1568/getInfo.php?workbook=10_05.xlsx&amp;sheet=U0&amp;row=17432&amp;col=6&amp;number=3.8&amp;sourceID=14","3.8")</f>
        <v>3.8</v>
      </c>
      <c r="G17432" s="4" t="str">
        <f>HYPERLINK("http://141.218.60.56/~jnz1568/getInfo.php?workbook=10_05.xlsx&amp;sheet=U0&amp;row=17432&amp;col=7&amp;number=0.000539&amp;sourceID=14","0.000539")</f>
        <v>0.000539</v>
      </c>
    </row>
    <row r="17433" spans="1:7">
      <c r="A17433" s="3"/>
      <c r="B17433" s="3"/>
      <c r="C17433" s="3"/>
      <c r="D17433" s="3"/>
      <c r="E17433" s="3">
        <v>10</v>
      </c>
      <c r="F17433" s="4" t="str">
        <f>HYPERLINK("http://141.218.60.56/~jnz1568/getInfo.php?workbook=10_05.xlsx&amp;sheet=U0&amp;row=17433&amp;col=6&amp;number=3.9&amp;sourceID=14","3.9")</f>
        <v>3.9</v>
      </c>
      <c r="G17433" s="4" t="str">
        <f>HYPERLINK("http://141.218.60.56/~jnz1568/getInfo.php?workbook=10_05.xlsx&amp;sheet=U0&amp;row=17433&amp;col=7&amp;number=0.000519&amp;sourceID=14","0.000519")</f>
        <v>0.000519</v>
      </c>
    </row>
    <row r="17434" spans="1:7">
      <c r="A17434" s="3"/>
      <c r="B17434" s="3"/>
      <c r="C17434" s="3"/>
      <c r="D17434" s="3"/>
      <c r="E17434" s="3">
        <v>11</v>
      </c>
      <c r="F17434" s="4" t="str">
        <f>HYPERLINK("http://141.218.60.56/~jnz1568/getInfo.php?workbook=10_05.xlsx&amp;sheet=U0&amp;row=17434&amp;col=6&amp;number=4&amp;sourceID=14","4")</f>
        <v>4</v>
      </c>
      <c r="G17434" s="4" t="str">
        <f>HYPERLINK("http://141.218.60.56/~jnz1568/getInfo.php?workbook=10_05.xlsx&amp;sheet=U0&amp;row=17434&amp;col=7&amp;number=0.000494&amp;sourceID=14","0.000494")</f>
        <v>0.000494</v>
      </c>
    </row>
    <row r="17435" spans="1:7">
      <c r="A17435" s="3"/>
      <c r="B17435" s="3"/>
      <c r="C17435" s="3"/>
      <c r="D17435" s="3"/>
      <c r="E17435" s="3">
        <v>12</v>
      </c>
      <c r="F17435" s="4" t="str">
        <f>HYPERLINK("http://141.218.60.56/~jnz1568/getInfo.php?workbook=10_05.xlsx&amp;sheet=U0&amp;row=17435&amp;col=6&amp;number=4.1&amp;sourceID=14","4.1")</f>
        <v>4.1</v>
      </c>
      <c r="G17435" s="4" t="str">
        <f>HYPERLINK("http://141.218.60.56/~jnz1568/getInfo.php?workbook=10_05.xlsx&amp;sheet=U0&amp;row=17435&amp;col=7&amp;number=0.000465&amp;sourceID=14","0.000465")</f>
        <v>0.000465</v>
      </c>
    </row>
    <row r="17436" spans="1:7">
      <c r="A17436" s="3"/>
      <c r="B17436" s="3"/>
      <c r="C17436" s="3"/>
      <c r="D17436" s="3"/>
      <c r="E17436" s="3">
        <v>13</v>
      </c>
      <c r="F17436" s="4" t="str">
        <f>HYPERLINK("http://141.218.60.56/~jnz1568/getInfo.php?workbook=10_05.xlsx&amp;sheet=U0&amp;row=17436&amp;col=6&amp;number=4.2&amp;sourceID=14","4.2")</f>
        <v>4.2</v>
      </c>
      <c r="G17436" s="4" t="str">
        <f>HYPERLINK("http://141.218.60.56/~jnz1568/getInfo.php?workbook=10_05.xlsx&amp;sheet=U0&amp;row=17436&amp;col=7&amp;number=0.000432&amp;sourceID=14","0.000432")</f>
        <v>0.000432</v>
      </c>
    </row>
    <row r="17437" spans="1:7">
      <c r="A17437" s="3"/>
      <c r="B17437" s="3"/>
      <c r="C17437" s="3"/>
      <c r="D17437" s="3"/>
      <c r="E17437" s="3">
        <v>14</v>
      </c>
      <c r="F17437" s="4" t="str">
        <f>HYPERLINK("http://141.218.60.56/~jnz1568/getInfo.php?workbook=10_05.xlsx&amp;sheet=U0&amp;row=17437&amp;col=6&amp;number=4.3&amp;sourceID=14","4.3")</f>
        <v>4.3</v>
      </c>
      <c r="G17437" s="4" t="str">
        <f>HYPERLINK("http://141.218.60.56/~jnz1568/getInfo.php?workbook=10_05.xlsx&amp;sheet=U0&amp;row=17437&amp;col=7&amp;number=0.000394&amp;sourceID=14","0.000394")</f>
        <v>0.000394</v>
      </c>
    </row>
    <row r="17438" spans="1:7">
      <c r="A17438" s="3"/>
      <c r="B17438" s="3"/>
      <c r="C17438" s="3"/>
      <c r="D17438" s="3"/>
      <c r="E17438" s="3">
        <v>15</v>
      </c>
      <c r="F17438" s="4" t="str">
        <f>HYPERLINK("http://141.218.60.56/~jnz1568/getInfo.php?workbook=10_05.xlsx&amp;sheet=U0&amp;row=17438&amp;col=6&amp;number=4.4&amp;sourceID=14","4.4")</f>
        <v>4.4</v>
      </c>
      <c r="G17438" s="4" t="str">
        <f>HYPERLINK("http://141.218.60.56/~jnz1568/getInfo.php?workbook=10_05.xlsx&amp;sheet=U0&amp;row=17438&amp;col=7&amp;number=0.000354&amp;sourceID=14","0.000354")</f>
        <v>0.000354</v>
      </c>
    </row>
    <row r="17439" spans="1:7">
      <c r="A17439" s="3"/>
      <c r="B17439" s="3"/>
      <c r="C17439" s="3"/>
      <c r="D17439" s="3"/>
      <c r="E17439" s="3">
        <v>16</v>
      </c>
      <c r="F17439" s="4" t="str">
        <f>HYPERLINK("http://141.218.60.56/~jnz1568/getInfo.php?workbook=10_05.xlsx&amp;sheet=U0&amp;row=17439&amp;col=6&amp;number=4.5&amp;sourceID=14","4.5")</f>
        <v>4.5</v>
      </c>
      <c r="G17439" s="4" t="str">
        <f>HYPERLINK("http://141.218.60.56/~jnz1568/getInfo.php?workbook=10_05.xlsx&amp;sheet=U0&amp;row=17439&amp;col=7&amp;number=0.000313&amp;sourceID=14","0.000313")</f>
        <v>0.000313</v>
      </c>
    </row>
    <row r="17440" spans="1:7">
      <c r="A17440" s="3"/>
      <c r="B17440" s="3"/>
      <c r="C17440" s="3"/>
      <c r="D17440" s="3"/>
      <c r="E17440" s="3">
        <v>17</v>
      </c>
      <c r="F17440" s="4" t="str">
        <f>HYPERLINK("http://141.218.60.56/~jnz1568/getInfo.php?workbook=10_05.xlsx&amp;sheet=U0&amp;row=17440&amp;col=6&amp;number=4.6&amp;sourceID=14","4.6")</f>
        <v>4.6</v>
      </c>
      <c r="G17440" s="4" t="str">
        <f>HYPERLINK("http://141.218.60.56/~jnz1568/getInfo.php?workbook=10_05.xlsx&amp;sheet=U0&amp;row=17440&amp;col=7&amp;number=0.000273&amp;sourceID=14","0.000273")</f>
        <v>0.000273</v>
      </c>
    </row>
    <row r="17441" spans="1:7">
      <c r="A17441" s="3"/>
      <c r="B17441" s="3"/>
      <c r="C17441" s="3"/>
      <c r="D17441" s="3"/>
      <c r="E17441" s="3">
        <v>18</v>
      </c>
      <c r="F17441" s="4" t="str">
        <f>HYPERLINK("http://141.218.60.56/~jnz1568/getInfo.php?workbook=10_05.xlsx&amp;sheet=U0&amp;row=17441&amp;col=6&amp;number=4.7&amp;sourceID=14","4.7")</f>
        <v>4.7</v>
      </c>
      <c r="G17441" s="4" t="str">
        <f>HYPERLINK("http://141.218.60.56/~jnz1568/getInfo.php?workbook=10_05.xlsx&amp;sheet=U0&amp;row=17441&amp;col=7&amp;number=0.000237&amp;sourceID=14","0.000237")</f>
        <v>0.000237</v>
      </c>
    </row>
    <row r="17442" spans="1:7">
      <c r="A17442" s="3"/>
      <c r="B17442" s="3"/>
      <c r="C17442" s="3"/>
      <c r="D17442" s="3"/>
      <c r="E17442" s="3">
        <v>19</v>
      </c>
      <c r="F17442" s="4" t="str">
        <f>HYPERLINK("http://141.218.60.56/~jnz1568/getInfo.php?workbook=10_05.xlsx&amp;sheet=U0&amp;row=17442&amp;col=6&amp;number=4.8&amp;sourceID=14","4.8")</f>
        <v>4.8</v>
      </c>
      <c r="G17442" s="4" t="str">
        <f>HYPERLINK("http://141.218.60.56/~jnz1568/getInfo.php?workbook=10_05.xlsx&amp;sheet=U0&amp;row=17442&amp;col=7&amp;number=0.000203&amp;sourceID=14","0.000203")</f>
        <v>0.000203</v>
      </c>
    </row>
    <row r="17443" spans="1:7">
      <c r="A17443" s="3"/>
      <c r="B17443" s="3"/>
      <c r="C17443" s="3"/>
      <c r="D17443" s="3"/>
      <c r="E17443" s="3">
        <v>20</v>
      </c>
      <c r="F17443" s="4" t="str">
        <f>HYPERLINK("http://141.218.60.56/~jnz1568/getInfo.php?workbook=10_05.xlsx&amp;sheet=U0&amp;row=17443&amp;col=6&amp;number=4.9&amp;sourceID=14","4.9")</f>
        <v>4.9</v>
      </c>
      <c r="G17443" s="4" t="str">
        <f>HYPERLINK("http://141.218.60.56/~jnz1568/getInfo.php?workbook=10_05.xlsx&amp;sheet=U0&amp;row=17443&amp;col=7&amp;number=0.000173&amp;sourceID=14","0.000173")</f>
        <v>0.000173</v>
      </c>
    </row>
    <row r="17444" spans="1:7">
      <c r="A17444" s="3">
        <v>10</v>
      </c>
      <c r="B17444" s="3">
        <v>5</v>
      </c>
      <c r="C17444" s="3">
        <v>5</v>
      </c>
      <c r="D17444" s="3">
        <v>168</v>
      </c>
      <c r="E17444" s="3">
        <v>1</v>
      </c>
      <c r="F17444" s="4" t="str">
        <f>HYPERLINK("http://141.218.60.56/~jnz1568/getInfo.php?workbook=10_05.xlsx&amp;sheet=U0&amp;row=17444&amp;col=6&amp;number=3&amp;sourceID=14","3")</f>
        <v>3</v>
      </c>
      <c r="G17444" s="4" t="str">
        <f>HYPERLINK("http://141.218.60.56/~jnz1568/getInfo.php?workbook=10_05.xlsx&amp;sheet=U0&amp;row=17444&amp;col=7&amp;number=0.000786&amp;sourceID=14","0.000786")</f>
        <v>0.000786</v>
      </c>
    </row>
    <row r="17445" spans="1:7">
      <c r="A17445" s="3"/>
      <c r="B17445" s="3"/>
      <c r="C17445" s="3"/>
      <c r="D17445" s="3"/>
      <c r="E17445" s="3">
        <v>2</v>
      </c>
      <c r="F17445" s="4" t="str">
        <f>HYPERLINK("http://141.218.60.56/~jnz1568/getInfo.php?workbook=10_05.xlsx&amp;sheet=U0&amp;row=17445&amp;col=6&amp;number=3.1&amp;sourceID=14","3.1")</f>
        <v>3.1</v>
      </c>
      <c r="G17445" s="4" t="str">
        <f>HYPERLINK("http://141.218.60.56/~jnz1568/getInfo.php?workbook=10_05.xlsx&amp;sheet=U0&amp;row=17445&amp;col=7&amp;number=0.000783&amp;sourceID=14","0.000783")</f>
        <v>0.000783</v>
      </c>
    </row>
    <row r="17446" spans="1:7">
      <c r="A17446" s="3"/>
      <c r="B17446" s="3"/>
      <c r="C17446" s="3"/>
      <c r="D17446" s="3"/>
      <c r="E17446" s="3">
        <v>3</v>
      </c>
      <c r="F17446" s="4" t="str">
        <f>HYPERLINK("http://141.218.60.56/~jnz1568/getInfo.php?workbook=10_05.xlsx&amp;sheet=U0&amp;row=17446&amp;col=6&amp;number=3.2&amp;sourceID=14","3.2")</f>
        <v>3.2</v>
      </c>
      <c r="G17446" s="4" t="str">
        <f>HYPERLINK("http://141.218.60.56/~jnz1568/getInfo.php?workbook=10_05.xlsx&amp;sheet=U0&amp;row=17446&amp;col=7&amp;number=0.00078&amp;sourceID=14","0.00078")</f>
        <v>0.00078</v>
      </c>
    </row>
    <row r="17447" spans="1:7">
      <c r="A17447" s="3"/>
      <c r="B17447" s="3"/>
      <c r="C17447" s="3"/>
      <c r="D17447" s="3"/>
      <c r="E17447" s="3">
        <v>4</v>
      </c>
      <c r="F17447" s="4" t="str">
        <f>HYPERLINK("http://141.218.60.56/~jnz1568/getInfo.php?workbook=10_05.xlsx&amp;sheet=U0&amp;row=17447&amp;col=6&amp;number=3.3&amp;sourceID=14","3.3")</f>
        <v>3.3</v>
      </c>
      <c r="G17447" s="4" t="str">
        <f>HYPERLINK("http://141.218.60.56/~jnz1568/getInfo.php?workbook=10_05.xlsx&amp;sheet=U0&amp;row=17447&amp;col=7&amp;number=0.000776&amp;sourceID=14","0.000776")</f>
        <v>0.000776</v>
      </c>
    </row>
    <row r="17448" spans="1:7">
      <c r="A17448" s="3"/>
      <c r="B17448" s="3"/>
      <c r="C17448" s="3"/>
      <c r="D17448" s="3"/>
      <c r="E17448" s="3">
        <v>5</v>
      </c>
      <c r="F17448" s="4" t="str">
        <f>HYPERLINK("http://141.218.60.56/~jnz1568/getInfo.php?workbook=10_05.xlsx&amp;sheet=U0&amp;row=17448&amp;col=6&amp;number=3.4&amp;sourceID=14","3.4")</f>
        <v>3.4</v>
      </c>
      <c r="G17448" s="4" t="str">
        <f>HYPERLINK("http://141.218.60.56/~jnz1568/getInfo.php?workbook=10_05.xlsx&amp;sheet=U0&amp;row=17448&amp;col=7&amp;number=0.000771&amp;sourceID=14","0.000771")</f>
        <v>0.000771</v>
      </c>
    </row>
    <row r="17449" spans="1:7">
      <c r="A17449" s="3"/>
      <c r="B17449" s="3"/>
      <c r="C17449" s="3"/>
      <c r="D17449" s="3"/>
      <c r="E17449" s="3">
        <v>6</v>
      </c>
      <c r="F17449" s="4" t="str">
        <f>HYPERLINK("http://141.218.60.56/~jnz1568/getInfo.php?workbook=10_05.xlsx&amp;sheet=U0&amp;row=17449&amp;col=6&amp;number=3.5&amp;sourceID=14","3.5")</f>
        <v>3.5</v>
      </c>
      <c r="G17449" s="4" t="str">
        <f>HYPERLINK("http://141.218.60.56/~jnz1568/getInfo.php?workbook=10_05.xlsx&amp;sheet=U0&amp;row=17449&amp;col=7&amp;number=0.000765&amp;sourceID=14","0.000765")</f>
        <v>0.000765</v>
      </c>
    </row>
    <row r="17450" spans="1:7">
      <c r="A17450" s="3"/>
      <c r="B17450" s="3"/>
      <c r="C17450" s="3"/>
      <c r="D17450" s="3"/>
      <c r="E17450" s="3">
        <v>7</v>
      </c>
      <c r="F17450" s="4" t="str">
        <f>HYPERLINK("http://141.218.60.56/~jnz1568/getInfo.php?workbook=10_05.xlsx&amp;sheet=U0&amp;row=17450&amp;col=6&amp;number=3.6&amp;sourceID=14","3.6")</f>
        <v>3.6</v>
      </c>
      <c r="G17450" s="4" t="str">
        <f>HYPERLINK("http://141.218.60.56/~jnz1568/getInfo.php?workbook=10_05.xlsx&amp;sheet=U0&amp;row=17450&amp;col=7&amp;number=0.000757&amp;sourceID=14","0.000757")</f>
        <v>0.000757</v>
      </c>
    </row>
    <row r="17451" spans="1:7">
      <c r="A17451" s="3"/>
      <c r="B17451" s="3"/>
      <c r="C17451" s="3"/>
      <c r="D17451" s="3"/>
      <c r="E17451" s="3">
        <v>8</v>
      </c>
      <c r="F17451" s="4" t="str">
        <f>HYPERLINK("http://141.218.60.56/~jnz1568/getInfo.php?workbook=10_05.xlsx&amp;sheet=U0&amp;row=17451&amp;col=6&amp;number=3.7&amp;sourceID=14","3.7")</f>
        <v>3.7</v>
      </c>
      <c r="G17451" s="4" t="str">
        <f>HYPERLINK("http://141.218.60.56/~jnz1568/getInfo.php?workbook=10_05.xlsx&amp;sheet=U0&amp;row=17451&amp;col=7&amp;number=0.000748&amp;sourceID=14","0.000748")</f>
        <v>0.000748</v>
      </c>
    </row>
    <row r="17452" spans="1:7">
      <c r="A17452" s="3"/>
      <c r="B17452" s="3"/>
      <c r="C17452" s="3"/>
      <c r="D17452" s="3"/>
      <c r="E17452" s="3">
        <v>9</v>
      </c>
      <c r="F17452" s="4" t="str">
        <f>HYPERLINK("http://141.218.60.56/~jnz1568/getInfo.php?workbook=10_05.xlsx&amp;sheet=U0&amp;row=17452&amp;col=6&amp;number=3.8&amp;sourceID=14","3.8")</f>
        <v>3.8</v>
      </c>
      <c r="G17452" s="4" t="str">
        <f>HYPERLINK("http://141.218.60.56/~jnz1568/getInfo.php?workbook=10_05.xlsx&amp;sheet=U0&amp;row=17452&amp;col=7&amp;number=0.000736&amp;sourceID=14","0.000736")</f>
        <v>0.000736</v>
      </c>
    </row>
    <row r="17453" spans="1:7">
      <c r="A17453" s="3"/>
      <c r="B17453" s="3"/>
      <c r="C17453" s="3"/>
      <c r="D17453" s="3"/>
      <c r="E17453" s="3">
        <v>10</v>
      </c>
      <c r="F17453" s="4" t="str">
        <f>HYPERLINK("http://141.218.60.56/~jnz1568/getInfo.php?workbook=10_05.xlsx&amp;sheet=U0&amp;row=17453&amp;col=6&amp;number=3.9&amp;sourceID=14","3.9")</f>
        <v>3.9</v>
      </c>
      <c r="G17453" s="4" t="str">
        <f>HYPERLINK("http://141.218.60.56/~jnz1568/getInfo.php?workbook=10_05.xlsx&amp;sheet=U0&amp;row=17453&amp;col=7&amp;number=0.000722&amp;sourceID=14","0.000722")</f>
        <v>0.000722</v>
      </c>
    </row>
    <row r="17454" spans="1:7">
      <c r="A17454" s="3"/>
      <c r="B17454" s="3"/>
      <c r="C17454" s="3"/>
      <c r="D17454" s="3"/>
      <c r="E17454" s="3">
        <v>11</v>
      </c>
      <c r="F17454" s="4" t="str">
        <f>HYPERLINK("http://141.218.60.56/~jnz1568/getInfo.php?workbook=10_05.xlsx&amp;sheet=U0&amp;row=17454&amp;col=6&amp;number=4&amp;sourceID=14","4")</f>
        <v>4</v>
      </c>
      <c r="G17454" s="4" t="str">
        <f>HYPERLINK("http://141.218.60.56/~jnz1568/getInfo.php?workbook=10_05.xlsx&amp;sheet=U0&amp;row=17454&amp;col=7&amp;number=0.000705&amp;sourceID=14","0.000705")</f>
        <v>0.000705</v>
      </c>
    </row>
    <row r="17455" spans="1:7">
      <c r="A17455" s="3"/>
      <c r="B17455" s="3"/>
      <c r="C17455" s="3"/>
      <c r="D17455" s="3"/>
      <c r="E17455" s="3">
        <v>12</v>
      </c>
      <c r="F17455" s="4" t="str">
        <f>HYPERLINK("http://141.218.60.56/~jnz1568/getInfo.php?workbook=10_05.xlsx&amp;sheet=U0&amp;row=17455&amp;col=6&amp;number=4.1&amp;sourceID=14","4.1")</f>
        <v>4.1</v>
      </c>
      <c r="G17455" s="4" t="str">
        <f>HYPERLINK("http://141.218.60.56/~jnz1568/getInfo.php?workbook=10_05.xlsx&amp;sheet=U0&amp;row=17455&amp;col=7&amp;number=0.000684&amp;sourceID=14","0.000684")</f>
        <v>0.000684</v>
      </c>
    </row>
    <row r="17456" spans="1:7">
      <c r="A17456" s="3"/>
      <c r="B17456" s="3"/>
      <c r="C17456" s="3"/>
      <c r="D17456" s="3"/>
      <c r="E17456" s="3">
        <v>13</v>
      </c>
      <c r="F17456" s="4" t="str">
        <f>HYPERLINK("http://141.218.60.56/~jnz1568/getInfo.php?workbook=10_05.xlsx&amp;sheet=U0&amp;row=17456&amp;col=6&amp;number=4.2&amp;sourceID=14","4.2")</f>
        <v>4.2</v>
      </c>
      <c r="G17456" s="4" t="str">
        <f>HYPERLINK("http://141.218.60.56/~jnz1568/getInfo.php?workbook=10_05.xlsx&amp;sheet=U0&amp;row=17456&amp;col=7&amp;number=0.00066&amp;sourceID=14","0.00066")</f>
        <v>0.00066</v>
      </c>
    </row>
    <row r="17457" spans="1:7">
      <c r="A17457" s="3"/>
      <c r="B17457" s="3"/>
      <c r="C17457" s="3"/>
      <c r="D17457" s="3"/>
      <c r="E17457" s="3">
        <v>14</v>
      </c>
      <c r="F17457" s="4" t="str">
        <f>HYPERLINK("http://141.218.60.56/~jnz1568/getInfo.php?workbook=10_05.xlsx&amp;sheet=U0&amp;row=17457&amp;col=6&amp;number=4.3&amp;sourceID=14","4.3")</f>
        <v>4.3</v>
      </c>
      <c r="G17457" s="4" t="str">
        <f>HYPERLINK("http://141.218.60.56/~jnz1568/getInfo.php?workbook=10_05.xlsx&amp;sheet=U0&amp;row=17457&amp;col=7&amp;number=0.000632&amp;sourceID=14","0.000632")</f>
        <v>0.000632</v>
      </c>
    </row>
    <row r="17458" spans="1:7">
      <c r="A17458" s="3"/>
      <c r="B17458" s="3"/>
      <c r="C17458" s="3"/>
      <c r="D17458" s="3"/>
      <c r="E17458" s="3">
        <v>15</v>
      </c>
      <c r="F17458" s="4" t="str">
        <f>HYPERLINK("http://141.218.60.56/~jnz1568/getInfo.php?workbook=10_05.xlsx&amp;sheet=U0&amp;row=17458&amp;col=6&amp;number=4.4&amp;sourceID=14","4.4")</f>
        <v>4.4</v>
      </c>
      <c r="G17458" s="4" t="str">
        <f>HYPERLINK("http://141.218.60.56/~jnz1568/getInfo.php?workbook=10_05.xlsx&amp;sheet=U0&amp;row=17458&amp;col=7&amp;number=0.000602&amp;sourceID=14","0.000602")</f>
        <v>0.000602</v>
      </c>
    </row>
    <row r="17459" spans="1:7">
      <c r="A17459" s="3"/>
      <c r="B17459" s="3"/>
      <c r="C17459" s="3"/>
      <c r="D17459" s="3"/>
      <c r="E17459" s="3">
        <v>16</v>
      </c>
      <c r="F17459" s="4" t="str">
        <f>HYPERLINK("http://141.218.60.56/~jnz1568/getInfo.php?workbook=10_05.xlsx&amp;sheet=U0&amp;row=17459&amp;col=6&amp;number=4.5&amp;sourceID=14","4.5")</f>
        <v>4.5</v>
      </c>
      <c r="G17459" s="4" t="str">
        <f>HYPERLINK("http://141.218.60.56/~jnz1568/getInfo.php?workbook=10_05.xlsx&amp;sheet=U0&amp;row=17459&amp;col=7&amp;number=0.000571&amp;sourceID=14","0.000571")</f>
        <v>0.000571</v>
      </c>
    </row>
    <row r="17460" spans="1:7">
      <c r="A17460" s="3"/>
      <c r="B17460" s="3"/>
      <c r="C17460" s="3"/>
      <c r="D17460" s="3"/>
      <c r="E17460" s="3">
        <v>17</v>
      </c>
      <c r="F17460" s="4" t="str">
        <f>HYPERLINK("http://141.218.60.56/~jnz1568/getInfo.php?workbook=10_05.xlsx&amp;sheet=U0&amp;row=17460&amp;col=6&amp;number=4.6&amp;sourceID=14","4.6")</f>
        <v>4.6</v>
      </c>
      <c r="G17460" s="4" t="str">
        <f>HYPERLINK("http://141.218.60.56/~jnz1568/getInfo.php?workbook=10_05.xlsx&amp;sheet=U0&amp;row=17460&amp;col=7&amp;number=0.000539&amp;sourceID=14","0.000539")</f>
        <v>0.000539</v>
      </c>
    </row>
    <row r="17461" spans="1:7">
      <c r="A17461" s="3"/>
      <c r="B17461" s="3"/>
      <c r="C17461" s="3"/>
      <c r="D17461" s="3"/>
      <c r="E17461" s="3">
        <v>18</v>
      </c>
      <c r="F17461" s="4" t="str">
        <f>HYPERLINK("http://141.218.60.56/~jnz1568/getInfo.php?workbook=10_05.xlsx&amp;sheet=U0&amp;row=17461&amp;col=6&amp;number=4.7&amp;sourceID=14","4.7")</f>
        <v>4.7</v>
      </c>
      <c r="G17461" s="4" t="str">
        <f>HYPERLINK("http://141.218.60.56/~jnz1568/getInfo.php?workbook=10_05.xlsx&amp;sheet=U0&amp;row=17461&amp;col=7&amp;number=0.000509&amp;sourceID=14","0.000509")</f>
        <v>0.000509</v>
      </c>
    </row>
    <row r="17462" spans="1:7">
      <c r="A17462" s="3"/>
      <c r="B17462" s="3"/>
      <c r="C17462" s="3"/>
      <c r="D17462" s="3"/>
      <c r="E17462" s="3">
        <v>19</v>
      </c>
      <c r="F17462" s="4" t="str">
        <f>HYPERLINK("http://141.218.60.56/~jnz1568/getInfo.php?workbook=10_05.xlsx&amp;sheet=U0&amp;row=17462&amp;col=6&amp;number=4.8&amp;sourceID=14","4.8")</f>
        <v>4.8</v>
      </c>
      <c r="G17462" s="4" t="str">
        <f>HYPERLINK("http://141.218.60.56/~jnz1568/getInfo.php?workbook=10_05.xlsx&amp;sheet=U0&amp;row=17462&amp;col=7&amp;number=0.000482&amp;sourceID=14","0.000482")</f>
        <v>0.000482</v>
      </c>
    </row>
    <row r="17463" spans="1:7">
      <c r="A17463" s="3"/>
      <c r="B17463" s="3"/>
      <c r="C17463" s="3"/>
      <c r="D17463" s="3"/>
      <c r="E17463" s="3">
        <v>20</v>
      </c>
      <c r="F17463" s="4" t="str">
        <f>HYPERLINK("http://141.218.60.56/~jnz1568/getInfo.php?workbook=10_05.xlsx&amp;sheet=U0&amp;row=17463&amp;col=6&amp;number=4.9&amp;sourceID=14","4.9")</f>
        <v>4.9</v>
      </c>
      <c r="G17463" s="4" t="str">
        <f>HYPERLINK("http://141.218.60.56/~jnz1568/getInfo.php?workbook=10_05.xlsx&amp;sheet=U0&amp;row=17463&amp;col=7&amp;number=0.000456&amp;sourceID=14","0.000456")</f>
        <v>0.000456</v>
      </c>
    </row>
    <row r="17464" spans="1:7">
      <c r="A17464" s="3">
        <v>10</v>
      </c>
      <c r="B17464" s="3">
        <v>5</v>
      </c>
      <c r="C17464" s="3">
        <v>5</v>
      </c>
      <c r="D17464" s="3">
        <v>169</v>
      </c>
      <c r="E17464" s="3">
        <v>1</v>
      </c>
      <c r="F17464" s="4" t="str">
        <f>HYPERLINK("http://141.218.60.56/~jnz1568/getInfo.php?workbook=10_05.xlsx&amp;sheet=U0&amp;row=17464&amp;col=6&amp;number=3&amp;sourceID=14","3")</f>
        <v>3</v>
      </c>
      <c r="G17464" s="4" t="str">
        <f>HYPERLINK("http://141.218.60.56/~jnz1568/getInfo.php?workbook=10_05.xlsx&amp;sheet=U0&amp;row=17464&amp;col=7&amp;number=0.000417&amp;sourceID=14","0.000417")</f>
        <v>0.000417</v>
      </c>
    </row>
    <row r="17465" spans="1:7">
      <c r="A17465" s="3"/>
      <c r="B17465" s="3"/>
      <c r="C17465" s="3"/>
      <c r="D17465" s="3"/>
      <c r="E17465" s="3">
        <v>2</v>
      </c>
      <c r="F17465" s="4" t="str">
        <f>HYPERLINK("http://141.218.60.56/~jnz1568/getInfo.php?workbook=10_05.xlsx&amp;sheet=U0&amp;row=17465&amp;col=6&amp;number=3.1&amp;sourceID=14","3.1")</f>
        <v>3.1</v>
      </c>
      <c r="G17465" s="4" t="str">
        <f>HYPERLINK("http://141.218.60.56/~jnz1568/getInfo.php?workbook=10_05.xlsx&amp;sheet=U0&amp;row=17465&amp;col=7&amp;number=0.000415&amp;sourceID=14","0.000415")</f>
        <v>0.000415</v>
      </c>
    </row>
    <row r="17466" spans="1:7">
      <c r="A17466" s="3"/>
      <c r="B17466" s="3"/>
      <c r="C17466" s="3"/>
      <c r="D17466" s="3"/>
      <c r="E17466" s="3">
        <v>3</v>
      </c>
      <c r="F17466" s="4" t="str">
        <f>HYPERLINK("http://141.218.60.56/~jnz1568/getInfo.php?workbook=10_05.xlsx&amp;sheet=U0&amp;row=17466&amp;col=6&amp;number=3.2&amp;sourceID=14","3.2")</f>
        <v>3.2</v>
      </c>
      <c r="G17466" s="4" t="str">
        <f>HYPERLINK("http://141.218.60.56/~jnz1568/getInfo.php?workbook=10_05.xlsx&amp;sheet=U0&amp;row=17466&amp;col=7&amp;number=0.000413&amp;sourceID=14","0.000413")</f>
        <v>0.000413</v>
      </c>
    </row>
    <row r="17467" spans="1:7">
      <c r="A17467" s="3"/>
      <c r="B17467" s="3"/>
      <c r="C17467" s="3"/>
      <c r="D17467" s="3"/>
      <c r="E17467" s="3">
        <v>4</v>
      </c>
      <c r="F17467" s="4" t="str">
        <f>HYPERLINK("http://141.218.60.56/~jnz1568/getInfo.php?workbook=10_05.xlsx&amp;sheet=U0&amp;row=17467&amp;col=6&amp;number=3.3&amp;sourceID=14","3.3")</f>
        <v>3.3</v>
      </c>
      <c r="G17467" s="4" t="str">
        <f>HYPERLINK("http://141.218.60.56/~jnz1568/getInfo.php?workbook=10_05.xlsx&amp;sheet=U0&amp;row=17467&amp;col=7&amp;number=0.000411&amp;sourceID=14","0.000411")</f>
        <v>0.000411</v>
      </c>
    </row>
    <row r="17468" spans="1:7">
      <c r="A17468" s="3"/>
      <c r="B17468" s="3"/>
      <c r="C17468" s="3"/>
      <c r="D17468" s="3"/>
      <c r="E17468" s="3">
        <v>5</v>
      </c>
      <c r="F17468" s="4" t="str">
        <f>HYPERLINK("http://141.218.60.56/~jnz1568/getInfo.php?workbook=10_05.xlsx&amp;sheet=U0&amp;row=17468&amp;col=6&amp;number=3.4&amp;sourceID=14","3.4")</f>
        <v>3.4</v>
      </c>
      <c r="G17468" s="4" t="str">
        <f>HYPERLINK("http://141.218.60.56/~jnz1568/getInfo.php?workbook=10_05.xlsx&amp;sheet=U0&amp;row=17468&amp;col=7&amp;number=0.000408&amp;sourceID=14","0.000408")</f>
        <v>0.000408</v>
      </c>
    </row>
    <row r="17469" spans="1:7">
      <c r="A17469" s="3"/>
      <c r="B17469" s="3"/>
      <c r="C17469" s="3"/>
      <c r="D17469" s="3"/>
      <c r="E17469" s="3">
        <v>6</v>
      </c>
      <c r="F17469" s="4" t="str">
        <f>HYPERLINK("http://141.218.60.56/~jnz1568/getInfo.php?workbook=10_05.xlsx&amp;sheet=U0&amp;row=17469&amp;col=6&amp;number=3.5&amp;sourceID=14","3.5")</f>
        <v>3.5</v>
      </c>
      <c r="G17469" s="4" t="str">
        <f>HYPERLINK("http://141.218.60.56/~jnz1568/getInfo.php?workbook=10_05.xlsx&amp;sheet=U0&amp;row=17469&amp;col=7&amp;number=0.000405&amp;sourceID=14","0.000405")</f>
        <v>0.000405</v>
      </c>
    </row>
    <row r="17470" spans="1:7">
      <c r="A17470" s="3"/>
      <c r="B17470" s="3"/>
      <c r="C17470" s="3"/>
      <c r="D17470" s="3"/>
      <c r="E17470" s="3">
        <v>7</v>
      </c>
      <c r="F17470" s="4" t="str">
        <f>HYPERLINK("http://141.218.60.56/~jnz1568/getInfo.php?workbook=10_05.xlsx&amp;sheet=U0&amp;row=17470&amp;col=6&amp;number=3.6&amp;sourceID=14","3.6")</f>
        <v>3.6</v>
      </c>
      <c r="G17470" s="4" t="str">
        <f>HYPERLINK("http://141.218.60.56/~jnz1568/getInfo.php?workbook=10_05.xlsx&amp;sheet=U0&amp;row=17470&amp;col=7&amp;number=0.0004&amp;sourceID=14","0.0004")</f>
        <v>0.0004</v>
      </c>
    </row>
    <row r="17471" spans="1:7">
      <c r="A17471" s="3"/>
      <c r="B17471" s="3"/>
      <c r="C17471" s="3"/>
      <c r="D17471" s="3"/>
      <c r="E17471" s="3">
        <v>8</v>
      </c>
      <c r="F17471" s="4" t="str">
        <f>HYPERLINK("http://141.218.60.56/~jnz1568/getInfo.php?workbook=10_05.xlsx&amp;sheet=U0&amp;row=17471&amp;col=6&amp;number=3.7&amp;sourceID=14","3.7")</f>
        <v>3.7</v>
      </c>
      <c r="G17471" s="4" t="str">
        <f>HYPERLINK("http://141.218.60.56/~jnz1568/getInfo.php?workbook=10_05.xlsx&amp;sheet=U0&amp;row=17471&amp;col=7&amp;number=0.000395&amp;sourceID=14","0.000395")</f>
        <v>0.000395</v>
      </c>
    </row>
    <row r="17472" spans="1:7">
      <c r="A17472" s="3"/>
      <c r="B17472" s="3"/>
      <c r="C17472" s="3"/>
      <c r="D17472" s="3"/>
      <c r="E17472" s="3">
        <v>9</v>
      </c>
      <c r="F17472" s="4" t="str">
        <f>HYPERLINK("http://141.218.60.56/~jnz1568/getInfo.php?workbook=10_05.xlsx&amp;sheet=U0&amp;row=17472&amp;col=6&amp;number=3.8&amp;sourceID=14","3.8")</f>
        <v>3.8</v>
      </c>
      <c r="G17472" s="4" t="str">
        <f>HYPERLINK("http://141.218.60.56/~jnz1568/getInfo.php?workbook=10_05.xlsx&amp;sheet=U0&amp;row=17472&amp;col=7&amp;number=0.000388&amp;sourceID=14","0.000388")</f>
        <v>0.000388</v>
      </c>
    </row>
    <row r="17473" spans="1:7">
      <c r="A17473" s="3"/>
      <c r="B17473" s="3"/>
      <c r="C17473" s="3"/>
      <c r="D17473" s="3"/>
      <c r="E17473" s="3">
        <v>10</v>
      </c>
      <c r="F17473" s="4" t="str">
        <f>HYPERLINK("http://141.218.60.56/~jnz1568/getInfo.php?workbook=10_05.xlsx&amp;sheet=U0&amp;row=17473&amp;col=6&amp;number=3.9&amp;sourceID=14","3.9")</f>
        <v>3.9</v>
      </c>
      <c r="G17473" s="4" t="str">
        <f>HYPERLINK("http://141.218.60.56/~jnz1568/getInfo.php?workbook=10_05.xlsx&amp;sheet=U0&amp;row=17473&amp;col=7&amp;number=0.00038&amp;sourceID=14","0.00038")</f>
        <v>0.00038</v>
      </c>
    </row>
    <row r="17474" spans="1:7">
      <c r="A17474" s="3"/>
      <c r="B17474" s="3"/>
      <c r="C17474" s="3"/>
      <c r="D17474" s="3"/>
      <c r="E17474" s="3">
        <v>11</v>
      </c>
      <c r="F17474" s="4" t="str">
        <f>HYPERLINK("http://141.218.60.56/~jnz1568/getInfo.php?workbook=10_05.xlsx&amp;sheet=U0&amp;row=17474&amp;col=6&amp;number=4&amp;sourceID=14","4")</f>
        <v>4</v>
      </c>
      <c r="G17474" s="4" t="str">
        <f>HYPERLINK("http://141.218.60.56/~jnz1568/getInfo.php?workbook=10_05.xlsx&amp;sheet=U0&amp;row=17474&amp;col=7&amp;number=0.00037&amp;sourceID=14","0.00037")</f>
        <v>0.00037</v>
      </c>
    </row>
    <row r="17475" spans="1:7">
      <c r="A17475" s="3"/>
      <c r="B17475" s="3"/>
      <c r="C17475" s="3"/>
      <c r="D17475" s="3"/>
      <c r="E17475" s="3">
        <v>12</v>
      </c>
      <c r="F17475" s="4" t="str">
        <f>HYPERLINK("http://141.218.60.56/~jnz1568/getInfo.php?workbook=10_05.xlsx&amp;sheet=U0&amp;row=17475&amp;col=6&amp;number=4.1&amp;sourceID=14","4.1")</f>
        <v>4.1</v>
      </c>
      <c r="G17475" s="4" t="str">
        <f>HYPERLINK("http://141.218.60.56/~jnz1568/getInfo.php?workbook=10_05.xlsx&amp;sheet=U0&amp;row=17475&amp;col=7&amp;number=0.000358&amp;sourceID=14","0.000358")</f>
        <v>0.000358</v>
      </c>
    </row>
    <row r="17476" spans="1:7">
      <c r="A17476" s="3"/>
      <c r="B17476" s="3"/>
      <c r="C17476" s="3"/>
      <c r="D17476" s="3"/>
      <c r="E17476" s="3">
        <v>13</v>
      </c>
      <c r="F17476" s="4" t="str">
        <f>HYPERLINK("http://141.218.60.56/~jnz1568/getInfo.php?workbook=10_05.xlsx&amp;sheet=U0&amp;row=17476&amp;col=6&amp;number=4.2&amp;sourceID=14","4.2")</f>
        <v>4.2</v>
      </c>
      <c r="G17476" s="4" t="str">
        <f>HYPERLINK("http://141.218.60.56/~jnz1568/getInfo.php?workbook=10_05.xlsx&amp;sheet=U0&amp;row=17476&amp;col=7&amp;number=0.000345&amp;sourceID=14","0.000345")</f>
        <v>0.000345</v>
      </c>
    </row>
    <row r="17477" spans="1:7">
      <c r="A17477" s="3"/>
      <c r="B17477" s="3"/>
      <c r="C17477" s="3"/>
      <c r="D17477" s="3"/>
      <c r="E17477" s="3">
        <v>14</v>
      </c>
      <c r="F17477" s="4" t="str">
        <f>HYPERLINK("http://141.218.60.56/~jnz1568/getInfo.php?workbook=10_05.xlsx&amp;sheet=U0&amp;row=17477&amp;col=6&amp;number=4.3&amp;sourceID=14","4.3")</f>
        <v>4.3</v>
      </c>
      <c r="G17477" s="4" t="str">
        <f>HYPERLINK("http://141.218.60.56/~jnz1568/getInfo.php?workbook=10_05.xlsx&amp;sheet=U0&amp;row=17477&amp;col=7&amp;number=0.000329&amp;sourceID=14","0.000329")</f>
        <v>0.000329</v>
      </c>
    </row>
    <row r="17478" spans="1:7">
      <c r="A17478" s="3"/>
      <c r="B17478" s="3"/>
      <c r="C17478" s="3"/>
      <c r="D17478" s="3"/>
      <c r="E17478" s="3">
        <v>15</v>
      </c>
      <c r="F17478" s="4" t="str">
        <f>HYPERLINK("http://141.218.60.56/~jnz1568/getInfo.php?workbook=10_05.xlsx&amp;sheet=U0&amp;row=17478&amp;col=6&amp;number=4.4&amp;sourceID=14","4.4")</f>
        <v>4.4</v>
      </c>
      <c r="G17478" s="4" t="str">
        <f>HYPERLINK("http://141.218.60.56/~jnz1568/getInfo.php?workbook=10_05.xlsx&amp;sheet=U0&amp;row=17478&amp;col=7&amp;number=0.000313&amp;sourceID=14","0.000313")</f>
        <v>0.000313</v>
      </c>
    </row>
    <row r="17479" spans="1:7">
      <c r="A17479" s="3"/>
      <c r="B17479" s="3"/>
      <c r="C17479" s="3"/>
      <c r="D17479" s="3"/>
      <c r="E17479" s="3">
        <v>16</v>
      </c>
      <c r="F17479" s="4" t="str">
        <f>HYPERLINK("http://141.218.60.56/~jnz1568/getInfo.php?workbook=10_05.xlsx&amp;sheet=U0&amp;row=17479&amp;col=6&amp;number=4.5&amp;sourceID=14","4.5")</f>
        <v>4.5</v>
      </c>
      <c r="G17479" s="4" t="str">
        <f>HYPERLINK("http://141.218.60.56/~jnz1568/getInfo.php?workbook=10_05.xlsx&amp;sheet=U0&amp;row=17479&amp;col=7&amp;number=0.000297&amp;sourceID=14","0.000297")</f>
        <v>0.000297</v>
      </c>
    </row>
    <row r="17480" spans="1:7">
      <c r="A17480" s="3"/>
      <c r="B17480" s="3"/>
      <c r="C17480" s="3"/>
      <c r="D17480" s="3"/>
      <c r="E17480" s="3">
        <v>17</v>
      </c>
      <c r="F17480" s="4" t="str">
        <f>HYPERLINK("http://141.218.60.56/~jnz1568/getInfo.php?workbook=10_05.xlsx&amp;sheet=U0&amp;row=17480&amp;col=6&amp;number=4.6&amp;sourceID=14","4.6")</f>
        <v>4.6</v>
      </c>
      <c r="G17480" s="4" t="str">
        <f>HYPERLINK("http://141.218.60.56/~jnz1568/getInfo.php?workbook=10_05.xlsx&amp;sheet=U0&amp;row=17480&amp;col=7&amp;number=0.000281&amp;sourceID=14","0.000281")</f>
        <v>0.000281</v>
      </c>
    </row>
    <row r="17481" spans="1:7">
      <c r="A17481" s="3"/>
      <c r="B17481" s="3"/>
      <c r="C17481" s="3"/>
      <c r="D17481" s="3"/>
      <c r="E17481" s="3">
        <v>18</v>
      </c>
      <c r="F17481" s="4" t="str">
        <f>HYPERLINK("http://141.218.60.56/~jnz1568/getInfo.php?workbook=10_05.xlsx&amp;sheet=U0&amp;row=17481&amp;col=6&amp;number=4.7&amp;sourceID=14","4.7")</f>
        <v>4.7</v>
      </c>
      <c r="G17481" s="4" t="str">
        <f>HYPERLINK("http://141.218.60.56/~jnz1568/getInfo.php?workbook=10_05.xlsx&amp;sheet=U0&amp;row=17481&amp;col=7&amp;number=0.000266&amp;sourceID=14","0.000266")</f>
        <v>0.000266</v>
      </c>
    </row>
    <row r="17482" spans="1:7">
      <c r="A17482" s="3"/>
      <c r="B17482" s="3"/>
      <c r="C17482" s="3"/>
      <c r="D17482" s="3"/>
      <c r="E17482" s="3">
        <v>19</v>
      </c>
      <c r="F17482" s="4" t="str">
        <f>HYPERLINK("http://141.218.60.56/~jnz1568/getInfo.php?workbook=10_05.xlsx&amp;sheet=U0&amp;row=17482&amp;col=6&amp;number=4.8&amp;sourceID=14","4.8")</f>
        <v>4.8</v>
      </c>
      <c r="G17482" s="4" t="str">
        <f>HYPERLINK("http://141.218.60.56/~jnz1568/getInfo.php?workbook=10_05.xlsx&amp;sheet=U0&amp;row=17482&amp;col=7&amp;number=0.000252&amp;sourceID=14","0.000252")</f>
        <v>0.000252</v>
      </c>
    </row>
    <row r="17483" spans="1:7">
      <c r="A17483" s="3"/>
      <c r="B17483" s="3"/>
      <c r="C17483" s="3"/>
      <c r="D17483" s="3"/>
      <c r="E17483" s="3">
        <v>20</v>
      </c>
      <c r="F17483" s="4" t="str">
        <f>HYPERLINK("http://141.218.60.56/~jnz1568/getInfo.php?workbook=10_05.xlsx&amp;sheet=U0&amp;row=17483&amp;col=6&amp;number=4.9&amp;sourceID=14","4.9")</f>
        <v>4.9</v>
      </c>
      <c r="G17483" s="4" t="str">
        <f>HYPERLINK("http://141.218.60.56/~jnz1568/getInfo.php?workbook=10_05.xlsx&amp;sheet=U0&amp;row=17483&amp;col=7&amp;number=0.000239&amp;sourceID=14","0.000239")</f>
        <v>0.000239</v>
      </c>
    </row>
    <row r="17484" spans="1:7">
      <c r="A17484" s="3">
        <v>10</v>
      </c>
      <c r="B17484" s="3">
        <v>5</v>
      </c>
      <c r="C17484" s="3">
        <v>5</v>
      </c>
      <c r="D17484" s="3">
        <v>170</v>
      </c>
      <c r="E17484" s="3">
        <v>1</v>
      </c>
      <c r="F17484" s="4" t="str">
        <f>HYPERLINK("http://141.218.60.56/~jnz1568/getInfo.php?workbook=10_05.xlsx&amp;sheet=U0&amp;row=17484&amp;col=6&amp;number=3&amp;sourceID=14","3")</f>
        <v>3</v>
      </c>
      <c r="G17484" s="4" t="str">
        <f>HYPERLINK("http://141.218.60.56/~jnz1568/getInfo.php?workbook=10_05.xlsx&amp;sheet=U0&amp;row=17484&amp;col=7&amp;number=0.00029&amp;sourceID=14","0.00029")</f>
        <v>0.00029</v>
      </c>
    </row>
    <row r="17485" spans="1:7">
      <c r="A17485" s="3"/>
      <c r="B17485" s="3"/>
      <c r="C17485" s="3"/>
      <c r="D17485" s="3"/>
      <c r="E17485" s="3">
        <v>2</v>
      </c>
      <c r="F17485" s="4" t="str">
        <f>HYPERLINK("http://141.218.60.56/~jnz1568/getInfo.php?workbook=10_05.xlsx&amp;sheet=U0&amp;row=17485&amp;col=6&amp;number=3.1&amp;sourceID=14","3.1")</f>
        <v>3.1</v>
      </c>
      <c r="G17485" s="4" t="str">
        <f>HYPERLINK("http://141.218.60.56/~jnz1568/getInfo.php?workbook=10_05.xlsx&amp;sheet=U0&amp;row=17485&amp;col=7&amp;number=0.000289&amp;sourceID=14","0.000289")</f>
        <v>0.000289</v>
      </c>
    </row>
    <row r="17486" spans="1:7">
      <c r="A17486" s="3"/>
      <c r="B17486" s="3"/>
      <c r="C17486" s="3"/>
      <c r="D17486" s="3"/>
      <c r="E17486" s="3">
        <v>3</v>
      </c>
      <c r="F17486" s="4" t="str">
        <f>HYPERLINK("http://141.218.60.56/~jnz1568/getInfo.php?workbook=10_05.xlsx&amp;sheet=U0&amp;row=17486&amp;col=6&amp;number=3.2&amp;sourceID=14","3.2")</f>
        <v>3.2</v>
      </c>
      <c r="G17486" s="4" t="str">
        <f>HYPERLINK("http://141.218.60.56/~jnz1568/getInfo.php?workbook=10_05.xlsx&amp;sheet=U0&amp;row=17486&amp;col=7&amp;number=0.000287&amp;sourceID=14","0.000287")</f>
        <v>0.000287</v>
      </c>
    </row>
    <row r="17487" spans="1:7">
      <c r="A17487" s="3"/>
      <c r="B17487" s="3"/>
      <c r="C17487" s="3"/>
      <c r="D17487" s="3"/>
      <c r="E17487" s="3">
        <v>4</v>
      </c>
      <c r="F17487" s="4" t="str">
        <f>HYPERLINK("http://141.218.60.56/~jnz1568/getInfo.php?workbook=10_05.xlsx&amp;sheet=U0&amp;row=17487&amp;col=6&amp;number=3.3&amp;sourceID=14","3.3")</f>
        <v>3.3</v>
      </c>
      <c r="G17487" s="4" t="str">
        <f>HYPERLINK("http://141.218.60.56/~jnz1568/getInfo.php?workbook=10_05.xlsx&amp;sheet=U0&amp;row=17487&amp;col=7&amp;number=0.000285&amp;sourceID=14","0.000285")</f>
        <v>0.000285</v>
      </c>
    </row>
    <row r="17488" spans="1:7">
      <c r="A17488" s="3"/>
      <c r="B17488" s="3"/>
      <c r="C17488" s="3"/>
      <c r="D17488" s="3"/>
      <c r="E17488" s="3">
        <v>5</v>
      </c>
      <c r="F17488" s="4" t="str">
        <f>HYPERLINK("http://141.218.60.56/~jnz1568/getInfo.php?workbook=10_05.xlsx&amp;sheet=U0&amp;row=17488&amp;col=6&amp;number=3.4&amp;sourceID=14","3.4")</f>
        <v>3.4</v>
      </c>
      <c r="G17488" s="4" t="str">
        <f>HYPERLINK("http://141.218.60.56/~jnz1568/getInfo.php?workbook=10_05.xlsx&amp;sheet=U0&amp;row=17488&amp;col=7&amp;number=0.000282&amp;sourceID=14","0.000282")</f>
        <v>0.000282</v>
      </c>
    </row>
    <row r="17489" spans="1:7">
      <c r="A17489" s="3"/>
      <c r="B17489" s="3"/>
      <c r="C17489" s="3"/>
      <c r="D17489" s="3"/>
      <c r="E17489" s="3">
        <v>6</v>
      </c>
      <c r="F17489" s="4" t="str">
        <f>HYPERLINK("http://141.218.60.56/~jnz1568/getInfo.php?workbook=10_05.xlsx&amp;sheet=U0&amp;row=17489&amp;col=6&amp;number=3.5&amp;sourceID=14","3.5")</f>
        <v>3.5</v>
      </c>
      <c r="G17489" s="4" t="str">
        <f>HYPERLINK("http://141.218.60.56/~jnz1568/getInfo.php?workbook=10_05.xlsx&amp;sheet=U0&amp;row=17489&amp;col=7&amp;number=0.000279&amp;sourceID=14","0.000279")</f>
        <v>0.000279</v>
      </c>
    </row>
    <row r="17490" spans="1:7">
      <c r="A17490" s="3"/>
      <c r="B17490" s="3"/>
      <c r="C17490" s="3"/>
      <c r="D17490" s="3"/>
      <c r="E17490" s="3">
        <v>7</v>
      </c>
      <c r="F17490" s="4" t="str">
        <f>HYPERLINK("http://141.218.60.56/~jnz1568/getInfo.php?workbook=10_05.xlsx&amp;sheet=U0&amp;row=17490&amp;col=6&amp;number=3.6&amp;sourceID=14","3.6")</f>
        <v>3.6</v>
      </c>
      <c r="G17490" s="4" t="str">
        <f>HYPERLINK("http://141.218.60.56/~jnz1568/getInfo.php?workbook=10_05.xlsx&amp;sheet=U0&amp;row=17490&amp;col=7&amp;number=0.000275&amp;sourceID=14","0.000275")</f>
        <v>0.000275</v>
      </c>
    </row>
    <row r="17491" spans="1:7">
      <c r="A17491" s="3"/>
      <c r="B17491" s="3"/>
      <c r="C17491" s="3"/>
      <c r="D17491" s="3"/>
      <c r="E17491" s="3">
        <v>8</v>
      </c>
      <c r="F17491" s="4" t="str">
        <f>HYPERLINK("http://141.218.60.56/~jnz1568/getInfo.php?workbook=10_05.xlsx&amp;sheet=U0&amp;row=17491&amp;col=6&amp;number=3.7&amp;sourceID=14","3.7")</f>
        <v>3.7</v>
      </c>
      <c r="G17491" s="4" t="str">
        <f>HYPERLINK("http://141.218.60.56/~jnz1568/getInfo.php?workbook=10_05.xlsx&amp;sheet=U0&amp;row=17491&amp;col=7&amp;number=0.00027&amp;sourceID=14","0.00027")</f>
        <v>0.00027</v>
      </c>
    </row>
    <row r="17492" spans="1:7">
      <c r="A17492" s="3"/>
      <c r="B17492" s="3"/>
      <c r="C17492" s="3"/>
      <c r="D17492" s="3"/>
      <c r="E17492" s="3">
        <v>9</v>
      </c>
      <c r="F17492" s="4" t="str">
        <f>HYPERLINK("http://141.218.60.56/~jnz1568/getInfo.php?workbook=10_05.xlsx&amp;sheet=U0&amp;row=17492&amp;col=6&amp;number=3.8&amp;sourceID=14","3.8")</f>
        <v>3.8</v>
      </c>
      <c r="G17492" s="4" t="str">
        <f>HYPERLINK("http://141.218.60.56/~jnz1568/getInfo.php?workbook=10_05.xlsx&amp;sheet=U0&amp;row=17492&amp;col=7&amp;number=0.000263&amp;sourceID=14","0.000263")</f>
        <v>0.000263</v>
      </c>
    </row>
    <row r="17493" spans="1:7">
      <c r="A17493" s="3"/>
      <c r="B17493" s="3"/>
      <c r="C17493" s="3"/>
      <c r="D17493" s="3"/>
      <c r="E17493" s="3">
        <v>10</v>
      </c>
      <c r="F17493" s="4" t="str">
        <f>HYPERLINK("http://141.218.60.56/~jnz1568/getInfo.php?workbook=10_05.xlsx&amp;sheet=U0&amp;row=17493&amp;col=6&amp;number=3.9&amp;sourceID=14","3.9")</f>
        <v>3.9</v>
      </c>
      <c r="G17493" s="4" t="str">
        <f>HYPERLINK("http://141.218.60.56/~jnz1568/getInfo.php?workbook=10_05.xlsx&amp;sheet=U0&amp;row=17493&amp;col=7&amp;number=0.000255&amp;sourceID=14","0.000255")</f>
        <v>0.000255</v>
      </c>
    </row>
    <row r="17494" spans="1:7">
      <c r="A17494" s="3"/>
      <c r="B17494" s="3"/>
      <c r="C17494" s="3"/>
      <c r="D17494" s="3"/>
      <c r="E17494" s="3">
        <v>11</v>
      </c>
      <c r="F17494" s="4" t="str">
        <f>HYPERLINK("http://141.218.60.56/~jnz1568/getInfo.php?workbook=10_05.xlsx&amp;sheet=U0&amp;row=17494&amp;col=6&amp;number=4&amp;sourceID=14","4")</f>
        <v>4</v>
      </c>
      <c r="G17494" s="4" t="str">
        <f>HYPERLINK("http://141.218.60.56/~jnz1568/getInfo.php?workbook=10_05.xlsx&amp;sheet=U0&amp;row=17494&amp;col=7&amp;number=0.000246&amp;sourceID=14","0.000246")</f>
        <v>0.000246</v>
      </c>
    </row>
    <row r="17495" spans="1:7">
      <c r="A17495" s="3"/>
      <c r="B17495" s="3"/>
      <c r="C17495" s="3"/>
      <c r="D17495" s="3"/>
      <c r="E17495" s="3">
        <v>12</v>
      </c>
      <c r="F17495" s="4" t="str">
        <f>HYPERLINK("http://141.218.60.56/~jnz1568/getInfo.php?workbook=10_05.xlsx&amp;sheet=U0&amp;row=17495&amp;col=6&amp;number=4.1&amp;sourceID=14","4.1")</f>
        <v>4.1</v>
      </c>
      <c r="G17495" s="4" t="str">
        <f>HYPERLINK("http://141.218.60.56/~jnz1568/getInfo.php?workbook=10_05.xlsx&amp;sheet=U0&amp;row=17495&amp;col=7&amp;number=0.000235&amp;sourceID=14","0.000235")</f>
        <v>0.000235</v>
      </c>
    </row>
    <row r="17496" spans="1:7">
      <c r="A17496" s="3"/>
      <c r="B17496" s="3"/>
      <c r="C17496" s="3"/>
      <c r="D17496" s="3"/>
      <c r="E17496" s="3">
        <v>13</v>
      </c>
      <c r="F17496" s="4" t="str">
        <f>HYPERLINK("http://141.218.60.56/~jnz1568/getInfo.php?workbook=10_05.xlsx&amp;sheet=U0&amp;row=17496&amp;col=6&amp;number=4.2&amp;sourceID=14","4.2")</f>
        <v>4.2</v>
      </c>
      <c r="G17496" s="4" t="str">
        <f>HYPERLINK("http://141.218.60.56/~jnz1568/getInfo.php?workbook=10_05.xlsx&amp;sheet=U0&amp;row=17496&amp;col=7&amp;number=0.000223&amp;sourceID=14","0.000223")</f>
        <v>0.000223</v>
      </c>
    </row>
    <row r="17497" spans="1:7">
      <c r="A17497" s="3"/>
      <c r="B17497" s="3"/>
      <c r="C17497" s="3"/>
      <c r="D17497" s="3"/>
      <c r="E17497" s="3">
        <v>14</v>
      </c>
      <c r="F17497" s="4" t="str">
        <f>HYPERLINK("http://141.218.60.56/~jnz1568/getInfo.php?workbook=10_05.xlsx&amp;sheet=U0&amp;row=17497&amp;col=6&amp;number=4.3&amp;sourceID=14","4.3")</f>
        <v>4.3</v>
      </c>
      <c r="G17497" s="4" t="str">
        <f>HYPERLINK("http://141.218.60.56/~jnz1568/getInfo.php?workbook=10_05.xlsx&amp;sheet=U0&amp;row=17497&amp;col=7&amp;number=0.000209&amp;sourceID=14","0.000209")</f>
        <v>0.000209</v>
      </c>
    </row>
    <row r="17498" spans="1:7">
      <c r="A17498" s="3"/>
      <c r="B17498" s="3"/>
      <c r="C17498" s="3"/>
      <c r="D17498" s="3"/>
      <c r="E17498" s="3">
        <v>15</v>
      </c>
      <c r="F17498" s="4" t="str">
        <f>HYPERLINK("http://141.218.60.56/~jnz1568/getInfo.php?workbook=10_05.xlsx&amp;sheet=U0&amp;row=17498&amp;col=6&amp;number=4.4&amp;sourceID=14","4.4")</f>
        <v>4.4</v>
      </c>
      <c r="G17498" s="4" t="str">
        <f>HYPERLINK("http://141.218.60.56/~jnz1568/getInfo.php?workbook=10_05.xlsx&amp;sheet=U0&amp;row=17498&amp;col=7&amp;number=0.000195&amp;sourceID=14","0.000195")</f>
        <v>0.000195</v>
      </c>
    </row>
    <row r="17499" spans="1:7">
      <c r="A17499" s="3"/>
      <c r="B17499" s="3"/>
      <c r="C17499" s="3"/>
      <c r="D17499" s="3"/>
      <c r="E17499" s="3">
        <v>16</v>
      </c>
      <c r="F17499" s="4" t="str">
        <f>HYPERLINK("http://141.218.60.56/~jnz1568/getInfo.php?workbook=10_05.xlsx&amp;sheet=U0&amp;row=17499&amp;col=6&amp;number=4.5&amp;sourceID=14","4.5")</f>
        <v>4.5</v>
      </c>
      <c r="G17499" s="4" t="str">
        <f>HYPERLINK("http://141.218.60.56/~jnz1568/getInfo.php?workbook=10_05.xlsx&amp;sheet=U0&amp;row=17499&amp;col=7&amp;number=0.000183&amp;sourceID=14","0.000183")</f>
        <v>0.000183</v>
      </c>
    </row>
    <row r="17500" spans="1:7">
      <c r="A17500" s="3"/>
      <c r="B17500" s="3"/>
      <c r="C17500" s="3"/>
      <c r="D17500" s="3"/>
      <c r="E17500" s="3">
        <v>17</v>
      </c>
      <c r="F17500" s="4" t="str">
        <f>HYPERLINK("http://141.218.60.56/~jnz1568/getInfo.php?workbook=10_05.xlsx&amp;sheet=U0&amp;row=17500&amp;col=6&amp;number=4.6&amp;sourceID=14","4.6")</f>
        <v>4.6</v>
      </c>
      <c r="G17500" s="4" t="str">
        <f>HYPERLINK("http://141.218.60.56/~jnz1568/getInfo.php?workbook=10_05.xlsx&amp;sheet=U0&amp;row=17500&amp;col=7&amp;number=0.000172&amp;sourceID=14","0.000172")</f>
        <v>0.000172</v>
      </c>
    </row>
    <row r="17501" spans="1:7">
      <c r="A17501" s="3"/>
      <c r="B17501" s="3"/>
      <c r="C17501" s="3"/>
      <c r="D17501" s="3"/>
      <c r="E17501" s="3">
        <v>18</v>
      </c>
      <c r="F17501" s="4" t="str">
        <f>HYPERLINK("http://141.218.60.56/~jnz1568/getInfo.php?workbook=10_05.xlsx&amp;sheet=U0&amp;row=17501&amp;col=6&amp;number=4.7&amp;sourceID=14","4.7")</f>
        <v>4.7</v>
      </c>
      <c r="G17501" s="4" t="str">
        <f>HYPERLINK("http://141.218.60.56/~jnz1568/getInfo.php?workbook=10_05.xlsx&amp;sheet=U0&amp;row=17501&amp;col=7&amp;number=0.000163&amp;sourceID=14","0.000163")</f>
        <v>0.000163</v>
      </c>
    </row>
    <row r="17502" spans="1:7">
      <c r="A17502" s="3"/>
      <c r="B17502" s="3"/>
      <c r="C17502" s="3"/>
      <c r="D17502" s="3"/>
      <c r="E17502" s="3">
        <v>19</v>
      </c>
      <c r="F17502" s="4" t="str">
        <f>HYPERLINK("http://141.218.60.56/~jnz1568/getInfo.php?workbook=10_05.xlsx&amp;sheet=U0&amp;row=17502&amp;col=6&amp;number=4.8&amp;sourceID=14","4.8")</f>
        <v>4.8</v>
      </c>
      <c r="G17502" s="4" t="str">
        <f>HYPERLINK("http://141.218.60.56/~jnz1568/getInfo.php?workbook=10_05.xlsx&amp;sheet=U0&amp;row=17502&amp;col=7&amp;number=0.000154&amp;sourceID=14","0.000154")</f>
        <v>0.000154</v>
      </c>
    </row>
    <row r="17503" spans="1:7">
      <c r="A17503" s="3"/>
      <c r="B17503" s="3"/>
      <c r="C17503" s="3"/>
      <c r="D17503" s="3"/>
      <c r="E17503" s="3">
        <v>20</v>
      </c>
      <c r="F17503" s="4" t="str">
        <f>HYPERLINK("http://141.218.60.56/~jnz1568/getInfo.php?workbook=10_05.xlsx&amp;sheet=U0&amp;row=17503&amp;col=6&amp;number=4.9&amp;sourceID=14","4.9")</f>
        <v>4.9</v>
      </c>
      <c r="G17503" s="4" t="str">
        <f>HYPERLINK("http://141.218.60.56/~jnz1568/getInfo.php?workbook=10_05.xlsx&amp;sheet=U0&amp;row=17503&amp;col=7&amp;number=0.000144&amp;sourceID=14","0.000144")</f>
        <v>0.000144</v>
      </c>
    </row>
    <row r="17504" spans="1:7">
      <c r="A17504" s="3">
        <v>10</v>
      </c>
      <c r="B17504" s="3">
        <v>5</v>
      </c>
      <c r="C17504" s="3">
        <v>5</v>
      </c>
      <c r="D17504" s="3">
        <v>171</v>
      </c>
      <c r="E17504" s="3">
        <v>1</v>
      </c>
      <c r="F17504" s="4" t="str">
        <f>HYPERLINK("http://141.218.60.56/~jnz1568/getInfo.php?workbook=10_05.xlsx&amp;sheet=U0&amp;row=17504&amp;col=6&amp;number=3&amp;sourceID=14","3")</f>
        <v>3</v>
      </c>
      <c r="G17504" s="4" t="str">
        <f>HYPERLINK("http://141.218.60.56/~jnz1568/getInfo.php?workbook=10_05.xlsx&amp;sheet=U0&amp;row=17504&amp;col=7&amp;number=0.000595&amp;sourceID=14","0.000595")</f>
        <v>0.000595</v>
      </c>
    </row>
    <row r="17505" spans="1:7">
      <c r="A17505" s="3"/>
      <c r="B17505" s="3"/>
      <c r="C17505" s="3"/>
      <c r="D17505" s="3"/>
      <c r="E17505" s="3">
        <v>2</v>
      </c>
      <c r="F17505" s="4" t="str">
        <f>HYPERLINK("http://141.218.60.56/~jnz1568/getInfo.php?workbook=10_05.xlsx&amp;sheet=U0&amp;row=17505&amp;col=6&amp;number=3.1&amp;sourceID=14","3.1")</f>
        <v>3.1</v>
      </c>
      <c r="G17505" s="4" t="str">
        <f>HYPERLINK("http://141.218.60.56/~jnz1568/getInfo.php?workbook=10_05.xlsx&amp;sheet=U0&amp;row=17505&amp;col=7&amp;number=0.000592&amp;sourceID=14","0.000592")</f>
        <v>0.000592</v>
      </c>
    </row>
    <row r="17506" spans="1:7">
      <c r="A17506" s="3"/>
      <c r="B17506" s="3"/>
      <c r="C17506" s="3"/>
      <c r="D17506" s="3"/>
      <c r="E17506" s="3">
        <v>3</v>
      </c>
      <c r="F17506" s="4" t="str">
        <f>HYPERLINK("http://141.218.60.56/~jnz1568/getInfo.php?workbook=10_05.xlsx&amp;sheet=U0&amp;row=17506&amp;col=6&amp;number=3.2&amp;sourceID=14","3.2")</f>
        <v>3.2</v>
      </c>
      <c r="G17506" s="4" t="str">
        <f>HYPERLINK("http://141.218.60.56/~jnz1568/getInfo.php?workbook=10_05.xlsx&amp;sheet=U0&amp;row=17506&amp;col=7&amp;number=0.000588&amp;sourceID=14","0.000588")</f>
        <v>0.000588</v>
      </c>
    </row>
    <row r="17507" spans="1:7">
      <c r="A17507" s="3"/>
      <c r="B17507" s="3"/>
      <c r="C17507" s="3"/>
      <c r="D17507" s="3"/>
      <c r="E17507" s="3">
        <v>4</v>
      </c>
      <c r="F17507" s="4" t="str">
        <f>HYPERLINK("http://141.218.60.56/~jnz1568/getInfo.php?workbook=10_05.xlsx&amp;sheet=U0&amp;row=17507&amp;col=6&amp;number=3.3&amp;sourceID=14","3.3")</f>
        <v>3.3</v>
      </c>
      <c r="G17507" s="4" t="str">
        <f>HYPERLINK("http://141.218.60.56/~jnz1568/getInfo.php?workbook=10_05.xlsx&amp;sheet=U0&amp;row=17507&amp;col=7&amp;number=0.000583&amp;sourceID=14","0.000583")</f>
        <v>0.000583</v>
      </c>
    </row>
    <row r="17508" spans="1:7">
      <c r="A17508" s="3"/>
      <c r="B17508" s="3"/>
      <c r="C17508" s="3"/>
      <c r="D17508" s="3"/>
      <c r="E17508" s="3">
        <v>5</v>
      </c>
      <c r="F17508" s="4" t="str">
        <f>HYPERLINK("http://141.218.60.56/~jnz1568/getInfo.php?workbook=10_05.xlsx&amp;sheet=U0&amp;row=17508&amp;col=6&amp;number=3.4&amp;sourceID=14","3.4")</f>
        <v>3.4</v>
      </c>
      <c r="G17508" s="4" t="str">
        <f>HYPERLINK("http://141.218.60.56/~jnz1568/getInfo.php?workbook=10_05.xlsx&amp;sheet=U0&amp;row=17508&amp;col=7&amp;number=0.000577&amp;sourceID=14","0.000577")</f>
        <v>0.000577</v>
      </c>
    </row>
    <row r="17509" spans="1:7">
      <c r="A17509" s="3"/>
      <c r="B17509" s="3"/>
      <c r="C17509" s="3"/>
      <c r="D17509" s="3"/>
      <c r="E17509" s="3">
        <v>6</v>
      </c>
      <c r="F17509" s="4" t="str">
        <f>HYPERLINK("http://141.218.60.56/~jnz1568/getInfo.php?workbook=10_05.xlsx&amp;sheet=U0&amp;row=17509&amp;col=6&amp;number=3.5&amp;sourceID=14","3.5")</f>
        <v>3.5</v>
      </c>
      <c r="G17509" s="4" t="str">
        <f>HYPERLINK("http://141.218.60.56/~jnz1568/getInfo.php?workbook=10_05.xlsx&amp;sheet=U0&amp;row=17509&amp;col=7&amp;number=0.000569&amp;sourceID=14","0.000569")</f>
        <v>0.000569</v>
      </c>
    </row>
    <row r="17510" spans="1:7">
      <c r="A17510" s="3"/>
      <c r="B17510" s="3"/>
      <c r="C17510" s="3"/>
      <c r="D17510" s="3"/>
      <c r="E17510" s="3">
        <v>7</v>
      </c>
      <c r="F17510" s="4" t="str">
        <f>HYPERLINK("http://141.218.60.56/~jnz1568/getInfo.php?workbook=10_05.xlsx&amp;sheet=U0&amp;row=17510&amp;col=6&amp;number=3.6&amp;sourceID=14","3.6")</f>
        <v>3.6</v>
      </c>
      <c r="G17510" s="4" t="str">
        <f>HYPERLINK("http://141.218.60.56/~jnz1568/getInfo.php?workbook=10_05.xlsx&amp;sheet=U0&amp;row=17510&amp;col=7&amp;number=0.00056&amp;sourceID=14","0.00056")</f>
        <v>0.00056</v>
      </c>
    </row>
    <row r="17511" spans="1:7">
      <c r="A17511" s="3"/>
      <c r="B17511" s="3"/>
      <c r="C17511" s="3"/>
      <c r="D17511" s="3"/>
      <c r="E17511" s="3">
        <v>8</v>
      </c>
      <c r="F17511" s="4" t="str">
        <f>HYPERLINK("http://141.218.60.56/~jnz1568/getInfo.php?workbook=10_05.xlsx&amp;sheet=U0&amp;row=17511&amp;col=6&amp;number=3.7&amp;sourceID=14","3.7")</f>
        <v>3.7</v>
      </c>
      <c r="G17511" s="4" t="str">
        <f>HYPERLINK("http://141.218.60.56/~jnz1568/getInfo.php?workbook=10_05.xlsx&amp;sheet=U0&amp;row=17511&amp;col=7&amp;number=0.000548&amp;sourceID=14","0.000548")</f>
        <v>0.000548</v>
      </c>
    </row>
    <row r="17512" spans="1:7">
      <c r="A17512" s="3"/>
      <c r="B17512" s="3"/>
      <c r="C17512" s="3"/>
      <c r="D17512" s="3"/>
      <c r="E17512" s="3">
        <v>9</v>
      </c>
      <c r="F17512" s="4" t="str">
        <f>HYPERLINK("http://141.218.60.56/~jnz1568/getInfo.php?workbook=10_05.xlsx&amp;sheet=U0&amp;row=17512&amp;col=6&amp;number=3.8&amp;sourceID=14","3.8")</f>
        <v>3.8</v>
      </c>
      <c r="G17512" s="4" t="str">
        <f>HYPERLINK("http://141.218.60.56/~jnz1568/getInfo.php?workbook=10_05.xlsx&amp;sheet=U0&amp;row=17512&amp;col=7&amp;number=0.000534&amp;sourceID=14","0.000534")</f>
        <v>0.000534</v>
      </c>
    </row>
    <row r="17513" spans="1:7">
      <c r="A17513" s="3"/>
      <c r="B17513" s="3"/>
      <c r="C17513" s="3"/>
      <c r="D17513" s="3"/>
      <c r="E17513" s="3">
        <v>10</v>
      </c>
      <c r="F17513" s="4" t="str">
        <f>HYPERLINK("http://141.218.60.56/~jnz1568/getInfo.php?workbook=10_05.xlsx&amp;sheet=U0&amp;row=17513&amp;col=6&amp;number=3.9&amp;sourceID=14","3.9")</f>
        <v>3.9</v>
      </c>
      <c r="G17513" s="4" t="str">
        <f>HYPERLINK("http://141.218.60.56/~jnz1568/getInfo.php?workbook=10_05.xlsx&amp;sheet=U0&amp;row=17513&amp;col=7&amp;number=0.000518&amp;sourceID=14","0.000518")</f>
        <v>0.000518</v>
      </c>
    </row>
    <row r="17514" spans="1:7">
      <c r="A17514" s="3"/>
      <c r="B17514" s="3"/>
      <c r="C17514" s="3"/>
      <c r="D17514" s="3"/>
      <c r="E17514" s="3">
        <v>11</v>
      </c>
      <c r="F17514" s="4" t="str">
        <f>HYPERLINK("http://141.218.60.56/~jnz1568/getInfo.php?workbook=10_05.xlsx&amp;sheet=U0&amp;row=17514&amp;col=6&amp;number=4&amp;sourceID=14","4")</f>
        <v>4</v>
      </c>
      <c r="G17514" s="4" t="str">
        <f>HYPERLINK("http://141.218.60.56/~jnz1568/getInfo.php?workbook=10_05.xlsx&amp;sheet=U0&amp;row=17514&amp;col=7&amp;number=0.000498&amp;sourceID=14","0.000498")</f>
        <v>0.000498</v>
      </c>
    </row>
    <row r="17515" spans="1:7">
      <c r="A17515" s="3"/>
      <c r="B17515" s="3"/>
      <c r="C17515" s="3"/>
      <c r="D17515" s="3"/>
      <c r="E17515" s="3">
        <v>12</v>
      </c>
      <c r="F17515" s="4" t="str">
        <f>HYPERLINK("http://141.218.60.56/~jnz1568/getInfo.php?workbook=10_05.xlsx&amp;sheet=U0&amp;row=17515&amp;col=6&amp;number=4.1&amp;sourceID=14","4.1")</f>
        <v>4.1</v>
      </c>
      <c r="G17515" s="4" t="str">
        <f>HYPERLINK("http://141.218.60.56/~jnz1568/getInfo.php?workbook=10_05.xlsx&amp;sheet=U0&amp;row=17515&amp;col=7&amp;number=0.000475&amp;sourceID=14","0.000475")</f>
        <v>0.000475</v>
      </c>
    </row>
    <row r="17516" spans="1:7">
      <c r="A17516" s="3"/>
      <c r="B17516" s="3"/>
      <c r="C17516" s="3"/>
      <c r="D17516" s="3"/>
      <c r="E17516" s="3">
        <v>13</v>
      </c>
      <c r="F17516" s="4" t="str">
        <f>HYPERLINK("http://141.218.60.56/~jnz1568/getInfo.php?workbook=10_05.xlsx&amp;sheet=U0&amp;row=17516&amp;col=6&amp;number=4.2&amp;sourceID=14","4.2")</f>
        <v>4.2</v>
      </c>
      <c r="G17516" s="4" t="str">
        <f>HYPERLINK("http://141.218.60.56/~jnz1568/getInfo.php?workbook=10_05.xlsx&amp;sheet=U0&amp;row=17516&amp;col=7&amp;number=0.000451&amp;sourceID=14","0.000451")</f>
        <v>0.000451</v>
      </c>
    </row>
    <row r="17517" spans="1:7">
      <c r="A17517" s="3"/>
      <c r="B17517" s="3"/>
      <c r="C17517" s="3"/>
      <c r="D17517" s="3"/>
      <c r="E17517" s="3">
        <v>14</v>
      </c>
      <c r="F17517" s="4" t="str">
        <f>HYPERLINK("http://141.218.60.56/~jnz1568/getInfo.php?workbook=10_05.xlsx&amp;sheet=U0&amp;row=17517&amp;col=6&amp;number=4.3&amp;sourceID=14","4.3")</f>
        <v>4.3</v>
      </c>
      <c r="G17517" s="4" t="str">
        <f>HYPERLINK("http://141.218.60.56/~jnz1568/getInfo.php?workbook=10_05.xlsx&amp;sheet=U0&amp;row=17517&amp;col=7&amp;number=0.000426&amp;sourceID=14","0.000426")</f>
        <v>0.000426</v>
      </c>
    </row>
    <row r="17518" spans="1:7">
      <c r="A17518" s="3"/>
      <c r="B17518" s="3"/>
      <c r="C17518" s="3"/>
      <c r="D17518" s="3"/>
      <c r="E17518" s="3">
        <v>15</v>
      </c>
      <c r="F17518" s="4" t="str">
        <f>HYPERLINK("http://141.218.60.56/~jnz1568/getInfo.php?workbook=10_05.xlsx&amp;sheet=U0&amp;row=17518&amp;col=6&amp;number=4.4&amp;sourceID=14","4.4")</f>
        <v>4.4</v>
      </c>
      <c r="G17518" s="4" t="str">
        <f>HYPERLINK("http://141.218.60.56/~jnz1568/getInfo.php?workbook=10_05.xlsx&amp;sheet=U0&amp;row=17518&amp;col=7&amp;number=0.000403&amp;sourceID=14","0.000403")</f>
        <v>0.000403</v>
      </c>
    </row>
    <row r="17519" spans="1:7">
      <c r="A17519" s="3"/>
      <c r="B17519" s="3"/>
      <c r="C17519" s="3"/>
      <c r="D17519" s="3"/>
      <c r="E17519" s="3">
        <v>16</v>
      </c>
      <c r="F17519" s="4" t="str">
        <f>HYPERLINK("http://141.218.60.56/~jnz1568/getInfo.php?workbook=10_05.xlsx&amp;sheet=U0&amp;row=17519&amp;col=6&amp;number=4.5&amp;sourceID=14","4.5")</f>
        <v>4.5</v>
      </c>
      <c r="G17519" s="4" t="str">
        <f>HYPERLINK("http://141.218.60.56/~jnz1568/getInfo.php?workbook=10_05.xlsx&amp;sheet=U0&amp;row=17519&amp;col=7&amp;number=0.000381&amp;sourceID=14","0.000381")</f>
        <v>0.000381</v>
      </c>
    </row>
    <row r="17520" spans="1:7">
      <c r="A17520" s="3"/>
      <c r="B17520" s="3"/>
      <c r="C17520" s="3"/>
      <c r="D17520" s="3"/>
      <c r="E17520" s="3">
        <v>17</v>
      </c>
      <c r="F17520" s="4" t="str">
        <f>HYPERLINK("http://141.218.60.56/~jnz1568/getInfo.php?workbook=10_05.xlsx&amp;sheet=U0&amp;row=17520&amp;col=6&amp;number=4.6&amp;sourceID=14","4.6")</f>
        <v>4.6</v>
      </c>
      <c r="G17520" s="4" t="str">
        <f>HYPERLINK("http://141.218.60.56/~jnz1568/getInfo.php?workbook=10_05.xlsx&amp;sheet=U0&amp;row=17520&amp;col=7&amp;number=0.00036&amp;sourceID=14","0.00036")</f>
        <v>0.00036</v>
      </c>
    </row>
    <row r="17521" spans="1:7">
      <c r="A17521" s="3"/>
      <c r="B17521" s="3"/>
      <c r="C17521" s="3"/>
      <c r="D17521" s="3"/>
      <c r="E17521" s="3">
        <v>18</v>
      </c>
      <c r="F17521" s="4" t="str">
        <f>HYPERLINK("http://141.218.60.56/~jnz1568/getInfo.php?workbook=10_05.xlsx&amp;sheet=U0&amp;row=17521&amp;col=6&amp;number=4.7&amp;sourceID=14","4.7")</f>
        <v>4.7</v>
      </c>
      <c r="G17521" s="4" t="str">
        <f>HYPERLINK("http://141.218.60.56/~jnz1568/getInfo.php?workbook=10_05.xlsx&amp;sheet=U0&amp;row=17521&amp;col=7&amp;number=0.000339&amp;sourceID=14","0.000339")</f>
        <v>0.000339</v>
      </c>
    </row>
    <row r="17522" spans="1:7">
      <c r="A17522" s="3"/>
      <c r="B17522" s="3"/>
      <c r="C17522" s="3"/>
      <c r="D17522" s="3"/>
      <c r="E17522" s="3">
        <v>19</v>
      </c>
      <c r="F17522" s="4" t="str">
        <f>HYPERLINK("http://141.218.60.56/~jnz1568/getInfo.php?workbook=10_05.xlsx&amp;sheet=U0&amp;row=17522&amp;col=6&amp;number=4.8&amp;sourceID=14","4.8")</f>
        <v>4.8</v>
      </c>
      <c r="G17522" s="4" t="str">
        <f>HYPERLINK("http://141.218.60.56/~jnz1568/getInfo.php?workbook=10_05.xlsx&amp;sheet=U0&amp;row=17522&amp;col=7&amp;number=0.000319&amp;sourceID=14","0.000319")</f>
        <v>0.000319</v>
      </c>
    </row>
    <row r="17523" spans="1:7">
      <c r="A17523" s="3"/>
      <c r="B17523" s="3"/>
      <c r="C17523" s="3"/>
      <c r="D17523" s="3"/>
      <c r="E17523" s="3">
        <v>20</v>
      </c>
      <c r="F17523" s="4" t="str">
        <f>HYPERLINK("http://141.218.60.56/~jnz1568/getInfo.php?workbook=10_05.xlsx&amp;sheet=U0&amp;row=17523&amp;col=6&amp;number=4.9&amp;sourceID=14","4.9")</f>
        <v>4.9</v>
      </c>
      <c r="G17523" s="4" t="str">
        <f>HYPERLINK("http://141.218.60.56/~jnz1568/getInfo.php?workbook=10_05.xlsx&amp;sheet=U0&amp;row=17523&amp;col=7&amp;number=0.000302&amp;sourceID=14","0.000302")</f>
        <v>0.000302</v>
      </c>
    </row>
    <row r="17524" spans="1:7">
      <c r="A17524" s="3">
        <v>10</v>
      </c>
      <c r="B17524" s="3">
        <v>5</v>
      </c>
      <c r="C17524" s="3">
        <v>5</v>
      </c>
      <c r="D17524" s="3">
        <v>172</v>
      </c>
      <c r="E17524" s="3">
        <v>1</v>
      </c>
      <c r="F17524" s="4" t="str">
        <f>HYPERLINK("http://141.218.60.56/~jnz1568/getInfo.php?workbook=10_05.xlsx&amp;sheet=U0&amp;row=17524&amp;col=6&amp;number=3&amp;sourceID=14","3")</f>
        <v>3</v>
      </c>
      <c r="G17524" s="4" t="str">
        <f>HYPERLINK("http://141.218.60.56/~jnz1568/getInfo.php?workbook=10_05.xlsx&amp;sheet=U0&amp;row=17524&amp;col=7&amp;number=0.000365&amp;sourceID=14","0.000365")</f>
        <v>0.000365</v>
      </c>
    </row>
    <row r="17525" spans="1:7">
      <c r="A17525" s="3"/>
      <c r="B17525" s="3"/>
      <c r="C17525" s="3"/>
      <c r="D17525" s="3"/>
      <c r="E17525" s="3">
        <v>2</v>
      </c>
      <c r="F17525" s="4" t="str">
        <f>HYPERLINK("http://141.218.60.56/~jnz1568/getInfo.php?workbook=10_05.xlsx&amp;sheet=U0&amp;row=17525&amp;col=6&amp;number=3.1&amp;sourceID=14","3.1")</f>
        <v>3.1</v>
      </c>
      <c r="G17525" s="4" t="str">
        <f>HYPERLINK("http://141.218.60.56/~jnz1568/getInfo.php?workbook=10_05.xlsx&amp;sheet=U0&amp;row=17525&amp;col=7&amp;number=0.000363&amp;sourceID=14","0.000363")</f>
        <v>0.000363</v>
      </c>
    </row>
    <row r="17526" spans="1:7">
      <c r="A17526" s="3"/>
      <c r="B17526" s="3"/>
      <c r="C17526" s="3"/>
      <c r="D17526" s="3"/>
      <c r="E17526" s="3">
        <v>3</v>
      </c>
      <c r="F17526" s="4" t="str">
        <f>HYPERLINK("http://141.218.60.56/~jnz1568/getInfo.php?workbook=10_05.xlsx&amp;sheet=U0&amp;row=17526&amp;col=6&amp;number=3.2&amp;sourceID=14","3.2")</f>
        <v>3.2</v>
      </c>
      <c r="G17526" s="4" t="str">
        <f>HYPERLINK("http://141.218.60.56/~jnz1568/getInfo.php?workbook=10_05.xlsx&amp;sheet=U0&amp;row=17526&amp;col=7&amp;number=0.000361&amp;sourceID=14","0.000361")</f>
        <v>0.000361</v>
      </c>
    </row>
    <row r="17527" spans="1:7">
      <c r="A17527" s="3"/>
      <c r="B17527" s="3"/>
      <c r="C17527" s="3"/>
      <c r="D17527" s="3"/>
      <c r="E17527" s="3">
        <v>4</v>
      </c>
      <c r="F17527" s="4" t="str">
        <f>HYPERLINK("http://141.218.60.56/~jnz1568/getInfo.php?workbook=10_05.xlsx&amp;sheet=U0&amp;row=17527&amp;col=6&amp;number=3.3&amp;sourceID=14","3.3")</f>
        <v>3.3</v>
      </c>
      <c r="G17527" s="4" t="str">
        <f>HYPERLINK("http://141.218.60.56/~jnz1568/getInfo.php?workbook=10_05.xlsx&amp;sheet=U0&amp;row=17527&amp;col=7&amp;number=0.000359&amp;sourceID=14","0.000359")</f>
        <v>0.000359</v>
      </c>
    </row>
    <row r="17528" spans="1:7">
      <c r="A17528" s="3"/>
      <c r="B17528" s="3"/>
      <c r="C17528" s="3"/>
      <c r="D17528" s="3"/>
      <c r="E17528" s="3">
        <v>5</v>
      </c>
      <c r="F17528" s="4" t="str">
        <f>HYPERLINK("http://141.218.60.56/~jnz1568/getInfo.php?workbook=10_05.xlsx&amp;sheet=U0&amp;row=17528&amp;col=6&amp;number=3.4&amp;sourceID=14","3.4")</f>
        <v>3.4</v>
      </c>
      <c r="G17528" s="4" t="str">
        <f>HYPERLINK("http://141.218.60.56/~jnz1568/getInfo.php?workbook=10_05.xlsx&amp;sheet=U0&amp;row=17528&amp;col=7&amp;number=0.000355&amp;sourceID=14","0.000355")</f>
        <v>0.000355</v>
      </c>
    </row>
    <row r="17529" spans="1:7">
      <c r="A17529" s="3"/>
      <c r="B17529" s="3"/>
      <c r="C17529" s="3"/>
      <c r="D17529" s="3"/>
      <c r="E17529" s="3">
        <v>6</v>
      </c>
      <c r="F17529" s="4" t="str">
        <f>HYPERLINK("http://141.218.60.56/~jnz1568/getInfo.php?workbook=10_05.xlsx&amp;sheet=U0&amp;row=17529&amp;col=6&amp;number=3.5&amp;sourceID=14","3.5")</f>
        <v>3.5</v>
      </c>
      <c r="G17529" s="4" t="str">
        <f>HYPERLINK("http://141.218.60.56/~jnz1568/getInfo.php?workbook=10_05.xlsx&amp;sheet=U0&amp;row=17529&amp;col=7&amp;number=0.000352&amp;sourceID=14","0.000352")</f>
        <v>0.000352</v>
      </c>
    </row>
    <row r="17530" spans="1:7">
      <c r="A17530" s="3"/>
      <c r="B17530" s="3"/>
      <c r="C17530" s="3"/>
      <c r="D17530" s="3"/>
      <c r="E17530" s="3">
        <v>7</v>
      </c>
      <c r="F17530" s="4" t="str">
        <f>HYPERLINK("http://141.218.60.56/~jnz1568/getInfo.php?workbook=10_05.xlsx&amp;sheet=U0&amp;row=17530&amp;col=6&amp;number=3.6&amp;sourceID=14","3.6")</f>
        <v>3.6</v>
      </c>
      <c r="G17530" s="4" t="str">
        <f>HYPERLINK("http://141.218.60.56/~jnz1568/getInfo.php?workbook=10_05.xlsx&amp;sheet=U0&amp;row=17530&amp;col=7&amp;number=0.000347&amp;sourceID=14","0.000347")</f>
        <v>0.000347</v>
      </c>
    </row>
    <row r="17531" spans="1:7">
      <c r="A17531" s="3"/>
      <c r="B17531" s="3"/>
      <c r="C17531" s="3"/>
      <c r="D17531" s="3"/>
      <c r="E17531" s="3">
        <v>8</v>
      </c>
      <c r="F17531" s="4" t="str">
        <f>HYPERLINK("http://141.218.60.56/~jnz1568/getInfo.php?workbook=10_05.xlsx&amp;sheet=U0&amp;row=17531&amp;col=6&amp;number=3.7&amp;sourceID=14","3.7")</f>
        <v>3.7</v>
      </c>
      <c r="G17531" s="4" t="str">
        <f>HYPERLINK("http://141.218.60.56/~jnz1568/getInfo.php?workbook=10_05.xlsx&amp;sheet=U0&amp;row=17531&amp;col=7&amp;number=0.000341&amp;sourceID=14","0.000341")</f>
        <v>0.000341</v>
      </c>
    </row>
    <row r="17532" spans="1:7">
      <c r="A17532" s="3"/>
      <c r="B17532" s="3"/>
      <c r="C17532" s="3"/>
      <c r="D17532" s="3"/>
      <c r="E17532" s="3">
        <v>9</v>
      </c>
      <c r="F17532" s="4" t="str">
        <f>HYPERLINK("http://141.218.60.56/~jnz1568/getInfo.php?workbook=10_05.xlsx&amp;sheet=U0&amp;row=17532&amp;col=6&amp;number=3.8&amp;sourceID=14","3.8")</f>
        <v>3.8</v>
      </c>
      <c r="G17532" s="4" t="str">
        <f>HYPERLINK("http://141.218.60.56/~jnz1568/getInfo.php?workbook=10_05.xlsx&amp;sheet=U0&amp;row=17532&amp;col=7&amp;number=0.000334&amp;sourceID=14","0.000334")</f>
        <v>0.000334</v>
      </c>
    </row>
    <row r="17533" spans="1:7">
      <c r="A17533" s="3"/>
      <c r="B17533" s="3"/>
      <c r="C17533" s="3"/>
      <c r="D17533" s="3"/>
      <c r="E17533" s="3">
        <v>10</v>
      </c>
      <c r="F17533" s="4" t="str">
        <f>HYPERLINK("http://141.218.60.56/~jnz1568/getInfo.php?workbook=10_05.xlsx&amp;sheet=U0&amp;row=17533&amp;col=6&amp;number=3.9&amp;sourceID=14","3.9")</f>
        <v>3.9</v>
      </c>
      <c r="G17533" s="4" t="str">
        <f>HYPERLINK("http://141.218.60.56/~jnz1568/getInfo.php?workbook=10_05.xlsx&amp;sheet=U0&amp;row=17533&amp;col=7&amp;number=0.000325&amp;sourceID=14","0.000325")</f>
        <v>0.000325</v>
      </c>
    </row>
    <row r="17534" spans="1:7">
      <c r="A17534" s="3"/>
      <c r="B17534" s="3"/>
      <c r="C17534" s="3"/>
      <c r="D17534" s="3"/>
      <c r="E17534" s="3">
        <v>11</v>
      </c>
      <c r="F17534" s="4" t="str">
        <f>HYPERLINK("http://141.218.60.56/~jnz1568/getInfo.php?workbook=10_05.xlsx&amp;sheet=U0&amp;row=17534&amp;col=6&amp;number=4&amp;sourceID=14","4")</f>
        <v>4</v>
      </c>
      <c r="G17534" s="4" t="str">
        <f>HYPERLINK("http://141.218.60.56/~jnz1568/getInfo.php?workbook=10_05.xlsx&amp;sheet=U0&amp;row=17534&amp;col=7&amp;number=0.000314&amp;sourceID=14","0.000314")</f>
        <v>0.000314</v>
      </c>
    </row>
    <row r="17535" spans="1:7">
      <c r="A17535" s="3"/>
      <c r="B17535" s="3"/>
      <c r="C17535" s="3"/>
      <c r="D17535" s="3"/>
      <c r="E17535" s="3">
        <v>12</v>
      </c>
      <c r="F17535" s="4" t="str">
        <f>HYPERLINK("http://141.218.60.56/~jnz1568/getInfo.php?workbook=10_05.xlsx&amp;sheet=U0&amp;row=17535&amp;col=6&amp;number=4.1&amp;sourceID=14","4.1")</f>
        <v>4.1</v>
      </c>
      <c r="G17535" s="4" t="str">
        <f>HYPERLINK("http://141.218.60.56/~jnz1568/getInfo.php?workbook=10_05.xlsx&amp;sheet=U0&amp;row=17535&amp;col=7&amp;number=0.000302&amp;sourceID=14","0.000302")</f>
        <v>0.000302</v>
      </c>
    </row>
    <row r="17536" spans="1:7">
      <c r="A17536" s="3"/>
      <c r="B17536" s="3"/>
      <c r="C17536" s="3"/>
      <c r="D17536" s="3"/>
      <c r="E17536" s="3">
        <v>13</v>
      </c>
      <c r="F17536" s="4" t="str">
        <f>HYPERLINK("http://141.218.60.56/~jnz1568/getInfo.php?workbook=10_05.xlsx&amp;sheet=U0&amp;row=17536&amp;col=6&amp;number=4.2&amp;sourceID=14","4.2")</f>
        <v>4.2</v>
      </c>
      <c r="G17536" s="4" t="str">
        <f>HYPERLINK("http://141.218.60.56/~jnz1568/getInfo.php?workbook=10_05.xlsx&amp;sheet=U0&amp;row=17536&amp;col=7&amp;number=0.000288&amp;sourceID=14","0.000288")</f>
        <v>0.000288</v>
      </c>
    </row>
    <row r="17537" spans="1:7">
      <c r="A17537" s="3"/>
      <c r="B17537" s="3"/>
      <c r="C17537" s="3"/>
      <c r="D17537" s="3"/>
      <c r="E17537" s="3">
        <v>14</v>
      </c>
      <c r="F17537" s="4" t="str">
        <f>HYPERLINK("http://141.218.60.56/~jnz1568/getInfo.php?workbook=10_05.xlsx&amp;sheet=U0&amp;row=17537&amp;col=6&amp;number=4.3&amp;sourceID=14","4.3")</f>
        <v>4.3</v>
      </c>
      <c r="G17537" s="4" t="str">
        <f>HYPERLINK("http://141.218.60.56/~jnz1568/getInfo.php?workbook=10_05.xlsx&amp;sheet=U0&amp;row=17537&amp;col=7&amp;number=0.000273&amp;sourceID=14","0.000273")</f>
        <v>0.000273</v>
      </c>
    </row>
    <row r="17538" spans="1:7">
      <c r="A17538" s="3"/>
      <c r="B17538" s="3"/>
      <c r="C17538" s="3"/>
      <c r="D17538" s="3"/>
      <c r="E17538" s="3">
        <v>15</v>
      </c>
      <c r="F17538" s="4" t="str">
        <f>HYPERLINK("http://141.218.60.56/~jnz1568/getInfo.php?workbook=10_05.xlsx&amp;sheet=U0&amp;row=17538&amp;col=6&amp;number=4.4&amp;sourceID=14","4.4")</f>
        <v>4.4</v>
      </c>
      <c r="G17538" s="4" t="str">
        <f>HYPERLINK("http://141.218.60.56/~jnz1568/getInfo.php?workbook=10_05.xlsx&amp;sheet=U0&amp;row=17538&amp;col=7&amp;number=0.000258&amp;sourceID=14","0.000258")</f>
        <v>0.000258</v>
      </c>
    </row>
    <row r="17539" spans="1:7">
      <c r="A17539" s="3"/>
      <c r="B17539" s="3"/>
      <c r="C17539" s="3"/>
      <c r="D17539" s="3"/>
      <c r="E17539" s="3">
        <v>16</v>
      </c>
      <c r="F17539" s="4" t="str">
        <f>HYPERLINK("http://141.218.60.56/~jnz1568/getInfo.php?workbook=10_05.xlsx&amp;sheet=U0&amp;row=17539&amp;col=6&amp;number=4.5&amp;sourceID=14","4.5")</f>
        <v>4.5</v>
      </c>
      <c r="G17539" s="4" t="str">
        <f>HYPERLINK("http://141.218.60.56/~jnz1568/getInfo.php?workbook=10_05.xlsx&amp;sheet=U0&amp;row=17539&amp;col=7&amp;number=0.000244&amp;sourceID=14","0.000244")</f>
        <v>0.000244</v>
      </c>
    </row>
    <row r="17540" spans="1:7">
      <c r="A17540" s="3"/>
      <c r="B17540" s="3"/>
      <c r="C17540" s="3"/>
      <c r="D17540" s="3"/>
      <c r="E17540" s="3">
        <v>17</v>
      </c>
      <c r="F17540" s="4" t="str">
        <f>HYPERLINK("http://141.218.60.56/~jnz1568/getInfo.php?workbook=10_05.xlsx&amp;sheet=U0&amp;row=17540&amp;col=6&amp;number=4.6&amp;sourceID=14","4.6")</f>
        <v>4.6</v>
      </c>
      <c r="G17540" s="4" t="str">
        <f>HYPERLINK("http://141.218.60.56/~jnz1568/getInfo.php?workbook=10_05.xlsx&amp;sheet=U0&amp;row=17540&amp;col=7&amp;number=0.000233&amp;sourceID=14","0.000233")</f>
        <v>0.000233</v>
      </c>
    </row>
    <row r="17541" spans="1:7">
      <c r="A17541" s="3"/>
      <c r="B17541" s="3"/>
      <c r="C17541" s="3"/>
      <c r="D17541" s="3"/>
      <c r="E17541" s="3">
        <v>18</v>
      </c>
      <c r="F17541" s="4" t="str">
        <f>HYPERLINK("http://141.218.60.56/~jnz1568/getInfo.php?workbook=10_05.xlsx&amp;sheet=U0&amp;row=17541&amp;col=6&amp;number=4.7&amp;sourceID=14","4.7")</f>
        <v>4.7</v>
      </c>
      <c r="G17541" s="4" t="str">
        <f>HYPERLINK("http://141.218.60.56/~jnz1568/getInfo.php?workbook=10_05.xlsx&amp;sheet=U0&amp;row=17541&amp;col=7&amp;number=0.000224&amp;sourceID=14","0.000224")</f>
        <v>0.000224</v>
      </c>
    </row>
    <row r="17542" spans="1:7">
      <c r="A17542" s="3"/>
      <c r="B17542" s="3"/>
      <c r="C17542" s="3"/>
      <c r="D17542" s="3"/>
      <c r="E17542" s="3">
        <v>19</v>
      </c>
      <c r="F17542" s="4" t="str">
        <f>HYPERLINK("http://141.218.60.56/~jnz1568/getInfo.php?workbook=10_05.xlsx&amp;sheet=U0&amp;row=17542&amp;col=6&amp;number=4.8&amp;sourceID=14","4.8")</f>
        <v>4.8</v>
      </c>
      <c r="G17542" s="4" t="str">
        <f>HYPERLINK("http://141.218.60.56/~jnz1568/getInfo.php?workbook=10_05.xlsx&amp;sheet=U0&amp;row=17542&amp;col=7&amp;number=0.000215&amp;sourceID=14","0.000215")</f>
        <v>0.000215</v>
      </c>
    </row>
    <row r="17543" spans="1:7">
      <c r="A17543" s="3"/>
      <c r="B17543" s="3"/>
      <c r="C17543" s="3"/>
      <c r="D17543" s="3"/>
      <c r="E17543" s="3">
        <v>20</v>
      </c>
      <c r="F17543" s="4" t="str">
        <f>HYPERLINK("http://141.218.60.56/~jnz1568/getInfo.php?workbook=10_05.xlsx&amp;sheet=U0&amp;row=17543&amp;col=6&amp;number=4.9&amp;sourceID=14","4.9")</f>
        <v>4.9</v>
      </c>
      <c r="G17543" s="4" t="str">
        <f>HYPERLINK("http://141.218.60.56/~jnz1568/getInfo.php?workbook=10_05.xlsx&amp;sheet=U0&amp;row=17543&amp;col=7&amp;number=0.000205&amp;sourceID=14","0.000205")</f>
        <v>0.000205</v>
      </c>
    </row>
    <row r="17544" spans="1:7">
      <c r="A17544" s="3">
        <v>10</v>
      </c>
      <c r="B17544" s="3">
        <v>5</v>
      </c>
      <c r="C17544" s="3">
        <v>5</v>
      </c>
      <c r="D17544" s="3">
        <v>173</v>
      </c>
      <c r="E17544" s="3">
        <v>1</v>
      </c>
      <c r="F17544" s="4" t="str">
        <f>HYPERLINK("http://141.218.60.56/~jnz1568/getInfo.php?workbook=10_05.xlsx&amp;sheet=U0&amp;row=17544&amp;col=6&amp;number=3&amp;sourceID=14","3")</f>
        <v>3</v>
      </c>
      <c r="G17544" s="4" t="str">
        <f>HYPERLINK("http://141.218.60.56/~jnz1568/getInfo.php?workbook=10_05.xlsx&amp;sheet=U0&amp;row=17544&amp;col=7&amp;number=0.000837&amp;sourceID=14","0.000837")</f>
        <v>0.000837</v>
      </c>
    </row>
    <row r="17545" spans="1:7">
      <c r="A17545" s="3"/>
      <c r="B17545" s="3"/>
      <c r="C17545" s="3"/>
      <c r="D17545" s="3"/>
      <c r="E17545" s="3">
        <v>2</v>
      </c>
      <c r="F17545" s="4" t="str">
        <f>HYPERLINK("http://141.218.60.56/~jnz1568/getInfo.php?workbook=10_05.xlsx&amp;sheet=U0&amp;row=17545&amp;col=6&amp;number=3.1&amp;sourceID=14","3.1")</f>
        <v>3.1</v>
      </c>
      <c r="G17545" s="4" t="str">
        <f>HYPERLINK("http://141.218.60.56/~jnz1568/getInfo.php?workbook=10_05.xlsx&amp;sheet=U0&amp;row=17545&amp;col=7&amp;number=0.000834&amp;sourceID=14","0.000834")</f>
        <v>0.000834</v>
      </c>
    </row>
    <row r="17546" spans="1:7">
      <c r="A17546" s="3"/>
      <c r="B17546" s="3"/>
      <c r="C17546" s="3"/>
      <c r="D17546" s="3"/>
      <c r="E17546" s="3">
        <v>3</v>
      </c>
      <c r="F17546" s="4" t="str">
        <f>HYPERLINK("http://141.218.60.56/~jnz1568/getInfo.php?workbook=10_05.xlsx&amp;sheet=U0&amp;row=17546&amp;col=6&amp;number=3.2&amp;sourceID=14","3.2")</f>
        <v>3.2</v>
      </c>
      <c r="G17546" s="4" t="str">
        <f>HYPERLINK("http://141.218.60.56/~jnz1568/getInfo.php?workbook=10_05.xlsx&amp;sheet=U0&amp;row=17546&amp;col=7&amp;number=0.000829&amp;sourceID=14","0.000829")</f>
        <v>0.000829</v>
      </c>
    </row>
    <row r="17547" spans="1:7">
      <c r="A17547" s="3"/>
      <c r="B17547" s="3"/>
      <c r="C17547" s="3"/>
      <c r="D17547" s="3"/>
      <c r="E17547" s="3">
        <v>4</v>
      </c>
      <c r="F17547" s="4" t="str">
        <f>HYPERLINK("http://141.218.60.56/~jnz1568/getInfo.php?workbook=10_05.xlsx&amp;sheet=U0&amp;row=17547&amp;col=6&amp;number=3.3&amp;sourceID=14","3.3")</f>
        <v>3.3</v>
      </c>
      <c r="G17547" s="4" t="str">
        <f>HYPERLINK("http://141.218.60.56/~jnz1568/getInfo.php?workbook=10_05.xlsx&amp;sheet=U0&amp;row=17547&amp;col=7&amp;number=0.000824&amp;sourceID=14","0.000824")</f>
        <v>0.000824</v>
      </c>
    </row>
    <row r="17548" spans="1:7">
      <c r="A17548" s="3"/>
      <c r="B17548" s="3"/>
      <c r="C17548" s="3"/>
      <c r="D17548" s="3"/>
      <c r="E17548" s="3">
        <v>5</v>
      </c>
      <c r="F17548" s="4" t="str">
        <f>HYPERLINK("http://141.218.60.56/~jnz1568/getInfo.php?workbook=10_05.xlsx&amp;sheet=U0&amp;row=17548&amp;col=6&amp;number=3.4&amp;sourceID=14","3.4")</f>
        <v>3.4</v>
      </c>
      <c r="G17548" s="4" t="str">
        <f>HYPERLINK("http://141.218.60.56/~jnz1568/getInfo.php?workbook=10_05.xlsx&amp;sheet=U0&amp;row=17548&amp;col=7&amp;number=0.000817&amp;sourceID=14","0.000817")</f>
        <v>0.000817</v>
      </c>
    </row>
    <row r="17549" spans="1:7">
      <c r="A17549" s="3"/>
      <c r="B17549" s="3"/>
      <c r="C17549" s="3"/>
      <c r="D17549" s="3"/>
      <c r="E17549" s="3">
        <v>6</v>
      </c>
      <c r="F17549" s="4" t="str">
        <f>HYPERLINK("http://141.218.60.56/~jnz1568/getInfo.php?workbook=10_05.xlsx&amp;sheet=U0&amp;row=17549&amp;col=6&amp;number=3.5&amp;sourceID=14","3.5")</f>
        <v>3.5</v>
      </c>
      <c r="G17549" s="4" t="str">
        <f>HYPERLINK("http://141.218.60.56/~jnz1568/getInfo.php?workbook=10_05.xlsx&amp;sheet=U0&amp;row=17549&amp;col=7&amp;number=0.000808&amp;sourceID=14","0.000808")</f>
        <v>0.000808</v>
      </c>
    </row>
    <row r="17550" spans="1:7">
      <c r="A17550" s="3"/>
      <c r="B17550" s="3"/>
      <c r="C17550" s="3"/>
      <c r="D17550" s="3"/>
      <c r="E17550" s="3">
        <v>7</v>
      </c>
      <c r="F17550" s="4" t="str">
        <f>HYPERLINK("http://141.218.60.56/~jnz1568/getInfo.php?workbook=10_05.xlsx&amp;sheet=U0&amp;row=17550&amp;col=6&amp;number=3.6&amp;sourceID=14","3.6")</f>
        <v>3.6</v>
      </c>
      <c r="G17550" s="4" t="str">
        <f>HYPERLINK("http://141.218.60.56/~jnz1568/getInfo.php?workbook=10_05.xlsx&amp;sheet=U0&amp;row=17550&amp;col=7&amp;number=0.000797&amp;sourceID=14","0.000797")</f>
        <v>0.000797</v>
      </c>
    </row>
    <row r="17551" spans="1:7">
      <c r="A17551" s="3"/>
      <c r="B17551" s="3"/>
      <c r="C17551" s="3"/>
      <c r="D17551" s="3"/>
      <c r="E17551" s="3">
        <v>8</v>
      </c>
      <c r="F17551" s="4" t="str">
        <f>HYPERLINK("http://141.218.60.56/~jnz1568/getInfo.php?workbook=10_05.xlsx&amp;sheet=U0&amp;row=17551&amp;col=6&amp;number=3.7&amp;sourceID=14","3.7")</f>
        <v>3.7</v>
      </c>
      <c r="G17551" s="4" t="str">
        <f>HYPERLINK("http://141.218.60.56/~jnz1568/getInfo.php?workbook=10_05.xlsx&amp;sheet=U0&amp;row=17551&amp;col=7&amp;number=0.000784&amp;sourceID=14","0.000784")</f>
        <v>0.000784</v>
      </c>
    </row>
    <row r="17552" spans="1:7">
      <c r="A17552" s="3"/>
      <c r="B17552" s="3"/>
      <c r="C17552" s="3"/>
      <c r="D17552" s="3"/>
      <c r="E17552" s="3">
        <v>9</v>
      </c>
      <c r="F17552" s="4" t="str">
        <f>HYPERLINK("http://141.218.60.56/~jnz1568/getInfo.php?workbook=10_05.xlsx&amp;sheet=U0&amp;row=17552&amp;col=6&amp;number=3.8&amp;sourceID=14","3.8")</f>
        <v>3.8</v>
      </c>
      <c r="G17552" s="4" t="str">
        <f>HYPERLINK("http://141.218.60.56/~jnz1568/getInfo.php?workbook=10_05.xlsx&amp;sheet=U0&amp;row=17552&amp;col=7&amp;number=0.000768&amp;sourceID=14","0.000768")</f>
        <v>0.000768</v>
      </c>
    </row>
    <row r="17553" spans="1:7">
      <c r="A17553" s="3"/>
      <c r="B17553" s="3"/>
      <c r="C17553" s="3"/>
      <c r="D17553" s="3"/>
      <c r="E17553" s="3">
        <v>10</v>
      </c>
      <c r="F17553" s="4" t="str">
        <f>HYPERLINK("http://141.218.60.56/~jnz1568/getInfo.php?workbook=10_05.xlsx&amp;sheet=U0&amp;row=17553&amp;col=6&amp;number=3.9&amp;sourceID=14","3.9")</f>
        <v>3.9</v>
      </c>
      <c r="G17553" s="4" t="str">
        <f>HYPERLINK("http://141.218.60.56/~jnz1568/getInfo.php?workbook=10_05.xlsx&amp;sheet=U0&amp;row=17553&amp;col=7&amp;number=0.000748&amp;sourceID=14","0.000748")</f>
        <v>0.000748</v>
      </c>
    </row>
    <row r="17554" spans="1:7">
      <c r="A17554" s="3"/>
      <c r="B17554" s="3"/>
      <c r="C17554" s="3"/>
      <c r="D17554" s="3"/>
      <c r="E17554" s="3">
        <v>11</v>
      </c>
      <c r="F17554" s="4" t="str">
        <f>HYPERLINK("http://141.218.60.56/~jnz1568/getInfo.php?workbook=10_05.xlsx&amp;sheet=U0&amp;row=17554&amp;col=6&amp;number=4&amp;sourceID=14","4")</f>
        <v>4</v>
      </c>
      <c r="G17554" s="4" t="str">
        <f>HYPERLINK("http://141.218.60.56/~jnz1568/getInfo.php?workbook=10_05.xlsx&amp;sheet=U0&amp;row=17554&amp;col=7&amp;number=0.000724&amp;sourceID=14","0.000724")</f>
        <v>0.000724</v>
      </c>
    </row>
    <row r="17555" spans="1:7">
      <c r="A17555" s="3"/>
      <c r="B17555" s="3"/>
      <c r="C17555" s="3"/>
      <c r="D17555" s="3"/>
      <c r="E17555" s="3">
        <v>12</v>
      </c>
      <c r="F17555" s="4" t="str">
        <f>HYPERLINK("http://141.218.60.56/~jnz1568/getInfo.php?workbook=10_05.xlsx&amp;sheet=U0&amp;row=17555&amp;col=6&amp;number=4.1&amp;sourceID=14","4.1")</f>
        <v>4.1</v>
      </c>
      <c r="G17555" s="4" t="str">
        <f>HYPERLINK("http://141.218.60.56/~jnz1568/getInfo.php?workbook=10_05.xlsx&amp;sheet=U0&amp;row=17555&amp;col=7&amp;number=0.000697&amp;sourceID=14","0.000697")</f>
        <v>0.000697</v>
      </c>
    </row>
    <row r="17556" spans="1:7">
      <c r="A17556" s="3"/>
      <c r="B17556" s="3"/>
      <c r="C17556" s="3"/>
      <c r="D17556" s="3"/>
      <c r="E17556" s="3">
        <v>13</v>
      </c>
      <c r="F17556" s="4" t="str">
        <f>HYPERLINK("http://141.218.60.56/~jnz1568/getInfo.php?workbook=10_05.xlsx&amp;sheet=U0&amp;row=17556&amp;col=6&amp;number=4.2&amp;sourceID=14","4.2")</f>
        <v>4.2</v>
      </c>
      <c r="G17556" s="4" t="str">
        <f>HYPERLINK("http://141.218.60.56/~jnz1568/getInfo.php?workbook=10_05.xlsx&amp;sheet=U0&amp;row=17556&amp;col=7&amp;number=0.000666&amp;sourceID=14","0.000666")</f>
        <v>0.000666</v>
      </c>
    </row>
    <row r="17557" spans="1:7">
      <c r="A17557" s="3"/>
      <c r="B17557" s="3"/>
      <c r="C17557" s="3"/>
      <c r="D17557" s="3"/>
      <c r="E17557" s="3">
        <v>14</v>
      </c>
      <c r="F17557" s="4" t="str">
        <f>HYPERLINK("http://141.218.60.56/~jnz1568/getInfo.php?workbook=10_05.xlsx&amp;sheet=U0&amp;row=17557&amp;col=6&amp;number=4.3&amp;sourceID=14","4.3")</f>
        <v>4.3</v>
      </c>
      <c r="G17557" s="4" t="str">
        <f>HYPERLINK("http://141.218.60.56/~jnz1568/getInfo.php?workbook=10_05.xlsx&amp;sheet=U0&amp;row=17557&amp;col=7&amp;number=0.000632&amp;sourceID=14","0.000632")</f>
        <v>0.000632</v>
      </c>
    </row>
    <row r="17558" spans="1:7">
      <c r="A17558" s="3"/>
      <c r="B17558" s="3"/>
      <c r="C17558" s="3"/>
      <c r="D17558" s="3"/>
      <c r="E17558" s="3">
        <v>15</v>
      </c>
      <c r="F17558" s="4" t="str">
        <f>HYPERLINK("http://141.218.60.56/~jnz1568/getInfo.php?workbook=10_05.xlsx&amp;sheet=U0&amp;row=17558&amp;col=6&amp;number=4.4&amp;sourceID=14","4.4")</f>
        <v>4.4</v>
      </c>
      <c r="G17558" s="4" t="str">
        <f>HYPERLINK("http://141.218.60.56/~jnz1568/getInfo.php?workbook=10_05.xlsx&amp;sheet=U0&amp;row=17558&amp;col=7&amp;number=0.0006&amp;sourceID=14","0.0006")</f>
        <v>0.0006</v>
      </c>
    </row>
    <row r="17559" spans="1:7">
      <c r="A17559" s="3"/>
      <c r="B17559" s="3"/>
      <c r="C17559" s="3"/>
      <c r="D17559" s="3"/>
      <c r="E17559" s="3">
        <v>16</v>
      </c>
      <c r="F17559" s="4" t="str">
        <f>HYPERLINK("http://141.218.60.56/~jnz1568/getInfo.php?workbook=10_05.xlsx&amp;sheet=U0&amp;row=17559&amp;col=6&amp;number=4.5&amp;sourceID=14","4.5")</f>
        <v>4.5</v>
      </c>
      <c r="G17559" s="4" t="str">
        <f>HYPERLINK("http://141.218.60.56/~jnz1568/getInfo.php?workbook=10_05.xlsx&amp;sheet=U0&amp;row=17559&amp;col=7&amp;number=0.000572&amp;sourceID=14","0.000572")</f>
        <v>0.000572</v>
      </c>
    </row>
    <row r="17560" spans="1:7">
      <c r="A17560" s="3"/>
      <c r="B17560" s="3"/>
      <c r="C17560" s="3"/>
      <c r="D17560" s="3"/>
      <c r="E17560" s="3">
        <v>17</v>
      </c>
      <c r="F17560" s="4" t="str">
        <f>HYPERLINK("http://141.218.60.56/~jnz1568/getInfo.php?workbook=10_05.xlsx&amp;sheet=U0&amp;row=17560&amp;col=6&amp;number=4.6&amp;sourceID=14","4.6")</f>
        <v>4.6</v>
      </c>
      <c r="G17560" s="4" t="str">
        <f>HYPERLINK("http://141.218.60.56/~jnz1568/getInfo.php?workbook=10_05.xlsx&amp;sheet=U0&amp;row=17560&amp;col=7&amp;number=0.000551&amp;sourceID=14","0.000551")</f>
        <v>0.000551</v>
      </c>
    </row>
    <row r="17561" spans="1:7">
      <c r="A17561" s="3"/>
      <c r="B17561" s="3"/>
      <c r="C17561" s="3"/>
      <c r="D17561" s="3"/>
      <c r="E17561" s="3">
        <v>18</v>
      </c>
      <c r="F17561" s="4" t="str">
        <f>HYPERLINK("http://141.218.60.56/~jnz1568/getInfo.php?workbook=10_05.xlsx&amp;sheet=U0&amp;row=17561&amp;col=6&amp;number=4.7&amp;sourceID=14","4.7")</f>
        <v>4.7</v>
      </c>
      <c r="G17561" s="4" t="str">
        <f>HYPERLINK("http://141.218.60.56/~jnz1568/getInfo.php?workbook=10_05.xlsx&amp;sheet=U0&amp;row=17561&amp;col=7&amp;number=0.000534&amp;sourceID=14","0.000534")</f>
        <v>0.000534</v>
      </c>
    </row>
    <row r="17562" spans="1:7">
      <c r="A17562" s="3"/>
      <c r="B17562" s="3"/>
      <c r="C17562" s="3"/>
      <c r="D17562" s="3"/>
      <c r="E17562" s="3">
        <v>19</v>
      </c>
      <c r="F17562" s="4" t="str">
        <f>HYPERLINK("http://141.218.60.56/~jnz1568/getInfo.php?workbook=10_05.xlsx&amp;sheet=U0&amp;row=17562&amp;col=6&amp;number=4.8&amp;sourceID=14","4.8")</f>
        <v>4.8</v>
      </c>
      <c r="G17562" s="4" t="str">
        <f>HYPERLINK("http://141.218.60.56/~jnz1568/getInfo.php?workbook=10_05.xlsx&amp;sheet=U0&amp;row=17562&amp;col=7&amp;number=0.000514&amp;sourceID=14","0.000514")</f>
        <v>0.000514</v>
      </c>
    </row>
    <row r="17563" spans="1:7">
      <c r="A17563" s="3"/>
      <c r="B17563" s="3"/>
      <c r="C17563" s="3"/>
      <c r="D17563" s="3"/>
      <c r="E17563" s="3">
        <v>20</v>
      </c>
      <c r="F17563" s="4" t="str">
        <f>HYPERLINK("http://141.218.60.56/~jnz1568/getInfo.php?workbook=10_05.xlsx&amp;sheet=U0&amp;row=17563&amp;col=6&amp;number=4.9&amp;sourceID=14","4.9")</f>
        <v>4.9</v>
      </c>
      <c r="G17563" s="4" t="str">
        <f>HYPERLINK("http://141.218.60.56/~jnz1568/getInfo.php?workbook=10_05.xlsx&amp;sheet=U0&amp;row=17563&amp;col=7&amp;number=0.000491&amp;sourceID=14","0.000491")</f>
        <v>0.000491</v>
      </c>
    </row>
    <row r="17564" spans="1:7">
      <c r="A17564" s="3">
        <v>10</v>
      </c>
      <c r="B17564" s="3">
        <v>5</v>
      </c>
      <c r="C17564" s="3">
        <v>5</v>
      </c>
      <c r="D17564" s="3">
        <v>174</v>
      </c>
      <c r="E17564" s="3">
        <v>1</v>
      </c>
      <c r="F17564" s="4" t="str">
        <f>HYPERLINK("http://141.218.60.56/~jnz1568/getInfo.php?workbook=10_05.xlsx&amp;sheet=U0&amp;row=17564&amp;col=6&amp;number=3&amp;sourceID=14","3")</f>
        <v>3</v>
      </c>
      <c r="G17564" s="4" t="str">
        <f>HYPERLINK("http://141.218.60.56/~jnz1568/getInfo.php?workbook=10_05.xlsx&amp;sheet=U0&amp;row=17564&amp;col=7&amp;number=0.000337&amp;sourceID=14","0.000337")</f>
        <v>0.000337</v>
      </c>
    </row>
    <row r="17565" spans="1:7">
      <c r="A17565" s="3"/>
      <c r="B17565" s="3"/>
      <c r="C17565" s="3"/>
      <c r="D17565" s="3"/>
      <c r="E17565" s="3">
        <v>2</v>
      </c>
      <c r="F17565" s="4" t="str">
        <f>HYPERLINK("http://141.218.60.56/~jnz1568/getInfo.php?workbook=10_05.xlsx&amp;sheet=U0&amp;row=17565&amp;col=6&amp;number=3.1&amp;sourceID=14","3.1")</f>
        <v>3.1</v>
      </c>
      <c r="G17565" s="4" t="str">
        <f>HYPERLINK("http://141.218.60.56/~jnz1568/getInfo.php?workbook=10_05.xlsx&amp;sheet=U0&amp;row=17565&amp;col=7&amp;number=0.000336&amp;sourceID=14","0.000336")</f>
        <v>0.000336</v>
      </c>
    </row>
    <row r="17566" spans="1:7">
      <c r="A17566" s="3"/>
      <c r="B17566" s="3"/>
      <c r="C17566" s="3"/>
      <c r="D17566" s="3"/>
      <c r="E17566" s="3">
        <v>3</v>
      </c>
      <c r="F17566" s="4" t="str">
        <f>HYPERLINK("http://141.218.60.56/~jnz1568/getInfo.php?workbook=10_05.xlsx&amp;sheet=U0&amp;row=17566&amp;col=6&amp;number=3.2&amp;sourceID=14","3.2")</f>
        <v>3.2</v>
      </c>
      <c r="G17566" s="4" t="str">
        <f>HYPERLINK("http://141.218.60.56/~jnz1568/getInfo.php?workbook=10_05.xlsx&amp;sheet=U0&amp;row=17566&amp;col=7&amp;number=0.000335&amp;sourceID=14","0.000335")</f>
        <v>0.000335</v>
      </c>
    </row>
    <row r="17567" spans="1:7">
      <c r="A17567" s="3"/>
      <c r="B17567" s="3"/>
      <c r="C17567" s="3"/>
      <c r="D17567" s="3"/>
      <c r="E17567" s="3">
        <v>4</v>
      </c>
      <c r="F17567" s="4" t="str">
        <f>HYPERLINK("http://141.218.60.56/~jnz1568/getInfo.php?workbook=10_05.xlsx&amp;sheet=U0&amp;row=17567&amp;col=6&amp;number=3.3&amp;sourceID=14","3.3")</f>
        <v>3.3</v>
      </c>
      <c r="G17567" s="4" t="str">
        <f>HYPERLINK("http://141.218.60.56/~jnz1568/getInfo.php?workbook=10_05.xlsx&amp;sheet=U0&amp;row=17567&amp;col=7&amp;number=0.000334&amp;sourceID=14","0.000334")</f>
        <v>0.000334</v>
      </c>
    </row>
    <row r="17568" spans="1:7">
      <c r="A17568" s="3"/>
      <c r="B17568" s="3"/>
      <c r="C17568" s="3"/>
      <c r="D17568" s="3"/>
      <c r="E17568" s="3">
        <v>5</v>
      </c>
      <c r="F17568" s="4" t="str">
        <f>HYPERLINK("http://141.218.60.56/~jnz1568/getInfo.php?workbook=10_05.xlsx&amp;sheet=U0&amp;row=17568&amp;col=6&amp;number=3.4&amp;sourceID=14","3.4")</f>
        <v>3.4</v>
      </c>
      <c r="G17568" s="4" t="str">
        <f>HYPERLINK("http://141.218.60.56/~jnz1568/getInfo.php?workbook=10_05.xlsx&amp;sheet=U0&amp;row=17568&amp;col=7&amp;number=0.000332&amp;sourceID=14","0.000332")</f>
        <v>0.000332</v>
      </c>
    </row>
    <row r="17569" spans="1:7">
      <c r="A17569" s="3"/>
      <c r="B17569" s="3"/>
      <c r="C17569" s="3"/>
      <c r="D17569" s="3"/>
      <c r="E17569" s="3">
        <v>6</v>
      </c>
      <c r="F17569" s="4" t="str">
        <f>HYPERLINK("http://141.218.60.56/~jnz1568/getInfo.php?workbook=10_05.xlsx&amp;sheet=U0&amp;row=17569&amp;col=6&amp;number=3.5&amp;sourceID=14","3.5")</f>
        <v>3.5</v>
      </c>
      <c r="G17569" s="4" t="str">
        <f>HYPERLINK("http://141.218.60.56/~jnz1568/getInfo.php?workbook=10_05.xlsx&amp;sheet=U0&amp;row=17569&amp;col=7&amp;number=0.000331&amp;sourceID=14","0.000331")</f>
        <v>0.000331</v>
      </c>
    </row>
    <row r="17570" spans="1:7">
      <c r="A17570" s="3"/>
      <c r="B17570" s="3"/>
      <c r="C17570" s="3"/>
      <c r="D17570" s="3"/>
      <c r="E17570" s="3">
        <v>7</v>
      </c>
      <c r="F17570" s="4" t="str">
        <f>HYPERLINK("http://141.218.60.56/~jnz1568/getInfo.php?workbook=10_05.xlsx&amp;sheet=U0&amp;row=17570&amp;col=6&amp;number=3.6&amp;sourceID=14","3.6")</f>
        <v>3.6</v>
      </c>
      <c r="G17570" s="4" t="str">
        <f>HYPERLINK("http://141.218.60.56/~jnz1568/getInfo.php?workbook=10_05.xlsx&amp;sheet=U0&amp;row=17570&amp;col=7&amp;number=0.000328&amp;sourceID=14","0.000328")</f>
        <v>0.000328</v>
      </c>
    </row>
    <row r="17571" spans="1:7">
      <c r="A17571" s="3"/>
      <c r="B17571" s="3"/>
      <c r="C17571" s="3"/>
      <c r="D17571" s="3"/>
      <c r="E17571" s="3">
        <v>8</v>
      </c>
      <c r="F17571" s="4" t="str">
        <f>HYPERLINK("http://141.218.60.56/~jnz1568/getInfo.php?workbook=10_05.xlsx&amp;sheet=U0&amp;row=17571&amp;col=6&amp;number=3.7&amp;sourceID=14","3.7")</f>
        <v>3.7</v>
      </c>
      <c r="G17571" s="4" t="str">
        <f>HYPERLINK("http://141.218.60.56/~jnz1568/getInfo.php?workbook=10_05.xlsx&amp;sheet=U0&amp;row=17571&amp;col=7&amp;number=0.000325&amp;sourceID=14","0.000325")</f>
        <v>0.000325</v>
      </c>
    </row>
    <row r="17572" spans="1:7">
      <c r="A17572" s="3"/>
      <c r="B17572" s="3"/>
      <c r="C17572" s="3"/>
      <c r="D17572" s="3"/>
      <c r="E17572" s="3">
        <v>9</v>
      </c>
      <c r="F17572" s="4" t="str">
        <f>HYPERLINK("http://141.218.60.56/~jnz1568/getInfo.php?workbook=10_05.xlsx&amp;sheet=U0&amp;row=17572&amp;col=6&amp;number=3.8&amp;sourceID=14","3.8")</f>
        <v>3.8</v>
      </c>
      <c r="G17572" s="4" t="str">
        <f>HYPERLINK("http://141.218.60.56/~jnz1568/getInfo.php?workbook=10_05.xlsx&amp;sheet=U0&amp;row=17572&amp;col=7&amp;number=0.000322&amp;sourceID=14","0.000322")</f>
        <v>0.000322</v>
      </c>
    </row>
    <row r="17573" spans="1:7">
      <c r="A17573" s="3"/>
      <c r="B17573" s="3"/>
      <c r="C17573" s="3"/>
      <c r="D17573" s="3"/>
      <c r="E17573" s="3">
        <v>10</v>
      </c>
      <c r="F17573" s="4" t="str">
        <f>HYPERLINK("http://141.218.60.56/~jnz1568/getInfo.php?workbook=10_05.xlsx&amp;sheet=U0&amp;row=17573&amp;col=6&amp;number=3.9&amp;sourceID=14","3.9")</f>
        <v>3.9</v>
      </c>
      <c r="G17573" s="4" t="str">
        <f>HYPERLINK("http://141.218.60.56/~jnz1568/getInfo.php?workbook=10_05.xlsx&amp;sheet=U0&amp;row=17573&amp;col=7&amp;number=0.000318&amp;sourceID=14","0.000318")</f>
        <v>0.000318</v>
      </c>
    </row>
    <row r="17574" spans="1:7">
      <c r="A17574" s="3"/>
      <c r="B17574" s="3"/>
      <c r="C17574" s="3"/>
      <c r="D17574" s="3"/>
      <c r="E17574" s="3">
        <v>11</v>
      </c>
      <c r="F17574" s="4" t="str">
        <f>HYPERLINK("http://141.218.60.56/~jnz1568/getInfo.php?workbook=10_05.xlsx&amp;sheet=U0&amp;row=17574&amp;col=6&amp;number=4&amp;sourceID=14","4")</f>
        <v>4</v>
      </c>
      <c r="G17574" s="4" t="str">
        <f>HYPERLINK("http://141.218.60.56/~jnz1568/getInfo.php?workbook=10_05.xlsx&amp;sheet=U0&amp;row=17574&amp;col=7&amp;number=0.000313&amp;sourceID=14","0.000313")</f>
        <v>0.000313</v>
      </c>
    </row>
    <row r="17575" spans="1:7">
      <c r="A17575" s="3"/>
      <c r="B17575" s="3"/>
      <c r="C17575" s="3"/>
      <c r="D17575" s="3"/>
      <c r="E17575" s="3">
        <v>12</v>
      </c>
      <c r="F17575" s="4" t="str">
        <f>HYPERLINK("http://141.218.60.56/~jnz1568/getInfo.php?workbook=10_05.xlsx&amp;sheet=U0&amp;row=17575&amp;col=6&amp;number=4.1&amp;sourceID=14","4.1")</f>
        <v>4.1</v>
      </c>
      <c r="G17575" s="4" t="str">
        <f>HYPERLINK("http://141.218.60.56/~jnz1568/getInfo.php?workbook=10_05.xlsx&amp;sheet=U0&amp;row=17575&amp;col=7&amp;number=0.000306&amp;sourceID=14","0.000306")</f>
        <v>0.000306</v>
      </c>
    </row>
    <row r="17576" spans="1:7">
      <c r="A17576" s="3"/>
      <c r="B17576" s="3"/>
      <c r="C17576" s="3"/>
      <c r="D17576" s="3"/>
      <c r="E17576" s="3">
        <v>13</v>
      </c>
      <c r="F17576" s="4" t="str">
        <f>HYPERLINK("http://141.218.60.56/~jnz1568/getInfo.php?workbook=10_05.xlsx&amp;sheet=U0&amp;row=17576&amp;col=6&amp;number=4.2&amp;sourceID=14","4.2")</f>
        <v>4.2</v>
      </c>
      <c r="G17576" s="4" t="str">
        <f>HYPERLINK("http://141.218.60.56/~jnz1568/getInfo.php?workbook=10_05.xlsx&amp;sheet=U0&amp;row=17576&amp;col=7&amp;number=0.000299&amp;sourceID=14","0.000299")</f>
        <v>0.000299</v>
      </c>
    </row>
    <row r="17577" spans="1:7">
      <c r="A17577" s="3"/>
      <c r="B17577" s="3"/>
      <c r="C17577" s="3"/>
      <c r="D17577" s="3"/>
      <c r="E17577" s="3">
        <v>14</v>
      </c>
      <c r="F17577" s="4" t="str">
        <f>HYPERLINK("http://141.218.60.56/~jnz1568/getInfo.php?workbook=10_05.xlsx&amp;sheet=U0&amp;row=17577&amp;col=6&amp;number=4.3&amp;sourceID=14","4.3")</f>
        <v>4.3</v>
      </c>
      <c r="G17577" s="4" t="str">
        <f>HYPERLINK("http://141.218.60.56/~jnz1568/getInfo.php?workbook=10_05.xlsx&amp;sheet=U0&amp;row=17577&amp;col=7&amp;number=0.000292&amp;sourceID=14","0.000292")</f>
        <v>0.000292</v>
      </c>
    </row>
    <row r="17578" spans="1:7">
      <c r="A17578" s="3"/>
      <c r="B17578" s="3"/>
      <c r="C17578" s="3"/>
      <c r="D17578" s="3"/>
      <c r="E17578" s="3">
        <v>15</v>
      </c>
      <c r="F17578" s="4" t="str">
        <f>HYPERLINK("http://141.218.60.56/~jnz1568/getInfo.php?workbook=10_05.xlsx&amp;sheet=U0&amp;row=17578&amp;col=6&amp;number=4.4&amp;sourceID=14","4.4")</f>
        <v>4.4</v>
      </c>
      <c r="G17578" s="4" t="str">
        <f>HYPERLINK("http://141.218.60.56/~jnz1568/getInfo.php?workbook=10_05.xlsx&amp;sheet=U0&amp;row=17578&amp;col=7&amp;number=0.000283&amp;sourceID=14","0.000283")</f>
        <v>0.000283</v>
      </c>
    </row>
    <row r="17579" spans="1:7">
      <c r="A17579" s="3"/>
      <c r="B17579" s="3"/>
      <c r="C17579" s="3"/>
      <c r="D17579" s="3"/>
      <c r="E17579" s="3">
        <v>16</v>
      </c>
      <c r="F17579" s="4" t="str">
        <f>HYPERLINK("http://141.218.60.56/~jnz1568/getInfo.php?workbook=10_05.xlsx&amp;sheet=U0&amp;row=17579&amp;col=6&amp;number=4.5&amp;sourceID=14","4.5")</f>
        <v>4.5</v>
      </c>
      <c r="G17579" s="4" t="str">
        <f>HYPERLINK("http://141.218.60.56/~jnz1568/getInfo.php?workbook=10_05.xlsx&amp;sheet=U0&amp;row=17579&amp;col=7&amp;number=0.000275&amp;sourceID=14","0.000275")</f>
        <v>0.000275</v>
      </c>
    </row>
    <row r="17580" spans="1:7">
      <c r="A17580" s="3"/>
      <c r="B17580" s="3"/>
      <c r="C17580" s="3"/>
      <c r="D17580" s="3"/>
      <c r="E17580" s="3">
        <v>17</v>
      </c>
      <c r="F17580" s="4" t="str">
        <f>HYPERLINK("http://141.218.60.56/~jnz1568/getInfo.php?workbook=10_05.xlsx&amp;sheet=U0&amp;row=17580&amp;col=6&amp;number=4.6&amp;sourceID=14","4.6")</f>
        <v>4.6</v>
      </c>
      <c r="G17580" s="4" t="str">
        <f>HYPERLINK("http://141.218.60.56/~jnz1568/getInfo.php?workbook=10_05.xlsx&amp;sheet=U0&amp;row=17580&amp;col=7&amp;number=0.000267&amp;sourceID=14","0.000267")</f>
        <v>0.000267</v>
      </c>
    </row>
    <row r="17581" spans="1:7">
      <c r="A17581" s="3"/>
      <c r="B17581" s="3"/>
      <c r="C17581" s="3"/>
      <c r="D17581" s="3"/>
      <c r="E17581" s="3">
        <v>18</v>
      </c>
      <c r="F17581" s="4" t="str">
        <f>HYPERLINK("http://141.218.60.56/~jnz1568/getInfo.php?workbook=10_05.xlsx&amp;sheet=U0&amp;row=17581&amp;col=6&amp;number=4.7&amp;sourceID=14","4.7")</f>
        <v>4.7</v>
      </c>
      <c r="G17581" s="4" t="str">
        <f>HYPERLINK("http://141.218.60.56/~jnz1568/getInfo.php?workbook=10_05.xlsx&amp;sheet=U0&amp;row=17581&amp;col=7&amp;number=0.00026&amp;sourceID=14","0.00026")</f>
        <v>0.00026</v>
      </c>
    </row>
    <row r="17582" spans="1:7">
      <c r="A17582" s="3"/>
      <c r="B17582" s="3"/>
      <c r="C17582" s="3"/>
      <c r="D17582" s="3"/>
      <c r="E17582" s="3">
        <v>19</v>
      </c>
      <c r="F17582" s="4" t="str">
        <f>HYPERLINK("http://141.218.60.56/~jnz1568/getInfo.php?workbook=10_05.xlsx&amp;sheet=U0&amp;row=17582&amp;col=6&amp;number=4.8&amp;sourceID=14","4.8")</f>
        <v>4.8</v>
      </c>
      <c r="G17582" s="4" t="str">
        <f>HYPERLINK("http://141.218.60.56/~jnz1568/getInfo.php?workbook=10_05.xlsx&amp;sheet=U0&amp;row=17582&amp;col=7&amp;number=0.000253&amp;sourceID=14","0.000253")</f>
        <v>0.000253</v>
      </c>
    </row>
    <row r="17583" spans="1:7">
      <c r="A17583" s="3"/>
      <c r="B17583" s="3"/>
      <c r="C17583" s="3"/>
      <c r="D17583" s="3"/>
      <c r="E17583" s="3">
        <v>20</v>
      </c>
      <c r="F17583" s="4" t="str">
        <f>HYPERLINK("http://141.218.60.56/~jnz1568/getInfo.php?workbook=10_05.xlsx&amp;sheet=U0&amp;row=17583&amp;col=6&amp;number=4.9&amp;sourceID=14","4.9")</f>
        <v>4.9</v>
      </c>
      <c r="G17583" s="4" t="str">
        <f>HYPERLINK("http://141.218.60.56/~jnz1568/getInfo.php?workbook=10_05.xlsx&amp;sheet=U0&amp;row=17583&amp;col=7&amp;number=0.000245&amp;sourceID=14","0.000245")</f>
        <v>0.000245</v>
      </c>
    </row>
    <row r="17584" spans="1:7">
      <c r="A17584" s="3">
        <v>10</v>
      </c>
      <c r="B17584" s="3">
        <v>5</v>
      </c>
      <c r="C17584" s="3">
        <v>5</v>
      </c>
      <c r="D17584" s="3">
        <v>175</v>
      </c>
      <c r="E17584" s="3">
        <v>1</v>
      </c>
      <c r="F17584" s="4" t="str">
        <f>HYPERLINK("http://141.218.60.56/~jnz1568/getInfo.php?workbook=10_05.xlsx&amp;sheet=U0&amp;row=17584&amp;col=6&amp;number=3&amp;sourceID=14","3")</f>
        <v>3</v>
      </c>
      <c r="G17584" s="4" t="str">
        <f>HYPERLINK("http://141.218.60.56/~jnz1568/getInfo.php?workbook=10_05.xlsx&amp;sheet=U0&amp;row=17584&amp;col=7&amp;number=0.000771&amp;sourceID=14","0.000771")</f>
        <v>0.000771</v>
      </c>
    </row>
    <row r="17585" spans="1:7">
      <c r="A17585" s="3"/>
      <c r="B17585" s="3"/>
      <c r="C17585" s="3"/>
      <c r="D17585" s="3"/>
      <c r="E17585" s="3">
        <v>2</v>
      </c>
      <c r="F17585" s="4" t="str">
        <f>HYPERLINK("http://141.218.60.56/~jnz1568/getInfo.php?workbook=10_05.xlsx&amp;sheet=U0&amp;row=17585&amp;col=6&amp;number=3.1&amp;sourceID=14","3.1")</f>
        <v>3.1</v>
      </c>
      <c r="G17585" s="4" t="str">
        <f>HYPERLINK("http://141.218.60.56/~jnz1568/getInfo.php?workbook=10_05.xlsx&amp;sheet=U0&amp;row=17585&amp;col=7&amp;number=0.000771&amp;sourceID=14","0.000771")</f>
        <v>0.000771</v>
      </c>
    </row>
    <row r="17586" spans="1:7">
      <c r="A17586" s="3"/>
      <c r="B17586" s="3"/>
      <c r="C17586" s="3"/>
      <c r="D17586" s="3"/>
      <c r="E17586" s="3">
        <v>3</v>
      </c>
      <c r="F17586" s="4" t="str">
        <f>HYPERLINK("http://141.218.60.56/~jnz1568/getInfo.php?workbook=10_05.xlsx&amp;sheet=U0&amp;row=17586&amp;col=6&amp;number=3.2&amp;sourceID=14","3.2")</f>
        <v>3.2</v>
      </c>
      <c r="G17586" s="4" t="str">
        <f>HYPERLINK("http://141.218.60.56/~jnz1568/getInfo.php?workbook=10_05.xlsx&amp;sheet=U0&amp;row=17586&amp;col=7&amp;number=0.00077&amp;sourceID=14","0.00077")</f>
        <v>0.00077</v>
      </c>
    </row>
    <row r="17587" spans="1:7">
      <c r="A17587" s="3"/>
      <c r="B17587" s="3"/>
      <c r="C17587" s="3"/>
      <c r="D17587" s="3"/>
      <c r="E17587" s="3">
        <v>4</v>
      </c>
      <c r="F17587" s="4" t="str">
        <f>HYPERLINK("http://141.218.60.56/~jnz1568/getInfo.php?workbook=10_05.xlsx&amp;sheet=U0&amp;row=17587&amp;col=6&amp;number=3.3&amp;sourceID=14","3.3")</f>
        <v>3.3</v>
      </c>
      <c r="G17587" s="4" t="str">
        <f>HYPERLINK("http://141.218.60.56/~jnz1568/getInfo.php?workbook=10_05.xlsx&amp;sheet=U0&amp;row=17587&amp;col=7&amp;number=0.00077&amp;sourceID=14","0.00077")</f>
        <v>0.00077</v>
      </c>
    </row>
    <row r="17588" spans="1:7">
      <c r="A17588" s="3"/>
      <c r="B17588" s="3"/>
      <c r="C17588" s="3"/>
      <c r="D17588" s="3"/>
      <c r="E17588" s="3">
        <v>5</v>
      </c>
      <c r="F17588" s="4" t="str">
        <f>HYPERLINK("http://141.218.60.56/~jnz1568/getInfo.php?workbook=10_05.xlsx&amp;sheet=U0&amp;row=17588&amp;col=6&amp;number=3.4&amp;sourceID=14","3.4")</f>
        <v>3.4</v>
      </c>
      <c r="G17588" s="4" t="str">
        <f>HYPERLINK("http://141.218.60.56/~jnz1568/getInfo.php?workbook=10_05.xlsx&amp;sheet=U0&amp;row=17588&amp;col=7&amp;number=0.000769&amp;sourceID=14","0.000769")</f>
        <v>0.000769</v>
      </c>
    </row>
    <row r="17589" spans="1:7">
      <c r="A17589" s="3"/>
      <c r="B17589" s="3"/>
      <c r="C17589" s="3"/>
      <c r="D17589" s="3"/>
      <c r="E17589" s="3">
        <v>6</v>
      </c>
      <c r="F17589" s="4" t="str">
        <f>HYPERLINK("http://141.218.60.56/~jnz1568/getInfo.php?workbook=10_05.xlsx&amp;sheet=U0&amp;row=17589&amp;col=6&amp;number=3.5&amp;sourceID=14","3.5")</f>
        <v>3.5</v>
      </c>
      <c r="G17589" s="4" t="str">
        <f>HYPERLINK("http://141.218.60.56/~jnz1568/getInfo.php?workbook=10_05.xlsx&amp;sheet=U0&amp;row=17589&amp;col=7&amp;number=0.000768&amp;sourceID=14","0.000768")</f>
        <v>0.000768</v>
      </c>
    </row>
    <row r="17590" spans="1:7">
      <c r="A17590" s="3"/>
      <c r="B17590" s="3"/>
      <c r="C17590" s="3"/>
      <c r="D17590" s="3"/>
      <c r="E17590" s="3">
        <v>7</v>
      </c>
      <c r="F17590" s="4" t="str">
        <f>HYPERLINK("http://141.218.60.56/~jnz1568/getInfo.php?workbook=10_05.xlsx&amp;sheet=U0&amp;row=17590&amp;col=6&amp;number=3.6&amp;sourceID=14","3.6")</f>
        <v>3.6</v>
      </c>
      <c r="G17590" s="4" t="str">
        <f>HYPERLINK("http://141.218.60.56/~jnz1568/getInfo.php?workbook=10_05.xlsx&amp;sheet=U0&amp;row=17590&amp;col=7&amp;number=0.000766&amp;sourceID=14","0.000766")</f>
        <v>0.000766</v>
      </c>
    </row>
    <row r="17591" spans="1:7">
      <c r="A17591" s="3"/>
      <c r="B17591" s="3"/>
      <c r="C17591" s="3"/>
      <c r="D17591" s="3"/>
      <c r="E17591" s="3">
        <v>8</v>
      </c>
      <c r="F17591" s="4" t="str">
        <f>HYPERLINK("http://141.218.60.56/~jnz1568/getInfo.php?workbook=10_05.xlsx&amp;sheet=U0&amp;row=17591&amp;col=6&amp;number=3.7&amp;sourceID=14","3.7")</f>
        <v>3.7</v>
      </c>
      <c r="G17591" s="4" t="str">
        <f>HYPERLINK("http://141.218.60.56/~jnz1568/getInfo.php?workbook=10_05.xlsx&amp;sheet=U0&amp;row=17591&amp;col=7&amp;number=0.000765&amp;sourceID=14","0.000765")</f>
        <v>0.000765</v>
      </c>
    </row>
    <row r="17592" spans="1:7">
      <c r="A17592" s="3"/>
      <c r="B17592" s="3"/>
      <c r="C17592" s="3"/>
      <c r="D17592" s="3"/>
      <c r="E17592" s="3">
        <v>9</v>
      </c>
      <c r="F17592" s="4" t="str">
        <f>HYPERLINK("http://141.218.60.56/~jnz1568/getInfo.php?workbook=10_05.xlsx&amp;sheet=U0&amp;row=17592&amp;col=6&amp;number=3.8&amp;sourceID=14","3.8")</f>
        <v>3.8</v>
      </c>
      <c r="G17592" s="4" t="str">
        <f>HYPERLINK("http://141.218.60.56/~jnz1568/getInfo.php?workbook=10_05.xlsx&amp;sheet=U0&amp;row=17592&amp;col=7&amp;number=0.000763&amp;sourceID=14","0.000763")</f>
        <v>0.000763</v>
      </c>
    </row>
    <row r="17593" spans="1:7">
      <c r="A17593" s="3"/>
      <c r="B17593" s="3"/>
      <c r="C17593" s="3"/>
      <c r="D17593" s="3"/>
      <c r="E17593" s="3">
        <v>10</v>
      </c>
      <c r="F17593" s="4" t="str">
        <f>HYPERLINK("http://141.218.60.56/~jnz1568/getInfo.php?workbook=10_05.xlsx&amp;sheet=U0&amp;row=17593&amp;col=6&amp;number=3.9&amp;sourceID=14","3.9")</f>
        <v>3.9</v>
      </c>
      <c r="G17593" s="4" t="str">
        <f>HYPERLINK("http://141.218.60.56/~jnz1568/getInfo.php?workbook=10_05.xlsx&amp;sheet=U0&amp;row=17593&amp;col=7&amp;number=0.00076&amp;sourceID=14","0.00076")</f>
        <v>0.00076</v>
      </c>
    </row>
    <row r="17594" spans="1:7">
      <c r="A17594" s="3"/>
      <c r="B17594" s="3"/>
      <c r="C17594" s="3"/>
      <c r="D17594" s="3"/>
      <c r="E17594" s="3">
        <v>11</v>
      </c>
      <c r="F17594" s="4" t="str">
        <f>HYPERLINK("http://141.218.60.56/~jnz1568/getInfo.php?workbook=10_05.xlsx&amp;sheet=U0&amp;row=17594&amp;col=6&amp;number=4&amp;sourceID=14","4")</f>
        <v>4</v>
      </c>
      <c r="G17594" s="4" t="str">
        <f>HYPERLINK("http://141.218.60.56/~jnz1568/getInfo.php?workbook=10_05.xlsx&amp;sheet=U0&amp;row=17594&amp;col=7&amp;number=0.000757&amp;sourceID=14","0.000757")</f>
        <v>0.000757</v>
      </c>
    </row>
    <row r="17595" spans="1:7">
      <c r="A17595" s="3"/>
      <c r="B17595" s="3"/>
      <c r="C17595" s="3"/>
      <c r="D17595" s="3"/>
      <c r="E17595" s="3">
        <v>12</v>
      </c>
      <c r="F17595" s="4" t="str">
        <f>HYPERLINK("http://141.218.60.56/~jnz1568/getInfo.php?workbook=10_05.xlsx&amp;sheet=U0&amp;row=17595&amp;col=6&amp;number=4.1&amp;sourceID=14","4.1")</f>
        <v>4.1</v>
      </c>
      <c r="G17595" s="4" t="str">
        <f>HYPERLINK("http://141.218.60.56/~jnz1568/getInfo.php?workbook=10_05.xlsx&amp;sheet=U0&amp;row=17595&amp;col=7&amp;number=0.000754&amp;sourceID=14","0.000754")</f>
        <v>0.000754</v>
      </c>
    </row>
    <row r="17596" spans="1:7">
      <c r="A17596" s="3"/>
      <c r="B17596" s="3"/>
      <c r="C17596" s="3"/>
      <c r="D17596" s="3"/>
      <c r="E17596" s="3">
        <v>13</v>
      </c>
      <c r="F17596" s="4" t="str">
        <f>HYPERLINK("http://141.218.60.56/~jnz1568/getInfo.php?workbook=10_05.xlsx&amp;sheet=U0&amp;row=17596&amp;col=6&amp;number=4.2&amp;sourceID=14","4.2")</f>
        <v>4.2</v>
      </c>
      <c r="G17596" s="4" t="str">
        <f>HYPERLINK("http://141.218.60.56/~jnz1568/getInfo.php?workbook=10_05.xlsx&amp;sheet=U0&amp;row=17596&amp;col=7&amp;number=0.00075&amp;sourceID=14","0.00075")</f>
        <v>0.00075</v>
      </c>
    </row>
    <row r="17597" spans="1:7">
      <c r="A17597" s="3"/>
      <c r="B17597" s="3"/>
      <c r="C17597" s="3"/>
      <c r="D17597" s="3"/>
      <c r="E17597" s="3">
        <v>14</v>
      </c>
      <c r="F17597" s="4" t="str">
        <f>HYPERLINK("http://141.218.60.56/~jnz1568/getInfo.php?workbook=10_05.xlsx&amp;sheet=U0&amp;row=17597&amp;col=6&amp;number=4.3&amp;sourceID=14","4.3")</f>
        <v>4.3</v>
      </c>
      <c r="G17597" s="4" t="str">
        <f>HYPERLINK("http://141.218.60.56/~jnz1568/getInfo.php?workbook=10_05.xlsx&amp;sheet=U0&amp;row=17597&amp;col=7&amp;number=0.000745&amp;sourceID=14","0.000745")</f>
        <v>0.000745</v>
      </c>
    </row>
    <row r="17598" spans="1:7">
      <c r="A17598" s="3"/>
      <c r="B17598" s="3"/>
      <c r="C17598" s="3"/>
      <c r="D17598" s="3"/>
      <c r="E17598" s="3">
        <v>15</v>
      </c>
      <c r="F17598" s="4" t="str">
        <f>HYPERLINK("http://141.218.60.56/~jnz1568/getInfo.php?workbook=10_05.xlsx&amp;sheet=U0&amp;row=17598&amp;col=6&amp;number=4.4&amp;sourceID=14","4.4")</f>
        <v>4.4</v>
      </c>
      <c r="G17598" s="4" t="str">
        <f>HYPERLINK("http://141.218.60.56/~jnz1568/getInfo.php?workbook=10_05.xlsx&amp;sheet=U0&amp;row=17598&amp;col=7&amp;number=0.000739&amp;sourceID=14","0.000739")</f>
        <v>0.000739</v>
      </c>
    </row>
    <row r="17599" spans="1:7">
      <c r="A17599" s="3"/>
      <c r="B17599" s="3"/>
      <c r="C17599" s="3"/>
      <c r="D17599" s="3"/>
      <c r="E17599" s="3">
        <v>16</v>
      </c>
      <c r="F17599" s="4" t="str">
        <f>HYPERLINK("http://141.218.60.56/~jnz1568/getInfo.php?workbook=10_05.xlsx&amp;sheet=U0&amp;row=17599&amp;col=6&amp;number=4.5&amp;sourceID=14","4.5")</f>
        <v>4.5</v>
      </c>
      <c r="G17599" s="4" t="str">
        <f>HYPERLINK("http://141.218.60.56/~jnz1568/getInfo.php?workbook=10_05.xlsx&amp;sheet=U0&amp;row=17599&amp;col=7&amp;number=0.000733&amp;sourceID=14","0.000733")</f>
        <v>0.000733</v>
      </c>
    </row>
    <row r="17600" spans="1:7">
      <c r="A17600" s="3"/>
      <c r="B17600" s="3"/>
      <c r="C17600" s="3"/>
      <c r="D17600" s="3"/>
      <c r="E17600" s="3">
        <v>17</v>
      </c>
      <c r="F17600" s="4" t="str">
        <f>HYPERLINK("http://141.218.60.56/~jnz1568/getInfo.php?workbook=10_05.xlsx&amp;sheet=U0&amp;row=17600&amp;col=6&amp;number=4.6&amp;sourceID=14","4.6")</f>
        <v>4.6</v>
      </c>
      <c r="G17600" s="4" t="str">
        <f>HYPERLINK("http://141.218.60.56/~jnz1568/getInfo.php?workbook=10_05.xlsx&amp;sheet=U0&amp;row=17600&amp;col=7&amp;number=0.000726&amp;sourceID=14","0.000726")</f>
        <v>0.000726</v>
      </c>
    </row>
    <row r="17601" spans="1:7">
      <c r="A17601" s="3"/>
      <c r="B17601" s="3"/>
      <c r="C17601" s="3"/>
      <c r="D17601" s="3"/>
      <c r="E17601" s="3">
        <v>18</v>
      </c>
      <c r="F17601" s="4" t="str">
        <f>HYPERLINK("http://141.218.60.56/~jnz1568/getInfo.php?workbook=10_05.xlsx&amp;sheet=U0&amp;row=17601&amp;col=6&amp;number=4.7&amp;sourceID=14","4.7")</f>
        <v>4.7</v>
      </c>
      <c r="G17601" s="4" t="str">
        <f>HYPERLINK("http://141.218.60.56/~jnz1568/getInfo.php?workbook=10_05.xlsx&amp;sheet=U0&amp;row=17601&amp;col=7&amp;number=0.000717&amp;sourceID=14","0.000717")</f>
        <v>0.000717</v>
      </c>
    </row>
    <row r="17602" spans="1:7">
      <c r="A17602" s="3"/>
      <c r="B17602" s="3"/>
      <c r="C17602" s="3"/>
      <c r="D17602" s="3"/>
      <c r="E17602" s="3">
        <v>19</v>
      </c>
      <c r="F17602" s="4" t="str">
        <f>HYPERLINK("http://141.218.60.56/~jnz1568/getInfo.php?workbook=10_05.xlsx&amp;sheet=U0&amp;row=17602&amp;col=6&amp;number=4.8&amp;sourceID=14","4.8")</f>
        <v>4.8</v>
      </c>
      <c r="G17602" s="4" t="str">
        <f>HYPERLINK("http://141.218.60.56/~jnz1568/getInfo.php?workbook=10_05.xlsx&amp;sheet=U0&amp;row=17602&amp;col=7&amp;number=0.000707&amp;sourceID=14","0.000707")</f>
        <v>0.000707</v>
      </c>
    </row>
    <row r="17603" spans="1:7">
      <c r="A17603" s="3"/>
      <c r="B17603" s="3"/>
      <c r="C17603" s="3"/>
      <c r="D17603" s="3"/>
      <c r="E17603" s="3">
        <v>20</v>
      </c>
      <c r="F17603" s="4" t="str">
        <f>HYPERLINK("http://141.218.60.56/~jnz1568/getInfo.php?workbook=10_05.xlsx&amp;sheet=U0&amp;row=17603&amp;col=6&amp;number=4.9&amp;sourceID=14","4.9")</f>
        <v>4.9</v>
      </c>
      <c r="G17603" s="4" t="str">
        <f>HYPERLINK("http://141.218.60.56/~jnz1568/getInfo.php?workbook=10_05.xlsx&amp;sheet=U0&amp;row=17603&amp;col=7&amp;number=0.000693&amp;sourceID=14","0.000693")</f>
        <v>0.000693</v>
      </c>
    </row>
    <row r="17604" spans="1:7">
      <c r="A17604" s="3">
        <v>10</v>
      </c>
      <c r="B17604" s="3">
        <v>5</v>
      </c>
      <c r="C17604" s="3">
        <v>5</v>
      </c>
      <c r="D17604" s="3">
        <v>176</v>
      </c>
      <c r="E17604" s="3">
        <v>1</v>
      </c>
      <c r="F17604" s="4" t="str">
        <f>HYPERLINK("http://141.218.60.56/~jnz1568/getInfo.php?workbook=10_05.xlsx&amp;sheet=U0&amp;row=17604&amp;col=6&amp;number=3&amp;sourceID=14","3")</f>
        <v>3</v>
      </c>
      <c r="G17604" s="4" t="str">
        <f>HYPERLINK("http://141.218.60.56/~jnz1568/getInfo.php?workbook=10_05.xlsx&amp;sheet=U0&amp;row=17604&amp;col=7&amp;number=0.000356&amp;sourceID=14","0.000356")</f>
        <v>0.000356</v>
      </c>
    </row>
    <row r="17605" spans="1:7">
      <c r="A17605" s="3"/>
      <c r="B17605" s="3"/>
      <c r="C17605" s="3"/>
      <c r="D17605" s="3"/>
      <c r="E17605" s="3">
        <v>2</v>
      </c>
      <c r="F17605" s="4" t="str">
        <f>HYPERLINK("http://141.218.60.56/~jnz1568/getInfo.php?workbook=10_05.xlsx&amp;sheet=U0&amp;row=17605&amp;col=6&amp;number=3.1&amp;sourceID=14","3.1")</f>
        <v>3.1</v>
      </c>
      <c r="G17605" s="4" t="str">
        <f>HYPERLINK("http://141.218.60.56/~jnz1568/getInfo.php?workbook=10_05.xlsx&amp;sheet=U0&amp;row=17605&amp;col=7&amp;number=0.000356&amp;sourceID=14","0.000356")</f>
        <v>0.000356</v>
      </c>
    </row>
    <row r="17606" spans="1:7">
      <c r="A17606" s="3"/>
      <c r="B17606" s="3"/>
      <c r="C17606" s="3"/>
      <c r="D17606" s="3"/>
      <c r="E17606" s="3">
        <v>3</v>
      </c>
      <c r="F17606" s="4" t="str">
        <f>HYPERLINK("http://141.218.60.56/~jnz1568/getInfo.php?workbook=10_05.xlsx&amp;sheet=U0&amp;row=17606&amp;col=6&amp;number=3.2&amp;sourceID=14","3.2")</f>
        <v>3.2</v>
      </c>
      <c r="G17606" s="4" t="str">
        <f>HYPERLINK("http://141.218.60.56/~jnz1568/getInfo.php?workbook=10_05.xlsx&amp;sheet=U0&amp;row=17606&amp;col=7&amp;number=0.000356&amp;sourceID=14","0.000356")</f>
        <v>0.000356</v>
      </c>
    </row>
    <row r="17607" spans="1:7">
      <c r="A17607" s="3"/>
      <c r="B17607" s="3"/>
      <c r="C17607" s="3"/>
      <c r="D17607" s="3"/>
      <c r="E17607" s="3">
        <v>4</v>
      </c>
      <c r="F17607" s="4" t="str">
        <f>HYPERLINK("http://141.218.60.56/~jnz1568/getInfo.php?workbook=10_05.xlsx&amp;sheet=U0&amp;row=17607&amp;col=6&amp;number=3.3&amp;sourceID=14","3.3")</f>
        <v>3.3</v>
      </c>
      <c r="G17607" s="4" t="str">
        <f>HYPERLINK("http://141.218.60.56/~jnz1568/getInfo.php?workbook=10_05.xlsx&amp;sheet=U0&amp;row=17607&amp;col=7&amp;number=0.000355&amp;sourceID=14","0.000355")</f>
        <v>0.000355</v>
      </c>
    </row>
    <row r="17608" spans="1:7">
      <c r="A17608" s="3"/>
      <c r="B17608" s="3"/>
      <c r="C17608" s="3"/>
      <c r="D17608" s="3"/>
      <c r="E17608" s="3">
        <v>5</v>
      </c>
      <c r="F17608" s="4" t="str">
        <f>HYPERLINK("http://141.218.60.56/~jnz1568/getInfo.php?workbook=10_05.xlsx&amp;sheet=U0&amp;row=17608&amp;col=6&amp;number=3.4&amp;sourceID=14","3.4")</f>
        <v>3.4</v>
      </c>
      <c r="G17608" s="4" t="str">
        <f>HYPERLINK("http://141.218.60.56/~jnz1568/getInfo.php?workbook=10_05.xlsx&amp;sheet=U0&amp;row=17608&amp;col=7&amp;number=0.000355&amp;sourceID=14","0.000355")</f>
        <v>0.000355</v>
      </c>
    </row>
    <row r="17609" spans="1:7">
      <c r="A17609" s="3"/>
      <c r="B17609" s="3"/>
      <c r="C17609" s="3"/>
      <c r="D17609" s="3"/>
      <c r="E17609" s="3">
        <v>6</v>
      </c>
      <c r="F17609" s="4" t="str">
        <f>HYPERLINK("http://141.218.60.56/~jnz1568/getInfo.php?workbook=10_05.xlsx&amp;sheet=U0&amp;row=17609&amp;col=6&amp;number=3.5&amp;sourceID=14","3.5")</f>
        <v>3.5</v>
      </c>
      <c r="G17609" s="4" t="str">
        <f>HYPERLINK("http://141.218.60.56/~jnz1568/getInfo.php?workbook=10_05.xlsx&amp;sheet=U0&amp;row=17609&amp;col=7&amp;number=0.000354&amp;sourceID=14","0.000354")</f>
        <v>0.000354</v>
      </c>
    </row>
    <row r="17610" spans="1:7">
      <c r="A17610" s="3"/>
      <c r="B17610" s="3"/>
      <c r="C17610" s="3"/>
      <c r="D17610" s="3"/>
      <c r="E17610" s="3">
        <v>7</v>
      </c>
      <c r="F17610" s="4" t="str">
        <f>HYPERLINK("http://141.218.60.56/~jnz1568/getInfo.php?workbook=10_05.xlsx&amp;sheet=U0&amp;row=17610&amp;col=6&amp;number=3.6&amp;sourceID=14","3.6")</f>
        <v>3.6</v>
      </c>
      <c r="G17610" s="4" t="str">
        <f>HYPERLINK("http://141.218.60.56/~jnz1568/getInfo.php?workbook=10_05.xlsx&amp;sheet=U0&amp;row=17610&amp;col=7&amp;number=0.000353&amp;sourceID=14","0.000353")</f>
        <v>0.000353</v>
      </c>
    </row>
    <row r="17611" spans="1:7">
      <c r="A17611" s="3"/>
      <c r="B17611" s="3"/>
      <c r="C17611" s="3"/>
      <c r="D17611" s="3"/>
      <c r="E17611" s="3">
        <v>8</v>
      </c>
      <c r="F17611" s="4" t="str">
        <f>HYPERLINK("http://141.218.60.56/~jnz1568/getInfo.php?workbook=10_05.xlsx&amp;sheet=U0&amp;row=17611&amp;col=6&amp;number=3.7&amp;sourceID=14","3.7")</f>
        <v>3.7</v>
      </c>
      <c r="G17611" s="4" t="str">
        <f>HYPERLINK("http://141.218.60.56/~jnz1568/getInfo.php?workbook=10_05.xlsx&amp;sheet=U0&amp;row=17611&amp;col=7&amp;number=0.000352&amp;sourceID=14","0.000352")</f>
        <v>0.000352</v>
      </c>
    </row>
    <row r="17612" spans="1:7">
      <c r="A17612" s="3"/>
      <c r="B17612" s="3"/>
      <c r="C17612" s="3"/>
      <c r="D17612" s="3"/>
      <c r="E17612" s="3">
        <v>9</v>
      </c>
      <c r="F17612" s="4" t="str">
        <f>HYPERLINK("http://141.218.60.56/~jnz1568/getInfo.php?workbook=10_05.xlsx&amp;sheet=U0&amp;row=17612&amp;col=6&amp;number=3.8&amp;sourceID=14","3.8")</f>
        <v>3.8</v>
      </c>
      <c r="G17612" s="4" t="str">
        <f>HYPERLINK("http://141.218.60.56/~jnz1568/getInfo.php?workbook=10_05.xlsx&amp;sheet=U0&amp;row=17612&amp;col=7&amp;number=0.000351&amp;sourceID=14","0.000351")</f>
        <v>0.000351</v>
      </c>
    </row>
    <row r="17613" spans="1:7">
      <c r="A17613" s="3"/>
      <c r="B17613" s="3"/>
      <c r="C17613" s="3"/>
      <c r="D17613" s="3"/>
      <c r="E17613" s="3">
        <v>10</v>
      </c>
      <c r="F17613" s="4" t="str">
        <f>HYPERLINK("http://141.218.60.56/~jnz1568/getInfo.php?workbook=10_05.xlsx&amp;sheet=U0&amp;row=17613&amp;col=6&amp;number=3.9&amp;sourceID=14","3.9")</f>
        <v>3.9</v>
      </c>
      <c r="G17613" s="4" t="str">
        <f>HYPERLINK("http://141.218.60.56/~jnz1568/getInfo.php?workbook=10_05.xlsx&amp;sheet=U0&amp;row=17613&amp;col=7&amp;number=0.00035&amp;sourceID=14","0.00035")</f>
        <v>0.00035</v>
      </c>
    </row>
    <row r="17614" spans="1:7">
      <c r="A17614" s="3"/>
      <c r="B17614" s="3"/>
      <c r="C17614" s="3"/>
      <c r="D17614" s="3"/>
      <c r="E17614" s="3">
        <v>11</v>
      </c>
      <c r="F17614" s="4" t="str">
        <f>HYPERLINK("http://141.218.60.56/~jnz1568/getInfo.php?workbook=10_05.xlsx&amp;sheet=U0&amp;row=17614&amp;col=6&amp;number=4&amp;sourceID=14","4")</f>
        <v>4</v>
      </c>
      <c r="G17614" s="4" t="str">
        <f>HYPERLINK("http://141.218.60.56/~jnz1568/getInfo.php?workbook=10_05.xlsx&amp;sheet=U0&amp;row=17614&amp;col=7&amp;number=0.000348&amp;sourceID=14","0.000348")</f>
        <v>0.000348</v>
      </c>
    </row>
    <row r="17615" spans="1:7">
      <c r="A17615" s="3"/>
      <c r="B17615" s="3"/>
      <c r="C17615" s="3"/>
      <c r="D17615" s="3"/>
      <c r="E17615" s="3">
        <v>12</v>
      </c>
      <c r="F17615" s="4" t="str">
        <f>HYPERLINK("http://141.218.60.56/~jnz1568/getInfo.php?workbook=10_05.xlsx&amp;sheet=U0&amp;row=17615&amp;col=6&amp;number=4.1&amp;sourceID=14","4.1")</f>
        <v>4.1</v>
      </c>
      <c r="G17615" s="4" t="str">
        <f>HYPERLINK("http://141.218.60.56/~jnz1568/getInfo.php?workbook=10_05.xlsx&amp;sheet=U0&amp;row=17615&amp;col=7&amp;number=0.000346&amp;sourceID=14","0.000346")</f>
        <v>0.000346</v>
      </c>
    </row>
    <row r="17616" spans="1:7">
      <c r="A17616" s="3"/>
      <c r="B17616" s="3"/>
      <c r="C17616" s="3"/>
      <c r="D17616" s="3"/>
      <c r="E17616" s="3">
        <v>13</v>
      </c>
      <c r="F17616" s="4" t="str">
        <f>HYPERLINK("http://141.218.60.56/~jnz1568/getInfo.php?workbook=10_05.xlsx&amp;sheet=U0&amp;row=17616&amp;col=6&amp;number=4.2&amp;sourceID=14","4.2")</f>
        <v>4.2</v>
      </c>
      <c r="G17616" s="4" t="str">
        <f>HYPERLINK("http://141.218.60.56/~jnz1568/getInfo.php?workbook=10_05.xlsx&amp;sheet=U0&amp;row=17616&amp;col=7&amp;number=0.000343&amp;sourceID=14","0.000343")</f>
        <v>0.000343</v>
      </c>
    </row>
    <row r="17617" spans="1:7">
      <c r="A17617" s="3"/>
      <c r="B17617" s="3"/>
      <c r="C17617" s="3"/>
      <c r="D17617" s="3"/>
      <c r="E17617" s="3">
        <v>14</v>
      </c>
      <c r="F17617" s="4" t="str">
        <f>HYPERLINK("http://141.218.60.56/~jnz1568/getInfo.php?workbook=10_05.xlsx&amp;sheet=U0&amp;row=17617&amp;col=6&amp;number=4.3&amp;sourceID=14","4.3")</f>
        <v>4.3</v>
      </c>
      <c r="G17617" s="4" t="str">
        <f>HYPERLINK("http://141.218.60.56/~jnz1568/getInfo.php?workbook=10_05.xlsx&amp;sheet=U0&amp;row=17617&amp;col=7&amp;number=0.00034&amp;sourceID=14","0.00034")</f>
        <v>0.00034</v>
      </c>
    </row>
    <row r="17618" spans="1:7">
      <c r="A17618" s="3"/>
      <c r="B17618" s="3"/>
      <c r="C17618" s="3"/>
      <c r="D17618" s="3"/>
      <c r="E17618" s="3">
        <v>15</v>
      </c>
      <c r="F17618" s="4" t="str">
        <f>HYPERLINK("http://141.218.60.56/~jnz1568/getInfo.php?workbook=10_05.xlsx&amp;sheet=U0&amp;row=17618&amp;col=6&amp;number=4.4&amp;sourceID=14","4.4")</f>
        <v>4.4</v>
      </c>
      <c r="G17618" s="4" t="str">
        <f>HYPERLINK("http://141.218.60.56/~jnz1568/getInfo.php?workbook=10_05.xlsx&amp;sheet=U0&amp;row=17618&amp;col=7&amp;number=0.000337&amp;sourceID=14","0.000337")</f>
        <v>0.000337</v>
      </c>
    </row>
    <row r="17619" spans="1:7">
      <c r="A17619" s="3"/>
      <c r="B17619" s="3"/>
      <c r="C17619" s="3"/>
      <c r="D17619" s="3"/>
      <c r="E17619" s="3">
        <v>16</v>
      </c>
      <c r="F17619" s="4" t="str">
        <f>HYPERLINK("http://141.218.60.56/~jnz1568/getInfo.php?workbook=10_05.xlsx&amp;sheet=U0&amp;row=17619&amp;col=6&amp;number=4.5&amp;sourceID=14","4.5")</f>
        <v>4.5</v>
      </c>
      <c r="G17619" s="4" t="str">
        <f>HYPERLINK("http://141.218.60.56/~jnz1568/getInfo.php?workbook=10_05.xlsx&amp;sheet=U0&amp;row=17619&amp;col=7&amp;number=0.000334&amp;sourceID=14","0.000334")</f>
        <v>0.000334</v>
      </c>
    </row>
    <row r="17620" spans="1:7">
      <c r="A17620" s="3"/>
      <c r="B17620" s="3"/>
      <c r="C17620" s="3"/>
      <c r="D17620" s="3"/>
      <c r="E17620" s="3">
        <v>17</v>
      </c>
      <c r="F17620" s="4" t="str">
        <f>HYPERLINK("http://141.218.60.56/~jnz1568/getInfo.php?workbook=10_05.xlsx&amp;sheet=U0&amp;row=17620&amp;col=6&amp;number=4.6&amp;sourceID=14","4.6")</f>
        <v>4.6</v>
      </c>
      <c r="G17620" s="4" t="str">
        <f>HYPERLINK("http://141.218.60.56/~jnz1568/getInfo.php?workbook=10_05.xlsx&amp;sheet=U0&amp;row=17620&amp;col=7&amp;number=0.000331&amp;sourceID=14","0.000331")</f>
        <v>0.000331</v>
      </c>
    </row>
    <row r="17621" spans="1:7">
      <c r="A17621" s="3"/>
      <c r="B17621" s="3"/>
      <c r="C17621" s="3"/>
      <c r="D17621" s="3"/>
      <c r="E17621" s="3">
        <v>18</v>
      </c>
      <c r="F17621" s="4" t="str">
        <f>HYPERLINK("http://141.218.60.56/~jnz1568/getInfo.php?workbook=10_05.xlsx&amp;sheet=U0&amp;row=17621&amp;col=6&amp;number=4.7&amp;sourceID=14","4.7")</f>
        <v>4.7</v>
      </c>
      <c r="G17621" s="4" t="str">
        <f>HYPERLINK("http://141.218.60.56/~jnz1568/getInfo.php?workbook=10_05.xlsx&amp;sheet=U0&amp;row=17621&amp;col=7&amp;number=0.000328&amp;sourceID=14","0.000328")</f>
        <v>0.000328</v>
      </c>
    </row>
    <row r="17622" spans="1:7">
      <c r="A17622" s="3"/>
      <c r="B17622" s="3"/>
      <c r="C17622" s="3"/>
      <c r="D17622" s="3"/>
      <c r="E17622" s="3">
        <v>19</v>
      </c>
      <c r="F17622" s="4" t="str">
        <f>HYPERLINK("http://141.218.60.56/~jnz1568/getInfo.php?workbook=10_05.xlsx&amp;sheet=U0&amp;row=17622&amp;col=6&amp;number=4.8&amp;sourceID=14","4.8")</f>
        <v>4.8</v>
      </c>
      <c r="G17622" s="4" t="str">
        <f>HYPERLINK("http://141.218.60.56/~jnz1568/getInfo.php?workbook=10_05.xlsx&amp;sheet=U0&amp;row=17622&amp;col=7&amp;number=0.000324&amp;sourceID=14","0.000324")</f>
        <v>0.000324</v>
      </c>
    </row>
    <row r="17623" spans="1:7">
      <c r="A17623" s="3"/>
      <c r="B17623" s="3"/>
      <c r="C17623" s="3"/>
      <c r="D17623" s="3"/>
      <c r="E17623" s="3">
        <v>20</v>
      </c>
      <c r="F17623" s="4" t="str">
        <f>HYPERLINK("http://141.218.60.56/~jnz1568/getInfo.php?workbook=10_05.xlsx&amp;sheet=U0&amp;row=17623&amp;col=6&amp;number=4.9&amp;sourceID=14","4.9")</f>
        <v>4.9</v>
      </c>
      <c r="G17623" s="4" t="str">
        <f>HYPERLINK("http://141.218.60.56/~jnz1568/getInfo.php?workbook=10_05.xlsx&amp;sheet=U0&amp;row=17623&amp;col=7&amp;number=0.000317&amp;sourceID=14","0.000317")</f>
        <v>0.000317</v>
      </c>
    </row>
    <row r="17624" spans="1:7">
      <c r="A17624" s="3">
        <v>10</v>
      </c>
      <c r="B17624" s="3">
        <v>5</v>
      </c>
      <c r="C17624" s="3">
        <v>5</v>
      </c>
      <c r="D17624" s="3">
        <v>177</v>
      </c>
      <c r="E17624" s="3">
        <v>1</v>
      </c>
      <c r="F17624" s="4" t="str">
        <f>HYPERLINK("http://141.218.60.56/~jnz1568/getInfo.php?workbook=10_05.xlsx&amp;sheet=U0&amp;row=17624&amp;col=6&amp;number=3&amp;sourceID=14","3")</f>
        <v>3</v>
      </c>
      <c r="G17624" s="4" t="str">
        <f>HYPERLINK("http://141.218.60.56/~jnz1568/getInfo.php?workbook=10_05.xlsx&amp;sheet=U0&amp;row=17624&amp;col=7&amp;number=0.000235&amp;sourceID=14","0.000235")</f>
        <v>0.000235</v>
      </c>
    </row>
    <row r="17625" spans="1:7">
      <c r="A17625" s="3"/>
      <c r="B17625" s="3"/>
      <c r="C17625" s="3"/>
      <c r="D17625" s="3"/>
      <c r="E17625" s="3">
        <v>2</v>
      </c>
      <c r="F17625" s="4" t="str">
        <f>HYPERLINK("http://141.218.60.56/~jnz1568/getInfo.php?workbook=10_05.xlsx&amp;sheet=U0&amp;row=17625&amp;col=6&amp;number=3.1&amp;sourceID=14","3.1")</f>
        <v>3.1</v>
      </c>
      <c r="G17625" s="4" t="str">
        <f>HYPERLINK("http://141.218.60.56/~jnz1568/getInfo.php?workbook=10_05.xlsx&amp;sheet=U0&amp;row=17625&amp;col=7&amp;number=0.000234&amp;sourceID=14","0.000234")</f>
        <v>0.000234</v>
      </c>
    </row>
    <row r="17626" spans="1:7">
      <c r="A17626" s="3"/>
      <c r="B17626" s="3"/>
      <c r="C17626" s="3"/>
      <c r="D17626" s="3"/>
      <c r="E17626" s="3">
        <v>3</v>
      </c>
      <c r="F17626" s="4" t="str">
        <f>HYPERLINK("http://141.218.60.56/~jnz1568/getInfo.php?workbook=10_05.xlsx&amp;sheet=U0&amp;row=17626&amp;col=6&amp;number=3.2&amp;sourceID=14","3.2")</f>
        <v>3.2</v>
      </c>
      <c r="G17626" s="4" t="str">
        <f>HYPERLINK("http://141.218.60.56/~jnz1568/getInfo.php?workbook=10_05.xlsx&amp;sheet=U0&amp;row=17626&amp;col=7&amp;number=0.000234&amp;sourceID=14","0.000234")</f>
        <v>0.000234</v>
      </c>
    </row>
    <row r="17627" spans="1:7">
      <c r="A17627" s="3"/>
      <c r="B17627" s="3"/>
      <c r="C17627" s="3"/>
      <c r="D17627" s="3"/>
      <c r="E17627" s="3">
        <v>4</v>
      </c>
      <c r="F17627" s="4" t="str">
        <f>HYPERLINK("http://141.218.60.56/~jnz1568/getInfo.php?workbook=10_05.xlsx&amp;sheet=U0&amp;row=17627&amp;col=6&amp;number=3.3&amp;sourceID=14","3.3")</f>
        <v>3.3</v>
      </c>
      <c r="G17627" s="4" t="str">
        <f>HYPERLINK("http://141.218.60.56/~jnz1568/getInfo.php?workbook=10_05.xlsx&amp;sheet=U0&amp;row=17627&amp;col=7&amp;number=0.000234&amp;sourceID=14","0.000234")</f>
        <v>0.000234</v>
      </c>
    </row>
    <row r="17628" spans="1:7">
      <c r="A17628" s="3"/>
      <c r="B17628" s="3"/>
      <c r="C17628" s="3"/>
      <c r="D17628" s="3"/>
      <c r="E17628" s="3">
        <v>5</v>
      </c>
      <c r="F17628" s="4" t="str">
        <f>HYPERLINK("http://141.218.60.56/~jnz1568/getInfo.php?workbook=10_05.xlsx&amp;sheet=U0&amp;row=17628&amp;col=6&amp;number=3.4&amp;sourceID=14","3.4")</f>
        <v>3.4</v>
      </c>
      <c r="G17628" s="4" t="str">
        <f>HYPERLINK("http://141.218.60.56/~jnz1568/getInfo.php?workbook=10_05.xlsx&amp;sheet=U0&amp;row=17628&amp;col=7&amp;number=0.000234&amp;sourceID=14","0.000234")</f>
        <v>0.000234</v>
      </c>
    </row>
    <row r="17629" spans="1:7">
      <c r="A17629" s="3"/>
      <c r="B17629" s="3"/>
      <c r="C17629" s="3"/>
      <c r="D17629" s="3"/>
      <c r="E17629" s="3">
        <v>6</v>
      </c>
      <c r="F17629" s="4" t="str">
        <f>HYPERLINK("http://141.218.60.56/~jnz1568/getInfo.php?workbook=10_05.xlsx&amp;sheet=U0&amp;row=17629&amp;col=6&amp;number=3.5&amp;sourceID=14","3.5")</f>
        <v>3.5</v>
      </c>
      <c r="G17629" s="4" t="str">
        <f>HYPERLINK("http://141.218.60.56/~jnz1568/getInfo.php?workbook=10_05.xlsx&amp;sheet=U0&amp;row=17629&amp;col=7&amp;number=0.000233&amp;sourceID=14","0.000233")</f>
        <v>0.000233</v>
      </c>
    </row>
    <row r="17630" spans="1:7">
      <c r="A17630" s="3"/>
      <c r="B17630" s="3"/>
      <c r="C17630" s="3"/>
      <c r="D17630" s="3"/>
      <c r="E17630" s="3">
        <v>7</v>
      </c>
      <c r="F17630" s="4" t="str">
        <f>HYPERLINK("http://141.218.60.56/~jnz1568/getInfo.php?workbook=10_05.xlsx&amp;sheet=U0&amp;row=17630&amp;col=6&amp;number=3.6&amp;sourceID=14","3.6")</f>
        <v>3.6</v>
      </c>
      <c r="G17630" s="4" t="str">
        <f>HYPERLINK("http://141.218.60.56/~jnz1568/getInfo.php?workbook=10_05.xlsx&amp;sheet=U0&amp;row=17630&amp;col=7&amp;number=0.000233&amp;sourceID=14","0.000233")</f>
        <v>0.000233</v>
      </c>
    </row>
    <row r="17631" spans="1:7">
      <c r="A17631" s="3"/>
      <c r="B17631" s="3"/>
      <c r="C17631" s="3"/>
      <c r="D17631" s="3"/>
      <c r="E17631" s="3">
        <v>8</v>
      </c>
      <c r="F17631" s="4" t="str">
        <f>HYPERLINK("http://141.218.60.56/~jnz1568/getInfo.php?workbook=10_05.xlsx&amp;sheet=U0&amp;row=17631&amp;col=6&amp;number=3.7&amp;sourceID=14","3.7")</f>
        <v>3.7</v>
      </c>
      <c r="G17631" s="4" t="str">
        <f>HYPERLINK("http://141.218.60.56/~jnz1568/getInfo.php?workbook=10_05.xlsx&amp;sheet=U0&amp;row=17631&amp;col=7&amp;number=0.000232&amp;sourceID=14","0.000232")</f>
        <v>0.000232</v>
      </c>
    </row>
    <row r="17632" spans="1:7">
      <c r="A17632" s="3"/>
      <c r="B17632" s="3"/>
      <c r="C17632" s="3"/>
      <c r="D17632" s="3"/>
      <c r="E17632" s="3">
        <v>9</v>
      </c>
      <c r="F17632" s="4" t="str">
        <f>HYPERLINK("http://141.218.60.56/~jnz1568/getInfo.php?workbook=10_05.xlsx&amp;sheet=U0&amp;row=17632&amp;col=6&amp;number=3.8&amp;sourceID=14","3.8")</f>
        <v>3.8</v>
      </c>
      <c r="G17632" s="4" t="str">
        <f>HYPERLINK("http://141.218.60.56/~jnz1568/getInfo.php?workbook=10_05.xlsx&amp;sheet=U0&amp;row=17632&amp;col=7&amp;number=0.000231&amp;sourceID=14","0.000231")</f>
        <v>0.000231</v>
      </c>
    </row>
    <row r="17633" spans="1:7">
      <c r="A17633" s="3"/>
      <c r="B17633" s="3"/>
      <c r="C17633" s="3"/>
      <c r="D17633" s="3"/>
      <c r="E17633" s="3">
        <v>10</v>
      </c>
      <c r="F17633" s="4" t="str">
        <f>HYPERLINK("http://141.218.60.56/~jnz1568/getInfo.php?workbook=10_05.xlsx&amp;sheet=U0&amp;row=17633&amp;col=6&amp;number=3.9&amp;sourceID=14","3.9")</f>
        <v>3.9</v>
      </c>
      <c r="G17633" s="4" t="str">
        <f>HYPERLINK("http://141.218.60.56/~jnz1568/getInfo.php?workbook=10_05.xlsx&amp;sheet=U0&amp;row=17633&amp;col=7&amp;number=0.00023&amp;sourceID=14","0.00023")</f>
        <v>0.00023</v>
      </c>
    </row>
    <row r="17634" spans="1:7">
      <c r="A17634" s="3"/>
      <c r="B17634" s="3"/>
      <c r="C17634" s="3"/>
      <c r="D17634" s="3"/>
      <c r="E17634" s="3">
        <v>11</v>
      </c>
      <c r="F17634" s="4" t="str">
        <f>HYPERLINK("http://141.218.60.56/~jnz1568/getInfo.php?workbook=10_05.xlsx&amp;sheet=U0&amp;row=17634&amp;col=6&amp;number=4&amp;sourceID=14","4")</f>
        <v>4</v>
      </c>
      <c r="G17634" s="4" t="str">
        <f>HYPERLINK("http://141.218.60.56/~jnz1568/getInfo.php?workbook=10_05.xlsx&amp;sheet=U0&amp;row=17634&amp;col=7&amp;number=0.000228&amp;sourceID=14","0.000228")</f>
        <v>0.000228</v>
      </c>
    </row>
    <row r="17635" spans="1:7">
      <c r="A17635" s="3"/>
      <c r="B17635" s="3"/>
      <c r="C17635" s="3"/>
      <c r="D17635" s="3"/>
      <c r="E17635" s="3">
        <v>12</v>
      </c>
      <c r="F17635" s="4" t="str">
        <f>HYPERLINK("http://141.218.60.56/~jnz1568/getInfo.php?workbook=10_05.xlsx&amp;sheet=U0&amp;row=17635&amp;col=6&amp;number=4.1&amp;sourceID=14","4.1")</f>
        <v>4.1</v>
      </c>
      <c r="G17635" s="4" t="str">
        <f>HYPERLINK("http://141.218.60.56/~jnz1568/getInfo.php?workbook=10_05.xlsx&amp;sheet=U0&amp;row=17635&amp;col=7&amp;number=0.000227&amp;sourceID=14","0.000227")</f>
        <v>0.000227</v>
      </c>
    </row>
    <row r="17636" spans="1:7">
      <c r="A17636" s="3"/>
      <c r="B17636" s="3"/>
      <c r="C17636" s="3"/>
      <c r="D17636" s="3"/>
      <c r="E17636" s="3">
        <v>13</v>
      </c>
      <c r="F17636" s="4" t="str">
        <f>HYPERLINK("http://141.218.60.56/~jnz1568/getInfo.php?workbook=10_05.xlsx&amp;sheet=U0&amp;row=17636&amp;col=6&amp;number=4.2&amp;sourceID=14","4.2")</f>
        <v>4.2</v>
      </c>
      <c r="G17636" s="4" t="str">
        <f>HYPERLINK("http://141.218.60.56/~jnz1568/getInfo.php?workbook=10_05.xlsx&amp;sheet=U0&amp;row=17636&amp;col=7&amp;number=0.000225&amp;sourceID=14","0.000225")</f>
        <v>0.000225</v>
      </c>
    </row>
    <row r="17637" spans="1:7">
      <c r="A17637" s="3"/>
      <c r="B17637" s="3"/>
      <c r="C17637" s="3"/>
      <c r="D17637" s="3"/>
      <c r="E17637" s="3">
        <v>14</v>
      </c>
      <c r="F17637" s="4" t="str">
        <f>HYPERLINK("http://141.218.60.56/~jnz1568/getInfo.php?workbook=10_05.xlsx&amp;sheet=U0&amp;row=17637&amp;col=6&amp;number=4.3&amp;sourceID=14","4.3")</f>
        <v>4.3</v>
      </c>
      <c r="G17637" s="4" t="str">
        <f>HYPERLINK("http://141.218.60.56/~jnz1568/getInfo.php?workbook=10_05.xlsx&amp;sheet=U0&amp;row=17637&amp;col=7&amp;number=0.000222&amp;sourceID=14","0.000222")</f>
        <v>0.000222</v>
      </c>
    </row>
    <row r="17638" spans="1:7">
      <c r="A17638" s="3"/>
      <c r="B17638" s="3"/>
      <c r="C17638" s="3"/>
      <c r="D17638" s="3"/>
      <c r="E17638" s="3">
        <v>15</v>
      </c>
      <c r="F17638" s="4" t="str">
        <f>HYPERLINK("http://141.218.60.56/~jnz1568/getInfo.php?workbook=10_05.xlsx&amp;sheet=U0&amp;row=17638&amp;col=6&amp;number=4.4&amp;sourceID=14","4.4")</f>
        <v>4.4</v>
      </c>
      <c r="G17638" s="4" t="str">
        <f>HYPERLINK("http://141.218.60.56/~jnz1568/getInfo.php?workbook=10_05.xlsx&amp;sheet=U0&amp;row=17638&amp;col=7&amp;number=0.000219&amp;sourceID=14","0.000219")</f>
        <v>0.000219</v>
      </c>
    </row>
    <row r="17639" spans="1:7">
      <c r="A17639" s="3"/>
      <c r="B17639" s="3"/>
      <c r="C17639" s="3"/>
      <c r="D17639" s="3"/>
      <c r="E17639" s="3">
        <v>16</v>
      </c>
      <c r="F17639" s="4" t="str">
        <f>HYPERLINK("http://141.218.60.56/~jnz1568/getInfo.php?workbook=10_05.xlsx&amp;sheet=U0&amp;row=17639&amp;col=6&amp;number=4.5&amp;sourceID=14","4.5")</f>
        <v>4.5</v>
      </c>
      <c r="G17639" s="4" t="str">
        <f>HYPERLINK("http://141.218.60.56/~jnz1568/getInfo.php?workbook=10_05.xlsx&amp;sheet=U0&amp;row=17639&amp;col=7&amp;number=0.000216&amp;sourceID=14","0.000216")</f>
        <v>0.000216</v>
      </c>
    </row>
    <row r="17640" spans="1:7">
      <c r="A17640" s="3"/>
      <c r="B17640" s="3"/>
      <c r="C17640" s="3"/>
      <c r="D17640" s="3"/>
      <c r="E17640" s="3">
        <v>17</v>
      </c>
      <c r="F17640" s="4" t="str">
        <f>HYPERLINK("http://141.218.60.56/~jnz1568/getInfo.php?workbook=10_05.xlsx&amp;sheet=U0&amp;row=17640&amp;col=6&amp;number=4.6&amp;sourceID=14","4.6")</f>
        <v>4.6</v>
      </c>
      <c r="G17640" s="4" t="str">
        <f>HYPERLINK("http://141.218.60.56/~jnz1568/getInfo.php?workbook=10_05.xlsx&amp;sheet=U0&amp;row=17640&amp;col=7&amp;number=0.000212&amp;sourceID=14","0.000212")</f>
        <v>0.000212</v>
      </c>
    </row>
    <row r="17641" spans="1:7">
      <c r="A17641" s="3"/>
      <c r="B17641" s="3"/>
      <c r="C17641" s="3"/>
      <c r="D17641" s="3"/>
      <c r="E17641" s="3">
        <v>18</v>
      </c>
      <c r="F17641" s="4" t="str">
        <f>HYPERLINK("http://141.218.60.56/~jnz1568/getInfo.php?workbook=10_05.xlsx&amp;sheet=U0&amp;row=17641&amp;col=6&amp;number=4.7&amp;sourceID=14","4.7")</f>
        <v>4.7</v>
      </c>
      <c r="G17641" s="4" t="str">
        <f>HYPERLINK("http://141.218.60.56/~jnz1568/getInfo.php?workbook=10_05.xlsx&amp;sheet=U0&amp;row=17641&amp;col=7&amp;number=0.000208&amp;sourceID=14","0.000208")</f>
        <v>0.000208</v>
      </c>
    </row>
    <row r="17642" spans="1:7">
      <c r="A17642" s="3"/>
      <c r="B17642" s="3"/>
      <c r="C17642" s="3"/>
      <c r="D17642" s="3"/>
      <c r="E17642" s="3">
        <v>19</v>
      </c>
      <c r="F17642" s="4" t="str">
        <f>HYPERLINK("http://141.218.60.56/~jnz1568/getInfo.php?workbook=10_05.xlsx&amp;sheet=U0&amp;row=17642&amp;col=6&amp;number=4.8&amp;sourceID=14","4.8")</f>
        <v>4.8</v>
      </c>
      <c r="G17642" s="4" t="str">
        <f>HYPERLINK("http://141.218.60.56/~jnz1568/getInfo.php?workbook=10_05.xlsx&amp;sheet=U0&amp;row=17642&amp;col=7&amp;number=0.000203&amp;sourceID=14","0.000203")</f>
        <v>0.000203</v>
      </c>
    </row>
    <row r="17643" spans="1:7">
      <c r="A17643" s="3"/>
      <c r="B17643" s="3"/>
      <c r="C17643" s="3"/>
      <c r="D17643" s="3"/>
      <c r="E17643" s="3">
        <v>20</v>
      </c>
      <c r="F17643" s="4" t="str">
        <f>HYPERLINK("http://141.218.60.56/~jnz1568/getInfo.php?workbook=10_05.xlsx&amp;sheet=U0&amp;row=17643&amp;col=6&amp;number=4.9&amp;sourceID=14","4.9")</f>
        <v>4.9</v>
      </c>
      <c r="G17643" s="4" t="str">
        <f>HYPERLINK("http://141.218.60.56/~jnz1568/getInfo.php?workbook=10_05.xlsx&amp;sheet=U0&amp;row=17643&amp;col=7&amp;number=0.000197&amp;sourceID=14","0.000197")</f>
        <v>0.000197</v>
      </c>
    </row>
    <row r="17644" spans="1:7">
      <c r="A17644" s="3">
        <v>10</v>
      </c>
      <c r="B17644" s="3">
        <v>5</v>
      </c>
      <c r="C17644" s="3">
        <v>5</v>
      </c>
      <c r="D17644" s="3">
        <v>178</v>
      </c>
      <c r="E17644" s="3">
        <v>1</v>
      </c>
      <c r="F17644" s="4" t="str">
        <f>HYPERLINK("http://141.218.60.56/~jnz1568/getInfo.php?workbook=10_05.xlsx&amp;sheet=U0&amp;row=17644&amp;col=6&amp;number=3&amp;sourceID=14","3")</f>
        <v>3</v>
      </c>
      <c r="G17644" s="4" t="str">
        <f>HYPERLINK("http://141.218.60.56/~jnz1568/getInfo.php?workbook=10_05.xlsx&amp;sheet=U0&amp;row=17644&amp;col=7&amp;number=0.000304&amp;sourceID=14","0.000304")</f>
        <v>0.000304</v>
      </c>
    </row>
    <row r="17645" spans="1:7">
      <c r="A17645" s="3"/>
      <c r="B17645" s="3"/>
      <c r="C17645" s="3"/>
      <c r="D17645" s="3"/>
      <c r="E17645" s="3">
        <v>2</v>
      </c>
      <c r="F17645" s="4" t="str">
        <f>HYPERLINK("http://141.218.60.56/~jnz1568/getInfo.php?workbook=10_05.xlsx&amp;sheet=U0&amp;row=17645&amp;col=6&amp;number=3.1&amp;sourceID=14","3.1")</f>
        <v>3.1</v>
      </c>
      <c r="G17645" s="4" t="str">
        <f>HYPERLINK("http://141.218.60.56/~jnz1568/getInfo.php?workbook=10_05.xlsx&amp;sheet=U0&amp;row=17645&amp;col=7&amp;number=0.000304&amp;sourceID=14","0.000304")</f>
        <v>0.000304</v>
      </c>
    </row>
    <row r="17646" spans="1:7">
      <c r="A17646" s="3"/>
      <c r="B17646" s="3"/>
      <c r="C17646" s="3"/>
      <c r="D17646" s="3"/>
      <c r="E17646" s="3">
        <v>3</v>
      </c>
      <c r="F17646" s="4" t="str">
        <f>HYPERLINK("http://141.218.60.56/~jnz1568/getInfo.php?workbook=10_05.xlsx&amp;sheet=U0&amp;row=17646&amp;col=6&amp;number=3.2&amp;sourceID=14","3.2")</f>
        <v>3.2</v>
      </c>
      <c r="G17646" s="4" t="str">
        <f>HYPERLINK("http://141.218.60.56/~jnz1568/getInfo.php?workbook=10_05.xlsx&amp;sheet=U0&amp;row=17646&amp;col=7&amp;number=0.000304&amp;sourceID=14","0.000304")</f>
        <v>0.000304</v>
      </c>
    </row>
    <row r="17647" spans="1:7">
      <c r="A17647" s="3"/>
      <c r="B17647" s="3"/>
      <c r="C17647" s="3"/>
      <c r="D17647" s="3"/>
      <c r="E17647" s="3">
        <v>4</v>
      </c>
      <c r="F17647" s="4" t="str">
        <f>HYPERLINK("http://141.218.60.56/~jnz1568/getInfo.php?workbook=10_05.xlsx&amp;sheet=U0&amp;row=17647&amp;col=6&amp;number=3.3&amp;sourceID=14","3.3")</f>
        <v>3.3</v>
      </c>
      <c r="G17647" s="4" t="str">
        <f>HYPERLINK("http://141.218.60.56/~jnz1568/getInfo.php?workbook=10_05.xlsx&amp;sheet=U0&amp;row=17647&amp;col=7&amp;number=0.000303&amp;sourceID=14","0.000303")</f>
        <v>0.000303</v>
      </c>
    </row>
    <row r="17648" spans="1:7">
      <c r="A17648" s="3"/>
      <c r="B17648" s="3"/>
      <c r="C17648" s="3"/>
      <c r="D17648" s="3"/>
      <c r="E17648" s="3">
        <v>5</v>
      </c>
      <c r="F17648" s="4" t="str">
        <f>HYPERLINK("http://141.218.60.56/~jnz1568/getInfo.php?workbook=10_05.xlsx&amp;sheet=U0&amp;row=17648&amp;col=6&amp;number=3.4&amp;sourceID=14","3.4")</f>
        <v>3.4</v>
      </c>
      <c r="G17648" s="4" t="str">
        <f>HYPERLINK("http://141.218.60.56/~jnz1568/getInfo.php?workbook=10_05.xlsx&amp;sheet=U0&amp;row=17648&amp;col=7&amp;number=0.000303&amp;sourceID=14","0.000303")</f>
        <v>0.000303</v>
      </c>
    </row>
    <row r="17649" spans="1:7">
      <c r="A17649" s="3"/>
      <c r="B17649" s="3"/>
      <c r="C17649" s="3"/>
      <c r="D17649" s="3"/>
      <c r="E17649" s="3">
        <v>6</v>
      </c>
      <c r="F17649" s="4" t="str">
        <f>HYPERLINK("http://141.218.60.56/~jnz1568/getInfo.php?workbook=10_05.xlsx&amp;sheet=U0&amp;row=17649&amp;col=6&amp;number=3.5&amp;sourceID=14","3.5")</f>
        <v>3.5</v>
      </c>
      <c r="G17649" s="4" t="str">
        <f>HYPERLINK("http://141.218.60.56/~jnz1568/getInfo.php?workbook=10_05.xlsx&amp;sheet=U0&amp;row=17649&amp;col=7&amp;number=0.000302&amp;sourceID=14","0.000302")</f>
        <v>0.000302</v>
      </c>
    </row>
    <row r="17650" spans="1:7">
      <c r="A17650" s="3"/>
      <c r="B17650" s="3"/>
      <c r="C17650" s="3"/>
      <c r="D17650" s="3"/>
      <c r="E17650" s="3">
        <v>7</v>
      </c>
      <c r="F17650" s="4" t="str">
        <f>HYPERLINK("http://141.218.60.56/~jnz1568/getInfo.php?workbook=10_05.xlsx&amp;sheet=U0&amp;row=17650&amp;col=6&amp;number=3.6&amp;sourceID=14","3.6")</f>
        <v>3.6</v>
      </c>
      <c r="G17650" s="4" t="str">
        <f>HYPERLINK("http://141.218.60.56/~jnz1568/getInfo.php?workbook=10_05.xlsx&amp;sheet=U0&amp;row=17650&amp;col=7&amp;number=0.000301&amp;sourceID=14","0.000301")</f>
        <v>0.000301</v>
      </c>
    </row>
    <row r="17651" spans="1:7">
      <c r="A17651" s="3"/>
      <c r="B17651" s="3"/>
      <c r="C17651" s="3"/>
      <c r="D17651" s="3"/>
      <c r="E17651" s="3">
        <v>8</v>
      </c>
      <c r="F17651" s="4" t="str">
        <f>HYPERLINK("http://141.218.60.56/~jnz1568/getInfo.php?workbook=10_05.xlsx&amp;sheet=U0&amp;row=17651&amp;col=6&amp;number=3.7&amp;sourceID=14","3.7")</f>
        <v>3.7</v>
      </c>
      <c r="G17651" s="4" t="str">
        <f>HYPERLINK("http://141.218.60.56/~jnz1568/getInfo.php?workbook=10_05.xlsx&amp;sheet=U0&amp;row=17651&amp;col=7&amp;number=0.0003&amp;sourceID=14","0.0003")</f>
        <v>0.0003</v>
      </c>
    </row>
    <row r="17652" spans="1:7">
      <c r="A17652" s="3"/>
      <c r="B17652" s="3"/>
      <c r="C17652" s="3"/>
      <c r="D17652" s="3"/>
      <c r="E17652" s="3">
        <v>9</v>
      </c>
      <c r="F17652" s="4" t="str">
        <f>HYPERLINK("http://141.218.60.56/~jnz1568/getInfo.php?workbook=10_05.xlsx&amp;sheet=U0&amp;row=17652&amp;col=6&amp;number=3.8&amp;sourceID=14","3.8")</f>
        <v>3.8</v>
      </c>
      <c r="G17652" s="4" t="str">
        <f>HYPERLINK("http://141.218.60.56/~jnz1568/getInfo.php?workbook=10_05.xlsx&amp;sheet=U0&amp;row=17652&amp;col=7&amp;number=0.000299&amp;sourceID=14","0.000299")</f>
        <v>0.000299</v>
      </c>
    </row>
    <row r="17653" spans="1:7">
      <c r="A17653" s="3"/>
      <c r="B17653" s="3"/>
      <c r="C17653" s="3"/>
      <c r="D17653" s="3"/>
      <c r="E17653" s="3">
        <v>10</v>
      </c>
      <c r="F17653" s="4" t="str">
        <f>HYPERLINK("http://141.218.60.56/~jnz1568/getInfo.php?workbook=10_05.xlsx&amp;sheet=U0&amp;row=17653&amp;col=6&amp;number=3.9&amp;sourceID=14","3.9")</f>
        <v>3.9</v>
      </c>
      <c r="G17653" s="4" t="str">
        <f>HYPERLINK("http://141.218.60.56/~jnz1568/getInfo.php?workbook=10_05.xlsx&amp;sheet=U0&amp;row=17653&amp;col=7&amp;number=0.000297&amp;sourceID=14","0.000297")</f>
        <v>0.000297</v>
      </c>
    </row>
    <row r="17654" spans="1:7">
      <c r="A17654" s="3"/>
      <c r="B17654" s="3"/>
      <c r="C17654" s="3"/>
      <c r="D17654" s="3"/>
      <c r="E17654" s="3">
        <v>11</v>
      </c>
      <c r="F17654" s="4" t="str">
        <f>HYPERLINK("http://141.218.60.56/~jnz1568/getInfo.php?workbook=10_05.xlsx&amp;sheet=U0&amp;row=17654&amp;col=6&amp;number=4&amp;sourceID=14","4")</f>
        <v>4</v>
      </c>
      <c r="G17654" s="4" t="str">
        <f>HYPERLINK("http://141.218.60.56/~jnz1568/getInfo.php?workbook=10_05.xlsx&amp;sheet=U0&amp;row=17654&amp;col=7&amp;number=0.000295&amp;sourceID=14","0.000295")</f>
        <v>0.000295</v>
      </c>
    </row>
    <row r="17655" spans="1:7">
      <c r="A17655" s="3"/>
      <c r="B17655" s="3"/>
      <c r="C17655" s="3"/>
      <c r="D17655" s="3"/>
      <c r="E17655" s="3">
        <v>12</v>
      </c>
      <c r="F17655" s="4" t="str">
        <f>HYPERLINK("http://141.218.60.56/~jnz1568/getInfo.php?workbook=10_05.xlsx&amp;sheet=U0&amp;row=17655&amp;col=6&amp;number=4.1&amp;sourceID=14","4.1")</f>
        <v>4.1</v>
      </c>
      <c r="G17655" s="4" t="str">
        <f>HYPERLINK("http://141.218.60.56/~jnz1568/getInfo.php?workbook=10_05.xlsx&amp;sheet=U0&amp;row=17655&amp;col=7&amp;number=0.000293&amp;sourceID=14","0.000293")</f>
        <v>0.000293</v>
      </c>
    </row>
    <row r="17656" spans="1:7">
      <c r="A17656" s="3"/>
      <c r="B17656" s="3"/>
      <c r="C17656" s="3"/>
      <c r="D17656" s="3"/>
      <c r="E17656" s="3">
        <v>13</v>
      </c>
      <c r="F17656" s="4" t="str">
        <f>HYPERLINK("http://141.218.60.56/~jnz1568/getInfo.php?workbook=10_05.xlsx&amp;sheet=U0&amp;row=17656&amp;col=6&amp;number=4.2&amp;sourceID=14","4.2")</f>
        <v>4.2</v>
      </c>
      <c r="G17656" s="4" t="str">
        <f>HYPERLINK("http://141.218.60.56/~jnz1568/getInfo.php?workbook=10_05.xlsx&amp;sheet=U0&amp;row=17656&amp;col=7&amp;number=0.00029&amp;sourceID=14","0.00029")</f>
        <v>0.00029</v>
      </c>
    </row>
    <row r="17657" spans="1:7">
      <c r="A17657" s="3"/>
      <c r="B17657" s="3"/>
      <c r="C17657" s="3"/>
      <c r="D17657" s="3"/>
      <c r="E17657" s="3">
        <v>14</v>
      </c>
      <c r="F17657" s="4" t="str">
        <f>HYPERLINK("http://141.218.60.56/~jnz1568/getInfo.php?workbook=10_05.xlsx&amp;sheet=U0&amp;row=17657&amp;col=6&amp;number=4.3&amp;sourceID=14","4.3")</f>
        <v>4.3</v>
      </c>
      <c r="G17657" s="4" t="str">
        <f>HYPERLINK("http://141.218.60.56/~jnz1568/getInfo.php?workbook=10_05.xlsx&amp;sheet=U0&amp;row=17657&amp;col=7&amp;number=0.000287&amp;sourceID=14","0.000287")</f>
        <v>0.000287</v>
      </c>
    </row>
    <row r="17658" spans="1:7">
      <c r="A17658" s="3"/>
      <c r="B17658" s="3"/>
      <c r="C17658" s="3"/>
      <c r="D17658" s="3"/>
      <c r="E17658" s="3">
        <v>15</v>
      </c>
      <c r="F17658" s="4" t="str">
        <f>HYPERLINK("http://141.218.60.56/~jnz1568/getInfo.php?workbook=10_05.xlsx&amp;sheet=U0&amp;row=17658&amp;col=6&amp;number=4.4&amp;sourceID=14","4.4")</f>
        <v>4.4</v>
      </c>
      <c r="G17658" s="4" t="str">
        <f>HYPERLINK("http://141.218.60.56/~jnz1568/getInfo.php?workbook=10_05.xlsx&amp;sheet=U0&amp;row=17658&amp;col=7&amp;number=0.000283&amp;sourceID=14","0.000283")</f>
        <v>0.000283</v>
      </c>
    </row>
    <row r="17659" spans="1:7">
      <c r="A17659" s="3"/>
      <c r="B17659" s="3"/>
      <c r="C17659" s="3"/>
      <c r="D17659" s="3"/>
      <c r="E17659" s="3">
        <v>16</v>
      </c>
      <c r="F17659" s="4" t="str">
        <f>HYPERLINK("http://141.218.60.56/~jnz1568/getInfo.php?workbook=10_05.xlsx&amp;sheet=U0&amp;row=17659&amp;col=6&amp;number=4.5&amp;sourceID=14","4.5")</f>
        <v>4.5</v>
      </c>
      <c r="G17659" s="4" t="str">
        <f>HYPERLINK("http://141.218.60.56/~jnz1568/getInfo.php?workbook=10_05.xlsx&amp;sheet=U0&amp;row=17659&amp;col=7&amp;number=0.000279&amp;sourceID=14","0.000279")</f>
        <v>0.000279</v>
      </c>
    </row>
    <row r="17660" spans="1:7">
      <c r="A17660" s="3"/>
      <c r="B17660" s="3"/>
      <c r="C17660" s="3"/>
      <c r="D17660" s="3"/>
      <c r="E17660" s="3">
        <v>17</v>
      </c>
      <c r="F17660" s="4" t="str">
        <f>HYPERLINK("http://141.218.60.56/~jnz1568/getInfo.php?workbook=10_05.xlsx&amp;sheet=U0&amp;row=17660&amp;col=6&amp;number=4.6&amp;sourceID=14","4.6")</f>
        <v>4.6</v>
      </c>
      <c r="G17660" s="4" t="str">
        <f>HYPERLINK("http://141.218.60.56/~jnz1568/getInfo.php?workbook=10_05.xlsx&amp;sheet=U0&amp;row=17660&amp;col=7&amp;number=0.000275&amp;sourceID=14","0.000275")</f>
        <v>0.000275</v>
      </c>
    </row>
    <row r="17661" spans="1:7">
      <c r="A17661" s="3"/>
      <c r="B17661" s="3"/>
      <c r="C17661" s="3"/>
      <c r="D17661" s="3"/>
      <c r="E17661" s="3">
        <v>18</v>
      </c>
      <c r="F17661" s="4" t="str">
        <f>HYPERLINK("http://141.218.60.56/~jnz1568/getInfo.php?workbook=10_05.xlsx&amp;sheet=U0&amp;row=17661&amp;col=6&amp;number=4.7&amp;sourceID=14","4.7")</f>
        <v>4.7</v>
      </c>
      <c r="G17661" s="4" t="str">
        <f>HYPERLINK("http://141.218.60.56/~jnz1568/getInfo.php?workbook=10_05.xlsx&amp;sheet=U0&amp;row=17661&amp;col=7&amp;number=0.00027&amp;sourceID=14","0.00027")</f>
        <v>0.00027</v>
      </c>
    </row>
    <row r="17662" spans="1:7">
      <c r="A17662" s="3"/>
      <c r="B17662" s="3"/>
      <c r="C17662" s="3"/>
      <c r="D17662" s="3"/>
      <c r="E17662" s="3">
        <v>19</v>
      </c>
      <c r="F17662" s="4" t="str">
        <f>HYPERLINK("http://141.218.60.56/~jnz1568/getInfo.php?workbook=10_05.xlsx&amp;sheet=U0&amp;row=17662&amp;col=6&amp;number=4.8&amp;sourceID=14","4.8")</f>
        <v>4.8</v>
      </c>
      <c r="G17662" s="4" t="str">
        <f>HYPERLINK("http://141.218.60.56/~jnz1568/getInfo.php?workbook=10_05.xlsx&amp;sheet=U0&amp;row=17662&amp;col=7&amp;number=0.000264&amp;sourceID=14","0.000264")</f>
        <v>0.000264</v>
      </c>
    </row>
    <row r="17663" spans="1:7">
      <c r="A17663" s="3"/>
      <c r="B17663" s="3"/>
      <c r="C17663" s="3"/>
      <c r="D17663" s="3"/>
      <c r="E17663" s="3">
        <v>20</v>
      </c>
      <c r="F17663" s="4" t="str">
        <f>HYPERLINK("http://141.218.60.56/~jnz1568/getInfo.php?workbook=10_05.xlsx&amp;sheet=U0&amp;row=17663&amp;col=6&amp;number=4.9&amp;sourceID=14","4.9")</f>
        <v>4.9</v>
      </c>
      <c r="G17663" s="4" t="str">
        <f>HYPERLINK("http://141.218.60.56/~jnz1568/getInfo.php?workbook=10_05.xlsx&amp;sheet=U0&amp;row=17663&amp;col=7&amp;number=0.000258&amp;sourceID=14","0.000258")</f>
        <v>0.000258</v>
      </c>
    </row>
    <row r="17664" spans="1:7">
      <c r="A17664" s="3">
        <v>10</v>
      </c>
      <c r="B17664" s="3">
        <v>5</v>
      </c>
      <c r="C17664" s="3">
        <v>5</v>
      </c>
      <c r="D17664" s="3">
        <v>179</v>
      </c>
      <c r="E17664" s="3">
        <v>1</v>
      </c>
      <c r="F17664" s="4" t="str">
        <f>HYPERLINK("http://141.218.60.56/~jnz1568/getInfo.php?workbook=10_05.xlsx&amp;sheet=U0&amp;row=17664&amp;col=6&amp;number=3&amp;sourceID=14","3")</f>
        <v>3</v>
      </c>
      <c r="G17664" s="4" t="str">
        <f>HYPERLINK("http://141.218.60.56/~jnz1568/getInfo.php?workbook=10_05.xlsx&amp;sheet=U0&amp;row=17664&amp;col=7&amp;number=6.59e-05&amp;sourceID=14","6.59e-05")</f>
        <v>6.59e-05</v>
      </c>
    </row>
    <row r="17665" spans="1:7">
      <c r="A17665" s="3"/>
      <c r="B17665" s="3"/>
      <c r="C17665" s="3"/>
      <c r="D17665" s="3"/>
      <c r="E17665" s="3">
        <v>2</v>
      </c>
      <c r="F17665" s="4" t="str">
        <f>HYPERLINK("http://141.218.60.56/~jnz1568/getInfo.php?workbook=10_05.xlsx&amp;sheet=U0&amp;row=17665&amp;col=6&amp;number=3.1&amp;sourceID=14","3.1")</f>
        <v>3.1</v>
      </c>
      <c r="G17665" s="4" t="str">
        <f>HYPERLINK("http://141.218.60.56/~jnz1568/getInfo.php?workbook=10_05.xlsx&amp;sheet=U0&amp;row=17665&amp;col=7&amp;number=6.58e-05&amp;sourceID=14","6.58e-05")</f>
        <v>6.58e-05</v>
      </c>
    </row>
    <row r="17666" spans="1:7">
      <c r="A17666" s="3"/>
      <c r="B17666" s="3"/>
      <c r="C17666" s="3"/>
      <c r="D17666" s="3"/>
      <c r="E17666" s="3">
        <v>3</v>
      </c>
      <c r="F17666" s="4" t="str">
        <f>HYPERLINK("http://141.218.60.56/~jnz1568/getInfo.php?workbook=10_05.xlsx&amp;sheet=U0&amp;row=17666&amp;col=6&amp;number=3.2&amp;sourceID=14","3.2")</f>
        <v>3.2</v>
      </c>
      <c r="G17666" s="4" t="str">
        <f>HYPERLINK("http://141.218.60.56/~jnz1568/getInfo.php?workbook=10_05.xlsx&amp;sheet=U0&amp;row=17666&amp;col=7&amp;number=6.58e-05&amp;sourceID=14","6.58e-05")</f>
        <v>6.58e-05</v>
      </c>
    </row>
    <row r="17667" spans="1:7">
      <c r="A17667" s="3"/>
      <c r="B17667" s="3"/>
      <c r="C17667" s="3"/>
      <c r="D17667" s="3"/>
      <c r="E17667" s="3">
        <v>4</v>
      </c>
      <c r="F17667" s="4" t="str">
        <f>HYPERLINK("http://141.218.60.56/~jnz1568/getInfo.php?workbook=10_05.xlsx&amp;sheet=U0&amp;row=17667&amp;col=6&amp;number=3.3&amp;sourceID=14","3.3")</f>
        <v>3.3</v>
      </c>
      <c r="G17667" s="4" t="str">
        <f>HYPERLINK("http://141.218.60.56/~jnz1568/getInfo.php?workbook=10_05.xlsx&amp;sheet=U0&amp;row=17667&amp;col=7&amp;number=6.57e-05&amp;sourceID=14","6.57e-05")</f>
        <v>6.57e-05</v>
      </c>
    </row>
    <row r="17668" spans="1:7">
      <c r="A17668" s="3"/>
      <c r="B17668" s="3"/>
      <c r="C17668" s="3"/>
      <c r="D17668" s="3"/>
      <c r="E17668" s="3">
        <v>5</v>
      </c>
      <c r="F17668" s="4" t="str">
        <f>HYPERLINK("http://141.218.60.56/~jnz1568/getInfo.php?workbook=10_05.xlsx&amp;sheet=U0&amp;row=17668&amp;col=6&amp;number=3.4&amp;sourceID=14","3.4")</f>
        <v>3.4</v>
      </c>
      <c r="G17668" s="4" t="str">
        <f>HYPERLINK("http://141.218.60.56/~jnz1568/getInfo.php?workbook=10_05.xlsx&amp;sheet=U0&amp;row=17668&amp;col=7&amp;number=6.56e-05&amp;sourceID=14","6.56e-05")</f>
        <v>6.56e-05</v>
      </c>
    </row>
    <row r="17669" spans="1:7">
      <c r="A17669" s="3"/>
      <c r="B17669" s="3"/>
      <c r="C17669" s="3"/>
      <c r="D17669" s="3"/>
      <c r="E17669" s="3">
        <v>6</v>
      </c>
      <c r="F17669" s="4" t="str">
        <f>HYPERLINK("http://141.218.60.56/~jnz1568/getInfo.php?workbook=10_05.xlsx&amp;sheet=U0&amp;row=17669&amp;col=6&amp;number=3.5&amp;sourceID=14","3.5")</f>
        <v>3.5</v>
      </c>
      <c r="G17669" s="4" t="str">
        <f>HYPERLINK("http://141.218.60.56/~jnz1568/getInfo.php?workbook=10_05.xlsx&amp;sheet=U0&amp;row=17669&amp;col=7&amp;number=6.54e-05&amp;sourceID=14","6.54e-05")</f>
        <v>6.54e-05</v>
      </c>
    </row>
    <row r="17670" spans="1:7">
      <c r="A17670" s="3"/>
      <c r="B17670" s="3"/>
      <c r="C17670" s="3"/>
      <c r="D17670" s="3"/>
      <c r="E17670" s="3">
        <v>7</v>
      </c>
      <c r="F17670" s="4" t="str">
        <f>HYPERLINK("http://141.218.60.56/~jnz1568/getInfo.php?workbook=10_05.xlsx&amp;sheet=U0&amp;row=17670&amp;col=6&amp;number=3.6&amp;sourceID=14","3.6")</f>
        <v>3.6</v>
      </c>
      <c r="G17670" s="4" t="str">
        <f>HYPERLINK("http://141.218.60.56/~jnz1568/getInfo.php?workbook=10_05.xlsx&amp;sheet=U0&amp;row=17670&amp;col=7&amp;number=6.53e-05&amp;sourceID=14","6.53e-05")</f>
        <v>6.53e-05</v>
      </c>
    </row>
    <row r="17671" spans="1:7">
      <c r="A17671" s="3"/>
      <c r="B17671" s="3"/>
      <c r="C17671" s="3"/>
      <c r="D17671" s="3"/>
      <c r="E17671" s="3">
        <v>8</v>
      </c>
      <c r="F17671" s="4" t="str">
        <f>HYPERLINK("http://141.218.60.56/~jnz1568/getInfo.php?workbook=10_05.xlsx&amp;sheet=U0&amp;row=17671&amp;col=6&amp;number=3.7&amp;sourceID=14","3.7")</f>
        <v>3.7</v>
      </c>
      <c r="G17671" s="4" t="str">
        <f>HYPERLINK("http://141.218.60.56/~jnz1568/getInfo.php?workbook=10_05.xlsx&amp;sheet=U0&amp;row=17671&amp;col=7&amp;number=6.51e-05&amp;sourceID=14","6.51e-05")</f>
        <v>6.51e-05</v>
      </c>
    </row>
    <row r="17672" spans="1:7">
      <c r="A17672" s="3"/>
      <c r="B17672" s="3"/>
      <c r="C17672" s="3"/>
      <c r="D17672" s="3"/>
      <c r="E17672" s="3">
        <v>9</v>
      </c>
      <c r="F17672" s="4" t="str">
        <f>HYPERLINK("http://141.218.60.56/~jnz1568/getInfo.php?workbook=10_05.xlsx&amp;sheet=U0&amp;row=17672&amp;col=6&amp;number=3.8&amp;sourceID=14","3.8")</f>
        <v>3.8</v>
      </c>
      <c r="G17672" s="4" t="str">
        <f>HYPERLINK("http://141.218.60.56/~jnz1568/getInfo.php?workbook=10_05.xlsx&amp;sheet=U0&amp;row=17672&amp;col=7&amp;number=6.48e-05&amp;sourceID=14","6.48e-05")</f>
        <v>6.48e-05</v>
      </c>
    </row>
    <row r="17673" spans="1:7">
      <c r="A17673" s="3"/>
      <c r="B17673" s="3"/>
      <c r="C17673" s="3"/>
      <c r="D17673" s="3"/>
      <c r="E17673" s="3">
        <v>10</v>
      </c>
      <c r="F17673" s="4" t="str">
        <f>HYPERLINK("http://141.218.60.56/~jnz1568/getInfo.php?workbook=10_05.xlsx&amp;sheet=U0&amp;row=17673&amp;col=6&amp;number=3.9&amp;sourceID=14","3.9")</f>
        <v>3.9</v>
      </c>
      <c r="G17673" s="4" t="str">
        <f>HYPERLINK("http://141.218.60.56/~jnz1568/getInfo.php?workbook=10_05.xlsx&amp;sheet=U0&amp;row=17673&amp;col=7&amp;number=6.45e-05&amp;sourceID=14","6.45e-05")</f>
        <v>6.45e-05</v>
      </c>
    </row>
    <row r="17674" spans="1:7">
      <c r="A17674" s="3"/>
      <c r="B17674" s="3"/>
      <c r="C17674" s="3"/>
      <c r="D17674" s="3"/>
      <c r="E17674" s="3">
        <v>11</v>
      </c>
      <c r="F17674" s="4" t="str">
        <f>HYPERLINK("http://141.218.60.56/~jnz1568/getInfo.php?workbook=10_05.xlsx&amp;sheet=U0&amp;row=17674&amp;col=6&amp;number=4&amp;sourceID=14","4")</f>
        <v>4</v>
      </c>
      <c r="G17674" s="4" t="str">
        <f>HYPERLINK("http://141.218.60.56/~jnz1568/getInfo.php?workbook=10_05.xlsx&amp;sheet=U0&amp;row=17674&amp;col=7&amp;number=6.41e-05&amp;sourceID=14","6.41e-05")</f>
        <v>6.41e-05</v>
      </c>
    </row>
    <row r="17675" spans="1:7">
      <c r="A17675" s="3"/>
      <c r="B17675" s="3"/>
      <c r="C17675" s="3"/>
      <c r="D17675" s="3"/>
      <c r="E17675" s="3">
        <v>12</v>
      </c>
      <c r="F17675" s="4" t="str">
        <f>HYPERLINK("http://141.218.60.56/~jnz1568/getInfo.php?workbook=10_05.xlsx&amp;sheet=U0&amp;row=17675&amp;col=6&amp;number=4.1&amp;sourceID=14","4.1")</f>
        <v>4.1</v>
      </c>
      <c r="G17675" s="4" t="str">
        <f>HYPERLINK("http://141.218.60.56/~jnz1568/getInfo.php?workbook=10_05.xlsx&amp;sheet=U0&amp;row=17675&amp;col=7&amp;number=6.36e-05&amp;sourceID=14","6.36e-05")</f>
        <v>6.36e-05</v>
      </c>
    </row>
    <row r="17676" spans="1:7">
      <c r="A17676" s="3"/>
      <c r="B17676" s="3"/>
      <c r="C17676" s="3"/>
      <c r="D17676" s="3"/>
      <c r="E17676" s="3">
        <v>13</v>
      </c>
      <c r="F17676" s="4" t="str">
        <f>HYPERLINK("http://141.218.60.56/~jnz1568/getInfo.php?workbook=10_05.xlsx&amp;sheet=U0&amp;row=17676&amp;col=6&amp;number=4.2&amp;sourceID=14","4.2")</f>
        <v>4.2</v>
      </c>
      <c r="G17676" s="4" t="str">
        <f>HYPERLINK("http://141.218.60.56/~jnz1568/getInfo.php?workbook=10_05.xlsx&amp;sheet=U0&amp;row=17676&amp;col=7&amp;number=6.31e-05&amp;sourceID=14","6.31e-05")</f>
        <v>6.31e-05</v>
      </c>
    </row>
    <row r="17677" spans="1:7">
      <c r="A17677" s="3"/>
      <c r="B17677" s="3"/>
      <c r="C17677" s="3"/>
      <c r="D17677" s="3"/>
      <c r="E17677" s="3">
        <v>14</v>
      </c>
      <c r="F17677" s="4" t="str">
        <f>HYPERLINK("http://141.218.60.56/~jnz1568/getInfo.php?workbook=10_05.xlsx&amp;sheet=U0&amp;row=17677&amp;col=6&amp;number=4.3&amp;sourceID=14","4.3")</f>
        <v>4.3</v>
      </c>
      <c r="G17677" s="4" t="str">
        <f>HYPERLINK("http://141.218.60.56/~jnz1568/getInfo.php?workbook=10_05.xlsx&amp;sheet=U0&amp;row=17677&amp;col=7&amp;number=6.24e-05&amp;sourceID=14","6.24e-05")</f>
        <v>6.24e-05</v>
      </c>
    </row>
    <row r="17678" spans="1:7">
      <c r="A17678" s="3"/>
      <c r="B17678" s="3"/>
      <c r="C17678" s="3"/>
      <c r="D17678" s="3"/>
      <c r="E17678" s="3">
        <v>15</v>
      </c>
      <c r="F17678" s="4" t="str">
        <f>HYPERLINK("http://141.218.60.56/~jnz1568/getInfo.php?workbook=10_05.xlsx&amp;sheet=U0&amp;row=17678&amp;col=6&amp;number=4.4&amp;sourceID=14","4.4")</f>
        <v>4.4</v>
      </c>
      <c r="G17678" s="4" t="str">
        <f>HYPERLINK("http://141.218.60.56/~jnz1568/getInfo.php?workbook=10_05.xlsx&amp;sheet=U0&amp;row=17678&amp;col=7&amp;number=6.17e-05&amp;sourceID=14","6.17e-05")</f>
        <v>6.17e-05</v>
      </c>
    </row>
    <row r="17679" spans="1:7">
      <c r="A17679" s="3"/>
      <c r="B17679" s="3"/>
      <c r="C17679" s="3"/>
      <c r="D17679" s="3"/>
      <c r="E17679" s="3">
        <v>16</v>
      </c>
      <c r="F17679" s="4" t="str">
        <f>HYPERLINK("http://141.218.60.56/~jnz1568/getInfo.php?workbook=10_05.xlsx&amp;sheet=U0&amp;row=17679&amp;col=6&amp;number=4.5&amp;sourceID=14","4.5")</f>
        <v>4.5</v>
      </c>
      <c r="G17679" s="4" t="str">
        <f>HYPERLINK("http://141.218.60.56/~jnz1568/getInfo.php?workbook=10_05.xlsx&amp;sheet=U0&amp;row=17679&amp;col=7&amp;number=6.09e-05&amp;sourceID=14","6.09e-05")</f>
        <v>6.09e-05</v>
      </c>
    </row>
    <row r="17680" spans="1:7">
      <c r="A17680" s="3"/>
      <c r="B17680" s="3"/>
      <c r="C17680" s="3"/>
      <c r="D17680" s="3"/>
      <c r="E17680" s="3">
        <v>17</v>
      </c>
      <c r="F17680" s="4" t="str">
        <f>HYPERLINK("http://141.218.60.56/~jnz1568/getInfo.php?workbook=10_05.xlsx&amp;sheet=U0&amp;row=17680&amp;col=6&amp;number=4.6&amp;sourceID=14","4.6")</f>
        <v>4.6</v>
      </c>
      <c r="G17680" s="4" t="str">
        <f>HYPERLINK("http://141.218.60.56/~jnz1568/getInfo.php?workbook=10_05.xlsx&amp;sheet=U0&amp;row=17680&amp;col=7&amp;number=6e-05&amp;sourceID=14","6e-05")</f>
        <v>6e-05</v>
      </c>
    </row>
    <row r="17681" spans="1:7">
      <c r="A17681" s="3"/>
      <c r="B17681" s="3"/>
      <c r="C17681" s="3"/>
      <c r="D17681" s="3"/>
      <c r="E17681" s="3">
        <v>18</v>
      </c>
      <c r="F17681" s="4" t="str">
        <f>HYPERLINK("http://141.218.60.56/~jnz1568/getInfo.php?workbook=10_05.xlsx&amp;sheet=U0&amp;row=17681&amp;col=6&amp;number=4.7&amp;sourceID=14","4.7")</f>
        <v>4.7</v>
      </c>
      <c r="G17681" s="4" t="str">
        <f>HYPERLINK("http://141.218.60.56/~jnz1568/getInfo.php?workbook=10_05.xlsx&amp;sheet=U0&amp;row=17681&amp;col=7&amp;number=5.91e-05&amp;sourceID=14","5.91e-05")</f>
        <v>5.91e-05</v>
      </c>
    </row>
    <row r="17682" spans="1:7">
      <c r="A17682" s="3"/>
      <c r="B17682" s="3"/>
      <c r="C17682" s="3"/>
      <c r="D17682" s="3"/>
      <c r="E17682" s="3">
        <v>19</v>
      </c>
      <c r="F17682" s="4" t="str">
        <f>HYPERLINK("http://141.218.60.56/~jnz1568/getInfo.php?workbook=10_05.xlsx&amp;sheet=U0&amp;row=17682&amp;col=6&amp;number=4.8&amp;sourceID=14","4.8")</f>
        <v>4.8</v>
      </c>
      <c r="G17682" s="4" t="str">
        <f>HYPERLINK("http://141.218.60.56/~jnz1568/getInfo.php?workbook=10_05.xlsx&amp;sheet=U0&amp;row=17682&amp;col=7&amp;number=5.81e-05&amp;sourceID=14","5.81e-05")</f>
        <v>5.81e-05</v>
      </c>
    </row>
    <row r="17683" spans="1:7">
      <c r="A17683" s="3"/>
      <c r="B17683" s="3"/>
      <c r="C17683" s="3"/>
      <c r="D17683" s="3"/>
      <c r="E17683" s="3">
        <v>20</v>
      </c>
      <c r="F17683" s="4" t="str">
        <f>HYPERLINK("http://141.218.60.56/~jnz1568/getInfo.php?workbook=10_05.xlsx&amp;sheet=U0&amp;row=17683&amp;col=6&amp;number=4.9&amp;sourceID=14","4.9")</f>
        <v>4.9</v>
      </c>
      <c r="G17683" s="4" t="str">
        <f>HYPERLINK("http://141.218.60.56/~jnz1568/getInfo.php?workbook=10_05.xlsx&amp;sheet=U0&amp;row=17683&amp;col=7&amp;number=5.7e-05&amp;sourceID=14","5.7e-05")</f>
        <v>5.7e-05</v>
      </c>
    </row>
    <row r="17684" spans="1:7">
      <c r="A17684" s="3">
        <v>10</v>
      </c>
      <c r="B17684" s="3">
        <v>5</v>
      </c>
      <c r="C17684" s="3">
        <v>5</v>
      </c>
      <c r="D17684" s="3">
        <v>180</v>
      </c>
      <c r="E17684" s="3">
        <v>1</v>
      </c>
      <c r="F17684" s="4" t="str">
        <f>HYPERLINK("http://141.218.60.56/~jnz1568/getInfo.php?workbook=10_05.xlsx&amp;sheet=U0&amp;row=17684&amp;col=6&amp;number=3&amp;sourceID=14","3")</f>
        <v>3</v>
      </c>
      <c r="G17684" s="4" t="str">
        <f>HYPERLINK("http://141.218.60.56/~jnz1568/getInfo.php?workbook=10_05.xlsx&amp;sheet=U0&amp;row=17684&amp;col=7&amp;number=0.000237&amp;sourceID=14","0.000237")</f>
        <v>0.000237</v>
      </c>
    </row>
    <row r="17685" spans="1:7">
      <c r="A17685" s="3"/>
      <c r="B17685" s="3"/>
      <c r="C17685" s="3"/>
      <c r="D17685" s="3"/>
      <c r="E17685" s="3">
        <v>2</v>
      </c>
      <c r="F17685" s="4" t="str">
        <f>HYPERLINK("http://141.218.60.56/~jnz1568/getInfo.php?workbook=10_05.xlsx&amp;sheet=U0&amp;row=17685&amp;col=6&amp;number=3.1&amp;sourceID=14","3.1")</f>
        <v>3.1</v>
      </c>
      <c r="G17685" s="4" t="str">
        <f>HYPERLINK("http://141.218.60.56/~jnz1568/getInfo.php?workbook=10_05.xlsx&amp;sheet=U0&amp;row=17685&amp;col=7&amp;number=0.000237&amp;sourceID=14","0.000237")</f>
        <v>0.000237</v>
      </c>
    </row>
    <row r="17686" spans="1:7">
      <c r="A17686" s="3"/>
      <c r="B17686" s="3"/>
      <c r="C17686" s="3"/>
      <c r="D17686" s="3"/>
      <c r="E17686" s="3">
        <v>3</v>
      </c>
      <c r="F17686" s="4" t="str">
        <f>HYPERLINK("http://141.218.60.56/~jnz1568/getInfo.php?workbook=10_05.xlsx&amp;sheet=U0&amp;row=17686&amp;col=6&amp;number=3.2&amp;sourceID=14","3.2")</f>
        <v>3.2</v>
      </c>
      <c r="G17686" s="4" t="str">
        <f>HYPERLINK("http://141.218.60.56/~jnz1568/getInfo.php?workbook=10_05.xlsx&amp;sheet=U0&amp;row=17686&amp;col=7&amp;number=0.000236&amp;sourceID=14","0.000236")</f>
        <v>0.000236</v>
      </c>
    </row>
    <row r="17687" spans="1:7">
      <c r="A17687" s="3"/>
      <c r="B17687" s="3"/>
      <c r="C17687" s="3"/>
      <c r="D17687" s="3"/>
      <c r="E17687" s="3">
        <v>4</v>
      </c>
      <c r="F17687" s="4" t="str">
        <f>HYPERLINK("http://141.218.60.56/~jnz1568/getInfo.php?workbook=10_05.xlsx&amp;sheet=U0&amp;row=17687&amp;col=6&amp;number=3.3&amp;sourceID=14","3.3")</f>
        <v>3.3</v>
      </c>
      <c r="G17687" s="4" t="str">
        <f>HYPERLINK("http://141.218.60.56/~jnz1568/getInfo.php?workbook=10_05.xlsx&amp;sheet=U0&amp;row=17687&amp;col=7&amp;number=0.000236&amp;sourceID=14","0.000236")</f>
        <v>0.000236</v>
      </c>
    </row>
    <row r="17688" spans="1:7">
      <c r="A17688" s="3"/>
      <c r="B17688" s="3"/>
      <c r="C17688" s="3"/>
      <c r="D17688" s="3"/>
      <c r="E17688" s="3">
        <v>5</v>
      </c>
      <c r="F17688" s="4" t="str">
        <f>HYPERLINK("http://141.218.60.56/~jnz1568/getInfo.php?workbook=10_05.xlsx&amp;sheet=U0&amp;row=17688&amp;col=6&amp;number=3.4&amp;sourceID=14","3.4")</f>
        <v>3.4</v>
      </c>
      <c r="G17688" s="4" t="str">
        <f>HYPERLINK("http://141.218.60.56/~jnz1568/getInfo.php?workbook=10_05.xlsx&amp;sheet=U0&amp;row=17688&amp;col=7&amp;number=0.000236&amp;sourceID=14","0.000236")</f>
        <v>0.000236</v>
      </c>
    </row>
    <row r="17689" spans="1:7">
      <c r="A17689" s="3"/>
      <c r="B17689" s="3"/>
      <c r="C17689" s="3"/>
      <c r="D17689" s="3"/>
      <c r="E17689" s="3">
        <v>6</v>
      </c>
      <c r="F17689" s="4" t="str">
        <f>HYPERLINK("http://141.218.60.56/~jnz1568/getInfo.php?workbook=10_05.xlsx&amp;sheet=U0&amp;row=17689&amp;col=6&amp;number=3.5&amp;sourceID=14","3.5")</f>
        <v>3.5</v>
      </c>
      <c r="G17689" s="4" t="str">
        <f>HYPERLINK("http://141.218.60.56/~jnz1568/getInfo.php?workbook=10_05.xlsx&amp;sheet=U0&amp;row=17689&amp;col=7&amp;number=0.000236&amp;sourceID=14","0.000236")</f>
        <v>0.000236</v>
      </c>
    </row>
    <row r="17690" spans="1:7">
      <c r="A17690" s="3"/>
      <c r="B17690" s="3"/>
      <c r="C17690" s="3"/>
      <c r="D17690" s="3"/>
      <c r="E17690" s="3">
        <v>7</v>
      </c>
      <c r="F17690" s="4" t="str">
        <f>HYPERLINK("http://141.218.60.56/~jnz1568/getInfo.php?workbook=10_05.xlsx&amp;sheet=U0&amp;row=17690&amp;col=6&amp;number=3.6&amp;sourceID=14","3.6")</f>
        <v>3.6</v>
      </c>
      <c r="G17690" s="4" t="str">
        <f>HYPERLINK("http://141.218.60.56/~jnz1568/getInfo.php?workbook=10_05.xlsx&amp;sheet=U0&amp;row=17690&amp;col=7&amp;number=0.000235&amp;sourceID=14","0.000235")</f>
        <v>0.000235</v>
      </c>
    </row>
    <row r="17691" spans="1:7">
      <c r="A17691" s="3"/>
      <c r="B17691" s="3"/>
      <c r="C17691" s="3"/>
      <c r="D17691" s="3"/>
      <c r="E17691" s="3">
        <v>8</v>
      </c>
      <c r="F17691" s="4" t="str">
        <f>HYPERLINK("http://141.218.60.56/~jnz1568/getInfo.php?workbook=10_05.xlsx&amp;sheet=U0&amp;row=17691&amp;col=6&amp;number=3.7&amp;sourceID=14","3.7")</f>
        <v>3.7</v>
      </c>
      <c r="G17691" s="4" t="str">
        <f>HYPERLINK("http://141.218.60.56/~jnz1568/getInfo.php?workbook=10_05.xlsx&amp;sheet=U0&amp;row=17691&amp;col=7&amp;number=0.000235&amp;sourceID=14","0.000235")</f>
        <v>0.000235</v>
      </c>
    </row>
    <row r="17692" spans="1:7">
      <c r="A17692" s="3"/>
      <c r="B17692" s="3"/>
      <c r="C17692" s="3"/>
      <c r="D17692" s="3"/>
      <c r="E17692" s="3">
        <v>9</v>
      </c>
      <c r="F17692" s="4" t="str">
        <f>HYPERLINK("http://141.218.60.56/~jnz1568/getInfo.php?workbook=10_05.xlsx&amp;sheet=U0&amp;row=17692&amp;col=6&amp;number=3.8&amp;sourceID=14","3.8")</f>
        <v>3.8</v>
      </c>
      <c r="G17692" s="4" t="str">
        <f>HYPERLINK("http://141.218.60.56/~jnz1568/getInfo.php?workbook=10_05.xlsx&amp;sheet=U0&amp;row=17692&amp;col=7&amp;number=0.000234&amp;sourceID=14","0.000234")</f>
        <v>0.000234</v>
      </c>
    </row>
    <row r="17693" spans="1:7">
      <c r="A17693" s="3"/>
      <c r="B17693" s="3"/>
      <c r="C17693" s="3"/>
      <c r="D17693" s="3"/>
      <c r="E17693" s="3">
        <v>10</v>
      </c>
      <c r="F17693" s="4" t="str">
        <f>HYPERLINK("http://141.218.60.56/~jnz1568/getInfo.php?workbook=10_05.xlsx&amp;sheet=U0&amp;row=17693&amp;col=6&amp;number=3.9&amp;sourceID=14","3.9")</f>
        <v>3.9</v>
      </c>
      <c r="G17693" s="4" t="str">
        <f>HYPERLINK("http://141.218.60.56/~jnz1568/getInfo.php?workbook=10_05.xlsx&amp;sheet=U0&amp;row=17693&amp;col=7&amp;number=0.000233&amp;sourceID=14","0.000233")</f>
        <v>0.000233</v>
      </c>
    </row>
    <row r="17694" spans="1:7">
      <c r="A17694" s="3"/>
      <c r="B17694" s="3"/>
      <c r="C17694" s="3"/>
      <c r="D17694" s="3"/>
      <c r="E17694" s="3">
        <v>11</v>
      </c>
      <c r="F17694" s="4" t="str">
        <f>HYPERLINK("http://141.218.60.56/~jnz1568/getInfo.php?workbook=10_05.xlsx&amp;sheet=U0&amp;row=17694&amp;col=6&amp;number=4&amp;sourceID=14","4")</f>
        <v>4</v>
      </c>
      <c r="G17694" s="4" t="str">
        <f>HYPERLINK("http://141.218.60.56/~jnz1568/getInfo.php?workbook=10_05.xlsx&amp;sheet=U0&amp;row=17694&amp;col=7&amp;number=0.000233&amp;sourceID=14","0.000233")</f>
        <v>0.000233</v>
      </c>
    </row>
    <row r="17695" spans="1:7">
      <c r="A17695" s="3"/>
      <c r="B17695" s="3"/>
      <c r="C17695" s="3"/>
      <c r="D17695" s="3"/>
      <c r="E17695" s="3">
        <v>12</v>
      </c>
      <c r="F17695" s="4" t="str">
        <f>HYPERLINK("http://141.218.60.56/~jnz1568/getInfo.php?workbook=10_05.xlsx&amp;sheet=U0&amp;row=17695&amp;col=6&amp;number=4.1&amp;sourceID=14","4.1")</f>
        <v>4.1</v>
      </c>
      <c r="G17695" s="4" t="str">
        <f>HYPERLINK("http://141.218.60.56/~jnz1568/getInfo.php?workbook=10_05.xlsx&amp;sheet=U0&amp;row=17695&amp;col=7&amp;number=0.000231&amp;sourceID=14","0.000231")</f>
        <v>0.000231</v>
      </c>
    </row>
    <row r="17696" spans="1:7">
      <c r="A17696" s="3"/>
      <c r="B17696" s="3"/>
      <c r="C17696" s="3"/>
      <c r="D17696" s="3"/>
      <c r="E17696" s="3">
        <v>13</v>
      </c>
      <c r="F17696" s="4" t="str">
        <f>HYPERLINK("http://141.218.60.56/~jnz1568/getInfo.php?workbook=10_05.xlsx&amp;sheet=U0&amp;row=17696&amp;col=6&amp;number=4.2&amp;sourceID=14","4.2")</f>
        <v>4.2</v>
      </c>
      <c r="G17696" s="4" t="str">
        <f>HYPERLINK("http://141.218.60.56/~jnz1568/getInfo.php?workbook=10_05.xlsx&amp;sheet=U0&amp;row=17696&amp;col=7&amp;number=0.00023&amp;sourceID=14","0.00023")</f>
        <v>0.00023</v>
      </c>
    </row>
    <row r="17697" spans="1:7">
      <c r="A17697" s="3"/>
      <c r="B17697" s="3"/>
      <c r="C17697" s="3"/>
      <c r="D17697" s="3"/>
      <c r="E17697" s="3">
        <v>14</v>
      </c>
      <c r="F17697" s="4" t="str">
        <f>HYPERLINK("http://141.218.60.56/~jnz1568/getInfo.php?workbook=10_05.xlsx&amp;sheet=U0&amp;row=17697&amp;col=6&amp;number=4.3&amp;sourceID=14","4.3")</f>
        <v>4.3</v>
      </c>
      <c r="G17697" s="4" t="str">
        <f>HYPERLINK("http://141.218.60.56/~jnz1568/getInfo.php?workbook=10_05.xlsx&amp;sheet=U0&amp;row=17697&amp;col=7&amp;number=0.000229&amp;sourceID=14","0.000229")</f>
        <v>0.000229</v>
      </c>
    </row>
    <row r="17698" spans="1:7">
      <c r="A17698" s="3"/>
      <c r="B17698" s="3"/>
      <c r="C17698" s="3"/>
      <c r="D17698" s="3"/>
      <c r="E17698" s="3">
        <v>15</v>
      </c>
      <c r="F17698" s="4" t="str">
        <f>HYPERLINK("http://141.218.60.56/~jnz1568/getInfo.php?workbook=10_05.xlsx&amp;sheet=U0&amp;row=17698&amp;col=6&amp;number=4.4&amp;sourceID=14","4.4")</f>
        <v>4.4</v>
      </c>
      <c r="G17698" s="4" t="str">
        <f>HYPERLINK("http://141.218.60.56/~jnz1568/getInfo.php?workbook=10_05.xlsx&amp;sheet=U0&amp;row=17698&amp;col=7&amp;number=0.000227&amp;sourceID=14","0.000227")</f>
        <v>0.000227</v>
      </c>
    </row>
    <row r="17699" spans="1:7">
      <c r="A17699" s="3"/>
      <c r="B17699" s="3"/>
      <c r="C17699" s="3"/>
      <c r="D17699" s="3"/>
      <c r="E17699" s="3">
        <v>16</v>
      </c>
      <c r="F17699" s="4" t="str">
        <f>HYPERLINK("http://141.218.60.56/~jnz1568/getInfo.php?workbook=10_05.xlsx&amp;sheet=U0&amp;row=17699&amp;col=6&amp;number=4.5&amp;sourceID=14","4.5")</f>
        <v>4.5</v>
      </c>
      <c r="G17699" s="4" t="str">
        <f>HYPERLINK("http://141.218.60.56/~jnz1568/getInfo.php?workbook=10_05.xlsx&amp;sheet=U0&amp;row=17699&amp;col=7&amp;number=0.000224&amp;sourceID=14","0.000224")</f>
        <v>0.000224</v>
      </c>
    </row>
    <row r="17700" spans="1:7">
      <c r="A17700" s="3"/>
      <c r="B17700" s="3"/>
      <c r="C17700" s="3"/>
      <c r="D17700" s="3"/>
      <c r="E17700" s="3">
        <v>17</v>
      </c>
      <c r="F17700" s="4" t="str">
        <f>HYPERLINK("http://141.218.60.56/~jnz1568/getInfo.php?workbook=10_05.xlsx&amp;sheet=U0&amp;row=17700&amp;col=6&amp;number=4.6&amp;sourceID=14","4.6")</f>
        <v>4.6</v>
      </c>
      <c r="G17700" s="4" t="str">
        <f>HYPERLINK("http://141.218.60.56/~jnz1568/getInfo.php?workbook=10_05.xlsx&amp;sheet=U0&amp;row=17700&amp;col=7&amp;number=0.000222&amp;sourceID=14","0.000222")</f>
        <v>0.000222</v>
      </c>
    </row>
    <row r="17701" spans="1:7">
      <c r="A17701" s="3"/>
      <c r="B17701" s="3"/>
      <c r="C17701" s="3"/>
      <c r="D17701" s="3"/>
      <c r="E17701" s="3">
        <v>18</v>
      </c>
      <c r="F17701" s="4" t="str">
        <f>HYPERLINK("http://141.218.60.56/~jnz1568/getInfo.php?workbook=10_05.xlsx&amp;sheet=U0&amp;row=17701&amp;col=6&amp;number=4.7&amp;sourceID=14","4.7")</f>
        <v>4.7</v>
      </c>
      <c r="G17701" s="4" t="str">
        <f>HYPERLINK("http://141.218.60.56/~jnz1568/getInfo.php?workbook=10_05.xlsx&amp;sheet=U0&amp;row=17701&amp;col=7&amp;number=0.000219&amp;sourceID=14","0.000219")</f>
        <v>0.000219</v>
      </c>
    </row>
    <row r="17702" spans="1:7">
      <c r="A17702" s="3"/>
      <c r="B17702" s="3"/>
      <c r="C17702" s="3"/>
      <c r="D17702" s="3"/>
      <c r="E17702" s="3">
        <v>19</v>
      </c>
      <c r="F17702" s="4" t="str">
        <f>HYPERLINK("http://141.218.60.56/~jnz1568/getInfo.php?workbook=10_05.xlsx&amp;sheet=U0&amp;row=17702&amp;col=6&amp;number=4.8&amp;sourceID=14","4.8")</f>
        <v>4.8</v>
      </c>
      <c r="G17702" s="4" t="str">
        <f>HYPERLINK("http://141.218.60.56/~jnz1568/getInfo.php?workbook=10_05.xlsx&amp;sheet=U0&amp;row=17702&amp;col=7&amp;number=0.000216&amp;sourceID=14","0.000216")</f>
        <v>0.000216</v>
      </c>
    </row>
    <row r="17703" spans="1:7">
      <c r="A17703" s="3"/>
      <c r="B17703" s="3"/>
      <c r="C17703" s="3"/>
      <c r="D17703" s="3"/>
      <c r="E17703" s="3">
        <v>20</v>
      </c>
      <c r="F17703" s="4" t="str">
        <f>HYPERLINK("http://141.218.60.56/~jnz1568/getInfo.php?workbook=10_05.xlsx&amp;sheet=U0&amp;row=17703&amp;col=6&amp;number=4.9&amp;sourceID=14","4.9")</f>
        <v>4.9</v>
      </c>
      <c r="G17703" s="4" t="str">
        <f>HYPERLINK("http://141.218.60.56/~jnz1568/getInfo.php?workbook=10_05.xlsx&amp;sheet=U0&amp;row=17703&amp;col=7&amp;number=0.000212&amp;sourceID=14","0.000212")</f>
        <v>0.000212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2015-05-03T15:12:45Z</dcterms:created>
  <dcterms:modified xsi:type="dcterms:W3CDTF">2015-05-03T15:12:45Z</dcterms:modified>
</cp:coreProperties>
</file>